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comments1.xml" ContentType="application/vnd.openxmlformats-officedocument.spreadsheetml.comments+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xl/tables/table48.xml" ContentType="application/vnd.openxmlformats-officedocument.spreadsheetml.table+xml"/>
  <Override PartName="/xl/tables/table49.xml" ContentType="application/vnd.openxmlformats-officedocument.spreadsheetml.table+xml"/>
  <Override PartName="/xl/tables/table50.xml" ContentType="application/vnd.openxmlformats-officedocument.spreadsheetml.table+xml"/>
  <Override PartName="/xl/tables/table51.xml" ContentType="application/vnd.openxmlformats-officedocument.spreadsheetml.table+xml"/>
  <Override PartName="/xl/tables/table5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mc:AlternateContent xmlns:mc="http://schemas.openxmlformats.org/markup-compatibility/2006">
    <mc:Choice Requires="x15">
      <x15ac:absPath xmlns:x15ac="http://schemas.microsoft.com/office/spreadsheetml/2010/11/ac" url="E:\Questions_extraction\ICSE\"/>
    </mc:Choice>
  </mc:AlternateContent>
  <xr:revisionPtr revIDLastSave="0" documentId="13_ncr:1_{1507DA7C-8B58-4808-AEBE-59CF2D527F3E}" xr6:coauthVersionLast="47" xr6:coauthVersionMax="47" xr10:uidLastSave="{00000000-0000-0000-0000-000000000000}"/>
  <bookViews>
    <workbookView xWindow="-108" yWindow="-108" windowWidth="23256" windowHeight="12456" tabRatio="500" firstSheet="3" activeTab="9" xr2:uid="{00000000-000D-0000-FFFF-FFFF00000000}"/>
  </bookViews>
  <sheets>
    <sheet name="G6 Phy" sheetId="2" r:id="rId1"/>
    <sheet name="G7 Phy" sheetId="3" r:id="rId2"/>
    <sheet name="G8 Phy" sheetId="4" r:id="rId3"/>
    <sheet name="G6 Maths" sheetId="5" r:id="rId4"/>
    <sheet name="G7 Maths" sheetId="6" r:id="rId5"/>
    <sheet name="G8 Maths" sheetId="7" r:id="rId6"/>
    <sheet name="G6 Bio" sheetId="10" r:id="rId7"/>
    <sheet name="G7 Bio" sheetId="11" r:id="rId8"/>
    <sheet name="G8 Bio" sheetId="12" r:id="rId9"/>
    <sheet name="G6 Chem" sheetId="13" r:id="rId10"/>
    <sheet name=" G7 Chem" sheetId="14" r:id="rId11"/>
    <sheet name="G8 Chem" sheetId="15" r:id="rId12"/>
    <sheet name="Sheet1" sheetId="16" r:id="rId13"/>
    <sheet name="Sheet2" sheetId="17" r:id="rId14"/>
  </sheets>
  <definedNames>
    <definedName name="Z_30F74FD8_CD18_420A_870B_6A39115F4EAB_.wvu.FilterData" localSheetId="0" hidden="1">'G6 Phy'!$B$1:$I$57</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CalcA1ExcelA1"/>
    </ext>
  </extLst>
</workbook>
</file>

<file path=xl/calcChain.xml><?xml version="1.0" encoding="utf-8"?>
<calcChain xmlns="http://schemas.openxmlformats.org/spreadsheetml/2006/main">
  <c r="Q11" i="4" l="1"/>
  <c r="U63" i="15"/>
  <c r="T63" i="15"/>
  <c r="S63" i="15"/>
  <c r="R63" i="15"/>
  <c r="Q63" i="15"/>
  <c r="P63" i="15"/>
  <c r="O63" i="15"/>
  <c r="N63" i="15"/>
  <c r="M63" i="15"/>
  <c r="L63" i="15"/>
  <c r="K63" i="15"/>
  <c r="J63" i="15"/>
  <c r="U62" i="15"/>
  <c r="T62" i="15"/>
  <c r="S62" i="15"/>
  <c r="R62" i="15"/>
  <c r="Q62" i="15"/>
  <c r="P62" i="15"/>
  <c r="O62" i="15"/>
  <c r="N62" i="15"/>
  <c r="M62" i="15"/>
  <c r="L62" i="15"/>
  <c r="K62" i="15"/>
  <c r="J62" i="15"/>
  <c r="U61" i="15"/>
  <c r="T61" i="15"/>
  <c r="S61" i="15"/>
  <c r="R61" i="15"/>
  <c r="Q61" i="15"/>
  <c r="P61" i="15"/>
  <c r="O61" i="15"/>
  <c r="N61" i="15"/>
  <c r="M61" i="15"/>
  <c r="L61" i="15"/>
  <c r="K61" i="15"/>
  <c r="J61" i="15"/>
  <c r="U60" i="15"/>
  <c r="T60" i="15"/>
  <c r="S60" i="15"/>
  <c r="R60" i="15"/>
  <c r="Q60" i="15"/>
  <c r="P60" i="15"/>
  <c r="O60" i="15"/>
  <c r="N60" i="15"/>
  <c r="M60" i="15"/>
  <c r="L60" i="15"/>
  <c r="K60" i="15"/>
  <c r="J60" i="15"/>
  <c r="U59" i="15"/>
  <c r="T59" i="15"/>
  <c r="S59" i="15"/>
  <c r="R59" i="15"/>
  <c r="Q59" i="15"/>
  <c r="P59" i="15"/>
  <c r="O59" i="15"/>
  <c r="N59" i="15"/>
  <c r="M59" i="15"/>
  <c r="L59" i="15"/>
  <c r="K59" i="15"/>
  <c r="J59" i="15"/>
  <c r="H59" i="15"/>
  <c r="U58" i="15"/>
  <c r="T58" i="15"/>
  <c r="S58" i="15"/>
  <c r="R58" i="15"/>
  <c r="Q58" i="15"/>
  <c r="P58" i="15"/>
  <c r="O58" i="15"/>
  <c r="N58" i="15"/>
  <c r="M58" i="15"/>
  <c r="L58" i="15"/>
  <c r="K58" i="15"/>
  <c r="J58" i="15"/>
  <c r="H58" i="15"/>
  <c r="U57" i="15"/>
  <c r="T57" i="15"/>
  <c r="S57" i="15"/>
  <c r="R57" i="15"/>
  <c r="Q57" i="15"/>
  <c r="P57" i="15"/>
  <c r="O57" i="15"/>
  <c r="N57" i="15"/>
  <c r="M57" i="15"/>
  <c r="L57" i="15"/>
  <c r="K57" i="15"/>
  <c r="J57" i="15"/>
  <c r="H57" i="15"/>
  <c r="U56" i="15"/>
  <c r="T56" i="15"/>
  <c r="S56" i="15"/>
  <c r="R56" i="15"/>
  <c r="Q56" i="15"/>
  <c r="P56" i="15"/>
  <c r="O56" i="15"/>
  <c r="N56" i="15"/>
  <c r="M56" i="15"/>
  <c r="L56" i="15"/>
  <c r="K56" i="15"/>
  <c r="J56" i="15"/>
  <c r="H56" i="15"/>
  <c r="U55" i="15"/>
  <c r="T55" i="15"/>
  <c r="S55" i="15"/>
  <c r="R55" i="15"/>
  <c r="Q55" i="15"/>
  <c r="P55" i="15"/>
  <c r="O55" i="15"/>
  <c r="N55" i="15"/>
  <c r="M55" i="15"/>
  <c r="L55" i="15"/>
  <c r="K55" i="15"/>
  <c r="J55" i="15"/>
  <c r="H55" i="15"/>
  <c r="U54" i="15"/>
  <c r="T54" i="15"/>
  <c r="S54" i="15"/>
  <c r="R54" i="15"/>
  <c r="Q54" i="15"/>
  <c r="P54" i="15"/>
  <c r="O54" i="15"/>
  <c r="N54" i="15"/>
  <c r="M54" i="15"/>
  <c r="L54" i="15"/>
  <c r="K54" i="15"/>
  <c r="J54" i="15"/>
  <c r="H54" i="15"/>
  <c r="U53" i="15"/>
  <c r="T53" i="15"/>
  <c r="S53" i="15"/>
  <c r="R53" i="15"/>
  <c r="Q53" i="15"/>
  <c r="P53" i="15"/>
  <c r="O53" i="15"/>
  <c r="N53" i="15"/>
  <c r="M53" i="15"/>
  <c r="L53" i="15"/>
  <c r="K53" i="15"/>
  <c r="J53" i="15"/>
  <c r="H53" i="15"/>
  <c r="U52" i="15"/>
  <c r="T52" i="15"/>
  <c r="S52" i="15"/>
  <c r="R52" i="15"/>
  <c r="Q52" i="15"/>
  <c r="P52" i="15"/>
  <c r="O52" i="15"/>
  <c r="N52" i="15"/>
  <c r="M52" i="15"/>
  <c r="L52" i="15"/>
  <c r="K52" i="15"/>
  <c r="J52" i="15"/>
  <c r="H52" i="15"/>
  <c r="U51" i="15"/>
  <c r="T51" i="15"/>
  <c r="S51" i="15"/>
  <c r="R51" i="15"/>
  <c r="Q51" i="15"/>
  <c r="P51" i="15"/>
  <c r="O51" i="15"/>
  <c r="N51" i="15"/>
  <c r="M51" i="15"/>
  <c r="L51" i="15"/>
  <c r="K51" i="15"/>
  <c r="J51" i="15"/>
  <c r="H51" i="15"/>
  <c r="U50" i="15"/>
  <c r="T50" i="15"/>
  <c r="S50" i="15"/>
  <c r="R50" i="15"/>
  <c r="Q50" i="15"/>
  <c r="P50" i="15"/>
  <c r="O50" i="15"/>
  <c r="N50" i="15"/>
  <c r="M50" i="15"/>
  <c r="L50" i="15"/>
  <c r="K50" i="15"/>
  <c r="J50" i="15"/>
  <c r="H50" i="15"/>
  <c r="U49" i="15"/>
  <c r="T49" i="15"/>
  <c r="S49" i="15"/>
  <c r="R49" i="15"/>
  <c r="Q49" i="15"/>
  <c r="P49" i="15"/>
  <c r="O49" i="15"/>
  <c r="N49" i="15"/>
  <c r="M49" i="15"/>
  <c r="L49" i="15"/>
  <c r="K49" i="15"/>
  <c r="J49" i="15"/>
  <c r="H49" i="15"/>
  <c r="U48" i="15"/>
  <c r="T48" i="15"/>
  <c r="S48" i="15"/>
  <c r="R48" i="15"/>
  <c r="Q48" i="15"/>
  <c r="P48" i="15"/>
  <c r="O48" i="15"/>
  <c r="N48" i="15"/>
  <c r="M48" i="15"/>
  <c r="L48" i="15"/>
  <c r="K48" i="15"/>
  <c r="J48" i="15"/>
  <c r="H48" i="15"/>
  <c r="U47" i="15"/>
  <c r="T47" i="15"/>
  <c r="S47" i="15"/>
  <c r="R47" i="15"/>
  <c r="Q47" i="15"/>
  <c r="P47" i="15"/>
  <c r="O47" i="15"/>
  <c r="N47" i="15"/>
  <c r="M47" i="15"/>
  <c r="L47" i="15"/>
  <c r="K47" i="15"/>
  <c r="J47" i="15"/>
  <c r="H47" i="15"/>
  <c r="U46" i="15"/>
  <c r="T46" i="15"/>
  <c r="S46" i="15"/>
  <c r="R46" i="15"/>
  <c r="Q46" i="15"/>
  <c r="P46" i="15"/>
  <c r="O46" i="15"/>
  <c r="N46" i="15"/>
  <c r="M46" i="15"/>
  <c r="L46" i="15"/>
  <c r="K46" i="15"/>
  <c r="J46" i="15"/>
  <c r="H46" i="15"/>
  <c r="U45" i="15"/>
  <c r="T45" i="15"/>
  <c r="S45" i="15"/>
  <c r="R45" i="15"/>
  <c r="Q45" i="15"/>
  <c r="P45" i="15"/>
  <c r="O45" i="15"/>
  <c r="N45" i="15"/>
  <c r="M45" i="15"/>
  <c r="L45" i="15"/>
  <c r="K45" i="15"/>
  <c r="J45" i="15"/>
  <c r="H45" i="15"/>
  <c r="U44" i="15"/>
  <c r="T44" i="15"/>
  <c r="S44" i="15"/>
  <c r="R44" i="15"/>
  <c r="Q44" i="15"/>
  <c r="P44" i="15"/>
  <c r="O44" i="15"/>
  <c r="N44" i="15"/>
  <c r="M44" i="15"/>
  <c r="L44" i="15"/>
  <c r="K44" i="15"/>
  <c r="J44" i="15"/>
  <c r="H44" i="15"/>
  <c r="U43" i="15"/>
  <c r="T43" i="15"/>
  <c r="S43" i="15"/>
  <c r="R43" i="15"/>
  <c r="Q43" i="15"/>
  <c r="P43" i="15"/>
  <c r="O43" i="15"/>
  <c r="N43" i="15"/>
  <c r="M43" i="15"/>
  <c r="L43" i="15"/>
  <c r="K43" i="15"/>
  <c r="J43" i="15"/>
  <c r="H43" i="15"/>
  <c r="U42" i="15"/>
  <c r="T42" i="15"/>
  <c r="S42" i="15"/>
  <c r="R42" i="15"/>
  <c r="Q42" i="15"/>
  <c r="P42" i="15"/>
  <c r="O42" i="15"/>
  <c r="N42" i="15"/>
  <c r="M42" i="15"/>
  <c r="L42" i="15"/>
  <c r="K42" i="15"/>
  <c r="J42" i="15"/>
  <c r="H42" i="15"/>
  <c r="U41" i="15"/>
  <c r="T41" i="15"/>
  <c r="S41" i="15"/>
  <c r="R41" i="15"/>
  <c r="Q41" i="15"/>
  <c r="P41" i="15"/>
  <c r="O41" i="15"/>
  <c r="N41" i="15"/>
  <c r="M41" i="15"/>
  <c r="L41" i="15"/>
  <c r="K41" i="15"/>
  <c r="J41" i="15"/>
  <c r="H41" i="15"/>
  <c r="U40" i="15"/>
  <c r="T40" i="15"/>
  <c r="S40" i="15"/>
  <c r="R40" i="15"/>
  <c r="Q40" i="15"/>
  <c r="P40" i="15"/>
  <c r="O40" i="15"/>
  <c r="N40" i="15"/>
  <c r="M40" i="15"/>
  <c r="L40" i="15"/>
  <c r="K40" i="15"/>
  <c r="J40" i="15"/>
  <c r="H40" i="15"/>
  <c r="U39" i="15"/>
  <c r="T39" i="15"/>
  <c r="S39" i="15"/>
  <c r="R39" i="15"/>
  <c r="Q39" i="15"/>
  <c r="P39" i="15"/>
  <c r="O39" i="15"/>
  <c r="N39" i="15"/>
  <c r="M39" i="15"/>
  <c r="L39" i="15"/>
  <c r="K39" i="15"/>
  <c r="J39" i="15"/>
  <c r="H39" i="15"/>
  <c r="U38" i="15"/>
  <c r="T38" i="15"/>
  <c r="S38" i="15"/>
  <c r="R38" i="15"/>
  <c r="Q38" i="15"/>
  <c r="P38" i="15"/>
  <c r="O38" i="15"/>
  <c r="N38" i="15"/>
  <c r="M38" i="15"/>
  <c r="L38" i="15"/>
  <c r="K38" i="15"/>
  <c r="J38" i="15"/>
  <c r="H38" i="15"/>
  <c r="U37" i="15"/>
  <c r="T37" i="15"/>
  <c r="S37" i="15"/>
  <c r="R37" i="15"/>
  <c r="Q37" i="15"/>
  <c r="P37" i="15"/>
  <c r="O37" i="15"/>
  <c r="N37" i="15"/>
  <c r="M37" i="15"/>
  <c r="L37" i="15"/>
  <c r="K37" i="15"/>
  <c r="J37" i="15"/>
  <c r="H37" i="15"/>
  <c r="U36" i="15"/>
  <c r="T36" i="15"/>
  <c r="S36" i="15"/>
  <c r="R36" i="15"/>
  <c r="Q36" i="15"/>
  <c r="P36" i="15"/>
  <c r="O36" i="15"/>
  <c r="N36" i="15"/>
  <c r="M36" i="15"/>
  <c r="L36" i="15"/>
  <c r="K36" i="15"/>
  <c r="J36" i="15"/>
  <c r="H36" i="15"/>
  <c r="U35" i="15"/>
  <c r="T35" i="15"/>
  <c r="S35" i="15"/>
  <c r="R35" i="15"/>
  <c r="Q35" i="15"/>
  <c r="P35" i="15"/>
  <c r="O35" i="15"/>
  <c r="N35" i="15"/>
  <c r="M35" i="15"/>
  <c r="L35" i="15"/>
  <c r="K35" i="15"/>
  <c r="J35" i="15"/>
  <c r="H35" i="15"/>
  <c r="U34" i="15"/>
  <c r="T34" i="15"/>
  <c r="S34" i="15"/>
  <c r="R34" i="15"/>
  <c r="Q34" i="15"/>
  <c r="P34" i="15"/>
  <c r="O34" i="15"/>
  <c r="N34" i="15"/>
  <c r="M34" i="15"/>
  <c r="L34" i="15"/>
  <c r="K34" i="15"/>
  <c r="J34" i="15"/>
  <c r="H34" i="15"/>
  <c r="U33" i="15"/>
  <c r="T33" i="15"/>
  <c r="S33" i="15"/>
  <c r="R33" i="15"/>
  <c r="Q33" i="15"/>
  <c r="P33" i="15"/>
  <c r="O33" i="15"/>
  <c r="N33" i="15"/>
  <c r="M33" i="15"/>
  <c r="L33" i="15"/>
  <c r="K33" i="15"/>
  <c r="J33" i="15"/>
  <c r="H33" i="15"/>
  <c r="U32" i="15"/>
  <c r="T32" i="15"/>
  <c r="S32" i="15"/>
  <c r="R32" i="15"/>
  <c r="Q32" i="15"/>
  <c r="P32" i="15"/>
  <c r="O32" i="15"/>
  <c r="N32" i="15"/>
  <c r="M32" i="15"/>
  <c r="L32" i="15"/>
  <c r="K32" i="15"/>
  <c r="J32" i="15"/>
  <c r="H32" i="15"/>
  <c r="U31" i="15"/>
  <c r="T31" i="15"/>
  <c r="S31" i="15"/>
  <c r="R31" i="15"/>
  <c r="Q31" i="15"/>
  <c r="P31" i="15"/>
  <c r="O31" i="15"/>
  <c r="N31" i="15"/>
  <c r="M31" i="15"/>
  <c r="L31" i="15"/>
  <c r="K31" i="15"/>
  <c r="J31" i="15"/>
  <c r="H31" i="15"/>
  <c r="U30" i="15"/>
  <c r="T30" i="15"/>
  <c r="S30" i="15"/>
  <c r="R30" i="15"/>
  <c r="Q30" i="15"/>
  <c r="P30" i="15"/>
  <c r="O30" i="15"/>
  <c r="N30" i="15"/>
  <c r="M30" i="15"/>
  <c r="L30" i="15"/>
  <c r="K30" i="15"/>
  <c r="J30" i="15"/>
  <c r="H30" i="15"/>
  <c r="U29" i="15"/>
  <c r="T29" i="15"/>
  <c r="S29" i="15"/>
  <c r="R29" i="15"/>
  <c r="Q29" i="15"/>
  <c r="P29" i="15"/>
  <c r="O29" i="15"/>
  <c r="N29" i="15"/>
  <c r="M29" i="15"/>
  <c r="L29" i="15"/>
  <c r="K29" i="15"/>
  <c r="J29" i="15"/>
  <c r="H29" i="15"/>
  <c r="U28" i="15"/>
  <c r="T28" i="15"/>
  <c r="S28" i="15"/>
  <c r="R28" i="15"/>
  <c r="Q28" i="15"/>
  <c r="P28" i="15"/>
  <c r="O28" i="15"/>
  <c r="N28" i="15"/>
  <c r="M28" i="15"/>
  <c r="L28" i="15"/>
  <c r="K28" i="15"/>
  <c r="J28" i="15"/>
  <c r="H28" i="15"/>
  <c r="U27" i="15"/>
  <c r="T27" i="15"/>
  <c r="S27" i="15"/>
  <c r="R27" i="15"/>
  <c r="Q27" i="15"/>
  <c r="P27" i="15"/>
  <c r="O27" i="15"/>
  <c r="N27" i="15"/>
  <c r="M27" i="15"/>
  <c r="L27" i="15"/>
  <c r="K27" i="15"/>
  <c r="J27" i="15"/>
  <c r="H27" i="15"/>
  <c r="U26" i="15"/>
  <c r="T26" i="15"/>
  <c r="S26" i="15"/>
  <c r="R26" i="15"/>
  <c r="Q26" i="15"/>
  <c r="P26" i="15"/>
  <c r="O26" i="15"/>
  <c r="N26" i="15"/>
  <c r="M26" i="15"/>
  <c r="L26" i="15"/>
  <c r="K26" i="15"/>
  <c r="J26" i="15"/>
  <c r="H26" i="15"/>
  <c r="U25" i="15"/>
  <c r="T25" i="15"/>
  <c r="S25" i="15"/>
  <c r="R25" i="15"/>
  <c r="Q25" i="15"/>
  <c r="P25" i="15"/>
  <c r="O25" i="15"/>
  <c r="N25" i="15"/>
  <c r="M25" i="15"/>
  <c r="L25" i="15"/>
  <c r="K25" i="15"/>
  <c r="J25" i="15"/>
  <c r="H25" i="15"/>
  <c r="U24" i="15"/>
  <c r="T24" i="15"/>
  <c r="S24" i="15"/>
  <c r="R24" i="15"/>
  <c r="Q24" i="15"/>
  <c r="P24" i="15"/>
  <c r="O24" i="15"/>
  <c r="N24" i="15"/>
  <c r="M24" i="15"/>
  <c r="L24" i="15"/>
  <c r="K24" i="15"/>
  <c r="J24" i="15"/>
  <c r="H24" i="15"/>
  <c r="U23" i="15"/>
  <c r="T23" i="15"/>
  <c r="S23" i="15"/>
  <c r="R23" i="15"/>
  <c r="Q23" i="15"/>
  <c r="P23" i="15"/>
  <c r="O23" i="15"/>
  <c r="N23" i="15"/>
  <c r="M23" i="15"/>
  <c r="L23" i="15"/>
  <c r="K23" i="15"/>
  <c r="J23" i="15"/>
  <c r="H23" i="15"/>
  <c r="U22" i="15"/>
  <c r="T22" i="15"/>
  <c r="S22" i="15"/>
  <c r="R22" i="15"/>
  <c r="Q22" i="15"/>
  <c r="P22" i="15"/>
  <c r="O22" i="15"/>
  <c r="N22" i="15"/>
  <c r="M22" i="15"/>
  <c r="L22" i="15"/>
  <c r="K22" i="15"/>
  <c r="J22" i="15"/>
  <c r="H22" i="15"/>
  <c r="U21" i="15"/>
  <c r="T21" i="15"/>
  <c r="S21" i="15"/>
  <c r="R21" i="15"/>
  <c r="Q21" i="15"/>
  <c r="P21" i="15"/>
  <c r="O21" i="15"/>
  <c r="N21" i="15"/>
  <c r="M21" i="15"/>
  <c r="L21" i="15"/>
  <c r="K21" i="15"/>
  <c r="J21" i="15"/>
  <c r="H21" i="15"/>
  <c r="U20" i="15"/>
  <c r="T20" i="15"/>
  <c r="S20" i="15"/>
  <c r="R20" i="15"/>
  <c r="Q20" i="15"/>
  <c r="P20" i="15"/>
  <c r="O20" i="15"/>
  <c r="N20" i="15"/>
  <c r="M20" i="15"/>
  <c r="L20" i="15"/>
  <c r="K20" i="15"/>
  <c r="J20" i="15"/>
  <c r="H20" i="15"/>
  <c r="U19" i="15"/>
  <c r="T19" i="15"/>
  <c r="S19" i="15"/>
  <c r="R19" i="15"/>
  <c r="Q19" i="15"/>
  <c r="P19" i="15"/>
  <c r="O19" i="15"/>
  <c r="N19" i="15"/>
  <c r="M19" i="15"/>
  <c r="L19" i="15"/>
  <c r="K19" i="15"/>
  <c r="J19" i="15"/>
  <c r="H19" i="15"/>
  <c r="U18" i="15"/>
  <c r="T18" i="15"/>
  <c r="S18" i="15"/>
  <c r="R18" i="15"/>
  <c r="Q18" i="15"/>
  <c r="P18" i="15"/>
  <c r="O18" i="15"/>
  <c r="N18" i="15"/>
  <c r="M18" i="15"/>
  <c r="L18" i="15"/>
  <c r="K18" i="15"/>
  <c r="J18" i="15"/>
  <c r="H18" i="15"/>
  <c r="U17" i="15"/>
  <c r="T17" i="15"/>
  <c r="S17" i="15"/>
  <c r="R17" i="15"/>
  <c r="Q17" i="15"/>
  <c r="P17" i="15"/>
  <c r="O17" i="15"/>
  <c r="N17" i="15"/>
  <c r="M17" i="15"/>
  <c r="L17" i="15"/>
  <c r="K17" i="15"/>
  <c r="J17" i="15"/>
  <c r="H17" i="15"/>
  <c r="U16" i="15"/>
  <c r="T16" i="15"/>
  <c r="S16" i="15"/>
  <c r="R16" i="15"/>
  <c r="Q16" i="15"/>
  <c r="P16" i="15"/>
  <c r="O16" i="15"/>
  <c r="N16" i="15"/>
  <c r="M16" i="15"/>
  <c r="L16" i="15"/>
  <c r="K16" i="15"/>
  <c r="J16" i="15"/>
  <c r="H16" i="15"/>
  <c r="U15" i="15"/>
  <c r="T15" i="15"/>
  <c r="S15" i="15"/>
  <c r="R15" i="15"/>
  <c r="Q15" i="15"/>
  <c r="P15" i="15"/>
  <c r="O15" i="15"/>
  <c r="N15" i="15"/>
  <c r="M15" i="15"/>
  <c r="L15" i="15"/>
  <c r="K15" i="15"/>
  <c r="J15" i="15"/>
  <c r="H15" i="15"/>
  <c r="U14" i="15"/>
  <c r="T14" i="15"/>
  <c r="S14" i="15"/>
  <c r="R14" i="15"/>
  <c r="Q14" i="15"/>
  <c r="P14" i="15"/>
  <c r="O14" i="15"/>
  <c r="N14" i="15"/>
  <c r="M14" i="15"/>
  <c r="L14" i="15"/>
  <c r="K14" i="15"/>
  <c r="J14" i="15"/>
  <c r="H14" i="15"/>
  <c r="U13" i="15"/>
  <c r="T13" i="15"/>
  <c r="S13" i="15"/>
  <c r="R13" i="15"/>
  <c r="Q13" i="15"/>
  <c r="P13" i="15"/>
  <c r="O13" i="15"/>
  <c r="N13" i="15"/>
  <c r="M13" i="15"/>
  <c r="L13" i="15"/>
  <c r="K13" i="15"/>
  <c r="J13" i="15"/>
  <c r="H13" i="15"/>
  <c r="U12" i="15"/>
  <c r="T12" i="15"/>
  <c r="S12" i="15"/>
  <c r="R12" i="15"/>
  <c r="Q12" i="15"/>
  <c r="P12" i="15"/>
  <c r="O12" i="15"/>
  <c r="N12" i="15"/>
  <c r="M12" i="15"/>
  <c r="L12" i="15"/>
  <c r="K12" i="15"/>
  <c r="J12" i="15"/>
  <c r="H12" i="15"/>
  <c r="U11" i="15"/>
  <c r="T11" i="15"/>
  <c r="S11" i="15"/>
  <c r="R11" i="15"/>
  <c r="Q11" i="15"/>
  <c r="P11" i="15"/>
  <c r="O11" i="15"/>
  <c r="N11" i="15"/>
  <c r="M11" i="15"/>
  <c r="L11" i="15"/>
  <c r="K11" i="15"/>
  <c r="J11" i="15"/>
  <c r="H11" i="15"/>
  <c r="U10" i="15"/>
  <c r="T10" i="15"/>
  <c r="S10" i="15"/>
  <c r="R10" i="15"/>
  <c r="Q10" i="15"/>
  <c r="P10" i="15"/>
  <c r="O10" i="15"/>
  <c r="N10" i="15"/>
  <c r="M10" i="15"/>
  <c r="L10" i="15"/>
  <c r="K10" i="15"/>
  <c r="J10" i="15"/>
  <c r="H10" i="15"/>
  <c r="U9" i="15"/>
  <c r="T9" i="15"/>
  <c r="S9" i="15"/>
  <c r="R9" i="15"/>
  <c r="Q9" i="15"/>
  <c r="P9" i="15"/>
  <c r="O9" i="15"/>
  <c r="N9" i="15"/>
  <c r="M9" i="15"/>
  <c r="L9" i="15"/>
  <c r="K9" i="15"/>
  <c r="J9" i="15"/>
  <c r="H9" i="15"/>
  <c r="U8" i="15"/>
  <c r="T8" i="15"/>
  <c r="S8" i="15"/>
  <c r="R8" i="15"/>
  <c r="Q8" i="15"/>
  <c r="P8" i="15"/>
  <c r="O8" i="15"/>
  <c r="N8" i="15"/>
  <c r="M8" i="15"/>
  <c r="L8" i="15"/>
  <c r="K8" i="15"/>
  <c r="J8" i="15"/>
  <c r="H8" i="15"/>
  <c r="U7" i="15"/>
  <c r="T7" i="15"/>
  <c r="S7" i="15"/>
  <c r="R7" i="15"/>
  <c r="Q7" i="15"/>
  <c r="P7" i="15"/>
  <c r="O7" i="15"/>
  <c r="N7" i="15"/>
  <c r="M7" i="15"/>
  <c r="L7" i="15"/>
  <c r="K7" i="15"/>
  <c r="J7" i="15"/>
  <c r="H7" i="15"/>
  <c r="U6" i="15"/>
  <c r="T6" i="15"/>
  <c r="S6" i="15"/>
  <c r="R6" i="15"/>
  <c r="Q6" i="15"/>
  <c r="P6" i="15"/>
  <c r="O6" i="15"/>
  <c r="N6" i="15"/>
  <c r="M6" i="15"/>
  <c r="L6" i="15"/>
  <c r="K6" i="15"/>
  <c r="J6" i="15"/>
  <c r="H6" i="15"/>
  <c r="U5" i="15"/>
  <c r="T5" i="15"/>
  <c r="S5" i="15"/>
  <c r="R5" i="15"/>
  <c r="Q5" i="15"/>
  <c r="P5" i="15"/>
  <c r="O5" i="15"/>
  <c r="N5" i="15"/>
  <c r="M5" i="15"/>
  <c r="L5" i="15"/>
  <c r="K5" i="15"/>
  <c r="J5" i="15"/>
  <c r="H5" i="15"/>
  <c r="U4" i="15"/>
  <c r="T4" i="15"/>
  <c r="S4" i="15"/>
  <c r="R4" i="15"/>
  <c r="Q4" i="15"/>
  <c r="P4" i="15"/>
  <c r="O4" i="15"/>
  <c r="N4" i="15"/>
  <c r="M4" i="15"/>
  <c r="L4" i="15"/>
  <c r="K4" i="15"/>
  <c r="J4" i="15"/>
  <c r="H4" i="15"/>
  <c r="U3" i="15"/>
  <c r="T3" i="15"/>
  <c r="S3" i="15"/>
  <c r="R3" i="15"/>
  <c r="Q3" i="15"/>
  <c r="P3" i="15"/>
  <c r="O3" i="15"/>
  <c r="N3" i="15"/>
  <c r="M3" i="15"/>
  <c r="L3" i="15"/>
  <c r="K3" i="15"/>
  <c r="J3" i="15"/>
  <c r="H3" i="15"/>
  <c r="AG2" i="15"/>
  <c r="AF2" i="15"/>
  <c r="AE2" i="15"/>
  <c r="AD2" i="15"/>
  <c r="AC2" i="15"/>
  <c r="AB2" i="15"/>
  <c r="AA2" i="15"/>
  <c r="Z2" i="15"/>
  <c r="Y2" i="15"/>
  <c r="X2" i="15"/>
  <c r="W2" i="15"/>
  <c r="V2" i="15"/>
  <c r="U2" i="15"/>
  <c r="T2" i="15"/>
  <c r="S2" i="15"/>
  <c r="R2" i="15"/>
  <c r="Q2" i="15"/>
  <c r="P2" i="15"/>
  <c r="O2" i="15"/>
  <c r="N2" i="15"/>
  <c r="M2" i="15"/>
  <c r="L2" i="15"/>
  <c r="K2" i="15"/>
  <c r="J2" i="15"/>
  <c r="H2" i="15"/>
  <c r="U74" i="14"/>
  <c r="T74" i="14"/>
  <c r="S74" i="14"/>
  <c r="R74" i="14"/>
  <c r="Q74" i="14"/>
  <c r="P74" i="14"/>
  <c r="O74" i="14"/>
  <c r="N74" i="14"/>
  <c r="M74" i="14"/>
  <c r="L74" i="14"/>
  <c r="K74" i="14"/>
  <c r="J74" i="14"/>
  <c r="U73" i="14"/>
  <c r="T73" i="14"/>
  <c r="S73" i="14"/>
  <c r="R73" i="14"/>
  <c r="Q73" i="14"/>
  <c r="P73" i="14"/>
  <c r="O73" i="14"/>
  <c r="N73" i="14"/>
  <c r="M73" i="14"/>
  <c r="L73" i="14"/>
  <c r="K73" i="14"/>
  <c r="J73" i="14"/>
  <c r="U72" i="14"/>
  <c r="T72" i="14"/>
  <c r="S72" i="14"/>
  <c r="R72" i="14"/>
  <c r="Q72" i="14"/>
  <c r="P72" i="14"/>
  <c r="O72" i="14"/>
  <c r="N72" i="14"/>
  <c r="M72" i="14"/>
  <c r="L72" i="14"/>
  <c r="K72" i="14"/>
  <c r="J72" i="14"/>
  <c r="U71" i="14"/>
  <c r="T71" i="14"/>
  <c r="S71" i="14"/>
  <c r="R71" i="14"/>
  <c r="Q71" i="14"/>
  <c r="P71" i="14"/>
  <c r="O71" i="14"/>
  <c r="N71" i="14"/>
  <c r="M71" i="14"/>
  <c r="L71" i="14"/>
  <c r="K71" i="14"/>
  <c r="J71" i="14"/>
  <c r="U70" i="14"/>
  <c r="T70" i="14"/>
  <c r="S70" i="14"/>
  <c r="R70" i="14"/>
  <c r="Q70" i="14"/>
  <c r="P70" i="14"/>
  <c r="O70" i="14"/>
  <c r="N70" i="14"/>
  <c r="M70" i="14"/>
  <c r="L70" i="14"/>
  <c r="K70" i="14"/>
  <c r="J70" i="14"/>
  <c r="U69" i="14"/>
  <c r="T69" i="14"/>
  <c r="S69" i="14"/>
  <c r="R69" i="14"/>
  <c r="Q69" i="14"/>
  <c r="P69" i="14"/>
  <c r="O69" i="14"/>
  <c r="N69" i="14"/>
  <c r="M69" i="14"/>
  <c r="L69" i="14"/>
  <c r="K69" i="14"/>
  <c r="J69" i="14"/>
  <c r="U68" i="14"/>
  <c r="T68" i="14"/>
  <c r="S68" i="14"/>
  <c r="R68" i="14"/>
  <c r="Q68" i="14"/>
  <c r="P68" i="14"/>
  <c r="O68" i="14"/>
  <c r="N68" i="14"/>
  <c r="M68" i="14"/>
  <c r="L68" i="14"/>
  <c r="K68" i="14"/>
  <c r="J68" i="14"/>
  <c r="U67" i="14"/>
  <c r="T67" i="14"/>
  <c r="S67" i="14"/>
  <c r="R67" i="14"/>
  <c r="Q67" i="14"/>
  <c r="P67" i="14"/>
  <c r="O67" i="14"/>
  <c r="N67" i="14"/>
  <c r="M67" i="14"/>
  <c r="L67" i="14"/>
  <c r="K67" i="14"/>
  <c r="J67" i="14"/>
  <c r="U66" i="14"/>
  <c r="T66" i="14"/>
  <c r="S66" i="14"/>
  <c r="R66" i="14"/>
  <c r="Q66" i="14"/>
  <c r="P66" i="14"/>
  <c r="O66" i="14"/>
  <c r="N66" i="14"/>
  <c r="M66" i="14"/>
  <c r="L66" i="14"/>
  <c r="K66" i="14"/>
  <c r="J66" i="14"/>
  <c r="U65" i="14"/>
  <c r="T65" i="14"/>
  <c r="S65" i="14"/>
  <c r="R65" i="14"/>
  <c r="Q65" i="14"/>
  <c r="P65" i="14"/>
  <c r="O65" i="14"/>
  <c r="N65" i="14"/>
  <c r="M65" i="14"/>
  <c r="L65" i="14"/>
  <c r="K65" i="14"/>
  <c r="J65" i="14"/>
  <c r="U64" i="14"/>
  <c r="T64" i="14"/>
  <c r="S64" i="14"/>
  <c r="R64" i="14"/>
  <c r="Q64" i="14"/>
  <c r="P64" i="14"/>
  <c r="O64" i="14"/>
  <c r="N64" i="14"/>
  <c r="M64" i="14"/>
  <c r="L64" i="14"/>
  <c r="K64" i="14"/>
  <c r="J64" i="14"/>
  <c r="U63" i="14"/>
  <c r="T63" i="14"/>
  <c r="S63" i="14"/>
  <c r="R63" i="14"/>
  <c r="Q63" i="14"/>
  <c r="P63" i="14"/>
  <c r="O63" i="14"/>
  <c r="N63" i="14"/>
  <c r="M63" i="14"/>
  <c r="L63" i="14"/>
  <c r="K63" i="14"/>
  <c r="J63" i="14"/>
  <c r="U62" i="14"/>
  <c r="T62" i="14"/>
  <c r="S62" i="14"/>
  <c r="R62" i="14"/>
  <c r="Q62" i="14"/>
  <c r="P62" i="14"/>
  <c r="O62" i="14"/>
  <c r="N62" i="14"/>
  <c r="M62" i="14"/>
  <c r="L62" i="14"/>
  <c r="K62" i="14"/>
  <c r="J62" i="14"/>
  <c r="U61" i="14"/>
  <c r="T61" i="14"/>
  <c r="S61" i="14"/>
  <c r="R61" i="14"/>
  <c r="Q61" i="14"/>
  <c r="P61" i="14"/>
  <c r="O61" i="14"/>
  <c r="N61" i="14"/>
  <c r="M61" i="14"/>
  <c r="L61" i="14"/>
  <c r="K61" i="14"/>
  <c r="J61" i="14"/>
  <c r="U60" i="14"/>
  <c r="T60" i="14"/>
  <c r="S60" i="14"/>
  <c r="R60" i="14"/>
  <c r="Q60" i="14"/>
  <c r="P60" i="14"/>
  <c r="O60" i="14"/>
  <c r="N60" i="14"/>
  <c r="M60" i="14"/>
  <c r="L60" i="14"/>
  <c r="K60" i="14"/>
  <c r="J60" i="14"/>
  <c r="U59" i="14"/>
  <c r="T59" i="14"/>
  <c r="S59" i="14"/>
  <c r="R59" i="14"/>
  <c r="Q59" i="14"/>
  <c r="P59" i="14"/>
  <c r="O59" i="14"/>
  <c r="N59" i="14"/>
  <c r="M59" i="14"/>
  <c r="L59" i="14"/>
  <c r="K59" i="14"/>
  <c r="J59" i="14"/>
  <c r="U58" i="14"/>
  <c r="T58" i="14"/>
  <c r="S58" i="14"/>
  <c r="R58" i="14"/>
  <c r="Q58" i="14"/>
  <c r="P58" i="14"/>
  <c r="O58" i="14"/>
  <c r="N58" i="14"/>
  <c r="M58" i="14"/>
  <c r="L58" i="14"/>
  <c r="K58" i="14"/>
  <c r="J58" i="14"/>
  <c r="U57" i="14"/>
  <c r="T57" i="14"/>
  <c r="S57" i="14"/>
  <c r="R57" i="14"/>
  <c r="Q57" i="14"/>
  <c r="P57" i="14"/>
  <c r="O57" i="14"/>
  <c r="N57" i="14"/>
  <c r="M57" i="14"/>
  <c r="L57" i="14"/>
  <c r="K57" i="14"/>
  <c r="J57" i="14"/>
  <c r="U56" i="14"/>
  <c r="T56" i="14"/>
  <c r="S56" i="14"/>
  <c r="R56" i="14"/>
  <c r="Q56" i="14"/>
  <c r="P56" i="14"/>
  <c r="O56" i="14"/>
  <c r="N56" i="14"/>
  <c r="M56" i="14"/>
  <c r="L56" i="14"/>
  <c r="K56" i="14"/>
  <c r="J56" i="14"/>
  <c r="U55" i="14"/>
  <c r="T55" i="14"/>
  <c r="S55" i="14"/>
  <c r="R55" i="14"/>
  <c r="Q55" i="14"/>
  <c r="P55" i="14"/>
  <c r="O55" i="14"/>
  <c r="N55" i="14"/>
  <c r="M55" i="14"/>
  <c r="L55" i="14"/>
  <c r="K55" i="14"/>
  <c r="J55" i="14"/>
  <c r="U54" i="14"/>
  <c r="T54" i="14"/>
  <c r="S54" i="14"/>
  <c r="R54" i="14"/>
  <c r="Q54" i="14"/>
  <c r="P54" i="14"/>
  <c r="O54" i="14"/>
  <c r="N54" i="14"/>
  <c r="M54" i="14"/>
  <c r="L54" i="14"/>
  <c r="K54" i="14"/>
  <c r="J54" i="14"/>
  <c r="U53" i="14"/>
  <c r="T53" i="14"/>
  <c r="S53" i="14"/>
  <c r="R53" i="14"/>
  <c r="Q53" i="14"/>
  <c r="P53" i="14"/>
  <c r="O53" i="14"/>
  <c r="N53" i="14"/>
  <c r="M53" i="14"/>
  <c r="L53" i="14"/>
  <c r="K53" i="14"/>
  <c r="J53" i="14"/>
  <c r="U52" i="14"/>
  <c r="T52" i="14"/>
  <c r="S52" i="14"/>
  <c r="R52" i="14"/>
  <c r="Q52" i="14"/>
  <c r="P52" i="14"/>
  <c r="O52" i="14"/>
  <c r="N52" i="14"/>
  <c r="M52" i="14"/>
  <c r="L52" i="14"/>
  <c r="K52" i="14"/>
  <c r="J52" i="14"/>
  <c r="H52" i="14"/>
  <c r="U51" i="14"/>
  <c r="T51" i="14"/>
  <c r="S51" i="14"/>
  <c r="R51" i="14"/>
  <c r="Q51" i="14"/>
  <c r="P51" i="14"/>
  <c r="O51" i="14"/>
  <c r="N51" i="14"/>
  <c r="M51" i="14"/>
  <c r="L51" i="14"/>
  <c r="K51" i="14"/>
  <c r="J51" i="14"/>
  <c r="H51" i="14"/>
  <c r="U50" i="14"/>
  <c r="T50" i="14"/>
  <c r="S50" i="14"/>
  <c r="R50" i="14"/>
  <c r="Q50" i="14"/>
  <c r="P50" i="14"/>
  <c r="O50" i="14"/>
  <c r="N50" i="14"/>
  <c r="M50" i="14"/>
  <c r="L50" i="14"/>
  <c r="K50" i="14"/>
  <c r="J50" i="14"/>
  <c r="H50" i="14"/>
  <c r="U49" i="14"/>
  <c r="T49" i="14"/>
  <c r="S49" i="14"/>
  <c r="R49" i="14"/>
  <c r="Q49" i="14"/>
  <c r="P49" i="14"/>
  <c r="O49" i="14"/>
  <c r="N49" i="14"/>
  <c r="M49" i="14"/>
  <c r="L49" i="14"/>
  <c r="K49" i="14"/>
  <c r="J49" i="14"/>
  <c r="H49" i="14"/>
  <c r="U48" i="14"/>
  <c r="T48" i="14"/>
  <c r="S48" i="14"/>
  <c r="R48" i="14"/>
  <c r="Q48" i="14"/>
  <c r="P48" i="14"/>
  <c r="O48" i="14"/>
  <c r="N48" i="14"/>
  <c r="M48" i="14"/>
  <c r="L48" i="14"/>
  <c r="K48" i="14"/>
  <c r="J48" i="14"/>
  <c r="H48" i="14"/>
  <c r="U47" i="14"/>
  <c r="T47" i="14"/>
  <c r="S47" i="14"/>
  <c r="R47" i="14"/>
  <c r="Q47" i="14"/>
  <c r="P47" i="14"/>
  <c r="O47" i="14"/>
  <c r="N47" i="14"/>
  <c r="M47" i="14"/>
  <c r="L47" i="14"/>
  <c r="K47" i="14"/>
  <c r="J47" i="14"/>
  <c r="H47" i="14"/>
  <c r="U46" i="14"/>
  <c r="T46" i="14"/>
  <c r="S46" i="14"/>
  <c r="R46" i="14"/>
  <c r="Q46" i="14"/>
  <c r="P46" i="14"/>
  <c r="O46" i="14"/>
  <c r="N46" i="14"/>
  <c r="M46" i="14"/>
  <c r="L46" i="14"/>
  <c r="K46" i="14"/>
  <c r="J46" i="14"/>
  <c r="H46" i="14"/>
  <c r="U45" i="14"/>
  <c r="T45" i="14"/>
  <c r="S45" i="14"/>
  <c r="R45" i="14"/>
  <c r="Q45" i="14"/>
  <c r="P45" i="14"/>
  <c r="O45" i="14"/>
  <c r="N45" i="14"/>
  <c r="M45" i="14"/>
  <c r="L45" i="14"/>
  <c r="K45" i="14"/>
  <c r="J45" i="14"/>
  <c r="H45" i="14"/>
  <c r="U44" i="14"/>
  <c r="T44" i="14"/>
  <c r="S44" i="14"/>
  <c r="R44" i="14"/>
  <c r="Q44" i="14"/>
  <c r="P44" i="14"/>
  <c r="O44" i="14"/>
  <c r="N44" i="14"/>
  <c r="M44" i="14"/>
  <c r="L44" i="14"/>
  <c r="K44" i="14"/>
  <c r="J44" i="14"/>
  <c r="H44" i="14"/>
  <c r="U43" i="14"/>
  <c r="T43" i="14"/>
  <c r="S43" i="14"/>
  <c r="R43" i="14"/>
  <c r="Q43" i="14"/>
  <c r="P43" i="14"/>
  <c r="O43" i="14"/>
  <c r="N43" i="14"/>
  <c r="M43" i="14"/>
  <c r="L43" i="14"/>
  <c r="K43" i="14"/>
  <c r="J43" i="14"/>
  <c r="H43" i="14"/>
  <c r="U42" i="14"/>
  <c r="T42" i="14"/>
  <c r="S42" i="14"/>
  <c r="R42" i="14"/>
  <c r="Q42" i="14"/>
  <c r="P42" i="14"/>
  <c r="O42" i="14"/>
  <c r="N42" i="14"/>
  <c r="M42" i="14"/>
  <c r="L42" i="14"/>
  <c r="K42" i="14"/>
  <c r="J42" i="14"/>
  <c r="H42" i="14"/>
  <c r="U41" i="14"/>
  <c r="T41" i="14"/>
  <c r="S41" i="14"/>
  <c r="R41" i="14"/>
  <c r="Q41" i="14"/>
  <c r="P41" i="14"/>
  <c r="O41" i="14"/>
  <c r="N41" i="14"/>
  <c r="M41" i="14"/>
  <c r="L41" i="14"/>
  <c r="K41" i="14"/>
  <c r="J41" i="14"/>
  <c r="H41" i="14"/>
  <c r="U40" i="14"/>
  <c r="T40" i="14"/>
  <c r="S40" i="14"/>
  <c r="R40" i="14"/>
  <c r="Q40" i="14"/>
  <c r="P40" i="14"/>
  <c r="O40" i="14"/>
  <c r="N40" i="14"/>
  <c r="M40" i="14"/>
  <c r="L40" i="14"/>
  <c r="K40" i="14"/>
  <c r="J40" i="14"/>
  <c r="H40" i="14"/>
  <c r="U39" i="14"/>
  <c r="T39" i="14"/>
  <c r="S39" i="14"/>
  <c r="R39" i="14"/>
  <c r="Q39" i="14"/>
  <c r="P39" i="14"/>
  <c r="O39" i="14"/>
  <c r="N39" i="14"/>
  <c r="M39" i="14"/>
  <c r="L39" i="14"/>
  <c r="K39" i="14"/>
  <c r="J39" i="14"/>
  <c r="H39" i="14"/>
  <c r="U38" i="14"/>
  <c r="T38" i="14"/>
  <c r="S38" i="14"/>
  <c r="R38" i="14"/>
  <c r="Q38" i="14"/>
  <c r="P38" i="14"/>
  <c r="O38" i="14"/>
  <c r="N38" i="14"/>
  <c r="M38" i="14"/>
  <c r="L38" i="14"/>
  <c r="K38" i="14"/>
  <c r="J38" i="14"/>
  <c r="H38" i="14"/>
  <c r="U37" i="14"/>
  <c r="T37" i="14"/>
  <c r="S37" i="14"/>
  <c r="R37" i="14"/>
  <c r="Q37" i="14"/>
  <c r="P37" i="14"/>
  <c r="O37" i="14"/>
  <c r="N37" i="14"/>
  <c r="M37" i="14"/>
  <c r="L37" i="14"/>
  <c r="K37" i="14"/>
  <c r="J37" i="14"/>
  <c r="H37" i="14"/>
  <c r="U36" i="14"/>
  <c r="T36" i="14"/>
  <c r="S36" i="14"/>
  <c r="R36" i="14"/>
  <c r="Q36" i="14"/>
  <c r="P36" i="14"/>
  <c r="O36" i="14"/>
  <c r="N36" i="14"/>
  <c r="M36" i="14"/>
  <c r="L36" i="14"/>
  <c r="K36" i="14"/>
  <c r="J36" i="14"/>
  <c r="H36" i="14"/>
  <c r="U35" i="14"/>
  <c r="T35" i="14"/>
  <c r="S35" i="14"/>
  <c r="R35" i="14"/>
  <c r="Q35" i="14"/>
  <c r="P35" i="14"/>
  <c r="O35" i="14"/>
  <c r="N35" i="14"/>
  <c r="M35" i="14"/>
  <c r="L35" i="14"/>
  <c r="K35" i="14"/>
  <c r="J35" i="14"/>
  <c r="H35" i="14"/>
  <c r="U34" i="14"/>
  <c r="T34" i="14"/>
  <c r="S34" i="14"/>
  <c r="R34" i="14"/>
  <c r="Q34" i="14"/>
  <c r="P34" i="14"/>
  <c r="O34" i="14"/>
  <c r="N34" i="14"/>
  <c r="M34" i="14"/>
  <c r="L34" i="14"/>
  <c r="K34" i="14"/>
  <c r="J34" i="14"/>
  <c r="H34" i="14"/>
  <c r="U33" i="14"/>
  <c r="T33" i="14"/>
  <c r="S33" i="14"/>
  <c r="R33" i="14"/>
  <c r="Q33" i="14"/>
  <c r="P33" i="14"/>
  <c r="O33" i="14"/>
  <c r="N33" i="14"/>
  <c r="M33" i="14"/>
  <c r="L33" i="14"/>
  <c r="K33" i="14"/>
  <c r="J33" i="14"/>
  <c r="H33" i="14"/>
  <c r="U32" i="14"/>
  <c r="T32" i="14"/>
  <c r="S32" i="14"/>
  <c r="R32" i="14"/>
  <c r="Q32" i="14"/>
  <c r="P32" i="14"/>
  <c r="O32" i="14"/>
  <c r="N32" i="14"/>
  <c r="M32" i="14"/>
  <c r="L32" i="14"/>
  <c r="K32" i="14"/>
  <c r="J32" i="14"/>
  <c r="H32" i="14"/>
  <c r="U31" i="14"/>
  <c r="T31" i="14"/>
  <c r="S31" i="14"/>
  <c r="R31" i="14"/>
  <c r="Q31" i="14"/>
  <c r="P31" i="14"/>
  <c r="O31" i="14"/>
  <c r="N31" i="14"/>
  <c r="M31" i="14"/>
  <c r="L31" i="14"/>
  <c r="K31" i="14"/>
  <c r="J31" i="14"/>
  <c r="H31" i="14"/>
  <c r="U30" i="14"/>
  <c r="T30" i="14"/>
  <c r="S30" i="14"/>
  <c r="R30" i="14"/>
  <c r="Q30" i="14"/>
  <c r="P30" i="14"/>
  <c r="O30" i="14"/>
  <c r="N30" i="14"/>
  <c r="M30" i="14"/>
  <c r="L30" i="14"/>
  <c r="K30" i="14"/>
  <c r="J30" i="14"/>
  <c r="H30" i="14"/>
  <c r="U29" i="14"/>
  <c r="T29" i="14"/>
  <c r="S29" i="14"/>
  <c r="R29" i="14"/>
  <c r="Q29" i="14"/>
  <c r="P29" i="14"/>
  <c r="O29" i="14"/>
  <c r="N29" i="14"/>
  <c r="M29" i="14"/>
  <c r="L29" i="14"/>
  <c r="K29" i="14"/>
  <c r="J29" i="14"/>
  <c r="H29" i="14"/>
  <c r="U28" i="14"/>
  <c r="T28" i="14"/>
  <c r="S28" i="14"/>
  <c r="R28" i="14"/>
  <c r="Q28" i="14"/>
  <c r="P28" i="14"/>
  <c r="O28" i="14"/>
  <c r="N28" i="14"/>
  <c r="M28" i="14"/>
  <c r="L28" i="14"/>
  <c r="K28" i="14"/>
  <c r="J28" i="14"/>
  <c r="H28" i="14"/>
  <c r="U27" i="14"/>
  <c r="T27" i="14"/>
  <c r="S27" i="14"/>
  <c r="R27" i="14"/>
  <c r="Q27" i="14"/>
  <c r="P27" i="14"/>
  <c r="O27" i="14"/>
  <c r="N27" i="14"/>
  <c r="M27" i="14"/>
  <c r="L27" i="14"/>
  <c r="K27" i="14"/>
  <c r="J27" i="14"/>
  <c r="H27" i="14"/>
  <c r="U26" i="14"/>
  <c r="T26" i="14"/>
  <c r="S26" i="14"/>
  <c r="R26" i="14"/>
  <c r="Q26" i="14"/>
  <c r="P26" i="14"/>
  <c r="O26" i="14"/>
  <c r="N26" i="14"/>
  <c r="M26" i="14"/>
  <c r="L26" i="14"/>
  <c r="K26" i="14"/>
  <c r="J26" i="14"/>
  <c r="H26" i="14"/>
  <c r="U25" i="14"/>
  <c r="T25" i="14"/>
  <c r="S25" i="14"/>
  <c r="R25" i="14"/>
  <c r="Q25" i="14"/>
  <c r="P25" i="14"/>
  <c r="O25" i="14"/>
  <c r="N25" i="14"/>
  <c r="M25" i="14"/>
  <c r="L25" i="14"/>
  <c r="K25" i="14"/>
  <c r="J25" i="14"/>
  <c r="H25" i="14"/>
  <c r="U24" i="14"/>
  <c r="T24" i="14"/>
  <c r="S24" i="14"/>
  <c r="R24" i="14"/>
  <c r="Q24" i="14"/>
  <c r="P24" i="14"/>
  <c r="O24" i="14"/>
  <c r="N24" i="14"/>
  <c r="M24" i="14"/>
  <c r="L24" i="14"/>
  <c r="K24" i="14"/>
  <c r="J24" i="14"/>
  <c r="H24" i="14"/>
  <c r="U23" i="14"/>
  <c r="T23" i="14"/>
  <c r="S23" i="14"/>
  <c r="R23" i="14"/>
  <c r="Q23" i="14"/>
  <c r="P23" i="14"/>
  <c r="O23" i="14"/>
  <c r="N23" i="14"/>
  <c r="M23" i="14"/>
  <c r="L23" i="14"/>
  <c r="K23" i="14"/>
  <c r="J23" i="14"/>
  <c r="H23" i="14"/>
  <c r="U22" i="14"/>
  <c r="T22" i="14"/>
  <c r="S22" i="14"/>
  <c r="R22" i="14"/>
  <c r="Q22" i="14"/>
  <c r="P22" i="14"/>
  <c r="O22" i="14"/>
  <c r="N22" i="14"/>
  <c r="M22" i="14"/>
  <c r="L22" i="14"/>
  <c r="K22" i="14"/>
  <c r="J22" i="14"/>
  <c r="H22" i="14"/>
  <c r="U21" i="14"/>
  <c r="T21" i="14"/>
  <c r="S21" i="14"/>
  <c r="R21" i="14"/>
  <c r="Q21" i="14"/>
  <c r="P21" i="14"/>
  <c r="O21" i="14"/>
  <c r="N21" i="14"/>
  <c r="M21" i="14"/>
  <c r="L21" i="14"/>
  <c r="K21" i="14"/>
  <c r="J21" i="14"/>
  <c r="H21" i="14"/>
  <c r="U20" i="14"/>
  <c r="T20" i="14"/>
  <c r="S20" i="14"/>
  <c r="R20" i="14"/>
  <c r="Q20" i="14"/>
  <c r="P20" i="14"/>
  <c r="O20" i="14"/>
  <c r="N20" i="14"/>
  <c r="M20" i="14"/>
  <c r="L20" i="14"/>
  <c r="K20" i="14"/>
  <c r="J20" i="14"/>
  <c r="H20" i="14"/>
  <c r="U19" i="14"/>
  <c r="T19" i="14"/>
  <c r="S19" i="14"/>
  <c r="R19" i="14"/>
  <c r="Q19" i="14"/>
  <c r="P19" i="14"/>
  <c r="O19" i="14"/>
  <c r="N19" i="14"/>
  <c r="M19" i="14"/>
  <c r="L19" i="14"/>
  <c r="K19" i="14"/>
  <c r="J19" i="14"/>
  <c r="H19" i="14"/>
  <c r="U18" i="14"/>
  <c r="T18" i="14"/>
  <c r="S18" i="14"/>
  <c r="R18" i="14"/>
  <c r="Q18" i="14"/>
  <c r="P18" i="14"/>
  <c r="O18" i="14"/>
  <c r="N18" i="14"/>
  <c r="M18" i="14"/>
  <c r="L18" i="14"/>
  <c r="K18" i="14"/>
  <c r="J18" i="14"/>
  <c r="H18" i="14"/>
  <c r="U17" i="14"/>
  <c r="T17" i="14"/>
  <c r="S17" i="14"/>
  <c r="R17" i="14"/>
  <c r="Q17" i="14"/>
  <c r="P17" i="14"/>
  <c r="O17" i="14"/>
  <c r="N17" i="14"/>
  <c r="M17" i="14"/>
  <c r="L17" i="14"/>
  <c r="K17" i="14"/>
  <c r="J17" i="14"/>
  <c r="H17" i="14"/>
  <c r="U16" i="14"/>
  <c r="T16" i="14"/>
  <c r="S16" i="14"/>
  <c r="R16" i="14"/>
  <c r="Q16" i="14"/>
  <c r="P16" i="14"/>
  <c r="O16" i="14"/>
  <c r="N16" i="14"/>
  <c r="M16" i="14"/>
  <c r="L16" i="14"/>
  <c r="K16" i="14"/>
  <c r="J16" i="14"/>
  <c r="H16" i="14"/>
  <c r="U15" i="14"/>
  <c r="T15" i="14"/>
  <c r="S15" i="14"/>
  <c r="R15" i="14"/>
  <c r="Q15" i="14"/>
  <c r="P15" i="14"/>
  <c r="O15" i="14"/>
  <c r="N15" i="14"/>
  <c r="M15" i="14"/>
  <c r="L15" i="14"/>
  <c r="K15" i="14"/>
  <c r="J15" i="14"/>
  <c r="H15" i="14"/>
  <c r="U14" i="14"/>
  <c r="T14" i="14"/>
  <c r="S14" i="14"/>
  <c r="R14" i="14"/>
  <c r="Q14" i="14"/>
  <c r="P14" i="14"/>
  <c r="O14" i="14"/>
  <c r="N14" i="14"/>
  <c r="M14" i="14"/>
  <c r="L14" i="14"/>
  <c r="K14" i="14"/>
  <c r="J14" i="14"/>
  <c r="H14" i="14"/>
  <c r="U13" i="14"/>
  <c r="T13" i="14"/>
  <c r="S13" i="14"/>
  <c r="R13" i="14"/>
  <c r="Q13" i="14"/>
  <c r="P13" i="14"/>
  <c r="O13" i="14"/>
  <c r="N13" i="14"/>
  <c r="M13" i="14"/>
  <c r="L13" i="14"/>
  <c r="K13" i="14"/>
  <c r="J13" i="14"/>
  <c r="H13" i="14"/>
  <c r="U12" i="14"/>
  <c r="T12" i="14"/>
  <c r="S12" i="14"/>
  <c r="R12" i="14"/>
  <c r="Q12" i="14"/>
  <c r="P12" i="14"/>
  <c r="O12" i="14"/>
  <c r="N12" i="14"/>
  <c r="M12" i="14"/>
  <c r="L12" i="14"/>
  <c r="K12" i="14"/>
  <c r="J12" i="14"/>
  <c r="H12" i="14"/>
  <c r="U11" i="14"/>
  <c r="T11" i="14"/>
  <c r="S11" i="14"/>
  <c r="R11" i="14"/>
  <c r="Q11" i="14"/>
  <c r="P11" i="14"/>
  <c r="O11" i="14"/>
  <c r="N11" i="14"/>
  <c r="M11" i="14"/>
  <c r="L11" i="14"/>
  <c r="K11" i="14"/>
  <c r="J11" i="14"/>
  <c r="H11" i="14"/>
  <c r="U10" i="14"/>
  <c r="T10" i="14"/>
  <c r="S10" i="14"/>
  <c r="R10" i="14"/>
  <c r="Q10" i="14"/>
  <c r="P10" i="14"/>
  <c r="O10" i="14"/>
  <c r="N10" i="14"/>
  <c r="M10" i="14"/>
  <c r="L10" i="14"/>
  <c r="K10" i="14"/>
  <c r="J10" i="14"/>
  <c r="H10" i="14"/>
  <c r="U9" i="14"/>
  <c r="T9" i="14"/>
  <c r="S9" i="14"/>
  <c r="R9" i="14"/>
  <c r="Q9" i="14"/>
  <c r="P9" i="14"/>
  <c r="O9" i="14"/>
  <c r="N9" i="14"/>
  <c r="M9" i="14"/>
  <c r="L9" i="14"/>
  <c r="K9" i="14"/>
  <c r="J9" i="14"/>
  <c r="H9" i="14"/>
  <c r="U8" i="14"/>
  <c r="T8" i="14"/>
  <c r="S8" i="14"/>
  <c r="R8" i="14"/>
  <c r="Q8" i="14"/>
  <c r="P8" i="14"/>
  <c r="O8" i="14"/>
  <c r="N8" i="14"/>
  <c r="M8" i="14"/>
  <c r="L8" i="14"/>
  <c r="K8" i="14"/>
  <c r="J8" i="14"/>
  <c r="H8" i="14"/>
  <c r="U7" i="14"/>
  <c r="T7" i="14"/>
  <c r="S7" i="14"/>
  <c r="R7" i="14"/>
  <c r="Q7" i="14"/>
  <c r="P7" i="14"/>
  <c r="O7" i="14"/>
  <c r="N7" i="14"/>
  <c r="M7" i="14"/>
  <c r="L7" i="14"/>
  <c r="K7" i="14"/>
  <c r="J7" i="14"/>
  <c r="H7" i="14"/>
  <c r="U6" i="14"/>
  <c r="T6" i="14"/>
  <c r="S6" i="14"/>
  <c r="R6" i="14"/>
  <c r="Q6" i="14"/>
  <c r="P6" i="14"/>
  <c r="O6" i="14"/>
  <c r="N6" i="14"/>
  <c r="M6" i="14"/>
  <c r="L6" i="14"/>
  <c r="K6" i="14"/>
  <c r="J6" i="14"/>
  <c r="H6" i="14"/>
  <c r="U5" i="14"/>
  <c r="T5" i="14"/>
  <c r="S5" i="14"/>
  <c r="R5" i="14"/>
  <c r="Q5" i="14"/>
  <c r="P5" i="14"/>
  <c r="O5" i="14"/>
  <c r="N5" i="14"/>
  <c r="M5" i="14"/>
  <c r="L5" i="14"/>
  <c r="K5" i="14"/>
  <c r="J5" i="14"/>
  <c r="H5" i="14"/>
  <c r="U4" i="14"/>
  <c r="T4" i="14"/>
  <c r="S4" i="14"/>
  <c r="R4" i="14"/>
  <c r="Q4" i="14"/>
  <c r="P4" i="14"/>
  <c r="O4" i="14"/>
  <c r="N4" i="14"/>
  <c r="M4" i="14"/>
  <c r="L4" i="14"/>
  <c r="K4" i="14"/>
  <c r="J4" i="14"/>
  <c r="H4" i="14"/>
  <c r="U3" i="14"/>
  <c r="T3" i="14"/>
  <c r="S3" i="14"/>
  <c r="R3" i="14"/>
  <c r="Q3" i="14"/>
  <c r="P3" i="14"/>
  <c r="O3" i="14"/>
  <c r="N3" i="14"/>
  <c r="M3" i="14"/>
  <c r="L3" i="14"/>
  <c r="K3" i="14"/>
  <c r="J3" i="14"/>
  <c r="H3" i="14"/>
  <c r="AC2" i="14"/>
  <c r="AB2" i="14"/>
  <c r="AA2" i="14"/>
  <c r="Z2" i="14"/>
  <c r="Y2" i="14"/>
  <c r="X2" i="14"/>
  <c r="W2" i="14"/>
  <c r="V2" i="14"/>
  <c r="U2" i="14"/>
  <c r="T2" i="14"/>
  <c r="S2" i="14"/>
  <c r="R2" i="14"/>
  <c r="Q2" i="14"/>
  <c r="P2" i="14"/>
  <c r="O2" i="14"/>
  <c r="N2" i="14"/>
  <c r="M2" i="14"/>
  <c r="L2" i="14"/>
  <c r="K2" i="14"/>
  <c r="J2" i="14"/>
  <c r="H2" i="14"/>
  <c r="U46" i="13"/>
  <c r="T46" i="13"/>
  <c r="S46" i="13"/>
  <c r="R46" i="13"/>
  <c r="Q46" i="13"/>
  <c r="P46" i="13"/>
  <c r="O46" i="13"/>
  <c r="N46" i="13"/>
  <c r="M46" i="13"/>
  <c r="L46" i="13"/>
  <c r="K46" i="13"/>
  <c r="J46" i="13"/>
  <c r="U45" i="13"/>
  <c r="T45" i="13"/>
  <c r="S45" i="13"/>
  <c r="R45" i="13"/>
  <c r="Q45" i="13"/>
  <c r="P45" i="13"/>
  <c r="O45" i="13"/>
  <c r="N45" i="13"/>
  <c r="M45" i="13"/>
  <c r="L45" i="13"/>
  <c r="K45" i="13"/>
  <c r="J45" i="13"/>
  <c r="U44" i="13"/>
  <c r="T44" i="13"/>
  <c r="S44" i="13"/>
  <c r="R44" i="13"/>
  <c r="Q44" i="13"/>
  <c r="P44" i="13"/>
  <c r="O44" i="13"/>
  <c r="N44" i="13"/>
  <c r="M44" i="13"/>
  <c r="L44" i="13"/>
  <c r="K44" i="13"/>
  <c r="J44" i="13"/>
  <c r="U43" i="13"/>
  <c r="T43" i="13"/>
  <c r="S43" i="13"/>
  <c r="R43" i="13"/>
  <c r="Q43" i="13"/>
  <c r="P43" i="13"/>
  <c r="O43" i="13"/>
  <c r="N43" i="13"/>
  <c r="M43" i="13"/>
  <c r="L43" i="13"/>
  <c r="K43" i="13"/>
  <c r="J43" i="13"/>
  <c r="U42" i="13"/>
  <c r="T42" i="13"/>
  <c r="S42" i="13"/>
  <c r="R42" i="13"/>
  <c r="Q42" i="13"/>
  <c r="P42" i="13"/>
  <c r="O42" i="13"/>
  <c r="N42" i="13"/>
  <c r="M42" i="13"/>
  <c r="L42" i="13"/>
  <c r="K42" i="13"/>
  <c r="J42" i="13"/>
  <c r="U41" i="13"/>
  <c r="T41" i="13"/>
  <c r="S41" i="13"/>
  <c r="R41" i="13"/>
  <c r="Q41" i="13"/>
  <c r="P41" i="13"/>
  <c r="O41" i="13"/>
  <c r="N41" i="13"/>
  <c r="M41" i="13"/>
  <c r="L41" i="13"/>
  <c r="K41" i="13"/>
  <c r="J41" i="13"/>
  <c r="U40" i="13"/>
  <c r="T40" i="13"/>
  <c r="S40" i="13"/>
  <c r="R40" i="13"/>
  <c r="Q40" i="13"/>
  <c r="P40" i="13"/>
  <c r="O40" i="13"/>
  <c r="N40" i="13"/>
  <c r="M40" i="13"/>
  <c r="L40" i="13"/>
  <c r="K40" i="13"/>
  <c r="J40" i="13"/>
  <c r="U39" i="13"/>
  <c r="T39" i="13"/>
  <c r="S39" i="13"/>
  <c r="R39" i="13"/>
  <c r="Q39" i="13"/>
  <c r="P39" i="13"/>
  <c r="O39" i="13"/>
  <c r="N39" i="13"/>
  <c r="M39" i="13"/>
  <c r="L39" i="13"/>
  <c r="K39" i="13"/>
  <c r="J39" i="13"/>
  <c r="U38" i="13"/>
  <c r="T38" i="13"/>
  <c r="S38" i="13"/>
  <c r="R38" i="13"/>
  <c r="Q38" i="13"/>
  <c r="P38" i="13"/>
  <c r="O38" i="13"/>
  <c r="N38" i="13"/>
  <c r="M38" i="13"/>
  <c r="L38" i="13"/>
  <c r="K38" i="13"/>
  <c r="J38" i="13"/>
  <c r="H38" i="13"/>
  <c r="U37" i="13"/>
  <c r="T37" i="13"/>
  <c r="S37" i="13"/>
  <c r="R37" i="13"/>
  <c r="Q37" i="13"/>
  <c r="P37" i="13"/>
  <c r="O37" i="13"/>
  <c r="N37" i="13"/>
  <c r="M37" i="13"/>
  <c r="L37" i="13"/>
  <c r="K37" i="13"/>
  <c r="J37" i="13"/>
  <c r="H37" i="13"/>
  <c r="U36" i="13"/>
  <c r="T36" i="13"/>
  <c r="S36" i="13"/>
  <c r="R36" i="13"/>
  <c r="Q36" i="13"/>
  <c r="P36" i="13"/>
  <c r="O36" i="13"/>
  <c r="N36" i="13"/>
  <c r="M36" i="13"/>
  <c r="L36" i="13"/>
  <c r="K36" i="13"/>
  <c r="J36" i="13"/>
  <c r="H36" i="13"/>
  <c r="U35" i="13"/>
  <c r="T35" i="13"/>
  <c r="S35" i="13"/>
  <c r="R35" i="13"/>
  <c r="Q35" i="13"/>
  <c r="P35" i="13"/>
  <c r="O35" i="13"/>
  <c r="N35" i="13"/>
  <c r="M35" i="13"/>
  <c r="L35" i="13"/>
  <c r="K35" i="13"/>
  <c r="J35" i="13"/>
  <c r="H35" i="13"/>
  <c r="U34" i="13"/>
  <c r="T34" i="13"/>
  <c r="S34" i="13"/>
  <c r="R34" i="13"/>
  <c r="Q34" i="13"/>
  <c r="P34" i="13"/>
  <c r="O34" i="13"/>
  <c r="N34" i="13"/>
  <c r="M34" i="13"/>
  <c r="L34" i="13"/>
  <c r="K34" i="13"/>
  <c r="J34" i="13"/>
  <c r="H34" i="13"/>
  <c r="U33" i="13"/>
  <c r="T33" i="13"/>
  <c r="S33" i="13"/>
  <c r="R33" i="13"/>
  <c r="Q33" i="13"/>
  <c r="P33" i="13"/>
  <c r="O33" i="13"/>
  <c r="N33" i="13"/>
  <c r="M33" i="13"/>
  <c r="L33" i="13"/>
  <c r="K33" i="13"/>
  <c r="J33" i="13"/>
  <c r="H33" i="13"/>
  <c r="U32" i="13"/>
  <c r="T32" i="13"/>
  <c r="S32" i="13"/>
  <c r="R32" i="13"/>
  <c r="Q32" i="13"/>
  <c r="P32" i="13"/>
  <c r="O32" i="13"/>
  <c r="N32" i="13"/>
  <c r="M32" i="13"/>
  <c r="L32" i="13"/>
  <c r="K32" i="13"/>
  <c r="J32" i="13"/>
  <c r="H32" i="13"/>
  <c r="U31" i="13"/>
  <c r="T31" i="13"/>
  <c r="S31" i="13"/>
  <c r="R31" i="13"/>
  <c r="Q31" i="13"/>
  <c r="P31" i="13"/>
  <c r="O31" i="13"/>
  <c r="N31" i="13"/>
  <c r="M31" i="13"/>
  <c r="L31" i="13"/>
  <c r="K31" i="13"/>
  <c r="J31" i="13"/>
  <c r="H31" i="13"/>
  <c r="U30" i="13"/>
  <c r="T30" i="13"/>
  <c r="S30" i="13"/>
  <c r="R30" i="13"/>
  <c r="Q30" i="13"/>
  <c r="P30" i="13"/>
  <c r="O30" i="13"/>
  <c r="N30" i="13"/>
  <c r="M30" i="13"/>
  <c r="L30" i="13"/>
  <c r="K30" i="13"/>
  <c r="J30" i="13"/>
  <c r="H30" i="13"/>
  <c r="U29" i="13"/>
  <c r="T29" i="13"/>
  <c r="S29" i="13"/>
  <c r="R29" i="13"/>
  <c r="Q29" i="13"/>
  <c r="P29" i="13"/>
  <c r="O29" i="13"/>
  <c r="N29" i="13"/>
  <c r="M29" i="13"/>
  <c r="L29" i="13"/>
  <c r="K29" i="13"/>
  <c r="J29" i="13"/>
  <c r="H29" i="13"/>
  <c r="U28" i="13"/>
  <c r="T28" i="13"/>
  <c r="S28" i="13"/>
  <c r="R28" i="13"/>
  <c r="Q28" i="13"/>
  <c r="P28" i="13"/>
  <c r="O28" i="13"/>
  <c r="N28" i="13"/>
  <c r="M28" i="13"/>
  <c r="L28" i="13"/>
  <c r="K28" i="13"/>
  <c r="J28" i="13"/>
  <c r="H28" i="13"/>
  <c r="U27" i="13"/>
  <c r="T27" i="13"/>
  <c r="S27" i="13"/>
  <c r="R27" i="13"/>
  <c r="Q27" i="13"/>
  <c r="P27" i="13"/>
  <c r="O27" i="13"/>
  <c r="N27" i="13"/>
  <c r="M27" i="13"/>
  <c r="L27" i="13"/>
  <c r="K27" i="13"/>
  <c r="J27" i="13"/>
  <c r="H27" i="13"/>
  <c r="U26" i="13"/>
  <c r="T26" i="13"/>
  <c r="S26" i="13"/>
  <c r="R26" i="13"/>
  <c r="Q26" i="13"/>
  <c r="P26" i="13"/>
  <c r="O26" i="13"/>
  <c r="N26" i="13"/>
  <c r="M26" i="13"/>
  <c r="L26" i="13"/>
  <c r="K26" i="13"/>
  <c r="J26" i="13"/>
  <c r="H26" i="13"/>
  <c r="U25" i="13"/>
  <c r="T25" i="13"/>
  <c r="S25" i="13"/>
  <c r="R25" i="13"/>
  <c r="Q25" i="13"/>
  <c r="P25" i="13"/>
  <c r="O25" i="13"/>
  <c r="N25" i="13"/>
  <c r="M25" i="13"/>
  <c r="L25" i="13"/>
  <c r="K25" i="13"/>
  <c r="J25" i="13"/>
  <c r="H25" i="13"/>
  <c r="U24" i="13"/>
  <c r="T24" i="13"/>
  <c r="S24" i="13"/>
  <c r="R24" i="13"/>
  <c r="Q24" i="13"/>
  <c r="P24" i="13"/>
  <c r="O24" i="13"/>
  <c r="N24" i="13"/>
  <c r="M24" i="13"/>
  <c r="L24" i="13"/>
  <c r="K24" i="13"/>
  <c r="J24" i="13"/>
  <c r="H24" i="13"/>
  <c r="U23" i="13"/>
  <c r="T23" i="13"/>
  <c r="S23" i="13"/>
  <c r="R23" i="13"/>
  <c r="Q23" i="13"/>
  <c r="P23" i="13"/>
  <c r="O23" i="13"/>
  <c r="N23" i="13"/>
  <c r="M23" i="13"/>
  <c r="L23" i="13"/>
  <c r="K23" i="13"/>
  <c r="J23" i="13"/>
  <c r="H23" i="13"/>
  <c r="U22" i="13"/>
  <c r="T22" i="13"/>
  <c r="S22" i="13"/>
  <c r="R22" i="13"/>
  <c r="Q22" i="13"/>
  <c r="P22" i="13"/>
  <c r="O22" i="13"/>
  <c r="N22" i="13"/>
  <c r="M22" i="13"/>
  <c r="L22" i="13"/>
  <c r="K22" i="13"/>
  <c r="J22" i="13"/>
  <c r="H22" i="13"/>
  <c r="U21" i="13"/>
  <c r="T21" i="13"/>
  <c r="S21" i="13"/>
  <c r="R21" i="13"/>
  <c r="Q21" i="13"/>
  <c r="P21" i="13"/>
  <c r="O21" i="13"/>
  <c r="N21" i="13"/>
  <c r="M21" i="13"/>
  <c r="L21" i="13"/>
  <c r="K21" i="13"/>
  <c r="J21" i="13"/>
  <c r="H21" i="13"/>
  <c r="U20" i="13"/>
  <c r="T20" i="13"/>
  <c r="S20" i="13"/>
  <c r="R20" i="13"/>
  <c r="Q20" i="13"/>
  <c r="P20" i="13"/>
  <c r="O20" i="13"/>
  <c r="N20" i="13"/>
  <c r="M20" i="13"/>
  <c r="L20" i="13"/>
  <c r="K20" i="13"/>
  <c r="J20" i="13"/>
  <c r="H20" i="13"/>
  <c r="U19" i="13"/>
  <c r="T19" i="13"/>
  <c r="S19" i="13"/>
  <c r="R19" i="13"/>
  <c r="Q19" i="13"/>
  <c r="P19" i="13"/>
  <c r="O19" i="13"/>
  <c r="N19" i="13"/>
  <c r="M19" i="13"/>
  <c r="L19" i="13"/>
  <c r="K19" i="13"/>
  <c r="J19" i="13"/>
  <c r="H19" i="13"/>
  <c r="U18" i="13"/>
  <c r="T18" i="13"/>
  <c r="S18" i="13"/>
  <c r="R18" i="13"/>
  <c r="Q18" i="13"/>
  <c r="P18" i="13"/>
  <c r="O18" i="13"/>
  <c r="N18" i="13"/>
  <c r="M18" i="13"/>
  <c r="L18" i="13"/>
  <c r="K18" i="13"/>
  <c r="J18" i="13"/>
  <c r="H18" i="13"/>
  <c r="U17" i="13"/>
  <c r="T17" i="13"/>
  <c r="S17" i="13"/>
  <c r="R17" i="13"/>
  <c r="Q17" i="13"/>
  <c r="P17" i="13"/>
  <c r="O17" i="13"/>
  <c r="N17" i="13"/>
  <c r="M17" i="13"/>
  <c r="L17" i="13"/>
  <c r="K17" i="13"/>
  <c r="J17" i="13"/>
  <c r="H17" i="13"/>
  <c r="U16" i="13"/>
  <c r="T16" i="13"/>
  <c r="S16" i="13"/>
  <c r="R16" i="13"/>
  <c r="Q16" i="13"/>
  <c r="P16" i="13"/>
  <c r="O16" i="13"/>
  <c r="N16" i="13"/>
  <c r="M16" i="13"/>
  <c r="L16" i="13"/>
  <c r="K16" i="13"/>
  <c r="J16" i="13"/>
  <c r="H16" i="13"/>
  <c r="U15" i="13"/>
  <c r="T15" i="13"/>
  <c r="S15" i="13"/>
  <c r="R15" i="13"/>
  <c r="Q15" i="13"/>
  <c r="P15" i="13"/>
  <c r="O15" i="13"/>
  <c r="N15" i="13"/>
  <c r="M15" i="13"/>
  <c r="L15" i="13"/>
  <c r="K15" i="13"/>
  <c r="J15" i="13"/>
  <c r="H15" i="13"/>
  <c r="U14" i="13"/>
  <c r="T14" i="13"/>
  <c r="S14" i="13"/>
  <c r="R14" i="13"/>
  <c r="Q14" i="13"/>
  <c r="P14" i="13"/>
  <c r="O14" i="13"/>
  <c r="N14" i="13"/>
  <c r="M14" i="13"/>
  <c r="L14" i="13"/>
  <c r="K14" i="13"/>
  <c r="J14" i="13"/>
  <c r="H14" i="13"/>
  <c r="U13" i="13"/>
  <c r="T13" i="13"/>
  <c r="S13" i="13"/>
  <c r="R13" i="13"/>
  <c r="Q13" i="13"/>
  <c r="P13" i="13"/>
  <c r="O13" i="13"/>
  <c r="N13" i="13"/>
  <c r="M13" i="13"/>
  <c r="L13" i="13"/>
  <c r="K13" i="13"/>
  <c r="J13" i="13"/>
  <c r="H13" i="13"/>
  <c r="U12" i="13"/>
  <c r="T12" i="13"/>
  <c r="S12" i="13"/>
  <c r="R12" i="13"/>
  <c r="Q12" i="13"/>
  <c r="P12" i="13"/>
  <c r="O12" i="13"/>
  <c r="N12" i="13"/>
  <c r="M12" i="13"/>
  <c r="L12" i="13"/>
  <c r="K12" i="13"/>
  <c r="J12" i="13"/>
  <c r="H12" i="13"/>
  <c r="U11" i="13"/>
  <c r="T11" i="13"/>
  <c r="S11" i="13"/>
  <c r="R11" i="13"/>
  <c r="Q11" i="13"/>
  <c r="P11" i="13"/>
  <c r="O11" i="13"/>
  <c r="N11" i="13"/>
  <c r="M11" i="13"/>
  <c r="L11" i="13"/>
  <c r="K11" i="13"/>
  <c r="J11" i="13"/>
  <c r="H11" i="13"/>
  <c r="U10" i="13"/>
  <c r="T10" i="13"/>
  <c r="S10" i="13"/>
  <c r="R10" i="13"/>
  <c r="Q10" i="13"/>
  <c r="P10" i="13"/>
  <c r="O10" i="13"/>
  <c r="N10" i="13"/>
  <c r="M10" i="13"/>
  <c r="L10" i="13"/>
  <c r="K10" i="13"/>
  <c r="J10" i="13"/>
  <c r="H10" i="13"/>
  <c r="U9" i="13"/>
  <c r="T9" i="13"/>
  <c r="S9" i="13"/>
  <c r="R9" i="13"/>
  <c r="Q9" i="13"/>
  <c r="P9" i="13"/>
  <c r="O9" i="13"/>
  <c r="N9" i="13"/>
  <c r="M9" i="13"/>
  <c r="L9" i="13"/>
  <c r="K9" i="13"/>
  <c r="J9" i="13"/>
  <c r="H9" i="13"/>
  <c r="U8" i="13"/>
  <c r="T8" i="13"/>
  <c r="S8" i="13"/>
  <c r="R8" i="13"/>
  <c r="Q8" i="13"/>
  <c r="P8" i="13"/>
  <c r="O8" i="13"/>
  <c r="N8" i="13"/>
  <c r="M8" i="13"/>
  <c r="L8" i="13"/>
  <c r="K8" i="13"/>
  <c r="J8" i="13"/>
  <c r="H8" i="13"/>
  <c r="U7" i="13"/>
  <c r="T7" i="13"/>
  <c r="S7" i="13"/>
  <c r="R7" i="13"/>
  <c r="Q7" i="13"/>
  <c r="P7" i="13"/>
  <c r="O7" i="13"/>
  <c r="N7" i="13"/>
  <c r="M7" i="13"/>
  <c r="L7" i="13"/>
  <c r="K7" i="13"/>
  <c r="J7" i="13"/>
  <c r="H7" i="13"/>
  <c r="U6" i="13"/>
  <c r="T6" i="13"/>
  <c r="S6" i="13"/>
  <c r="R6" i="13"/>
  <c r="Q6" i="13"/>
  <c r="P6" i="13"/>
  <c r="O6" i="13"/>
  <c r="N6" i="13"/>
  <c r="M6" i="13"/>
  <c r="L6" i="13"/>
  <c r="K6" i="13"/>
  <c r="J6" i="13"/>
  <c r="H6" i="13"/>
  <c r="U5" i="13"/>
  <c r="T5" i="13"/>
  <c r="S5" i="13"/>
  <c r="R5" i="13"/>
  <c r="Q5" i="13"/>
  <c r="P5" i="13"/>
  <c r="O5" i="13"/>
  <c r="N5" i="13"/>
  <c r="M5" i="13"/>
  <c r="L5" i="13"/>
  <c r="K5" i="13"/>
  <c r="J5" i="13"/>
  <c r="H5" i="13"/>
  <c r="U4" i="13"/>
  <c r="T4" i="13"/>
  <c r="S4" i="13"/>
  <c r="R4" i="13"/>
  <c r="Q4" i="13"/>
  <c r="P4" i="13"/>
  <c r="O4" i="13"/>
  <c r="N4" i="13"/>
  <c r="M4" i="13"/>
  <c r="L4" i="13"/>
  <c r="K4" i="13"/>
  <c r="J4" i="13"/>
  <c r="H4" i="13"/>
  <c r="U3" i="13"/>
  <c r="T3" i="13"/>
  <c r="S3" i="13"/>
  <c r="R3" i="13"/>
  <c r="Q3" i="13"/>
  <c r="P3" i="13"/>
  <c r="O3" i="13"/>
  <c r="N3" i="13"/>
  <c r="M3" i="13"/>
  <c r="L3" i="13"/>
  <c r="K3" i="13"/>
  <c r="J3" i="13"/>
  <c r="H3" i="13"/>
  <c r="AG2" i="13"/>
  <c r="AF2" i="13"/>
  <c r="AE2" i="13"/>
  <c r="AD2" i="13"/>
  <c r="AC2" i="13"/>
  <c r="AB2" i="13"/>
  <c r="AA2" i="13"/>
  <c r="Z2" i="13"/>
  <c r="Y2" i="13"/>
  <c r="X2" i="13"/>
  <c r="W2" i="13"/>
  <c r="V2" i="13"/>
  <c r="U2" i="13"/>
  <c r="T2" i="13"/>
  <c r="S2" i="13"/>
  <c r="R2" i="13"/>
  <c r="Q2" i="13"/>
  <c r="P2" i="13"/>
  <c r="O2" i="13"/>
  <c r="N2" i="13"/>
  <c r="M2" i="13"/>
  <c r="L2" i="13"/>
  <c r="K2" i="13"/>
  <c r="J2" i="13"/>
  <c r="H2" i="13"/>
  <c r="AG107" i="12"/>
  <c r="AF107" i="12"/>
  <c r="AE107" i="12"/>
  <c r="AD107" i="12"/>
  <c r="AC107" i="12"/>
  <c r="AB107" i="12"/>
  <c r="AA107" i="12"/>
  <c r="Z107" i="12"/>
  <c r="Y107" i="12"/>
  <c r="X107" i="12"/>
  <c r="W107" i="12"/>
  <c r="V107" i="12"/>
  <c r="U107" i="12"/>
  <c r="T107" i="12"/>
  <c r="S107" i="12"/>
  <c r="R107" i="12"/>
  <c r="Q107" i="12"/>
  <c r="P107" i="12"/>
  <c r="O107" i="12"/>
  <c r="N107" i="12"/>
  <c r="M107" i="12"/>
  <c r="L107" i="12"/>
  <c r="K107" i="12"/>
  <c r="J107" i="12"/>
  <c r="AG106" i="12"/>
  <c r="AF106" i="12"/>
  <c r="AE106" i="12"/>
  <c r="AD106" i="12"/>
  <c r="AC106" i="12"/>
  <c r="AB106" i="12"/>
  <c r="AA106" i="12"/>
  <c r="Z106" i="12"/>
  <c r="Y106" i="12"/>
  <c r="X106" i="12"/>
  <c r="W106" i="12"/>
  <c r="V106" i="12"/>
  <c r="U106" i="12"/>
  <c r="T106" i="12"/>
  <c r="S106" i="12"/>
  <c r="R106" i="12"/>
  <c r="Q106" i="12"/>
  <c r="P106" i="12"/>
  <c r="O106" i="12"/>
  <c r="N106" i="12"/>
  <c r="M106" i="12"/>
  <c r="L106" i="12"/>
  <c r="K106" i="12"/>
  <c r="J106" i="12"/>
  <c r="AG105" i="12"/>
  <c r="AF105" i="12"/>
  <c r="AE105" i="12"/>
  <c r="AD105" i="12"/>
  <c r="AC105" i="12"/>
  <c r="AB105" i="12"/>
  <c r="AA105" i="12"/>
  <c r="Z105" i="12"/>
  <c r="Y105" i="12"/>
  <c r="X105" i="12"/>
  <c r="W105" i="12"/>
  <c r="V105" i="12"/>
  <c r="U105" i="12"/>
  <c r="T105" i="12"/>
  <c r="S105" i="12"/>
  <c r="R105" i="12"/>
  <c r="Q105" i="12"/>
  <c r="P105" i="12"/>
  <c r="O105" i="12"/>
  <c r="N105" i="12"/>
  <c r="M105" i="12"/>
  <c r="L105" i="12"/>
  <c r="K105" i="12"/>
  <c r="J105" i="12"/>
  <c r="AG104" i="12"/>
  <c r="AF104" i="12"/>
  <c r="AE104" i="12"/>
  <c r="AD104" i="12"/>
  <c r="AC104" i="12"/>
  <c r="AB104" i="12"/>
  <c r="AA104" i="12"/>
  <c r="Z104" i="12"/>
  <c r="Y104" i="12"/>
  <c r="X104" i="12"/>
  <c r="W104" i="12"/>
  <c r="V104" i="12"/>
  <c r="U104" i="12"/>
  <c r="T104" i="12"/>
  <c r="S104" i="12"/>
  <c r="R104" i="12"/>
  <c r="Q104" i="12"/>
  <c r="P104" i="12"/>
  <c r="O104" i="12"/>
  <c r="N104" i="12"/>
  <c r="M104" i="12"/>
  <c r="L104" i="12"/>
  <c r="K104" i="12"/>
  <c r="J104" i="12"/>
  <c r="AG103" i="12"/>
  <c r="AF103" i="12"/>
  <c r="AE103" i="12"/>
  <c r="AD103" i="12"/>
  <c r="AC103" i="12"/>
  <c r="AB103" i="12"/>
  <c r="AA103" i="12"/>
  <c r="Z103" i="12"/>
  <c r="Y103" i="12"/>
  <c r="X103" i="12"/>
  <c r="W103" i="12"/>
  <c r="V103" i="12"/>
  <c r="U103" i="12"/>
  <c r="T103" i="12"/>
  <c r="S103" i="12"/>
  <c r="R103" i="12"/>
  <c r="Q103" i="12"/>
  <c r="P103" i="12"/>
  <c r="O103" i="12"/>
  <c r="N103" i="12"/>
  <c r="M103" i="12"/>
  <c r="L103" i="12"/>
  <c r="K103" i="12"/>
  <c r="J103" i="12"/>
  <c r="AG102" i="12"/>
  <c r="AF102" i="12"/>
  <c r="AE102" i="12"/>
  <c r="AD102" i="12"/>
  <c r="AC102" i="12"/>
  <c r="AB102" i="12"/>
  <c r="AA102" i="12"/>
  <c r="Z102" i="12"/>
  <c r="Y102" i="12"/>
  <c r="X102" i="12"/>
  <c r="W102" i="12"/>
  <c r="V102" i="12"/>
  <c r="U102" i="12"/>
  <c r="T102" i="12"/>
  <c r="S102" i="12"/>
  <c r="R102" i="12"/>
  <c r="Q102" i="12"/>
  <c r="P102" i="12"/>
  <c r="O102" i="12"/>
  <c r="N102" i="12"/>
  <c r="M102" i="12"/>
  <c r="L102" i="12"/>
  <c r="K102" i="12"/>
  <c r="J102" i="12"/>
  <c r="AG101" i="12"/>
  <c r="AF101" i="12"/>
  <c r="AE101" i="12"/>
  <c r="AD101" i="12"/>
  <c r="AC101" i="12"/>
  <c r="AB101" i="12"/>
  <c r="AA101" i="12"/>
  <c r="Z101" i="12"/>
  <c r="Y101" i="12"/>
  <c r="X101" i="12"/>
  <c r="W101" i="12"/>
  <c r="V101" i="12"/>
  <c r="U101" i="12"/>
  <c r="T101" i="12"/>
  <c r="S101" i="12"/>
  <c r="R101" i="12"/>
  <c r="Q101" i="12"/>
  <c r="P101" i="12"/>
  <c r="O101" i="12"/>
  <c r="N101" i="12"/>
  <c r="M101" i="12"/>
  <c r="L101" i="12"/>
  <c r="K101" i="12"/>
  <c r="J101" i="12"/>
  <c r="AG100" i="12"/>
  <c r="AF100" i="12"/>
  <c r="AE100" i="12"/>
  <c r="AD100" i="12"/>
  <c r="AC100" i="12"/>
  <c r="AB100" i="12"/>
  <c r="AA100" i="12"/>
  <c r="Z100" i="12"/>
  <c r="Y100" i="12"/>
  <c r="X100" i="12"/>
  <c r="W100" i="12"/>
  <c r="V100" i="12"/>
  <c r="U100" i="12"/>
  <c r="T100" i="12"/>
  <c r="S100" i="12"/>
  <c r="R100" i="12"/>
  <c r="Q100" i="12"/>
  <c r="P100" i="12"/>
  <c r="O100" i="12"/>
  <c r="N100" i="12"/>
  <c r="M100" i="12"/>
  <c r="L100" i="12"/>
  <c r="K100" i="12"/>
  <c r="J100" i="12"/>
  <c r="AG99" i="12"/>
  <c r="AF99" i="12"/>
  <c r="AE99" i="12"/>
  <c r="AD99" i="12"/>
  <c r="AC99" i="12"/>
  <c r="AB99" i="12"/>
  <c r="AA99" i="12"/>
  <c r="Z99" i="12"/>
  <c r="Y99" i="12"/>
  <c r="X99" i="12"/>
  <c r="W99" i="12"/>
  <c r="V99" i="12"/>
  <c r="U99" i="12"/>
  <c r="T99" i="12"/>
  <c r="S99" i="12"/>
  <c r="R99" i="12"/>
  <c r="Q99" i="12"/>
  <c r="P99" i="12"/>
  <c r="O99" i="12"/>
  <c r="N99" i="12"/>
  <c r="M99" i="12"/>
  <c r="L99" i="12"/>
  <c r="K99" i="12"/>
  <c r="J99" i="12"/>
  <c r="AG98" i="12"/>
  <c r="AF98" i="12"/>
  <c r="AE98" i="12"/>
  <c r="AD98" i="12"/>
  <c r="AC98" i="12"/>
  <c r="AB98" i="12"/>
  <c r="AA98" i="12"/>
  <c r="Z98" i="12"/>
  <c r="Y98" i="12"/>
  <c r="X98" i="12"/>
  <c r="W98" i="12"/>
  <c r="V98" i="12"/>
  <c r="U98" i="12"/>
  <c r="T98" i="12"/>
  <c r="S98" i="12"/>
  <c r="R98" i="12"/>
  <c r="Q98" i="12"/>
  <c r="P98" i="12"/>
  <c r="O98" i="12"/>
  <c r="N98" i="12"/>
  <c r="M98" i="12"/>
  <c r="L98" i="12"/>
  <c r="K98" i="12"/>
  <c r="J98" i="12"/>
  <c r="AG97" i="12"/>
  <c r="AF97" i="12"/>
  <c r="AE97" i="12"/>
  <c r="AD97" i="12"/>
  <c r="AC97" i="12"/>
  <c r="AB97" i="12"/>
  <c r="AA97" i="12"/>
  <c r="Z97" i="12"/>
  <c r="Y97" i="12"/>
  <c r="X97" i="12"/>
  <c r="W97" i="12"/>
  <c r="V97" i="12"/>
  <c r="U97" i="12"/>
  <c r="T97" i="12"/>
  <c r="S97" i="12"/>
  <c r="R97" i="12"/>
  <c r="Q97" i="12"/>
  <c r="P97" i="12"/>
  <c r="O97" i="12"/>
  <c r="N97" i="12"/>
  <c r="M97" i="12"/>
  <c r="L97" i="12"/>
  <c r="K97" i="12"/>
  <c r="J97" i="12"/>
  <c r="AG96" i="12"/>
  <c r="AF96" i="12"/>
  <c r="AE96" i="12"/>
  <c r="AD96" i="12"/>
  <c r="AC96" i="12"/>
  <c r="AB96" i="12"/>
  <c r="AA96" i="12"/>
  <c r="Z96" i="12"/>
  <c r="Y96" i="12"/>
  <c r="X96" i="12"/>
  <c r="W96" i="12"/>
  <c r="V96" i="12"/>
  <c r="U96" i="12"/>
  <c r="T96" i="12"/>
  <c r="S96" i="12"/>
  <c r="R96" i="12"/>
  <c r="Q96" i="12"/>
  <c r="P96" i="12"/>
  <c r="O96" i="12"/>
  <c r="N96" i="12"/>
  <c r="M96" i="12"/>
  <c r="L96" i="12"/>
  <c r="K96" i="12"/>
  <c r="J96" i="12"/>
  <c r="AG95" i="12"/>
  <c r="AF95" i="12"/>
  <c r="AE95" i="12"/>
  <c r="AD95" i="12"/>
  <c r="AC95" i="12"/>
  <c r="AB95" i="12"/>
  <c r="AA95" i="12"/>
  <c r="Z95" i="12"/>
  <c r="Y95" i="12"/>
  <c r="X95" i="12"/>
  <c r="W95" i="12"/>
  <c r="V95" i="12"/>
  <c r="U95" i="12"/>
  <c r="T95" i="12"/>
  <c r="S95" i="12"/>
  <c r="R95" i="12"/>
  <c r="Q95" i="12"/>
  <c r="P95" i="12"/>
  <c r="O95" i="12"/>
  <c r="N95" i="12"/>
  <c r="M95" i="12"/>
  <c r="L95" i="12"/>
  <c r="K95" i="12"/>
  <c r="J95" i="12"/>
  <c r="AG94" i="12"/>
  <c r="AF94" i="12"/>
  <c r="AE94" i="12"/>
  <c r="AD94" i="12"/>
  <c r="AC94" i="12"/>
  <c r="AB94" i="12"/>
  <c r="AA94" i="12"/>
  <c r="Z94" i="12"/>
  <c r="Y94" i="12"/>
  <c r="X94" i="12"/>
  <c r="W94" i="12"/>
  <c r="V94" i="12"/>
  <c r="U94" i="12"/>
  <c r="T94" i="12"/>
  <c r="S94" i="12"/>
  <c r="R94" i="12"/>
  <c r="Q94" i="12"/>
  <c r="P94" i="12"/>
  <c r="O94" i="12"/>
  <c r="N94" i="12"/>
  <c r="M94" i="12"/>
  <c r="L94" i="12"/>
  <c r="K94" i="12"/>
  <c r="J94" i="12"/>
  <c r="AG93" i="12"/>
  <c r="AF93" i="12"/>
  <c r="AE93" i="12"/>
  <c r="AD93" i="12"/>
  <c r="AC93" i="12"/>
  <c r="AB93" i="12"/>
  <c r="AA93" i="12"/>
  <c r="Z93" i="12"/>
  <c r="Y93" i="12"/>
  <c r="X93" i="12"/>
  <c r="W93" i="12"/>
  <c r="V93" i="12"/>
  <c r="U93" i="12"/>
  <c r="T93" i="12"/>
  <c r="S93" i="12"/>
  <c r="R93" i="12"/>
  <c r="Q93" i="12"/>
  <c r="P93" i="12"/>
  <c r="O93" i="12"/>
  <c r="N93" i="12"/>
  <c r="M93" i="12"/>
  <c r="L93" i="12"/>
  <c r="K93" i="12"/>
  <c r="J93" i="12"/>
  <c r="AG92" i="12"/>
  <c r="AF92" i="12"/>
  <c r="AE92" i="12"/>
  <c r="AD92" i="12"/>
  <c r="AC92" i="12"/>
  <c r="AB92" i="12"/>
  <c r="AA92" i="12"/>
  <c r="Z92" i="12"/>
  <c r="Y92" i="12"/>
  <c r="X92" i="12"/>
  <c r="W92" i="12"/>
  <c r="V92" i="12"/>
  <c r="U92" i="12"/>
  <c r="T92" i="12"/>
  <c r="S92" i="12"/>
  <c r="R92" i="12"/>
  <c r="Q92" i="12"/>
  <c r="P92" i="12"/>
  <c r="O92" i="12"/>
  <c r="N92" i="12"/>
  <c r="M92" i="12"/>
  <c r="L92" i="12"/>
  <c r="K92" i="12"/>
  <c r="J92" i="12"/>
  <c r="AG91" i="12"/>
  <c r="AF91" i="12"/>
  <c r="AE91" i="12"/>
  <c r="AD91" i="12"/>
  <c r="AC91" i="12"/>
  <c r="AB91" i="12"/>
  <c r="AA91" i="12"/>
  <c r="Z91" i="12"/>
  <c r="Y91" i="12"/>
  <c r="X91" i="12"/>
  <c r="W91" i="12"/>
  <c r="V91" i="12"/>
  <c r="U91" i="12"/>
  <c r="T91" i="12"/>
  <c r="S91" i="12"/>
  <c r="R91" i="12"/>
  <c r="Q91" i="12"/>
  <c r="P91" i="12"/>
  <c r="O91" i="12"/>
  <c r="N91" i="12"/>
  <c r="M91" i="12"/>
  <c r="L91" i="12"/>
  <c r="K91" i="12"/>
  <c r="J91" i="12"/>
  <c r="AG90" i="12"/>
  <c r="AF90" i="12"/>
  <c r="AE90" i="12"/>
  <c r="AD90" i="12"/>
  <c r="AC90" i="12"/>
  <c r="AB90" i="12"/>
  <c r="AA90" i="12"/>
  <c r="Z90" i="12"/>
  <c r="Y90" i="12"/>
  <c r="X90" i="12"/>
  <c r="W90" i="12"/>
  <c r="V90" i="12"/>
  <c r="U90" i="12"/>
  <c r="T90" i="12"/>
  <c r="S90" i="12"/>
  <c r="R90" i="12"/>
  <c r="Q90" i="12"/>
  <c r="P90" i="12"/>
  <c r="O90" i="12"/>
  <c r="N90" i="12"/>
  <c r="M90" i="12"/>
  <c r="L90" i="12"/>
  <c r="K90" i="12"/>
  <c r="J90" i="12"/>
  <c r="AG89" i="12"/>
  <c r="AF89" i="12"/>
  <c r="AE89" i="12"/>
  <c r="AD89" i="12"/>
  <c r="AC89" i="12"/>
  <c r="AB89" i="12"/>
  <c r="AA89" i="12"/>
  <c r="Z89" i="12"/>
  <c r="Y89" i="12"/>
  <c r="X89" i="12"/>
  <c r="W89" i="12"/>
  <c r="V89" i="12"/>
  <c r="U89" i="12"/>
  <c r="T89" i="12"/>
  <c r="S89" i="12"/>
  <c r="R89" i="12"/>
  <c r="Q89" i="12"/>
  <c r="P89" i="12"/>
  <c r="O89" i="12"/>
  <c r="N89" i="12"/>
  <c r="M89" i="12"/>
  <c r="L89" i="12"/>
  <c r="K89" i="12"/>
  <c r="J89" i="12"/>
  <c r="AG88" i="12"/>
  <c r="AF88" i="12"/>
  <c r="AE88" i="12"/>
  <c r="AD88" i="12"/>
  <c r="AC88" i="12"/>
  <c r="AB88" i="12"/>
  <c r="AA88" i="12"/>
  <c r="Z88" i="12"/>
  <c r="Y88" i="12"/>
  <c r="X88" i="12"/>
  <c r="W88" i="12"/>
  <c r="V88" i="12"/>
  <c r="U88" i="12"/>
  <c r="T88" i="12"/>
  <c r="S88" i="12"/>
  <c r="R88" i="12"/>
  <c r="Q88" i="12"/>
  <c r="P88" i="12"/>
  <c r="O88" i="12"/>
  <c r="N88" i="12"/>
  <c r="M88" i="12"/>
  <c r="L88" i="12"/>
  <c r="K88" i="12"/>
  <c r="J88" i="12"/>
  <c r="AG87" i="12"/>
  <c r="AF87" i="12"/>
  <c r="AE87" i="12"/>
  <c r="AD87" i="12"/>
  <c r="AC87" i="12"/>
  <c r="AB87" i="12"/>
  <c r="AA87" i="12"/>
  <c r="Z87" i="12"/>
  <c r="Y87" i="12"/>
  <c r="X87" i="12"/>
  <c r="W87" i="12"/>
  <c r="V87" i="12"/>
  <c r="U87" i="12"/>
  <c r="T87" i="12"/>
  <c r="S87" i="12"/>
  <c r="R87" i="12"/>
  <c r="Q87" i="12"/>
  <c r="P87" i="12"/>
  <c r="O87" i="12"/>
  <c r="N87" i="12"/>
  <c r="M87" i="12"/>
  <c r="L87" i="12"/>
  <c r="K87" i="12"/>
  <c r="J87" i="12"/>
  <c r="AG86" i="12"/>
  <c r="AF86" i="12"/>
  <c r="AE86" i="12"/>
  <c r="AD86" i="12"/>
  <c r="AC86" i="12"/>
  <c r="AB86" i="12"/>
  <c r="AA86" i="12"/>
  <c r="Z86" i="12"/>
  <c r="Y86" i="12"/>
  <c r="X86" i="12"/>
  <c r="W86" i="12"/>
  <c r="V86" i="12"/>
  <c r="U86" i="12"/>
  <c r="T86" i="12"/>
  <c r="S86" i="12"/>
  <c r="R86" i="12"/>
  <c r="Q86" i="12"/>
  <c r="P86" i="12"/>
  <c r="O86" i="12"/>
  <c r="N86" i="12"/>
  <c r="M86" i="12"/>
  <c r="L86" i="12"/>
  <c r="K86" i="12"/>
  <c r="J86" i="12"/>
  <c r="AG85" i="12"/>
  <c r="AF85" i="12"/>
  <c r="AE85" i="12"/>
  <c r="AD85" i="12"/>
  <c r="AC85" i="12"/>
  <c r="AB85" i="12"/>
  <c r="AA85" i="12"/>
  <c r="Z85" i="12"/>
  <c r="Y85" i="12"/>
  <c r="X85" i="12"/>
  <c r="W85" i="12"/>
  <c r="V85" i="12"/>
  <c r="U85" i="12"/>
  <c r="T85" i="12"/>
  <c r="S85" i="12"/>
  <c r="R85" i="12"/>
  <c r="Q85" i="12"/>
  <c r="P85" i="12"/>
  <c r="O85" i="12"/>
  <c r="N85" i="12"/>
  <c r="M85" i="12"/>
  <c r="L85" i="12"/>
  <c r="K85" i="12"/>
  <c r="J85" i="12"/>
  <c r="AG84" i="12"/>
  <c r="AF84" i="12"/>
  <c r="AE84" i="12"/>
  <c r="AD84" i="12"/>
  <c r="AC84" i="12"/>
  <c r="AB84" i="12"/>
  <c r="AA84" i="12"/>
  <c r="Z84" i="12"/>
  <c r="Y84" i="12"/>
  <c r="X84" i="12"/>
  <c r="W84" i="12"/>
  <c r="V84" i="12"/>
  <c r="U84" i="12"/>
  <c r="T84" i="12"/>
  <c r="S84" i="12"/>
  <c r="R84" i="12"/>
  <c r="Q84" i="12"/>
  <c r="P84" i="12"/>
  <c r="O84" i="12"/>
  <c r="N84" i="12"/>
  <c r="M84" i="12"/>
  <c r="L84" i="12"/>
  <c r="K84" i="12"/>
  <c r="J84" i="12"/>
  <c r="AG83" i="12"/>
  <c r="AF83" i="12"/>
  <c r="AE83" i="12"/>
  <c r="AD83" i="12"/>
  <c r="AC83" i="12"/>
  <c r="AB83" i="12"/>
  <c r="AA83" i="12"/>
  <c r="Z83" i="12"/>
  <c r="Y83" i="12"/>
  <c r="X83" i="12"/>
  <c r="W83" i="12"/>
  <c r="V83" i="12"/>
  <c r="U83" i="12"/>
  <c r="T83" i="12"/>
  <c r="S83" i="12"/>
  <c r="R83" i="12"/>
  <c r="Q83" i="12"/>
  <c r="P83" i="12"/>
  <c r="O83" i="12"/>
  <c r="N83" i="12"/>
  <c r="M83" i="12"/>
  <c r="L83" i="12"/>
  <c r="K83" i="12"/>
  <c r="J83" i="12"/>
  <c r="AG82" i="12"/>
  <c r="AF82" i="12"/>
  <c r="AE82" i="12"/>
  <c r="AD82" i="12"/>
  <c r="AC82" i="12"/>
  <c r="AB82" i="12"/>
  <c r="AA82" i="12"/>
  <c r="Z82" i="12"/>
  <c r="Y82" i="12"/>
  <c r="X82" i="12"/>
  <c r="W82" i="12"/>
  <c r="V82" i="12"/>
  <c r="U82" i="12"/>
  <c r="T82" i="12"/>
  <c r="S82" i="12"/>
  <c r="R82" i="12"/>
  <c r="Q82" i="12"/>
  <c r="P82" i="12"/>
  <c r="O82" i="12"/>
  <c r="N82" i="12"/>
  <c r="M82" i="12"/>
  <c r="L82" i="12"/>
  <c r="K82" i="12"/>
  <c r="J82" i="12"/>
  <c r="AG81" i="12"/>
  <c r="AF81" i="12"/>
  <c r="AE81" i="12"/>
  <c r="AD81" i="12"/>
  <c r="AC81" i="12"/>
  <c r="AB81" i="12"/>
  <c r="AA81" i="12"/>
  <c r="Z81" i="12"/>
  <c r="Y81" i="12"/>
  <c r="X81" i="12"/>
  <c r="W81" i="12"/>
  <c r="V81" i="12"/>
  <c r="U81" i="12"/>
  <c r="T81" i="12"/>
  <c r="S81" i="12"/>
  <c r="R81" i="12"/>
  <c r="Q81" i="12"/>
  <c r="P81" i="12"/>
  <c r="O81" i="12"/>
  <c r="N81" i="12"/>
  <c r="M81" i="12"/>
  <c r="L81" i="12"/>
  <c r="K81" i="12"/>
  <c r="J81" i="12"/>
  <c r="AG80" i="12"/>
  <c r="AF80" i="12"/>
  <c r="AE80" i="12"/>
  <c r="AD80" i="12"/>
  <c r="AC80" i="12"/>
  <c r="AB80" i="12"/>
  <c r="AA80" i="12"/>
  <c r="Z80" i="12"/>
  <c r="Y80" i="12"/>
  <c r="X80" i="12"/>
  <c r="W80" i="12"/>
  <c r="V80" i="12"/>
  <c r="U80" i="12"/>
  <c r="T80" i="12"/>
  <c r="S80" i="12"/>
  <c r="R80" i="12"/>
  <c r="Q80" i="12"/>
  <c r="P80" i="12"/>
  <c r="O80" i="12"/>
  <c r="N80" i="12"/>
  <c r="M80" i="12"/>
  <c r="L80" i="12"/>
  <c r="K80" i="12"/>
  <c r="J80" i="12"/>
  <c r="AG79" i="12"/>
  <c r="AF79" i="12"/>
  <c r="AE79" i="12"/>
  <c r="AD79" i="12"/>
  <c r="AC79" i="12"/>
  <c r="AB79" i="12"/>
  <c r="AA79" i="12"/>
  <c r="Z79" i="12"/>
  <c r="Y79" i="12"/>
  <c r="X79" i="12"/>
  <c r="W79" i="12"/>
  <c r="V79" i="12"/>
  <c r="U79" i="12"/>
  <c r="T79" i="12"/>
  <c r="S79" i="12"/>
  <c r="R79" i="12"/>
  <c r="Q79" i="12"/>
  <c r="P79" i="12"/>
  <c r="O79" i="12"/>
  <c r="N79" i="12"/>
  <c r="M79" i="12"/>
  <c r="L79" i="12"/>
  <c r="K79" i="12"/>
  <c r="J79" i="12"/>
  <c r="AG78" i="12"/>
  <c r="AF78" i="12"/>
  <c r="AE78" i="12"/>
  <c r="AD78" i="12"/>
  <c r="AC78" i="12"/>
  <c r="AB78" i="12"/>
  <c r="AA78" i="12"/>
  <c r="Z78" i="12"/>
  <c r="Y78" i="12"/>
  <c r="X78" i="12"/>
  <c r="W78" i="12"/>
  <c r="V78" i="12"/>
  <c r="U78" i="12"/>
  <c r="T78" i="12"/>
  <c r="S78" i="12"/>
  <c r="R78" i="12"/>
  <c r="Q78" i="12"/>
  <c r="P78" i="12"/>
  <c r="O78" i="12"/>
  <c r="N78" i="12"/>
  <c r="M78" i="12"/>
  <c r="L78" i="12"/>
  <c r="K78" i="12"/>
  <c r="J78" i="12"/>
  <c r="AG77" i="12"/>
  <c r="AF77" i="12"/>
  <c r="AE77" i="12"/>
  <c r="AD77" i="12"/>
  <c r="AC77" i="12"/>
  <c r="AB77" i="12"/>
  <c r="AA77" i="12"/>
  <c r="Z77" i="12"/>
  <c r="Y77" i="12"/>
  <c r="X77" i="12"/>
  <c r="W77" i="12"/>
  <c r="V77" i="12"/>
  <c r="U77" i="12"/>
  <c r="T77" i="12"/>
  <c r="S77" i="12"/>
  <c r="R77" i="12"/>
  <c r="Q77" i="12"/>
  <c r="P77" i="12"/>
  <c r="O77" i="12"/>
  <c r="N77" i="12"/>
  <c r="M77" i="12"/>
  <c r="L77" i="12"/>
  <c r="K77" i="12"/>
  <c r="J77" i="12"/>
  <c r="AG76" i="12"/>
  <c r="AF76" i="12"/>
  <c r="AE76" i="12"/>
  <c r="AD76" i="12"/>
  <c r="AC76" i="12"/>
  <c r="AB76" i="12"/>
  <c r="AA76" i="12"/>
  <c r="Z76" i="12"/>
  <c r="Y76" i="12"/>
  <c r="X76" i="12"/>
  <c r="W76" i="12"/>
  <c r="V76" i="12"/>
  <c r="U76" i="12"/>
  <c r="T76" i="12"/>
  <c r="S76" i="12"/>
  <c r="R76" i="12"/>
  <c r="Q76" i="12"/>
  <c r="P76" i="12"/>
  <c r="O76" i="12"/>
  <c r="N76" i="12"/>
  <c r="M76" i="12"/>
  <c r="L76" i="12"/>
  <c r="K76" i="12"/>
  <c r="J76" i="12"/>
  <c r="AG75" i="12"/>
  <c r="AF75" i="12"/>
  <c r="AE75" i="12"/>
  <c r="AD75" i="12"/>
  <c r="AC75" i="12"/>
  <c r="AB75" i="12"/>
  <c r="AA75" i="12"/>
  <c r="Z75" i="12"/>
  <c r="Y75" i="12"/>
  <c r="X75" i="12"/>
  <c r="W75" i="12"/>
  <c r="V75" i="12"/>
  <c r="U75" i="12"/>
  <c r="T75" i="12"/>
  <c r="S75" i="12"/>
  <c r="R75" i="12"/>
  <c r="Q75" i="12"/>
  <c r="P75" i="12"/>
  <c r="O75" i="12"/>
  <c r="N75" i="12"/>
  <c r="M75" i="12"/>
  <c r="L75" i="12"/>
  <c r="K75" i="12"/>
  <c r="J75" i="12"/>
  <c r="AG74" i="12"/>
  <c r="AF74" i="12"/>
  <c r="AE74" i="12"/>
  <c r="AD74" i="12"/>
  <c r="AC74" i="12"/>
  <c r="AB74" i="12"/>
  <c r="AA74" i="12"/>
  <c r="Z74" i="12"/>
  <c r="Y74" i="12"/>
  <c r="X74" i="12"/>
  <c r="W74" i="12"/>
  <c r="V74" i="12"/>
  <c r="U74" i="12"/>
  <c r="T74" i="12"/>
  <c r="S74" i="12"/>
  <c r="R74" i="12"/>
  <c r="Q74" i="12"/>
  <c r="P74" i="12"/>
  <c r="O74" i="12"/>
  <c r="N74" i="12"/>
  <c r="M74" i="12"/>
  <c r="L74" i="12"/>
  <c r="K74" i="12"/>
  <c r="J74" i="12"/>
  <c r="AG73" i="12"/>
  <c r="AF73" i="12"/>
  <c r="AE73" i="12"/>
  <c r="AD73" i="12"/>
  <c r="AC73" i="12"/>
  <c r="AB73" i="12"/>
  <c r="AA73" i="12"/>
  <c r="Z73" i="12"/>
  <c r="Y73" i="12"/>
  <c r="X73" i="12"/>
  <c r="W73" i="12"/>
  <c r="V73" i="12"/>
  <c r="U73" i="12"/>
  <c r="T73" i="12"/>
  <c r="S73" i="12"/>
  <c r="R73" i="12"/>
  <c r="Q73" i="12"/>
  <c r="P73" i="12"/>
  <c r="O73" i="12"/>
  <c r="N73" i="12"/>
  <c r="M73" i="12"/>
  <c r="L73" i="12"/>
  <c r="K73" i="12"/>
  <c r="J73" i="12"/>
  <c r="AG72" i="12"/>
  <c r="AF72" i="12"/>
  <c r="AE72" i="12"/>
  <c r="AD72" i="12"/>
  <c r="AC72" i="12"/>
  <c r="AB72" i="12"/>
  <c r="AA72" i="12"/>
  <c r="Z72" i="12"/>
  <c r="Y72" i="12"/>
  <c r="X72" i="12"/>
  <c r="W72" i="12"/>
  <c r="V72" i="12"/>
  <c r="U72" i="12"/>
  <c r="T72" i="12"/>
  <c r="S72" i="12"/>
  <c r="R72" i="12"/>
  <c r="Q72" i="12"/>
  <c r="P72" i="12"/>
  <c r="O72" i="12"/>
  <c r="N72" i="12"/>
  <c r="M72" i="12"/>
  <c r="L72" i="12"/>
  <c r="K72" i="12"/>
  <c r="J72" i="12"/>
  <c r="AG71" i="12"/>
  <c r="AF71" i="12"/>
  <c r="AE71" i="12"/>
  <c r="AD71" i="12"/>
  <c r="AC71" i="12"/>
  <c r="AB71" i="12"/>
  <c r="AA71" i="12"/>
  <c r="Z71" i="12"/>
  <c r="Y71" i="12"/>
  <c r="X71" i="12"/>
  <c r="W71" i="12"/>
  <c r="V71" i="12"/>
  <c r="U71" i="12"/>
  <c r="T71" i="12"/>
  <c r="S71" i="12"/>
  <c r="R71" i="12"/>
  <c r="Q71" i="12"/>
  <c r="P71" i="12"/>
  <c r="O71" i="12"/>
  <c r="N71" i="12"/>
  <c r="M71" i="12"/>
  <c r="L71" i="12"/>
  <c r="K71" i="12"/>
  <c r="J71" i="12"/>
  <c r="AG70" i="12"/>
  <c r="AF70" i="12"/>
  <c r="AE70" i="12"/>
  <c r="AD70" i="12"/>
  <c r="AC70" i="12"/>
  <c r="AB70" i="12"/>
  <c r="AA70" i="12"/>
  <c r="Z70" i="12"/>
  <c r="Y70" i="12"/>
  <c r="X70" i="12"/>
  <c r="W70" i="12"/>
  <c r="V70" i="12"/>
  <c r="U70" i="12"/>
  <c r="T70" i="12"/>
  <c r="S70" i="12"/>
  <c r="R70" i="12"/>
  <c r="Q70" i="12"/>
  <c r="P70" i="12"/>
  <c r="O70" i="12"/>
  <c r="N70" i="12"/>
  <c r="M70" i="12"/>
  <c r="L70" i="12"/>
  <c r="K70" i="12"/>
  <c r="J70" i="12"/>
  <c r="AG69" i="12"/>
  <c r="AF69" i="12"/>
  <c r="AE69" i="12"/>
  <c r="AD69" i="12"/>
  <c r="AC69" i="12"/>
  <c r="AB69" i="12"/>
  <c r="AA69" i="12"/>
  <c r="Z69" i="12"/>
  <c r="Y69" i="12"/>
  <c r="X69" i="12"/>
  <c r="W69" i="12"/>
  <c r="V69" i="12"/>
  <c r="U69" i="12"/>
  <c r="T69" i="12"/>
  <c r="S69" i="12"/>
  <c r="R69" i="12"/>
  <c r="Q69" i="12"/>
  <c r="P69" i="12"/>
  <c r="O69" i="12"/>
  <c r="N69" i="12"/>
  <c r="M69" i="12"/>
  <c r="L69" i="12"/>
  <c r="K69" i="12"/>
  <c r="J69" i="12"/>
  <c r="AG68" i="12"/>
  <c r="AF68" i="12"/>
  <c r="AE68" i="12"/>
  <c r="AD68" i="12"/>
  <c r="AC68" i="12"/>
  <c r="AB68" i="12"/>
  <c r="AA68" i="12"/>
  <c r="Z68" i="12"/>
  <c r="Y68" i="12"/>
  <c r="X68" i="12"/>
  <c r="W68" i="12"/>
  <c r="V68" i="12"/>
  <c r="U68" i="12"/>
  <c r="T68" i="12"/>
  <c r="S68" i="12"/>
  <c r="R68" i="12"/>
  <c r="Q68" i="12"/>
  <c r="P68" i="12"/>
  <c r="O68" i="12"/>
  <c r="N68" i="12"/>
  <c r="M68" i="12"/>
  <c r="L68" i="12"/>
  <c r="K68" i="12"/>
  <c r="J68" i="12"/>
  <c r="AG67" i="12"/>
  <c r="AF67" i="12"/>
  <c r="AE67" i="12"/>
  <c r="AD67" i="12"/>
  <c r="AC67" i="12"/>
  <c r="AB67" i="12"/>
  <c r="AA67" i="12"/>
  <c r="Z67" i="12"/>
  <c r="Y67" i="12"/>
  <c r="X67" i="12"/>
  <c r="W67" i="12"/>
  <c r="V67" i="12"/>
  <c r="U67" i="12"/>
  <c r="T67" i="12"/>
  <c r="S67" i="12"/>
  <c r="R67" i="12"/>
  <c r="Q67" i="12"/>
  <c r="P67" i="12"/>
  <c r="O67" i="12"/>
  <c r="N67" i="12"/>
  <c r="M67" i="12"/>
  <c r="L67" i="12"/>
  <c r="K67" i="12"/>
  <c r="J67" i="12"/>
  <c r="AG66" i="12"/>
  <c r="AF66" i="12"/>
  <c r="AE66" i="12"/>
  <c r="AD66" i="12"/>
  <c r="AC66" i="12"/>
  <c r="AB66" i="12"/>
  <c r="AA66" i="12"/>
  <c r="Z66" i="12"/>
  <c r="Y66" i="12"/>
  <c r="X66" i="12"/>
  <c r="W66" i="12"/>
  <c r="V66" i="12"/>
  <c r="U66" i="12"/>
  <c r="T66" i="12"/>
  <c r="S66" i="12"/>
  <c r="R66" i="12"/>
  <c r="Q66" i="12"/>
  <c r="P66" i="12"/>
  <c r="O66" i="12"/>
  <c r="N66" i="12"/>
  <c r="M66" i="12"/>
  <c r="L66" i="12"/>
  <c r="K66" i="12"/>
  <c r="J66" i="12"/>
  <c r="AG65" i="12"/>
  <c r="AF65" i="12"/>
  <c r="AE65" i="12"/>
  <c r="AD65" i="12"/>
  <c r="AC65" i="12"/>
  <c r="AB65" i="12"/>
  <c r="AA65" i="12"/>
  <c r="Z65" i="12"/>
  <c r="Y65" i="12"/>
  <c r="X65" i="12"/>
  <c r="W65" i="12"/>
  <c r="V65" i="12"/>
  <c r="U65" i="12"/>
  <c r="T65" i="12"/>
  <c r="S65" i="12"/>
  <c r="R65" i="12"/>
  <c r="Q65" i="12"/>
  <c r="P65" i="12"/>
  <c r="O65" i="12"/>
  <c r="N65" i="12"/>
  <c r="M65" i="12"/>
  <c r="L65" i="12"/>
  <c r="K65" i="12"/>
  <c r="J65" i="12"/>
  <c r="H65" i="12"/>
  <c r="AG64" i="12"/>
  <c r="AF64" i="12"/>
  <c r="AE64" i="12"/>
  <c r="AD64" i="12"/>
  <c r="AC64" i="12"/>
  <c r="AB64" i="12"/>
  <c r="AA64" i="12"/>
  <c r="Z64" i="12"/>
  <c r="Y64" i="12"/>
  <c r="X64" i="12"/>
  <c r="W64" i="12"/>
  <c r="V64" i="12"/>
  <c r="U64" i="12"/>
  <c r="T64" i="12"/>
  <c r="S64" i="12"/>
  <c r="R64" i="12"/>
  <c r="Q64" i="12"/>
  <c r="P64" i="12"/>
  <c r="O64" i="12"/>
  <c r="N64" i="12"/>
  <c r="M64" i="12"/>
  <c r="L64" i="12"/>
  <c r="K64" i="12"/>
  <c r="J64" i="12"/>
  <c r="H64" i="12"/>
  <c r="AG63" i="12"/>
  <c r="AF63" i="12"/>
  <c r="AE63" i="12"/>
  <c r="AD63" i="12"/>
  <c r="AC63" i="12"/>
  <c r="AB63" i="12"/>
  <c r="AA63" i="12"/>
  <c r="Z63" i="12"/>
  <c r="Y63" i="12"/>
  <c r="X63" i="12"/>
  <c r="W63" i="12"/>
  <c r="V63" i="12"/>
  <c r="U63" i="12"/>
  <c r="T63" i="12"/>
  <c r="S63" i="12"/>
  <c r="R63" i="12"/>
  <c r="Q63" i="12"/>
  <c r="P63" i="12"/>
  <c r="O63" i="12"/>
  <c r="N63" i="12"/>
  <c r="M63" i="12"/>
  <c r="L63" i="12"/>
  <c r="K63" i="12"/>
  <c r="J63" i="12"/>
  <c r="H63" i="12"/>
  <c r="AG62" i="12"/>
  <c r="AF62" i="12"/>
  <c r="AE62" i="12"/>
  <c r="AD62" i="12"/>
  <c r="AC62" i="12"/>
  <c r="AB62" i="12"/>
  <c r="AA62" i="12"/>
  <c r="Z62" i="12"/>
  <c r="Y62" i="12"/>
  <c r="X62" i="12"/>
  <c r="W62" i="12"/>
  <c r="V62" i="12"/>
  <c r="U62" i="12"/>
  <c r="T62" i="12"/>
  <c r="S62" i="12"/>
  <c r="R62" i="12"/>
  <c r="Q62" i="12"/>
  <c r="P62" i="12"/>
  <c r="O62" i="12"/>
  <c r="N62" i="12"/>
  <c r="M62" i="12"/>
  <c r="L62" i="12"/>
  <c r="K62" i="12"/>
  <c r="J62" i="12"/>
  <c r="H62" i="12"/>
  <c r="AG61" i="12"/>
  <c r="AF61" i="12"/>
  <c r="AE61" i="12"/>
  <c r="AD61" i="12"/>
  <c r="AC61" i="12"/>
  <c r="AB61" i="12"/>
  <c r="AA61" i="12"/>
  <c r="Z61" i="12"/>
  <c r="Y61" i="12"/>
  <c r="X61" i="12"/>
  <c r="W61" i="12"/>
  <c r="V61" i="12"/>
  <c r="U61" i="12"/>
  <c r="T61" i="12"/>
  <c r="S61" i="12"/>
  <c r="R61" i="12"/>
  <c r="Q61" i="12"/>
  <c r="P61" i="12"/>
  <c r="O61" i="12"/>
  <c r="N61" i="12"/>
  <c r="M61" i="12"/>
  <c r="L61" i="12"/>
  <c r="K61" i="12"/>
  <c r="J61" i="12"/>
  <c r="H61" i="12"/>
  <c r="AG60" i="12"/>
  <c r="AF60" i="12"/>
  <c r="AE60" i="12"/>
  <c r="AD60" i="12"/>
  <c r="AC60" i="12"/>
  <c r="AB60" i="12"/>
  <c r="AA60" i="12"/>
  <c r="Z60" i="12"/>
  <c r="Y60" i="12"/>
  <c r="X60" i="12"/>
  <c r="W60" i="12"/>
  <c r="V60" i="12"/>
  <c r="U60" i="12"/>
  <c r="T60" i="12"/>
  <c r="S60" i="12"/>
  <c r="R60" i="12"/>
  <c r="Q60" i="12"/>
  <c r="P60" i="12"/>
  <c r="O60" i="12"/>
  <c r="N60" i="12"/>
  <c r="M60" i="12"/>
  <c r="L60" i="12"/>
  <c r="K60" i="12"/>
  <c r="J60" i="12"/>
  <c r="H60" i="12"/>
  <c r="AG59" i="12"/>
  <c r="AF59" i="12"/>
  <c r="AE59" i="12"/>
  <c r="AD59" i="12"/>
  <c r="AC59" i="12"/>
  <c r="AB59" i="12"/>
  <c r="AA59" i="12"/>
  <c r="Z59" i="12"/>
  <c r="Y59" i="12"/>
  <c r="X59" i="12"/>
  <c r="W59" i="12"/>
  <c r="V59" i="12"/>
  <c r="U59" i="12"/>
  <c r="T59" i="12"/>
  <c r="S59" i="12"/>
  <c r="R59" i="12"/>
  <c r="Q59" i="12"/>
  <c r="P59" i="12"/>
  <c r="O59" i="12"/>
  <c r="N59" i="12"/>
  <c r="M59" i="12"/>
  <c r="L59" i="12"/>
  <c r="K59" i="12"/>
  <c r="J59" i="12"/>
  <c r="H59" i="12"/>
  <c r="AG58" i="12"/>
  <c r="AF58" i="12"/>
  <c r="AE58" i="12"/>
  <c r="AD58" i="12"/>
  <c r="AC58" i="12"/>
  <c r="AB58" i="12"/>
  <c r="AA58" i="12"/>
  <c r="Z58" i="12"/>
  <c r="Y58" i="12"/>
  <c r="X58" i="12"/>
  <c r="W58" i="12"/>
  <c r="V58" i="12"/>
  <c r="U58" i="12"/>
  <c r="T58" i="12"/>
  <c r="S58" i="12"/>
  <c r="R58" i="12"/>
  <c r="Q58" i="12"/>
  <c r="P58" i="12"/>
  <c r="O58" i="12"/>
  <c r="N58" i="12"/>
  <c r="M58" i="12"/>
  <c r="L58" i="12"/>
  <c r="K58" i="12"/>
  <c r="J58" i="12"/>
  <c r="H58" i="12"/>
  <c r="AG57" i="12"/>
  <c r="AF57" i="12"/>
  <c r="AE57" i="12"/>
  <c r="AD57" i="12"/>
  <c r="AC57" i="12"/>
  <c r="AB57" i="12"/>
  <c r="AA57" i="12"/>
  <c r="Z57" i="12"/>
  <c r="Y57" i="12"/>
  <c r="X57" i="12"/>
  <c r="W57" i="12"/>
  <c r="V57" i="12"/>
  <c r="U57" i="12"/>
  <c r="T57" i="12"/>
  <c r="S57" i="12"/>
  <c r="R57" i="12"/>
  <c r="Q57" i="12"/>
  <c r="P57" i="12"/>
  <c r="O57" i="12"/>
  <c r="N57" i="12"/>
  <c r="M57" i="12"/>
  <c r="L57" i="12"/>
  <c r="K57" i="12"/>
  <c r="J57" i="12"/>
  <c r="H57" i="12"/>
  <c r="AG56" i="12"/>
  <c r="AF56" i="12"/>
  <c r="AE56" i="12"/>
  <c r="AD56" i="12"/>
  <c r="AC56" i="12"/>
  <c r="AB56" i="12"/>
  <c r="AA56" i="12"/>
  <c r="Z56" i="12"/>
  <c r="Y56" i="12"/>
  <c r="X56" i="12"/>
  <c r="W56" i="12"/>
  <c r="V56" i="12"/>
  <c r="U56" i="12"/>
  <c r="T56" i="12"/>
  <c r="S56" i="12"/>
  <c r="R56" i="12"/>
  <c r="Q56" i="12"/>
  <c r="P56" i="12"/>
  <c r="O56" i="12"/>
  <c r="N56" i="12"/>
  <c r="M56" i="12"/>
  <c r="L56" i="12"/>
  <c r="K56" i="12"/>
  <c r="J56" i="12"/>
  <c r="H56" i="12"/>
  <c r="AG55" i="12"/>
  <c r="AF55" i="12"/>
  <c r="AE55" i="12"/>
  <c r="AD55" i="12"/>
  <c r="AC55" i="12"/>
  <c r="AB55" i="12"/>
  <c r="AA55" i="12"/>
  <c r="Z55" i="12"/>
  <c r="Y55" i="12"/>
  <c r="X55" i="12"/>
  <c r="W55" i="12"/>
  <c r="V55" i="12"/>
  <c r="U55" i="12"/>
  <c r="T55" i="12"/>
  <c r="S55" i="12"/>
  <c r="R55" i="12"/>
  <c r="Q55" i="12"/>
  <c r="P55" i="12"/>
  <c r="O55" i="12"/>
  <c r="N55" i="12"/>
  <c r="M55" i="12"/>
  <c r="L55" i="12"/>
  <c r="K55" i="12"/>
  <c r="J55" i="12"/>
  <c r="H55" i="12"/>
  <c r="AG54" i="12"/>
  <c r="AF54" i="12"/>
  <c r="AE54" i="12"/>
  <c r="AD54" i="12"/>
  <c r="AC54" i="12"/>
  <c r="AB54" i="12"/>
  <c r="AA54" i="12"/>
  <c r="Z54" i="12"/>
  <c r="Y54" i="12"/>
  <c r="X54" i="12"/>
  <c r="W54" i="12"/>
  <c r="V54" i="12"/>
  <c r="U54" i="12"/>
  <c r="T54" i="12"/>
  <c r="S54" i="12"/>
  <c r="R54" i="12"/>
  <c r="Q54" i="12"/>
  <c r="P54" i="12"/>
  <c r="O54" i="12"/>
  <c r="N54" i="12"/>
  <c r="M54" i="12"/>
  <c r="L54" i="12"/>
  <c r="K54" i="12"/>
  <c r="J54" i="12"/>
  <c r="H54" i="12"/>
  <c r="AG53" i="12"/>
  <c r="AF53" i="12"/>
  <c r="AE53" i="12"/>
  <c r="AD53" i="12"/>
  <c r="AC53" i="12"/>
  <c r="AB53" i="12"/>
  <c r="AA53" i="12"/>
  <c r="Z53" i="12"/>
  <c r="Y53" i="12"/>
  <c r="X53" i="12"/>
  <c r="W53" i="12"/>
  <c r="V53" i="12"/>
  <c r="U53" i="12"/>
  <c r="T53" i="12"/>
  <c r="S53" i="12"/>
  <c r="R53" i="12"/>
  <c r="Q53" i="12"/>
  <c r="P53" i="12"/>
  <c r="O53" i="12"/>
  <c r="N53" i="12"/>
  <c r="M53" i="12"/>
  <c r="L53" i="12"/>
  <c r="K53" i="12"/>
  <c r="J53" i="12"/>
  <c r="H53" i="12"/>
  <c r="AG52" i="12"/>
  <c r="AF52" i="12"/>
  <c r="AE52" i="12"/>
  <c r="AD52" i="12"/>
  <c r="AC52" i="12"/>
  <c r="AB52" i="12"/>
  <c r="AA52" i="12"/>
  <c r="Z52" i="12"/>
  <c r="Y52" i="12"/>
  <c r="X52" i="12"/>
  <c r="W52" i="12"/>
  <c r="V52" i="12"/>
  <c r="U52" i="12"/>
  <c r="T52" i="12"/>
  <c r="S52" i="12"/>
  <c r="R52" i="12"/>
  <c r="Q52" i="12"/>
  <c r="P52" i="12"/>
  <c r="O52" i="12"/>
  <c r="N52" i="12"/>
  <c r="M52" i="12"/>
  <c r="L52" i="12"/>
  <c r="K52" i="12"/>
  <c r="J52" i="12"/>
  <c r="H52" i="12"/>
  <c r="AG51" i="12"/>
  <c r="AF51" i="12"/>
  <c r="AE51" i="12"/>
  <c r="AD51" i="12"/>
  <c r="AC51" i="12"/>
  <c r="AB51" i="12"/>
  <c r="AA51" i="12"/>
  <c r="Z51" i="12"/>
  <c r="Y51" i="12"/>
  <c r="X51" i="12"/>
  <c r="W51" i="12"/>
  <c r="V51" i="12"/>
  <c r="U51" i="12"/>
  <c r="T51" i="12"/>
  <c r="S51" i="12"/>
  <c r="R51" i="12"/>
  <c r="Q51" i="12"/>
  <c r="P51" i="12"/>
  <c r="O51" i="12"/>
  <c r="N51" i="12"/>
  <c r="M51" i="12"/>
  <c r="L51" i="12"/>
  <c r="K51" i="12"/>
  <c r="J51" i="12"/>
  <c r="H51" i="12"/>
  <c r="AG50" i="12"/>
  <c r="AF50" i="12"/>
  <c r="AE50" i="12"/>
  <c r="AD50" i="12"/>
  <c r="AC50" i="12"/>
  <c r="AB50" i="12"/>
  <c r="AA50" i="12"/>
  <c r="Z50" i="12"/>
  <c r="Y50" i="12"/>
  <c r="X50" i="12"/>
  <c r="W50" i="12"/>
  <c r="V50" i="12"/>
  <c r="U50" i="12"/>
  <c r="T50" i="12"/>
  <c r="S50" i="12"/>
  <c r="R50" i="12"/>
  <c r="Q50" i="12"/>
  <c r="P50" i="12"/>
  <c r="O50" i="12"/>
  <c r="N50" i="12"/>
  <c r="M50" i="12"/>
  <c r="L50" i="12"/>
  <c r="K50" i="12"/>
  <c r="J50" i="12"/>
  <c r="H50" i="12"/>
  <c r="AG49" i="12"/>
  <c r="AF49" i="12"/>
  <c r="AE49" i="12"/>
  <c r="AD49" i="12"/>
  <c r="AC49" i="12"/>
  <c r="AB49" i="12"/>
  <c r="AA49" i="12"/>
  <c r="Z49" i="12"/>
  <c r="Y49" i="12"/>
  <c r="X49" i="12"/>
  <c r="W49" i="12"/>
  <c r="V49" i="12"/>
  <c r="U49" i="12"/>
  <c r="T49" i="12"/>
  <c r="S49" i="12"/>
  <c r="R49" i="12"/>
  <c r="Q49" i="12"/>
  <c r="P49" i="12"/>
  <c r="O49" i="12"/>
  <c r="N49" i="12"/>
  <c r="M49" i="12"/>
  <c r="L49" i="12"/>
  <c r="K49" i="12"/>
  <c r="J49" i="12"/>
  <c r="H49" i="12"/>
  <c r="AG48" i="12"/>
  <c r="AF48" i="12"/>
  <c r="AE48" i="12"/>
  <c r="AD48" i="12"/>
  <c r="AC48" i="12"/>
  <c r="AB48" i="12"/>
  <c r="AA48" i="12"/>
  <c r="Z48" i="12"/>
  <c r="Y48" i="12"/>
  <c r="X48" i="12"/>
  <c r="W48" i="12"/>
  <c r="V48" i="12"/>
  <c r="U48" i="12"/>
  <c r="T48" i="12"/>
  <c r="S48" i="12"/>
  <c r="R48" i="12"/>
  <c r="Q48" i="12"/>
  <c r="P48" i="12"/>
  <c r="O48" i="12"/>
  <c r="N48" i="12"/>
  <c r="M48" i="12"/>
  <c r="L48" i="12"/>
  <c r="K48" i="12"/>
  <c r="J48" i="12"/>
  <c r="H48" i="12"/>
  <c r="AG47" i="12"/>
  <c r="AF47" i="12"/>
  <c r="AE47" i="12"/>
  <c r="AD47" i="12"/>
  <c r="AC47" i="12"/>
  <c r="AB47" i="12"/>
  <c r="AA47" i="12"/>
  <c r="Z47" i="12"/>
  <c r="Y47" i="12"/>
  <c r="X47" i="12"/>
  <c r="W47" i="12"/>
  <c r="V47" i="12"/>
  <c r="U47" i="12"/>
  <c r="T47" i="12"/>
  <c r="S47" i="12"/>
  <c r="R47" i="12"/>
  <c r="Q47" i="12"/>
  <c r="P47" i="12"/>
  <c r="O47" i="12"/>
  <c r="N47" i="12"/>
  <c r="M47" i="12"/>
  <c r="L47" i="12"/>
  <c r="K47" i="12"/>
  <c r="J47" i="12"/>
  <c r="H47" i="12"/>
  <c r="AG46" i="12"/>
  <c r="AF46" i="12"/>
  <c r="AE46" i="12"/>
  <c r="AD46" i="12"/>
  <c r="AC46" i="12"/>
  <c r="AB46" i="12"/>
  <c r="AA46" i="12"/>
  <c r="Z46" i="12"/>
  <c r="Y46" i="12"/>
  <c r="X46" i="12"/>
  <c r="W46" i="12"/>
  <c r="V46" i="12"/>
  <c r="U46" i="12"/>
  <c r="T46" i="12"/>
  <c r="S46" i="12"/>
  <c r="R46" i="12"/>
  <c r="Q46" i="12"/>
  <c r="P46" i="12"/>
  <c r="O46" i="12"/>
  <c r="N46" i="12"/>
  <c r="M46" i="12"/>
  <c r="L46" i="12"/>
  <c r="K46" i="12"/>
  <c r="J46" i="12"/>
  <c r="H46" i="12"/>
  <c r="AG45" i="12"/>
  <c r="AF45" i="12"/>
  <c r="AE45" i="12"/>
  <c r="AD45" i="12"/>
  <c r="AC45" i="12"/>
  <c r="AB45" i="12"/>
  <c r="AA45" i="12"/>
  <c r="Z45" i="12"/>
  <c r="Y45" i="12"/>
  <c r="X45" i="12"/>
  <c r="W45" i="12"/>
  <c r="V45" i="12"/>
  <c r="U45" i="12"/>
  <c r="T45" i="12"/>
  <c r="S45" i="12"/>
  <c r="R45" i="12"/>
  <c r="Q45" i="12"/>
  <c r="P45" i="12"/>
  <c r="O45" i="12"/>
  <c r="N45" i="12"/>
  <c r="M45" i="12"/>
  <c r="L45" i="12"/>
  <c r="K45" i="12"/>
  <c r="J45" i="12"/>
  <c r="H45" i="12"/>
  <c r="AG44" i="12"/>
  <c r="AF44" i="12"/>
  <c r="AE44" i="12"/>
  <c r="AD44" i="12"/>
  <c r="AC44" i="12"/>
  <c r="AB44" i="12"/>
  <c r="AA44" i="12"/>
  <c r="Z44" i="12"/>
  <c r="Y44" i="12"/>
  <c r="X44" i="12"/>
  <c r="W44" i="12"/>
  <c r="V44" i="12"/>
  <c r="U44" i="12"/>
  <c r="T44" i="12"/>
  <c r="S44" i="12"/>
  <c r="R44" i="12"/>
  <c r="Q44" i="12"/>
  <c r="P44" i="12"/>
  <c r="O44" i="12"/>
  <c r="N44" i="12"/>
  <c r="M44" i="12"/>
  <c r="L44" i="12"/>
  <c r="K44" i="12"/>
  <c r="J44" i="12"/>
  <c r="H44" i="12"/>
  <c r="AG43" i="12"/>
  <c r="AF43" i="12"/>
  <c r="AE43" i="12"/>
  <c r="AD43" i="12"/>
  <c r="AC43" i="12"/>
  <c r="AB43" i="12"/>
  <c r="AA43" i="12"/>
  <c r="Z43" i="12"/>
  <c r="Y43" i="12"/>
  <c r="X43" i="12"/>
  <c r="W43" i="12"/>
  <c r="V43" i="12"/>
  <c r="U43" i="12"/>
  <c r="T43" i="12"/>
  <c r="S43" i="12"/>
  <c r="R43" i="12"/>
  <c r="Q43" i="12"/>
  <c r="P43" i="12"/>
  <c r="O43" i="12"/>
  <c r="N43" i="12"/>
  <c r="M43" i="12"/>
  <c r="L43" i="12"/>
  <c r="K43" i="12"/>
  <c r="J43" i="12"/>
  <c r="H43" i="12"/>
  <c r="AG42" i="12"/>
  <c r="AF42" i="12"/>
  <c r="AE42" i="12"/>
  <c r="AD42" i="12"/>
  <c r="AC42" i="12"/>
  <c r="AB42" i="12"/>
  <c r="AA42" i="12"/>
  <c r="Z42" i="12"/>
  <c r="Y42" i="12"/>
  <c r="X42" i="12"/>
  <c r="W42" i="12"/>
  <c r="V42" i="12"/>
  <c r="U42" i="12"/>
  <c r="T42" i="12"/>
  <c r="S42" i="12"/>
  <c r="R42" i="12"/>
  <c r="Q42" i="12"/>
  <c r="P42" i="12"/>
  <c r="O42" i="12"/>
  <c r="N42" i="12"/>
  <c r="M42" i="12"/>
  <c r="L42" i="12"/>
  <c r="K42" i="12"/>
  <c r="J42" i="12"/>
  <c r="H42" i="12"/>
  <c r="AG41" i="12"/>
  <c r="AF41" i="12"/>
  <c r="AE41" i="12"/>
  <c r="AD41" i="12"/>
  <c r="AC41" i="12"/>
  <c r="AB41" i="12"/>
  <c r="AA41" i="12"/>
  <c r="Z41" i="12"/>
  <c r="Y41" i="12"/>
  <c r="X41" i="12"/>
  <c r="W41" i="12"/>
  <c r="V41" i="12"/>
  <c r="U41" i="12"/>
  <c r="T41" i="12"/>
  <c r="S41" i="12"/>
  <c r="R41" i="12"/>
  <c r="Q41" i="12"/>
  <c r="P41" i="12"/>
  <c r="O41" i="12"/>
  <c r="N41" i="12"/>
  <c r="M41" i="12"/>
  <c r="L41" i="12"/>
  <c r="K41" i="12"/>
  <c r="J41" i="12"/>
  <c r="H41" i="12"/>
  <c r="AG40" i="12"/>
  <c r="AF40" i="12"/>
  <c r="AE40" i="12"/>
  <c r="AD40" i="12"/>
  <c r="AC40" i="12"/>
  <c r="AB40" i="12"/>
  <c r="AA40" i="12"/>
  <c r="Z40" i="12"/>
  <c r="Y40" i="12"/>
  <c r="X40" i="12"/>
  <c r="W40" i="12"/>
  <c r="V40" i="12"/>
  <c r="U40" i="12"/>
  <c r="T40" i="12"/>
  <c r="S40" i="12"/>
  <c r="R40" i="12"/>
  <c r="Q40" i="12"/>
  <c r="P40" i="12"/>
  <c r="O40" i="12"/>
  <c r="N40" i="12"/>
  <c r="M40" i="12"/>
  <c r="L40" i="12"/>
  <c r="K40" i="12"/>
  <c r="J40" i="12"/>
  <c r="H40" i="12"/>
  <c r="AG39" i="12"/>
  <c r="AF39" i="12"/>
  <c r="AE39" i="12"/>
  <c r="AD39" i="12"/>
  <c r="AC39" i="12"/>
  <c r="AB39" i="12"/>
  <c r="AA39" i="12"/>
  <c r="Z39" i="12"/>
  <c r="Y39" i="12"/>
  <c r="X39" i="12"/>
  <c r="W39" i="12"/>
  <c r="V39" i="12"/>
  <c r="U39" i="12"/>
  <c r="T39" i="12"/>
  <c r="S39" i="12"/>
  <c r="R39" i="12"/>
  <c r="Q39" i="12"/>
  <c r="P39" i="12"/>
  <c r="O39" i="12"/>
  <c r="N39" i="12"/>
  <c r="M39" i="12"/>
  <c r="L39" i="12"/>
  <c r="K39" i="12"/>
  <c r="J39" i="12"/>
  <c r="H39" i="12"/>
  <c r="AG38" i="12"/>
  <c r="AF38" i="12"/>
  <c r="AE38" i="12"/>
  <c r="AD38" i="12"/>
  <c r="AC38" i="12"/>
  <c r="AB38" i="12"/>
  <c r="AA38" i="12"/>
  <c r="Z38" i="12"/>
  <c r="Y38" i="12"/>
  <c r="X38" i="12"/>
  <c r="W38" i="12"/>
  <c r="V38" i="12"/>
  <c r="U38" i="12"/>
  <c r="T38" i="12"/>
  <c r="S38" i="12"/>
  <c r="R38" i="12"/>
  <c r="Q38" i="12"/>
  <c r="P38" i="12"/>
  <c r="O38" i="12"/>
  <c r="N38" i="12"/>
  <c r="M38" i="12"/>
  <c r="L38" i="12"/>
  <c r="K38" i="12"/>
  <c r="J38" i="12"/>
  <c r="H38" i="12"/>
  <c r="AG37" i="12"/>
  <c r="AF37" i="12"/>
  <c r="AE37" i="12"/>
  <c r="AD37" i="12"/>
  <c r="AC37" i="12"/>
  <c r="AB37" i="12"/>
  <c r="AA37" i="12"/>
  <c r="Z37" i="12"/>
  <c r="Y37" i="12"/>
  <c r="X37" i="12"/>
  <c r="W37" i="12"/>
  <c r="V37" i="12"/>
  <c r="U37" i="12"/>
  <c r="T37" i="12"/>
  <c r="S37" i="12"/>
  <c r="R37" i="12"/>
  <c r="Q37" i="12"/>
  <c r="P37" i="12"/>
  <c r="O37" i="12"/>
  <c r="N37" i="12"/>
  <c r="M37" i="12"/>
  <c r="L37" i="12"/>
  <c r="K37" i="12"/>
  <c r="J37" i="12"/>
  <c r="H37" i="12"/>
  <c r="AG36" i="12"/>
  <c r="AF36" i="12"/>
  <c r="AE36" i="12"/>
  <c r="AD36" i="12"/>
  <c r="AC36" i="12"/>
  <c r="AB36" i="12"/>
  <c r="AA36" i="12"/>
  <c r="Z36" i="12"/>
  <c r="Y36" i="12"/>
  <c r="X36" i="12"/>
  <c r="W36" i="12"/>
  <c r="V36" i="12"/>
  <c r="U36" i="12"/>
  <c r="T36" i="12"/>
  <c r="S36" i="12"/>
  <c r="R36" i="12"/>
  <c r="Q36" i="12"/>
  <c r="P36" i="12"/>
  <c r="O36" i="12"/>
  <c r="N36" i="12"/>
  <c r="M36" i="12"/>
  <c r="L36" i="12"/>
  <c r="K36" i="12"/>
  <c r="J36" i="12"/>
  <c r="H36" i="12"/>
  <c r="AG35" i="12"/>
  <c r="AF35" i="12"/>
  <c r="AE35" i="12"/>
  <c r="AD35" i="12"/>
  <c r="AC35" i="12"/>
  <c r="AB35" i="12"/>
  <c r="AA35" i="12"/>
  <c r="Z35" i="12"/>
  <c r="Y35" i="12"/>
  <c r="X35" i="12"/>
  <c r="W35" i="12"/>
  <c r="V35" i="12"/>
  <c r="U35" i="12"/>
  <c r="T35" i="12"/>
  <c r="S35" i="12"/>
  <c r="R35" i="12"/>
  <c r="Q35" i="12"/>
  <c r="P35" i="12"/>
  <c r="O35" i="12"/>
  <c r="N35" i="12"/>
  <c r="M35" i="12"/>
  <c r="L35" i="12"/>
  <c r="K35" i="12"/>
  <c r="J35" i="12"/>
  <c r="H35" i="12"/>
  <c r="AC34" i="12"/>
  <c r="AB34" i="12"/>
  <c r="AA34" i="12"/>
  <c r="Z34" i="12"/>
  <c r="Y34" i="12"/>
  <c r="X34" i="12"/>
  <c r="W34" i="12"/>
  <c r="V34" i="12"/>
  <c r="U34" i="12"/>
  <c r="T34" i="12"/>
  <c r="S34" i="12"/>
  <c r="R34" i="12"/>
  <c r="Q34" i="12"/>
  <c r="P34" i="12"/>
  <c r="O34" i="12"/>
  <c r="N34" i="12"/>
  <c r="M34" i="12"/>
  <c r="L34" i="12"/>
  <c r="K34" i="12"/>
  <c r="J34" i="12"/>
  <c r="H34" i="12"/>
  <c r="AC33" i="12"/>
  <c r="AB33" i="12"/>
  <c r="AA33" i="12"/>
  <c r="Z33" i="12"/>
  <c r="Y33" i="12"/>
  <c r="X33" i="12"/>
  <c r="W33" i="12"/>
  <c r="V33" i="12"/>
  <c r="U33" i="12"/>
  <c r="T33" i="12"/>
  <c r="S33" i="12"/>
  <c r="R33" i="12"/>
  <c r="Q33" i="12"/>
  <c r="P33" i="12"/>
  <c r="O33" i="12"/>
  <c r="N33" i="12"/>
  <c r="M33" i="12"/>
  <c r="L33" i="12"/>
  <c r="K33" i="12"/>
  <c r="J33" i="12"/>
  <c r="H33" i="12"/>
  <c r="AC32" i="12"/>
  <c r="AB32" i="12"/>
  <c r="AA32" i="12"/>
  <c r="Z32" i="12"/>
  <c r="Y32" i="12"/>
  <c r="X32" i="12"/>
  <c r="W32" i="12"/>
  <c r="V32" i="12"/>
  <c r="U32" i="12"/>
  <c r="T32" i="12"/>
  <c r="S32" i="12"/>
  <c r="R32" i="12"/>
  <c r="Q32" i="12"/>
  <c r="P32" i="12"/>
  <c r="O32" i="12"/>
  <c r="N32" i="12"/>
  <c r="M32" i="12"/>
  <c r="L32" i="12"/>
  <c r="K32" i="12"/>
  <c r="J32" i="12"/>
  <c r="H32" i="12"/>
  <c r="AC31" i="12"/>
  <c r="AB31" i="12"/>
  <c r="AA31" i="12"/>
  <c r="Z31" i="12"/>
  <c r="Y31" i="12"/>
  <c r="X31" i="12"/>
  <c r="W31" i="12"/>
  <c r="V31" i="12"/>
  <c r="U31" i="12"/>
  <c r="T31" i="12"/>
  <c r="S31" i="12"/>
  <c r="R31" i="12"/>
  <c r="Q31" i="12"/>
  <c r="P31" i="12"/>
  <c r="O31" i="12"/>
  <c r="N31" i="12"/>
  <c r="M31" i="12"/>
  <c r="L31" i="12"/>
  <c r="K31" i="12"/>
  <c r="J31" i="12"/>
  <c r="H31" i="12"/>
  <c r="AC30" i="12"/>
  <c r="AB30" i="12"/>
  <c r="AA30" i="12"/>
  <c r="Z30" i="12"/>
  <c r="Y30" i="12"/>
  <c r="X30" i="12"/>
  <c r="W30" i="12"/>
  <c r="V30" i="12"/>
  <c r="U30" i="12"/>
  <c r="T30" i="12"/>
  <c r="S30" i="12"/>
  <c r="R30" i="12"/>
  <c r="Q30" i="12"/>
  <c r="P30" i="12"/>
  <c r="O30" i="12"/>
  <c r="N30" i="12"/>
  <c r="M30" i="12"/>
  <c r="L30" i="12"/>
  <c r="K30" i="12"/>
  <c r="J30" i="12"/>
  <c r="H30" i="12"/>
  <c r="AG29" i="12"/>
  <c r="AF29" i="12"/>
  <c r="AE29" i="12"/>
  <c r="AD29" i="12"/>
  <c r="AC29" i="12"/>
  <c r="AB29" i="12"/>
  <c r="AA29" i="12"/>
  <c r="Z29" i="12"/>
  <c r="Y29" i="12"/>
  <c r="X29" i="12"/>
  <c r="W29" i="12"/>
  <c r="V29" i="12"/>
  <c r="U29" i="12"/>
  <c r="T29" i="12"/>
  <c r="S29" i="12"/>
  <c r="R29" i="12"/>
  <c r="Q29" i="12"/>
  <c r="P29" i="12"/>
  <c r="O29" i="12"/>
  <c r="N29" i="12"/>
  <c r="M29" i="12"/>
  <c r="L29" i="12"/>
  <c r="K29" i="12"/>
  <c r="J29" i="12"/>
  <c r="H29" i="12"/>
  <c r="AG28" i="12"/>
  <c r="AF28" i="12"/>
  <c r="AE28" i="12"/>
  <c r="AD28" i="12"/>
  <c r="AC28" i="12"/>
  <c r="AB28" i="12"/>
  <c r="AA28" i="12"/>
  <c r="Z28" i="12"/>
  <c r="Y28" i="12"/>
  <c r="X28" i="12"/>
  <c r="W28" i="12"/>
  <c r="V28" i="12"/>
  <c r="U28" i="12"/>
  <c r="T28" i="12"/>
  <c r="S28" i="12"/>
  <c r="R28" i="12"/>
  <c r="Q28" i="12"/>
  <c r="P28" i="12"/>
  <c r="O28" i="12"/>
  <c r="N28" i="12"/>
  <c r="M28" i="12"/>
  <c r="L28" i="12"/>
  <c r="K28" i="12"/>
  <c r="J28" i="12"/>
  <c r="H28" i="12"/>
  <c r="AG27" i="12"/>
  <c r="AF27" i="12"/>
  <c r="AE27" i="12"/>
  <c r="AD27" i="12"/>
  <c r="AC27" i="12"/>
  <c r="AB27" i="12"/>
  <c r="AA27" i="12"/>
  <c r="Z27" i="12"/>
  <c r="Y27" i="12"/>
  <c r="X27" i="12"/>
  <c r="W27" i="12"/>
  <c r="V27" i="12"/>
  <c r="U27" i="12"/>
  <c r="T27" i="12"/>
  <c r="S27" i="12"/>
  <c r="R27" i="12"/>
  <c r="Q27" i="12"/>
  <c r="P27" i="12"/>
  <c r="O27" i="12"/>
  <c r="N27" i="12"/>
  <c r="M27" i="12"/>
  <c r="L27" i="12"/>
  <c r="K27" i="12"/>
  <c r="J27" i="12"/>
  <c r="H27" i="12"/>
  <c r="AG26" i="12"/>
  <c r="AF26" i="12"/>
  <c r="AE26" i="12"/>
  <c r="AD26" i="12"/>
  <c r="AC26" i="12"/>
  <c r="AB26" i="12"/>
  <c r="AA26" i="12"/>
  <c r="Z26" i="12"/>
  <c r="Y26" i="12"/>
  <c r="X26" i="12"/>
  <c r="W26" i="12"/>
  <c r="V26" i="12"/>
  <c r="U26" i="12"/>
  <c r="T26" i="12"/>
  <c r="S26" i="12"/>
  <c r="R26" i="12"/>
  <c r="Q26" i="12"/>
  <c r="P26" i="12"/>
  <c r="O26" i="12"/>
  <c r="N26" i="12"/>
  <c r="M26" i="12"/>
  <c r="L26" i="12"/>
  <c r="K26" i="12"/>
  <c r="J26" i="12"/>
  <c r="H26" i="12"/>
  <c r="AG25" i="12"/>
  <c r="AF25" i="12"/>
  <c r="AE25" i="12"/>
  <c r="AD25" i="12"/>
  <c r="AC25" i="12"/>
  <c r="AB25" i="12"/>
  <c r="AA25" i="12"/>
  <c r="Z25" i="12"/>
  <c r="Y25" i="12"/>
  <c r="X25" i="12"/>
  <c r="W25" i="12"/>
  <c r="V25" i="12"/>
  <c r="U25" i="12"/>
  <c r="T25" i="12"/>
  <c r="S25" i="12"/>
  <c r="R25" i="12"/>
  <c r="Q25" i="12"/>
  <c r="P25" i="12"/>
  <c r="O25" i="12"/>
  <c r="N25" i="12"/>
  <c r="M25" i="12"/>
  <c r="L25" i="12"/>
  <c r="K25" i="12"/>
  <c r="J25" i="12"/>
  <c r="H25" i="12"/>
  <c r="AG24" i="12"/>
  <c r="AF24" i="12"/>
  <c r="AE24" i="12"/>
  <c r="AD24" i="12"/>
  <c r="AC24" i="12"/>
  <c r="AB24" i="12"/>
  <c r="AA24" i="12"/>
  <c r="Z24" i="12"/>
  <c r="Y24" i="12"/>
  <c r="X24" i="12"/>
  <c r="W24" i="12"/>
  <c r="V24" i="12"/>
  <c r="U24" i="12"/>
  <c r="T24" i="12"/>
  <c r="S24" i="12"/>
  <c r="R24" i="12"/>
  <c r="Q24" i="12"/>
  <c r="P24" i="12"/>
  <c r="O24" i="12"/>
  <c r="N24" i="12"/>
  <c r="M24" i="12"/>
  <c r="L24" i="12"/>
  <c r="K24" i="12"/>
  <c r="J24" i="12"/>
  <c r="H24" i="12"/>
  <c r="AG23" i="12"/>
  <c r="AF23" i="12"/>
  <c r="AE23" i="12"/>
  <c r="AD23" i="12"/>
  <c r="AC23" i="12"/>
  <c r="AB23" i="12"/>
  <c r="AA23" i="12"/>
  <c r="Z23" i="12"/>
  <c r="Y23" i="12"/>
  <c r="X23" i="12"/>
  <c r="W23" i="12"/>
  <c r="V23" i="12"/>
  <c r="U23" i="12"/>
  <c r="T23" i="12"/>
  <c r="S23" i="12"/>
  <c r="R23" i="12"/>
  <c r="Q23" i="12"/>
  <c r="P23" i="12"/>
  <c r="O23" i="12"/>
  <c r="N23" i="12"/>
  <c r="M23" i="12"/>
  <c r="L23" i="12"/>
  <c r="K23" i="12"/>
  <c r="J23" i="12"/>
  <c r="H23" i="12"/>
  <c r="AG22" i="12"/>
  <c r="AF22" i="12"/>
  <c r="AE22" i="12"/>
  <c r="AD22" i="12"/>
  <c r="AC22" i="12"/>
  <c r="AB22" i="12"/>
  <c r="AA22" i="12"/>
  <c r="Z22" i="12"/>
  <c r="Y22" i="12"/>
  <c r="X22" i="12"/>
  <c r="W22" i="12"/>
  <c r="V22" i="12"/>
  <c r="U22" i="12"/>
  <c r="T22" i="12"/>
  <c r="S22" i="12"/>
  <c r="R22" i="12"/>
  <c r="Q22" i="12"/>
  <c r="P22" i="12"/>
  <c r="O22" i="12"/>
  <c r="N22" i="12"/>
  <c r="M22" i="12"/>
  <c r="L22" i="12"/>
  <c r="K22" i="12"/>
  <c r="J22" i="12"/>
  <c r="H22" i="12"/>
  <c r="AG21" i="12"/>
  <c r="AF21" i="12"/>
  <c r="AE21" i="12"/>
  <c r="AD21" i="12"/>
  <c r="AC21" i="12"/>
  <c r="AB21" i="12"/>
  <c r="AA21" i="12"/>
  <c r="Z21" i="12"/>
  <c r="Y21" i="12"/>
  <c r="X21" i="12"/>
  <c r="W21" i="12"/>
  <c r="V21" i="12"/>
  <c r="U21" i="12"/>
  <c r="T21" i="12"/>
  <c r="S21" i="12"/>
  <c r="R21" i="12"/>
  <c r="Q21" i="12"/>
  <c r="P21" i="12"/>
  <c r="O21" i="12"/>
  <c r="N21" i="12"/>
  <c r="M21" i="12"/>
  <c r="L21" i="12"/>
  <c r="K21" i="12"/>
  <c r="J21" i="12"/>
  <c r="H21" i="12"/>
  <c r="AC20" i="12"/>
  <c r="AB20" i="12"/>
  <c r="AA20" i="12"/>
  <c r="Z20" i="12"/>
  <c r="Y20" i="12"/>
  <c r="X20" i="12"/>
  <c r="W20" i="12"/>
  <c r="V20" i="12"/>
  <c r="U20" i="12"/>
  <c r="T20" i="12"/>
  <c r="S20" i="12"/>
  <c r="R20" i="12"/>
  <c r="Q20" i="12"/>
  <c r="P20" i="12"/>
  <c r="O20" i="12"/>
  <c r="N20" i="12"/>
  <c r="M20" i="12"/>
  <c r="L20" i="12"/>
  <c r="K20" i="12"/>
  <c r="J20" i="12"/>
  <c r="H20" i="12"/>
  <c r="AC19" i="12"/>
  <c r="AB19" i="12"/>
  <c r="AA19" i="12"/>
  <c r="Z19" i="12"/>
  <c r="Y19" i="12"/>
  <c r="X19" i="12"/>
  <c r="W19" i="12"/>
  <c r="V19" i="12"/>
  <c r="U19" i="12"/>
  <c r="T19" i="12"/>
  <c r="S19" i="12"/>
  <c r="R19" i="12"/>
  <c r="Q19" i="12"/>
  <c r="P19" i="12"/>
  <c r="O19" i="12"/>
  <c r="N19" i="12"/>
  <c r="M19" i="12"/>
  <c r="L19" i="12"/>
  <c r="K19" i="12"/>
  <c r="J19" i="12"/>
  <c r="H19" i="12"/>
  <c r="AC18" i="12"/>
  <c r="AB18" i="12"/>
  <c r="AA18" i="12"/>
  <c r="Z18" i="12"/>
  <c r="Y18" i="12"/>
  <c r="X18" i="12"/>
  <c r="W18" i="12"/>
  <c r="V18" i="12"/>
  <c r="U18" i="12"/>
  <c r="T18" i="12"/>
  <c r="S18" i="12"/>
  <c r="R18" i="12"/>
  <c r="Q18" i="12"/>
  <c r="P18" i="12"/>
  <c r="O18" i="12"/>
  <c r="N18" i="12"/>
  <c r="M18" i="12"/>
  <c r="L18" i="12"/>
  <c r="K18" i="12"/>
  <c r="J18" i="12"/>
  <c r="H18" i="12"/>
  <c r="AC17" i="12"/>
  <c r="AB17" i="12"/>
  <c r="AA17" i="12"/>
  <c r="Z17" i="12"/>
  <c r="Y17" i="12"/>
  <c r="X17" i="12"/>
  <c r="W17" i="12"/>
  <c r="V17" i="12"/>
  <c r="U17" i="12"/>
  <c r="T17" i="12"/>
  <c r="S17" i="12"/>
  <c r="R17" i="12"/>
  <c r="Q17" i="12"/>
  <c r="P17" i="12"/>
  <c r="O17" i="12"/>
  <c r="N17" i="12"/>
  <c r="M17" i="12"/>
  <c r="L17" i="12"/>
  <c r="K17" i="12"/>
  <c r="J17" i="12"/>
  <c r="H17" i="12"/>
  <c r="AG16" i="12"/>
  <c r="AF16" i="12"/>
  <c r="AE16" i="12"/>
  <c r="AD16" i="12"/>
  <c r="AC16" i="12"/>
  <c r="AB16" i="12"/>
  <c r="AA16" i="12"/>
  <c r="Z16" i="12"/>
  <c r="Y16" i="12"/>
  <c r="X16" i="12"/>
  <c r="W16" i="12"/>
  <c r="V16" i="12"/>
  <c r="U16" i="12"/>
  <c r="T16" i="12"/>
  <c r="S16" i="12"/>
  <c r="R16" i="12"/>
  <c r="Q16" i="12"/>
  <c r="P16" i="12"/>
  <c r="O16" i="12"/>
  <c r="N16" i="12"/>
  <c r="M16" i="12"/>
  <c r="L16" i="12"/>
  <c r="K16" i="12"/>
  <c r="J16" i="12"/>
  <c r="H16" i="12"/>
  <c r="AC15" i="12"/>
  <c r="AB15" i="12"/>
  <c r="AA15" i="12"/>
  <c r="Z15" i="12"/>
  <c r="Y15" i="12"/>
  <c r="X15" i="12"/>
  <c r="W15" i="12"/>
  <c r="V15" i="12"/>
  <c r="U15" i="12"/>
  <c r="T15" i="12"/>
  <c r="S15" i="12"/>
  <c r="R15" i="12"/>
  <c r="Q15" i="12"/>
  <c r="P15" i="12"/>
  <c r="O15" i="12"/>
  <c r="N15" i="12"/>
  <c r="M15" i="12"/>
  <c r="L15" i="12"/>
  <c r="K15" i="12"/>
  <c r="J15" i="12"/>
  <c r="H15" i="12"/>
  <c r="AG14" i="12"/>
  <c r="AF14" i="12"/>
  <c r="AE14" i="12"/>
  <c r="AD14" i="12"/>
  <c r="AC14" i="12"/>
  <c r="AB14" i="12"/>
  <c r="AA14" i="12"/>
  <c r="Z14" i="12"/>
  <c r="Y14" i="12"/>
  <c r="X14" i="12"/>
  <c r="W14" i="12"/>
  <c r="V14" i="12"/>
  <c r="U14" i="12"/>
  <c r="T14" i="12"/>
  <c r="S14" i="12"/>
  <c r="R14" i="12"/>
  <c r="Q14" i="12"/>
  <c r="P14" i="12"/>
  <c r="O14" i="12"/>
  <c r="N14" i="12"/>
  <c r="M14" i="12"/>
  <c r="L14" i="12"/>
  <c r="K14" i="12"/>
  <c r="J14" i="12"/>
  <c r="H14" i="12"/>
  <c r="AG13" i="12"/>
  <c r="AF13" i="12"/>
  <c r="AE13" i="12"/>
  <c r="AD13" i="12"/>
  <c r="AC13" i="12"/>
  <c r="AB13" i="12"/>
  <c r="AA13" i="12"/>
  <c r="Z13" i="12"/>
  <c r="Y13" i="12"/>
  <c r="X13" i="12"/>
  <c r="W13" i="12"/>
  <c r="V13" i="12"/>
  <c r="U13" i="12"/>
  <c r="T13" i="12"/>
  <c r="S13" i="12"/>
  <c r="R13" i="12"/>
  <c r="Q13" i="12"/>
  <c r="P13" i="12"/>
  <c r="O13" i="12"/>
  <c r="N13" i="12"/>
  <c r="M13" i="12"/>
  <c r="L13" i="12"/>
  <c r="K13" i="12"/>
  <c r="J13" i="12"/>
  <c r="H13" i="12"/>
  <c r="AG12" i="12"/>
  <c r="AF12" i="12"/>
  <c r="AE12" i="12"/>
  <c r="AD12" i="12"/>
  <c r="AC12" i="12"/>
  <c r="AB12" i="12"/>
  <c r="AA12" i="12"/>
  <c r="Z12" i="12"/>
  <c r="Y12" i="12"/>
  <c r="X12" i="12"/>
  <c r="W12" i="12"/>
  <c r="V12" i="12"/>
  <c r="U12" i="12"/>
  <c r="T12" i="12"/>
  <c r="S12" i="12"/>
  <c r="R12" i="12"/>
  <c r="Q12" i="12"/>
  <c r="P12" i="12"/>
  <c r="O12" i="12"/>
  <c r="N12" i="12"/>
  <c r="M12" i="12"/>
  <c r="L12" i="12"/>
  <c r="K12" i="12"/>
  <c r="J12" i="12"/>
  <c r="H12" i="12"/>
  <c r="AG11" i="12"/>
  <c r="AF11" i="12"/>
  <c r="AE11" i="12"/>
  <c r="AD11" i="12"/>
  <c r="AC11" i="12"/>
  <c r="AB11" i="12"/>
  <c r="AA11" i="12"/>
  <c r="Z11" i="12"/>
  <c r="Y11" i="12"/>
  <c r="X11" i="12"/>
  <c r="W11" i="12"/>
  <c r="V11" i="12"/>
  <c r="U11" i="12"/>
  <c r="T11" i="12"/>
  <c r="S11" i="12"/>
  <c r="R11" i="12"/>
  <c r="Q11" i="12"/>
  <c r="P11" i="12"/>
  <c r="O11" i="12"/>
  <c r="N11" i="12"/>
  <c r="M11" i="12"/>
  <c r="L11" i="12"/>
  <c r="K11" i="12"/>
  <c r="J11" i="12"/>
  <c r="H11" i="12"/>
  <c r="AG10" i="12"/>
  <c r="AF10" i="12"/>
  <c r="AE10" i="12"/>
  <c r="AD10" i="12"/>
  <c r="AC10" i="12"/>
  <c r="AB10" i="12"/>
  <c r="AA10" i="12"/>
  <c r="Z10" i="12"/>
  <c r="Y10" i="12"/>
  <c r="X10" i="12"/>
  <c r="W10" i="12"/>
  <c r="V10" i="12"/>
  <c r="U10" i="12"/>
  <c r="T10" i="12"/>
  <c r="S10" i="12"/>
  <c r="R10" i="12"/>
  <c r="Q10" i="12"/>
  <c r="P10" i="12"/>
  <c r="O10" i="12"/>
  <c r="N10" i="12"/>
  <c r="M10" i="12"/>
  <c r="L10" i="12"/>
  <c r="K10" i="12"/>
  <c r="J10" i="12"/>
  <c r="H10" i="12"/>
  <c r="AC9" i="12"/>
  <c r="AB9" i="12"/>
  <c r="AA9" i="12"/>
  <c r="Z9" i="12"/>
  <c r="Y9" i="12"/>
  <c r="X9" i="12"/>
  <c r="W9" i="12"/>
  <c r="V9" i="12"/>
  <c r="U9" i="12"/>
  <c r="T9" i="12"/>
  <c r="S9" i="12"/>
  <c r="R9" i="12"/>
  <c r="Q9" i="12"/>
  <c r="P9" i="12"/>
  <c r="O9" i="12"/>
  <c r="N9" i="12"/>
  <c r="M9" i="12"/>
  <c r="L9" i="12"/>
  <c r="K9" i="12"/>
  <c r="J9" i="12"/>
  <c r="H9" i="12"/>
  <c r="AC8" i="12"/>
  <c r="AB8" i="12"/>
  <c r="AA8" i="12"/>
  <c r="Z8" i="12"/>
  <c r="Y8" i="12"/>
  <c r="X8" i="12"/>
  <c r="W8" i="12"/>
  <c r="V8" i="12"/>
  <c r="U8" i="12"/>
  <c r="T8" i="12"/>
  <c r="S8" i="12"/>
  <c r="R8" i="12"/>
  <c r="Q8" i="12"/>
  <c r="P8" i="12"/>
  <c r="O8" i="12"/>
  <c r="N8" i="12"/>
  <c r="M8" i="12"/>
  <c r="L8" i="12"/>
  <c r="K8" i="12"/>
  <c r="J8" i="12"/>
  <c r="H8" i="12"/>
  <c r="AG7" i="12"/>
  <c r="AF7" i="12"/>
  <c r="AE7" i="12"/>
  <c r="AD7" i="12"/>
  <c r="AC7" i="12"/>
  <c r="AB7" i="12"/>
  <c r="AA7" i="12"/>
  <c r="Z7" i="12"/>
  <c r="Y7" i="12"/>
  <c r="X7" i="12"/>
  <c r="W7" i="12"/>
  <c r="V7" i="12"/>
  <c r="U7" i="12"/>
  <c r="T7" i="12"/>
  <c r="S7" i="12"/>
  <c r="R7" i="12"/>
  <c r="Q7" i="12"/>
  <c r="P7" i="12"/>
  <c r="O7" i="12"/>
  <c r="N7" i="12"/>
  <c r="M7" i="12"/>
  <c r="L7" i="12"/>
  <c r="K7" i="12"/>
  <c r="J7" i="12"/>
  <c r="H7" i="12"/>
  <c r="AG6" i="12"/>
  <c r="AF6" i="12"/>
  <c r="AE6" i="12"/>
  <c r="AD6" i="12"/>
  <c r="AC6" i="12"/>
  <c r="AB6" i="12"/>
  <c r="AA6" i="12"/>
  <c r="Z6" i="12"/>
  <c r="Y6" i="12"/>
  <c r="X6" i="12"/>
  <c r="W6" i="12"/>
  <c r="V6" i="12"/>
  <c r="U6" i="12"/>
  <c r="T6" i="12"/>
  <c r="S6" i="12"/>
  <c r="R6" i="12"/>
  <c r="Q6" i="12"/>
  <c r="P6" i="12"/>
  <c r="O6" i="12"/>
  <c r="N6" i="12"/>
  <c r="M6" i="12"/>
  <c r="L6" i="12"/>
  <c r="K6" i="12"/>
  <c r="J6" i="12"/>
  <c r="H6" i="12"/>
  <c r="AG5" i="12"/>
  <c r="AF5" i="12"/>
  <c r="AE5" i="12"/>
  <c r="AD5" i="12"/>
  <c r="AC5" i="12"/>
  <c r="AB5" i="12"/>
  <c r="AA5" i="12"/>
  <c r="Z5" i="12"/>
  <c r="Y5" i="12"/>
  <c r="X5" i="12"/>
  <c r="W5" i="12"/>
  <c r="V5" i="12"/>
  <c r="U5" i="12"/>
  <c r="T5" i="12"/>
  <c r="S5" i="12"/>
  <c r="R5" i="12"/>
  <c r="Q5" i="12"/>
  <c r="P5" i="12"/>
  <c r="O5" i="12"/>
  <c r="N5" i="12"/>
  <c r="M5" i="12"/>
  <c r="L5" i="12"/>
  <c r="K5" i="12"/>
  <c r="J5" i="12"/>
  <c r="H5" i="12"/>
  <c r="AC4" i="12"/>
  <c r="AA4" i="12"/>
  <c r="Z4" i="12"/>
  <c r="Y4" i="12"/>
  <c r="X4" i="12"/>
  <c r="W4" i="12"/>
  <c r="V4" i="12"/>
  <c r="U4" i="12"/>
  <c r="T4" i="12"/>
  <c r="S4" i="12"/>
  <c r="R4" i="12"/>
  <c r="Q4" i="12"/>
  <c r="P4" i="12"/>
  <c r="O4" i="12"/>
  <c r="N4" i="12"/>
  <c r="M4" i="12"/>
  <c r="L4" i="12"/>
  <c r="K4" i="12"/>
  <c r="J4" i="12"/>
  <c r="H4" i="12"/>
  <c r="AG3" i="12"/>
  <c r="AF3" i="12"/>
  <c r="AE3" i="12"/>
  <c r="AD3" i="12"/>
  <c r="AC3" i="12"/>
  <c r="AB3" i="12"/>
  <c r="AA3" i="12"/>
  <c r="Z3" i="12"/>
  <c r="Y3" i="12"/>
  <c r="X3" i="12"/>
  <c r="W3" i="12"/>
  <c r="V3" i="12"/>
  <c r="U3" i="12"/>
  <c r="T3" i="12"/>
  <c r="S3" i="12"/>
  <c r="R3" i="12"/>
  <c r="Q3" i="12"/>
  <c r="P3" i="12"/>
  <c r="O3" i="12"/>
  <c r="N3" i="12"/>
  <c r="M3" i="12"/>
  <c r="L3" i="12"/>
  <c r="K3" i="12"/>
  <c r="J3" i="12"/>
  <c r="H3" i="12"/>
  <c r="AG2" i="12"/>
  <c r="AF2" i="12"/>
  <c r="AE2" i="12"/>
  <c r="AD2" i="12"/>
  <c r="AC2" i="12"/>
  <c r="AB2" i="12"/>
  <c r="AA2" i="12"/>
  <c r="Z2" i="12"/>
  <c r="Y2" i="12"/>
  <c r="X2" i="12"/>
  <c r="W2" i="12"/>
  <c r="V2" i="12"/>
  <c r="U2" i="12"/>
  <c r="T2" i="12"/>
  <c r="S2" i="12"/>
  <c r="R2" i="12"/>
  <c r="Q2" i="12"/>
  <c r="P2" i="12"/>
  <c r="O2" i="12"/>
  <c r="N2" i="12"/>
  <c r="M2" i="12"/>
  <c r="L2" i="12"/>
  <c r="K2" i="12"/>
  <c r="J2" i="12"/>
  <c r="H2" i="12"/>
  <c r="U68" i="11"/>
  <c r="T68" i="11"/>
  <c r="S68" i="11"/>
  <c r="R68" i="11"/>
  <c r="Q68" i="11"/>
  <c r="P68" i="11"/>
  <c r="O68" i="11"/>
  <c r="N68" i="11"/>
  <c r="M68" i="11"/>
  <c r="L68" i="11"/>
  <c r="K68" i="11"/>
  <c r="J68" i="11"/>
  <c r="U67" i="11"/>
  <c r="T67" i="11"/>
  <c r="S67" i="11"/>
  <c r="R67" i="11"/>
  <c r="Q67" i="11"/>
  <c r="P67" i="11"/>
  <c r="O67" i="11"/>
  <c r="N67" i="11"/>
  <c r="M67" i="11"/>
  <c r="L67" i="11"/>
  <c r="K67" i="11"/>
  <c r="J67" i="11"/>
  <c r="U66" i="11"/>
  <c r="T66" i="11"/>
  <c r="S66" i="11"/>
  <c r="R66" i="11"/>
  <c r="Q66" i="11"/>
  <c r="P66" i="11"/>
  <c r="O66" i="11"/>
  <c r="N66" i="11"/>
  <c r="M66" i="11"/>
  <c r="L66" i="11"/>
  <c r="K66" i="11"/>
  <c r="J66" i="11"/>
  <c r="U65" i="11"/>
  <c r="T65" i="11"/>
  <c r="S65" i="11"/>
  <c r="R65" i="11"/>
  <c r="Q65" i="11"/>
  <c r="P65" i="11"/>
  <c r="O65" i="11"/>
  <c r="N65" i="11"/>
  <c r="M65" i="11"/>
  <c r="L65" i="11"/>
  <c r="K65" i="11"/>
  <c r="J65" i="11"/>
  <c r="U64" i="11"/>
  <c r="T64" i="11"/>
  <c r="S64" i="11"/>
  <c r="R64" i="11"/>
  <c r="Q64" i="11"/>
  <c r="P64" i="11"/>
  <c r="O64" i="11"/>
  <c r="N64" i="11"/>
  <c r="M64" i="11"/>
  <c r="L64" i="11"/>
  <c r="K64" i="11"/>
  <c r="J64" i="11"/>
  <c r="U63" i="11"/>
  <c r="T63" i="11"/>
  <c r="S63" i="11"/>
  <c r="R63" i="11"/>
  <c r="Q63" i="11"/>
  <c r="P63" i="11"/>
  <c r="O63" i="11"/>
  <c r="N63" i="11"/>
  <c r="M63" i="11"/>
  <c r="L63" i="11"/>
  <c r="K63" i="11"/>
  <c r="J63" i="11"/>
  <c r="U62" i="11"/>
  <c r="T62" i="11"/>
  <c r="S62" i="11"/>
  <c r="R62" i="11"/>
  <c r="Q62" i="11"/>
  <c r="P62" i="11"/>
  <c r="O62" i="11"/>
  <c r="N62" i="11"/>
  <c r="M62" i="11"/>
  <c r="L62" i="11"/>
  <c r="K62" i="11"/>
  <c r="J62" i="11"/>
  <c r="U61" i="11"/>
  <c r="T61" i="11"/>
  <c r="S61" i="11"/>
  <c r="R61" i="11"/>
  <c r="Q61" i="11"/>
  <c r="P61" i="11"/>
  <c r="O61" i="11"/>
  <c r="N61" i="11"/>
  <c r="M61" i="11"/>
  <c r="L61" i="11"/>
  <c r="K61" i="11"/>
  <c r="J61" i="11"/>
  <c r="U60" i="11"/>
  <c r="T60" i="11"/>
  <c r="S60" i="11"/>
  <c r="R60" i="11"/>
  <c r="Q60" i="11"/>
  <c r="P60" i="11"/>
  <c r="O60" i="11"/>
  <c r="N60" i="11"/>
  <c r="M60" i="11"/>
  <c r="L60" i="11"/>
  <c r="K60" i="11"/>
  <c r="J60" i="11"/>
  <c r="U59" i="11"/>
  <c r="T59" i="11"/>
  <c r="S59" i="11"/>
  <c r="R59" i="11"/>
  <c r="Q59" i="11"/>
  <c r="P59" i="11"/>
  <c r="O59" i="11"/>
  <c r="N59" i="11"/>
  <c r="M59" i="11"/>
  <c r="L59" i="11"/>
  <c r="K59" i="11"/>
  <c r="J59" i="11"/>
  <c r="U58" i="11"/>
  <c r="T58" i="11"/>
  <c r="S58" i="11"/>
  <c r="R58" i="11"/>
  <c r="Q58" i="11"/>
  <c r="P58" i="11"/>
  <c r="O58" i="11"/>
  <c r="N58" i="11"/>
  <c r="M58" i="11"/>
  <c r="L58" i="11"/>
  <c r="K58" i="11"/>
  <c r="J58" i="11"/>
  <c r="U57" i="11"/>
  <c r="T57" i="11"/>
  <c r="S57" i="11"/>
  <c r="R57" i="11"/>
  <c r="Q57" i="11"/>
  <c r="P57" i="11"/>
  <c r="O57" i="11"/>
  <c r="N57" i="11"/>
  <c r="M57" i="11"/>
  <c r="L57" i="11"/>
  <c r="K57" i="11"/>
  <c r="J57" i="11"/>
  <c r="U56" i="11"/>
  <c r="T56" i="11"/>
  <c r="S56" i="11"/>
  <c r="R56" i="11"/>
  <c r="Q56" i="11"/>
  <c r="P56" i="11"/>
  <c r="O56" i="11"/>
  <c r="N56" i="11"/>
  <c r="M56" i="11"/>
  <c r="L56" i="11"/>
  <c r="K56" i="11"/>
  <c r="J56" i="11"/>
  <c r="U55" i="11"/>
  <c r="T55" i="11"/>
  <c r="S55" i="11"/>
  <c r="R55" i="11"/>
  <c r="Q55" i="11"/>
  <c r="P55" i="11"/>
  <c r="O55" i="11"/>
  <c r="N55" i="11"/>
  <c r="M55" i="11"/>
  <c r="L55" i="11"/>
  <c r="K55" i="11"/>
  <c r="J55" i="11"/>
  <c r="U54" i="11"/>
  <c r="T54" i="11"/>
  <c r="S54" i="11"/>
  <c r="R54" i="11"/>
  <c r="Q54" i="11"/>
  <c r="P54" i="11"/>
  <c r="O54" i="11"/>
  <c r="N54" i="11"/>
  <c r="M54" i="11"/>
  <c r="L54" i="11"/>
  <c r="K54" i="11"/>
  <c r="J54" i="11"/>
  <c r="U53" i="11"/>
  <c r="T53" i="11"/>
  <c r="S53" i="11"/>
  <c r="R53" i="11"/>
  <c r="Q53" i="11"/>
  <c r="P53" i="11"/>
  <c r="O53" i="11"/>
  <c r="N53" i="11"/>
  <c r="M53" i="11"/>
  <c r="L53" i="11"/>
  <c r="K53" i="11"/>
  <c r="J53" i="11"/>
  <c r="U52" i="11"/>
  <c r="T52" i="11"/>
  <c r="S52" i="11"/>
  <c r="R52" i="11"/>
  <c r="Q52" i="11"/>
  <c r="P52" i="11"/>
  <c r="O52" i="11"/>
  <c r="N52" i="11"/>
  <c r="M52" i="11"/>
  <c r="L52" i="11"/>
  <c r="K52" i="11"/>
  <c r="J52" i="11"/>
  <c r="U51" i="11"/>
  <c r="T51" i="11"/>
  <c r="S51" i="11"/>
  <c r="R51" i="11"/>
  <c r="Q51" i="11"/>
  <c r="P51" i="11"/>
  <c r="O51" i="11"/>
  <c r="N51" i="11"/>
  <c r="M51" i="11"/>
  <c r="L51" i="11"/>
  <c r="K51" i="11"/>
  <c r="J51" i="11"/>
  <c r="U50" i="11"/>
  <c r="T50" i="11"/>
  <c r="S50" i="11"/>
  <c r="R50" i="11"/>
  <c r="Q50" i="11"/>
  <c r="P50" i="11"/>
  <c r="O50" i="11"/>
  <c r="N50" i="11"/>
  <c r="M50" i="11"/>
  <c r="L50" i="11"/>
  <c r="K50" i="11"/>
  <c r="J50" i="11"/>
  <c r="U49" i="11"/>
  <c r="T49" i="11"/>
  <c r="S49" i="11"/>
  <c r="R49" i="11"/>
  <c r="Q49" i="11"/>
  <c r="P49" i="11"/>
  <c r="O49" i="11"/>
  <c r="N49" i="11"/>
  <c r="M49" i="11"/>
  <c r="L49" i="11"/>
  <c r="K49" i="11"/>
  <c r="J49" i="11"/>
  <c r="U48" i="11"/>
  <c r="T48" i="11"/>
  <c r="S48" i="11"/>
  <c r="R48" i="11"/>
  <c r="Q48" i="11"/>
  <c r="P48" i="11"/>
  <c r="O48" i="11"/>
  <c r="N48" i="11"/>
  <c r="M48" i="11"/>
  <c r="L48" i="11"/>
  <c r="K48" i="11"/>
  <c r="J48" i="11"/>
  <c r="U47" i="11"/>
  <c r="T47" i="11"/>
  <c r="S47" i="11"/>
  <c r="R47" i="11"/>
  <c r="Q47" i="11"/>
  <c r="P47" i="11"/>
  <c r="O47" i="11"/>
  <c r="N47" i="11"/>
  <c r="M47" i="11"/>
  <c r="L47" i="11"/>
  <c r="K47" i="11"/>
  <c r="J47" i="11"/>
  <c r="U46" i="11"/>
  <c r="T46" i="11"/>
  <c r="S46" i="11"/>
  <c r="R46" i="11"/>
  <c r="Q46" i="11"/>
  <c r="P46" i="11"/>
  <c r="O46" i="11"/>
  <c r="N46" i="11"/>
  <c r="M46" i="11"/>
  <c r="L46" i="11"/>
  <c r="K46" i="11"/>
  <c r="J46" i="11"/>
  <c r="U45" i="11"/>
  <c r="T45" i="11"/>
  <c r="S45" i="11"/>
  <c r="R45" i="11"/>
  <c r="Q45" i="11"/>
  <c r="P45" i="11"/>
  <c r="O45" i="11"/>
  <c r="N45" i="11"/>
  <c r="M45" i="11"/>
  <c r="L45" i="11"/>
  <c r="K45" i="11"/>
  <c r="J45" i="11"/>
  <c r="U44" i="11"/>
  <c r="T44" i="11"/>
  <c r="S44" i="11"/>
  <c r="R44" i="11"/>
  <c r="Q44" i="11"/>
  <c r="P44" i="11"/>
  <c r="O44" i="11"/>
  <c r="N44" i="11"/>
  <c r="M44" i="11"/>
  <c r="L44" i="11"/>
  <c r="K44" i="11"/>
  <c r="J44" i="11"/>
  <c r="U43" i="11"/>
  <c r="T43" i="11"/>
  <c r="S43" i="11"/>
  <c r="R43" i="11"/>
  <c r="Q43" i="11"/>
  <c r="P43" i="11"/>
  <c r="O43" i="11"/>
  <c r="N43" i="11"/>
  <c r="M43" i="11"/>
  <c r="L43" i="11"/>
  <c r="K43" i="11"/>
  <c r="J43" i="11"/>
  <c r="U42" i="11"/>
  <c r="T42" i="11"/>
  <c r="S42" i="11"/>
  <c r="R42" i="11"/>
  <c r="Q42" i="11"/>
  <c r="P42" i="11"/>
  <c r="O42" i="11"/>
  <c r="N42" i="11"/>
  <c r="M42" i="11"/>
  <c r="L42" i="11"/>
  <c r="K42" i="11"/>
  <c r="J42" i="11"/>
  <c r="H42" i="11"/>
  <c r="U41" i="11"/>
  <c r="T41" i="11"/>
  <c r="S41" i="11"/>
  <c r="R41" i="11"/>
  <c r="Q41" i="11"/>
  <c r="P41" i="11"/>
  <c r="O41" i="11"/>
  <c r="N41" i="11"/>
  <c r="M41" i="11"/>
  <c r="L41" i="11"/>
  <c r="K41" i="11"/>
  <c r="J41" i="11"/>
  <c r="H41" i="11"/>
  <c r="U40" i="11"/>
  <c r="T40" i="11"/>
  <c r="S40" i="11"/>
  <c r="R40" i="11"/>
  <c r="Q40" i="11"/>
  <c r="P40" i="11"/>
  <c r="O40" i="11"/>
  <c r="N40" i="11"/>
  <c r="M40" i="11"/>
  <c r="L40" i="11"/>
  <c r="K40" i="11"/>
  <c r="J40" i="11"/>
  <c r="H40" i="11"/>
  <c r="U39" i="11"/>
  <c r="T39" i="11"/>
  <c r="S39" i="11"/>
  <c r="R39" i="11"/>
  <c r="Q39" i="11"/>
  <c r="P39" i="11"/>
  <c r="O39" i="11"/>
  <c r="N39" i="11"/>
  <c r="M39" i="11"/>
  <c r="L39" i="11"/>
  <c r="K39" i="11"/>
  <c r="J39" i="11"/>
  <c r="H39" i="11"/>
  <c r="U38" i="11"/>
  <c r="T38" i="11"/>
  <c r="S38" i="11"/>
  <c r="R38" i="11"/>
  <c r="Q38" i="11"/>
  <c r="P38" i="11"/>
  <c r="O38" i="11"/>
  <c r="N38" i="11"/>
  <c r="M38" i="11"/>
  <c r="L38" i="11"/>
  <c r="K38" i="11"/>
  <c r="J38" i="11"/>
  <c r="H38" i="11"/>
  <c r="U37" i="11"/>
  <c r="T37" i="11"/>
  <c r="S37" i="11"/>
  <c r="R37" i="11"/>
  <c r="Q37" i="11"/>
  <c r="P37" i="11"/>
  <c r="O37" i="11"/>
  <c r="N37" i="11"/>
  <c r="M37" i="11"/>
  <c r="L37" i="11"/>
  <c r="K37" i="11"/>
  <c r="J37" i="11"/>
  <c r="H37" i="11"/>
  <c r="U36" i="11"/>
  <c r="T36" i="11"/>
  <c r="S36" i="11"/>
  <c r="R36" i="11"/>
  <c r="Q36" i="11"/>
  <c r="P36" i="11"/>
  <c r="O36" i="11"/>
  <c r="N36" i="11"/>
  <c r="M36" i="11"/>
  <c r="L36" i="11"/>
  <c r="K36" i="11"/>
  <c r="J36" i="11"/>
  <c r="H36" i="11"/>
  <c r="U35" i="11"/>
  <c r="T35" i="11"/>
  <c r="S35" i="11"/>
  <c r="R35" i="11"/>
  <c r="Q35" i="11"/>
  <c r="P35" i="11"/>
  <c r="O35" i="11"/>
  <c r="N35" i="11"/>
  <c r="M35" i="11"/>
  <c r="L35" i="11"/>
  <c r="K35" i="11"/>
  <c r="J35" i="11"/>
  <c r="H35" i="11"/>
  <c r="U34" i="11"/>
  <c r="T34" i="11"/>
  <c r="S34" i="11"/>
  <c r="R34" i="11"/>
  <c r="Q34" i="11"/>
  <c r="P34" i="11"/>
  <c r="O34" i="11"/>
  <c r="N34" i="11"/>
  <c r="M34" i="11"/>
  <c r="L34" i="11"/>
  <c r="K34" i="11"/>
  <c r="J34" i="11"/>
  <c r="H34" i="11"/>
  <c r="U33" i="11"/>
  <c r="T33" i="11"/>
  <c r="S33" i="11"/>
  <c r="R33" i="11"/>
  <c r="Q33" i="11"/>
  <c r="P33" i="11"/>
  <c r="O33" i="11"/>
  <c r="N33" i="11"/>
  <c r="M33" i="11"/>
  <c r="L33" i="11"/>
  <c r="K33" i="11"/>
  <c r="J33" i="11"/>
  <c r="H33" i="11"/>
  <c r="U32" i="11"/>
  <c r="T32" i="11"/>
  <c r="S32" i="11"/>
  <c r="R32" i="11"/>
  <c r="Q32" i="11"/>
  <c r="P32" i="11"/>
  <c r="O32" i="11"/>
  <c r="N32" i="11"/>
  <c r="M32" i="11"/>
  <c r="L32" i="11"/>
  <c r="K32" i="11"/>
  <c r="J32" i="11"/>
  <c r="H32" i="11"/>
  <c r="U31" i="11"/>
  <c r="T31" i="11"/>
  <c r="S31" i="11"/>
  <c r="R31" i="11"/>
  <c r="Q31" i="11"/>
  <c r="P31" i="11"/>
  <c r="O31" i="11"/>
  <c r="N31" i="11"/>
  <c r="M31" i="11"/>
  <c r="L31" i="11"/>
  <c r="K31" i="11"/>
  <c r="J31" i="11"/>
  <c r="H31" i="11"/>
  <c r="U30" i="11"/>
  <c r="T30" i="11"/>
  <c r="S30" i="11"/>
  <c r="R30" i="11"/>
  <c r="Q30" i="11"/>
  <c r="P30" i="11"/>
  <c r="O30" i="11"/>
  <c r="N30" i="11"/>
  <c r="M30" i="11"/>
  <c r="L30" i="11"/>
  <c r="K30" i="11"/>
  <c r="J30" i="11"/>
  <c r="H30" i="11"/>
  <c r="U29" i="11"/>
  <c r="T29" i="11"/>
  <c r="S29" i="11"/>
  <c r="R29" i="11"/>
  <c r="Q29" i="11"/>
  <c r="P29" i="11"/>
  <c r="O29" i="11"/>
  <c r="N29" i="11"/>
  <c r="M29" i="11"/>
  <c r="L29" i="11"/>
  <c r="K29" i="11"/>
  <c r="J29" i="11"/>
  <c r="H29" i="11"/>
  <c r="U28" i="11"/>
  <c r="T28" i="11"/>
  <c r="S28" i="11"/>
  <c r="R28" i="11"/>
  <c r="Q28" i="11"/>
  <c r="P28" i="11"/>
  <c r="O28" i="11"/>
  <c r="N28" i="11"/>
  <c r="M28" i="11"/>
  <c r="L28" i="11"/>
  <c r="K28" i="11"/>
  <c r="J28" i="11"/>
  <c r="H28" i="11"/>
  <c r="U27" i="11"/>
  <c r="T27" i="11"/>
  <c r="S27" i="11"/>
  <c r="R27" i="11"/>
  <c r="Q27" i="11"/>
  <c r="P27" i="11"/>
  <c r="O27" i="11"/>
  <c r="N27" i="11"/>
  <c r="M27" i="11"/>
  <c r="L27" i="11"/>
  <c r="K27" i="11"/>
  <c r="J27" i="11"/>
  <c r="H27" i="11"/>
  <c r="U26" i="11"/>
  <c r="T26" i="11"/>
  <c r="S26" i="11"/>
  <c r="R26" i="11"/>
  <c r="Q26" i="11"/>
  <c r="P26" i="11"/>
  <c r="O26" i="11"/>
  <c r="N26" i="11"/>
  <c r="M26" i="11"/>
  <c r="L26" i="11"/>
  <c r="K26" i="11"/>
  <c r="J26" i="11"/>
  <c r="H26" i="11"/>
  <c r="U25" i="11"/>
  <c r="T25" i="11"/>
  <c r="S25" i="11"/>
  <c r="R25" i="11"/>
  <c r="Q25" i="11"/>
  <c r="P25" i="11"/>
  <c r="O25" i="11"/>
  <c r="N25" i="11"/>
  <c r="M25" i="11"/>
  <c r="L25" i="11"/>
  <c r="K25" i="11"/>
  <c r="J25" i="11"/>
  <c r="H25" i="11"/>
  <c r="U24" i="11"/>
  <c r="T24" i="11"/>
  <c r="S24" i="11"/>
  <c r="R24" i="11"/>
  <c r="Q24" i="11"/>
  <c r="P24" i="11"/>
  <c r="O24" i="11"/>
  <c r="N24" i="11"/>
  <c r="M24" i="11"/>
  <c r="L24" i="11"/>
  <c r="K24" i="11"/>
  <c r="J24" i="11"/>
  <c r="H24" i="11"/>
  <c r="U23" i="11"/>
  <c r="T23" i="11"/>
  <c r="S23" i="11"/>
  <c r="R23" i="11"/>
  <c r="Q23" i="11"/>
  <c r="P23" i="11"/>
  <c r="O23" i="11"/>
  <c r="N23" i="11"/>
  <c r="M23" i="11"/>
  <c r="L23" i="11"/>
  <c r="K23" i="11"/>
  <c r="J23" i="11"/>
  <c r="H23" i="11"/>
  <c r="U22" i="11"/>
  <c r="T22" i="11"/>
  <c r="S22" i="11"/>
  <c r="R22" i="11"/>
  <c r="Q22" i="11"/>
  <c r="P22" i="11"/>
  <c r="O22" i="11"/>
  <c r="N22" i="11"/>
  <c r="M22" i="11"/>
  <c r="L22" i="11"/>
  <c r="K22" i="11"/>
  <c r="J22" i="11"/>
  <c r="H22" i="11"/>
  <c r="U21" i="11"/>
  <c r="T21" i="11"/>
  <c r="S21" i="11"/>
  <c r="R21" i="11"/>
  <c r="Q21" i="11"/>
  <c r="P21" i="11"/>
  <c r="O21" i="11"/>
  <c r="N21" i="11"/>
  <c r="M21" i="11"/>
  <c r="L21" i="11"/>
  <c r="K21" i="11"/>
  <c r="J21" i="11"/>
  <c r="H21" i="11"/>
  <c r="U20" i="11"/>
  <c r="T20" i="11"/>
  <c r="S20" i="11"/>
  <c r="R20" i="11"/>
  <c r="Q20" i="11"/>
  <c r="P20" i="11"/>
  <c r="O20" i="11"/>
  <c r="N20" i="11"/>
  <c r="M20" i="11"/>
  <c r="L20" i="11"/>
  <c r="K20" i="11"/>
  <c r="J20" i="11"/>
  <c r="H20" i="11"/>
  <c r="U19" i="11"/>
  <c r="T19" i="11"/>
  <c r="S19" i="11"/>
  <c r="R19" i="11"/>
  <c r="Q19" i="11"/>
  <c r="P19" i="11"/>
  <c r="O19" i="11"/>
  <c r="N19" i="11"/>
  <c r="M19" i="11"/>
  <c r="L19" i="11"/>
  <c r="K19" i="11"/>
  <c r="J19" i="11"/>
  <c r="H19" i="11"/>
  <c r="U18" i="11"/>
  <c r="T18" i="11"/>
  <c r="S18" i="11"/>
  <c r="R18" i="11"/>
  <c r="Q18" i="11"/>
  <c r="P18" i="11"/>
  <c r="O18" i="11"/>
  <c r="N18" i="11"/>
  <c r="M18" i="11"/>
  <c r="L18" i="11"/>
  <c r="K18" i="11"/>
  <c r="J18" i="11"/>
  <c r="H18" i="11"/>
  <c r="U17" i="11"/>
  <c r="T17" i="11"/>
  <c r="S17" i="11"/>
  <c r="R17" i="11"/>
  <c r="Q17" i="11"/>
  <c r="P17" i="11"/>
  <c r="O17" i="11"/>
  <c r="N17" i="11"/>
  <c r="M17" i="11"/>
  <c r="L17" i="11"/>
  <c r="K17" i="11"/>
  <c r="J17" i="11"/>
  <c r="H17" i="11"/>
  <c r="U16" i="11"/>
  <c r="T16" i="11"/>
  <c r="S16" i="11"/>
  <c r="R16" i="11"/>
  <c r="Q16" i="11"/>
  <c r="P16" i="11"/>
  <c r="O16" i="11"/>
  <c r="N16" i="11"/>
  <c r="M16" i="11"/>
  <c r="L16" i="11"/>
  <c r="K16" i="11"/>
  <c r="J16" i="11"/>
  <c r="H16" i="11"/>
  <c r="U15" i="11"/>
  <c r="T15" i="11"/>
  <c r="S15" i="11"/>
  <c r="R15" i="11"/>
  <c r="Q15" i="11"/>
  <c r="P15" i="11"/>
  <c r="O15" i="11"/>
  <c r="N15" i="11"/>
  <c r="M15" i="11"/>
  <c r="L15" i="11"/>
  <c r="K15" i="11"/>
  <c r="J15" i="11"/>
  <c r="H15" i="11"/>
  <c r="U14" i="11"/>
  <c r="T14" i="11"/>
  <c r="S14" i="11"/>
  <c r="R14" i="11"/>
  <c r="Q14" i="11"/>
  <c r="P14" i="11"/>
  <c r="O14" i="11"/>
  <c r="N14" i="11"/>
  <c r="M14" i="11"/>
  <c r="L14" i="11"/>
  <c r="K14" i="11"/>
  <c r="J14" i="11"/>
  <c r="H14" i="11"/>
  <c r="U13" i="11"/>
  <c r="T13" i="11"/>
  <c r="S13" i="11"/>
  <c r="R13" i="11"/>
  <c r="Q13" i="11"/>
  <c r="P13" i="11"/>
  <c r="O13" i="11"/>
  <c r="N13" i="11"/>
  <c r="M13" i="11"/>
  <c r="L13" i="11"/>
  <c r="K13" i="11"/>
  <c r="J13" i="11"/>
  <c r="H13" i="11"/>
  <c r="U12" i="11"/>
  <c r="T12" i="11"/>
  <c r="S12" i="11"/>
  <c r="R12" i="11"/>
  <c r="Q12" i="11"/>
  <c r="P12" i="11"/>
  <c r="O12" i="11"/>
  <c r="N12" i="11"/>
  <c r="M12" i="11"/>
  <c r="L12" i="11"/>
  <c r="K12" i="11"/>
  <c r="J12" i="11"/>
  <c r="H12" i="11"/>
  <c r="U11" i="11"/>
  <c r="T11" i="11"/>
  <c r="S11" i="11"/>
  <c r="R11" i="11"/>
  <c r="Q11" i="11"/>
  <c r="P11" i="11"/>
  <c r="O11" i="11"/>
  <c r="N11" i="11"/>
  <c r="M11" i="11"/>
  <c r="L11" i="11"/>
  <c r="K11" i="11"/>
  <c r="J11" i="11"/>
  <c r="H11" i="11"/>
  <c r="U10" i="11"/>
  <c r="T10" i="11"/>
  <c r="S10" i="11"/>
  <c r="R10" i="11"/>
  <c r="Q10" i="11"/>
  <c r="P10" i="11"/>
  <c r="O10" i="11"/>
  <c r="N10" i="11"/>
  <c r="M10" i="11"/>
  <c r="L10" i="11"/>
  <c r="K10" i="11"/>
  <c r="J10" i="11"/>
  <c r="H10" i="11"/>
  <c r="U9" i="11"/>
  <c r="T9" i="11"/>
  <c r="S9" i="11"/>
  <c r="R9" i="11"/>
  <c r="Q9" i="11"/>
  <c r="P9" i="11"/>
  <c r="O9" i="11"/>
  <c r="N9" i="11"/>
  <c r="M9" i="11"/>
  <c r="L9" i="11"/>
  <c r="K9" i="11"/>
  <c r="J9" i="11"/>
  <c r="H9" i="11"/>
  <c r="U8" i="11"/>
  <c r="T8" i="11"/>
  <c r="S8" i="11"/>
  <c r="R8" i="11"/>
  <c r="Q8" i="11"/>
  <c r="P8" i="11"/>
  <c r="O8" i="11"/>
  <c r="N8" i="11"/>
  <c r="M8" i="11"/>
  <c r="L8" i="11"/>
  <c r="K8" i="11"/>
  <c r="J8" i="11"/>
  <c r="H8" i="11"/>
  <c r="U7" i="11"/>
  <c r="T7" i="11"/>
  <c r="S7" i="11"/>
  <c r="R7" i="11"/>
  <c r="Q7" i="11"/>
  <c r="P7" i="11"/>
  <c r="O7" i="11"/>
  <c r="N7" i="11"/>
  <c r="M7" i="11"/>
  <c r="L7" i="11"/>
  <c r="K7" i="11"/>
  <c r="J7" i="11"/>
  <c r="H7" i="11"/>
  <c r="U6" i="11"/>
  <c r="T6" i="11"/>
  <c r="S6" i="11"/>
  <c r="R6" i="11"/>
  <c r="Q6" i="11"/>
  <c r="P6" i="11"/>
  <c r="O6" i="11"/>
  <c r="N6" i="11"/>
  <c r="M6" i="11"/>
  <c r="L6" i="11"/>
  <c r="K6" i="11"/>
  <c r="J6" i="11"/>
  <c r="H6" i="11"/>
  <c r="U5" i="11"/>
  <c r="T5" i="11"/>
  <c r="S5" i="11"/>
  <c r="R5" i="11"/>
  <c r="Q5" i="11"/>
  <c r="P5" i="11"/>
  <c r="O5" i="11"/>
  <c r="N5" i="11"/>
  <c r="M5" i="11"/>
  <c r="L5" i="11"/>
  <c r="K5" i="11"/>
  <c r="J5" i="11"/>
  <c r="H5" i="11"/>
  <c r="U4" i="11"/>
  <c r="T4" i="11"/>
  <c r="S4" i="11"/>
  <c r="R4" i="11"/>
  <c r="Q4" i="11"/>
  <c r="P4" i="11"/>
  <c r="O4" i="11"/>
  <c r="N4" i="11"/>
  <c r="M4" i="11"/>
  <c r="L4" i="11"/>
  <c r="K4" i="11"/>
  <c r="J4" i="11"/>
  <c r="H4" i="11"/>
  <c r="U3" i="11"/>
  <c r="T3" i="11"/>
  <c r="S3" i="11"/>
  <c r="R3" i="11"/>
  <c r="Q3" i="11"/>
  <c r="P3" i="11"/>
  <c r="O3" i="11"/>
  <c r="N3" i="11"/>
  <c r="M3" i="11"/>
  <c r="L3" i="11"/>
  <c r="K3" i="11"/>
  <c r="J3" i="11"/>
  <c r="H3" i="11"/>
  <c r="AG2" i="11"/>
  <c r="AF2" i="11"/>
  <c r="AE2" i="11"/>
  <c r="AD2" i="11"/>
  <c r="AC2" i="11"/>
  <c r="AB2" i="11"/>
  <c r="AA2" i="11"/>
  <c r="Z2" i="11"/>
  <c r="Y2" i="11"/>
  <c r="X2" i="11"/>
  <c r="W2" i="11"/>
  <c r="V2" i="11"/>
  <c r="U2" i="11"/>
  <c r="T2" i="11"/>
  <c r="S2" i="11"/>
  <c r="R2" i="11"/>
  <c r="Q2" i="11"/>
  <c r="P2" i="11"/>
  <c r="O2" i="11"/>
  <c r="N2" i="11"/>
  <c r="M2" i="11"/>
  <c r="L2" i="11"/>
  <c r="K2" i="11"/>
  <c r="J2" i="11"/>
  <c r="H2" i="11"/>
  <c r="U150" i="10"/>
  <c r="T150" i="10"/>
  <c r="S150" i="10"/>
  <c r="R150" i="10"/>
  <c r="Q150" i="10"/>
  <c r="P150" i="10"/>
  <c r="O150" i="10"/>
  <c r="N150" i="10"/>
  <c r="M150" i="10"/>
  <c r="L150" i="10"/>
  <c r="K150" i="10"/>
  <c r="J150" i="10"/>
  <c r="U149" i="10"/>
  <c r="T149" i="10"/>
  <c r="S149" i="10"/>
  <c r="R149" i="10"/>
  <c r="Q149" i="10"/>
  <c r="P149" i="10"/>
  <c r="O149" i="10"/>
  <c r="N149" i="10"/>
  <c r="M149" i="10"/>
  <c r="L149" i="10"/>
  <c r="K149" i="10"/>
  <c r="J149" i="10"/>
  <c r="U148" i="10"/>
  <c r="T148" i="10"/>
  <c r="S148" i="10"/>
  <c r="R148" i="10"/>
  <c r="Q148" i="10"/>
  <c r="P148" i="10"/>
  <c r="O148" i="10"/>
  <c r="N148" i="10"/>
  <c r="M148" i="10"/>
  <c r="L148" i="10"/>
  <c r="K148" i="10"/>
  <c r="J148" i="10"/>
  <c r="U147" i="10"/>
  <c r="T147" i="10"/>
  <c r="S147" i="10"/>
  <c r="R147" i="10"/>
  <c r="Q147" i="10"/>
  <c r="P147" i="10"/>
  <c r="O147" i="10"/>
  <c r="N147" i="10"/>
  <c r="M147" i="10"/>
  <c r="L147" i="10"/>
  <c r="K147" i="10"/>
  <c r="J147" i="10"/>
  <c r="U146" i="10"/>
  <c r="T146" i="10"/>
  <c r="S146" i="10"/>
  <c r="R146" i="10"/>
  <c r="Q146" i="10"/>
  <c r="P146" i="10"/>
  <c r="O146" i="10"/>
  <c r="N146" i="10"/>
  <c r="M146" i="10"/>
  <c r="L146" i="10"/>
  <c r="K146" i="10"/>
  <c r="J146" i="10"/>
  <c r="U145" i="10"/>
  <c r="T145" i="10"/>
  <c r="S145" i="10"/>
  <c r="R145" i="10"/>
  <c r="Q145" i="10"/>
  <c r="P145" i="10"/>
  <c r="O145" i="10"/>
  <c r="N145" i="10"/>
  <c r="M145" i="10"/>
  <c r="L145" i="10"/>
  <c r="K145" i="10"/>
  <c r="J145" i="10"/>
  <c r="U144" i="10"/>
  <c r="T144" i="10"/>
  <c r="S144" i="10"/>
  <c r="R144" i="10"/>
  <c r="Q144" i="10"/>
  <c r="P144" i="10"/>
  <c r="O144" i="10"/>
  <c r="N144" i="10"/>
  <c r="M144" i="10"/>
  <c r="L144" i="10"/>
  <c r="K144" i="10"/>
  <c r="J144" i="10"/>
  <c r="U143" i="10"/>
  <c r="T143" i="10"/>
  <c r="S143" i="10"/>
  <c r="R143" i="10"/>
  <c r="Q143" i="10"/>
  <c r="P143" i="10"/>
  <c r="O143" i="10"/>
  <c r="N143" i="10"/>
  <c r="M143" i="10"/>
  <c r="L143" i="10"/>
  <c r="K143" i="10"/>
  <c r="J143" i="10"/>
  <c r="U142" i="10"/>
  <c r="T142" i="10"/>
  <c r="S142" i="10"/>
  <c r="R142" i="10"/>
  <c r="Q142" i="10"/>
  <c r="P142" i="10"/>
  <c r="O142" i="10"/>
  <c r="N142" i="10"/>
  <c r="M142" i="10"/>
  <c r="L142" i="10"/>
  <c r="K142" i="10"/>
  <c r="J142" i="10"/>
  <c r="U141" i="10"/>
  <c r="T141" i="10"/>
  <c r="S141" i="10"/>
  <c r="R141" i="10"/>
  <c r="Q141" i="10"/>
  <c r="P141" i="10"/>
  <c r="O141" i="10"/>
  <c r="N141" i="10"/>
  <c r="M141" i="10"/>
  <c r="L141" i="10"/>
  <c r="K141" i="10"/>
  <c r="J141" i="10"/>
  <c r="U140" i="10"/>
  <c r="T140" i="10"/>
  <c r="S140" i="10"/>
  <c r="R140" i="10"/>
  <c r="Q140" i="10"/>
  <c r="P140" i="10"/>
  <c r="O140" i="10"/>
  <c r="N140" i="10"/>
  <c r="M140" i="10"/>
  <c r="L140" i="10"/>
  <c r="K140" i="10"/>
  <c r="J140" i="10"/>
  <c r="U139" i="10"/>
  <c r="T139" i="10"/>
  <c r="S139" i="10"/>
  <c r="R139" i="10"/>
  <c r="Q139" i="10"/>
  <c r="P139" i="10"/>
  <c r="O139" i="10"/>
  <c r="N139" i="10"/>
  <c r="M139" i="10"/>
  <c r="L139" i="10"/>
  <c r="K139" i="10"/>
  <c r="J139" i="10"/>
  <c r="U138" i="10"/>
  <c r="T138" i="10"/>
  <c r="S138" i="10"/>
  <c r="R138" i="10"/>
  <c r="Q138" i="10"/>
  <c r="P138" i="10"/>
  <c r="O138" i="10"/>
  <c r="N138" i="10"/>
  <c r="M138" i="10"/>
  <c r="L138" i="10"/>
  <c r="K138" i="10"/>
  <c r="J138" i="10"/>
  <c r="U137" i="10"/>
  <c r="T137" i="10"/>
  <c r="S137" i="10"/>
  <c r="R137" i="10"/>
  <c r="Q137" i="10"/>
  <c r="P137" i="10"/>
  <c r="O137" i="10"/>
  <c r="N137" i="10"/>
  <c r="M137" i="10"/>
  <c r="L137" i="10"/>
  <c r="K137" i="10"/>
  <c r="J137" i="10"/>
  <c r="U136" i="10"/>
  <c r="T136" i="10"/>
  <c r="S136" i="10"/>
  <c r="R136" i="10"/>
  <c r="Q136" i="10"/>
  <c r="P136" i="10"/>
  <c r="O136" i="10"/>
  <c r="N136" i="10"/>
  <c r="M136" i="10"/>
  <c r="L136" i="10"/>
  <c r="K136" i="10"/>
  <c r="J136" i="10"/>
  <c r="U135" i="10"/>
  <c r="T135" i="10"/>
  <c r="S135" i="10"/>
  <c r="R135" i="10"/>
  <c r="Q135" i="10"/>
  <c r="P135" i="10"/>
  <c r="O135" i="10"/>
  <c r="N135" i="10"/>
  <c r="M135" i="10"/>
  <c r="L135" i="10"/>
  <c r="K135" i="10"/>
  <c r="J135" i="10"/>
  <c r="U134" i="10"/>
  <c r="T134" i="10"/>
  <c r="S134" i="10"/>
  <c r="R134" i="10"/>
  <c r="Q134" i="10"/>
  <c r="P134" i="10"/>
  <c r="O134" i="10"/>
  <c r="N134" i="10"/>
  <c r="M134" i="10"/>
  <c r="L134" i="10"/>
  <c r="K134" i="10"/>
  <c r="J134" i="10"/>
  <c r="U133" i="10"/>
  <c r="T133" i="10"/>
  <c r="S133" i="10"/>
  <c r="R133" i="10"/>
  <c r="Q133" i="10"/>
  <c r="P133" i="10"/>
  <c r="O133" i="10"/>
  <c r="N133" i="10"/>
  <c r="M133" i="10"/>
  <c r="L133" i="10"/>
  <c r="K133" i="10"/>
  <c r="J133" i="10"/>
  <c r="U132" i="10"/>
  <c r="T132" i="10"/>
  <c r="S132" i="10"/>
  <c r="R132" i="10"/>
  <c r="Q132" i="10"/>
  <c r="P132" i="10"/>
  <c r="O132" i="10"/>
  <c r="N132" i="10"/>
  <c r="M132" i="10"/>
  <c r="L132" i="10"/>
  <c r="K132" i="10"/>
  <c r="J132" i="10"/>
  <c r="U131" i="10"/>
  <c r="T131" i="10"/>
  <c r="S131" i="10"/>
  <c r="R131" i="10"/>
  <c r="Q131" i="10"/>
  <c r="P131" i="10"/>
  <c r="O131" i="10"/>
  <c r="N131" i="10"/>
  <c r="M131" i="10"/>
  <c r="L131" i="10"/>
  <c r="K131" i="10"/>
  <c r="J131" i="10"/>
  <c r="U130" i="10"/>
  <c r="T130" i="10"/>
  <c r="S130" i="10"/>
  <c r="R130" i="10"/>
  <c r="Q130" i="10"/>
  <c r="P130" i="10"/>
  <c r="O130" i="10"/>
  <c r="N130" i="10"/>
  <c r="M130" i="10"/>
  <c r="L130" i="10"/>
  <c r="K130" i="10"/>
  <c r="J130" i="10"/>
  <c r="U129" i="10"/>
  <c r="T129" i="10"/>
  <c r="S129" i="10"/>
  <c r="R129" i="10"/>
  <c r="Q129" i="10"/>
  <c r="P129" i="10"/>
  <c r="O129" i="10"/>
  <c r="N129" i="10"/>
  <c r="M129" i="10"/>
  <c r="L129" i="10"/>
  <c r="K129" i="10"/>
  <c r="J129" i="10"/>
  <c r="U128" i="10"/>
  <c r="T128" i="10"/>
  <c r="S128" i="10"/>
  <c r="R128" i="10"/>
  <c r="Q128" i="10"/>
  <c r="P128" i="10"/>
  <c r="O128" i="10"/>
  <c r="N128" i="10"/>
  <c r="M128" i="10"/>
  <c r="L128" i="10"/>
  <c r="K128" i="10"/>
  <c r="J128" i="10"/>
  <c r="U127" i="10"/>
  <c r="T127" i="10"/>
  <c r="S127" i="10"/>
  <c r="R127" i="10"/>
  <c r="Q127" i="10"/>
  <c r="P127" i="10"/>
  <c r="O127" i="10"/>
  <c r="N127" i="10"/>
  <c r="M127" i="10"/>
  <c r="L127" i="10"/>
  <c r="K127" i="10"/>
  <c r="J127" i="10"/>
  <c r="U126" i="10"/>
  <c r="T126" i="10"/>
  <c r="S126" i="10"/>
  <c r="R126" i="10"/>
  <c r="Q126" i="10"/>
  <c r="P126" i="10"/>
  <c r="O126" i="10"/>
  <c r="N126" i="10"/>
  <c r="M126" i="10"/>
  <c r="L126" i="10"/>
  <c r="K126" i="10"/>
  <c r="J126" i="10"/>
  <c r="U125" i="10"/>
  <c r="T125" i="10"/>
  <c r="S125" i="10"/>
  <c r="R125" i="10"/>
  <c r="Q125" i="10"/>
  <c r="P125" i="10"/>
  <c r="O125" i="10"/>
  <c r="N125" i="10"/>
  <c r="M125" i="10"/>
  <c r="L125" i="10"/>
  <c r="K125" i="10"/>
  <c r="J125" i="10"/>
  <c r="U124" i="10"/>
  <c r="T124" i="10"/>
  <c r="S124" i="10"/>
  <c r="R124" i="10"/>
  <c r="Q124" i="10"/>
  <c r="P124" i="10"/>
  <c r="O124" i="10"/>
  <c r="N124" i="10"/>
  <c r="M124" i="10"/>
  <c r="L124" i="10"/>
  <c r="K124" i="10"/>
  <c r="J124" i="10"/>
  <c r="U123" i="10"/>
  <c r="T123" i="10"/>
  <c r="S123" i="10"/>
  <c r="R123" i="10"/>
  <c r="Q123" i="10"/>
  <c r="P123" i="10"/>
  <c r="O123" i="10"/>
  <c r="N123" i="10"/>
  <c r="M123" i="10"/>
  <c r="L123" i="10"/>
  <c r="K123" i="10"/>
  <c r="J123" i="10"/>
  <c r="U122" i="10"/>
  <c r="T122" i="10"/>
  <c r="S122" i="10"/>
  <c r="R122" i="10"/>
  <c r="Q122" i="10"/>
  <c r="P122" i="10"/>
  <c r="O122" i="10"/>
  <c r="N122" i="10"/>
  <c r="M122" i="10"/>
  <c r="L122" i="10"/>
  <c r="K122" i="10"/>
  <c r="J122" i="10"/>
  <c r="U121" i="10"/>
  <c r="T121" i="10"/>
  <c r="S121" i="10"/>
  <c r="R121" i="10"/>
  <c r="Q121" i="10"/>
  <c r="P121" i="10"/>
  <c r="O121" i="10"/>
  <c r="N121" i="10"/>
  <c r="M121" i="10"/>
  <c r="L121" i="10"/>
  <c r="K121" i="10"/>
  <c r="J121" i="10"/>
  <c r="U120" i="10"/>
  <c r="T120" i="10"/>
  <c r="S120" i="10"/>
  <c r="R120" i="10"/>
  <c r="Q120" i="10"/>
  <c r="P120" i="10"/>
  <c r="O120" i="10"/>
  <c r="N120" i="10"/>
  <c r="M120" i="10"/>
  <c r="L120" i="10"/>
  <c r="K120" i="10"/>
  <c r="J120" i="10"/>
  <c r="U119" i="10"/>
  <c r="T119" i="10"/>
  <c r="S119" i="10"/>
  <c r="R119" i="10"/>
  <c r="Q119" i="10"/>
  <c r="P119" i="10"/>
  <c r="O119" i="10"/>
  <c r="N119" i="10"/>
  <c r="M119" i="10"/>
  <c r="L119" i="10"/>
  <c r="K119" i="10"/>
  <c r="J119" i="10"/>
  <c r="U118" i="10"/>
  <c r="T118" i="10"/>
  <c r="S118" i="10"/>
  <c r="R118" i="10"/>
  <c r="Q118" i="10"/>
  <c r="P118" i="10"/>
  <c r="O118" i="10"/>
  <c r="N118" i="10"/>
  <c r="M118" i="10"/>
  <c r="L118" i="10"/>
  <c r="K118" i="10"/>
  <c r="J118" i="10"/>
  <c r="U117" i="10"/>
  <c r="T117" i="10"/>
  <c r="S117" i="10"/>
  <c r="R117" i="10"/>
  <c r="Q117" i="10"/>
  <c r="P117" i="10"/>
  <c r="O117" i="10"/>
  <c r="N117" i="10"/>
  <c r="M117" i="10"/>
  <c r="L117" i="10"/>
  <c r="K117" i="10"/>
  <c r="J117" i="10"/>
  <c r="U116" i="10"/>
  <c r="T116" i="10"/>
  <c r="S116" i="10"/>
  <c r="R116" i="10"/>
  <c r="Q116" i="10"/>
  <c r="P116" i="10"/>
  <c r="O116" i="10"/>
  <c r="N116" i="10"/>
  <c r="M116" i="10"/>
  <c r="L116" i="10"/>
  <c r="K116" i="10"/>
  <c r="J116" i="10"/>
  <c r="U115" i="10"/>
  <c r="T115" i="10"/>
  <c r="S115" i="10"/>
  <c r="R115" i="10"/>
  <c r="Q115" i="10"/>
  <c r="P115" i="10"/>
  <c r="O115" i="10"/>
  <c r="N115" i="10"/>
  <c r="M115" i="10"/>
  <c r="L115" i="10"/>
  <c r="K115" i="10"/>
  <c r="J115" i="10"/>
  <c r="U114" i="10"/>
  <c r="T114" i="10"/>
  <c r="S114" i="10"/>
  <c r="R114" i="10"/>
  <c r="Q114" i="10"/>
  <c r="P114" i="10"/>
  <c r="O114" i="10"/>
  <c r="N114" i="10"/>
  <c r="M114" i="10"/>
  <c r="L114" i="10"/>
  <c r="K114" i="10"/>
  <c r="J114" i="10"/>
  <c r="U113" i="10"/>
  <c r="T113" i="10"/>
  <c r="S113" i="10"/>
  <c r="R113" i="10"/>
  <c r="Q113" i="10"/>
  <c r="P113" i="10"/>
  <c r="O113" i="10"/>
  <c r="N113" i="10"/>
  <c r="M113" i="10"/>
  <c r="L113" i="10"/>
  <c r="K113" i="10"/>
  <c r="J113" i="10"/>
  <c r="U112" i="10"/>
  <c r="T112" i="10"/>
  <c r="S112" i="10"/>
  <c r="R112" i="10"/>
  <c r="Q112" i="10"/>
  <c r="P112" i="10"/>
  <c r="O112" i="10"/>
  <c r="N112" i="10"/>
  <c r="M112" i="10"/>
  <c r="L112" i="10"/>
  <c r="K112" i="10"/>
  <c r="J112" i="10"/>
  <c r="U111" i="10"/>
  <c r="T111" i="10"/>
  <c r="S111" i="10"/>
  <c r="R111" i="10"/>
  <c r="Q111" i="10"/>
  <c r="P111" i="10"/>
  <c r="O111" i="10"/>
  <c r="N111" i="10"/>
  <c r="M111" i="10"/>
  <c r="L111" i="10"/>
  <c r="K111" i="10"/>
  <c r="J111" i="10"/>
  <c r="U110" i="10"/>
  <c r="T110" i="10"/>
  <c r="S110" i="10"/>
  <c r="R110" i="10"/>
  <c r="Q110" i="10"/>
  <c r="P110" i="10"/>
  <c r="O110" i="10"/>
  <c r="N110" i="10"/>
  <c r="M110" i="10"/>
  <c r="L110" i="10"/>
  <c r="K110" i="10"/>
  <c r="J110" i="10"/>
  <c r="U109" i="10"/>
  <c r="T109" i="10"/>
  <c r="S109" i="10"/>
  <c r="R109" i="10"/>
  <c r="Q109" i="10"/>
  <c r="P109" i="10"/>
  <c r="O109" i="10"/>
  <c r="N109" i="10"/>
  <c r="M109" i="10"/>
  <c r="L109" i="10"/>
  <c r="K109" i="10"/>
  <c r="J109" i="10"/>
  <c r="U108" i="10"/>
  <c r="T108" i="10"/>
  <c r="S108" i="10"/>
  <c r="R108" i="10"/>
  <c r="Q108" i="10"/>
  <c r="P108" i="10"/>
  <c r="O108" i="10"/>
  <c r="N108" i="10"/>
  <c r="M108" i="10"/>
  <c r="L108" i="10"/>
  <c r="K108" i="10"/>
  <c r="J108" i="10"/>
  <c r="U107" i="10"/>
  <c r="T107" i="10"/>
  <c r="S107" i="10"/>
  <c r="R107" i="10"/>
  <c r="Q107" i="10"/>
  <c r="P107" i="10"/>
  <c r="O107" i="10"/>
  <c r="N107" i="10"/>
  <c r="M107" i="10"/>
  <c r="L107" i="10"/>
  <c r="K107" i="10"/>
  <c r="J107" i="10"/>
  <c r="U106" i="10"/>
  <c r="T106" i="10"/>
  <c r="S106" i="10"/>
  <c r="R106" i="10"/>
  <c r="Q106" i="10"/>
  <c r="P106" i="10"/>
  <c r="O106" i="10"/>
  <c r="N106" i="10"/>
  <c r="M106" i="10"/>
  <c r="L106" i="10"/>
  <c r="K106" i="10"/>
  <c r="J106" i="10"/>
  <c r="U105" i="10"/>
  <c r="T105" i="10"/>
  <c r="S105" i="10"/>
  <c r="R105" i="10"/>
  <c r="Q105" i="10"/>
  <c r="P105" i="10"/>
  <c r="O105" i="10"/>
  <c r="N105" i="10"/>
  <c r="M105" i="10"/>
  <c r="L105" i="10"/>
  <c r="K105" i="10"/>
  <c r="J105" i="10"/>
  <c r="U104" i="10"/>
  <c r="T104" i="10"/>
  <c r="S104" i="10"/>
  <c r="R104" i="10"/>
  <c r="Q104" i="10"/>
  <c r="P104" i="10"/>
  <c r="O104" i="10"/>
  <c r="N104" i="10"/>
  <c r="M104" i="10"/>
  <c r="L104" i="10"/>
  <c r="K104" i="10"/>
  <c r="J104" i="10"/>
  <c r="U103" i="10"/>
  <c r="T103" i="10"/>
  <c r="S103" i="10"/>
  <c r="R103" i="10"/>
  <c r="Q103" i="10"/>
  <c r="P103" i="10"/>
  <c r="O103" i="10"/>
  <c r="N103" i="10"/>
  <c r="M103" i="10"/>
  <c r="L103" i="10"/>
  <c r="K103" i="10"/>
  <c r="J103" i="10"/>
  <c r="U102" i="10"/>
  <c r="T102" i="10"/>
  <c r="S102" i="10"/>
  <c r="R102" i="10"/>
  <c r="Q102" i="10"/>
  <c r="P102" i="10"/>
  <c r="O102" i="10"/>
  <c r="N102" i="10"/>
  <c r="M102" i="10"/>
  <c r="L102" i="10"/>
  <c r="K102" i="10"/>
  <c r="J102" i="10"/>
  <c r="U101" i="10"/>
  <c r="T101" i="10"/>
  <c r="S101" i="10"/>
  <c r="R101" i="10"/>
  <c r="Q101" i="10"/>
  <c r="P101" i="10"/>
  <c r="O101" i="10"/>
  <c r="N101" i="10"/>
  <c r="M101" i="10"/>
  <c r="L101" i="10"/>
  <c r="K101" i="10"/>
  <c r="J101" i="10"/>
  <c r="U100" i="10"/>
  <c r="T100" i="10"/>
  <c r="S100" i="10"/>
  <c r="R100" i="10"/>
  <c r="Q100" i="10"/>
  <c r="P100" i="10"/>
  <c r="O100" i="10"/>
  <c r="N100" i="10"/>
  <c r="M100" i="10"/>
  <c r="L100" i="10"/>
  <c r="K100" i="10"/>
  <c r="J100" i="10"/>
  <c r="U99" i="10"/>
  <c r="T99" i="10"/>
  <c r="S99" i="10"/>
  <c r="R99" i="10"/>
  <c r="Q99" i="10"/>
  <c r="P99" i="10"/>
  <c r="O99" i="10"/>
  <c r="N99" i="10"/>
  <c r="M99" i="10"/>
  <c r="L99" i="10"/>
  <c r="K99" i="10"/>
  <c r="J99" i="10"/>
  <c r="U98" i="10"/>
  <c r="T98" i="10"/>
  <c r="S98" i="10"/>
  <c r="R98" i="10"/>
  <c r="Q98" i="10"/>
  <c r="P98" i="10"/>
  <c r="O98" i="10"/>
  <c r="N98" i="10"/>
  <c r="M98" i="10"/>
  <c r="L98" i="10"/>
  <c r="K98" i="10"/>
  <c r="J98" i="10"/>
  <c r="U97" i="10"/>
  <c r="T97" i="10"/>
  <c r="S97" i="10"/>
  <c r="R97" i="10"/>
  <c r="Q97" i="10"/>
  <c r="P97" i="10"/>
  <c r="O97" i="10"/>
  <c r="N97" i="10"/>
  <c r="M97" i="10"/>
  <c r="L97" i="10"/>
  <c r="K97" i="10"/>
  <c r="J97" i="10"/>
  <c r="U96" i="10"/>
  <c r="T96" i="10"/>
  <c r="S96" i="10"/>
  <c r="R96" i="10"/>
  <c r="Q96" i="10"/>
  <c r="P96" i="10"/>
  <c r="O96" i="10"/>
  <c r="N96" i="10"/>
  <c r="M96" i="10"/>
  <c r="L96" i="10"/>
  <c r="K96" i="10"/>
  <c r="J96" i="10"/>
  <c r="U95" i="10"/>
  <c r="T95" i="10"/>
  <c r="S95" i="10"/>
  <c r="R95" i="10"/>
  <c r="Q95" i="10"/>
  <c r="P95" i="10"/>
  <c r="O95" i="10"/>
  <c r="N95" i="10"/>
  <c r="M95" i="10"/>
  <c r="L95" i="10"/>
  <c r="K95" i="10"/>
  <c r="J95" i="10"/>
  <c r="U94" i="10"/>
  <c r="T94" i="10"/>
  <c r="S94" i="10"/>
  <c r="R94" i="10"/>
  <c r="Q94" i="10"/>
  <c r="P94" i="10"/>
  <c r="O94" i="10"/>
  <c r="N94" i="10"/>
  <c r="M94" i="10"/>
  <c r="L94" i="10"/>
  <c r="K94" i="10"/>
  <c r="J94" i="10"/>
  <c r="U93" i="10"/>
  <c r="T93" i="10"/>
  <c r="S93" i="10"/>
  <c r="R93" i="10"/>
  <c r="Q93" i="10"/>
  <c r="P93" i="10"/>
  <c r="O93" i="10"/>
  <c r="N93" i="10"/>
  <c r="M93" i="10"/>
  <c r="L93" i="10"/>
  <c r="K93" i="10"/>
  <c r="J93" i="10"/>
  <c r="U92" i="10"/>
  <c r="T92" i="10"/>
  <c r="S92" i="10"/>
  <c r="R92" i="10"/>
  <c r="Q92" i="10"/>
  <c r="P92" i="10"/>
  <c r="O92" i="10"/>
  <c r="N92" i="10"/>
  <c r="M92" i="10"/>
  <c r="L92" i="10"/>
  <c r="K92" i="10"/>
  <c r="J92" i="10"/>
  <c r="U91" i="10"/>
  <c r="T91" i="10"/>
  <c r="S91" i="10"/>
  <c r="R91" i="10"/>
  <c r="Q91" i="10"/>
  <c r="P91" i="10"/>
  <c r="O91" i="10"/>
  <c r="N91" i="10"/>
  <c r="M91" i="10"/>
  <c r="L91" i="10"/>
  <c r="K91" i="10"/>
  <c r="J91" i="10"/>
  <c r="U90" i="10"/>
  <c r="T90" i="10"/>
  <c r="S90" i="10"/>
  <c r="R90" i="10"/>
  <c r="Q90" i="10"/>
  <c r="P90" i="10"/>
  <c r="O90" i="10"/>
  <c r="N90" i="10"/>
  <c r="M90" i="10"/>
  <c r="L90" i="10"/>
  <c r="K90" i="10"/>
  <c r="J90" i="10"/>
  <c r="U89" i="10"/>
  <c r="T89" i="10"/>
  <c r="S89" i="10"/>
  <c r="R89" i="10"/>
  <c r="Q89" i="10"/>
  <c r="P89" i="10"/>
  <c r="O89" i="10"/>
  <c r="N89" i="10"/>
  <c r="M89" i="10"/>
  <c r="L89" i="10"/>
  <c r="K89" i="10"/>
  <c r="J89" i="10"/>
  <c r="U88" i="10"/>
  <c r="T88" i="10"/>
  <c r="S88" i="10"/>
  <c r="R88" i="10"/>
  <c r="Q88" i="10"/>
  <c r="P88" i="10"/>
  <c r="O88" i="10"/>
  <c r="N88" i="10"/>
  <c r="M88" i="10"/>
  <c r="L88" i="10"/>
  <c r="K88" i="10"/>
  <c r="J88" i="10"/>
  <c r="U87" i="10"/>
  <c r="T87" i="10"/>
  <c r="S87" i="10"/>
  <c r="R87" i="10"/>
  <c r="Q87" i="10"/>
  <c r="P87" i="10"/>
  <c r="O87" i="10"/>
  <c r="N87" i="10"/>
  <c r="M87" i="10"/>
  <c r="L87" i="10"/>
  <c r="K87" i="10"/>
  <c r="J87" i="10"/>
  <c r="U86" i="10"/>
  <c r="T86" i="10"/>
  <c r="S86" i="10"/>
  <c r="R86" i="10"/>
  <c r="Q86" i="10"/>
  <c r="P86" i="10"/>
  <c r="O86" i="10"/>
  <c r="N86" i="10"/>
  <c r="M86" i="10"/>
  <c r="L86" i="10"/>
  <c r="K86" i="10"/>
  <c r="J86" i="10"/>
  <c r="U85" i="10"/>
  <c r="T85" i="10"/>
  <c r="S85" i="10"/>
  <c r="R85" i="10"/>
  <c r="Q85" i="10"/>
  <c r="P85" i="10"/>
  <c r="O85" i="10"/>
  <c r="N85" i="10"/>
  <c r="M85" i="10"/>
  <c r="L85" i="10"/>
  <c r="K85" i="10"/>
  <c r="J85" i="10"/>
  <c r="U84" i="10"/>
  <c r="T84" i="10"/>
  <c r="S84" i="10"/>
  <c r="R84" i="10"/>
  <c r="Q84" i="10"/>
  <c r="P84" i="10"/>
  <c r="O84" i="10"/>
  <c r="N84" i="10"/>
  <c r="M84" i="10"/>
  <c r="L84" i="10"/>
  <c r="K84" i="10"/>
  <c r="J84" i="10"/>
  <c r="U83" i="10"/>
  <c r="T83" i="10"/>
  <c r="S83" i="10"/>
  <c r="R83" i="10"/>
  <c r="Q83" i="10"/>
  <c r="P83" i="10"/>
  <c r="O83" i="10"/>
  <c r="N83" i="10"/>
  <c r="M83" i="10"/>
  <c r="L83" i="10"/>
  <c r="K83" i="10"/>
  <c r="J83" i="10"/>
  <c r="U82" i="10"/>
  <c r="T82" i="10"/>
  <c r="S82" i="10"/>
  <c r="R82" i="10"/>
  <c r="Q82" i="10"/>
  <c r="P82" i="10"/>
  <c r="O82" i="10"/>
  <c r="N82" i="10"/>
  <c r="M82" i="10"/>
  <c r="L82" i="10"/>
  <c r="K82" i="10"/>
  <c r="J82" i="10"/>
  <c r="U81" i="10"/>
  <c r="T81" i="10"/>
  <c r="S81" i="10"/>
  <c r="R81" i="10"/>
  <c r="Q81" i="10"/>
  <c r="P81" i="10"/>
  <c r="O81" i="10"/>
  <c r="N81" i="10"/>
  <c r="M81" i="10"/>
  <c r="L81" i="10"/>
  <c r="K81" i="10"/>
  <c r="J81" i="10"/>
  <c r="U80" i="10"/>
  <c r="T80" i="10"/>
  <c r="S80" i="10"/>
  <c r="R80" i="10"/>
  <c r="Q80" i="10"/>
  <c r="P80" i="10"/>
  <c r="O80" i="10"/>
  <c r="N80" i="10"/>
  <c r="M80" i="10"/>
  <c r="L80" i="10"/>
  <c r="K80" i="10"/>
  <c r="J80" i="10"/>
  <c r="U79" i="10"/>
  <c r="T79" i="10"/>
  <c r="S79" i="10"/>
  <c r="R79" i="10"/>
  <c r="Q79" i="10"/>
  <c r="P79" i="10"/>
  <c r="O79" i="10"/>
  <c r="N79" i="10"/>
  <c r="M79" i="10"/>
  <c r="L79" i="10"/>
  <c r="K79" i="10"/>
  <c r="J79" i="10"/>
  <c r="U78" i="10"/>
  <c r="T78" i="10"/>
  <c r="S78" i="10"/>
  <c r="R78" i="10"/>
  <c r="Q78" i="10"/>
  <c r="P78" i="10"/>
  <c r="O78" i="10"/>
  <c r="N78" i="10"/>
  <c r="M78" i="10"/>
  <c r="L78" i="10"/>
  <c r="K78" i="10"/>
  <c r="J78" i="10"/>
  <c r="U77" i="10"/>
  <c r="T77" i="10"/>
  <c r="S77" i="10"/>
  <c r="R77" i="10"/>
  <c r="Q77" i="10"/>
  <c r="P77" i="10"/>
  <c r="O77" i="10"/>
  <c r="N77" i="10"/>
  <c r="M77" i="10"/>
  <c r="L77" i="10"/>
  <c r="K77" i="10"/>
  <c r="J77" i="10"/>
  <c r="U76" i="10"/>
  <c r="T76" i="10"/>
  <c r="S76" i="10"/>
  <c r="R76" i="10"/>
  <c r="Q76" i="10"/>
  <c r="P76" i="10"/>
  <c r="O76" i="10"/>
  <c r="N76" i="10"/>
  <c r="M76" i="10"/>
  <c r="L76" i="10"/>
  <c r="K76" i="10"/>
  <c r="J76" i="10"/>
  <c r="U75" i="10"/>
  <c r="T75" i="10"/>
  <c r="S75" i="10"/>
  <c r="R75" i="10"/>
  <c r="Q75" i="10"/>
  <c r="P75" i="10"/>
  <c r="O75" i="10"/>
  <c r="N75" i="10"/>
  <c r="M75" i="10"/>
  <c r="L75" i="10"/>
  <c r="K75" i="10"/>
  <c r="J75" i="10"/>
  <c r="U74" i="10"/>
  <c r="T74" i="10"/>
  <c r="S74" i="10"/>
  <c r="R74" i="10"/>
  <c r="Q74" i="10"/>
  <c r="P74" i="10"/>
  <c r="O74" i="10"/>
  <c r="N74" i="10"/>
  <c r="M74" i="10"/>
  <c r="L74" i="10"/>
  <c r="K74" i="10"/>
  <c r="J74" i="10"/>
  <c r="U73" i="10"/>
  <c r="T73" i="10"/>
  <c r="S73" i="10"/>
  <c r="R73" i="10"/>
  <c r="Q73" i="10"/>
  <c r="P73" i="10"/>
  <c r="O73" i="10"/>
  <c r="N73" i="10"/>
  <c r="M73" i="10"/>
  <c r="L73" i="10"/>
  <c r="K73" i="10"/>
  <c r="J73" i="10"/>
  <c r="U72" i="10"/>
  <c r="T72" i="10"/>
  <c r="S72" i="10"/>
  <c r="R72" i="10"/>
  <c r="Q72" i="10"/>
  <c r="P72" i="10"/>
  <c r="O72" i="10"/>
  <c r="N72" i="10"/>
  <c r="M72" i="10"/>
  <c r="L72" i="10"/>
  <c r="K72" i="10"/>
  <c r="J72" i="10"/>
  <c r="U71" i="10"/>
  <c r="T71" i="10"/>
  <c r="S71" i="10"/>
  <c r="R71" i="10"/>
  <c r="Q71" i="10"/>
  <c r="P71" i="10"/>
  <c r="O71" i="10"/>
  <c r="N71" i="10"/>
  <c r="M71" i="10"/>
  <c r="L71" i="10"/>
  <c r="K71" i="10"/>
  <c r="J71" i="10"/>
  <c r="U70" i="10"/>
  <c r="T70" i="10"/>
  <c r="S70" i="10"/>
  <c r="R70" i="10"/>
  <c r="Q70" i="10"/>
  <c r="P70" i="10"/>
  <c r="O70" i="10"/>
  <c r="N70" i="10"/>
  <c r="M70" i="10"/>
  <c r="L70" i="10"/>
  <c r="K70" i="10"/>
  <c r="J70" i="10"/>
  <c r="U69" i="10"/>
  <c r="T69" i="10"/>
  <c r="S69" i="10"/>
  <c r="R69" i="10"/>
  <c r="Q69" i="10"/>
  <c r="P69" i="10"/>
  <c r="O69" i="10"/>
  <c r="N69" i="10"/>
  <c r="M69" i="10"/>
  <c r="L69" i="10"/>
  <c r="K69" i="10"/>
  <c r="J69" i="10"/>
  <c r="U68" i="10"/>
  <c r="T68" i="10"/>
  <c r="S68" i="10"/>
  <c r="R68" i="10"/>
  <c r="Q68" i="10"/>
  <c r="P68" i="10"/>
  <c r="O68" i="10"/>
  <c r="N68" i="10"/>
  <c r="M68" i="10"/>
  <c r="L68" i="10"/>
  <c r="K68" i="10"/>
  <c r="J68" i="10"/>
  <c r="U67" i="10"/>
  <c r="T67" i="10"/>
  <c r="S67" i="10"/>
  <c r="R67" i="10"/>
  <c r="Q67" i="10"/>
  <c r="P67" i="10"/>
  <c r="O67" i="10"/>
  <c r="N67" i="10"/>
  <c r="M67" i="10"/>
  <c r="L67" i="10"/>
  <c r="K67" i="10"/>
  <c r="J67" i="10"/>
  <c r="U66" i="10"/>
  <c r="T66" i="10"/>
  <c r="S66" i="10"/>
  <c r="R66" i="10"/>
  <c r="Q66" i="10"/>
  <c r="P66" i="10"/>
  <c r="O66" i="10"/>
  <c r="N66" i="10"/>
  <c r="M66" i="10"/>
  <c r="L66" i="10"/>
  <c r="K66" i="10"/>
  <c r="J66" i="10"/>
  <c r="U65" i="10"/>
  <c r="T65" i="10"/>
  <c r="S65" i="10"/>
  <c r="R65" i="10"/>
  <c r="Q65" i="10"/>
  <c r="P65" i="10"/>
  <c r="O65" i="10"/>
  <c r="N65" i="10"/>
  <c r="M65" i="10"/>
  <c r="L65" i="10"/>
  <c r="K65" i="10"/>
  <c r="J65" i="10"/>
  <c r="U64" i="10"/>
  <c r="T64" i="10"/>
  <c r="S64" i="10"/>
  <c r="R64" i="10"/>
  <c r="Q64" i="10"/>
  <c r="P64" i="10"/>
  <c r="O64" i="10"/>
  <c r="N64" i="10"/>
  <c r="M64" i="10"/>
  <c r="L64" i="10"/>
  <c r="K64" i="10"/>
  <c r="J64" i="10"/>
  <c r="U63" i="10"/>
  <c r="T63" i="10"/>
  <c r="S63" i="10"/>
  <c r="R63" i="10"/>
  <c r="Q63" i="10"/>
  <c r="P63" i="10"/>
  <c r="O63" i="10"/>
  <c r="N63" i="10"/>
  <c r="M63" i="10"/>
  <c r="L63" i="10"/>
  <c r="K63" i="10"/>
  <c r="J63" i="10"/>
  <c r="U62" i="10"/>
  <c r="T62" i="10"/>
  <c r="S62" i="10"/>
  <c r="R62" i="10"/>
  <c r="Q62" i="10"/>
  <c r="P62" i="10"/>
  <c r="O62" i="10"/>
  <c r="N62" i="10"/>
  <c r="M62" i="10"/>
  <c r="L62" i="10"/>
  <c r="K62" i="10"/>
  <c r="J62" i="10"/>
  <c r="U61" i="10"/>
  <c r="T61" i="10"/>
  <c r="S61" i="10"/>
  <c r="R61" i="10"/>
  <c r="Q61" i="10"/>
  <c r="P61" i="10"/>
  <c r="O61" i="10"/>
  <c r="N61" i="10"/>
  <c r="M61" i="10"/>
  <c r="L61" i="10"/>
  <c r="K61" i="10"/>
  <c r="J61" i="10"/>
  <c r="U60" i="10"/>
  <c r="T60" i="10"/>
  <c r="S60" i="10"/>
  <c r="R60" i="10"/>
  <c r="Q60" i="10"/>
  <c r="P60" i="10"/>
  <c r="O60" i="10"/>
  <c r="N60" i="10"/>
  <c r="M60" i="10"/>
  <c r="L60" i="10"/>
  <c r="K60" i="10"/>
  <c r="J60" i="10"/>
  <c r="U59" i="10"/>
  <c r="T59" i="10"/>
  <c r="S59" i="10"/>
  <c r="R59" i="10"/>
  <c r="Q59" i="10"/>
  <c r="P59" i="10"/>
  <c r="O59" i="10"/>
  <c r="N59" i="10"/>
  <c r="M59" i="10"/>
  <c r="L59" i="10"/>
  <c r="K59" i="10"/>
  <c r="J59" i="10"/>
  <c r="U58" i="10"/>
  <c r="T58" i="10"/>
  <c r="S58" i="10"/>
  <c r="R58" i="10"/>
  <c r="Q58" i="10"/>
  <c r="P58" i="10"/>
  <c r="O58" i="10"/>
  <c r="N58" i="10"/>
  <c r="M58" i="10"/>
  <c r="L58" i="10"/>
  <c r="K58" i="10"/>
  <c r="J58" i="10"/>
  <c r="U57" i="10"/>
  <c r="T57" i="10"/>
  <c r="S57" i="10"/>
  <c r="R57" i="10"/>
  <c r="Q57" i="10"/>
  <c r="P57" i="10"/>
  <c r="O57" i="10"/>
  <c r="N57" i="10"/>
  <c r="M57" i="10"/>
  <c r="L57" i="10"/>
  <c r="K57" i="10"/>
  <c r="J57" i="10"/>
  <c r="U56" i="10"/>
  <c r="T56" i="10"/>
  <c r="S56" i="10"/>
  <c r="R56" i="10"/>
  <c r="Q56" i="10"/>
  <c r="P56" i="10"/>
  <c r="O56" i="10"/>
  <c r="N56" i="10"/>
  <c r="M56" i="10"/>
  <c r="L56" i="10"/>
  <c r="K56" i="10"/>
  <c r="J56" i="10"/>
  <c r="H56" i="10"/>
  <c r="U55" i="10"/>
  <c r="T55" i="10"/>
  <c r="S55" i="10"/>
  <c r="R55" i="10"/>
  <c r="Q55" i="10"/>
  <c r="P55" i="10"/>
  <c r="O55" i="10"/>
  <c r="N55" i="10"/>
  <c r="M55" i="10"/>
  <c r="L55" i="10"/>
  <c r="K55" i="10"/>
  <c r="J55" i="10"/>
  <c r="H55" i="10"/>
  <c r="U54" i="10"/>
  <c r="T54" i="10"/>
  <c r="S54" i="10"/>
  <c r="R54" i="10"/>
  <c r="Q54" i="10"/>
  <c r="P54" i="10"/>
  <c r="O54" i="10"/>
  <c r="N54" i="10"/>
  <c r="M54" i="10"/>
  <c r="L54" i="10"/>
  <c r="K54" i="10"/>
  <c r="J54" i="10"/>
  <c r="H54" i="10"/>
  <c r="U53" i="10"/>
  <c r="T53" i="10"/>
  <c r="S53" i="10"/>
  <c r="R53" i="10"/>
  <c r="Q53" i="10"/>
  <c r="P53" i="10"/>
  <c r="O53" i="10"/>
  <c r="N53" i="10"/>
  <c r="M53" i="10"/>
  <c r="L53" i="10"/>
  <c r="K53" i="10"/>
  <c r="J53" i="10"/>
  <c r="H53" i="10"/>
  <c r="U52" i="10"/>
  <c r="T52" i="10"/>
  <c r="S52" i="10"/>
  <c r="R52" i="10"/>
  <c r="Q52" i="10"/>
  <c r="P52" i="10"/>
  <c r="O52" i="10"/>
  <c r="N52" i="10"/>
  <c r="M52" i="10"/>
  <c r="L52" i="10"/>
  <c r="K52" i="10"/>
  <c r="J52" i="10"/>
  <c r="H52" i="10"/>
  <c r="U51" i="10"/>
  <c r="T51" i="10"/>
  <c r="S51" i="10"/>
  <c r="R51" i="10"/>
  <c r="Q51" i="10"/>
  <c r="P51" i="10"/>
  <c r="O51" i="10"/>
  <c r="N51" i="10"/>
  <c r="M51" i="10"/>
  <c r="L51" i="10"/>
  <c r="K51" i="10"/>
  <c r="J51" i="10"/>
  <c r="H51" i="10"/>
  <c r="U50" i="10"/>
  <c r="T50" i="10"/>
  <c r="S50" i="10"/>
  <c r="R50" i="10"/>
  <c r="Q50" i="10"/>
  <c r="P50" i="10"/>
  <c r="O50" i="10"/>
  <c r="N50" i="10"/>
  <c r="M50" i="10"/>
  <c r="L50" i="10"/>
  <c r="K50" i="10"/>
  <c r="J50" i="10"/>
  <c r="H50" i="10"/>
  <c r="U49" i="10"/>
  <c r="T49" i="10"/>
  <c r="S49" i="10"/>
  <c r="R49" i="10"/>
  <c r="Q49" i="10"/>
  <c r="P49" i="10"/>
  <c r="O49" i="10"/>
  <c r="N49" i="10"/>
  <c r="M49" i="10"/>
  <c r="L49" i="10"/>
  <c r="K49" i="10"/>
  <c r="J49" i="10"/>
  <c r="H49" i="10"/>
  <c r="U48" i="10"/>
  <c r="T48" i="10"/>
  <c r="S48" i="10"/>
  <c r="R48" i="10"/>
  <c r="Q48" i="10"/>
  <c r="P48" i="10"/>
  <c r="O48" i="10"/>
  <c r="N48" i="10"/>
  <c r="M48" i="10"/>
  <c r="L48" i="10"/>
  <c r="K48" i="10"/>
  <c r="J48" i="10"/>
  <c r="H48" i="10"/>
  <c r="U47" i="10"/>
  <c r="T47" i="10"/>
  <c r="S47" i="10"/>
  <c r="R47" i="10"/>
  <c r="Q47" i="10"/>
  <c r="P47" i="10"/>
  <c r="O47" i="10"/>
  <c r="N47" i="10"/>
  <c r="M47" i="10"/>
  <c r="L47" i="10"/>
  <c r="K47" i="10"/>
  <c r="J47" i="10"/>
  <c r="H47" i="10"/>
  <c r="U46" i="10"/>
  <c r="T46" i="10"/>
  <c r="S46" i="10"/>
  <c r="R46" i="10"/>
  <c r="Q46" i="10"/>
  <c r="P46" i="10"/>
  <c r="O46" i="10"/>
  <c r="N46" i="10"/>
  <c r="M46" i="10"/>
  <c r="L46" i="10"/>
  <c r="K46" i="10"/>
  <c r="J46" i="10"/>
  <c r="H46" i="10"/>
  <c r="U45" i="10"/>
  <c r="T45" i="10"/>
  <c r="S45" i="10"/>
  <c r="R45" i="10"/>
  <c r="Q45" i="10"/>
  <c r="P45" i="10"/>
  <c r="O45" i="10"/>
  <c r="N45" i="10"/>
  <c r="M45" i="10"/>
  <c r="L45" i="10"/>
  <c r="K45" i="10"/>
  <c r="J45" i="10"/>
  <c r="H45" i="10"/>
  <c r="U44" i="10"/>
  <c r="T44" i="10"/>
  <c r="S44" i="10"/>
  <c r="R44" i="10"/>
  <c r="Q44" i="10"/>
  <c r="P44" i="10"/>
  <c r="O44" i="10"/>
  <c r="N44" i="10"/>
  <c r="M44" i="10"/>
  <c r="L44" i="10"/>
  <c r="K44" i="10"/>
  <c r="J44" i="10"/>
  <c r="H44" i="10"/>
  <c r="U43" i="10"/>
  <c r="T43" i="10"/>
  <c r="S43" i="10"/>
  <c r="R43" i="10"/>
  <c r="Q43" i="10"/>
  <c r="P43" i="10"/>
  <c r="O43" i="10"/>
  <c r="N43" i="10"/>
  <c r="M43" i="10"/>
  <c r="L43" i="10"/>
  <c r="K43" i="10"/>
  <c r="J43" i="10"/>
  <c r="H43" i="10"/>
  <c r="U42" i="10"/>
  <c r="T42" i="10"/>
  <c r="S42" i="10"/>
  <c r="R42" i="10"/>
  <c r="Q42" i="10"/>
  <c r="P42" i="10"/>
  <c r="O42" i="10"/>
  <c r="N42" i="10"/>
  <c r="M42" i="10"/>
  <c r="L42" i="10"/>
  <c r="K42" i="10"/>
  <c r="J42" i="10"/>
  <c r="H42" i="10"/>
  <c r="U41" i="10"/>
  <c r="T41" i="10"/>
  <c r="S41" i="10"/>
  <c r="R41" i="10"/>
  <c r="Q41" i="10"/>
  <c r="P41" i="10"/>
  <c r="O41" i="10"/>
  <c r="N41" i="10"/>
  <c r="M41" i="10"/>
  <c r="L41" i="10"/>
  <c r="K41" i="10"/>
  <c r="J41" i="10"/>
  <c r="H41" i="10"/>
  <c r="U40" i="10"/>
  <c r="T40" i="10"/>
  <c r="S40" i="10"/>
  <c r="R40" i="10"/>
  <c r="Q40" i="10"/>
  <c r="P40" i="10"/>
  <c r="O40" i="10"/>
  <c r="N40" i="10"/>
  <c r="M40" i="10"/>
  <c r="L40" i="10"/>
  <c r="K40" i="10"/>
  <c r="J40" i="10"/>
  <c r="H40" i="10"/>
  <c r="U39" i="10"/>
  <c r="T39" i="10"/>
  <c r="S39" i="10"/>
  <c r="R39" i="10"/>
  <c r="Q39" i="10"/>
  <c r="P39" i="10"/>
  <c r="O39" i="10"/>
  <c r="N39" i="10"/>
  <c r="M39" i="10"/>
  <c r="L39" i="10"/>
  <c r="K39" i="10"/>
  <c r="J39" i="10"/>
  <c r="H39" i="10"/>
  <c r="U38" i="10"/>
  <c r="T38" i="10"/>
  <c r="S38" i="10"/>
  <c r="R38" i="10"/>
  <c r="Q38" i="10"/>
  <c r="P38" i="10"/>
  <c r="O38" i="10"/>
  <c r="N38" i="10"/>
  <c r="M38" i="10"/>
  <c r="L38" i="10"/>
  <c r="K38" i="10"/>
  <c r="J38" i="10"/>
  <c r="H38" i="10"/>
  <c r="U37" i="10"/>
  <c r="T37" i="10"/>
  <c r="S37" i="10"/>
  <c r="R37" i="10"/>
  <c r="Q37" i="10"/>
  <c r="P37" i="10"/>
  <c r="O37" i="10"/>
  <c r="N37" i="10"/>
  <c r="M37" i="10"/>
  <c r="L37" i="10"/>
  <c r="K37" i="10"/>
  <c r="J37" i="10"/>
  <c r="H37" i="10"/>
  <c r="U36" i="10"/>
  <c r="T36" i="10"/>
  <c r="S36" i="10"/>
  <c r="R36" i="10"/>
  <c r="Q36" i="10"/>
  <c r="P36" i="10"/>
  <c r="O36" i="10"/>
  <c r="N36" i="10"/>
  <c r="M36" i="10"/>
  <c r="L36" i="10"/>
  <c r="K36" i="10"/>
  <c r="J36" i="10"/>
  <c r="H36" i="10"/>
  <c r="U35" i="10"/>
  <c r="T35" i="10"/>
  <c r="S35" i="10"/>
  <c r="R35" i="10"/>
  <c r="Q35" i="10"/>
  <c r="P35" i="10"/>
  <c r="O35" i="10"/>
  <c r="N35" i="10"/>
  <c r="M35" i="10"/>
  <c r="L35" i="10"/>
  <c r="K35" i="10"/>
  <c r="J35" i="10"/>
  <c r="H35" i="10"/>
  <c r="U34" i="10"/>
  <c r="T34" i="10"/>
  <c r="S34" i="10"/>
  <c r="R34" i="10"/>
  <c r="Q34" i="10"/>
  <c r="P34" i="10"/>
  <c r="O34" i="10"/>
  <c r="N34" i="10"/>
  <c r="M34" i="10"/>
  <c r="L34" i="10"/>
  <c r="K34" i="10"/>
  <c r="J34" i="10"/>
  <c r="H34" i="10"/>
  <c r="U33" i="10"/>
  <c r="T33" i="10"/>
  <c r="S33" i="10"/>
  <c r="R33" i="10"/>
  <c r="Q33" i="10"/>
  <c r="P33" i="10"/>
  <c r="O33" i="10"/>
  <c r="N33" i="10"/>
  <c r="M33" i="10"/>
  <c r="L33" i="10"/>
  <c r="K33" i="10"/>
  <c r="J33" i="10"/>
  <c r="H33" i="10"/>
  <c r="U32" i="10"/>
  <c r="T32" i="10"/>
  <c r="S32" i="10"/>
  <c r="R32" i="10"/>
  <c r="Q32" i="10"/>
  <c r="P32" i="10"/>
  <c r="O32" i="10"/>
  <c r="N32" i="10"/>
  <c r="M32" i="10"/>
  <c r="L32" i="10"/>
  <c r="K32" i="10"/>
  <c r="J32" i="10"/>
  <c r="H32" i="10"/>
  <c r="U31" i="10"/>
  <c r="T31" i="10"/>
  <c r="S31" i="10"/>
  <c r="R31" i="10"/>
  <c r="Q31" i="10"/>
  <c r="P31" i="10"/>
  <c r="O31" i="10"/>
  <c r="N31" i="10"/>
  <c r="M31" i="10"/>
  <c r="L31" i="10"/>
  <c r="K31" i="10"/>
  <c r="J31" i="10"/>
  <c r="H31" i="10"/>
  <c r="U30" i="10"/>
  <c r="T30" i="10"/>
  <c r="S30" i="10"/>
  <c r="R30" i="10"/>
  <c r="Q30" i="10"/>
  <c r="P30" i="10"/>
  <c r="O30" i="10"/>
  <c r="N30" i="10"/>
  <c r="M30" i="10"/>
  <c r="L30" i="10"/>
  <c r="K30" i="10"/>
  <c r="J30" i="10"/>
  <c r="H30" i="10"/>
  <c r="U29" i="10"/>
  <c r="T29" i="10"/>
  <c r="S29" i="10"/>
  <c r="R29" i="10"/>
  <c r="Q29" i="10"/>
  <c r="P29" i="10"/>
  <c r="O29" i="10"/>
  <c r="N29" i="10"/>
  <c r="M29" i="10"/>
  <c r="L29" i="10"/>
  <c r="K29" i="10"/>
  <c r="J29" i="10"/>
  <c r="H29" i="10"/>
  <c r="U28" i="10"/>
  <c r="T28" i="10"/>
  <c r="S28" i="10"/>
  <c r="R28" i="10"/>
  <c r="Q28" i="10"/>
  <c r="P28" i="10"/>
  <c r="O28" i="10"/>
  <c r="N28" i="10"/>
  <c r="M28" i="10"/>
  <c r="L28" i="10"/>
  <c r="K28" i="10"/>
  <c r="J28" i="10"/>
  <c r="H28" i="10"/>
  <c r="U27" i="10"/>
  <c r="T27" i="10"/>
  <c r="S27" i="10"/>
  <c r="R27" i="10"/>
  <c r="Q27" i="10"/>
  <c r="P27" i="10"/>
  <c r="O27" i="10"/>
  <c r="N27" i="10"/>
  <c r="M27" i="10"/>
  <c r="L27" i="10"/>
  <c r="K27" i="10"/>
  <c r="J27" i="10"/>
  <c r="H27" i="10"/>
  <c r="U26" i="10"/>
  <c r="T26" i="10"/>
  <c r="S26" i="10"/>
  <c r="R26" i="10"/>
  <c r="Q26" i="10"/>
  <c r="P26" i="10"/>
  <c r="O26" i="10"/>
  <c r="N26" i="10"/>
  <c r="M26" i="10"/>
  <c r="L26" i="10"/>
  <c r="K26" i="10"/>
  <c r="J26" i="10"/>
  <c r="H26" i="10"/>
  <c r="U25" i="10"/>
  <c r="T25" i="10"/>
  <c r="S25" i="10"/>
  <c r="R25" i="10"/>
  <c r="Q25" i="10"/>
  <c r="P25" i="10"/>
  <c r="O25" i="10"/>
  <c r="N25" i="10"/>
  <c r="M25" i="10"/>
  <c r="L25" i="10"/>
  <c r="K25" i="10"/>
  <c r="J25" i="10"/>
  <c r="H25" i="10"/>
  <c r="U24" i="10"/>
  <c r="T24" i="10"/>
  <c r="S24" i="10"/>
  <c r="R24" i="10"/>
  <c r="Q24" i="10"/>
  <c r="P24" i="10"/>
  <c r="O24" i="10"/>
  <c r="N24" i="10"/>
  <c r="M24" i="10"/>
  <c r="L24" i="10"/>
  <c r="K24" i="10"/>
  <c r="J24" i="10"/>
  <c r="H24" i="10"/>
  <c r="U23" i="10"/>
  <c r="T23" i="10"/>
  <c r="S23" i="10"/>
  <c r="R23" i="10"/>
  <c r="Q23" i="10"/>
  <c r="P23" i="10"/>
  <c r="O23" i="10"/>
  <c r="N23" i="10"/>
  <c r="M23" i="10"/>
  <c r="L23" i="10"/>
  <c r="K23" i="10"/>
  <c r="J23" i="10"/>
  <c r="H23" i="10"/>
  <c r="U22" i="10"/>
  <c r="T22" i="10"/>
  <c r="S22" i="10"/>
  <c r="R22" i="10"/>
  <c r="Q22" i="10"/>
  <c r="P22" i="10"/>
  <c r="O22" i="10"/>
  <c r="N22" i="10"/>
  <c r="M22" i="10"/>
  <c r="L22" i="10"/>
  <c r="K22" i="10"/>
  <c r="J22" i="10"/>
  <c r="H22" i="10"/>
  <c r="U21" i="10"/>
  <c r="T21" i="10"/>
  <c r="S21" i="10"/>
  <c r="R21" i="10"/>
  <c r="Q21" i="10"/>
  <c r="P21" i="10"/>
  <c r="O21" i="10"/>
  <c r="N21" i="10"/>
  <c r="M21" i="10"/>
  <c r="L21" i="10"/>
  <c r="K21" i="10"/>
  <c r="J21" i="10"/>
  <c r="H21" i="10"/>
  <c r="U20" i="10"/>
  <c r="T20" i="10"/>
  <c r="S20" i="10"/>
  <c r="R20" i="10"/>
  <c r="Q20" i="10"/>
  <c r="P20" i="10"/>
  <c r="O20" i="10"/>
  <c r="N20" i="10"/>
  <c r="M20" i="10"/>
  <c r="L20" i="10"/>
  <c r="K20" i="10"/>
  <c r="J20" i="10"/>
  <c r="H20" i="10"/>
  <c r="U19" i="10"/>
  <c r="T19" i="10"/>
  <c r="S19" i="10"/>
  <c r="R19" i="10"/>
  <c r="Q19" i="10"/>
  <c r="P19" i="10"/>
  <c r="O19" i="10"/>
  <c r="N19" i="10"/>
  <c r="M19" i="10"/>
  <c r="L19" i="10"/>
  <c r="K19" i="10"/>
  <c r="J19" i="10"/>
  <c r="H19" i="10"/>
  <c r="U18" i="10"/>
  <c r="T18" i="10"/>
  <c r="S18" i="10"/>
  <c r="R18" i="10"/>
  <c r="Q18" i="10"/>
  <c r="P18" i="10"/>
  <c r="O18" i="10"/>
  <c r="N18" i="10"/>
  <c r="M18" i="10"/>
  <c r="L18" i="10"/>
  <c r="K18" i="10"/>
  <c r="J18" i="10"/>
  <c r="H18" i="10"/>
  <c r="U17" i="10"/>
  <c r="T17" i="10"/>
  <c r="S17" i="10"/>
  <c r="R17" i="10"/>
  <c r="Q17" i="10"/>
  <c r="P17" i="10"/>
  <c r="O17" i="10"/>
  <c r="N17" i="10"/>
  <c r="M17" i="10"/>
  <c r="L17" i="10"/>
  <c r="K17" i="10"/>
  <c r="J17" i="10"/>
  <c r="H17" i="10"/>
  <c r="U16" i="10"/>
  <c r="T16" i="10"/>
  <c r="S16" i="10"/>
  <c r="R16" i="10"/>
  <c r="Q16" i="10"/>
  <c r="P16" i="10"/>
  <c r="O16" i="10"/>
  <c r="N16" i="10"/>
  <c r="M16" i="10"/>
  <c r="L16" i="10"/>
  <c r="K16" i="10"/>
  <c r="J16" i="10"/>
  <c r="H16" i="10"/>
  <c r="U15" i="10"/>
  <c r="T15" i="10"/>
  <c r="S15" i="10"/>
  <c r="R15" i="10"/>
  <c r="Q15" i="10"/>
  <c r="P15" i="10"/>
  <c r="O15" i="10"/>
  <c r="N15" i="10"/>
  <c r="M15" i="10"/>
  <c r="L15" i="10"/>
  <c r="K15" i="10"/>
  <c r="J15" i="10"/>
  <c r="H15" i="10"/>
  <c r="U14" i="10"/>
  <c r="T14" i="10"/>
  <c r="S14" i="10"/>
  <c r="R14" i="10"/>
  <c r="Q14" i="10"/>
  <c r="P14" i="10"/>
  <c r="O14" i="10"/>
  <c r="N14" i="10"/>
  <c r="M14" i="10"/>
  <c r="L14" i="10"/>
  <c r="K14" i="10"/>
  <c r="J14" i="10"/>
  <c r="H14" i="10"/>
  <c r="U13" i="10"/>
  <c r="T13" i="10"/>
  <c r="S13" i="10"/>
  <c r="R13" i="10"/>
  <c r="Q13" i="10"/>
  <c r="P13" i="10"/>
  <c r="O13" i="10"/>
  <c r="N13" i="10"/>
  <c r="M13" i="10"/>
  <c r="L13" i="10"/>
  <c r="K13" i="10"/>
  <c r="J13" i="10"/>
  <c r="H13" i="10"/>
  <c r="U12" i="10"/>
  <c r="T12" i="10"/>
  <c r="S12" i="10"/>
  <c r="R12" i="10"/>
  <c r="Q12" i="10"/>
  <c r="P12" i="10"/>
  <c r="O12" i="10"/>
  <c r="N12" i="10"/>
  <c r="M12" i="10"/>
  <c r="L12" i="10"/>
  <c r="K12" i="10"/>
  <c r="J12" i="10"/>
  <c r="H12" i="10"/>
  <c r="U11" i="10"/>
  <c r="T11" i="10"/>
  <c r="S11" i="10"/>
  <c r="R11" i="10"/>
  <c r="Q11" i="10"/>
  <c r="P11" i="10"/>
  <c r="O11" i="10"/>
  <c r="N11" i="10"/>
  <c r="M11" i="10"/>
  <c r="L11" i="10"/>
  <c r="K11" i="10"/>
  <c r="J11" i="10"/>
  <c r="H11" i="10"/>
  <c r="U10" i="10"/>
  <c r="T10" i="10"/>
  <c r="S10" i="10"/>
  <c r="R10" i="10"/>
  <c r="Q10" i="10"/>
  <c r="P10" i="10"/>
  <c r="O10" i="10"/>
  <c r="N10" i="10"/>
  <c r="M10" i="10"/>
  <c r="L10" i="10"/>
  <c r="K10" i="10"/>
  <c r="J10" i="10"/>
  <c r="H10" i="10"/>
  <c r="U9" i="10"/>
  <c r="T9" i="10"/>
  <c r="S9" i="10"/>
  <c r="R9" i="10"/>
  <c r="Q9" i="10"/>
  <c r="P9" i="10"/>
  <c r="O9" i="10"/>
  <c r="N9" i="10"/>
  <c r="M9" i="10"/>
  <c r="L9" i="10"/>
  <c r="K9" i="10"/>
  <c r="J9" i="10"/>
  <c r="H9" i="10"/>
  <c r="U8" i="10"/>
  <c r="T8" i="10"/>
  <c r="S8" i="10"/>
  <c r="R8" i="10"/>
  <c r="Q8" i="10"/>
  <c r="P8" i="10"/>
  <c r="O8" i="10"/>
  <c r="N8" i="10"/>
  <c r="M8" i="10"/>
  <c r="L8" i="10"/>
  <c r="K8" i="10"/>
  <c r="J8" i="10"/>
  <c r="H8" i="10"/>
  <c r="U7" i="10"/>
  <c r="T7" i="10"/>
  <c r="S7" i="10"/>
  <c r="R7" i="10"/>
  <c r="Q7" i="10"/>
  <c r="P7" i="10"/>
  <c r="O7" i="10"/>
  <c r="N7" i="10"/>
  <c r="M7" i="10"/>
  <c r="L7" i="10"/>
  <c r="K7" i="10"/>
  <c r="J7" i="10"/>
  <c r="H7" i="10"/>
  <c r="U6" i="10"/>
  <c r="T6" i="10"/>
  <c r="S6" i="10"/>
  <c r="R6" i="10"/>
  <c r="Q6" i="10"/>
  <c r="P6" i="10"/>
  <c r="O6" i="10"/>
  <c r="N6" i="10"/>
  <c r="M6" i="10"/>
  <c r="L6" i="10"/>
  <c r="K6" i="10"/>
  <c r="J6" i="10"/>
  <c r="H6" i="10"/>
  <c r="U5" i="10"/>
  <c r="T5" i="10"/>
  <c r="S5" i="10"/>
  <c r="R5" i="10"/>
  <c r="Q5" i="10"/>
  <c r="P5" i="10"/>
  <c r="O5" i="10"/>
  <c r="N5" i="10"/>
  <c r="M5" i="10"/>
  <c r="L5" i="10"/>
  <c r="K5" i="10"/>
  <c r="J5" i="10"/>
  <c r="H5" i="10"/>
  <c r="U4" i="10"/>
  <c r="T4" i="10"/>
  <c r="S4" i="10"/>
  <c r="R4" i="10"/>
  <c r="Q4" i="10"/>
  <c r="P4" i="10"/>
  <c r="O4" i="10"/>
  <c r="N4" i="10"/>
  <c r="M4" i="10"/>
  <c r="L4" i="10"/>
  <c r="K4" i="10"/>
  <c r="J4" i="10"/>
  <c r="H4" i="10"/>
  <c r="U3" i="10"/>
  <c r="T3" i="10"/>
  <c r="S3" i="10"/>
  <c r="R3" i="10"/>
  <c r="Q3" i="10"/>
  <c r="P3" i="10"/>
  <c r="O3" i="10"/>
  <c r="N3" i="10"/>
  <c r="M3" i="10"/>
  <c r="L3" i="10"/>
  <c r="K3" i="10"/>
  <c r="J3" i="10"/>
  <c r="H3" i="10"/>
  <c r="AC2" i="10"/>
  <c r="AB2" i="10"/>
  <c r="AA2" i="10"/>
  <c r="Z2" i="10"/>
  <c r="Y2" i="10"/>
  <c r="X2" i="10"/>
  <c r="W2" i="10"/>
  <c r="V2" i="10"/>
  <c r="U2" i="10"/>
  <c r="T2" i="10"/>
  <c r="S2" i="10"/>
  <c r="R2" i="10"/>
  <c r="Q2" i="10"/>
  <c r="P2" i="10"/>
  <c r="O2" i="10"/>
  <c r="N2" i="10"/>
  <c r="M2" i="10"/>
  <c r="L2" i="10"/>
  <c r="K2" i="10"/>
  <c r="J2" i="10"/>
  <c r="H2" i="10"/>
  <c r="AC172" i="7"/>
  <c r="AB172" i="7"/>
  <c r="AA172" i="7"/>
  <c r="Z172" i="7"/>
  <c r="Y172" i="7"/>
  <c r="X172" i="7"/>
  <c r="W172" i="7"/>
  <c r="V172" i="7"/>
  <c r="U172" i="7"/>
  <c r="T172" i="7"/>
  <c r="S172" i="7"/>
  <c r="R172" i="7"/>
  <c r="Q172" i="7"/>
  <c r="P172" i="7"/>
  <c r="O172" i="7"/>
  <c r="N172" i="7"/>
  <c r="M172" i="7"/>
  <c r="L172" i="7"/>
  <c r="K172" i="7"/>
  <c r="J172" i="7"/>
  <c r="H172" i="7"/>
  <c r="AC171" i="7"/>
  <c r="AB171" i="7"/>
  <c r="AA171" i="7"/>
  <c r="Z171" i="7"/>
  <c r="Y171" i="7"/>
  <c r="X171" i="7"/>
  <c r="W171" i="7"/>
  <c r="V171" i="7"/>
  <c r="U171" i="7"/>
  <c r="T171" i="7"/>
  <c r="S171" i="7"/>
  <c r="R171" i="7"/>
  <c r="Q171" i="7"/>
  <c r="P171" i="7"/>
  <c r="O171" i="7"/>
  <c r="N171" i="7"/>
  <c r="M171" i="7"/>
  <c r="L171" i="7"/>
  <c r="K171" i="7"/>
  <c r="J171" i="7"/>
  <c r="H171" i="7"/>
  <c r="AC170" i="7"/>
  <c r="AB170" i="7"/>
  <c r="AA170" i="7"/>
  <c r="Z170" i="7"/>
  <c r="Y170" i="7"/>
  <c r="X170" i="7"/>
  <c r="W170" i="7"/>
  <c r="V170" i="7"/>
  <c r="U170" i="7"/>
  <c r="T170" i="7"/>
  <c r="S170" i="7"/>
  <c r="R170" i="7"/>
  <c r="Q170" i="7"/>
  <c r="P170" i="7"/>
  <c r="O170" i="7"/>
  <c r="N170" i="7"/>
  <c r="M170" i="7"/>
  <c r="L170" i="7"/>
  <c r="K170" i="7"/>
  <c r="J170" i="7"/>
  <c r="H170" i="7"/>
  <c r="AC169" i="7"/>
  <c r="AB169" i="7"/>
  <c r="AA169" i="7"/>
  <c r="Z169" i="7"/>
  <c r="Y169" i="7"/>
  <c r="X169" i="7"/>
  <c r="W169" i="7"/>
  <c r="V169" i="7"/>
  <c r="U169" i="7"/>
  <c r="T169" i="7"/>
  <c r="S169" i="7"/>
  <c r="R169" i="7"/>
  <c r="Q169" i="7"/>
  <c r="P169" i="7"/>
  <c r="O169" i="7"/>
  <c r="N169" i="7"/>
  <c r="M169" i="7"/>
  <c r="L169" i="7"/>
  <c r="K169" i="7"/>
  <c r="J169" i="7"/>
  <c r="H169" i="7"/>
  <c r="AG168" i="7"/>
  <c r="AF168" i="7"/>
  <c r="AE168" i="7"/>
  <c r="AD168" i="7"/>
  <c r="AC168" i="7"/>
  <c r="AB168" i="7"/>
  <c r="AA168" i="7"/>
  <c r="Z168" i="7"/>
  <c r="Y168" i="7"/>
  <c r="X168" i="7"/>
  <c r="W168" i="7"/>
  <c r="V168" i="7"/>
  <c r="U168" i="7"/>
  <c r="T168" i="7"/>
  <c r="S168" i="7"/>
  <c r="R168" i="7"/>
  <c r="Q168" i="7"/>
  <c r="P168" i="7"/>
  <c r="O168" i="7"/>
  <c r="N168" i="7"/>
  <c r="M168" i="7"/>
  <c r="L168" i="7"/>
  <c r="K168" i="7"/>
  <c r="J168" i="7"/>
  <c r="H168" i="7"/>
  <c r="AG167" i="7"/>
  <c r="AF167" i="7"/>
  <c r="AE167" i="7"/>
  <c r="AD167" i="7"/>
  <c r="AC167" i="7"/>
  <c r="AB167" i="7"/>
  <c r="AA167" i="7"/>
  <c r="Z167" i="7"/>
  <c r="Y167" i="7"/>
  <c r="X167" i="7"/>
  <c r="W167" i="7"/>
  <c r="V167" i="7"/>
  <c r="U167" i="7"/>
  <c r="T167" i="7"/>
  <c r="S167" i="7"/>
  <c r="R167" i="7"/>
  <c r="Q167" i="7"/>
  <c r="P167" i="7"/>
  <c r="O167" i="7"/>
  <c r="N167" i="7"/>
  <c r="M167" i="7"/>
  <c r="L167" i="7"/>
  <c r="K167" i="7"/>
  <c r="J167" i="7"/>
  <c r="H167" i="7"/>
  <c r="AG166" i="7"/>
  <c r="AF166" i="7"/>
  <c r="AE166" i="7"/>
  <c r="AD166" i="7"/>
  <c r="AC166" i="7"/>
  <c r="AB166" i="7"/>
  <c r="AA166" i="7"/>
  <c r="Z166" i="7"/>
  <c r="Y166" i="7"/>
  <c r="X166" i="7"/>
  <c r="W166" i="7"/>
  <c r="V166" i="7"/>
  <c r="U166" i="7"/>
  <c r="T166" i="7"/>
  <c r="S166" i="7"/>
  <c r="R166" i="7"/>
  <c r="Q166" i="7"/>
  <c r="P166" i="7"/>
  <c r="O166" i="7"/>
  <c r="N166" i="7"/>
  <c r="M166" i="7"/>
  <c r="L166" i="7"/>
  <c r="K166" i="7"/>
  <c r="J166" i="7"/>
  <c r="H166" i="7"/>
  <c r="AC165" i="7"/>
  <c r="AB165" i="7"/>
  <c r="AA165" i="7"/>
  <c r="Z165" i="7"/>
  <c r="Y165" i="7"/>
  <c r="X165" i="7"/>
  <c r="W165" i="7"/>
  <c r="V165" i="7"/>
  <c r="U165" i="7"/>
  <c r="T165" i="7"/>
  <c r="S165" i="7"/>
  <c r="R165" i="7"/>
  <c r="Q165" i="7"/>
  <c r="P165" i="7"/>
  <c r="O165" i="7"/>
  <c r="N165" i="7"/>
  <c r="M165" i="7"/>
  <c r="L165" i="7"/>
  <c r="K165" i="7"/>
  <c r="J165" i="7"/>
  <c r="H165" i="7"/>
  <c r="AC164" i="7"/>
  <c r="AB164" i="7"/>
  <c r="AA164" i="7"/>
  <c r="Z164" i="7"/>
  <c r="Y164" i="7"/>
  <c r="X164" i="7"/>
  <c r="W164" i="7"/>
  <c r="V164" i="7"/>
  <c r="U164" i="7"/>
  <c r="T164" i="7"/>
  <c r="S164" i="7"/>
  <c r="R164" i="7"/>
  <c r="Q164" i="7"/>
  <c r="P164" i="7"/>
  <c r="O164" i="7"/>
  <c r="N164" i="7"/>
  <c r="M164" i="7"/>
  <c r="L164" i="7"/>
  <c r="K164" i="7"/>
  <c r="J164" i="7"/>
  <c r="H164" i="7"/>
  <c r="AC163" i="7"/>
  <c r="AB163" i="7"/>
  <c r="AA163" i="7"/>
  <c r="Z163" i="7"/>
  <c r="Y163" i="7"/>
  <c r="X163" i="7"/>
  <c r="W163" i="7"/>
  <c r="V163" i="7"/>
  <c r="U163" i="7"/>
  <c r="T163" i="7"/>
  <c r="S163" i="7"/>
  <c r="R163" i="7"/>
  <c r="Q163" i="7"/>
  <c r="P163" i="7"/>
  <c r="O163" i="7"/>
  <c r="N163" i="7"/>
  <c r="M163" i="7"/>
  <c r="L163" i="7"/>
  <c r="K163" i="7"/>
  <c r="J163" i="7"/>
  <c r="H163" i="7"/>
  <c r="AC162" i="7"/>
  <c r="AB162" i="7"/>
  <c r="AA162" i="7"/>
  <c r="Z162" i="7"/>
  <c r="Y162" i="7"/>
  <c r="X162" i="7"/>
  <c r="W162" i="7"/>
  <c r="V162" i="7"/>
  <c r="U162" i="7"/>
  <c r="T162" i="7"/>
  <c r="S162" i="7"/>
  <c r="R162" i="7"/>
  <c r="Q162" i="7"/>
  <c r="P162" i="7"/>
  <c r="O162" i="7"/>
  <c r="N162" i="7"/>
  <c r="M162" i="7"/>
  <c r="L162" i="7"/>
  <c r="K162" i="7"/>
  <c r="J162" i="7"/>
  <c r="H162" i="7"/>
  <c r="AC161" i="7"/>
  <c r="AB161" i="7"/>
  <c r="AA161" i="7"/>
  <c r="Z161" i="7"/>
  <c r="Y161" i="7"/>
  <c r="X161" i="7"/>
  <c r="W161" i="7"/>
  <c r="V161" i="7"/>
  <c r="U161" i="7"/>
  <c r="T161" i="7"/>
  <c r="S161" i="7"/>
  <c r="R161" i="7"/>
  <c r="Q161" i="7"/>
  <c r="P161" i="7"/>
  <c r="O161" i="7"/>
  <c r="N161" i="7"/>
  <c r="M161" i="7"/>
  <c r="L161" i="7"/>
  <c r="K161" i="7"/>
  <c r="J161" i="7"/>
  <c r="H161" i="7"/>
  <c r="AC160" i="7"/>
  <c r="AB160" i="7"/>
  <c r="AA160" i="7"/>
  <c r="Z160" i="7"/>
  <c r="Y160" i="7"/>
  <c r="X160" i="7"/>
  <c r="W160" i="7"/>
  <c r="V160" i="7"/>
  <c r="U160" i="7"/>
  <c r="T160" i="7"/>
  <c r="S160" i="7"/>
  <c r="R160" i="7"/>
  <c r="Q160" i="7"/>
  <c r="P160" i="7"/>
  <c r="O160" i="7"/>
  <c r="N160" i="7"/>
  <c r="M160" i="7"/>
  <c r="L160" i="7"/>
  <c r="K160" i="7"/>
  <c r="J160" i="7"/>
  <c r="H160" i="7"/>
  <c r="AC159" i="7"/>
  <c r="AB159" i="7"/>
  <c r="AA159" i="7"/>
  <c r="Z159" i="7"/>
  <c r="Y159" i="7"/>
  <c r="X159" i="7"/>
  <c r="W159" i="7"/>
  <c r="V159" i="7"/>
  <c r="U159" i="7"/>
  <c r="T159" i="7"/>
  <c r="S159" i="7"/>
  <c r="R159" i="7"/>
  <c r="Q159" i="7"/>
  <c r="P159" i="7"/>
  <c r="O159" i="7"/>
  <c r="N159" i="7"/>
  <c r="M159" i="7"/>
  <c r="L159" i="7"/>
  <c r="K159" i="7"/>
  <c r="J159" i="7"/>
  <c r="H159" i="7"/>
  <c r="AC158" i="7"/>
  <c r="AB158" i="7"/>
  <c r="AA158" i="7"/>
  <c r="Z158" i="7"/>
  <c r="Y158" i="7"/>
  <c r="X158" i="7"/>
  <c r="W158" i="7"/>
  <c r="V158" i="7"/>
  <c r="U158" i="7"/>
  <c r="T158" i="7"/>
  <c r="S158" i="7"/>
  <c r="R158" i="7"/>
  <c r="Q158" i="7"/>
  <c r="P158" i="7"/>
  <c r="O158" i="7"/>
  <c r="N158" i="7"/>
  <c r="M158" i="7"/>
  <c r="L158" i="7"/>
  <c r="K158" i="7"/>
  <c r="J158" i="7"/>
  <c r="H158" i="7"/>
  <c r="AC157" i="7"/>
  <c r="AB157" i="7"/>
  <c r="AA157" i="7"/>
  <c r="Z157" i="7"/>
  <c r="Y157" i="7"/>
  <c r="X157" i="7"/>
  <c r="W157" i="7"/>
  <c r="V157" i="7"/>
  <c r="U157" i="7"/>
  <c r="T157" i="7"/>
  <c r="S157" i="7"/>
  <c r="R157" i="7"/>
  <c r="Q157" i="7"/>
  <c r="P157" i="7"/>
  <c r="O157" i="7"/>
  <c r="N157" i="7"/>
  <c r="M157" i="7"/>
  <c r="L157" i="7"/>
  <c r="K157" i="7"/>
  <c r="J157" i="7"/>
  <c r="H157" i="7"/>
  <c r="AC156" i="7"/>
  <c r="AB156" i="7"/>
  <c r="AA156" i="7"/>
  <c r="Z156" i="7"/>
  <c r="Y156" i="7"/>
  <c r="X156" i="7"/>
  <c r="W156" i="7"/>
  <c r="V156" i="7"/>
  <c r="U156" i="7"/>
  <c r="T156" i="7"/>
  <c r="S156" i="7"/>
  <c r="R156" i="7"/>
  <c r="Q156" i="7"/>
  <c r="P156" i="7"/>
  <c r="O156" i="7"/>
  <c r="N156" i="7"/>
  <c r="M156" i="7"/>
  <c r="L156" i="7"/>
  <c r="K156" i="7"/>
  <c r="J156" i="7"/>
  <c r="H156" i="7"/>
  <c r="AC155" i="7"/>
  <c r="AB155" i="7"/>
  <c r="AA155" i="7"/>
  <c r="Z155" i="7"/>
  <c r="Y155" i="7"/>
  <c r="X155" i="7"/>
  <c r="W155" i="7"/>
  <c r="V155" i="7"/>
  <c r="U155" i="7"/>
  <c r="T155" i="7"/>
  <c r="S155" i="7"/>
  <c r="R155" i="7"/>
  <c r="Q155" i="7"/>
  <c r="P155" i="7"/>
  <c r="O155" i="7"/>
  <c r="N155" i="7"/>
  <c r="M155" i="7"/>
  <c r="L155" i="7"/>
  <c r="K155" i="7"/>
  <c r="J155" i="7"/>
  <c r="H155" i="7"/>
  <c r="AC154" i="7"/>
  <c r="AB154" i="7"/>
  <c r="AA154" i="7"/>
  <c r="Z154" i="7"/>
  <c r="Y154" i="7"/>
  <c r="X154" i="7"/>
  <c r="W154" i="7"/>
  <c r="V154" i="7"/>
  <c r="U154" i="7"/>
  <c r="T154" i="7"/>
  <c r="S154" i="7"/>
  <c r="R154" i="7"/>
  <c r="Q154" i="7"/>
  <c r="P154" i="7"/>
  <c r="O154" i="7"/>
  <c r="N154" i="7"/>
  <c r="M154" i="7"/>
  <c r="L154" i="7"/>
  <c r="K154" i="7"/>
  <c r="J154" i="7"/>
  <c r="H154" i="7"/>
  <c r="AC153" i="7"/>
  <c r="AB153" i="7"/>
  <c r="AA153" i="7"/>
  <c r="Z153" i="7"/>
  <c r="Y153" i="7"/>
  <c r="X153" i="7"/>
  <c r="W153" i="7"/>
  <c r="V153" i="7"/>
  <c r="U153" i="7"/>
  <c r="T153" i="7"/>
  <c r="S153" i="7"/>
  <c r="R153" i="7"/>
  <c r="Q153" i="7"/>
  <c r="P153" i="7"/>
  <c r="O153" i="7"/>
  <c r="N153" i="7"/>
  <c r="M153" i="7"/>
  <c r="L153" i="7"/>
  <c r="K153" i="7"/>
  <c r="J153" i="7"/>
  <c r="H153" i="7"/>
  <c r="AC152" i="7"/>
  <c r="AB152" i="7"/>
  <c r="AA152" i="7"/>
  <c r="Z152" i="7"/>
  <c r="Y152" i="7"/>
  <c r="X152" i="7"/>
  <c r="W152" i="7"/>
  <c r="V152" i="7"/>
  <c r="U152" i="7"/>
  <c r="T152" i="7"/>
  <c r="S152" i="7"/>
  <c r="R152" i="7"/>
  <c r="Q152" i="7"/>
  <c r="P152" i="7"/>
  <c r="O152" i="7"/>
  <c r="N152" i="7"/>
  <c r="M152" i="7"/>
  <c r="L152" i="7"/>
  <c r="K152" i="7"/>
  <c r="J152" i="7"/>
  <c r="H152" i="7"/>
  <c r="AC151" i="7"/>
  <c r="AB151" i="7"/>
  <c r="AA151" i="7"/>
  <c r="Z151" i="7"/>
  <c r="Y151" i="7"/>
  <c r="X151" i="7"/>
  <c r="W151" i="7"/>
  <c r="V151" i="7"/>
  <c r="U151" i="7"/>
  <c r="T151" i="7"/>
  <c r="S151" i="7"/>
  <c r="R151" i="7"/>
  <c r="Q151" i="7"/>
  <c r="P151" i="7"/>
  <c r="O151" i="7"/>
  <c r="N151" i="7"/>
  <c r="M151" i="7"/>
  <c r="L151" i="7"/>
  <c r="K151" i="7"/>
  <c r="J151" i="7"/>
  <c r="H151" i="7"/>
  <c r="AC150" i="7"/>
  <c r="AB150" i="7"/>
  <c r="AA150" i="7"/>
  <c r="Z150" i="7"/>
  <c r="Y150" i="7"/>
  <c r="X150" i="7"/>
  <c r="W150" i="7"/>
  <c r="V150" i="7"/>
  <c r="U150" i="7"/>
  <c r="T150" i="7"/>
  <c r="S150" i="7"/>
  <c r="R150" i="7"/>
  <c r="Q150" i="7"/>
  <c r="P150" i="7"/>
  <c r="O150" i="7"/>
  <c r="N150" i="7"/>
  <c r="M150" i="7"/>
  <c r="L150" i="7"/>
  <c r="K150" i="7"/>
  <c r="J150" i="7"/>
  <c r="H150" i="7"/>
  <c r="AC149" i="7"/>
  <c r="AB149" i="7"/>
  <c r="AA149" i="7"/>
  <c r="Z149" i="7"/>
  <c r="Y149" i="7"/>
  <c r="X149" i="7"/>
  <c r="W149" i="7"/>
  <c r="V149" i="7"/>
  <c r="U149" i="7"/>
  <c r="T149" i="7"/>
  <c r="S149" i="7"/>
  <c r="R149" i="7"/>
  <c r="Q149" i="7"/>
  <c r="P149" i="7"/>
  <c r="O149" i="7"/>
  <c r="N149" i="7"/>
  <c r="M149" i="7"/>
  <c r="L149" i="7"/>
  <c r="K149" i="7"/>
  <c r="J149" i="7"/>
  <c r="H149" i="7"/>
  <c r="AC148" i="7"/>
  <c r="AB148" i="7"/>
  <c r="AA148" i="7"/>
  <c r="Z148" i="7"/>
  <c r="Y148" i="7"/>
  <c r="X148" i="7"/>
  <c r="W148" i="7"/>
  <c r="V148" i="7"/>
  <c r="U148" i="7"/>
  <c r="T148" i="7"/>
  <c r="S148" i="7"/>
  <c r="R148" i="7"/>
  <c r="Q148" i="7"/>
  <c r="P148" i="7"/>
  <c r="O148" i="7"/>
  <c r="N148" i="7"/>
  <c r="M148" i="7"/>
  <c r="L148" i="7"/>
  <c r="K148" i="7"/>
  <c r="J148" i="7"/>
  <c r="H148" i="7"/>
  <c r="AC147" i="7"/>
  <c r="AB147" i="7"/>
  <c r="AA147" i="7"/>
  <c r="Z147" i="7"/>
  <c r="Y147" i="7"/>
  <c r="X147" i="7"/>
  <c r="W147" i="7"/>
  <c r="V147" i="7"/>
  <c r="U147" i="7"/>
  <c r="T147" i="7"/>
  <c r="S147" i="7"/>
  <c r="R147" i="7"/>
  <c r="Q147" i="7"/>
  <c r="P147" i="7"/>
  <c r="O147" i="7"/>
  <c r="N147" i="7"/>
  <c r="M147" i="7"/>
  <c r="L147" i="7"/>
  <c r="K147" i="7"/>
  <c r="J147" i="7"/>
  <c r="H147" i="7"/>
  <c r="AC146" i="7"/>
  <c r="AB146" i="7"/>
  <c r="AA146" i="7"/>
  <c r="Z146" i="7"/>
  <c r="Y146" i="7"/>
  <c r="X146" i="7"/>
  <c r="W146" i="7"/>
  <c r="V146" i="7"/>
  <c r="U146" i="7"/>
  <c r="T146" i="7"/>
  <c r="S146" i="7"/>
  <c r="R146" i="7"/>
  <c r="Q146" i="7"/>
  <c r="P146" i="7"/>
  <c r="O146" i="7"/>
  <c r="N146" i="7"/>
  <c r="M146" i="7"/>
  <c r="L146" i="7"/>
  <c r="K146" i="7"/>
  <c r="J146" i="7"/>
  <c r="H146" i="7"/>
  <c r="AC145" i="7"/>
  <c r="AB145" i="7"/>
  <c r="AA145" i="7"/>
  <c r="Z145" i="7"/>
  <c r="Y145" i="7"/>
  <c r="X145" i="7"/>
  <c r="W145" i="7"/>
  <c r="V145" i="7"/>
  <c r="U145" i="7"/>
  <c r="T145" i="7"/>
  <c r="S145" i="7"/>
  <c r="R145" i="7"/>
  <c r="Q145" i="7"/>
  <c r="P145" i="7"/>
  <c r="O145" i="7"/>
  <c r="N145" i="7"/>
  <c r="M145" i="7"/>
  <c r="L145" i="7"/>
  <c r="K145" i="7"/>
  <c r="J145" i="7"/>
  <c r="H145" i="7"/>
  <c r="AC144" i="7"/>
  <c r="AB144" i="7"/>
  <c r="AA144" i="7"/>
  <c r="Z144" i="7"/>
  <c r="Y144" i="7"/>
  <c r="X144" i="7"/>
  <c r="W144" i="7"/>
  <c r="V144" i="7"/>
  <c r="U144" i="7"/>
  <c r="T144" i="7"/>
  <c r="S144" i="7"/>
  <c r="R144" i="7"/>
  <c r="Q144" i="7"/>
  <c r="P144" i="7"/>
  <c r="O144" i="7"/>
  <c r="N144" i="7"/>
  <c r="M144" i="7"/>
  <c r="L144" i="7"/>
  <c r="K144" i="7"/>
  <c r="J144" i="7"/>
  <c r="H144" i="7"/>
  <c r="AC143" i="7"/>
  <c r="AB143" i="7"/>
  <c r="AA143" i="7"/>
  <c r="Z143" i="7"/>
  <c r="Y143" i="7"/>
  <c r="X143" i="7"/>
  <c r="W143" i="7"/>
  <c r="V143" i="7"/>
  <c r="U143" i="7"/>
  <c r="T143" i="7"/>
  <c r="S143" i="7"/>
  <c r="R143" i="7"/>
  <c r="Q143" i="7"/>
  <c r="P143" i="7"/>
  <c r="O143" i="7"/>
  <c r="N143" i="7"/>
  <c r="M143" i="7"/>
  <c r="L143" i="7"/>
  <c r="K143" i="7"/>
  <c r="J143" i="7"/>
  <c r="H143" i="7"/>
  <c r="AC142" i="7"/>
  <c r="AB142" i="7"/>
  <c r="AA142" i="7"/>
  <c r="Z142" i="7"/>
  <c r="Y142" i="7"/>
  <c r="X142" i="7"/>
  <c r="W142" i="7"/>
  <c r="V142" i="7"/>
  <c r="U142" i="7"/>
  <c r="T142" i="7"/>
  <c r="S142" i="7"/>
  <c r="R142" i="7"/>
  <c r="Q142" i="7"/>
  <c r="P142" i="7"/>
  <c r="O142" i="7"/>
  <c r="N142" i="7"/>
  <c r="M142" i="7"/>
  <c r="L142" i="7"/>
  <c r="K142" i="7"/>
  <c r="J142" i="7"/>
  <c r="H142" i="7"/>
  <c r="AC141" i="7"/>
  <c r="AA141" i="7"/>
  <c r="V141" i="7"/>
  <c r="U141" i="7"/>
  <c r="T141" i="7"/>
  <c r="S141" i="7"/>
  <c r="R141" i="7"/>
  <c r="Q141" i="7"/>
  <c r="P141" i="7"/>
  <c r="O141" i="7"/>
  <c r="N141" i="7"/>
  <c r="M141" i="7"/>
  <c r="L141" i="7"/>
  <c r="K141" i="7"/>
  <c r="J141" i="7"/>
  <c r="H141" i="7"/>
  <c r="AC140" i="7"/>
  <c r="AA140" i="7"/>
  <c r="V140" i="7"/>
  <c r="U140" i="7"/>
  <c r="T140" i="7"/>
  <c r="S140" i="7"/>
  <c r="R140" i="7"/>
  <c r="Q140" i="7"/>
  <c r="P140" i="7"/>
  <c r="O140" i="7"/>
  <c r="N140" i="7"/>
  <c r="M140" i="7"/>
  <c r="L140" i="7"/>
  <c r="K140" i="7"/>
  <c r="J140" i="7"/>
  <c r="H140" i="7"/>
  <c r="AG139" i="7"/>
  <c r="AF139" i="7"/>
  <c r="AE139" i="7"/>
  <c r="AD139" i="7"/>
  <c r="AC139" i="7"/>
  <c r="AB139" i="7"/>
  <c r="AA139" i="7"/>
  <c r="Z139" i="7"/>
  <c r="Y139" i="7"/>
  <c r="X139" i="7"/>
  <c r="W139" i="7"/>
  <c r="V139" i="7"/>
  <c r="U139" i="7"/>
  <c r="T139" i="7"/>
  <c r="S139" i="7"/>
  <c r="R139" i="7"/>
  <c r="Q139" i="7"/>
  <c r="P139" i="7"/>
  <c r="O139" i="7"/>
  <c r="N139" i="7"/>
  <c r="M139" i="7"/>
  <c r="L139" i="7"/>
  <c r="K139" i="7"/>
  <c r="J139" i="7"/>
  <c r="H139" i="7"/>
  <c r="AC138" i="7"/>
  <c r="AB138" i="7"/>
  <c r="AA138" i="7"/>
  <c r="Z138" i="7"/>
  <c r="Y138" i="7"/>
  <c r="X138" i="7"/>
  <c r="W138" i="7"/>
  <c r="V138" i="7"/>
  <c r="U138" i="7"/>
  <c r="T138" i="7"/>
  <c r="S138" i="7"/>
  <c r="R138" i="7"/>
  <c r="Q138" i="7"/>
  <c r="P138" i="7"/>
  <c r="O138" i="7"/>
  <c r="N138" i="7"/>
  <c r="M138" i="7"/>
  <c r="L138" i="7"/>
  <c r="K138" i="7"/>
  <c r="J138" i="7"/>
  <c r="H138" i="7"/>
  <c r="AG137" i="7"/>
  <c r="AF137" i="7"/>
  <c r="AE137" i="7"/>
  <c r="AD137" i="7"/>
  <c r="AC137" i="7"/>
  <c r="AB137" i="7"/>
  <c r="AA137" i="7"/>
  <c r="Z137" i="7"/>
  <c r="Y137" i="7"/>
  <c r="X137" i="7"/>
  <c r="W137" i="7"/>
  <c r="V137" i="7"/>
  <c r="U137" i="7"/>
  <c r="T137" i="7"/>
  <c r="S137" i="7"/>
  <c r="R137" i="7"/>
  <c r="Q137" i="7"/>
  <c r="P137" i="7"/>
  <c r="O137" i="7"/>
  <c r="N137" i="7"/>
  <c r="M137" i="7"/>
  <c r="L137" i="7"/>
  <c r="K137" i="7"/>
  <c r="J137" i="7"/>
  <c r="H137" i="7"/>
  <c r="AC136" i="7"/>
  <c r="AB136" i="7"/>
  <c r="AA136" i="7"/>
  <c r="Z136" i="7"/>
  <c r="Y136" i="7"/>
  <c r="X136" i="7"/>
  <c r="W136" i="7"/>
  <c r="V136" i="7"/>
  <c r="U136" i="7"/>
  <c r="T136" i="7"/>
  <c r="S136" i="7"/>
  <c r="R136" i="7"/>
  <c r="Q136" i="7"/>
  <c r="P136" i="7"/>
  <c r="O136" i="7"/>
  <c r="N136" i="7"/>
  <c r="M136" i="7"/>
  <c r="L136" i="7"/>
  <c r="K136" i="7"/>
  <c r="J136" i="7"/>
  <c r="H136" i="7"/>
  <c r="AG135" i="7"/>
  <c r="AF135" i="7"/>
  <c r="AE135" i="7"/>
  <c r="AD135" i="7"/>
  <c r="AC135" i="7"/>
  <c r="AB135" i="7"/>
  <c r="AA135" i="7"/>
  <c r="Z135" i="7"/>
  <c r="Y135" i="7"/>
  <c r="X135" i="7"/>
  <c r="W135" i="7"/>
  <c r="V135" i="7"/>
  <c r="U135" i="7"/>
  <c r="T135" i="7"/>
  <c r="S135" i="7"/>
  <c r="R135" i="7"/>
  <c r="Q135" i="7"/>
  <c r="P135" i="7"/>
  <c r="O135" i="7"/>
  <c r="N135" i="7"/>
  <c r="M135" i="7"/>
  <c r="L135" i="7"/>
  <c r="K135" i="7"/>
  <c r="J135" i="7"/>
  <c r="H135" i="7"/>
  <c r="AG134" i="7"/>
  <c r="AF134" i="7"/>
  <c r="AE134" i="7"/>
  <c r="AD134" i="7"/>
  <c r="AC134" i="7"/>
  <c r="AB134" i="7"/>
  <c r="AA134" i="7"/>
  <c r="Z134" i="7"/>
  <c r="Y134" i="7"/>
  <c r="X134" i="7"/>
  <c r="W134" i="7"/>
  <c r="V134" i="7"/>
  <c r="U134" i="7"/>
  <c r="T134" i="7"/>
  <c r="S134" i="7"/>
  <c r="R134" i="7"/>
  <c r="Q134" i="7"/>
  <c r="P134" i="7"/>
  <c r="O134" i="7"/>
  <c r="N134" i="7"/>
  <c r="M134" i="7"/>
  <c r="L134" i="7"/>
  <c r="K134" i="7"/>
  <c r="J134" i="7"/>
  <c r="H134" i="7"/>
  <c r="AG133" i="7"/>
  <c r="AF133" i="7"/>
  <c r="AE133" i="7"/>
  <c r="AD133" i="7"/>
  <c r="AC133" i="7"/>
  <c r="AB133" i="7"/>
  <c r="AA133" i="7"/>
  <c r="Z133" i="7"/>
  <c r="Y133" i="7"/>
  <c r="X133" i="7"/>
  <c r="W133" i="7"/>
  <c r="V133" i="7"/>
  <c r="U133" i="7"/>
  <c r="T133" i="7"/>
  <c r="S133" i="7"/>
  <c r="R133" i="7"/>
  <c r="Q133" i="7"/>
  <c r="P133" i="7"/>
  <c r="O133" i="7"/>
  <c r="N133" i="7"/>
  <c r="M133" i="7"/>
  <c r="L133" i="7"/>
  <c r="K133" i="7"/>
  <c r="J133" i="7"/>
  <c r="H133" i="7"/>
  <c r="AG132" i="7"/>
  <c r="AF132" i="7"/>
  <c r="AE132" i="7"/>
  <c r="AD132" i="7"/>
  <c r="AC132" i="7"/>
  <c r="AB132" i="7"/>
  <c r="AA132" i="7"/>
  <c r="Z132" i="7"/>
  <c r="Y132" i="7"/>
  <c r="X132" i="7"/>
  <c r="W132" i="7"/>
  <c r="V132" i="7"/>
  <c r="U132" i="7"/>
  <c r="T132" i="7"/>
  <c r="S132" i="7"/>
  <c r="R132" i="7"/>
  <c r="Q132" i="7"/>
  <c r="P132" i="7"/>
  <c r="O132" i="7"/>
  <c r="N132" i="7"/>
  <c r="M132" i="7"/>
  <c r="L132" i="7"/>
  <c r="K132" i="7"/>
  <c r="J132" i="7"/>
  <c r="H132" i="7"/>
  <c r="AG131" i="7"/>
  <c r="AF131" i="7"/>
  <c r="AE131" i="7"/>
  <c r="AD131" i="7"/>
  <c r="AC131" i="7"/>
  <c r="AB131" i="7"/>
  <c r="AA131" i="7"/>
  <c r="Z131" i="7"/>
  <c r="Y131" i="7"/>
  <c r="X131" i="7"/>
  <c r="W131" i="7"/>
  <c r="V131" i="7"/>
  <c r="U131" i="7"/>
  <c r="T131" i="7"/>
  <c r="S131" i="7"/>
  <c r="R131" i="7"/>
  <c r="Q131" i="7"/>
  <c r="P131" i="7"/>
  <c r="O131" i="7"/>
  <c r="N131" i="7"/>
  <c r="M131" i="7"/>
  <c r="L131" i="7"/>
  <c r="K131" i="7"/>
  <c r="J131" i="7"/>
  <c r="H131" i="7"/>
  <c r="AC130" i="7"/>
  <c r="AB130" i="7"/>
  <c r="AA130" i="7"/>
  <c r="Z130" i="7"/>
  <c r="Y130" i="7"/>
  <c r="X130" i="7"/>
  <c r="W130" i="7"/>
  <c r="V130" i="7"/>
  <c r="U130" i="7"/>
  <c r="T130" i="7"/>
  <c r="S130" i="7"/>
  <c r="R130" i="7"/>
  <c r="Q130" i="7"/>
  <c r="P130" i="7"/>
  <c r="O130" i="7"/>
  <c r="N130" i="7"/>
  <c r="M130" i="7"/>
  <c r="L130" i="7"/>
  <c r="K130" i="7"/>
  <c r="J130" i="7"/>
  <c r="H130" i="7"/>
  <c r="AC129" i="7"/>
  <c r="AB129" i="7"/>
  <c r="AA129" i="7"/>
  <c r="Z129" i="7"/>
  <c r="Y129" i="7"/>
  <c r="X129" i="7"/>
  <c r="W129" i="7"/>
  <c r="V129" i="7"/>
  <c r="U129" i="7"/>
  <c r="T129" i="7"/>
  <c r="S129" i="7"/>
  <c r="R129" i="7"/>
  <c r="Q129" i="7"/>
  <c r="P129" i="7"/>
  <c r="O129" i="7"/>
  <c r="N129" i="7"/>
  <c r="M129" i="7"/>
  <c r="L129" i="7"/>
  <c r="K129" i="7"/>
  <c r="J129" i="7"/>
  <c r="H129" i="7"/>
  <c r="AC128" i="7"/>
  <c r="AB128" i="7"/>
  <c r="AA128" i="7"/>
  <c r="Z128" i="7"/>
  <c r="Y128" i="7"/>
  <c r="X128" i="7"/>
  <c r="W128" i="7"/>
  <c r="V128" i="7"/>
  <c r="U128" i="7"/>
  <c r="T128" i="7"/>
  <c r="S128" i="7"/>
  <c r="R128" i="7"/>
  <c r="Q128" i="7"/>
  <c r="P128" i="7"/>
  <c r="O128" i="7"/>
  <c r="N128" i="7"/>
  <c r="M128" i="7"/>
  <c r="L128" i="7"/>
  <c r="K128" i="7"/>
  <c r="J128" i="7"/>
  <c r="H128" i="7"/>
  <c r="AC127" i="7"/>
  <c r="AB127" i="7"/>
  <c r="AA127" i="7"/>
  <c r="Z127" i="7"/>
  <c r="Y127" i="7"/>
  <c r="X127" i="7"/>
  <c r="W127" i="7"/>
  <c r="V127" i="7"/>
  <c r="U127" i="7"/>
  <c r="T127" i="7"/>
  <c r="S127" i="7"/>
  <c r="R127" i="7"/>
  <c r="Q127" i="7"/>
  <c r="P127" i="7"/>
  <c r="O127" i="7"/>
  <c r="N127" i="7"/>
  <c r="M127" i="7"/>
  <c r="L127" i="7"/>
  <c r="K127" i="7"/>
  <c r="J127" i="7"/>
  <c r="H127" i="7"/>
  <c r="AC126" i="7"/>
  <c r="AB126" i="7"/>
  <c r="AA126" i="7"/>
  <c r="Z126" i="7"/>
  <c r="Y126" i="7"/>
  <c r="X126" i="7"/>
  <c r="W126" i="7"/>
  <c r="V126" i="7"/>
  <c r="U126" i="7"/>
  <c r="T126" i="7"/>
  <c r="S126" i="7"/>
  <c r="R126" i="7"/>
  <c r="Q126" i="7"/>
  <c r="P126" i="7"/>
  <c r="O126" i="7"/>
  <c r="N126" i="7"/>
  <c r="M126" i="7"/>
  <c r="L126" i="7"/>
  <c r="K126" i="7"/>
  <c r="J126" i="7"/>
  <c r="H126" i="7"/>
  <c r="AC125" i="7"/>
  <c r="AB125" i="7"/>
  <c r="AA125" i="7"/>
  <c r="Z125" i="7"/>
  <c r="Y125" i="7"/>
  <c r="X125" i="7"/>
  <c r="W125" i="7"/>
  <c r="V125" i="7"/>
  <c r="U125" i="7"/>
  <c r="T125" i="7"/>
  <c r="S125" i="7"/>
  <c r="R125" i="7"/>
  <c r="Q125" i="7"/>
  <c r="P125" i="7"/>
  <c r="O125" i="7"/>
  <c r="N125" i="7"/>
  <c r="M125" i="7"/>
  <c r="L125" i="7"/>
  <c r="K125" i="7"/>
  <c r="J125" i="7"/>
  <c r="H125" i="7"/>
  <c r="AC124" i="7"/>
  <c r="AB124" i="7"/>
  <c r="AA124" i="7"/>
  <c r="Z124" i="7"/>
  <c r="Y124" i="7"/>
  <c r="X124" i="7"/>
  <c r="W124" i="7"/>
  <c r="V124" i="7"/>
  <c r="U124" i="7"/>
  <c r="T124" i="7"/>
  <c r="S124" i="7"/>
  <c r="R124" i="7"/>
  <c r="Q124" i="7"/>
  <c r="P124" i="7"/>
  <c r="O124" i="7"/>
  <c r="N124" i="7"/>
  <c r="M124" i="7"/>
  <c r="L124" i="7"/>
  <c r="K124" i="7"/>
  <c r="J124" i="7"/>
  <c r="H124" i="7"/>
  <c r="AC123" i="7"/>
  <c r="AB123" i="7"/>
  <c r="AA123" i="7"/>
  <c r="Z123" i="7"/>
  <c r="Y123" i="7"/>
  <c r="X123" i="7"/>
  <c r="W123" i="7"/>
  <c r="V123" i="7"/>
  <c r="U123" i="7"/>
  <c r="T123" i="7"/>
  <c r="S123" i="7"/>
  <c r="R123" i="7"/>
  <c r="Q123" i="7"/>
  <c r="P123" i="7"/>
  <c r="O123" i="7"/>
  <c r="N123" i="7"/>
  <c r="M123" i="7"/>
  <c r="L123" i="7"/>
  <c r="K123" i="7"/>
  <c r="J123" i="7"/>
  <c r="H123" i="7"/>
  <c r="AC122" i="7"/>
  <c r="AB122" i="7"/>
  <c r="AA122" i="7"/>
  <c r="Z122" i="7"/>
  <c r="Y122" i="7"/>
  <c r="X122" i="7"/>
  <c r="W122" i="7"/>
  <c r="V122" i="7"/>
  <c r="U122" i="7"/>
  <c r="T122" i="7"/>
  <c r="S122" i="7"/>
  <c r="R122" i="7"/>
  <c r="Q122" i="7"/>
  <c r="P122" i="7"/>
  <c r="O122" i="7"/>
  <c r="N122" i="7"/>
  <c r="M122" i="7"/>
  <c r="L122" i="7"/>
  <c r="K122" i="7"/>
  <c r="J122" i="7"/>
  <c r="H122" i="7"/>
  <c r="AC121" i="7"/>
  <c r="AB121" i="7"/>
  <c r="AA121" i="7"/>
  <c r="Z121" i="7"/>
  <c r="Y121" i="7"/>
  <c r="X121" i="7"/>
  <c r="W121" i="7"/>
  <c r="V121" i="7"/>
  <c r="U121" i="7"/>
  <c r="T121" i="7"/>
  <c r="S121" i="7"/>
  <c r="R121" i="7"/>
  <c r="Q121" i="7"/>
  <c r="P121" i="7"/>
  <c r="O121" i="7"/>
  <c r="N121" i="7"/>
  <c r="M121" i="7"/>
  <c r="L121" i="7"/>
  <c r="K121" i="7"/>
  <c r="J121" i="7"/>
  <c r="H121" i="7"/>
  <c r="AC120" i="7"/>
  <c r="AB120" i="7"/>
  <c r="AA120" i="7"/>
  <c r="Z120" i="7"/>
  <c r="Y120" i="7"/>
  <c r="X120" i="7"/>
  <c r="W120" i="7"/>
  <c r="V120" i="7"/>
  <c r="U120" i="7"/>
  <c r="T120" i="7"/>
  <c r="S120" i="7"/>
  <c r="R120" i="7"/>
  <c r="Q120" i="7"/>
  <c r="P120" i="7"/>
  <c r="O120" i="7"/>
  <c r="N120" i="7"/>
  <c r="M120" i="7"/>
  <c r="L120" i="7"/>
  <c r="K120" i="7"/>
  <c r="J120" i="7"/>
  <c r="H120" i="7"/>
  <c r="AC119" i="7"/>
  <c r="AB119" i="7"/>
  <c r="AA119" i="7"/>
  <c r="Z119" i="7"/>
  <c r="Y119" i="7"/>
  <c r="X119" i="7"/>
  <c r="W119" i="7"/>
  <c r="V119" i="7"/>
  <c r="U119" i="7"/>
  <c r="T119" i="7"/>
  <c r="S119" i="7"/>
  <c r="R119" i="7"/>
  <c r="Q119" i="7"/>
  <c r="P119" i="7"/>
  <c r="O119" i="7"/>
  <c r="N119" i="7"/>
  <c r="M119" i="7"/>
  <c r="L119" i="7"/>
  <c r="K119" i="7"/>
  <c r="J119" i="7"/>
  <c r="H119" i="7"/>
  <c r="AG118" i="7"/>
  <c r="AF118" i="7"/>
  <c r="AE118" i="7"/>
  <c r="AD118" i="7"/>
  <c r="AC118" i="7"/>
  <c r="AB118" i="7"/>
  <c r="AA118" i="7"/>
  <c r="Z118" i="7"/>
  <c r="Y118" i="7"/>
  <c r="X118" i="7"/>
  <c r="W118" i="7"/>
  <c r="V118" i="7"/>
  <c r="U118" i="7"/>
  <c r="T118" i="7"/>
  <c r="S118" i="7"/>
  <c r="R118" i="7"/>
  <c r="Q118" i="7"/>
  <c r="P118" i="7"/>
  <c r="O118" i="7"/>
  <c r="N118" i="7"/>
  <c r="M118" i="7"/>
  <c r="L118" i="7"/>
  <c r="K118" i="7"/>
  <c r="J118" i="7"/>
  <c r="H118" i="7"/>
  <c r="AC117" i="7"/>
  <c r="AB117" i="7"/>
  <c r="AA117" i="7"/>
  <c r="Z117" i="7"/>
  <c r="Y117" i="7"/>
  <c r="X117" i="7"/>
  <c r="W117" i="7"/>
  <c r="V117" i="7"/>
  <c r="U117" i="7"/>
  <c r="T117" i="7"/>
  <c r="S117" i="7"/>
  <c r="R117" i="7"/>
  <c r="Q117" i="7"/>
  <c r="P117" i="7"/>
  <c r="O117" i="7"/>
  <c r="N117" i="7"/>
  <c r="M117" i="7"/>
  <c r="L117" i="7"/>
  <c r="K117" i="7"/>
  <c r="J117" i="7"/>
  <c r="H117" i="7"/>
  <c r="AC116" i="7"/>
  <c r="AB116" i="7"/>
  <c r="AA116" i="7"/>
  <c r="Z116" i="7"/>
  <c r="Y116" i="7"/>
  <c r="X116" i="7"/>
  <c r="W116" i="7"/>
  <c r="V116" i="7"/>
  <c r="U116" i="7"/>
  <c r="T116" i="7"/>
  <c r="S116" i="7"/>
  <c r="R116" i="7"/>
  <c r="Q116" i="7"/>
  <c r="P116" i="7"/>
  <c r="O116" i="7"/>
  <c r="N116" i="7"/>
  <c r="M116" i="7"/>
  <c r="L116" i="7"/>
  <c r="K116" i="7"/>
  <c r="J116" i="7"/>
  <c r="H116" i="7"/>
  <c r="AC115" i="7"/>
  <c r="AB115" i="7"/>
  <c r="AA115" i="7"/>
  <c r="Z115" i="7"/>
  <c r="Y115" i="7"/>
  <c r="X115" i="7"/>
  <c r="W115" i="7"/>
  <c r="V115" i="7"/>
  <c r="U115" i="7"/>
  <c r="T115" i="7"/>
  <c r="S115" i="7"/>
  <c r="R115" i="7"/>
  <c r="Q115" i="7"/>
  <c r="P115" i="7"/>
  <c r="O115" i="7"/>
  <c r="N115" i="7"/>
  <c r="M115" i="7"/>
  <c r="L115" i="7"/>
  <c r="K115" i="7"/>
  <c r="J115" i="7"/>
  <c r="H115" i="7"/>
  <c r="AC114" i="7"/>
  <c r="AB114" i="7"/>
  <c r="AA114" i="7"/>
  <c r="Z114" i="7"/>
  <c r="Y114" i="7"/>
  <c r="X114" i="7"/>
  <c r="W114" i="7"/>
  <c r="V114" i="7"/>
  <c r="U114" i="7"/>
  <c r="T114" i="7"/>
  <c r="S114" i="7"/>
  <c r="R114" i="7"/>
  <c r="Q114" i="7"/>
  <c r="P114" i="7"/>
  <c r="O114" i="7"/>
  <c r="N114" i="7"/>
  <c r="M114" i="7"/>
  <c r="L114" i="7"/>
  <c r="K114" i="7"/>
  <c r="J114" i="7"/>
  <c r="H114" i="7"/>
  <c r="AC113" i="7"/>
  <c r="AB113" i="7"/>
  <c r="AA113" i="7"/>
  <c r="Z113" i="7"/>
  <c r="Y113" i="7"/>
  <c r="X113" i="7"/>
  <c r="W113" i="7"/>
  <c r="V113" i="7"/>
  <c r="U113" i="7"/>
  <c r="T113" i="7"/>
  <c r="S113" i="7"/>
  <c r="R113" i="7"/>
  <c r="Q113" i="7"/>
  <c r="P113" i="7"/>
  <c r="O113" i="7"/>
  <c r="N113" i="7"/>
  <c r="M113" i="7"/>
  <c r="L113" i="7"/>
  <c r="K113" i="7"/>
  <c r="J113" i="7"/>
  <c r="H113" i="7"/>
  <c r="AC112" i="7"/>
  <c r="AB112" i="7"/>
  <c r="AA112" i="7"/>
  <c r="Z112" i="7"/>
  <c r="Y112" i="7"/>
  <c r="X112" i="7"/>
  <c r="W112" i="7"/>
  <c r="V112" i="7"/>
  <c r="U112" i="7"/>
  <c r="T112" i="7"/>
  <c r="S112" i="7"/>
  <c r="R112" i="7"/>
  <c r="Q112" i="7"/>
  <c r="P112" i="7"/>
  <c r="O112" i="7"/>
  <c r="N112" i="7"/>
  <c r="M112" i="7"/>
  <c r="L112" i="7"/>
  <c r="K112" i="7"/>
  <c r="J112" i="7"/>
  <c r="H112" i="7"/>
  <c r="AC111" i="7"/>
  <c r="AB111" i="7"/>
  <c r="AA111" i="7"/>
  <c r="Z111" i="7"/>
  <c r="Y111" i="7"/>
  <c r="X111" i="7"/>
  <c r="W111" i="7"/>
  <c r="V111" i="7"/>
  <c r="U111" i="7"/>
  <c r="T111" i="7"/>
  <c r="S111" i="7"/>
  <c r="R111" i="7"/>
  <c r="Q111" i="7"/>
  <c r="P111" i="7"/>
  <c r="O111" i="7"/>
  <c r="N111" i="7"/>
  <c r="M111" i="7"/>
  <c r="L111" i="7"/>
  <c r="K111" i="7"/>
  <c r="J111" i="7"/>
  <c r="H111" i="7"/>
  <c r="AC110" i="7"/>
  <c r="AB110" i="7"/>
  <c r="AA110" i="7"/>
  <c r="Z110" i="7"/>
  <c r="Y110" i="7"/>
  <c r="X110" i="7"/>
  <c r="W110" i="7"/>
  <c r="V110" i="7"/>
  <c r="U110" i="7"/>
  <c r="T110" i="7"/>
  <c r="S110" i="7"/>
  <c r="R110" i="7"/>
  <c r="Q110" i="7"/>
  <c r="P110" i="7"/>
  <c r="O110" i="7"/>
  <c r="N110" i="7"/>
  <c r="M110" i="7"/>
  <c r="L110" i="7"/>
  <c r="K110" i="7"/>
  <c r="J110" i="7"/>
  <c r="H110" i="7"/>
  <c r="AC109" i="7"/>
  <c r="AB109" i="7"/>
  <c r="AA109" i="7"/>
  <c r="Z109" i="7"/>
  <c r="Y109" i="7"/>
  <c r="X109" i="7"/>
  <c r="W109" i="7"/>
  <c r="V109" i="7"/>
  <c r="U109" i="7"/>
  <c r="T109" i="7"/>
  <c r="S109" i="7"/>
  <c r="R109" i="7"/>
  <c r="Q109" i="7"/>
  <c r="P109" i="7"/>
  <c r="O109" i="7"/>
  <c r="N109" i="7"/>
  <c r="M109" i="7"/>
  <c r="L109" i="7"/>
  <c r="K109" i="7"/>
  <c r="J109" i="7"/>
  <c r="H109" i="7"/>
  <c r="AC108" i="7"/>
  <c r="AB108" i="7"/>
  <c r="AA108" i="7"/>
  <c r="Z108" i="7"/>
  <c r="Y108" i="7"/>
  <c r="X108" i="7"/>
  <c r="W108" i="7"/>
  <c r="V108" i="7"/>
  <c r="U108" i="7"/>
  <c r="T108" i="7"/>
  <c r="S108" i="7"/>
  <c r="R108" i="7"/>
  <c r="Q108" i="7"/>
  <c r="P108" i="7"/>
  <c r="O108" i="7"/>
  <c r="N108" i="7"/>
  <c r="M108" i="7"/>
  <c r="L108" i="7"/>
  <c r="K108" i="7"/>
  <c r="J108" i="7"/>
  <c r="H108" i="7"/>
  <c r="AC107" i="7"/>
  <c r="AB107" i="7"/>
  <c r="AA107" i="7"/>
  <c r="Z107" i="7"/>
  <c r="Y107" i="7"/>
  <c r="X107" i="7"/>
  <c r="W107" i="7"/>
  <c r="V107" i="7"/>
  <c r="U107" i="7"/>
  <c r="T107" i="7"/>
  <c r="S107" i="7"/>
  <c r="R107" i="7"/>
  <c r="Q107" i="7"/>
  <c r="P107" i="7"/>
  <c r="O107" i="7"/>
  <c r="N107" i="7"/>
  <c r="M107" i="7"/>
  <c r="L107" i="7"/>
  <c r="K107" i="7"/>
  <c r="J107" i="7"/>
  <c r="H107" i="7"/>
  <c r="AC106" i="7"/>
  <c r="AB106" i="7"/>
  <c r="AA106" i="7"/>
  <c r="Z106" i="7"/>
  <c r="Y106" i="7"/>
  <c r="X106" i="7"/>
  <c r="W106" i="7"/>
  <c r="V106" i="7"/>
  <c r="U106" i="7"/>
  <c r="T106" i="7"/>
  <c r="S106" i="7"/>
  <c r="R106" i="7"/>
  <c r="Q106" i="7"/>
  <c r="P106" i="7"/>
  <c r="O106" i="7"/>
  <c r="N106" i="7"/>
  <c r="M106" i="7"/>
  <c r="L106" i="7"/>
  <c r="K106" i="7"/>
  <c r="J106" i="7"/>
  <c r="H106" i="7"/>
  <c r="AC105" i="7"/>
  <c r="AB105" i="7"/>
  <c r="AA105" i="7"/>
  <c r="Z105" i="7"/>
  <c r="Y105" i="7"/>
  <c r="X105" i="7"/>
  <c r="W105" i="7"/>
  <c r="V105" i="7"/>
  <c r="U105" i="7"/>
  <c r="T105" i="7"/>
  <c r="S105" i="7"/>
  <c r="R105" i="7"/>
  <c r="Q105" i="7"/>
  <c r="P105" i="7"/>
  <c r="O105" i="7"/>
  <c r="N105" i="7"/>
  <c r="M105" i="7"/>
  <c r="L105" i="7"/>
  <c r="K105" i="7"/>
  <c r="J105" i="7"/>
  <c r="H105" i="7"/>
  <c r="AC104" i="7"/>
  <c r="AB104" i="7"/>
  <c r="AA104" i="7"/>
  <c r="Z104" i="7"/>
  <c r="Y104" i="7"/>
  <c r="X104" i="7"/>
  <c r="W104" i="7"/>
  <c r="V104" i="7"/>
  <c r="U104" i="7"/>
  <c r="T104" i="7"/>
  <c r="S104" i="7"/>
  <c r="R104" i="7"/>
  <c r="Q104" i="7"/>
  <c r="P104" i="7"/>
  <c r="O104" i="7"/>
  <c r="N104" i="7"/>
  <c r="M104" i="7"/>
  <c r="L104" i="7"/>
  <c r="K104" i="7"/>
  <c r="J104" i="7"/>
  <c r="H104" i="7"/>
  <c r="AC103" i="7"/>
  <c r="AB103" i="7"/>
  <c r="AA103" i="7"/>
  <c r="Z103" i="7"/>
  <c r="Y103" i="7"/>
  <c r="X103" i="7"/>
  <c r="W103" i="7"/>
  <c r="V103" i="7"/>
  <c r="U103" i="7"/>
  <c r="T103" i="7"/>
  <c r="S103" i="7"/>
  <c r="R103" i="7"/>
  <c r="Q103" i="7"/>
  <c r="P103" i="7"/>
  <c r="O103" i="7"/>
  <c r="N103" i="7"/>
  <c r="M103" i="7"/>
  <c r="L103" i="7"/>
  <c r="K103" i="7"/>
  <c r="J103" i="7"/>
  <c r="H103" i="7"/>
  <c r="AC102" i="7"/>
  <c r="AB102" i="7"/>
  <c r="AA102" i="7"/>
  <c r="Z102" i="7"/>
  <c r="Y102" i="7"/>
  <c r="X102" i="7"/>
  <c r="W102" i="7"/>
  <c r="V102" i="7"/>
  <c r="U102" i="7"/>
  <c r="T102" i="7"/>
  <c r="S102" i="7"/>
  <c r="R102" i="7"/>
  <c r="Q102" i="7"/>
  <c r="P102" i="7"/>
  <c r="O102" i="7"/>
  <c r="N102" i="7"/>
  <c r="M102" i="7"/>
  <c r="L102" i="7"/>
  <c r="K102" i="7"/>
  <c r="J102" i="7"/>
  <c r="H102" i="7"/>
  <c r="AC101" i="7"/>
  <c r="AB101" i="7"/>
  <c r="AA101" i="7"/>
  <c r="Z101" i="7"/>
  <c r="Y101" i="7"/>
  <c r="X101" i="7"/>
  <c r="W101" i="7"/>
  <c r="V101" i="7"/>
  <c r="U101" i="7"/>
  <c r="T101" i="7"/>
  <c r="S101" i="7"/>
  <c r="R101" i="7"/>
  <c r="Q101" i="7"/>
  <c r="P101" i="7"/>
  <c r="O101" i="7"/>
  <c r="N101" i="7"/>
  <c r="M101" i="7"/>
  <c r="L101" i="7"/>
  <c r="K101" i="7"/>
  <c r="J101" i="7"/>
  <c r="H101" i="7"/>
  <c r="AC100" i="7"/>
  <c r="AB100" i="7"/>
  <c r="AA100" i="7"/>
  <c r="Z100" i="7"/>
  <c r="Y100" i="7"/>
  <c r="X100" i="7"/>
  <c r="W100" i="7"/>
  <c r="V100" i="7"/>
  <c r="U100" i="7"/>
  <c r="T100" i="7"/>
  <c r="S100" i="7"/>
  <c r="R100" i="7"/>
  <c r="Q100" i="7"/>
  <c r="P100" i="7"/>
  <c r="O100" i="7"/>
  <c r="N100" i="7"/>
  <c r="M100" i="7"/>
  <c r="L100" i="7"/>
  <c r="K100" i="7"/>
  <c r="J100" i="7"/>
  <c r="H100" i="7"/>
  <c r="AC99" i="7"/>
  <c r="AB99" i="7"/>
  <c r="AA99" i="7"/>
  <c r="Z99" i="7"/>
  <c r="Y99" i="7"/>
  <c r="X99" i="7"/>
  <c r="W99" i="7"/>
  <c r="V99" i="7"/>
  <c r="U99" i="7"/>
  <c r="T99" i="7"/>
  <c r="S99" i="7"/>
  <c r="R99" i="7"/>
  <c r="Q99" i="7"/>
  <c r="P99" i="7"/>
  <c r="O99" i="7"/>
  <c r="N99" i="7"/>
  <c r="M99" i="7"/>
  <c r="L99" i="7"/>
  <c r="K99" i="7"/>
  <c r="J99" i="7"/>
  <c r="H99" i="7"/>
  <c r="AC98" i="7"/>
  <c r="AB98" i="7"/>
  <c r="AA98" i="7"/>
  <c r="Z98" i="7"/>
  <c r="Y98" i="7"/>
  <c r="X98" i="7"/>
  <c r="W98" i="7"/>
  <c r="V98" i="7"/>
  <c r="U98" i="7"/>
  <c r="T98" i="7"/>
  <c r="S98" i="7"/>
  <c r="R98" i="7"/>
  <c r="Q98" i="7"/>
  <c r="P98" i="7"/>
  <c r="O98" i="7"/>
  <c r="N98" i="7"/>
  <c r="M98" i="7"/>
  <c r="L98" i="7"/>
  <c r="K98" i="7"/>
  <c r="J98" i="7"/>
  <c r="H98" i="7"/>
  <c r="AC97" i="7"/>
  <c r="AB97" i="7"/>
  <c r="AA97" i="7"/>
  <c r="Z97" i="7"/>
  <c r="Y97" i="7"/>
  <c r="X97" i="7"/>
  <c r="W97" i="7"/>
  <c r="V97" i="7"/>
  <c r="U97" i="7"/>
  <c r="T97" i="7"/>
  <c r="S97" i="7"/>
  <c r="R97" i="7"/>
  <c r="Q97" i="7"/>
  <c r="P97" i="7"/>
  <c r="O97" i="7"/>
  <c r="N97" i="7"/>
  <c r="M97" i="7"/>
  <c r="L97" i="7"/>
  <c r="K97" i="7"/>
  <c r="J97" i="7"/>
  <c r="H97" i="7"/>
  <c r="AC96" i="7"/>
  <c r="AB96" i="7"/>
  <c r="AA96" i="7"/>
  <c r="Z96" i="7"/>
  <c r="Y96" i="7"/>
  <c r="X96" i="7"/>
  <c r="W96" i="7"/>
  <c r="V96" i="7"/>
  <c r="U96" i="7"/>
  <c r="T96" i="7"/>
  <c r="S96" i="7"/>
  <c r="R96" i="7"/>
  <c r="Q96" i="7"/>
  <c r="P96" i="7"/>
  <c r="O96" i="7"/>
  <c r="N96" i="7"/>
  <c r="M96" i="7"/>
  <c r="L96" i="7"/>
  <c r="K96" i="7"/>
  <c r="J96" i="7"/>
  <c r="H96" i="7"/>
  <c r="AC95" i="7"/>
  <c r="AB95" i="7"/>
  <c r="AA95" i="7"/>
  <c r="Z95" i="7"/>
  <c r="Y95" i="7"/>
  <c r="X95" i="7"/>
  <c r="W95" i="7"/>
  <c r="V95" i="7"/>
  <c r="U95" i="7"/>
  <c r="T95" i="7"/>
  <c r="S95" i="7"/>
  <c r="R95" i="7"/>
  <c r="Q95" i="7"/>
  <c r="P95" i="7"/>
  <c r="O95" i="7"/>
  <c r="N95" i="7"/>
  <c r="M95" i="7"/>
  <c r="L95" i="7"/>
  <c r="K95" i="7"/>
  <c r="J95" i="7"/>
  <c r="H95" i="7"/>
  <c r="AC94" i="7"/>
  <c r="AB94" i="7"/>
  <c r="AA94" i="7"/>
  <c r="Z94" i="7"/>
  <c r="Y94" i="7"/>
  <c r="X94" i="7"/>
  <c r="W94" i="7"/>
  <c r="V94" i="7"/>
  <c r="U94" i="7"/>
  <c r="T94" i="7"/>
  <c r="S94" i="7"/>
  <c r="R94" i="7"/>
  <c r="Q94" i="7"/>
  <c r="P94" i="7"/>
  <c r="O94" i="7"/>
  <c r="N94" i="7"/>
  <c r="M94" i="7"/>
  <c r="L94" i="7"/>
  <c r="K94" i="7"/>
  <c r="J94" i="7"/>
  <c r="H94" i="7"/>
  <c r="AC93" i="7"/>
  <c r="AB93" i="7"/>
  <c r="AA93" i="7"/>
  <c r="Z93" i="7"/>
  <c r="Y93" i="7"/>
  <c r="X93" i="7"/>
  <c r="W93" i="7"/>
  <c r="V93" i="7"/>
  <c r="U93" i="7"/>
  <c r="T93" i="7"/>
  <c r="S93" i="7"/>
  <c r="R93" i="7"/>
  <c r="Q93" i="7"/>
  <c r="P93" i="7"/>
  <c r="O93" i="7"/>
  <c r="N93" i="7"/>
  <c r="M93" i="7"/>
  <c r="L93" i="7"/>
  <c r="K93" i="7"/>
  <c r="J93" i="7"/>
  <c r="H93" i="7"/>
  <c r="AC92" i="7"/>
  <c r="AB92" i="7"/>
  <c r="AA92" i="7"/>
  <c r="Z92" i="7"/>
  <c r="Y92" i="7"/>
  <c r="X92" i="7"/>
  <c r="W92" i="7"/>
  <c r="V92" i="7"/>
  <c r="U92" i="7"/>
  <c r="T92" i="7"/>
  <c r="S92" i="7"/>
  <c r="R92" i="7"/>
  <c r="Q92" i="7"/>
  <c r="P92" i="7"/>
  <c r="O92" i="7"/>
  <c r="N92" i="7"/>
  <c r="M92" i="7"/>
  <c r="L92" i="7"/>
  <c r="K92" i="7"/>
  <c r="J92" i="7"/>
  <c r="H92" i="7"/>
  <c r="AC91" i="7"/>
  <c r="AB91" i="7"/>
  <c r="AA91" i="7"/>
  <c r="Z91" i="7"/>
  <c r="Y91" i="7"/>
  <c r="X91" i="7"/>
  <c r="W91" i="7"/>
  <c r="V91" i="7"/>
  <c r="U91" i="7"/>
  <c r="T91" i="7"/>
  <c r="S91" i="7"/>
  <c r="R91" i="7"/>
  <c r="Q91" i="7"/>
  <c r="P91" i="7"/>
  <c r="O91" i="7"/>
  <c r="N91" i="7"/>
  <c r="M91" i="7"/>
  <c r="L91" i="7"/>
  <c r="K91" i="7"/>
  <c r="J91" i="7"/>
  <c r="H91" i="7"/>
  <c r="AC90" i="7"/>
  <c r="AB90" i="7"/>
  <c r="AA90" i="7"/>
  <c r="Z90" i="7"/>
  <c r="Y90" i="7"/>
  <c r="X90" i="7"/>
  <c r="W90" i="7"/>
  <c r="V90" i="7"/>
  <c r="U90" i="7"/>
  <c r="T90" i="7"/>
  <c r="S90" i="7"/>
  <c r="R90" i="7"/>
  <c r="Q90" i="7"/>
  <c r="P90" i="7"/>
  <c r="O90" i="7"/>
  <c r="N90" i="7"/>
  <c r="M90" i="7"/>
  <c r="L90" i="7"/>
  <c r="K90" i="7"/>
  <c r="J90" i="7"/>
  <c r="H90" i="7"/>
  <c r="AC89" i="7"/>
  <c r="AB89" i="7"/>
  <c r="AA89" i="7"/>
  <c r="Z89" i="7"/>
  <c r="Y89" i="7"/>
  <c r="X89" i="7"/>
  <c r="W89" i="7"/>
  <c r="V89" i="7"/>
  <c r="U89" i="7"/>
  <c r="T89" i="7"/>
  <c r="S89" i="7"/>
  <c r="R89" i="7"/>
  <c r="Q89" i="7"/>
  <c r="P89" i="7"/>
  <c r="O89" i="7"/>
  <c r="N89" i="7"/>
  <c r="M89" i="7"/>
  <c r="L89" i="7"/>
  <c r="K89" i="7"/>
  <c r="J89" i="7"/>
  <c r="H89" i="7"/>
  <c r="AC88" i="7"/>
  <c r="AB88" i="7"/>
  <c r="AA88" i="7"/>
  <c r="Z88" i="7"/>
  <c r="Y88" i="7"/>
  <c r="X88" i="7"/>
  <c r="W88" i="7"/>
  <c r="V88" i="7"/>
  <c r="U88" i="7"/>
  <c r="T88" i="7"/>
  <c r="S88" i="7"/>
  <c r="R88" i="7"/>
  <c r="Q88" i="7"/>
  <c r="P88" i="7"/>
  <c r="O88" i="7"/>
  <c r="N88" i="7"/>
  <c r="M88" i="7"/>
  <c r="L88" i="7"/>
  <c r="K88" i="7"/>
  <c r="J88" i="7"/>
  <c r="H88" i="7"/>
  <c r="AC87" i="7"/>
  <c r="AB87" i="7"/>
  <c r="AA87" i="7"/>
  <c r="Z87" i="7"/>
  <c r="Y87" i="7"/>
  <c r="X87" i="7"/>
  <c r="W87" i="7"/>
  <c r="V87" i="7"/>
  <c r="U87" i="7"/>
  <c r="T87" i="7"/>
  <c r="S87" i="7"/>
  <c r="R87" i="7"/>
  <c r="Q87" i="7"/>
  <c r="P87" i="7"/>
  <c r="O87" i="7"/>
  <c r="N87" i="7"/>
  <c r="M87" i="7"/>
  <c r="L87" i="7"/>
  <c r="K87" i="7"/>
  <c r="J87" i="7"/>
  <c r="H87" i="7"/>
  <c r="AC86" i="7"/>
  <c r="AB86" i="7"/>
  <c r="AA86" i="7"/>
  <c r="Z86" i="7"/>
  <c r="Y86" i="7"/>
  <c r="X86" i="7"/>
  <c r="W86" i="7"/>
  <c r="V86" i="7"/>
  <c r="U86" i="7"/>
  <c r="T86" i="7"/>
  <c r="S86" i="7"/>
  <c r="R86" i="7"/>
  <c r="Q86" i="7"/>
  <c r="P86" i="7"/>
  <c r="O86" i="7"/>
  <c r="N86" i="7"/>
  <c r="M86" i="7"/>
  <c r="L86" i="7"/>
  <c r="K86" i="7"/>
  <c r="J86" i="7"/>
  <c r="H86" i="7"/>
  <c r="AC85" i="7"/>
  <c r="AB85" i="7"/>
  <c r="AA85" i="7"/>
  <c r="Z85" i="7"/>
  <c r="Y85" i="7"/>
  <c r="X85" i="7"/>
  <c r="W85" i="7"/>
  <c r="V85" i="7"/>
  <c r="U85" i="7"/>
  <c r="T85" i="7"/>
  <c r="S85" i="7"/>
  <c r="R85" i="7"/>
  <c r="Q85" i="7"/>
  <c r="P85" i="7"/>
  <c r="O85" i="7"/>
  <c r="N85" i="7"/>
  <c r="M85" i="7"/>
  <c r="L85" i="7"/>
  <c r="K85" i="7"/>
  <c r="J85" i="7"/>
  <c r="H85" i="7"/>
  <c r="AC84" i="7"/>
  <c r="AB84" i="7"/>
  <c r="AA84" i="7"/>
  <c r="Z84" i="7"/>
  <c r="Y84" i="7"/>
  <c r="X84" i="7"/>
  <c r="W84" i="7"/>
  <c r="V84" i="7"/>
  <c r="U84" i="7"/>
  <c r="T84" i="7"/>
  <c r="S84" i="7"/>
  <c r="R84" i="7"/>
  <c r="Q84" i="7"/>
  <c r="P84" i="7"/>
  <c r="O84" i="7"/>
  <c r="N84" i="7"/>
  <c r="M84" i="7"/>
  <c r="L84" i="7"/>
  <c r="K84" i="7"/>
  <c r="J84" i="7"/>
  <c r="H84" i="7"/>
  <c r="AG83" i="7"/>
  <c r="AF83" i="7"/>
  <c r="AE83" i="7"/>
  <c r="AD83" i="7"/>
  <c r="AC83" i="7"/>
  <c r="AB83" i="7"/>
  <c r="AA83" i="7"/>
  <c r="Z83" i="7"/>
  <c r="Y83" i="7"/>
  <c r="X83" i="7"/>
  <c r="W83" i="7"/>
  <c r="V83" i="7"/>
  <c r="U83" i="7"/>
  <c r="T83" i="7"/>
  <c r="S83" i="7"/>
  <c r="R83" i="7"/>
  <c r="Q83" i="7"/>
  <c r="P83" i="7"/>
  <c r="O83" i="7"/>
  <c r="N83" i="7"/>
  <c r="M83" i="7"/>
  <c r="L83" i="7"/>
  <c r="K83" i="7"/>
  <c r="J83" i="7"/>
  <c r="H83" i="7"/>
  <c r="AC82" i="7"/>
  <c r="AB82" i="7"/>
  <c r="AA82" i="7"/>
  <c r="Z82" i="7"/>
  <c r="Y82" i="7"/>
  <c r="X82" i="7"/>
  <c r="W82" i="7"/>
  <c r="V82" i="7"/>
  <c r="U82" i="7"/>
  <c r="T82" i="7"/>
  <c r="S82" i="7"/>
  <c r="R82" i="7"/>
  <c r="Q82" i="7"/>
  <c r="P82" i="7"/>
  <c r="O82" i="7"/>
  <c r="N82" i="7"/>
  <c r="M82" i="7"/>
  <c r="L82" i="7"/>
  <c r="K82" i="7"/>
  <c r="J82" i="7"/>
  <c r="H82" i="7"/>
  <c r="AC81" i="7"/>
  <c r="AB81" i="7"/>
  <c r="AA81" i="7"/>
  <c r="Z81" i="7"/>
  <c r="Y81" i="7"/>
  <c r="X81" i="7"/>
  <c r="W81" i="7"/>
  <c r="V81" i="7"/>
  <c r="U81" i="7"/>
  <c r="T81" i="7"/>
  <c r="S81" i="7"/>
  <c r="R81" i="7"/>
  <c r="Q81" i="7"/>
  <c r="P81" i="7"/>
  <c r="O81" i="7"/>
  <c r="N81" i="7"/>
  <c r="M81" i="7"/>
  <c r="L81" i="7"/>
  <c r="K81" i="7"/>
  <c r="J81" i="7"/>
  <c r="H81" i="7"/>
  <c r="AC80" i="7"/>
  <c r="AB80" i="7"/>
  <c r="AA80" i="7"/>
  <c r="Z80" i="7"/>
  <c r="Y80" i="7"/>
  <c r="X80" i="7"/>
  <c r="W80" i="7"/>
  <c r="V80" i="7"/>
  <c r="U80" i="7"/>
  <c r="T80" i="7"/>
  <c r="S80" i="7"/>
  <c r="R80" i="7"/>
  <c r="Q80" i="7"/>
  <c r="P80" i="7"/>
  <c r="O80" i="7"/>
  <c r="N80" i="7"/>
  <c r="M80" i="7"/>
  <c r="L80" i="7"/>
  <c r="K80" i="7"/>
  <c r="J80" i="7"/>
  <c r="H80" i="7"/>
  <c r="AC79" i="7"/>
  <c r="AB79" i="7"/>
  <c r="AA79" i="7"/>
  <c r="Z79" i="7"/>
  <c r="Y79" i="7"/>
  <c r="X79" i="7"/>
  <c r="W79" i="7"/>
  <c r="V79" i="7"/>
  <c r="U79" i="7"/>
  <c r="T79" i="7"/>
  <c r="S79" i="7"/>
  <c r="R79" i="7"/>
  <c r="Q79" i="7"/>
  <c r="P79" i="7"/>
  <c r="O79" i="7"/>
  <c r="N79" i="7"/>
  <c r="M79" i="7"/>
  <c r="L79" i="7"/>
  <c r="K79" i="7"/>
  <c r="J79" i="7"/>
  <c r="H79" i="7"/>
  <c r="AC78" i="7"/>
  <c r="AB78" i="7"/>
  <c r="AA78" i="7"/>
  <c r="Z78" i="7"/>
  <c r="Y78" i="7"/>
  <c r="X78" i="7"/>
  <c r="W78" i="7"/>
  <c r="V78" i="7"/>
  <c r="U78" i="7"/>
  <c r="T78" i="7"/>
  <c r="S78" i="7"/>
  <c r="R78" i="7"/>
  <c r="Q78" i="7"/>
  <c r="P78" i="7"/>
  <c r="O78" i="7"/>
  <c r="N78" i="7"/>
  <c r="M78" i="7"/>
  <c r="L78" i="7"/>
  <c r="K78" i="7"/>
  <c r="J78" i="7"/>
  <c r="H78" i="7"/>
  <c r="AC77" i="7"/>
  <c r="AB77" i="7"/>
  <c r="AA77" i="7"/>
  <c r="Z77" i="7"/>
  <c r="Y77" i="7"/>
  <c r="X77" i="7"/>
  <c r="W77" i="7"/>
  <c r="V77" i="7"/>
  <c r="U77" i="7"/>
  <c r="T77" i="7"/>
  <c r="S77" i="7"/>
  <c r="R77" i="7"/>
  <c r="Q77" i="7"/>
  <c r="P77" i="7"/>
  <c r="O77" i="7"/>
  <c r="N77" i="7"/>
  <c r="M77" i="7"/>
  <c r="L77" i="7"/>
  <c r="K77" i="7"/>
  <c r="J77" i="7"/>
  <c r="H77" i="7"/>
  <c r="AC76" i="7"/>
  <c r="AB76" i="7"/>
  <c r="AA76" i="7"/>
  <c r="Z76" i="7"/>
  <c r="Y76" i="7"/>
  <c r="X76" i="7"/>
  <c r="W76" i="7"/>
  <c r="V76" i="7"/>
  <c r="U76" i="7"/>
  <c r="T76" i="7"/>
  <c r="S76" i="7"/>
  <c r="R76" i="7"/>
  <c r="Q76" i="7"/>
  <c r="P76" i="7"/>
  <c r="O76" i="7"/>
  <c r="N76" i="7"/>
  <c r="M76" i="7"/>
  <c r="L76" i="7"/>
  <c r="K76" i="7"/>
  <c r="J76" i="7"/>
  <c r="H76" i="7"/>
  <c r="AC75" i="7"/>
  <c r="AB75" i="7"/>
  <c r="AA75" i="7"/>
  <c r="Z75" i="7"/>
  <c r="Y75" i="7"/>
  <c r="X75" i="7"/>
  <c r="W75" i="7"/>
  <c r="V75" i="7"/>
  <c r="U75" i="7"/>
  <c r="T75" i="7"/>
  <c r="S75" i="7"/>
  <c r="R75" i="7"/>
  <c r="Q75" i="7"/>
  <c r="P75" i="7"/>
  <c r="O75" i="7"/>
  <c r="N75" i="7"/>
  <c r="M75" i="7"/>
  <c r="L75" i="7"/>
  <c r="K75" i="7"/>
  <c r="J75" i="7"/>
  <c r="H75" i="7"/>
  <c r="AG74" i="7"/>
  <c r="AF74" i="7"/>
  <c r="AE74" i="7"/>
  <c r="AD74" i="7"/>
  <c r="AC74" i="7"/>
  <c r="AB74" i="7"/>
  <c r="AA74" i="7"/>
  <c r="Z74" i="7"/>
  <c r="Y74" i="7"/>
  <c r="X74" i="7"/>
  <c r="W74" i="7"/>
  <c r="V74" i="7"/>
  <c r="U74" i="7"/>
  <c r="T74" i="7"/>
  <c r="S74" i="7"/>
  <c r="R74" i="7"/>
  <c r="Q74" i="7"/>
  <c r="P74" i="7"/>
  <c r="O74" i="7"/>
  <c r="N74" i="7"/>
  <c r="M74" i="7"/>
  <c r="L74" i="7"/>
  <c r="K74" i="7"/>
  <c r="J74" i="7"/>
  <c r="H74" i="7"/>
  <c r="AC73" i="7"/>
  <c r="AB73" i="7"/>
  <c r="AA73" i="7"/>
  <c r="Z73" i="7"/>
  <c r="Y73" i="7"/>
  <c r="X73" i="7"/>
  <c r="W73" i="7"/>
  <c r="V73" i="7"/>
  <c r="U73" i="7"/>
  <c r="T73" i="7"/>
  <c r="S73" i="7"/>
  <c r="R73" i="7"/>
  <c r="Q73" i="7"/>
  <c r="P73" i="7"/>
  <c r="O73" i="7"/>
  <c r="N73" i="7"/>
  <c r="M73" i="7"/>
  <c r="L73" i="7"/>
  <c r="K73" i="7"/>
  <c r="J73" i="7"/>
  <c r="H73" i="7"/>
  <c r="AG72" i="7"/>
  <c r="AF72" i="7"/>
  <c r="AE72" i="7"/>
  <c r="AD72" i="7"/>
  <c r="AC72" i="7"/>
  <c r="AB72" i="7"/>
  <c r="AA72" i="7"/>
  <c r="Z72" i="7"/>
  <c r="Y72" i="7"/>
  <c r="X72" i="7"/>
  <c r="W72" i="7"/>
  <c r="V72" i="7"/>
  <c r="U72" i="7"/>
  <c r="T72" i="7"/>
  <c r="S72" i="7"/>
  <c r="R72" i="7"/>
  <c r="Q72" i="7"/>
  <c r="P72" i="7"/>
  <c r="O72" i="7"/>
  <c r="N72" i="7"/>
  <c r="M72" i="7"/>
  <c r="L72" i="7"/>
  <c r="K72" i="7"/>
  <c r="J72" i="7"/>
  <c r="H72" i="7"/>
  <c r="AG71" i="7"/>
  <c r="AF71" i="7"/>
  <c r="AE71" i="7"/>
  <c r="AD71" i="7"/>
  <c r="AC71" i="7"/>
  <c r="AB71" i="7"/>
  <c r="AA71" i="7"/>
  <c r="Z71" i="7"/>
  <c r="Y71" i="7"/>
  <c r="X71" i="7"/>
  <c r="W71" i="7"/>
  <c r="V71" i="7"/>
  <c r="U71" i="7"/>
  <c r="T71" i="7"/>
  <c r="S71" i="7"/>
  <c r="R71" i="7"/>
  <c r="Q71" i="7"/>
  <c r="P71" i="7"/>
  <c r="O71" i="7"/>
  <c r="N71" i="7"/>
  <c r="M71" i="7"/>
  <c r="L71" i="7"/>
  <c r="K71" i="7"/>
  <c r="J71" i="7"/>
  <c r="H71" i="7"/>
  <c r="AC70" i="7"/>
  <c r="AB70" i="7"/>
  <c r="AA70" i="7"/>
  <c r="Z70" i="7"/>
  <c r="Y70" i="7"/>
  <c r="X70" i="7"/>
  <c r="W70" i="7"/>
  <c r="V70" i="7"/>
  <c r="U70" i="7"/>
  <c r="T70" i="7"/>
  <c r="S70" i="7"/>
  <c r="R70" i="7"/>
  <c r="Q70" i="7"/>
  <c r="P70" i="7"/>
  <c r="O70" i="7"/>
  <c r="N70" i="7"/>
  <c r="M70" i="7"/>
  <c r="L70" i="7"/>
  <c r="K70" i="7"/>
  <c r="J70" i="7"/>
  <c r="H70" i="7"/>
  <c r="AC69" i="7"/>
  <c r="AB69" i="7"/>
  <c r="AA69" i="7"/>
  <c r="Z69" i="7"/>
  <c r="Y69" i="7"/>
  <c r="X69" i="7"/>
  <c r="W69" i="7"/>
  <c r="V69" i="7"/>
  <c r="U69" i="7"/>
  <c r="T69" i="7"/>
  <c r="S69" i="7"/>
  <c r="R69" i="7"/>
  <c r="Q69" i="7"/>
  <c r="P69" i="7"/>
  <c r="O69" i="7"/>
  <c r="N69" i="7"/>
  <c r="M69" i="7"/>
  <c r="L69" i="7"/>
  <c r="K69" i="7"/>
  <c r="J69" i="7"/>
  <c r="H69" i="7"/>
  <c r="AC68" i="7"/>
  <c r="AB68" i="7"/>
  <c r="AA68" i="7"/>
  <c r="Z68" i="7"/>
  <c r="Y68" i="7"/>
  <c r="X68" i="7"/>
  <c r="W68" i="7"/>
  <c r="V68" i="7"/>
  <c r="U68" i="7"/>
  <c r="T68" i="7"/>
  <c r="S68" i="7"/>
  <c r="R68" i="7"/>
  <c r="Q68" i="7"/>
  <c r="P68" i="7"/>
  <c r="O68" i="7"/>
  <c r="N68" i="7"/>
  <c r="M68" i="7"/>
  <c r="L68" i="7"/>
  <c r="K68" i="7"/>
  <c r="J68" i="7"/>
  <c r="H68" i="7"/>
  <c r="AC67" i="7"/>
  <c r="AB67" i="7"/>
  <c r="AA67" i="7"/>
  <c r="Z67" i="7"/>
  <c r="Y67" i="7"/>
  <c r="X67" i="7"/>
  <c r="W67" i="7"/>
  <c r="V67" i="7"/>
  <c r="U67" i="7"/>
  <c r="T67" i="7"/>
  <c r="S67" i="7"/>
  <c r="R67" i="7"/>
  <c r="Q67" i="7"/>
  <c r="P67" i="7"/>
  <c r="O67" i="7"/>
  <c r="N67" i="7"/>
  <c r="M67" i="7"/>
  <c r="L67" i="7"/>
  <c r="K67" i="7"/>
  <c r="J67" i="7"/>
  <c r="H67" i="7"/>
  <c r="AC66" i="7"/>
  <c r="AB66" i="7"/>
  <c r="AA66" i="7"/>
  <c r="Z66" i="7"/>
  <c r="Y66" i="7"/>
  <c r="X66" i="7"/>
  <c r="W66" i="7"/>
  <c r="V66" i="7"/>
  <c r="U66" i="7"/>
  <c r="T66" i="7"/>
  <c r="S66" i="7"/>
  <c r="R66" i="7"/>
  <c r="Q66" i="7"/>
  <c r="P66" i="7"/>
  <c r="O66" i="7"/>
  <c r="N66" i="7"/>
  <c r="M66" i="7"/>
  <c r="L66" i="7"/>
  <c r="K66" i="7"/>
  <c r="J66" i="7"/>
  <c r="H66" i="7"/>
  <c r="AC65" i="7"/>
  <c r="AB65" i="7"/>
  <c r="AA65" i="7"/>
  <c r="Z65" i="7"/>
  <c r="Y65" i="7"/>
  <c r="X65" i="7"/>
  <c r="W65" i="7"/>
  <c r="V65" i="7"/>
  <c r="U65" i="7"/>
  <c r="T65" i="7"/>
  <c r="S65" i="7"/>
  <c r="R65" i="7"/>
  <c r="Q65" i="7"/>
  <c r="P65" i="7"/>
  <c r="O65" i="7"/>
  <c r="N65" i="7"/>
  <c r="M65" i="7"/>
  <c r="L65" i="7"/>
  <c r="K65" i="7"/>
  <c r="J65" i="7"/>
  <c r="H65" i="7"/>
  <c r="AC64" i="7"/>
  <c r="AB64" i="7"/>
  <c r="AA64" i="7"/>
  <c r="Z64" i="7"/>
  <c r="Y64" i="7"/>
  <c r="X64" i="7"/>
  <c r="W64" i="7"/>
  <c r="V64" i="7"/>
  <c r="U64" i="7"/>
  <c r="T64" i="7"/>
  <c r="S64" i="7"/>
  <c r="R64" i="7"/>
  <c r="Q64" i="7"/>
  <c r="P64" i="7"/>
  <c r="O64" i="7"/>
  <c r="N64" i="7"/>
  <c r="M64" i="7"/>
  <c r="L64" i="7"/>
  <c r="K64" i="7"/>
  <c r="J64" i="7"/>
  <c r="H64" i="7"/>
  <c r="AC63" i="7"/>
  <c r="AB63" i="7"/>
  <c r="AA63" i="7"/>
  <c r="Z63" i="7"/>
  <c r="Y63" i="7"/>
  <c r="X63" i="7"/>
  <c r="W63" i="7"/>
  <c r="V63" i="7"/>
  <c r="U63" i="7"/>
  <c r="T63" i="7"/>
  <c r="S63" i="7"/>
  <c r="R63" i="7"/>
  <c r="Q63" i="7"/>
  <c r="P63" i="7"/>
  <c r="O63" i="7"/>
  <c r="N63" i="7"/>
  <c r="M63" i="7"/>
  <c r="L63" i="7"/>
  <c r="K63" i="7"/>
  <c r="J63" i="7"/>
  <c r="H63" i="7"/>
  <c r="AC62" i="7"/>
  <c r="AB62" i="7"/>
  <c r="AA62" i="7"/>
  <c r="Z62" i="7"/>
  <c r="Y62" i="7"/>
  <c r="X62" i="7"/>
  <c r="W62" i="7"/>
  <c r="V62" i="7"/>
  <c r="U62" i="7"/>
  <c r="T62" i="7"/>
  <c r="S62" i="7"/>
  <c r="R62" i="7"/>
  <c r="Q62" i="7"/>
  <c r="P62" i="7"/>
  <c r="O62" i="7"/>
  <c r="N62" i="7"/>
  <c r="M62" i="7"/>
  <c r="L62" i="7"/>
  <c r="K62" i="7"/>
  <c r="J62" i="7"/>
  <c r="H62" i="7"/>
  <c r="AC61" i="7"/>
  <c r="AB61" i="7"/>
  <c r="AA61" i="7"/>
  <c r="Z61" i="7"/>
  <c r="Y61" i="7"/>
  <c r="X61" i="7"/>
  <c r="W61" i="7"/>
  <c r="V61" i="7"/>
  <c r="U61" i="7"/>
  <c r="T61" i="7"/>
  <c r="S61" i="7"/>
  <c r="R61" i="7"/>
  <c r="Q61" i="7"/>
  <c r="P61" i="7"/>
  <c r="O61" i="7"/>
  <c r="N61" i="7"/>
  <c r="M61" i="7"/>
  <c r="L61" i="7"/>
  <c r="K61" i="7"/>
  <c r="J61" i="7"/>
  <c r="H61" i="7"/>
  <c r="AG60" i="7"/>
  <c r="AF60" i="7"/>
  <c r="AE60" i="7"/>
  <c r="AD60" i="7"/>
  <c r="AC60" i="7"/>
  <c r="AB60" i="7"/>
  <c r="AA60" i="7"/>
  <c r="Z60" i="7"/>
  <c r="Y60" i="7"/>
  <c r="X60" i="7"/>
  <c r="W60" i="7"/>
  <c r="V60" i="7"/>
  <c r="U60" i="7"/>
  <c r="T60" i="7"/>
  <c r="S60" i="7"/>
  <c r="R60" i="7"/>
  <c r="Q60" i="7"/>
  <c r="P60" i="7"/>
  <c r="O60" i="7"/>
  <c r="N60" i="7"/>
  <c r="M60" i="7"/>
  <c r="L60" i="7"/>
  <c r="K60" i="7"/>
  <c r="J60" i="7"/>
  <c r="H60" i="7"/>
  <c r="AG59" i="7"/>
  <c r="AF59" i="7"/>
  <c r="AE59" i="7"/>
  <c r="AD59" i="7"/>
  <c r="AC59" i="7"/>
  <c r="AB59" i="7"/>
  <c r="AA59" i="7"/>
  <c r="Z59" i="7"/>
  <c r="Y59" i="7"/>
  <c r="X59" i="7"/>
  <c r="W59" i="7"/>
  <c r="V59" i="7"/>
  <c r="U59" i="7"/>
  <c r="T59" i="7"/>
  <c r="S59" i="7"/>
  <c r="R59" i="7"/>
  <c r="Q59" i="7"/>
  <c r="P59" i="7"/>
  <c r="O59" i="7"/>
  <c r="N59" i="7"/>
  <c r="M59" i="7"/>
  <c r="L59" i="7"/>
  <c r="K59" i="7"/>
  <c r="J59" i="7"/>
  <c r="H59" i="7"/>
  <c r="AG58" i="7"/>
  <c r="AF58" i="7"/>
  <c r="AE58" i="7"/>
  <c r="AD58" i="7"/>
  <c r="AC58" i="7"/>
  <c r="AB58" i="7"/>
  <c r="AA58" i="7"/>
  <c r="Z58" i="7"/>
  <c r="Y58" i="7"/>
  <c r="X58" i="7"/>
  <c r="W58" i="7"/>
  <c r="V58" i="7"/>
  <c r="U58" i="7"/>
  <c r="T58" i="7"/>
  <c r="S58" i="7"/>
  <c r="R58" i="7"/>
  <c r="Q58" i="7"/>
  <c r="P58" i="7"/>
  <c r="O58" i="7"/>
  <c r="N58" i="7"/>
  <c r="M58" i="7"/>
  <c r="L58" i="7"/>
  <c r="K58" i="7"/>
  <c r="J58" i="7"/>
  <c r="H58" i="7"/>
  <c r="AG57" i="7"/>
  <c r="AF57" i="7"/>
  <c r="AE57" i="7"/>
  <c r="AD57" i="7"/>
  <c r="AC57" i="7"/>
  <c r="AB57" i="7"/>
  <c r="AA57" i="7"/>
  <c r="Z57" i="7"/>
  <c r="Y57" i="7"/>
  <c r="X57" i="7"/>
  <c r="W57" i="7"/>
  <c r="V57" i="7"/>
  <c r="U57" i="7"/>
  <c r="T57" i="7"/>
  <c r="S57" i="7"/>
  <c r="R57" i="7"/>
  <c r="Q57" i="7"/>
  <c r="P57" i="7"/>
  <c r="O57" i="7"/>
  <c r="N57" i="7"/>
  <c r="M57" i="7"/>
  <c r="L57" i="7"/>
  <c r="K57" i="7"/>
  <c r="J57" i="7"/>
  <c r="H57" i="7"/>
  <c r="AG56" i="7"/>
  <c r="AF56" i="7"/>
  <c r="AE56" i="7"/>
  <c r="AD56" i="7"/>
  <c r="AC56" i="7"/>
  <c r="AB56" i="7"/>
  <c r="AA56" i="7"/>
  <c r="Z56" i="7"/>
  <c r="Y56" i="7"/>
  <c r="X56" i="7"/>
  <c r="W56" i="7"/>
  <c r="V56" i="7"/>
  <c r="U56" i="7"/>
  <c r="T56" i="7"/>
  <c r="S56" i="7"/>
  <c r="R56" i="7"/>
  <c r="Q56" i="7"/>
  <c r="P56" i="7"/>
  <c r="O56" i="7"/>
  <c r="N56" i="7"/>
  <c r="M56" i="7"/>
  <c r="L56" i="7"/>
  <c r="K56" i="7"/>
  <c r="J56" i="7"/>
  <c r="H56" i="7"/>
  <c r="AG55" i="7"/>
  <c r="AF55" i="7"/>
  <c r="AE55" i="7"/>
  <c r="AD55" i="7"/>
  <c r="AC55" i="7"/>
  <c r="AB55" i="7"/>
  <c r="AA55" i="7"/>
  <c r="Z55" i="7"/>
  <c r="Y55" i="7"/>
  <c r="X55" i="7"/>
  <c r="W55" i="7"/>
  <c r="V55" i="7"/>
  <c r="U55" i="7"/>
  <c r="T55" i="7"/>
  <c r="S55" i="7"/>
  <c r="R55" i="7"/>
  <c r="Q55" i="7"/>
  <c r="P55" i="7"/>
  <c r="O55" i="7"/>
  <c r="N55" i="7"/>
  <c r="M55" i="7"/>
  <c r="L55" i="7"/>
  <c r="K55" i="7"/>
  <c r="J55" i="7"/>
  <c r="H55" i="7"/>
  <c r="AG54" i="7"/>
  <c r="AF54" i="7"/>
  <c r="AE54" i="7"/>
  <c r="AD54" i="7"/>
  <c r="AC54" i="7"/>
  <c r="AB54" i="7"/>
  <c r="AA54" i="7"/>
  <c r="Z54" i="7"/>
  <c r="Y54" i="7"/>
  <c r="X54" i="7"/>
  <c r="W54" i="7"/>
  <c r="V54" i="7"/>
  <c r="U54" i="7"/>
  <c r="T54" i="7"/>
  <c r="S54" i="7"/>
  <c r="R54" i="7"/>
  <c r="Q54" i="7"/>
  <c r="P54" i="7"/>
  <c r="O54" i="7"/>
  <c r="N54" i="7"/>
  <c r="M54" i="7"/>
  <c r="L54" i="7"/>
  <c r="K54" i="7"/>
  <c r="J54" i="7"/>
  <c r="H54" i="7"/>
  <c r="AG53" i="7"/>
  <c r="AF53" i="7"/>
  <c r="AE53" i="7"/>
  <c r="AD53" i="7"/>
  <c r="AC53" i="7"/>
  <c r="AB53" i="7"/>
  <c r="AA53" i="7"/>
  <c r="Z53" i="7"/>
  <c r="Y53" i="7"/>
  <c r="X53" i="7"/>
  <c r="W53" i="7"/>
  <c r="V53" i="7"/>
  <c r="U53" i="7"/>
  <c r="T53" i="7"/>
  <c r="S53" i="7"/>
  <c r="R53" i="7"/>
  <c r="Q53" i="7"/>
  <c r="P53" i="7"/>
  <c r="O53" i="7"/>
  <c r="N53" i="7"/>
  <c r="M53" i="7"/>
  <c r="L53" i="7"/>
  <c r="K53" i="7"/>
  <c r="J53" i="7"/>
  <c r="H53" i="7"/>
  <c r="AG52" i="7"/>
  <c r="AF52" i="7"/>
  <c r="AE52" i="7"/>
  <c r="AD52" i="7"/>
  <c r="AC52" i="7"/>
  <c r="AB52" i="7"/>
  <c r="AA52" i="7"/>
  <c r="Z52" i="7"/>
  <c r="Y52" i="7"/>
  <c r="X52" i="7"/>
  <c r="W52" i="7"/>
  <c r="V52" i="7"/>
  <c r="U52" i="7"/>
  <c r="T52" i="7"/>
  <c r="S52" i="7"/>
  <c r="R52" i="7"/>
  <c r="Q52" i="7"/>
  <c r="P52" i="7"/>
  <c r="O52" i="7"/>
  <c r="N52" i="7"/>
  <c r="M52" i="7"/>
  <c r="L52" i="7"/>
  <c r="K52" i="7"/>
  <c r="J52" i="7"/>
  <c r="H52" i="7"/>
  <c r="AG51" i="7"/>
  <c r="AF51" i="7"/>
  <c r="AE51" i="7"/>
  <c r="AD51" i="7"/>
  <c r="AC51" i="7"/>
  <c r="AB51" i="7"/>
  <c r="AA51" i="7"/>
  <c r="Z51" i="7"/>
  <c r="Y51" i="7"/>
  <c r="X51" i="7"/>
  <c r="W51" i="7"/>
  <c r="V51" i="7"/>
  <c r="U51" i="7"/>
  <c r="T51" i="7"/>
  <c r="S51" i="7"/>
  <c r="R51" i="7"/>
  <c r="Q51" i="7"/>
  <c r="P51" i="7"/>
  <c r="O51" i="7"/>
  <c r="N51" i="7"/>
  <c r="M51" i="7"/>
  <c r="L51" i="7"/>
  <c r="K51" i="7"/>
  <c r="J51" i="7"/>
  <c r="H51" i="7"/>
  <c r="AG50" i="7"/>
  <c r="AF50" i="7"/>
  <c r="AE50" i="7"/>
  <c r="AD50" i="7"/>
  <c r="AC50" i="7"/>
  <c r="AB50" i="7"/>
  <c r="AA50" i="7"/>
  <c r="Z50" i="7"/>
  <c r="Y50" i="7"/>
  <c r="X50" i="7"/>
  <c r="W50" i="7"/>
  <c r="V50" i="7"/>
  <c r="U50" i="7"/>
  <c r="T50" i="7"/>
  <c r="S50" i="7"/>
  <c r="R50" i="7"/>
  <c r="Q50" i="7"/>
  <c r="P50" i="7"/>
  <c r="O50" i="7"/>
  <c r="N50" i="7"/>
  <c r="M50" i="7"/>
  <c r="L50" i="7"/>
  <c r="K50" i="7"/>
  <c r="J50" i="7"/>
  <c r="H50" i="7"/>
  <c r="AG49" i="7"/>
  <c r="AF49" i="7"/>
  <c r="AE49" i="7"/>
  <c r="AD49" i="7"/>
  <c r="AC49" i="7"/>
  <c r="AB49" i="7"/>
  <c r="AA49" i="7"/>
  <c r="Z49" i="7"/>
  <c r="Y49" i="7"/>
  <c r="X49" i="7"/>
  <c r="W49" i="7"/>
  <c r="V49" i="7"/>
  <c r="U49" i="7"/>
  <c r="T49" i="7"/>
  <c r="S49" i="7"/>
  <c r="R49" i="7"/>
  <c r="Q49" i="7"/>
  <c r="P49" i="7"/>
  <c r="O49" i="7"/>
  <c r="N49" i="7"/>
  <c r="M49" i="7"/>
  <c r="L49" i="7"/>
  <c r="K49" i="7"/>
  <c r="J49" i="7"/>
  <c r="H49" i="7"/>
  <c r="AG48" i="7"/>
  <c r="AF48" i="7"/>
  <c r="AE48" i="7"/>
  <c r="AD48" i="7"/>
  <c r="AC48" i="7"/>
  <c r="AB48" i="7"/>
  <c r="AA48" i="7"/>
  <c r="Z48" i="7"/>
  <c r="Y48" i="7"/>
  <c r="X48" i="7"/>
  <c r="W48" i="7"/>
  <c r="V48" i="7"/>
  <c r="U48" i="7"/>
  <c r="T48" i="7"/>
  <c r="S48" i="7"/>
  <c r="R48" i="7"/>
  <c r="Q48" i="7"/>
  <c r="P48" i="7"/>
  <c r="O48" i="7"/>
  <c r="N48" i="7"/>
  <c r="M48" i="7"/>
  <c r="L48" i="7"/>
  <c r="K48" i="7"/>
  <c r="J48" i="7"/>
  <c r="H48" i="7"/>
  <c r="AG47" i="7"/>
  <c r="AF47" i="7"/>
  <c r="AE47" i="7"/>
  <c r="AD47" i="7"/>
  <c r="AC47" i="7"/>
  <c r="AB47" i="7"/>
  <c r="AA47" i="7"/>
  <c r="Z47" i="7"/>
  <c r="Y47" i="7"/>
  <c r="X47" i="7"/>
  <c r="W47" i="7"/>
  <c r="V47" i="7"/>
  <c r="U47" i="7"/>
  <c r="T47" i="7"/>
  <c r="S47" i="7"/>
  <c r="R47" i="7"/>
  <c r="Q47" i="7"/>
  <c r="P47" i="7"/>
  <c r="O47" i="7"/>
  <c r="N47" i="7"/>
  <c r="M47" i="7"/>
  <c r="L47" i="7"/>
  <c r="K47" i="7"/>
  <c r="J47" i="7"/>
  <c r="H47" i="7"/>
  <c r="AG46" i="7"/>
  <c r="AF46" i="7"/>
  <c r="AE46" i="7"/>
  <c r="AD46" i="7"/>
  <c r="AC46" i="7"/>
  <c r="AB46" i="7"/>
  <c r="AA46" i="7"/>
  <c r="Z46" i="7"/>
  <c r="Y46" i="7"/>
  <c r="X46" i="7"/>
  <c r="W46" i="7"/>
  <c r="V46" i="7"/>
  <c r="U46" i="7"/>
  <c r="T46" i="7"/>
  <c r="S46" i="7"/>
  <c r="R46" i="7"/>
  <c r="Q46" i="7"/>
  <c r="P46" i="7"/>
  <c r="O46" i="7"/>
  <c r="N46" i="7"/>
  <c r="M46" i="7"/>
  <c r="L46" i="7"/>
  <c r="K46" i="7"/>
  <c r="J46" i="7"/>
  <c r="H46" i="7"/>
  <c r="AG45" i="7"/>
  <c r="AF45" i="7"/>
  <c r="AE45" i="7"/>
  <c r="AD45" i="7"/>
  <c r="AC45" i="7"/>
  <c r="AB45" i="7"/>
  <c r="AA45" i="7"/>
  <c r="Z45" i="7"/>
  <c r="Y45" i="7"/>
  <c r="X45" i="7"/>
  <c r="W45" i="7"/>
  <c r="V45" i="7"/>
  <c r="U45" i="7"/>
  <c r="T45" i="7"/>
  <c r="S45" i="7"/>
  <c r="R45" i="7"/>
  <c r="Q45" i="7"/>
  <c r="P45" i="7"/>
  <c r="O45" i="7"/>
  <c r="N45" i="7"/>
  <c r="M45" i="7"/>
  <c r="L45" i="7"/>
  <c r="K45" i="7"/>
  <c r="J45" i="7"/>
  <c r="H45" i="7"/>
  <c r="AC44" i="7"/>
  <c r="AB44" i="7"/>
  <c r="AA44" i="7"/>
  <c r="Z44" i="7"/>
  <c r="Y44" i="7"/>
  <c r="X44" i="7"/>
  <c r="W44" i="7"/>
  <c r="V44" i="7"/>
  <c r="U44" i="7"/>
  <c r="T44" i="7"/>
  <c r="S44" i="7"/>
  <c r="R44" i="7"/>
  <c r="Q44" i="7"/>
  <c r="P44" i="7"/>
  <c r="O44" i="7"/>
  <c r="N44" i="7"/>
  <c r="M44" i="7"/>
  <c r="L44" i="7"/>
  <c r="K44" i="7"/>
  <c r="J44" i="7"/>
  <c r="H44" i="7"/>
  <c r="AC43" i="7"/>
  <c r="AB43" i="7"/>
  <c r="AA43" i="7"/>
  <c r="Z43" i="7"/>
  <c r="Y43" i="7"/>
  <c r="X43" i="7"/>
  <c r="W43" i="7"/>
  <c r="V43" i="7"/>
  <c r="U43" i="7"/>
  <c r="T43" i="7"/>
  <c r="S43" i="7"/>
  <c r="R43" i="7"/>
  <c r="Q43" i="7"/>
  <c r="P43" i="7"/>
  <c r="O43" i="7"/>
  <c r="N43" i="7"/>
  <c r="M43" i="7"/>
  <c r="L43" i="7"/>
  <c r="K43" i="7"/>
  <c r="J43" i="7"/>
  <c r="H43" i="7"/>
  <c r="AC42" i="7"/>
  <c r="AB42" i="7"/>
  <c r="AA42" i="7"/>
  <c r="Z42" i="7"/>
  <c r="Y42" i="7"/>
  <c r="X42" i="7"/>
  <c r="W42" i="7"/>
  <c r="V42" i="7"/>
  <c r="U42" i="7"/>
  <c r="T42" i="7"/>
  <c r="S42" i="7"/>
  <c r="R42" i="7"/>
  <c r="Q42" i="7"/>
  <c r="P42" i="7"/>
  <c r="O42" i="7"/>
  <c r="N42" i="7"/>
  <c r="M42" i="7"/>
  <c r="L42" i="7"/>
  <c r="K42" i="7"/>
  <c r="J42" i="7"/>
  <c r="H42" i="7"/>
  <c r="AC41" i="7"/>
  <c r="AB41" i="7"/>
  <c r="AA41" i="7"/>
  <c r="Z41" i="7"/>
  <c r="Y41" i="7"/>
  <c r="X41" i="7"/>
  <c r="W41" i="7"/>
  <c r="V41" i="7"/>
  <c r="U41" i="7"/>
  <c r="T41" i="7"/>
  <c r="S41" i="7"/>
  <c r="R41" i="7"/>
  <c r="Q41" i="7"/>
  <c r="P41" i="7"/>
  <c r="O41" i="7"/>
  <c r="N41" i="7"/>
  <c r="M41" i="7"/>
  <c r="L41" i="7"/>
  <c r="K41" i="7"/>
  <c r="J41" i="7"/>
  <c r="H41" i="7"/>
  <c r="AC40" i="7"/>
  <c r="AB40" i="7"/>
  <c r="AA40" i="7"/>
  <c r="Z40" i="7"/>
  <c r="Y40" i="7"/>
  <c r="X40" i="7"/>
  <c r="W40" i="7"/>
  <c r="V40" i="7"/>
  <c r="U40" i="7"/>
  <c r="T40" i="7"/>
  <c r="S40" i="7"/>
  <c r="R40" i="7"/>
  <c r="Q40" i="7"/>
  <c r="P40" i="7"/>
  <c r="O40" i="7"/>
  <c r="N40" i="7"/>
  <c r="M40" i="7"/>
  <c r="L40" i="7"/>
  <c r="K40" i="7"/>
  <c r="J40" i="7"/>
  <c r="H40" i="7"/>
  <c r="AC39" i="7"/>
  <c r="AB39" i="7"/>
  <c r="AA39" i="7"/>
  <c r="Z39" i="7"/>
  <c r="Y39" i="7"/>
  <c r="X39" i="7"/>
  <c r="W39" i="7"/>
  <c r="V39" i="7"/>
  <c r="U39" i="7"/>
  <c r="T39" i="7"/>
  <c r="S39" i="7"/>
  <c r="R39" i="7"/>
  <c r="Q39" i="7"/>
  <c r="P39" i="7"/>
  <c r="O39" i="7"/>
  <c r="N39" i="7"/>
  <c r="M39" i="7"/>
  <c r="L39" i="7"/>
  <c r="K39" i="7"/>
  <c r="J39" i="7"/>
  <c r="H39" i="7"/>
  <c r="AC38" i="7"/>
  <c r="AB38" i="7"/>
  <c r="AA38" i="7"/>
  <c r="Z38" i="7"/>
  <c r="Y38" i="7"/>
  <c r="X38" i="7"/>
  <c r="W38" i="7"/>
  <c r="V38" i="7"/>
  <c r="U38" i="7"/>
  <c r="T38" i="7"/>
  <c r="S38" i="7"/>
  <c r="R38" i="7"/>
  <c r="Q38" i="7"/>
  <c r="P38" i="7"/>
  <c r="O38" i="7"/>
  <c r="N38" i="7"/>
  <c r="M38" i="7"/>
  <c r="L38" i="7"/>
  <c r="K38" i="7"/>
  <c r="J38" i="7"/>
  <c r="H38" i="7"/>
  <c r="AC37" i="7"/>
  <c r="AB37" i="7"/>
  <c r="AA37" i="7"/>
  <c r="Z37" i="7"/>
  <c r="Y37" i="7"/>
  <c r="X37" i="7"/>
  <c r="W37" i="7"/>
  <c r="V37" i="7"/>
  <c r="U37" i="7"/>
  <c r="T37" i="7"/>
  <c r="S37" i="7"/>
  <c r="R37" i="7"/>
  <c r="Q37" i="7"/>
  <c r="P37" i="7"/>
  <c r="O37" i="7"/>
  <c r="N37" i="7"/>
  <c r="M37" i="7"/>
  <c r="L37" i="7"/>
  <c r="K37" i="7"/>
  <c r="J37" i="7"/>
  <c r="H37" i="7"/>
  <c r="AC36" i="7"/>
  <c r="AB36" i="7"/>
  <c r="AA36" i="7"/>
  <c r="Z36" i="7"/>
  <c r="Y36" i="7"/>
  <c r="X36" i="7"/>
  <c r="W36" i="7"/>
  <c r="V36" i="7"/>
  <c r="U36" i="7"/>
  <c r="T36" i="7"/>
  <c r="S36" i="7"/>
  <c r="R36" i="7"/>
  <c r="Q36" i="7"/>
  <c r="P36" i="7"/>
  <c r="O36" i="7"/>
  <c r="N36" i="7"/>
  <c r="M36" i="7"/>
  <c r="L36" i="7"/>
  <c r="K36" i="7"/>
  <c r="J36" i="7"/>
  <c r="H36" i="7"/>
  <c r="AC35" i="7"/>
  <c r="AB35" i="7"/>
  <c r="AA35" i="7"/>
  <c r="Z35" i="7"/>
  <c r="Y35" i="7"/>
  <c r="X35" i="7"/>
  <c r="W35" i="7"/>
  <c r="V35" i="7"/>
  <c r="U35" i="7"/>
  <c r="T35" i="7"/>
  <c r="S35" i="7"/>
  <c r="R35" i="7"/>
  <c r="Q35" i="7"/>
  <c r="P35" i="7"/>
  <c r="O35" i="7"/>
  <c r="N35" i="7"/>
  <c r="M35" i="7"/>
  <c r="L35" i="7"/>
  <c r="K35" i="7"/>
  <c r="J35" i="7"/>
  <c r="H35" i="7"/>
  <c r="AC34" i="7"/>
  <c r="AB34" i="7"/>
  <c r="AA34" i="7"/>
  <c r="Z34" i="7"/>
  <c r="Y34" i="7"/>
  <c r="X34" i="7"/>
  <c r="W34" i="7"/>
  <c r="V34" i="7"/>
  <c r="U34" i="7"/>
  <c r="T34" i="7"/>
  <c r="S34" i="7"/>
  <c r="R34" i="7"/>
  <c r="Q34" i="7"/>
  <c r="P34" i="7"/>
  <c r="O34" i="7"/>
  <c r="N34" i="7"/>
  <c r="M34" i="7"/>
  <c r="L34" i="7"/>
  <c r="K34" i="7"/>
  <c r="J34" i="7"/>
  <c r="H34" i="7"/>
  <c r="AC33" i="7"/>
  <c r="AB33" i="7"/>
  <c r="AA33" i="7"/>
  <c r="Z33" i="7"/>
  <c r="Y33" i="7"/>
  <c r="X33" i="7"/>
  <c r="W33" i="7"/>
  <c r="V33" i="7"/>
  <c r="U33" i="7"/>
  <c r="T33" i="7"/>
  <c r="S33" i="7"/>
  <c r="R33" i="7"/>
  <c r="Q33" i="7"/>
  <c r="P33" i="7"/>
  <c r="O33" i="7"/>
  <c r="N33" i="7"/>
  <c r="M33" i="7"/>
  <c r="L33" i="7"/>
  <c r="K33" i="7"/>
  <c r="J33" i="7"/>
  <c r="H33" i="7"/>
  <c r="AC32" i="7"/>
  <c r="AB32" i="7"/>
  <c r="AA32" i="7"/>
  <c r="Z32" i="7"/>
  <c r="Y32" i="7"/>
  <c r="X32" i="7"/>
  <c r="W32" i="7"/>
  <c r="V32" i="7"/>
  <c r="U32" i="7"/>
  <c r="T32" i="7"/>
  <c r="S32" i="7"/>
  <c r="R32" i="7"/>
  <c r="Q32" i="7"/>
  <c r="P32" i="7"/>
  <c r="O32" i="7"/>
  <c r="N32" i="7"/>
  <c r="M32" i="7"/>
  <c r="L32" i="7"/>
  <c r="K32" i="7"/>
  <c r="J32" i="7"/>
  <c r="H32" i="7"/>
  <c r="AC31" i="7"/>
  <c r="AB31" i="7"/>
  <c r="AA31" i="7"/>
  <c r="Z31" i="7"/>
  <c r="Y31" i="7"/>
  <c r="X31" i="7"/>
  <c r="W31" i="7"/>
  <c r="V31" i="7"/>
  <c r="U31" i="7"/>
  <c r="T31" i="7"/>
  <c r="S31" i="7"/>
  <c r="R31" i="7"/>
  <c r="Q31" i="7"/>
  <c r="P31" i="7"/>
  <c r="O31" i="7"/>
  <c r="N31" i="7"/>
  <c r="M31" i="7"/>
  <c r="L31" i="7"/>
  <c r="K31" i="7"/>
  <c r="J31" i="7"/>
  <c r="H31" i="7"/>
  <c r="AC30" i="7"/>
  <c r="AB30" i="7"/>
  <c r="AA30" i="7"/>
  <c r="Z30" i="7"/>
  <c r="Y30" i="7"/>
  <c r="X30" i="7"/>
  <c r="W30" i="7"/>
  <c r="V30" i="7"/>
  <c r="U30" i="7"/>
  <c r="T30" i="7"/>
  <c r="S30" i="7"/>
  <c r="R30" i="7"/>
  <c r="Q30" i="7"/>
  <c r="P30" i="7"/>
  <c r="O30" i="7"/>
  <c r="N30" i="7"/>
  <c r="M30" i="7"/>
  <c r="L30" i="7"/>
  <c r="K30" i="7"/>
  <c r="J30" i="7"/>
  <c r="H30" i="7"/>
  <c r="AC29" i="7"/>
  <c r="AB29" i="7"/>
  <c r="AA29" i="7"/>
  <c r="Z29" i="7"/>
  <c r="Y29" i="7"/>
  <c r="X29" i="7"/>
  <c r="W29" i="7"/>
  <c r="V29" i="7"/>
  <c r="U29" i="7"/>
  <c r="T29" i="7"/>
  <c r="S29" i="7"/>
  <c r="R29" i="7"/>
  <c r="Q29" i="7"/>
  <c r="P29" i="7"/>
  <c r="O29" i="7"/>
  <c r="N29" i="7"/>
  <c r="M29" i="7"/>
  <c r="L29" i="7"/>
  <c r="K29" i="7"/>
  <c r="J29" i="7"/>
  <c r="H29" i="7"/>
  <c r="AC28" i="7"/>
  <c r="AB28" i="7"/>
  <c r="AA28" i="7"/>
  <c r="Z28" i="7"/>
  <c r="Y28" i="7"/>
  <c r="X28" i="7"/>
  <c r="W28" i="7"/>
  <c r="V28" i="7"/>
  <c r="U28" i="7"/>
  <c r="T28" i="7"/>
  <c r="S28" i="7"/>
  <c r="R28" i="7"/>
  <c r="Q28" i="7"/>
  <c r="P28" i="7"/>
  <c r="O28" i="7"/>
  <c r="N28" i="7"/>
  <c r="M28" i="7"/>
  <c r="L28" i="7"/>
  <c r="K28" i="7"/>
  <c r="J28" i="7"/>
  <c r="H28" i="7"/>
  <c r="AC27" i="7"/>
  <c r="AB27" i="7"/>
  <c r="AA27" i="7"/>
  <c r="Z27" i="7"/>
  <c r="Y27" i="7"/>
  <c r="X27" i="7"/>
  <c r="W27" i="7"/>
  <c r="V27" i="7"/>
  <c r="U27" i="7"/>
  <c r="T27" i="7"/>
  <c r="S27" i="7"/>
  <c r="R27" i="7"/>
  <c r="Q27" i="7"/>
  <c r="P27" i="7"/>
  <c r="O27" i="7"/>
  <c r="N27" i="7"/>
  <c r="M27" i="7"/>
  <c r="L27" i="7"/>
  <c r="K27" i="7"/>
  <c r="J27" i="7"/>
  <c r="H27" i="7"/>
  <c r="AC26" i="7"/>
  <c r="AB26" i="7"/>
  <c r="AA26" i="7"/>
  <c r="Z26" i="7"/>
  <c r="Y26" i="7"/>
  <c r="X26" i="7"/>
  <c r="W26" i="7"/>
  <c r="V26" i="7"/>
  <c r="U26" i="7"/>
  <c r="T26" i="7"/>
  <c r="S26" i="7"/>
  <c r="R26" i="7"/>
  <c r="Q26" i="7"/>
  <c r="P26" i="7"/>
  <c r="O26" i="7"/>
  <c r="N26" i="7"/>
  <c r="M26" i="7"/>
  <c r="L26" i="7"/>
  <c r="K26" i="7"/>
  <c r="J26" i="7"/>
  <c r="H26" i="7"/>
  <c r="AC25" i="7"/>
  <c r="AB25" i="7"/>
  <c r="AA25" i="7"/>
  <c r="Z25" i="7"/>
  <c r="Y25" i="7"/>
  <c r="X25" i="7"/>
  <c r="W25" i="7"/>
  <c r="V25" i="7"/>
  <c r="U25" i="7"/>
  <c r="T25" i="7"/>
  <c r="S25" i="7"/>
  <c r="R25" i="7"/>
  <c r="Q25" i="7"/>
  <c r="P25" i="7"/>
  <c r="O25" i="7"/>
  <c r="N25" i="7"/>
  <c r="M25" i="7"/>
  <c r="L25" i="7"/>
  <c r="K25" i="7"/>
  <c r="J25" i="7"/>
  <c r="H25" i="7"/>
  <c r="AC24" i="7"/>
  <c r="AB24" i="7"/>
  <c r="AA24" i="7"/>
  <c r="Z24" i="7"/>
  <c r="Y24" i="7"/>
  <c r="X24" i="7"/>
  <c r="W24" i="7"/>
  <c r="V24" i="7"/>
  <c r="U24" i="7"/>
  <c r="T24" i="7"/>
  <c r="S24" i="7"/>
  <c r="R24" i="7"/>
  <c r="Q24" i="7"/>
  <c r="P24" i="7"/>
  <c r="O24" i="7"/>
  <c r="N24" i="7"/>
  <c r="M24" i="7"/>
  <c r="L24" i="7"/>
  <c r="K24" i="7"/>
  <c r="J24" i="7"/>
  <c r="H24" i="7"/>
  <c r="AC23" i="7"/>
  <c r="AB23" i="7"/>
  <c r="AA23" i="7"/>
  <c r="Z23" i="7"/>
  <c r="Y23" i="7"/>
  <c r="X23" i="7"/>
  <c r="W23" i="7"/>
  <c r="V23" i="7"/>
  <c r="U23" i="7"/>
  <c r="T23" i="7"/>
  <c r="S23" i="7"/>
  <c r="R23" i="7"/>
  <c r="Q23" i="7"/>
  <c r="P23" i="7"/>
  <c r="O23" i="7"/>
  <c r="N23" i="7"/>
  <c r="M23" i="7"/>
  <c r="L23" i="7"/>
  <c r="K23" i="7"/>
  <c r="J23" i="7"/>
  <c r="H23" i="7"/>
  <c r="AC22" i="7"/>
  <c r="AB22" i="7"/>
  <c r="AA22" i="7"/>
  <c r="Z22" i="7"/>
  <c r="Y22" i="7"/>
  <c r="X22" i="7"/>
  <c r="W22" i="7"/>
  <c r="V22" i="7"/>
  <c r="U22" i="7"/>
  <c r="T22" i="7"/>
  <c r="S22" i="7"/>
  <c r="R22" i="7"/>
  <c r="Q22" i="7"/>
  <c r="P22" i="7"/>
  <c r="O22" i="7"/>
  <c r="N22" i="7"/>
  <c r="M22" i="7"/>
  <c r="L22" i="7"/>
  <c r="K22" i="7"/>
  <c r="J22" i="7"/>
  <c r="H22" i="7"/>
  <c r="AC21" i="7"/>
  <c r="AB21" i="7"/>
  <c r="AA21" i="7"/>
  <c r="Z21" i="7"/>
  <c r="Y21" i="7"/>
  <c r="X21" i="7"/>
  <c r="W21" i="7"/>
  <c r="V21" i="7"/>
  <c r="U21" i="7"/>
  <c r="T21" i="7"/>
  <c r="S21" i="7"/>
  <c r="R21" i="7"/>
  <c r="Q21" i="7"/>
  <c r="P21" i="7"/>
  <c r="O21" i="7"/>
  <c r="N21" i="7"/>
  <c r="M21" i="7"/>
  <c r="L21" i="7"/>
  <c r="K21" i="7"/>
  <c r="J21" i="7"/>
  <c r="H21" i="7"/>
  <c r="AC20" i="7"/>
  <c r="AB20" i="7"/>
  <c r="AA20" i="7"/>
  <c r="Z20" i="7"/>
  <c r="Y20" i="7"/>
  <c r="X20" i="7"/>
  <c r="W20" i="7"/>
  <c r="V20" i="7"/>
  <c r="U20" i="7"/>
  <c r="T20" i="7"/>
  <c r="S20" i="7"/>
  <c r="R20" i="7"/>
  <c r="Q20" i="7"/>
  <c r="P20" i="7"/>
  <c r="O20" i="7"/>
  <c r="N20" i="7"/>
  <c r="M20" i="7"/>
  <c r="L20" i="7"/>
  <c r="K20" i="7"/>
  <c r="J20" i="7"/>
  <c r="H20" i="7"/>
  <c r="AC19" i="7"/>
  <c r="AB19" i="7"/>
  <c r="AA19" i="7"/>
  <c r="Z19" i="7"/>
  <c r="Y19" i="7"/>
  <c r="X19" i="7"/>
  <c r="W19" i="7"/>
  <c r="V19" i="7"/>
  <c r="U19" i="7"/>
  <c r="T19" i="7"/>
  <c r="S19" i="7"/>
  <c r="R19" i="7"/>
  <c r="Q19" i="7"/>
  <c r="P19" i="7"/>
  <c r="O19" i="7"/>
  <c r="N19" i="7"/>
  <c r="M19" i="7"/>
  <c r="L19" i="7"/>
  <c r="K19" i="7"/>
  <c r="J19" i="7"/>
  <c r="H19" i="7"/>
  <c r="AC18" i="7"/>
  <c r="AB18" i="7"/>
  <c r="AA18" i="7"/>
  <c r="Z18" i="7"/>
  <c r="Y18" i="7"/>
  <c r="X18" i="7"/>
  <c r="W18" i="7"/>
  <c r="V18" i="7"/>
  <c r="U18" i="7"/>
  <c r="T18" i="7"/>
  <c r="S18" i="7"/>
  <c r="R18" i="7"/>
  <c r="Q18" i="7"/>
  <c r="P18" i="7"/>
  <c r="O18" i="7"/>
  <c r="N18" i="7"/>
  <c r="M18" i="7"/>
  <c r="L18" i="7"/>
  <c r="K18" i="7"/>
  <c r="J18" i="7"/>
  <c r="H18" i="7"/>
  <c r="AC17" i="7"/>
  <c r="AB17" i="7"/>
  <c r="AA17" i="7"/>
  <c r="Z17" i="7"/>
  <c r="Y17" i="7"/>
  <c r="X17" i="7"/>
  <c r="W17" i="7"/>
  <c r="V17" i="7"/>
  <c r="U17" i="7"/>
  <c r="T17" i="7"/>
  <c r="S17" i="7"/>
  <c r="R17" i="7"/>
  <c r="Q17" i="7"/>
  <c r="P17" i="7"/>
  <c r="O17" i="7"/>
  <c r="N17" i="7"/>
  <c r="M17" i="7"/>
  <c r="L17" i="7"/>
  <c r="K17" i="7"/>
  <c r="J17" i="7"/>
  <c r="H17" i="7"/>
  <c r="AC16" i="7"/>
  <c r="AB16" i="7"/>
  <c r="AA16" i="7"/>
  <c r="Z16" i="7"/>
  <c r="Y16" i="7"/>
  <c r="X16" i="7"/>
  <c r="W16" i="7"/>
  <c r="V16" i="7"/>
  <c r="U16" i="7"/>
  <c r="T16" i="7"/>
  <c r="S16" i="7"/>
  <c r="R16" i="7"/>
  <c r="Q16" i="7"/>
  <c r="P16" i="7"/>
  <c r="O16" i="7"/>
  <c r="N16" i="7"/>
  <c r="M16" i="7"/>
  <c r="L16" i="7"/>
  <c r="K16" i="7"/>
  <c r="J16" i="7"/>
  <c r="H16" i="7"/>
  <c r="AC15" i="7"/>
  <c r="AB15" i="7"/>
  <c r="AA15" i="7"/>
  <c r="Z15" i="7"/>
  <c r="Y15" i="7"/>
  <c r="X15" i="7"/>
  <c r="W15" i="7"/>
  <c r="V15" i="7"/>
  <c r="U15" i="7"/>
  <c r="T15" i="7"/>
  <c r="S15" i="7"/>
  <c r="R15" i="7"/>
  <c r="Q15" i="7"/>
  <c r="P15" i="7"/>
  <c r="O15" i="7"/>
  <c r="N15" i="7"/>
  <c r="M15" i="7"/>
  <c r="L15" i="7"/>
  <c r="K15" i="7"/>
  <c r="J15" i="7"/>
  <c r="H15" i="7"/>
  <c r="AC14" i="7"/>
  <c r="AB14" i="7"/>
  <c r="AA14" i="7"/>
  <c r="Z14" i="7"/>
  <c r="Y14" i="7"/>
  <c r="X14" i="7"/>
  <c r="W14" i="7"/>
  <c r="V14" i="7"/>
  <c r="U14" i="7"/>
  <c r="T14" i="7"/>
  <c r="S14" i="7"/>
  <c r="R14" i="7"/>
  <c r="Q14" i="7"/>
  <c r="P14" i="7"/>
  <c r="O14" i="7"/>
  <c r="N14" i="7"/>
  <c r="M14" i="7"/>
  <c r="L14" i="7"/>
  <c r="K14" i="7"/>
  <c r="J14" i="7"/>
  <c r="H14" i="7"/>
  <c r="AC13" i="7"/>
  <c r="AB13" i="7"/>
  <c r="AA13" i="7"/>
  <c r="Z13" i="7"/>
  <c r="Y13" i="7"/>
  <c r="X13" i="7"/>
  <c r="W13" i="7"/>
  <c r="V13" i="7"/>
  <c r="U13" i="7"/>
  <c r="T13" i="7"/>
  <c r="S13" i="7"/>
  <c r="R13" i="7"/>
  <c r="Q13" i="7"/>
  <c r="P13" i="7"/>
  <c r="O13" i="7"/>
  <c r="N13" i="7"/>
  <c r="M13" i="7"/>
  <c r="L13" i="7"/>
  <c r="K13" i="7"/>
  <c r="J13" i="7"/>
  <c r="H13" i="7"/>
  <c r="AC12" i="7"/>
  <c r="AB12" i="7"/>
  <c r="AA12" i="7"/>
  <c r="Z12" i="7"/>
  <c r="Y12" i="7"/>
  <c r="X12" i="7"/>
  <c r="W12" i="7"/>
  <c r="V12" i="7"/>
  <c r="U12" i="7"/>
  <c r="T12" i="7"/>
  <c r="S12" i="7"/>
  <c r="R12" i="7"/>
  <c r="Q12" i="7"/>
  <c r="P12" i="7"/>
  <c r="O12" i="7"/>
  <c r="N12" i="7"/>
  <c r="M12" i="7"/>
  <c r="L12" i="7"/>
  <c r="K12" i="7"/>
  <c r="J12" i="7"/>
  <c r="H12" i="7"/>
  <c r="AC11" i="7"/>
  <c r="AB11" i="7"/>
  <c r="AA11" i="7"/>
  <c r="Z11" i="7"/>
  <c r="Y11" i="7"/>
  <c r="X11" i="7"/>
  <c r="W11" i="7"/>
  <c r="V11" i="7"/>
  <c r="U11" i="7"/>
  <c r="T11" i="7"/>
  <c r="S11" i="7"/>
  <c r="R11" i="7"/>
  <c r="Q11" i="7"/>
  <c r="P11" i="7"/>
  <c r="O11" i="7"/>
  <c r="N11" i="7"/>
  <c r="M11" i="7"/>
  <c r="L11" i="7"/>
  <c r="K11" i="7"/>
  <c r="J11" i="7"/>
  <c r="H11" i="7"/>
  <c r="AC10" i="7"/>
  <c r="AB10" i="7"/>
  <c r="AA10" i="7"/>
  <c r="Z10" i="7"/>
  <c r="Y10" i="7"/>
  <c r="X10" i="7"/>
  <c r="W10" i="7"/>
  <c r="V10" i="7"/>
  <c r="U10" i="7"/>
  <c r="T10" i="7"/>
  <c r="S10" i="7"/>
  <c r="R10" i="7"/>
  <c r="Q10" i="7"/>
  <c r="P10" i="7"/>
  <c r="O10" i="7"/>
  <c r="N10" i="7"/>
  <c r="M10" i="7"/>
  <c r="L10" i="7"/>
  <c r="K10" i="7"/>
  <c r="J10" i="7"/>
  <c r="H10" i="7"/>
  <c r="AC9" i="7"/>
  <c r="AB9" i="7"/>
  <c r="AA9" i="7"/>
  <c r="Z9" i="7"/>
  <c r="Y9" i="7"/>
  <c r="X9" i="7"/>
  <c r="W9" i="7"/>
  <c r="V9" i="7"/>
  <c r="U9" i="7"/>
  <c r="T9" i="7"/>
  <c r="S9" i="7"/>
  <c r="R9" i="7"/>
  <c r="Q9" i="7"/>
  <c r="P9" i="7"/>
  <c r="O9" i="7"/>
  <c r="N9" i="7"/>
  <c r="M9" i="7"/>
  <c r="L9" i="7"/>
  <c r="K9" i="7"/>
  <c r="J9" i="7"/>
  <c r="H9" i="7"/>
  <c r="AC8" i="7"/>
  <c r="AB8" i="7"/>
  <c r="AA8" i="7"/>
  <c r="Z8" i="7"/>
  <c r="Y8" i="7"/>
  <c r="X8" i="7"/>
  <c r="W8" i="7"/>
  <c r="V8" i="7"/>
  <c r="U8" i="7"/>
  <c r="T8" i="7"/>
  <c r="S8" i="7"/>
  <c r="R8" i="7"/>
  <c r="Q8" i="7"/>
  <c r="P8" i="7"/>
  <c r="O8" i="7"/>
  <c r="N8" i="7"/>
  <c r="M8" i="7"/>
  <c r="L8" i="7"/>
  <c r="K8" i="7"/>
  <c r="J8" i="7"/>
  <c r="H8" i="7"/>
  <c r="AC7" i="7"/>
  <c r="AB7" i="7"/>
  <c r="AA7" i="7"/>
  <c r="Z7" i="7"/>
  <c r="Y7" i="7"/>
  <c r="X7" i="7"/>
  <c r="W7" i="7"/>
  <c r="V7" i="7"/>
  <c r="U7" i="7"/>
  <c r="T7" i="7"/>
  <c r="S7" i="7"/>
  <c r="R7" i="7"/>
  <c r="Q7" i="7"/>
  <c r="P7" i="7"/>
  <c r="O7" i="7"/>
  <c r="N7" i="7"/>
  <c r="M7" i="7"/>
  <c r="L7" i="7"/>
  <c r="K7" i="7"/>
  <c r="J7" i="7"/>
  <c r="H7" i="7"/>
  <c r="AC6" i="7"/>
  <c r="AB6" i="7"/>
  <c r="AA6" i="7"/>
  <c r="Z6" i="7"/>
  <c r="Y6" i="7"/>
  <c r="X6" i="7"/>
  <c r="W6" i="7"/>
  <c r="V6" i="7"/>
  <c r="U6" i="7"/>
  <c r="T6" i="7"/>
  <c r="S6" i="7"/>
  <c r="R6" i="7"/>
  <c r="Q6" i="7"/>
  <c r="P6" i="7"/>
  <c r="O6" i="7"/>
  <c r="N6" i="7"/>
  <c r="M6" i="7"/>
  <c r="L6" i="7"/>
  <c r="K6" i="7"/>
  <c r="J6" i="7"/>
  <c r="H6" i="7"/>
  <c r="AC5" i="7"/>
  <c r="AB5" i="7"/>
  <c r="AA5" i="7"/>
  <c r="Z5" i="7"/>
  <c r="Y5" i="7"/>
  <c r="X5" i="7"/>
  <c r="W5" i="7"/>
  <c r="V5" i="7"/>
  <c r="U5" i="7"/>
  <c r="T5" i="7"/>
  <c r="S5" i="7"/>
  <c r="R5" i="7"/>
  <c r="Q5" i="7"/>
  <c r="P5" i="7"/>
  <c r="O5" i="7"/>
  <c r="N5" i="7"/>
  <c r="M5" i="7"/>
  <c r="L5" i="7"/>
  <c r="K5" i="7"/>
  <c r="J5" i="7"/>
  <c r="H5" i="7"/>
  <c r="AC4" i="7"/>
  <c r="AB4" i="7"/>
  <c r="AA4" i="7"/>
  <c r="Z4" i="7"/>
  <c r="Y4" i="7"/>
  <c r="X4" i="7"/>
  <c r="W4" i="7"/>
  <c r="V4" i="7"/>
  <c r="U4" i="7"/>
  <c r="T4" i="7"/>
  <c r="S4" i="7"/>
  <c r="R4" i="7"/>
  <c r="Q4" i="7"/>
  <c r="P4" i="7"/>
  <c r="O4" i="7"/>
  <c r="N4" i="7"/>
  <c r="M4" i="7"/>
  <c r="L4" i="7"/>
  <c r="K4" i="7"/>
  <c r="J4" i="7"/>
  <c r="H4" i="7"/>
  <c r="AC3" i="7"/>
  <c r="AB3" i="7"/>
  <c r="AA3" i="7"/>
  <c r="Z3" i="7"/>
  <c r="Y3" i="7"/>
  <c r="X3" i="7"/>
  <c r="W3" i="7"/>
  <c r="V3" i="7"/>
  <c r="U3" i="7"/>
  <c r="T3" i="7"/>
  <c r="S3" i="7"/>
  <c r="R3" i="7"/>
  <c r="Q3" i="7"/>
  <c r="P3" i="7"/>
  <c r="O3" i="7"/>
  <c r="N3" i="7"/>
  <c r="M3" i="7"/>
  <c r="L3" i="7"/>
  <c r="K3" i="7"/>
  <c r="J3" i="7"/>
  <c r="H3" i="7"/>
  <c r="AC2" i="7"/>
  <c r="AB2" i="7"/>
  <c r="AA2" i="7"/>
  <c r="Z2" i="7"/>
  <c r="Y2" i="7"/>
  <c r="X2" i="7"/>
  <c r="W2" i="7"/>
  <c r="V2" i="7"/>
  <c r="U2" i="7"/>
  <c r="T2" i="7"/>
  <c r="S2" i="7"/>
  <c r="R2" i="7"/>
  <c r="Q2" i="7"/>
  <c r="P2" i="7"/>
  <c r="O2" i="7"/>
  <c r="N2" i="7"/>
  <c r="M2" i="7"/>
  <c r="L2" i="7"/>
  <c r="K2" i="7"/>
  <c r="J2" i="7"/>
  <c r="H2" i="7"/>
  <c r="AC189" i="6"/>
  <c r="AB189" i="6"/>
  <c r="AA189" i="6"/>
  <c r="Z189" i="6"/>
  <c r="Y189" i="6"/>
  <c r="X189" i="6"/>
  <c r="W189" i="6"/>
  <c r="V189" i="6"/>
  <c r="U189" i="6"/>
  <c r="T189" i="6"/>
  <c r="S189" i="6"/>
  <c r="R189" i="6"/>
  <c r="Q189" i="6"/>
  <c r="P189" i="6"/>
  <c r="O189" i="6"/>
  <c r="N189" i="6"/>
  <c r="M189" i="6"/>
  <c r="L189" i="6"/>
  <c r="K189" i="6"/>
  <c r="J189" i="6"/>
  <c r="H189" i="6"/>
  <c r="AC188" i="6"/>
  <c r="AB188" i="6"/>
  <c r="AA188" i="6"/>
  <c r="Z188" i="6"/>
  <c r="Y188" i="6"/>
  <c r="X188" i="6"/>
  <c r="W188" i="6"/>
  <c r="V188" i="6"/>
  <c r="U188" i="6"/>
  <c r="T188" i="6"/>
  <c r="S188" i="6"/>
  <c r="R188" i="6"/>
  <c r="Q188" i="6"/>
  <c r="P188" i="6"/>
  <c r="O188" i="6"/>
  <c r="N188" i="6"/>
  <c r="M188" i="6"/>
  <c r="L188" i="6"/>
  <c r="K188" i="6"/>
  <c r="J188" i="6"/>
  <c r="H188" i="6"/>
  <c r="AG187" i="6"/>
  <c r="AF187" i="6"/>
  <c r="AE187" i="6"/>
  <c r="AD187" i="6"/>
  <c r="AC187" i="6"/>
  <c r="AB187" i="6"/>
  <c r="AA187" i="6"/>
  <c r="Z187" i="6"/>
  <c r="Y187" i="6"/>
  <c r="X187" i="6"/>
  <c r="W187" i="6"/>
  <c r="V187" i="6"/>
  <c r="U187" i="6"/>
  <c r="T187" i="6"/>
  <c r="S187" i="6"/>
  <c r="R187" i="6"/>
  <c r="Q187" i="6"/>
  <c r="P187" i="6"/>
  <c r="O187" i="6"/>
  <c r="N187" i="6"/>
  <c r="M187" i="6"/>
  <c r="L187" i="6"/>
  <c r="K187" i="6"/>
  <c r="J187" i="6"/>
  <c r="H187" i="6"/>
  <c r="AC186" i="6"/>
  <c r="AB186" i="6"/>
  <c r="AA186" i="6"/>
  <c r="Z186" i="6"/>
  <c r="Y186" i="6"/>
  <c r="X186" i="6"/>
  <c r="W186" i="6"/>
  <c r="V186" i="6"/>
  <c r="U186" i="6"/>
  <c r="T186" i="6"/>
  <c r="S186" i="6"/>
  <c r="R186" i="6"/>
  <c r="Q186" i="6"/>
  <c r="P186" i="6"/>
  <c r="O186" i="6"/>
  <c r="N186" i="6"/>
  <c r="M186" i="6"/>
  <c r="L186" i="6"/>
  <c r="K186" i="6"/>
  <c r="J186" i="6"/>
  <c r="H186" i="6"/>
  <c r="AC185" i="6"/>
  <c r="AB185" i="6"/>
  <c r="AA185" i="6"/>
  <c r="Z185" i="6"/>
  <c r="Y185" i="6"/>
  <c r="X185" i="6"/>
  <c r="W185" i="6"/>
  <c r="V185" i="6"/>
  <c r="U185" i="6"/>
  <c r="T185" i="6"/>
  <c r="S185" i="6"/>
  <c r="R185" i="6"/>
  <c r="Q185" i="6"/>
  <c r="P185" i="6"/>
  <c r="O185" i="6"/>
  <c r="N185" i="6"/>
  <c r="M185" i="6"/>
  <c r="L185" i="6"/>
  <c r="K185" i="6"/>
  <c r="J185" i="6"/>
  <c r="H185" i="6"/>
  <c r="AC184" i="6"/>
  <c r="AB184" i="6"/>
  <c r="AA184" i="6"/>
  <c r="Z184" i="6"/>
  <c r="Y184" i="6"/>
  <c r="X184" i="6"/>
  <c r="W184" i="6"/>
  <c r="V184" i="6"/>
  <c r="U184" i="6"/>
  <c r="T184" i="6"/>
  <c r="S184" i="6"/>
  <c r="R184" i="6"/>
  <c r="Q184" i="6"/>
  <c r="P184" i="6"/>
  <c r="O184" i="6"/>
  <c r="N184" i="6"/>
  <c r="M184" i="6"/>
  <c r="L184" i="6"/>
  <c r="K184" i="6"/>
  <c r="J184" i="6"/>
  <c r="H184" i="6"/>
  <c r="AC183" i="6"/>
  <c r="AB183" i="6"/>
  <c r="AA183" i="6"/>
  <c r="Z183" i="6"/>
  <c r="Y183" i="6"/>
  <c r="X183" i="6"/>
  <c r="W183" i="6"/>
  <c r="V183" i="6"/>
  <c r="U183" i="6"/>
  <c r="T183" i="6"/>
  <c r="S183" i="6"/>
  <c r="R183" i="6"/>
  <c r="Q183" i="6"/>
  <c r="P183" i="6"/>
  <c r="O183" i="6"/>
  <c r="N183" i="6"/>
  <c r="M183" i="6"/>
  <c r="L183" i="6"/>
  <c r="K183" i="6"/>
  <c r="J183" i="6"/>
  <c r="H183" i="6"/>
  <c r="AC182" i="6"/>
  <c r="AB182" i="6"/>
  <c r="AA182" i="6"/>
  <c r="Z182" i="6"/>
  <c r="Y182" i="6"/>
  <c r="X182" i="6"/>
  <c r="W182" i="6"/>
  <c r="V182" i="6"/>
  <c r="U182" i="6"/>
  <c r="T182" i="6"/>
  <c r="S182" i="6"/>
  <c r="R182" i="6"/>
  <c r="Q182" i="6"/>
  <c r="P182" i="6"/>
  <c r="O182" i="6"/>
  <c r="N182" i="6"/>
  <c r="M182" i="6"/>
  <c r="L182" i="6"/>
  <c r="K182" i="6"/>
  <c r="J182" i="6"/>
  <c r="H182" i="6"/>
  <c r="AC181" i="6"/>
  <c r="AB181" i="6"/>
  <c r="AA181" i="6"/>
  <c r="Z181" i="6"/>
  <c r="Y181" i="6"/>
  <c r="X181" i="6"/>
  <c r="W181" i="6"/>
  <c r="V181" i="6"/>
  <c r="U181" i="6"/>
  <c r="T181" i="6"/>
  <c r="S181" i="6"/>
  <c r="R181" i="6"/>
  <c r="Q181" i="6"/>
  <c r="P181" i="6"/>
  <c r="O181" i="6"/>
  <c r="N181" i="6"/>
  <c r="M181" i="6"/>
  <c r="L181" i="6"/>
  <c r="K181" i="6"/>
  <c r="J181" i="6"/>
  <c r="H181" i="6"/>
  <c r="AC180" i="6"/>
  <c r="AB180" i="6"/>
  <c r="AA180" i="6"/>
  <c r="Z180" i="6"/>
  <c r="Y180" i="6"/>
  <c r="X180" i="6"/>
  <c r="W180" i="6"/>
  <c r="V180" i="6"/>
  <c r="U180" i="6"/>
  <c r="T180" i="6"/>
  <c r="S180" i="6"/>
  <c r="R180" i="6"/>
  <c r="Q180" i="6"/>
  <c r="P180" i="6"/>
  <c r="O180" i="6"/>
  <c r="N180" i="6"/>
  <c r="M180" i="6"/>
  <c r="L180" i="6"/>
  <c r="K180" i="6"/>
  <c r="J180" i="6"/>
  <c r="H180" i="6"/>
  <c r="AC179" i="6"/>
  <c r="AB179" i="6"/>
  <c r="AA179" i="6"/>
  <c r="Z179" i="6"/>
  <c r="Y179" i="6"/>
  <c r="X179" i="6"/>
  <c r="W179" i="6"/>
  <c r="V179" i="6"/>
  <c r="U179" i="6"/>
  <c r="T179" i="6"/>
  <c r="S179" i="6"/>
  <c r="R179" i="6"/>
  <c r="Q179" i="6"/>
  <c r="P179" i="6"/>
  <c r="O179" i="6"/>
  <c r="N179" i="6"/>
  <c r="M179" i="6"/>
  <c r="L179" i="6"/>
  <c r="K179" i="6"/>
  <c r="J179" i="6"/>
  <c r="H179" i="6"/>
  <c r="AC178" i="6"/>
  <c r="AB178" i="6"/>
  <c r="AA178" i="6"/>
  <c r="Z178" i="6"/>
  <c r="Y178" i="6"/>
  <c r="X178" i="6"/>
  <c r="W178" i="6"/>
  <c r="V178" i="6"/>
  <c r="U178" i="6"/>
  <c r="T178" i="6"/>
  <c r="S178" i="6"/>
  <c r="R178" i="6"/>
  <c r="Q178" i="6"/>
  <c r="P178" i="6"/>
  <c r="O178" i="6"/>
  <c r="N178" i="6"/>
  <c r="M178" i="6"/>
  <c r="L178" i="6"/>
  <c r="K178" i="6"/>
  <c r="J178" i="6"/>
  <c r="H178" i="6"/>
  <c r="AC177" i="6"/>
  <c r="AB177" i="6"/>
  <c r="AA177" i="6"/>
  <c r="Z177" i="6"/>
  <c r="Y177" i="6"/>
  <c r="X177" i="6"/>
  <c r="W177" i="6"/>
  <c r="V177" i="6"/>
  <c r="U177" i="6"/>
  <c r="T177" i="6"/>
  <c r="S177" i="6"/>
  <c r="R177" i="6"/>
  <c r="Q177" i="6"/>
  <c r="P177" i="6"/>
  <c r="O177" i="6"/>
  <c r="N177" i="6"/>
  <c r="M177" i="6"/>
  <c r="L177" i="6"/>
  <c r="K177" i="6"/>
  <c r="J177" i="6"/>
  <c r="H177" i="6"/>
  <c r="AC176" i="6"/>
  <c r="AB176" i="6"/>
  <c r="AA176" i="6"/>
  <c r="Z176" i="6"/>
  <c r="Y176" i="6"/>
  <c r="X176" i="6"/>
  <c r="W176" i="6"/>
  <c r="V176" i="6"/>
  <c r="U176" i="6"/>
  <c r="T176" i="6"/>
  <c r="S176" i="6"/>
  <c r="R176" i="6"/>
  <c r="Q176" i="6"/>
  <c r="P176" i="6"/>
  <c r="O176" i="6"/>
  <c r="N176" i="6"/>
  <c r="M176" i="6"/>
  <c r="L176" i="6"/>
  <c r="K176" i="6"/>
  <c r="J176" i="6"/>
  <c r="H176" i="6"/>
  <c r="AG175" i="6"/>
  <c r="AF175" i="6"/>
  <c r="AE175" i="6"/>
  <c r="AD175" i="6"/>
  <c r="AC175" i="6"/>
  <c r="AB175" i="6"/>
  <c r="AA175" i="6"/>
  <c r="Z175" i="6"/>
  <c r="Y175" i="6"/>
  <c r="X175" i="6"/>
  <c r="W175" i="6"/>
  <c r="V175" i="6"/>
  <c r="U175" i="6"/>
  <c r="T175" i="6"/>
  <c r="S175" i="6"/>
  <c r="R175" i="6"/>
  <c r="Q175" i="6"/>
  <c r="P175" i="6"/>
  <c r="O175" i="6"/>
  <c r="N175" i="6"/>
  <c r="M175" i="6"/>
  <c r="L175" i="6"/>
  <c r="K175" i="6"/>
  <c r="J175" i="6"/>
  <c r="H175" i="6"/>
  <c r="AG174" i="6"/>
  <c r="AF174" i="6"/>
  <c r="AE174" i="6"/>
  <c r="AD174" i="6"/>
  <c r="AC174" i="6"/>
  <c r="AB174" i="6"/>
  <c r="AA174" i="6"/>
  <c r="Z174" i="6"/>
  <c r="Y174" i="6"/>
  <c r="X174" i="6"/>
  <c r="W174" i="6"/>
  <c r="V174" i="6"/>
  <c r="U174" i="6"/>
  <c r="T174" i="6"/>
  <c r="S174" i="6"/>
  <c r="R174" i="6"/>
  <c r="Q174" i="6"/>
  <c r="P174" i="6"/>
  <c r="O174" i="6"/>
  <c r="N174" i="6"/>
  <c r="M174" i="6"/>
  <c r="L174" i="6"/>
  <c r="K174" i="6"/>
  <c r="J174" i="6"/>
  <c r="H174" i="6"/>
  <c r="AG173" i="6"/>
  <c r="AF173" i="6"/>
  <c r="AE173" i="6"/>
  <c r="AD173" i="6"/>
  <c r="AC173" i="6"/>
  <c r="AB173" i="6"/>
  <c r="AA173" i="6"/>
  <c r="Z173" i="6"/>
  <c r="Y173" i="6"/>
  <c r="X173" i="6"/>
  <c r="W173" i="6"/>
  <c r="V173" i="6"/>
  <c r="U173" i="6"/>
  <c r="T173" i="6"/>
  <c r="S173" i="6"/>
  <c r="R173" i="6"/>
  <c r="Q173" i="6"/>
  <c r="P173" i="6"/>
  <c r="O173" i="6"/>
  <c r="N173" i="6"/>
  <c r="M173" i="6"/>
  <c r="L173" i="6"/>
  <c r="K173" i="6"/>
  <c r="J173" i="6"/>
  <c r="H173" i="6"/>
  <c r="AG172" i="6"/>
  <c r="AF172" i="6"/>
  <c r="AE172" i="6"/>
  <c r="AD172" i="6"/>
  <c r="AC172" i="6"/>
  <c r="AB172" i="6"/>
  <c r="AA172" i="6"/>
  <c r="Z172" i="6"/>
  <c r="Y172" i="6"/>
  <c r="X172" i="6"/>
  <c r="W172" i="6"/>
  <c r="V172" i="6"/>
  <c r="U172" i="6"/>
  <c r="T172" i="6"/>
  <c r="S172" i="6"/>
  <c r="R172" i="6"/>
  <c r="Q172" i="6"/>
  <c r="P172" i="6"/>
  <c r="O172" i="6"/>
  <c r="N172" i="6"/>
  <c r="M172" i="6"/>
  <c r="L172" i="6"/>
  <c r="K172" i="6"/>
  <c r="J172" i="6"/>
  <c r="H172" i="6"/>
  <c r="AG171" i="6"/>
  <c r="AF171" i="6"/>
  <c r="AE171" i="6"/>
  <c r="AD171" i="6"/>
  <c r="AC171" i="6"/>
  <c r="AB171" i="6"/>
  <c r="AA171" i="6"/>
  <c r="Z171" i="6"/>
  <c r="Y171" i="6"/>
  <c r="X171" i="6"/>
  <c r="W171" i="6"/>
  <c r="V171" i="6"/>
  <c r="U171" i="6"/>
  <c r="T171" i="6"/>
  <c r="S171" i="6"/>
  <c r="R171" i="6"/>
  <c r="Q171" i="6"/>
  <c r="P171" i="6"/>
  <c r="O171" i="6"/>
  <c r="N171" i="6"/>
  <c r="M171" i="6"/>
  <c r="L171" i="6"/>
  <c r="K171" i="6"/>
  <c r="J171" i="6"/>
  <c r="H171" i="6"/>
  <c r="AG170" i="6"/>
  <c r="AF170" i="6"/>
  <c r="AE170" i="6"/>
  <c r="AD170" i="6"/>
  <c r="AC170" i="6"/>
  <c r="AB170" i="6"/>
  <c r="AA170" i="6"/>
  <c r="Z170" i="6"/>
  <c r="Y170" i="6"/>
  <c r="X170" i="6"/>
  <c r="W170" i="6"/>
  <c r="V170" i="6"/>
  <c r="U170" i="6"/>
  <c r="T170" i="6"/>
  <c r="S170" i="6"/>
  <c r="R170" i="6"/>
  <c r="Q170" i="6"/>
  <c r="P170" i="6"/>
  <c r="O170" i="6"/>
  <c r="N170" i="6"/>
  <c r="M170" i="6"/>
  <c r="L170" i="6"/>
  <c r="K170" i="6"/>
  <c r="J170" i="6"/>
  <c r="H170" i="6"/>
  <c r="AG169" i="6"/>
  <c r="AF169" i="6"/>
  <c r="AE169" i="6"/>
  <c r="AD169" i="6"/>
  <c r="AC169" i="6"/>
  <c r="AB169" i="6"/>
  <c r="AA169" i="6"/>
  <c r="Z169" i="6"/>
  <c r="Y169" i="6"/>
  <c r="X169" i="6"/>
  <c r="W169" i="6"/>
  <c r="V169" i="6"/>
  <c r="U169" i="6"/>
  <c r="T169" i="6"/>
  <c r="S169" i="6"/>
  <c r="R169" i="6"/>
  <c r="Q169" i="6"/>
  <c r="P169" i="6"/>
  <c r="O169" i="6"/>
  <c r="N169" i="6"/>
  <c r="M169" i="6"/>
  <c r="L169" i="6"/>
  <c r="K169" i="6"/>
  <c r="J169" i="6"/>
  <c r="H169" i="6"/>
  <c r="AG168" i="6"/>
  <c r="AF168" i="6"/>
  <c r="AE168" i="6"/>
  <c r="AD168" i="6"/>
  <c r="AC168" i="6"/>
  <c r="AB168" i="6"/>
  <c r="AA168" i="6"/>
  <c r="Z168" i="6"/>
  <c r="Y168" i="6"/>
  <c r="X168" i="6"/>
  <c r="W168" i="6"/>
  <c r="V168" i="6"/>
  <c r="U168" i="6"/>
  <c r="T168" i="6"/>
  <c r="S168" i="6"/>
  <c r="R168" i="6"/>
  <c r="Q168" i="6"/>
  <c r="P168" i="6"/>
  <c r="O168" i="6"/>
  <c r="N168" i="6"/>
  <c r="M168" i="6"/>
  <c r="L168" i="6"/>
  <c r="K168" i="6"/>
  <c r="J168" i="6"/>
  <c r="H168" i="6"/>
  <c r="AG167" i="6"/>
  <c r="AF167" i="6"/>
  <c r="AE167" i="6"/>
  <c r="AD167" i="6"/>
  <c r="AC167" i="6"/>
  <c r="AB167" i="6"/>
  <c r="AA167" i="6"/>
  <c r="Z167" i="6"/>
  <c r="Y167" i="6"/>
  <c r="X167" i="6"/>
  <c r="W167" i="6"/>
  <c r="V167" i="6"/>
  <c r="U167" i="6"/>
  <c r="T167" i="6"/>
  <c r="S167" i="6"/>
  <c r="R167" i="6"/>
  <c r="Q167" i="6"/>
  <c r="P167" i="6"/>
  <c r="O167" i="6"/>
  <c r="N167" i="6"/>
  <c r="M167" i="6"/>
  <c r="L167" i="6"/>
  <c r="K167" i="6"/>
  <c r="J167" i="6"/>
  <c r="H167" i="6"/>
  <c r="AG166" i="6"/>
  <c r="AF166" i="6"/>
  <c r="AE166" i="6"/>
  <c r="AD166" i="6"/>
  <c r="AC166" i="6"/>
  <c r="AB166" i="6"/>
  <c r="AA166" i="6"/>
  <c r="Z166" i="6"/>
  <c r="Y166" i="6"/>
  <c r="X166" i="6"/>
  <c r="W166" i="6"/>
  <c r="V166" i="6"/>
  <c r="U166" i="6"/>
  <c r="T166" i="6"/>
  <c r="S166" i="6"/>
  <c r="R166" i="6"/>
  <c r="Q166" i="6"/>
  <c r="P166" i="6"/>
  <c r="O166" i="6"/>
  <c r="N166" i="6"/>
  <c r="M166" i="6"/>
  <c r="L166" i="6"/>
  <c r="K166" i="6"/>
  <c r="J166" i="6"/>
  <c r="H166" i="6"/>
  <c r="AG165" i="6"/>
  <c r="AF165" i="6"/>
  <c r="AE165" i="6"/>
  <c r="AD165" i="6"/>
  <c r="AC165" i="6"/>
  <c r="AB165" i="6"/>
  <c r="AA165" i="6"/>
  <c r="Z165" i="6"/>
  <c r="Y165" i="6"/>
  <c r="X165" i="6"/>
  <c r="W165" i="6"/>
  <c r="V165" i="6"/>
  <c r="U165" i="6"/>
  <c r="T165" i="6"/>
  <c r="S165" i="6"/>
  <c r="R165" i="6"/>
  <c r="Q165" i="6"/>
  <c r="P165" i="6"/>
  <c r="O165" i="6"/>
  <c r="N165" i="6"/>
  <c r="M165" i="6"/>
  <c r="L165" i="6"/>
  <c r="K165" i="6"/>
  <c r="J165" i="6"/>
  <c r="H165" i="6"/>
  <c r="AG164" i="6"/>
  <c r="AF164" i="6"/>
  <c r="AE164" i="6"/>
  <c r="AD164" i="6"/>
  <c r="AC164" i="6"/>
  <c r="AB164" i="6"/>
  <c r="AA164" i="6"/>
  <c r="Z164" i="6"/>
  <c r="Y164" i="6"/>
  <c r="X164" i="6"/>
  <c r="W164" i="6"/>
  <c r="V164" i="6"/>
  <c r="U164" i="6"/>
  <c r="T164" i="6"/>
  <c r="S164" i="6"/>
  <c r="R164" i="6"/>
  <c r="Q164" i="6"/>
  <c r="P164" i="6"/>
  <c r="O164" i="6"/>
  <c r="N164" i="6"/>
  <c r="M164" i="6"/>
  <c r="L164" i="6"/>
  <c r="K164" i="6"/>
  <c r="J164" i="6"/>
  <c r="H164" i="6"/>
  <c r="AG163" i="6"/>
  <c r="AF163" i="6"/>
  <c r="AE163" i="6"/>
  <c r="AD163" i="6"/>
  <c r="AC163" i="6"/>
  <c r="AB163" i="6"/>
  <c r="AA163" i="6"/>
  <c r="Z163" i="6"/>
  <c r="Y163" i="6"/>
  <c r="X163" i="6"/>
  <c r="W163" i="6"/>
  <c r="V163" i="6"/>
  <c r="U163" i="6"/>
  <c r="T163" i="6"/>
  <c r="S163" i="6"/>
  <c r="R163" i="6"/>
  <c r="Q163" i="6"/>
  <c r="P163" i="6"/>
  <c r="O163" i="6"/>
  <c r="N163" i="6"/>
  <c r="M163" i="6"/>
  <c r="L163" i="6"/>
  <c r="K163" i="6"/>
  <c r="J163" i="6"/>
  <c r="H163" i="6"/>
  <c r="AG162" i="6"/>
  <c r="AF162" i="6"/>
  <c r="AE162" i="6"/>
  <c r="AD162" i="6"/>
  <c r="AC162" i="6"/>
  <c r="AB162" i="6"/>
  <c r="AA162" i="6"/>
  <c r="Z162" i="6"/>
  <c r="Y162" i="6"/>
  <c r="X162" i="6"/>
  <c r="W162" i="6"/>
  <c r="V162" i="6"/>
  <c r="U162" i="6"/>
  <c r="T162" i="6"/>
  <c r="S162" i="6"/>
  <c r="R162" i="6"/>
  <c r="Q162" i="6"/>
  <c r="P162" i="6"/>
  <c r="O162" i="6"/>
  <c r="N162" i="6"/>
  <c r="M162" i="6"/>
  <c r="L162" i="6"/>
  <c r="K162" i="6"/>
  <c r="J162" i="6"/>
  <c r="H162" i="6"/>
  <c r="AG161" i="6"/>
  <c r="AF161" i="6"/>
  <c r="AE161" i="6"/>
  <c r="AD161" i="6"/>
  <c r="AC161" i="6"/>
  <c r="AB161" i="6"/>
  <c r="AA161" i="6"/>
  <c r="Z161" i="6"/>
  <c r="Y161" i="6"/>
  <c r="X161" i="6"/>
  <c r="W161" i="6"/>
  <c r="V161" i="6"/>
  <c r="U161" i="6"/>
  <c r="T161" i="6"/>
  <c r="S161" i="6"/>
  <c r="R161" i="6"/>
  <c r="Q161" i="6"/>
  <c r="P161" i="6"/>
  <c r="O161" i="6"/>
  <c r="N161" i="6"/>
  <c r="M161" i="6"/>
  <c r="L161" i="6"/>
  <c r="K161" i="6"/>
  <c r="J161" i="6"/>
  <c r="H161" i="6"/>
  <c r="AG160" i="6"/>
  <c r="AF160" i="6"/>
  <c r="AE160" i="6"/>
  <c r="AD160" i="6"/>
  <c r="AC160" i="6"/>
  <c r="AB160" i="6"/>
  <c r="AA160" i="6"/>
  <c r="Z160" i="6"/>
  <c r="Y160" i="6"/>
  <c r="X160" i="6"/>
  <c r="W160" i="6"/>
  <c r="V160" i="6"/>
  <c r="U160" i="6"/>
  <c r="T160" i="6"/>
  <c r="S160" i="6"/>
  <c r="R160" i="6"/>
  <c r="Q160" i="6"/>
  <c r="P160" i="6"/>
  <c r="O160" i="6"/>
  <c r="N160" i="6"/>
  <c r="M160" i="6"/>
  <c r="L160" i="6"/>
  <c r="K160" i="6"/>
  <c r="J160" i="6"/>
  <c r="H160" i="6"/>
  <c r="AC159" i="6"/>
  <c r="AB159" i="6"/>
  <c r="AA159" i="6"/>
  <c r="Z159" i="6"/>
  <c r="Y159" i="6"/>
  <c r="X159" i="6"/>
  <c r="W159" i="6"/>
  <c r="V159" i="6"/>
  <c r="U159" i="6"/>
  <c r="T159" i="6"/>
  <c r="S159" i="6"/>
  <c r="R159" i="6"/>
  <c r="Q159" i="6"/>
  <c r="P159" i="6"/>
  <c r="O159" i="6"/>
  <c r="N159" i="6"/>
  <c r="M159" i="6"/>
  <c r="L159" i="6"/>
  <c r="K159" i="6"/>
  <c r="J159" i="6"/>
  <c r="H159" i="6"/>
  <c r="AC158" i="6"/>
  <c r="AB158" i="6"/>
  <c r="AA158" i="6"/>
  <c r="Z158" i="6"/>
  <c r="Y158" i="6"/>
  <c r="X158" i="6"/>
  <c r="W158" i="6"/>
  <c r="V158" i="6"/>
  <c r="U158" i="6"/>
  <c r="T158" i="6"/>
  <c r="S158" i="6"/>
  <c r="R158" i="6"/>
  <c r="Q158" i="6"/>
  <c r="P158" i="6"/>
  <c r="O158" i="6"/>
  <c r="N158" i="6"/>
  <c r="M158" i="6"/>
  <c r="L158" i="6"/>
  <c r="K158" i="6"/>
  <c r="J158" i="6"/>
  <c r="H158" i="6"/>
  <c r="AC157" i="6"/>
  <c r="AB157" i="6"/>
  <c r="AA157" i="6"/>
  <c r="Z157" i="6"/>
  <c r="Y157" i="6"/>
  <c r="X157" i="6"/>
  <c r="W157" i="6"/>
  <c r="V157" i="6"/>
  <c r="U157" i="6"/>
  <c r="T157" i="6"/>
  <c r="S157" i="6"/>
  <c r="R157" i="6"/>
  <c r="Q157" i="6"/>
  <c r="P157" i="6"/>
  <c r="O157" i="6"/>
  <c r="N157" i="6"/>
  <c r="M157" i="6"/>
  <c r="L157" i="6"/>
  <c r="K157" i="6"/>
  <c r="J157" i="6"/>
  <c r="H157" i="6"/>
  <c r="AC156" i="6"/>
  <c r="AB156" i="6"/>
  <c r="AA156" i="6"/>
  <c r="Z156" i="6"/>
  <c r="Y156" i="6"/>
  <c r="X156" i="6"/>
  <c r="W156" i="6"/>
  <c r="V156" i="6"/>
  <c r="U156" i="6"/>
  <c r="T156" i="6"/>
  <c r="S156" i="6"/>
  <c r="R156" i="6"/>
  <c r="Q156" i="6"/>
  <c r="P156" i="6"/>
  <c r="O156" i="6"/>
  <c r="N156" i="6"/>
  <c r="M156" i="6"/>
  <c r="L156" i="6"/>
  <c r="K156" i="6"/>
  <c r="J156" i="6"/>
  <c r="H156" i="6"/>
  <c r="AC155" i="6"/>
  <c r="AB155" i="6"/>
  <c r="AA155" i="6"/>
  <c r="Z155" i="6"/>
  <c r="Y155" i="6"/>
  <c r="X155" i="6"/>
  <c r="W155" i="6"/>
  <c r="V155" i="6"/>
  <c r="U155" i="6"/>
  <c r="T155" i="6"/>
  <c r="S155" i="6"/>
  <c r="R155" i="6"/>
  <c r="Q155" i="6"/>
  <c r="P155" i="6"/>
  <c r="O155" i="6"/>
  <c r="N155" i="6"/>
  <c r="M155" i="6"/>
  <c r="L155" i="6"/>
  <c r="K155" i="6"/>
  <c r="J155" i="6"/>
  <c r="H155" i="6"/>
  <c r="AC154" i="6"/>
  <c r="AB154" i="6"/>
  <c r="AA154" i="6"/>
  <c r="Z154" i="6"/>
  <c r="Y154" i="6"/>
  <c r="X154" i="6"/>
  <c r="W154" i="6"/>
  <c r="V154" i="6"/>
  <c r="U154" i="6"/>
  <c r="T154" i="6"/>
  <c r="S154" i="6"/>
  <c r="R154" i="6"/>
  <c r="Q154" i="6"/>
  <c r="P154" i="6"/>
  <c r="O154" i="6"/>
  <c r="N154" i="6"/>
  <c r="M154" i="6"/>
  <c r="L154" i="6"/>
  <c r="K154" i="6"/>
  <c r="J154" i="6"/>
  <c r="H154" i="6"/>
  <c r="AC153" i="6"/>
  <c r="AB153" i="6"/>
  <c r="AA153" i="6"/>
  <c r="Z153" i="6"/>
  <c r="Y153" i="6"/>
  <c r="X153" i="6"/>
  <c r="W153" i="6"/>
  <c r="V153" i="6"/>
  <c r="U153" i="6"/>
  <c r="T153" i="6"/>
  <c r="S153" i="6"/>
  <c r="R153" i="6"/>
  <c r="Q153" i="6"/>
  <c r="P153" i="6"/>
  <c r="O153" i="6"/>
  <c r="N153" i="6"/>
  <c r="M153" i="6"/>
  <c r="L153" i="6"/>
  <c r="K153" i="6"/>
  <c r="J153" i="6"/>
  <c r="H153" i="6"/>
  <c r="AC152" i="6"/>
  <c r="AB152" i="6"/>
  <c r="AA152" i="6"/>
  <c r="Z152" i="6"/>
  <c r="Y152" i="6"/>
  <c r="X152" i="6"/>
  <c r="W152" i="6"/>
  <c r="V152" i="6"/>
  <c r="U152" i="6"/>
  <c r="T152" i="6"/>
  <c r="S152" i="6"/>
  <c r="R152" i="6"/>
  <c r="Q152" i="6"/>
  <c r="P152" i="6"/>
  <c r="O152" i="6"/>
  <c r="N152" i="6"/>
  <c r="M152" i="6"/>
  <c r="L152" i="6"/>
  <c r="K152" i="6"/>
  <c r="J152" i="6"/>
  <c r="H152" i="6"/>
  <c r="AC151" i="6"/>
  <c r="AB151" i="6"/>
  <c r="AA151" i="6"/>
  <c r="Z151" i="6"/>
  <c r="Y151" i="6"/>
  <c r="X151" i="6"/>
  <c r="W151" i="6"/>
  <c r="V151" i="6"/>
  <c r="U151" i="6"/>
  <c r="T151" i="6"/>
  <c r="S151" i="6"/>
  <c r="R151" i="6"/>
  <c r="Q151" i="6"/>
  <c r="P151" i="6"/>
  <c r="O151" i="6"/>
  <c r="N151" i="6"/>
  <c r="M151" i="6"/>
  <c r="L151" i="6"/>
  <c r="K151" i="6"/>
  <c r="J151" i="6"/>
  <c r="H151" i="6"/>
  <c r="AC150" i="6"/>
  <c r="AB150" i="6"/>
  <c r="AA150" i="6"/>
  <c r="Z150" i="6"/>
  <c r="Y150" i="6"/>
  <c r="X150" i="6"/>
  <c r="W150" i="6"/>
  <c r="V150" i="6"/>
  <c r="U150" i="6"/>
  <c r="T150" i="6"/>
  <c r="S150" i="6"/>
  <c r="R150" i="6"/>
  <c r="Q150" i="6"/>
  <c r="P150" i="6"/>
  <c r="O150" i="6"/>
  <c r="N150" i="6"/>
  <c r="M150" i="6"/>
  <c r="L150" i="6"/>
  <c r="K150" i="6"/>
  <c r="J150" i="6"/>
  <c r="H150" i="6"/>
  <c r="AC149" i="6"/>
  <c r="AB149" i="6"/>
  <c r="AA149" i="6"/>
  <c r="Z149" i="6"/>
  <c r="Y149" i="6"/>
  <c r="X149" i="6"/>
  <c r="W149" i="6"/>
  <c r="V149" i="6"/>
  <c r="U149" i="6"/>
  <c r="T149" i="6"/>
  <c r="S149" i="6"/>
  <c r="R149" i="6"/>
  <c r="Q149" i="6"/>
  <c r="P149" i="6"/>
  <c r="O149" i="6"/>
  <c r="N149" i="6"/>
  <c r="M149" i="6"/>
  <c r="L149" i="6"/>
  <c r="K149" i="6"/>
  <c r="J149" i="6"/>
  <c r="H149" i="6"/>
  <c r="AC148" i="6"/>
  <c r="AB148" i="6"/>
  <c r="AA148" i="6"/>
  <c r="Z148" i="6"/>
  <c r="Y148" i="6"/>
  <c r="X148" i="6"/>
  <c r="W148" i="6"/>
  <c r="V148" i="6"/>
  <c r="U148" i="6"/>
  <c r="T148" i="6"/>
  <c r="S148" i="6"/>
  <c r="R148" i="6"/>
  <c r="Q148" i="6"/>
  <c r="P148" i="6"/>
  <c r="O148" i="6"/>
  <c r="N148" i="6"/>
  <c r="M148" i="6"/>
  <c r="L148" i="6"/>
  <c r="K148" i="6"/>
  <c r="J148" i="6"/>
  <c r="H148" i="6"/>
  <c r="AC147" i="6"/>
  <c r="AB147" i="6"/>
  <c r="AA147" i="6"/>
  <c r="Z147" i="6"/>
  <c r="Y147" i="6"/>
  <c r="X147" i="6"/>
  <c r="W147" i="6"/>
  <c r="V147" i="6"/>
  <c r="U147" i="6"/>
  <c r="T147" i="6"/>
  <c r="S147" i="6"/>
  <c r="R147" i="6"/>
  <c r="Q147" i="6"/>
  <c r="P147" i="6"/>
  <c r="O147" i="6"/>
  <c r="N147" i="6"/>
  <c r="M147" i="6"/>
  <c r="L147" i="6"/>
  <c r="K147" i="6"/>
  <c r="J147" i="6"/>
  <c r="H147" i="6"/>
  <c r="AC146" i="6"/>
  <c r="AB146" i="6"/>
  <c r="AA146" i="6"/>
  <c r="Z146" i="6"/>
  <c r="Y146" i="6"/>
  <c r="X146" i="6"/>
  <c r="W146" i="6"/>
  <c r="V146" i="6"/>
  <c r="U146" i="6"/>
  <c r="T146" i="6"/>
  <c r="S146" i="6"/>
  <c r="R146" i="6"/>
  <c r="Q146" i="6"/>
  <c r="P146" i="6"/>
  <c r="O146" i="6"/>
  <c r="N146" i="6"/>
  <c r="M146" i="6"/>
  <c r="L146" i="6"/>
  <c r="K146" i="6"/>
  <c r="J146" i="6"/>
  <c r="H146" i="6"/>
  <c r="AC145" i="6"/>
  <c r="AB145" i="6"/>
  <c r="AA145" i="6"/>
  <c r="Z145" i="6"/>
  <c r="Y145" i="6"/>
  <c r="X145" i="6"/>
  <c r="W145" i="6"/>
  <c r="V145" i="6"/>
  <c r="U145" i="6"/>
  <c r="T145" i="6"/>
  <c r="S145" i="6"/>
  <c r="R145" i="6"/>
  <c r="Q145" i="6"/>
  <c r="P145" i="6"/>
  <c r="O145" i="6"/>
  <c r="N145" i="6"/>
  <c r="M145" i="6"/>
  <c r="L145" i="6"/>
  <c r="K145" i="6"/>
  <c r="J145" i="6"/>
  <c r="H145" i="6"/>
  <c r="AC144" i="6"/>
  <c r="AB144" i="6"/>
  <c r="AA144" i="6"/>
  <c r="Z144" i="6"/>
  <c r="Y144" i="6"/>
  <c r="X144" i="6"/>
  <c r="W144" i="6"/>
  <c r="V144" i="6"/>
  <c r="U144" i="6"/>
  <c r="T144" i="6"/>
  <c r="S144" i="6"/>
  <c r="R144" i="6"/>
  <c r="Q144" i="6"/>
  <c r="P144" i="6"/>
  <c r="O144" i="6"/>
  <c r="N144" i="6"/>
  <c r="M144" i="6"/>
  <c r="L144" i="6"/>
  <c r="K144" i="6"/>
  <c r="J144" i="6"/>
  <c r="H144" i="6"/>
  <c r="AC143" i="6"/>
  <c r="AB143" i="6"/>
  <c r="AA143" i="6"/>
  <c r="Z143" i="6"/>
  <c r="Y143" i="6"/>
  <c r="X143" i="6"/>
  <c r="W143" i="6"/>
  <c r="V143" i="6"/>
  <c r="U143" i="6"/>
  <c r="T143" i="6"/>
  <c r="S143" i="6"/>
  <c r="R143" i="6"/>
  <c r="Q143" i="6"/>
  <c r="P143" i="6"/>
  <c r="O143" i="6"/>
  <c r="N143" i="6"/>
  <c r="M143" i="6"/>
  <c r="L143" i="6"/>
  <c r="K143" i="6"/>
  <c r="J143" i="6"/>
  <c r="H143" i="6"/>
  <c r="AC142" i="6"/>
  <c r="AB142" i="6"/>
  <c r="AA142" i="6"/>
  <c r="Z142" i="6"/>
  <c r="Y142" i="6"/>
  <c r="X142" i="6"/>
  <c r="W142" i="6"/>
  <c r="V142" i="6"/>
  <c r="U142" i="6"/>
  <c r="T142" i="6"/>
  <c r="S142" i="6"/>
  <c r="R142" i="6"/>
  <c r="Q142" i="6"/>
  <c r="P142" i="6"/>
  <c r="O142" i="6"/>
  <c r="N142" i="6"/>
  <c r="M142" i="6"/>
  <c r="L142" i="6"/>
  <c r="K142" i="6"/>
  <c r="J142" i="6"/>
  <c r="H142" i="6"/>
  <c r="AC141" i="6"/>
  <c r="AB141" i="6"/>
  <c r="AA141" i="6"/>
  <c r="Z141" i="6"/>
  <c r="Y141" i="6"/>
  <c r="X141" i="6"/>
  <c r="W141" i="6"/>
  <c r="V141" i="6"/>
  <c r="U141" i="6"/>
  <c r="T141" i="6"/>
  <c r="S141" i="6"/>
  <c r="R141" i="6"/>
  <c r="Q141" i="6"/>
  <c r="P141" i="6"/>
  <c r="O141" i="6"/>
  <c r="N141" i="6"/>
  <c r="M141" i="6"/>
  <c r="L141" i="6"/>
  <c r="K141" i="6"/>
  <c r="J141" i="6"/>
  <c r="H141" i="6"/>
  <c r="AC140" i="6"/>
  <c r="AB140" i="6"/>
  <c r="AA140" i="6"/>
  <c r="Z140" i="6"/>
  <c r="Y140" i="6"/>
  <c r="X140" i="6"/>
  <c r="W140" i="6"/>
  <c r="V140" i="6"/>
  <c r="U140" i="6"/>
  <c r="T140" i="6"/>
  <c r="S140" i="6"/>
  <c r="R140" i="6"/>
  <c r="Q140" i="6"/>
  <c r="P140" i="6"/>
  <c r="O140" i="6"/>
  <c r="N140" i="6"/>
  <c r="M140" i="6"/>
  <c r="L140" i="6"/>
  <c r="K140" i="6"/>
  <c r="J140" i="6"/>
  <c r="H140" i="6"/>
  <c r="AC139" i="6"/>
  <c r="AB139" i="6"/>
  <c r="AA139" i="6"/>
  <c r="Z139" i="6"/>
  <c r="Y139" i="6"/>
  <c r="X139" i="6"/>
  <c r="W139" i="6"/>
  <c r="V139" i="6"/>
  <c r="U139" i="6"/>
  <c r="T139" i="6"/>
  <c r="S139" i="6"/>
  <c r="R139" i="6"/>
  <c r="Q139" i="6"/>
  <c r="P139" i="6"/>
  <c r="O139" i="6"/>
  <c r="N139" i="6"/>
  <c r="M139" i="6"/>
  <c r="L139" i="6"/>
  <c r="K139" i="6"/>
  <c r="J139" i="6"/>
  <c r="H139" i="6"/>
  <c r="AC138" i="6"/>
  <c r="AB138" i="6"/>
  <c r="AA138" i="6"/>
  <c r="Z138" i="6"/>
  <c r="Y138" i="6"/>
  <c r="X138" i="6"/>
  <c r="W138" i="6"/>
  <c r="V138" i="6"/>
  <c r="U138" i="6"/>
  <c r="T138" i="6"/>
  <c r="S138" i="6"/>
  <c r="R138" i="6"/>
  <c r="Q138" i="6"/>
  <c r="P138" i="6"/>
  <c r="O138" i="6"/>
  <c r="N138" i="6"/>
  <c r="M138" i="6"/>
  <c r="L138" i="6"/>
  <c r="K138" i="6"/>
  <c r="J138" i="6"/>
  <c r="H138" i="6"/>
  <c r="AC137" i="6"/>
  <c r="AB137" i="6"/>
  <c r="AA137" i="6"/>
  <c r="Z137" i="6"/>
  <c r="Y137" i="6"/>
  <c r="X137" i="6"/>
  <c r="W137" i="6"/>
  <c r="V137" i="6"/>
  <c r="U137" i="6"/>
  <c r="T137" i="6"/>
  <c r="S137" i="6"/>
  <c r="R137" i="6"/>
  <c r="Q137" i="6"/>
  <c r="P137" i="6"/>
  <c r="O137" i="6"/>
  <c r="N137" i="6"/>
  <c r="M137" i="6"/>
  <c r="L137" i="6"/>
  <c r="K137" i="6"/>
  <c r="J137" i="6"/>
  <c r="H137" i="6"/>
  <c r="AC136" i="6"/>
  <c r="AB136" i="6"/>
  <c r="AA136" i="6"/>
  <c r="Z136" i="6"/>
  <c r="Y136" i="6"/>
  <c r="X136" i="6"/>
  <c r="W136" i="6"/>
  <c r="V136" i="6"/>
  <c r="U136" i="6"/>
  <c r="T136" i="6"/>
  <c r="S136" i="6"/>
  <c r="R136" i="6"/>
  <c r="Q136" i="6"/>
  <c r="P136" i="6"/>
  <c r="O136" i="6"/>
  <c r="N136" i="6"/>
  <c r="M136" i="6"/>
  <c r="L136" i="6"/>
  <c r="K136" i="6"/>
  <c r="J136" i="6"/>
  <c r="H136" i="6"/>
  <c r="AC135" i="6"/>
  <c r="AB135" i="6"/>
  <c r="AA135" i="6"/>
  <c r="Z135" i="6"/>
  <c r="Y135" i="6"/>
  <c r="X135" i="6"/>
  <c r="W135" i="6"/>
  <c r="V135" i="6"/>
  <c r="U135" i="6"/>
  <c r="T135" i="6"/>
  <c r="S135" i="6"/>
  <c r="R135" i="6"/>
  <c r="Q135" i="6"/>
  <c r="P135" i="6"/>
  <c r="O135" i="6"/>
  <c r="N135" i="6"/>
  <c r="M135" i="6"/>
  <c r="L135" i="6"/>
  <c r="K135" i="6"/>
  <c r="J135" i="6"/>
  <c r="H135" i="6"/>
  <c r="AC134" i="6"/>
  <c r="AB134" i="6"/>
  <c r="AA134" i="6"/>
  <c r="Z134" i="6"/>
  <c r="Y134" i="6"/>
  <c r="X134" i="6"/>
  <c r="W134" i="6"/>
  <c r="V134" i="6"/>
  <c r="U134" i="6"/>
  <c r="T134" i="6"/>
  <c r="S134" i="6"/>
  <c r="R134" i="6"/>
  <c r="Q134" i="6"/>
  <c r="P134" i="6"/>
  <c r="O134" i="6"/>
  <c r="N134" i="6"/>
  <c r="M134" i="6"/>
  <c r="L134" i="6"/>
  <c r="K134" i="6"/>
  <c r="J134" i="6"/>
  <c r="H134" i="6"/>
  <c r="AC133" i="6"/>
  <c r="AB133" i="6"/>
  <c r="AA133" i="6"/>
  <c r="Z133" i="6"/>
  <c r="Y133" i="6"/>
  <c r="X133" i="6"/>
  <c r="W133" i="6"/>
  <c r="V133" i="6"/>
  <c r="U133" i="6"/>
  <c r="T133" i="6"/>
  <c r="S133" i="6"/>
  <c r="R133" i="6"/>
  <c r="Q133" i="6"/>
  <c r="P133" i="6"/>
  <c r="O133" i="6"/>
  <c r="N133" i="6"/>
  <c r="M133" i="6"/>
  <c r="L133" i="6"/>
  <c r="K133" i="6"/>
  <c r="J133" i="6"/>
  <c r="H133" i="6"/>
  <c r="AC132" i="6"/>
  <c r="AB132" i="6"/>
  <c r="AA132" i="6"/>
  <c r="Z132" i="6"/>
  <c r="Y132" i="6"/>
  <c r="X132" i="6"/>
  <c r="W132" i="6"/>
  <c r="V132" i="6"/>
  <c r="U132" i="6"/>
  <c r="T132" i="6"/>
  <c r="S132" i="6"/>
  <c r="R132" i="6"/>
  <c r="Q132" i="6"/>
  <c r="P132" i="6"/>
  <c r="O132" i="6"/>
  <c r="N132" i="6"/>
  <c r="M132" i="6"/>
  <c r="L132" i="6"/>
  <c r="K132" i="6"/>
  <c r="J132" i="6"/>
  <c r="H132" i="6"/>
  <c r="AC131" i="6"/>
  <c r="AB131" i="6"/>
  <c r="AA131" i="6"/>
  <c r="Z131" i="6"/>
  <c r="Y131" i="6"/>
  <c r="X131" i="6"/>
  <c r="W131" i="6"/>
  <c r="V131" i="6"/>
  <c r="U131" i="6"/>
  <c r="T131" i="6"/>
  <c r="S131" i="6"/>
  <c r="R131" i="6"/>
  <c r="Q131" i="6"/>
  <c r="P131" i="6"/>
  <c r="O131" i="6"/>
  <c r="N131" i="6"/>
  <c r="M131" i="6"/>
  <c r="L131" i="6"/>
  <c r="K131" i="6"/>
  <c r="J131" i="6"/>
  <c r="H131" i="6"/>
  <c r="AC130" i="6"/>
  <c r="AB130" i="6"/>
  <c r="AA130" i="6"/>
  <c r="Z130" i="6"/>
  <c r="Y130" i="6"/>
  <c r="X130" i="6"/>
  <c r="W130" i="6"/>
  <c r="V130" i="6"/>
  <c r="U130" i="6"/>
  <c r="T130" i="6"/>
  <c r="S130" i="6"/>
  <c r="R130" i="6"/>
  <c r="Q130" i="6"/>
  <c r="P130" i="6"/>
  <c r="O130" i="6"/>
  <c r="N130" i="6"/>
  <c r="M130" i="6"/>
  <c r="L130" i="6"/>
  <c r="K130" i="6"/>
  <c r="J130" i="6"/>
  <c r="H130" i="6"/>
  <c r="AC129" i="6"/>
  <c r="AB129" i="6"/>
  <c r="AA129" i="6"/>
  <c r="Z129" i="6"/>
  <c r="Y129" i="6"/>
  <c r="X129" i="6"/>
  <c r="W129" i="6"/>
  <c r="V129" i="6"/>
  <c r="U129" i="6"/>
  <c r="T129" i="6"/>
  <c r="S129" i="6"/>
  <c r="R129" i="6"/>
  <c r="Q129" i="6"/>
  <c r="P129" i="6"/>
  <c r="O129" i="6"/>
  <c r="N129" i="6"/>
  <c r="M129" i="6"/>
  <c r="L129" i="6"/>
  <c r="K129" i="6"/>
  <c r="J129" i="6"/>
  <c r="H129" i="6"/>
  <c r="AG128" i="6"/>
  <c r="AF128" i="6"/>
  <c r="AE128" i="6"/>
  <c r="AD128" i="6"/>
  <c r="AC128" i="6"/>
  <c r="AB128" i="6"/>
  <c r="AA128" i="6"/>
  <c r="Z128" i="6"/>
  <c r="Y128" i="6"/>
  <c r="X128" i="6"/>
  <c r="W128" i="6"/>
  <c r="V128" i="6"/>
  <c r="U128" i="6"/>
  <c r="T128" i="6"/>
  <c r="S128" i="6"/>
  <c r="R128" i="6"/>
  <c r="Q128" i="6"/>
  <c r="P128" i="6"/>
  <c r="O128" i="6"/>
  <c r="N128" i="6"/>
  <c r="M128" i="6"/>
  <c r="L128" i="6"/>
  <c r="K128" i="6"/>
  <c r="J128" i="6"/>
  <c r="H128" i="6"/>
  <c r="AG127" i="6"/>
  <c r="AF127" i="6"/>
  <c r="AE127" i="6"/>
  <c r="AD127" i="6"/>
  <c r="AC127" i="6"/>
  <c r="AB127" i="6"/>
  <c r="AA127" i="6"/>
  <c r="Z127" i="6"/>
  <c r="Y127" i="6"/>
  <c r="X127" i="6"/>
  <c r="W127" i="6"/>
  <c r="V127" i="6"/>
  <c r="U127" i="6"/>
  <c r="T127" i="6"/>
  <c r="S127" i="6"/>
  <c r="R127" i="6"/>
  <c r="Q127" i="6"/>
  <c r="P127" i="6"/>
  <c r="O127" i="6"/>
  <c r="N127" i="6"/>
  <c r="M127" i="6"/>
  <c r="L127" i="6"/>
  <c r="K127" i="6"/>
  <c r="J127" i="6"/>
  <c r="H127" i="6"/>
  <c r="AG126" i="6"/>
  <c r="AF126" i="6"/>
  <c r="AE126" i="6"/>
  <c r="AD126" i="6"/>
  <c r="AC126" i="6"/>
  <c r="AB126" i="6"/>
  <c r="AA126" i="6"/>
  <c r="Z126" i="6"/>
  <c r="Y126" i="6"/>
  <c r="X126" i="6"/>
  <c r="W126" i="6"/>
  <c r="V126" i="6"/>
  <c r="U126" i="6"/>
  <c r="T126" i="6"/>
  <c r="S126" i="6"/>
  <c r="R126" i="6"/>
  <c r="Q126" i="6"/>
  <c r="P126" i="6"/>
  <c r="O126" i="6"/>
  <c r="N126" i="6"/>
  <c r="M126" i="6"/>
  <c r="L126" i="6"/>
  <c r="K126" i="6"/>
  <c r="J126" i="6"/>
  <c r="H126" i="6"/>
  <c r="AG125" i="6"/>
  <c r="AF125" i="6"/>
  <c r="AE125" i="6"/>
  <c r="AD125" i="6"/>
  <c r="AC125" i="6"/>
  <c r="AB125" i="6"/>
  <c r="AA125" i="6"/>
  <c r="Z125" i="6"/>
  <c r="Y125" i="6"/>
  <c r="X125" i="6"/>
  <c r="W125" i="6"/>
  <c r="V125" i="6"/>
  <c r="U125" i="6"/>
  <c r="T125" i="6"/>
  <c r="S125" i="6"/>
  <c r="R125" i="6"/>
  <c r="Q125" i="6"/>
  <c r="P125" i="6"/>
  <c r="O125" i="6"/>
  <c r="N125" i="6"/>
  <c r="M125" i="6"/>
  <c r="L125" i="6"/>
  <c r="K125" i="6"/>
  <c r="J125" i="6"/>
  <c r="H125" i="6"/>
  <c r="AG124" i="6"/>
  <c r="AF124" i="6"/>
  <c r="AE124" i="6"/>
  <c r="AD124" i="6"/>
  <c r="AC124" i="6"/>
  <c r="AB124" i="6"/>
  <c r="AA124" i="6"/>
  <c r="Z124" i="6"/>
  <c r="Y124" i="6"/>
  <c r="X124" i="6"/>
  <c r="W124" i="6"/>
  <c r="V124" i="6"/>
  <c r="U124" i="6"/>
  <c r="T124" i="6"/>
  <c r="S124" i="6"/>
  <c r="R124" i="6"/>
  <c r="Q124" i="6"/>
  <c r="P124" i="6"/>
  <c r="O124" i="6"/>
  <c r="N124" i="6"/>
  <c r="M124" i="6"/>
  <c r="L124" i="6"/>
  <c r="K124" i="6"/>
  <c r="J124" i="6"/>
  <c r="H124" i="6"/>
  <c r="AC123" i="6"/>
  <c r="AB123" i="6"/>
  <c r="AA123" i="6"/>
  <c r="Z123" i="6"/>
  <c r="Y123" i="6"/>
  <c r="X123" i="6"/>
  <c r="W123" i="6"/>
  <c r="V123" i="6"/>
  <c r="U123" i="6"/>
  <c r="T123" i="6"/>
  <c r="S123" i="6"/>
  <c r="R123" i="6"/>
  <c r="Q123" i="6"/>
  <c r="P123" i="6"/>
  <c r="O123" i="6"/>
  <c r="N123" i="6"/>
  <c r="M123" i="6"/>
  <c r="L123" i="6"/>
  <c r="K123" i="6"/>
  <c r="J123" i="6"/>
  <c r="H123" i="6"/>
  <c r="AC122" i="6"/>
  <c r="AB122" i="6"/>
  <c r="AA122" i="6"/>
  <c r="Z122" i="6"/>
  <c r="Y122" i="6"/>
  <c r="X122" i="6"/>
  <c r="W122" i="6"/>
  <c r="V122" i="6"/>
  <c r="U122" i="6"/>
  <c r="T122" i="6"/>
  <c r="S122" i="6"/>
  <c r="R122" i="6"/>
  <c r="Q122" i="6"/>
  <c r="P122" i="6"/>
  <c r="O122" i="6"/>
  <c r="N122" i="6"/>
  <c r="M122" i="6"/>
  <c r="L122" i="6"/>
  <c r="K122" i="6"/>
  <c r="J122" i="6"/>
  <c r="H122" i="6"/>
  <c r="AC121" i="6"/>
  <c r="AB121" i="6"/>
  <c r="AA121" i="6"/>
  <c r="Z121" i="6"/>
  <c r="Y121" i="6"/>
  <c r="X121" i="6"/>
  <c r="W121" i="6"/>
  <c r="V121" i="6"/>
  <c r="U121" i="6"/>
  <c r="T121" i="6"/>
  <c r="S121" i="6"/>
  <c r="R121" i="6"/>
  <c r="Q121" i="6"/>
  <c r="P121" i="6"/>
  <c r="O121" i="6"/>
  <c r="N121" i="6"/>
  <c r="M121" i="6"/>
  <c r="L121" i="6"/>
  <c r="K121" i="6"/>
  <c r="J121" i="6"/>
  <c r="H121" i="6"/>
  <c r="AC120" i="6"/>
  <c r="AB120" i="6"/>
  <c r="AA120" i="6"/>
  <c r="Z120" i="6"/>
  <c r="Y120" i="6"/>
  <c r="X120" i="6"/>
  <c r="W120" i="6"/>
  <c r="V120" i="6"/>
  <c r="U120" i="6"/>
  <c r="T120" i="6"/>
  <c r="S120" i="6"/>
  <c r="R120" i="6"/>
  <c r="Q120" i="6"/>
  <c r="P120" i="6"/>
  <c r="O120" i="6"/>
  <c r="N120" i="6"/>
  <c r="M120" i="6"/>
  <c r="L120" i="6"/>
  <c r="K120" i="6"/>
  <c r="J120" i="6"/>
  <c r="H120" i="6"/>
  <c r="AC119" i="6"/>
  <c r="AB119" i="6"/>
  <c r="AA119" i="6"/>
  <c r="Z119" i="6"/>
  <c r="Y119" i="6"/>
  <c r="X119" i="6"/>
  <c r="W119" i="6"/>
  <c r="V119" i="6"/>
  <c r="U119" i="6"/>
  <c r="T119" i="6"/>
  <c r="S119" i="6"/>
  <c r="R119" i="6"/>
  <c r="Q119" i="6"/>
  <c r="P119" i="6"/>
  <c r="O119" i="6"/>
  <c r="N119" i="6"/>
  <c r="M119" i="6"/>
  <c r="L119" i="6"/>
  <c r="K119" i="6"/>
  <c r="J119" i="6"/>
  <c r="H119" i="6"/>
  <c r="AC118" i="6"/>
  <c r="AB118" i="6"/>
  <c r="AA118" i="6"/>
  <c r="Z118" i="6"/>
  <c r="Y118" i="6"/>
  <c r="X118" i="6"/>
  <c r="W118" i="6"/>
  <c r="V118" i="6"/>
  <c r="U118" i="6"/>
  <c r="T118" i="6"/>
  <c r="S118" i="6"/>
  <c r="R118" i="6"/>
  <c r="Q118" i="6"/>
  <c r="P118" i="6"/>
  <c r="O118" i="6"/>
  <c r="N118" i="6"/>
  <c r="M118" i="6"/>
  <c r="L118" i="6"/>
  <c r="K118" i="6"/>
  <c r="J118" i="6"/>
  <c r="H118" i="6"/>
  <c r="AC117" i="6"/>
  <c r="AB117" i="6"/>
  <c r="AA117" i="6"/>
  <c r="Z117" i="6"/>
  <c r="Y117" i="6"/>
  <c r="X117" i="6"/>
  <c r="W117" i="6"/>
  <c r="V117" i="6"/>
  <c r="U117" i="6"/>
  <c r="T117" i="6"/>
  <c r="S117" i="6"/>
  <c r="R117" i="6"/>
  <c r="Q117" i="6"/>
  <c r="P117" i="6"/>
  <c r="O117" i="6"/>
  <c r="N117" i="6"/>
  <c r="M117" i="6"/>
  <c r="L117" i="6"/>
  <c r="K117" i="6"/>
  <c r="J117" i="6"/>
  <c r="H117" i="6"/>
  <c r="AC116" i="6"/>
  <c r="AB116" i="6"/>
  <c r="AA116" i="6"/>
  <c r="Z116" i="6"/>
  <c r="Y116" i="6"/>
  <c r="X116" i="6"/>
  <c r="W116" i="6"/>
  <c r="V116" i="6"/>
  <c r="U116" i="6"/>
  <c r="T116" i="6"/>
  <c r="S116" i="6"/>
  <c r="R116" i="6"/>
  <c r="Q116" i="6"/>
  <c r="P116" i="6"/>
  <c r="O116" i="6"/>
  <c r="N116" i="6"/>
  <c r="M116" i="6"/>
  <c r="L116" i="6"/>
  <c r="K116" i="6"/>
  <c r="J116" i="6"/>
  <c r="H116" i="6"/>
  <c r="AC115" i="6"/>
  <c r="AB115" i="6"/>
  <c r="AA115" i="6"/>
  <c r="Z115" i="6"/>
  <c r="Y115" i="6"/>
  <c r="X115" i="6"/>
  <c r="W115" i="6"/>
  <c r="V115" i="6"/>
  <c r="U115" i="6"/>
  <c r="T115" i="6"/>
  <c r="S115" i="6"/>
  <c r="R115" i="6"/>
  <c r="Q115" i="6"/>
  <c r="P115" i="6"/>
  <c r="O115" i="6"/>
  <c r="N115" i="6"/>
  <c r="M115" i="6"/>
  <c r="L115" i="6"/>
  <c r="K115" i="6"/>
  <c r="J115" i="6"/>
  <c r="H115" i="6"/>
  <c r="AG114" i="6"/>
  <c r="AF114" i="6"/>
  <c r="AE114" i="6"/>
  <c r="AD114" i="6"/>
  <c r="AC114" i="6"/>
  <c r="AB114" i="6"/>
  <c r="AA114" i="6"/>
  <c r="Z114" i="6"/>
  <c r="Y114" i="6"/>
  <c r="X114" i="6"/>
  <c r="W114" i="6"/>
  <c r="V114" i="6"/>
  <c r="U114" i="6"/>
  <c r="T114" i="6"/>
  <c r="S114" i="6"/>
  <c r="R114" i="6"/>
  <c r="Q114" i="6"/>
  <c r="P114" i="6"/>
  <c r="O114" i="6"/>
  <c r="N114" i="6"/>
  <c r="M114" i="6"/>
  <c r="L114" i="6"/>
  <c r="K114" i="6"/>
  <c r="J114" i="6"/>
  <c r="H114" i="6"/>
  <c r="AC113" i="6"/>
  <c r="AB113" i="6"/>
  <c r="AA113" i="6"/>
  <c r="Z113" i="6"/>
  <c r="Y113" i="6"/>
  <c r="X113" i="6"/>
  <c r="W113" i="6"/>
  <c r="V113" i="6"/>
  <c r="U113" i="6"/>
  <c r="T113" i="6"/>
  <c r="S113" i="6"/>
  <c r="R113" i="6"/>
  <c r="Q113" i="6"/>
  <c r="P113" i="6"/>
  <c r="O113" i="6"/>
  <c r="N113" i="6"/>
  <c r="M113" i="6"/>
  <c r="L113" i="6"/>
  <c r="K113" i="6"/>
  <c r="J113" i="6"/>
  <c r="H113" i="6"/>
  <c r="AC112" i="6"/>
  <c r="AB112" i="6"/>
  <c r="AA112" i="6"/>
  <c r="Z112" i="6"/>
  <c r="Y112" i="6"/>
  <c r="X112" i="6"/>
  <c r="W112" i="6"/>
  <c r="V112" i="6"/>
  <c r="U112" i="6"/>
  <c r="T112" i="6"/>
  <c r="S112" i="6"/>
  <c r="R112" i="6"/>
  <c r="Q112" i="6"/>
  <c r="P112" i="6"/>
  <c r="O112" i="6"/>
  <c r="N112" i="6"/>
  <c r="M112" i="6"/>
  <c r="L112" i="6"/>
  <c r="K112" i="6"/>
  <c r="J112" i="6"/>
  <c r="H112" i="6"/>
  <c r="AG111" i="6"/>
  <c r="AF111" i="6"/>
  <c r="AE111" i="6"/>
  <c r="AD111" i="6"/>
  <c r="AC111" i="6"/>
  <c r="AB111" i="6"/>
  <c r="AA111" i="6"/>
  <c r="Z111" i="6"/>
  <c r="Y111" i="6"/>
  <c r="X111" i="6"/>
  <c r="W111" i="6"/>
  <c r="V111" i="6"/>
  <c r="U111" i="6"/>
  <c r="T111" i="6"/>
  <c r="S111" i="6"/>
  <c r="R111" i="6"/>
  <c r="Q111" i="6"/>
  <c r="P111" i="6"/>
  <c r="O111" i="6"/>
  <c r="N111" i="6"/>
  <c r="M111" i="6"/>
  <c r="L111" i="6"/>
  <c r="K111" i="6"/>
  <c r="J111" i="6"/>
  <c r="H111" i="6"/>
  <c r="AG110" i="6"/>
  <c r="AF110" i="6"/>
  <c r="AE110" i="6"/>
  <c r="AD110" i="6"/>
  <c r="AC110" i="6"/>
  <c r="AB110" i="6"/>
  <c r="AA110" i="6"/>
  <c r="Z110" i="6"/>
  <c r="Y110" i="6"/>
  <c r="X110" i="6"/>
  <c r="W110" i="6"/>
  <c r="V110" i="6"/>
  <c r="U110" i="6"/>
  <c r="T110" i="6"/>
  <c r="S110" i="6"/>
  <c r="R110" i="6"/>
  <c r="Q110" i="6"/>
  <c r="P110" i="6"/>
  <c r="O110" i="6"/>
  <c r="N110" i="6"/>
  <c r="M110" i="6"/>
  <c r="L110" i="6"/>
  <c r="K110" i="6"/>
  <c r="J110" i="6"/>
  <c r="H110" i="6"/>
  <c r="AG109" i="6"/>
  <c r="AF109" i="6"/>
  <c r="AE109" i="6"/>
  <c r="AD109" i="6"/>
  <c r="AC109" i="6"/>
  <c r="AB109" i="6"/>
  <c r="AA109" i="6"/>
  <c r="Z109" i="6"/>
  <c r="Y109" i="6"/>
  <c r="X109" i="6"/>
  <c r="W109" i="6"/>
  <c r="V109" i="6"/>
  <c r="U109" i="6"/>
  <c r="T109" i="6"/>
  <c r="S109" i="6"/>
  <c r="R109" i="6"/>
  <c r="Q109" i="6"/>
  <c r="P109" i="6"/>
  <c r="O109" i="6"/>
  <c r="N109" i="6"/>
  <c r="M109" i="6"/>
  <c r="L109" i="6"/>
  <c r="K109" i="6"/>
  <c r="J109" i="6"/>
  <c r="H109" i="6"/>
  <c r="AC108" i="6"/>
  <c r="AB108" i="6"/>
  <c r="AA108" i="6"/>
  <c r="Z108" i="6"/>
  <c r="Y108" i="6"/>
  <c r="X108" i="6"/>
  <c r="W108" i="6"/>
  <c r="V108" i="6"/>
  <c r="U108" i="6"/>
  <c r="T108" i="6"/>
  <c r="S108" i="6"/>
  <c r="R108" i="6"/>
  <c r="Q108" i="6"/>
  <c r="P108" i="6"/>
  <c r="O108" i="6"/>
  <c r="N108" i="6"/>
  <c r="M108" i="6"/>
  <c r="L108" i="6"/>
  <c r="K108" i="6"/>
  <c r="J108" i="6"/>
  <c r="H108" i="6"/>
  <c r="AC107" i="6"/>
  <c r="AB107" i="6"/>
  <c r="AA107" i="6"/>
  <c r="Z107" i="6"/>
  <c r="Y107" i="6"/>
  <c r="X107" i="6"/>
  <c r="W107" i="6"/>
  <c r="V107" i="6"/>
  <c r="U107" i="6"/>
  <c r="T107" i="6"/>
  <c r="S107" i="6"/>
  <c r="R107" i="6"/>
  <c r="Q107" i="6"/>
  <c r="P107" i="6"/>
  <c r="O107" i="6"/>
  <c r="N107" i="6"/>
  <c r="M107" i="6"/>
  <c r="L107" i="6"/>
  <c r="K107" i="6"/>
  <c r="J107" i="6"/>
  <c r="H107" i="6"/>
  <c r="AC106" i="6"/>
  <c r="AB106" i="6"/>
  <c r="AA106" i="6"/>
  <c r="Z106" i="6"/>
  <c r="Y106" i="6"/>
  <c r="X106" i="6"/>
  <c r="W106" i="6"/>
  <c r="V106" i="6"/>
  <c r="U106" i="6"/>
  <c r="T106" i="6"/>
  <c r="S106" i="6"/>
  <c r="R106" i="6"/>
  <c r="Q106" i="6"/>
  <c r="P106" i="6"/>
  <c r="O106" i="6"/>
  <c r="N106" i="6"/>
  <c r="M106" i="6"/>
  <c r="L106" i="6"/>
  <c r="K106" i="6"/>
  <c r="J106" i="6"/>
  <c r="H106" i="6"/>
  <c r="AC105" i="6"/>
  <c r="AB105" i="6"/>
  <c r="AA105" i="6"/>
  <c r="Z105" i="6"/>
  <c r="Y105" i="6"/>
  <c r="X105" i="6"/>
  <c r="W105" i="6"/>
  <c r="V105" i="6"/>
  <c r="U105" i="6"/>
  <c r="T105" i="6"/>
  <c r="S105" i="6"/>
  <c r="R105" i="6"/>
  <c r="Q105" i="6"/>
  <c r="P105" i="6"/>
  <c r="O105" i="6"/>
  <c r="N105" i="6"/>
  <c r="M105" i="6"/>
  <c r="L105" i="6"/>
  <c r="K105" i="6"/>
  <c r="J105" i="6"/>
  <c r="H105" i="6"/>
  <c r="AC104" i="6"/>
  <c r="AB104" i="6"/>
  <c r="AA104" i="6"/>
  <c r="Z104" i="6"/>
  <c r="Y104" i="6"/>
  <c r="X104" i="6"/>
  <c r="W104" i="6"/>
  <c r="V104" i="6"/>
  <c r="U104" i="6"/>
  <c r="T104" i="6"/>
  <c r="S104" i="6"/>
  <c r="R104" i="6"/>
  <c r="Q104" i="6"/>
  <c r="P104" i="6"/>
  <c r="O104" i="6"/>
  <c r="N104" i="6"/>
  <c r="M104" i="6"/>
  <c r="L104" i="6"/>
  <c r="K104" i="6"/>
  <c r="J104" i="6"/>
  <c r="H104" i="6"/>
  <c r="AC103" i="6"/>
  <c r="AB103" i="6"/>
  <c r="AA103" i="6"/>
  <c r="Z103" i="6"/>
  <c r="Y103" i="6"/>
  <c r="X103" i="6"/>
  <c r="W103" i="6"/>
  <c r="V103" i="6"/>
  <c r="U103" i="6"/>
  <c r="T103" i="6"/>
  <c r="S103" i="6"/>
  <c r="R103" i="6"/>
  <c r="Q103" i="6"/>
  <c r="P103" i="6"/>
  <c r="O103" i="6"/>
  <c r="N103" i="6"/>
  <c r="M103" i="6"/>
  <c r="L103" i="6"/>
  <c r="K103" i="6"/>
  <c r="J103" i="6"/>
  <c r="H103" i="6"/>
  <c r="AC102" i="6"/>
  <c r="AB102" i="6"/>
  <c r="AA102" i="6"/>
  <c r="Z102" i="6"/>
  <c r="Y102" i="6"/>
  <c r="X102" i="6"/>
  <c r="W102" i="6"/>
  <c r="V102" i="6"/>
  <c r="U102" i="6"/>
  <c r="T102" i="6"/>
  <c r="S102" i="6"/>
  <c r="R102" i="6"/>
  <c r="Q102" i="6"/>
  <c r="P102" i="6"/>
  <c r="O102" i="6"/>
  <c r="N102" i="6"/>
  <c r="M102" i="6"/>
  <c r="L102" i="6"/>
  <c r="K102" i="6"/>
  <c r="J102" i="6"/>
  <c r="H102" i="6"/>
  <c r="AC101" i="6"/>
  <c r="AB101" i="6"/>
  <c r="AA101" i="6"/>
  <c r="Z101" i="6"/>
  <c r="Y101" i="6"/>
  <c r="X101" i="6"/>
  <c r="W101" i="6"/>
  <c r="V101" i="6"/>
  <c r="U101" i="6"/>
  <c r="T101" i="6"/>
  <c r="S101" i="6"/>
  <c r="R101" i="6"/>
  <c r="Q101" i="6"/>
  <c r="P101" i="6"/>
  <c r="O101" i="6"/>
  <c r="N101" i="6"/>
  <c r="M101" i="6"/>
  <c r="L101" i="6"/>
  <c r="K101" i="6"/>
  <c r="J101" i="6"/>
  <c r="H101" i="6"/>
  <c r="AC100" i="6"/>
  <c r="AB100" i="6"/>
  <c r="AA100" i="6"/>
  <c r="Z100" i="6"/>
  <c r="Y100" i="6"/>
  <c r="X100" i="6"/>
  <c r="W100" i="6"/>
  <c r="V100" i="6"/>
  <c r="U100" i="6"/>
  <c r="T100" i="6"/>
  <c r="S100" i="6"/>
  <c r="R100" i="6"/>
  <c r="Q100" i="6"/>
  <c r="P100" i="6"/>
  <c r="O100" i="6"/>
  <c r="N100" i="6"/>
  <c r="M100" i="6"/>
  <c r="L100" i="6"/>
  <c r="K100" i="6"/>
  <c r="J100" i="6"/>
  <c r="H100" i="6"/>
  <c r="AC99" i="6"/>
  <c r="AB99" i="6"/>
  <c r="AA99" i="6"/>
  <c r="Z99" i="6"/>
  <c r="Y99" i="6"/>
  <c r="X99" i="6"/>
  <c r="W99" i="6"/>
  <c r="V99" i="6"/>
  <c r="U99" i="6"/>
  <c r="T99" i="6"/>
  <c r="S99" i="6"/>
  <c r="R99" i="6"/>
  <c r="Q99" i="6"/>
  <c r="P99" i="6"/>
  <c r="O99" i="6"/>
  <c r="N99" i="6"/>
  <c r="M99" i="6"/>
  <c r="L99" i="6"/>
  <c r="K99" i="6"/>
  <c r="J99" i="6"/>
  <c r="H99" i="6"/>
  <c r="AC98" i="6"/>
  <c r="AB98" i="6"/>
  <c r="AA98" i="6"/>
  <c r="Z98" i="6"/>
  <c r="Y98" i="6"/>
  <c r="X98" i="6"/>
  <c r="W98" i="6"/>
  <c r="V98" i="6"/>
  <c r="U98" i="6"/>
  <c r="T98" i="6"/>
  <c r="S98" i="6"/>
  <c r="R98" i="6"/>
  <c r="Q98" i="6"/>
  <c r="P98" i="6"/>
  <c r="O98" i="6"/>
  <c r="N98" i="6"/>
  <c r="M98" i="6"/>
  <c r="L98" i="6"/>
  <c r="K98" i="6"/>
  <c r="J98" i="6"/>
  <c r="H98" i="6"/>
  <c r="AC97" i="6"/>
  <c r="AB97" i="6"/>
  <c r="AA97" i="6"/>
  <c r="Z97" i="6"/>
  <c r="Y97" i="6"/>
  <c r="X97" i="6"/>
  <c r="W97" i="6"/>
  <c r="V97" i="6"/>
  <c r="U97" i="6"/>
  <c r="T97" i="6"/>
  <c r="S97" i="6"/>
  <c r="R97" i="6"/>
  <c r="Q97" i="6"/>
  <c r="P97" i="6"/>
  <c r="O97" i="6"/>
  <c r="N97" i="6"/>
  <c r="M97" i="6"/>
  <c r="L97" i="6"/>
  <c r="K97" i="6"/>
  <c r="J97" i="6"/>
  <c r="H97" i="6"/>
  <c r="AG96" i="6"/>
  <c r="AF96" i="6"/>
  <c r="AE96" i="6"/>
  <c r="AD96" i="6"/>
  <c r="AC96" i="6"/>
  <c r="AB96" i="6"/>
  <c r="AA96" i="6"/>
  <c r="Z96" i="6"/>
  <c r="Y96" i="6"/>
  <c r="X96" i="6"/>
  <c r="W96" i="6"/>
  <c r="V96" i="6"/>
  <c r="U96" i="6"/>
  <c r="T96" i="6"/>
  <c r="S96" i="6"/>
  <c r="R96" i="6"/>
  <c r="Q96" i="6"/>
  <c r="P96" i="6"/>
  <c r="O96" i="6"/>
  <c r="N96" i="6"/>
  <c r="M96" i="6"/>
  <c r="L96" i="6"/>
  <c r="K96" i="6"/>
  <c r="J96" i="6"/>
  <c r="H96" i="6"/>
  <c r="AG95" i="6"/>
  <c r="AF95" i="6"/>
  <c r="AE95" i="6"/>
  <c r="AD95" i="6"/>
  <c r="AC95" i="6"/>
  <c r="AB95" i="6"/>
  <c r="AA95" i="6"/>
  <c r="Z95" i="6"/>
  <c r="Y95" i="6"/>
  <c r="X95" i="6"/>
  <c r="W95" i="6"/>
  <c r="V95" i="6"/>
  <c r="U95" i="6"/>
  <c r="T95" i="6"/>
  <c r="S95" i="6"/>
  <c r="R95" i="6"/>
  <c r="Q95" i="6"/>
  <c r="P95" i="6"/>
  <c r="O95" i="6"/>
  <c r="N95" i="6"/>
  <c r="M95" i="6"/>
  <c r="L95" i="6"/>
  <c r="K95" i="6"/>
  <c r="J95" i="6"/>
  <c r="H95" i="6"/>
  <c r="AG94" i="6"/>
  <c r="AF94" i="6"/>
  <c r="AE94" i="6"/>
  <c r="AD94" i="6"/>
  <c r="AC94" i="6"/>
  <c r="AB94" i="6"/>
  <c r="AA94" i="6"/>
  <c r="Z94" i="6"/>
  <c r="Y94" i="6"/>
  <c r="X94" i="6"/>
  <c r="W94" i="6"/>
  <c r="V94" i="6"/>
  <c r="U94" i="6"/>
  <c r="T94" i="6"/>
  <c r="S94" i="6"/>
  <c r="R94" i="6"/>
  <c r="Q94" i="6"/>
  <c r="P94" i="6"/>
  <c r="O94" i="6"/>
  <c r="N94" i="6"/>
  <c r="M94" i="6"/>
  <c r="L94" i="6"/>
  <c r="K94" i="6"/>
  <c r="J94" i="6"/>
  <c r="H94" i="6"/>
  <c r="AG93" i="6"/>
  <c r="AF93" i="6"/>
  <c r="AE93" i="6"/>
  <c r="AD93" i="6"/>
  <c r="AC93" i="6"/>
  <c r="AB93" i="6"/>
  <c r="AA93" i="6"/>
  <c r="Z93" i="6"/>
  <c r="Y93" i="6"/>
  <c r="X93" i="6"/>
  <c r="W93" i="6"/>
  <c r="V93" i="6"/>
  <c r="U93" i="6"/>
  <c r="T93" i="6"/>
  <c r="S93" i="6"/>
  <c r="R93" i="6"/>
  <c r="Q93" i="6"/>
  <c r="P93" i="6"/>
  <c r="O93" i="6"/>
  <c r="N93" i="6"/>
  <c r="M93" i="6"/>
  <c r="L93" i="6"/>
  <c r="K93" i="6"/>
  <c r="J93" i="6"/>
  <c r="H93" i="6"/>
  <c r="AG92" i="6"/>
  <c r="AF92" i="6"/>
  <c r="AE92" i="6"/>
  <c r="AD92" i="6"/>
  <c r="AC92" i="6"/>
  <c r="AB92" i="6"/>
  <c r="AA92" i="6"/>
  <c r="Z92" i="6"/>
  <c r="Y92" i="6"/>
  <c r="X92" i="6"/>
  <c r="W92" i="6"/>
  <c r="V92" i="6"/>
  <c r="U92" i="6"/>
  <c r="T92" i="6"/>
  <c r="S92" i="6"/>
  <c r="R92" i="6"/>
  <c r="Q92" i="6"/>
  <c r="P92" i="6"/>
  <c r="O92" i="6"/>
  <c r="N92" i="6"/>
  <c r="M92" i="6"/>
  <c r="L92" i="6"/>
  <c r="K92" i="6"/>
  <c r="J92" i="6"/>
  <c r="H92" i="6"/>
  <c r="AG91" i="6"/>
  <c r="AF91" i="6"/>
  <c r="AE91" i="6"/>
  <c r="AD91" i="6"/>
  <c r="AC91" i="6"/>
  <c r="AB91" i="6"/>
  <c r="AA91" i="6"/>
  <c r="Z91" i="6"/>
  <c r="Y91" i="6"/>
  <c r="X91" i="6"/>
  <c r="W91" i="6"/>
  <c r="V91" i="6"/>
  <c r="U91" i="6"/>
  <c r="T91" i="6"/>
  <c r="S91" i="6"/>
  <c r="R91" i="6"/>
  <c r="Q91" i="6"/>
  <c r="P91" i="6"/>
  <c r="O91" i="6"/>
  <c r="N91" i="6"/>
  <c r="M91" i="6"/>
  <c r="L91" i="6"/>
  <c r="K91" i="6"/>
  <c r="J91" i="6"/>
  <c r="H91" i="6"/>
  <c r="AG90" i="6"/>
  <c r="AF90" i="6"/>
  <c r="AE90" i="6"/>
  <c r="AD90" i="6"/>
  <c r="AC90" i="6"/>
  <c r="AB90" i="6"/>
  <c r="AA90" i="6"/>
  <c r="Z90" i="6"/>
  <c r="Y90" i="6"/>
  <c r="X90" i="6"/>
  <c r="W90" i="6"/>
  <c r="V90" i="6"/>
  <c r="U90" i="6"/>
  <c r="T90" i="6"/>
  <c r="S90" i="6"/>
  <c r="R90" i="6"/>
  <c r="Q90" i="6"/>
  <c r="P90" i="6"/>
  <c r="O90" i="6"/>
  <c r="N90" i="6"/>
  <c r="M90" i="6"/>
  <c r="L90" i="6"/>
  <c r="K90" i="6"/>
  <c r="J90" i="6"/>
  <c r="H90" i="6"/>
  <c r="AC89" i="6"/>
  <c r="AB89" i="6"/>
  <c r="AA89" i="6"/>
  <c r="Z89" i="6"/>
  <c r="Y89" i="6"/>
  <c r="X89" i="6"/>
  <c r="W89" i="6"/>
  <c r="V89" i="6"/>
  <c r="U89" i="6"/>
  <c r="T89" i="6"/>
  <c r="S89" i="6"/>
  <c r="R89" i="6"/>
  <c r="Q89" i="6"/>
  <c r="P89" i="6"/>
  <c r="O89" i="6"/>
  <c r="N89" i="6"/>
  <c r="M89" i="6"/>
  <c r="L89" i="6"/>
  <c r="K89" i="6"/>
  <c r="J89" i="6"/>
  <c r="H89" i="6"/>
  <c r="AC88" i="6"/>
  <c r="AB88" i="6"/>
  <c r="AA88" i="6"/>
  <c r="Z88" i="6"/>
  <c r="Y88" i="6"/>
  <c r="X88" i="6"/>
  <c r="W88" i="6"/>
  <c r="V88" i="6"/>
  <c r="U88" i="6"/>
  <c r="T88" i="6"/>
  <c r="S88" i="6"/>
  <c r="R88" i="6"/>
  <c r="Q88" i="6"/>
  <c r="P88" i="6"/>
  <c r="O88" i="6"/>
  <c r="N88" i="6"/>
  <c r="M88" i="6"/>
  <c r="L88" i="6"/>
  <c r="K88" i="6"/>
  <c r="J88" i="6"/>
  <c r="H88" i="6"/>
  <c r="AC87" i="6"/>
  <c r="AB87" i="6"/>
  <c r="AA87" i="6"/>
  <c r="Z87" i="6"/>
  <c r="Y87" i="6"/>
  <c r="X87" i="6"/>
  <c r="W87" i="6"/>
  <c r="V87" i="6"/>
  <c r="U87" i="6"/>
  <c r="T87" i="6"/>
  <c r="S87" i="6"/>
  <c r="R87" i="6"/>
  <c r="Q87" i="6"/>
  <c r="P87" i="6"/>
  <c r="O87" i="6"/>
  <c r="N87" i="6"/>
  <c r="M87" i="6"/>
  <c r="L87" i="6"/>
  <c r="K87" i="6"/>
  <c r="J87" i="6"/>
  <c r="H87" i="6"/>
  <c r="AC86" i="6"/>
  <c r="AB86" i="6"/>
  <c r="AA86" i="6"/>
  <c r="Z86" i="6"/>
  <c r="Y86" i="6"/>
  <c r="X86" i="6"/>
  <c r="W86" i="6"/>
  <c r="V86" i="6"/>
  <c r="U86" i="6"/>
  <c r="T86" i="6"/>
  <c r="S86" i="6"/>
  <c r="R86" i="6"/>
  <c r="Q86" i="6"/>
  <c r="P86" i="6"/>
  <c r="O86" i="6"/>
  <c r="N86" i="6"/>
  <c r="M86" i="6"/>
  <c r="L86" i="6"/>
  <c r="K86" i="6"/>
  <c r="J86" i="6"/>
  <c r="H86" i="6"/>
  <c r="AC85" i="6"/>
  <c r="AB85" i="6"/>
  <c r="AA85" i="6"/>
  <c r="Z85" i="6"/>
  <c r="Y85" i="6"/>
  <c r="X85" i="6"/>
  <c r="W85" i="6"/>
  <c r="V85" i="6"/>
  <c r="U85" i="6"/>
  <c r="T85" i="6"/>
  <c r="S85" i="6"/>
  <c r="R85" i="6"/>
  <c r="Q85" i="6"/>
  <c r="P85" i="6"/>
  <c r="O85" i="6"/>
  <c r="N85" i="6"/>
  <c r="M85" i="6"/>
  <c r="L85" i="6"/>
  <c r="K85" i="6"/>
  <c r="J85" i="6"/>
  <c r="H85" i="6"/>
  <c r="AC84" i="6"/>
  <c r="AB84" i="6"/>
  <c r="AA84" i="6"/>
  <c r="Z84" i="6"/>
  <c r="Y84" i="6"/>
  <c r="X84" i="6"/>
  <c r="W84" i="6"/>
  <c r="V84" i="6"/>
  <c r="U84" i="6"/>
  <c r="T84" i="6"/>
  <c r="S84" i="6"/>
  <c r="R84" i="6"/>
  <c r="Q84" i="6"/>
  <c r="P84" i="6"/>
  <c r="O84" i="6"/>
  <c r="N84" i="6"/>
  <c r="M84" i="6"/>
  <c r="L84" i="6"/>
  <c r="K84" i="6"/>
  <c r="J84" i="6"/>
  <c r="H84" i="6"/>
  <c r="AC83" i="6"/>
  <c r="AB83" i="6"/>
  <c r="AA83" i="6"/>
  <c r="Z83" i="6"/>
  <c r="Y83" i="6"/>
  <c r="X83" i="6"/>
  <c r="W83" i="6"/>
  <c r="V83" i="6"/>
  <c r="U83" i="6"/>
  <c r="T83" i="6"/>
  <c r="S83" i="6"/>
  <c r="R83" i="6"/>
  <c r="Q83" i="6"/>
  <c r="P83" i="6"/>
  <c r="O83" i="6"/>
  <c r="N83" i="6"/>
  <c r="M83" i="6"/>
  <c r="L83" i="6"/>
  <c r="K83" i="6"/>
  <c r="J83" i="6"/>
  <c r="H83" i="6"/>
  <c r="AC82" i="6"/>
  <c r="AB82" i="6"/>
  <c r="AA82" i="6"/>
  <c r="Z82" i="6"/>
  <c r="Y82" i="6"/>
  <c r="X82" i="6"/>
  <c r="W82" i="6"/>
  <c r="V82" i="6"/>
  <c r="U82" i="6"/>
  <c r="T82" i="6"/>
  <c r="S82" i="6"/>
  <c r="R82" i="6"/>
  <c r="Q82" i="6"/>
  <c r="P82" i="6"/>
  <c r="O82" i="6"/>
  <c r="N82" i="6"/>
  <c r="M82" i="6"/>
  <c r="L82" i="6"/>
  <c r="K82" i="6"/>
  <c r="J82" i="6"/>
  <c r="H82" i="6"/>
  <c r="AC81" i="6"/>
  <c r="AB81" i="6"/>
  <c r="AA81" i="6"/>
  <c r="Z81" i="6"/>
  <c r="Y81" i="6"/>
  <c r="X81" i="6"/>
  <c r="W81" i="6"/>
  <c r="V81" i="6"/>
  <c r="U81" i="6"/>
  <c r="T81" i="6"/>
  <c r="S81" i="6"/>
  <c r="R81" i="6"/>
  <c r="Q81" i="6"/>
  <c r="P81" i="6"/>
  <c r="O81" i="6"/>
  <c r="N81" i="6"/>
  <c r="M81" i="6"/>
  <c r="L81" i="6"/>
  <c r="K81" i="6"/>
  <c r="J81" i="6"/>
  <c r="H81" i="6"/>
  <c r="AC80" i="6"/>
  <c r="AB80" i="6"/>
  <c r="AA80" i="6"/>
  <c r="Z80" i="6"/>
  <c r="Y80" i="6"/>
  <c r="X80" i="6"/>
  <c r="W80" i="6"/>
  <c r="V80" i="6"/>
  <c r="U80" i="6"/>
  <c r="T80" i="6"/>
  <c r="S80" i="6"/>
  <c r="R80" i="6"/>
  <c r="Q80" i="6"/>
  <c r="P80" i="6"/>
  <c r="O80" i="6"/>
  <c r="N80" i="6"/>
  <c r="M80" i="6"/>
  <c r="L80" i="6"/>
  <c r="K80" i="6"/>
  <c r="J80" i="6"/>
  <c r="H80" i="6"/>
  <c r="AC79" i="6"/>
  <c r="AB79" i="6"/>
  <c r="AA79" i="6"/>
  <c r="Z79" i="6"/>
  <c r="Y79" i="6"/>
  <c r="X79" i="6"/>
  <c r="W79" i="6"/>
  <c r="V79" i="6"/>
  <c r="U79" i="6"/>
  <c r="T79" i="6"/>
  <c r="S79" i="6"/>
  <c r="R79" i="6"/>
  <c r="Q79" i="6"/>
  <c r="P79" i="6"/>
  <c r="O79" i="6"/>
  <c r="N79" i="6"/>
  <c r="M79" i="6"/>
  <c r="L79" i="6"/>
  <c r="K79" i="6"/>
  <c r="J79" i="6"/>
  <c r="H79" i="6"/>
  <c r="AC78" i="6"/>
  <c r="AB78" i="6"/>
  <c r="AA78" i="6"/>
  <c r="Z78" i="6"/>
  <c r="Y78" i="6"/>
  <c r="X78" i="6"/>
  <c r="W78" i="6"/>
  <c r="V78" i="6"/>
  <c r="U78" i="6"/>
  <c r="T78" i="6"/>
  <c r="S78" i="6"/>
  <c r="R78" i="6"/>
  <c r="Q78" i="6"/>
  <c r="P78" i="6"/>
  <c r="O78" i="6"/>
  <c r="N78" i="6"/>
  <c r="M78" i="6"/>
  <c r="L78" i="6"/>
  <c r="K78" i="6"/>
  <c r="J78" i="6"/>
  <c r="H78" i="6"/>
  <c r="AC77" i="6"/>
  <c r="AB77" i="6"/>
  <c r="AA77" i="6"/>
  <c r="Z77" i="6"/>
  <c r="Y77" i="6"/>
  <c r="X77" i="6"/>
  <c r="W77" i="6"/>
  <c r="V77" i="6"/>
  <c r="U77" i="6"/>
  <c r="T77" i="6"/>
  <c r="S77" i="6"/>
  <c r="R77" i="6"/>
  <c r="Q77" i="6"/>
  <c r="P77" i="6"/>
  <c r="O77" i="6"/>
  <c r="N77" i="6"/>
  <c r="M77" i="6"/>
  <c r="L77" i="6"/>
  <c r="K77" i="6"/>
  <c r="J77" i="6"/>
  <c r="H77" i="6"/>
  <c r="AC76" i="6"/>
  <c r="AB76" i="6"/>
  <c r="AA76" i="6"/>
  <c r="Z76" i="6"/>
  <c r="Y76" i="6"/>
  <c r="X76" i="6"/>
  <c r="W76" i="6"/>
  <c r="V76" i="6"/>
  <c r="U76" i="6"/>
  <c r="T76" i="6"/>
  <c r="S76" i="6"/>
  <c r="R76" i="6"/>
  <c r="Q76" i="6"/>
  <c r="P76" i="6"/>
  <c r="O76" i="6"/>
  <c r="N76" i="6"/>
  <c r="M76" i="6"/>
  <c r="L76" i="6"/>
  <c r="K76" i="6"/>
  <c r="J76" i="6"/>
  <c r="H76" i="6"/>
  <c r="AC75" i="6"/>
  <c r="AB75" i="6"/>
  <c r="AA75" i="6"/>
  <c r="Z75" i="6"/>
  <c r="Y75" i="6"/>
  <c r="X75" i="6"/>
  <c r="W75" i="6"/>
  <c r="V75" i="6"/>
  <c r="U75" i="6"/>
  <c r="T75" i="6"/>
  <c r="S75" i="6"/>
  <c r="R75" i="6"/>
  <c r="Q75" i="6"/>
  <c r="P75" i="6"/>
  <c r="O75" i="6"/>
  <c r="N75" i="6"/>
  <c r="M75" i="6"/>
  <c r="L75" i="6"/>
  <c r="K75" i="6"/>
  <c r="J75" i="6"/>
  <c r="H75" i="6"/>
  <c r="AC74" i="6"/>
  <c r="AB74" i="6"/>
  <c r="AA74" i="6"/>
  <c r="Z74" i="6"/>
  <c r="Y74" i="6"/>
  <c r="X74" i="6"/>
  <c r="W74" i="6"/>
  <c r="V74" i="6"/>
  <c r="U74" i="6"/>
  <c r="T74" i="6"/>
  <c r="S74" i="6"/>
  <c r="R74" i="6"/>
  <c r="Q74" i="6"/>
  <c r="P74" i="6"/>
  <c r="O74" i="6"/>
  <c r="N74" i="6"/>
  <c r="M74" i="6"/>
  <c r="L74" i="6"/>
  <c r="K74" i="6"/>
  <c r="J74" i="6"/>
  <c r="H74" i="6"/>
  <c r="AC73" i="6"/>
  <c r="AB73" i="6"/>
  <c r="AA73" i="6"/>
  <c r="Z73" i="6"/>
  <c r="Y73" i="6"/>
  <c r="X73" i="6"/>
  <c r="W73" i="6"/>
  <c r="V73" i="6"/>
  <c r="U73" i="6"/>
  <c r="T73" i="6"/>
  <c r="S73" i="6"/>
  <c r="R73" i="6"/>
  <c r="Q73" i="6"/>
  <c r="P73" i="6"/>
  <c r="O73" i="6"/>
  <c r="N73" i="6"/>
  <c r="M73" i="6"/>
  <c r="L73" i="6"/>
  <c r="K73" i="6"/>
  <c r="J73" i="6"/>
  <c r="H73" i="6"/>
  <c r="AC72" i="6"/>
  <c r="AB72" i="6"/>
  <c r="AA72" i="6"/>
  <c r="Z72" i="6"/>
  <c r="Y72" i="6"/>
  <c r="X72" i="6"/>
  <c r="W72" i="6"/>
  <c r="V72" i="6"/>
  <c r="U72" i="6"/>
  <c r="T72" i="6"/>
  <c r="S72" i="6"/>
  <c r="R72" i="6"/>
  <c r="Q72" i="6"/>
  <c r="P72" i="6"/>
  <c r="O72" i="6"/>
  <c r="N72" i="6"/>
  <c r="M72" i="6"/>
  <c r="L72" i="6"/>
  <c r="K72" i="6"/>
  <c r="J72" i="6"/>
  <c r="H72" i="6"/>
  <c r="AC71" i="6"/>
  <c r="AB71" i="6"/>
  <c r="AA71" i="6"/>
  <c r="Z71" i="6"/>
  <c r="Y71" i="6"/>
  <c r="X71" i="6"/>
  <c r="W71" i="6"/>
  <c r="V71" i="6"/>
  <c r="U71" i="6"/>
  <c r="T71" i="6"/>
  <c r="S71" i="6"/>
  <c r="R71" i="6"/>
  <c r="Q71" i="6"/>
  <c r="P71" i="6"/>
  <c r="O71" i="6"/>
  <c r="N71" i="6"/>
  <c r="M71" i="6"/>
  <c r="L71" i="6"/>
  <c r="K71" i="6"/>
  <c r="J71" i="6"/>
  <c r="H71" i="6"/>
  <c r="AC70" i="6"/>
  <c r="AB70" i="6"/>
  <c r="AA70" i="6"/>
  <c r="Z70" i="6"/>
  <c r="Y70" i="6"/>
  <c r="X70" i="6"/>
  <c r="W70" i="6"/>
  <c r="V70" i="6"/>
  <c r="U70" i="6"/>
  <c r="T70" i="6"/>
  <c r="S70" i="6"/>
  <c r="R70" i="6"/>
  <c r="Q70" i="6"/>
  <c r="P70" i="6"/>
  <c r="O70" i="6"/>
  <c r="N70" i="6"/>
  <c r="M70" i="6"/>
  <c r="L70" i="6"/>
  <c r="K70" i="6"/>
  <c r="J70" i="6"/>
  <c r="H70" i="6"/>
  <c r="AC69" i="6"/>
  <c r="AB69" i="6"/>
  <c r="AA69" i="6"/>
  <c r="Z69" i="6"/>
  <c r="Y69" i="6"/>
  <c r="X69" i="6"/>
  <c r="W69" i="6"/>
  <c r="V69" i="6"/>
  <c r="U69" i="6"/>
  <c r="T69" i="6"/>
  <c r="S69" i="6"/>
  <c r="R69" i="6"/>
  <c r="Q69" i="6"/>
  <c r="P69" i="6"/>
  <c r="O69" i="6"/>
  <c r="N69" i="6"/>
  <c r="M69" i="6"/>
  <c r="L69" i="6"/>
  <c r="K69" i="6"/>
  <c r="J69" i="6"/>
  <c r="H69" i="6"/>
  <c r="AC68" i="6"/>
  <c r="AB68" i="6"/>
  <c r="AA68" i="6"/>
  <c r="Z68" i="6"/>
  <c r="Y68" i="6"/>
  <c r="X68" i="6"/>
  <c r="W68" i="6"/>
  <c r="V68" i="6"/>
  <c r="U68" i="6"/>
  <c r="T68" i="6"/>
  <c r="S68" i="6"/>
  <c r="R68" i="6"/>
  <c r="Q68" i="6"/>
  <c r="P68" i="6"/>
  <c r="O68" i="6"/>
  <c r="N68" i="6"/>
  <c r="M68" i="6"/>
  <c r="L68" i="6"/>
  <c r="K68" i="6"/>
  <c r="J68" i="6"/>
  <c r="H68" i="6"/>
  <c r="AC67" i="6"/>
  <c r="AB67" i="6"/>
  <c r="AA67" i="6"/>
  <c r="Z67" i="6"/>
  <c r="Y67" i="6"/>
  <c r="X67" i="6"/>
  <c r="W67" i="6"/>
  <c r="V67" i="6"/>
  <c r="U67" i="6"/>
  <c r="T67" i="6"/>
  <c r="S67" i="6"/>
  <c r="R67" i="6"/>
  <c r="Q67" i="6"/>
  <c r="P67" i="6"/>
  <c r="O67" i="6"/>
  <c r="N67" i="6"/>
  <c r="M67" i="6"/>
  <c r="L67" i="6"/>
  <c r="K67" i="6"/>
  <c r="J67" i="6"/>
  <c r="H67" i="6"/>
  <c r="AC66" i="6"/>
  <c r="AB66" i="6"/>
  <c r="AA66" i="6"/>
  <c r="Z66" i="6"/>
  <c r="Y66" i="6"/>
  <c r="X66" i="6"/>
  <c r="W66" i="6"/>
  <c r="V66" i="6"/>
  <c r="U66" i="6"/>
  <c r="T66" i="6"/>
  <c r="S66" i="6"/>
  <c r="R66" i="6"/>
  <c r="Q66" i="6"/>
  <c r="P66" i="6"/>
  <c r="O66" i="6"/>
  <c r="N66" i="6"/>
  <c r="M66" i="6"/>
  <c r="L66" i="6"/>
  <c r="K66" i="6"/>
  <c r="J66" i="6"/>
  <c r="H66" i="6"/>
  <c r="AC65" i="6"/>
  <c r="AB65" i="6"/>
  <c r="AA65" i="6"/>
  <c r="Z65" i="6"/>
  <c r="Y65" i="6"/>
  <c r="X65" i="6"/>
  <c r="W65" i="6"/>
  <c r="V65" i="6"/>
  <c r="U65" i="6"/>
  <c r="T65" i="6"/>
  <c r="S65" i="6"/>
  <c r="R65" i="6"/>
  <c r="Q65" i="6"/>
  <c r="P65" i="6"/>
  <c r="O65" i="6"/>
  <c r="N65" i="6"/>
  <c r="M65" i="6"/>
  <c r="L65" i="6"/>
  <c r="K65" i="6"/>
  <c r="J65" i="6"/>
  <c r="H65" i="6"/>
  <c r="AC64" i="6"/>
  <c r="AB64" i="6"/>
  <c r="AA64" i="6"/>
  <c r="Z64" i="6"/>
  <c r="Y64" i="6"/>
  <c r="X64" i="6"/>
  <c r="W64" i="6"/>
  <c r="V64" i="6"/>
  <c r="U64" i="6"/>
  <c r="T64" i="6"/>
  <c r="S64" i="6"/>
  <c r="R64" i="6"/>
  <c r="Q64" i="6"/>
  <c r="P64" i="6"/>
  <c r="O64" i="6"/>
  <c r="N64" i="6"/>
  <c r="M64" i="6"/>
  <c r="L64" i="6"/>
  <c r="K64" i="6"/>
  <c r="J64" i="6"/>
  <c r="H64" i="6"/>
  <c r="AG63" i="6"/>
  <c r="AF63" i="6"/>
  <c r="AE63" i="6"/>
  <c r="AD63" i="6"/>
  <c r="AC63" i="6"/>
  <c r="AB63" i="6"/>
  <c r="AA63" i="6"/>
  <c r="Z63" i="6"/>
  <c r="Y63" i="6"/>
  <c r="X63" i="6"/>
  <c r="W63" i="6"/>
  <c r="V63" i="6"/>
  <c r="U63" i="6"/>
  <c r="T63" i="6"/>
  <c r="S63" i="6"/>
  <c r="R63" i="6"/>
  <c r="Q63" i="6"/>
  <c r="P63" i="6"/>
  <c r="O63" i="6"/>
  <c r="N63" i="6"/>
  <c r="M63" i="6"/>
  <c r="L63" i="6"/>
  <c r="K63" i="6"/>
  <c r="J63" i="6"/>
  <c r="H63" i="6"/>
  <c r="AC62" i="6"/>
  <c r="AB62" i="6"/>
  <c r="AA62" i="6"/>
  <c r="Z62" i="6"/>
  <c r="Y62" i="6"/>
  <c r="X62" i="6"/>
  <c r="W62" i="6"/>
  <c r="V62" i="6"/>
  <c r="U62" i="6"/>
  <c r="T62" i="6"/>
  <c r="S62" i="6"/>
  <c r="R62" i="6"/>
  <c r="Q62" i="6"/>
  <c r="P62" i="6"/>
  <c r="O62" i="6"/>
  <c r="N62" i="6"/>
  <c r="M62" i="6"/>
  <c r="L62" i="6"/>
  <c r="K62" i="6"/>
  <c r="J62" i="6"/>
  <c r="H62" i="6"/>
  <c r="AC61" i="6"/>
  <c r="AB61" i="6"/>
  <c r="AA61" i="6"/>
  <c r="Z61" i="6"/>
  <c r="Y61" i="6"/>
  <c r="X61" i="6"/>
  <c r="W61" i="6"/>
  <c r="V61" i="6"/>
  <c r="U61" i="6"/>
  <c r="T61" i="6"/>
  <c r="S61" i="6"/>
  <c r="R61" i="6"/>
  <c r="Q61" i="6"/>
  <c r="P61" i="6"/>
  <c r="O61" i="6"/>
  <c r="N61" i="6"/>
  <c r="M61" i="6"/>
  <c r="L61" i="6"/>
  <c r="K61" i="6"/>
  <c r="J61" i="6"/>
  <c r="H61" i="6"/>
  <c r="AC60" i="6"/>
  <c r="AB60" i="6"/>
  <c r="AA60" i="6"/>
  <c r="Z60" i="6"/>
  <c r="Y60" i="6"/>
  <c r="W60" i="6"/>
  <c r="V60" i="6"/>
  <c r="U60" i="6"/>
  <c r="T60" i="6"/>
  <c r="S60" i="6"/>
  <c r="R60" i="6"/>
  <c r="Q60" i="6"/>
  <c r="P60" i="6"/>
  <c r="O60" i="6"/>
  <c r="N60" i="6"/>
  <c r="M60" i="6"/>
  <c r="L60" i="6"/>
  <c r="K60" i="6"/>
  <c r="J60" i="6"/>
  <c r="H60" i="6"/>
  <c r="AC59" i="6"/>
  <c r="AB59" i="6"/>
  <c r="AA59" i="6"/>
  <c r="Z59" i="6"/>
  <c r="Y59" i="6"/>
  <c r="X59" i="6"/>
  <c r="W59" i="6"/>
  <c r="V59" i="6"/>
  <c r="U59" i="6"/>
  <c r="T59" i="6"/>
  <c r="S59" i="6"/>
  <c r="R59" i="6"/>
  <c r="Q59" i="6"/>
  <c r="P59" i="6"/>
  <c r="O59" i="6"/>
  <c r="N59" i="6"/>
  <c r="M59" i="6"/>
  <c r="L59" i="6"/>
  <c r="K59" i="6"/>
  <c r="J59" i="6"/>
  <c r="H59" i="6"/>
  <c r="AC58" i="6"/>
  <c r="AB58" i="6"/>
  <c r="AA58" i="6"/>
  <c r="Z58" i="6"/>
  <c r="Y58" i="6"/>
  <c r="X58" i="6"/>
  <c r="W58" i="6"/>
  <c r="V58" i="6"/>
  <c r="U58" i="6"/>
  <c r="T58" i="6"/>
  <c r="S58" i="6"/>
  <c r="R58" i="6"/>
  <c r="Q58" i="6"/>
  <c r="P58" i="6"/>
  <c r="O58" i="6"/>
  <c r="N58" i="6"/>
  <c r="M58" i="6"/>
  <c r="L58" i="6"/>
  <c r="K58" i="6"/>
  <c r="J58" i="6"/>
  <c r="H58" i="6"/>
  <c r="AC57" i="6"/>
  <c r="AB57" i="6"/>
  <c r="AA57" i="6"/>
  <c r="Z57" i="6"/>
  <c r="Y57" i="6"/>
  <c r="X57" i="6"/>
  <c r="W57" i="6"/>
  <c r="V57" i="6"/>
  <c r="U57" i="6"/>
  <c r="T57" i="6"/>
  <c r="S57" i="6"/>
  <c r="R57" i="6"/>
  <c r="Q57" i="6"/>
  <c r="P57" i="6"/>
  <c r="O57" i="6"/>
  <c r="N57" i="6"/>
  <c r="M57" i="6"/>
  <c r="L57" i="6"/>
  <c r="K57" i="6"/>
  <c r="J57" i="6"/>
  <c r="H57" i="6"/>
  <c r="AC56" i="6"/>
  <c r="AB56" i="6"/>
  <c r="AA56" i="6"/>
  <c r="Z56" i="6"/>
  <c r="Y56" i="6"/>
  <c r="X56" i="6"/>
  <c r="W56" i="6"/>
  <c r="V56" i="6"/>
  <c r="U56" i="6"/>
  <c r="T56" i="6"/>
  <c r="S56" i="6"/>
  <c r="R56" i="6"/>
  <c r="Q56" i="6"/>
  <c r="P56" i="6"/>
  <c r="O56" i="6"/>
  <c r="N56" i="6"/>
  <c r="M56" i="6"/>
  <c r="L56" i="6"/>
  <c r="K56" i="6"/>
  <c r="J56" i="6"/>
  <c r="H56" i="6"/>
  <c r="AC55" i="6"/>
  <c r="AB55" i="6"/>
  <c r="AA55" i="6"/>
  <c r="Z55" i="6"/>
  <c r="Y55" i="6"/>
  <c r="X55" i="6"/>
  <c r="W55" i="6"/>
  <c r="V55" i="6"/>
  <c r="U55" i="6"/>
  <c r="T55" i="6"/>
  <c r="S55" i="6"/>
  <c r="R55" i="6"/>
  <c r="Q55" i="6"/>
  <c r="P55" i="6"/>
  <c r="O55" i="6"/>
  <c r="N55" i="6"/>
  <c r="M55" i="6"/>
  <c r="L55" i="6"/>
  <c r="K55" i="6"/>
  <c r="J55" i="6"/>
  <c r="H55" i="6"/>
  <c r="AC54" i="6"/>
  <c r="AB54" i="6"/>
  <c r="AA54" i="6"/>
  <c r="Z54" i="6"/>
  <c r="Y54" i="6"/>
  <c r="X54" i="6"/>
  <c r="W54" i="6"/>
  <c r="V54" i="6"/>
  <c r="U54" i="6"/>
  <c r="T54" i="6"/>
  <c r="S54" i="6"/>
  <c r="R54" i="6"/>
  <c r="Q54" i="6"/>
  <c r="P54" i="6"/>
  <c r="O54" i="6"/>
  <c r="N54" i="6"/>
  <c r="M54" i="6"/>
  <c r="L54" i="6"/>
  <c r="K54" i="6"/>
  <c r="J54" i="6"/>
  <c r="H54" i="6"/>
  <c r="AC53" i="6"/>
  <c r="AB53" i="6"/>
  <c r="AA53" i="6"/>
  <c r="Z53" i="6"/>
  <c r="Y53" i="6"/>
  <c r="X53" i="6"/>
  <c r="W53" i="6"/>
  <c r="V53" i="6"/>
  <c r="U53" i="6"/>
  <c r="T53" i="6"/>
  <c r="S53" i="6"/>
  <c r="R53" i="6"/>
  <c r="Q53" i="6"/>
  <c r="P53" i="6"/>
  <c r="O53" i="6"/>
  <c r="N53" i="6"/>
  <c r="M53" i="6"/>
  <c r="L53" i="6"/>
  <c r="K53" i="6"/>
  <c r="J53" i="6"/>
  <c r="H53" i="6"/>
  <c r="AC52" i="6"/>
  <c r="AB52" i="6"/>
  <c r="AA52" i="6"/>
  <c r="Z52" i="6"/>
  <c r="Y52" i="6"/>
  <c r="X52" i="6"/>
  <c r="W52" i="6"/>
  <c r="V52" i="6"/>
  <c r="U52" i="6"/>
  <c r="T52" i="6"/>
  <c r="S52" i="6"/>
  <c r="R52" i="6"/>
  <c r="Q52" i="6"/>
  <c r="P52" i="6"/>
  <c r="O52" i="6"/>
  <c r="N52" i="6"/>
  <c r="M52" i="6"/>
  <c r="L52" i="6"/>
  <c r="K52" i="6"/>
  <c r="J52" i="6"/>
  <c r="H52" i="6"/>
  <c r="AC51" i="6"/>
  <c r="AB51" i="6"/>
  <c r="AA51" i="6"/>
  <c r="Z51" i="6"/>
  <c r="Y51" i="6"/>
  <c r="X51" i="6"/>
  <c r="W51" i="6"/>
  <c r="V51" i="6"/>
  <c r="U51" i="6"/>
  <c r="T51" i="6"/>
  <c r="S51" i="6"/>
  <c r="R51" i="6"/>
  <c r="Q51" i="6"/>
  <c r="P51" i="6"/>
  <c r="O51" i="6"/>
  <c r="N51" i="6"/>
  <c r="M51" i="6"/>
  <c r="L51" i="6"/>
  <c r="K51" i="6"/>
  <c r="J51" i="6"/>
  <c r="H51" i="6"/>
  <c r="AC50" i="6"/>
  <c r="AB50" i="6"/>
  <c r="AA50" i="6"/>
  <c r="Z50" i="6"/>
  <c r="Y50" i="6"/>
  <c r="X50" i="6"/>
  <c r="W50" i="6"/>
  <c r="V50" i="6"/>
  <c r="U50" i="6"/>
  <c r="T50" i="6"/>
  <c r="S50" i="6"/>
  <c r="R50" i="6"/>
  <c r="Q50" i="6"/>
  <c r="P50" i="6"/>
  <c r="O50" i="6"/>
  <c r="N50" i="6"/>
  <c r="M50" i="6"/>
  <c r="L50" i="6"/>
  <c r="K50" i="6"/>
  <c r="J50" i="6"/>
  <c r="H50" i="6"/>
  <c r="AC49" i="6"/>
  <c r="AB49" i="6"/>
  <c r="AA49" i="6"/>
  <c r="Z49" i="6"/>
  <c r="Y49" i="6"/>
  <c r="X49" i="6"/>
  <c r="W49" i="6"/>
  <c r="V49" i="6"/>
  <c r="U49" i="6"/>
  <c r="T49" i="6"/>
  <c r="S49" i="6"/>
  <c r="R49" i="6"/>
  <c r="Q49" i="6"/>
  <c r="P49" i="6"/>
  <c r="O49" i="6"/>
  <c r="N49" i="6"/>
  <c r="M49" i="6"/>
  <c r="L49" i="6"/>
  <c r="K49" i="6"/>
  <c r="J49" i="6"/>
  <c r="H49" i="6"/>
  <c r="AC48" i="6"/>
  <c r="AB48" i="6"/>
  <c r="AA48" i="6"/>
  <c r="Z48" i="6"/>
  <c r="Y48" i="6"/>
  <c r="W48" i="6"/>
  <c r="V48" i="6"/>
  <c r="U48" i="6"/>
  <c r="T48" i="6"/>
  <c r="S48" i="6"/>
  <c r="R48" i="6"/>
  <c r="Q48" i="6"/>
  <c r="P48" i="6"/>
  <c r="O48" i="6"/>
  <c r="N48" i="6"/>
  <c r="M48" i="6"/>
  <c r="L48" i="6"/>
  <c r="K48" i="6"/>
  <c r="J48" i="6"/>
  <c r="H48" i="6"/>
  <c r="AC47" i="6"/>
  <c r="AB47" i="6"/>
  <c r="AA47" i="6"/>
  <c r="Z47" i="6"/>
  <c r="Y47" i="6"/>
  <c r="X47" i="6"/>
  <c r="W47" i="6"/>
  <c r="V47" i="6"/>
  <c r="U47" i="6"/>
  <c r="T47" i="6"/>
  <c r="S47" i="6"/>
  <c r="R47" i="6"/>
  <c r="Q47" i="6"/>
  <c r="P47" i="6"/>
  <c r="O47" i="6"/>
  <c r="N47" i="6"/>
  <c r="M47" i="6"/>
  <c r="L47" i="6"/>
  <c r="K47" i="6"/>
  <c r="J47" i="6"/>
  <c r="H47" i="6"/>
  <c r="AC46" i="6"/>
  <c r="AB46" i="6"/>
  <c r="AA46" i="6"/>
  <c r="Z46" i="6"/>
  <c r="Y46" i="6"/>
  <c r="X46" i="6"/>
  <c r="W46" i="6"/>
  <c r="V46" i="6"/>
  <c r="U46" i="6"/>
  <c r="T46" i="6"/>
  <c r="S46" i="6"/>
  <c r="R46" i="6"/>
  <c r="Q46" i="6"/>
  <c r="P46" i="6"/>
  <c r="O46" i="6"/>
  <c r="N46" i="6"/>
  <c r="M46" i="6"/>
  <c r="L46" i="6"/>
  <c r="K46" i="6"/>
  <c r="J46" i="6"/>
  <c r="H46" i="6"/>
  <c r="AC45" i="6"/>
  <c r="AB45" i="6"/>
  <c r="AA45" i="6"/>
  <c r="Z45" i="6"/>
  <c r="Y45" i="6"/>
  <c r="X45" i="6"/>
  <c r="W45" i="6"/>
  <c r="V45" i="6"/>
  <c r="U45" i="6"/>
  <c r="T45" i="6"/>
  <c r="S45" i="6"/>
  <c r="R45" i="6"/>
  <c r="Q45" i="6"/>
  <c r="P45" i="6"/>
  <c r="O45" i="6"/>
  <c r="N45" i="6"/>
  <c r="M45" i="6"/>
  <c r="L45" i="6"/>
  <c r="K45" i="6"/>
  <c r="J45" i="6"/>
  <c r="H45" i="6"/>
  <c r="AG44" i="6"/>
  <c r="AF44" i="6"/>
  <c r="AE44" i="6"/>
  <c r="AD44" i="6"/>
  <c r="AC44" i="6"/>
  <c r="AB44" i="6"/>
  <c r="AA44" i="6"/>
  <c r="Z44" i="6"/>
  <c r="Y44" i="6"/>
  <c r="X44" i="6"/>
  <c r="W44" i="6"/>
  <c r="V44" i="6"/>
  <c r="U44" i="6"/>
  <c r="T44" i="6"/>
  <c r="S44" i="6"/>
  <c r="R44" i="6"/>
  <c r="Q44" i="6"/>
  <c r="P44" i="6"/>
  <c r="O44" i="6"/>
  <c r="N44" i="6"/>
  <c r="M44" i="6"/>
  <c r="L44" i="6"/>
  <c r="K44" i="6"/>
  <c r="J44" i="6"/>
  <c r="H44" i="6"/>
  <c r="AG43" i="6"/>
  <c r="AF43" i="6"/>
  <c r="AE43" i="6"/>
  <c r="AD43" i="6"/>
  <c r="AC43" i="6"/>
  <c r="AB43" i="6"/>
  <c r="AA43" i="6"/>
  <c r="Z43" i="6"/>
  <c r="Y43" i="6"/>
  <c r="X43" i="6"/>
  <c r="W43" i="6"/>
  <c r="V43" i="6"/>
  <c r="U43" i="6"/>
  <c r="T43" i="6"/>
  <c r="S43" i="6"/>
  <c r="R43" i="6"/>
  <c r="Q43" i="6"/>
  <c r="P43" i="6"/>
  <c r="O43" i="6"/>
  <c r="N43" i="6"/>
  <c r="M43" i="6"/>
  <c r="L43" i="6"/>
  <c r="K43" i="6"/>
  <c r="J43" i="6"/>
  <c r="H43" i="6"/>
  <c r="AG42" i="6"/>
  <c r="AF42" i="6"/>
  <c r="AE42" i="6"/>
  <c r="AD42" i="6"/>
  <c r="AC42" i="6"/>
  <c r="AB42" i="6"/>
  <c r="AA42" i="6"/>
  <c r="Z42" i="6"/>
  <c r="Y42" i="6"/>
  <c r="X42" i="6"/>
  <c r="W42" i="6"/>
  <c r="V42" i="6"/>
  <c r="U42" i="6"/>
  <c r="T42" i="6"/>
  <c r="S42" i="6"/>
  <c r="R42" i="6"/>
  <c r="Q42" i="6"/>
  <c r="P42" i="6"/>
  <c r="O42" i="6"/>
  <c r="N42" i="6"/>
  <c r="M42" i="6"/>
  <c r="L42" i="6"/>
  <c r="K42" i="6"/>
  <c r="J42" i="6"/>
  <c r="H42" i="6"/>
  <c r="AC41" i="6"/>
  <c r="AB41" i="6"/>
  <c r="AA41" i="6"/>
  <c r="Z41" i="6"/>
  <c r="Y41" i="6"/>
  <c r="X41" i="6"/>
  <c r="W41" i="6"/>
  <c r="V41" i="6"/>
  <c r="U41" i="6"/>
  <c r="T41" i="6"/>
  <c r="S41" i="6"/>
  <c r="R41" i="6"/>
  <c r="Q41" i="6"/>
  <c r="P41" i="6"/>
  <c r="O41" i="6"/>
  <c r="N41" i="6"/>
  <c r="M41" i="6"/>
  <c r="L41" i="6"/>
  <c r="K41" i="6"/>
  <c r="J41" i="6"/>
  <c r="H41" i="6"/>
  <c r="AC40" i="6"/>
  <c r="AB40" i="6"/>
  <c r="AA40" i="6"/>
  <c r="Z40" i="6"/>
  <c r="Y40" i="6"/>
  <c r="X40" i="6"/>
  <c r="W40" i="6"/>
  <c r="V40" i="6"/>
  <c r="U40" i="6"/>
  <c r="T40" i="6"/>
  <c r="S40" i="6"/>
  <c r="R40" i="6"/>
  <c r="Q40" i="6"/>
  <c r="P40" i="6"/>
  <c r="O40" i="6"/>
  <c r="N40" i="6"/>
  <c r="M40" i="6"/>
  <c r="L40" i="6"/>
  <c r="K40" i="6"/>
  <c r="J40" i="6"/>
  <c r="H40" i="6"/>
  <c r="AC39" i="6"/>
  <c r="AB39" i="6"/>
  <c r="AA39" i="6"/>
  <c r="Z39" i="6"/>
  <c r="Y39" i="6"/>
  <c r="X39" i="6"/>
  <c r="W39" i="6"/>
  <c r="V39" i="6"/>
  <c r="U39" i="6"/>
  <c r="T39" i="6"/>
  <c r="S39" i="6"/>
  <c r="R39" i="6"/>
  <c r="Q39" i="6"/>
  <c r="P39" i="6"/>
  <c r="O39" i="6"/>
  <c r="N39" i="6"/>
  <c r="M39" i="6"/>
  <c r="L39" i="6"/>
  <c r="K39" i="6"/>
  <c r="J39" i="6"/>
  <c r="H39" i="6"/>
  <c r="AC38" i="6"/>
  <c r="AB38" i="6"/>
  <c r="AA38" i="6"/>
  <c r="Z38" i="6"/>
  <c r="Y38" i="6"/>
  <c r="X38" i="6"/>
  <c r="W38" i="6"/>
  <c r="V38" i="6"/>
  <c r="U38" i="6"/>
  <c r="T38" i="6"/>
  <c r="S38" i="6"/>
  <c r="R38" i="6"/>
  <c r="Q38" i="6"/>
  <c r="P38" i="6"/>
  <c r="O38" i="6"/>
  <c r="N38" i="6"/>
  <c r="M38" i="6"/>
  <c r="L38" i="6"/>
  <c r="K38" i="6"/>
  <c r="J38" i="6"/>
  <c r="H38" i="6"/>
  <c r="AC37" i="6"/>
  <c r="AB37" i="6"/>
  <c r="AA37" i="6"/>
  <c r="Z37" i="6"/>
  <c r="Y37" i="6"/>
  <c r="X37" i="6"/>
  <c r="W37" i="6"/>
  <c r="V37" i="6"/>
  <c r="U37" i="6"/>
  <c r="T37" i="6"/>
  <c r="S37" i="6"/>
  <c r="R37" i="6"/>
  <c r="Q37" i="6"/>
  <c r="P37" i="6"/>
  <c r="O37" i="6"/>
  <c r="N37" i="6"/>
  <c r="M37" i="6"/>
  <c r="L37" i="6"/>
  <c r="K37" i="6"/>
  <c r="J37" i="6"/>
  <c r="H37" i="6"/>
  <c r="AC36" i="6"/>
  <c r="AB36" i="6"/>
  <c r="AA36" i="6"/>
  <c r="Z36" i="6"/>
  <c r="Y36" i="6"/>
  <c r="X36" i="6"/>
  <c r="W36" i="6"/>
  <c r="V36" i="6"/>
  <c r="U36" i="6"/>
  <c r="T36" i="6"/>
  <c r="S36" i="6"/>
  <c r="R36" i="6"/>
  <c r="Q36" i="6"/>
  <c r="P36" i="6"/>
  <c r="O36" i="6"/>
  <c r="N36" i="6"/>
  <c r="M36" i="6"/>
  <c r="L36" i="6"/>
  <c r="K36" i="6"/>
  <c r="J36" i="6"/>
  <c r="H36" i="6"/>
  <c r="AC35" i="6"/>
  <c r="AB35" i="6"/>
  <c r="AA35" i="6"/>
  <c r="Z35" i="6"/>
  <c r="Y35" i="6"/>
  <c r="X35" i="6"/>
  <c r="W35" i="6"/>
  <c r="V35" i="6"/>
  <c r="U35" i="6"/>
  <c r="T35" i="6"/>
  <c r="S35" i="6"/>
  <c r="R35" i="6"/>
  <c r="Q35" i="6"/>
  <c r="P35" i="6"/>
  <c r="O35" i="6"/>
  <c r="N35" i="6"/>
  <c r="M35" i="6"/>
  <c r="L35" i="6"/>
  <c r="K35" i="6"/>
  <c r="J35" i="6"/>
  <c r="H35" i="6"/>
  <c r="AC34" i="6"/>
  <c r="AB34" i="6"/>
  <c r="AA34" i="6"/>
  <c r="Z34" i="6"/>
  <c r="Y34" i="6"/>
  <c r="X34" i="6"/>
  <c r="W34" i="6"/>
  <c r="V34" i="6"/>
  <c r="U34" i="6"/>
  <c r="T34" i="6"/>
  <c r="S34" i="6"/>
  <c r="R34" i="6"/>
  <c r="Q34" i="6"/>
  <c r="P34" i="6"/>
  <c r="O34" i="6"/>
  <c r="N34" i="6"/>
  <c r="M34" i="6"/>
  <c r="L34" i="6"/>
  <c r="K34" i="6"/>
  <c r="J34" i="6"/>
  <c r="H34" i="6"/>
  <c r="AC33" i="6"/>
  <c r="AB33" i="6"/>
  <c r="AA33" i="6"/>
  <c r="Z33" i="6"/>
  <c r="Y33" i="6"/>
  <c r="X33" i="6"/>
  <c r="W33" i="6"/>
  <c r="V33" i="6"/>
  <c r="U33" i="6"/>
  <c r="T33" i="6"/>
  <c r="S33" i="6"/>
  <c r="R33" i="6"/>
  <c r="Q33" i="6"/>
  <c r="P33" i="6"/>
  <c r="O33" i="6"/>
  <c r="N33" i="6"/>
  <c r="M33" i="6"/>
  <c r="L33" i="6"/>
  <c r="K33" i="6"/>
  <c r="J33" i="6"/>
  <c r="H33" i="6"/>
  <c r="AC32" i="6"/>
  <c r="AB32" i="6"/>
  <c r="AA32" i="6"/>
  <c r="Z32" i="6"/>
  <c r="Y32" i="6"/>
  <c r="X32" i="6"/>
  <c r="W32" i="6"/>
  <c r="V32" i="6"/>
  <c r="U32" i="6"/>
  <c r="T32" i="6"/>
  <c r="S32" i="6"/>
  <c r="R32" i="6"/>
  <c r="Q32" i="6"/>
  <c r="P32" i="6"/>
  <c r="O32" i="6"/>
  <c r="N32" i="6"/>
  <c r="M32" i="6"/>
  <c r="L32" i="6"/>
  <c r="K32" i="6"/>
  <c r="J32" i="6"/>
  <c r="H32" i="6"/>
  <c r="AC31" i="6"/>
  <c r="AB31" i="6"/>
  <c r="AA31" i="6"/>
  <c r="Z31" i="6"/>
  <c r="Y31" i="6"/>
  <c r="X31" i="6"/>
  <c r="W31" i="6"/>
  <c r="V31" i="6"/>
  <c r="U31" i="6"/>
  <c r="T31" i="6"/>
  <c r="S31" i="6"/>
  <c r="R31" i="6"/>
  <c r="Q31" i="6"/>
  <c r="P31" i="6"/>
  <c r="O31" i="6"/>
  <c r="N31" i="6"/>
  <c r="M31" i="6"/>
  <c r="L31" i="6"/>
  <c r="K31" i="6"/>
  <c r="J31" i="6"/>
  <c r="H31" i="6"/>
  <c r="AC30" i="6"/>
  <c r="AB30" i="6"/>
  <c r="AA30" i="6"/>
  <c r="Z30" i="6"/>
  <c r="Y30" i="6"/>
  <c r="X30" i="6"/>
  <c r="W30" i="6"/>
  <c r="V30" i="6"/>
  <c r="U30" i="6"/>
  <c r="T30" i="6"/>
  <c r="S30" i="6"/>
  <c r="R30" i="6"/>
  <c r="Q30" i="6"/>
  <c r="P30" i="6"/>
  <c r="O30" i="6"/>
  <c r="N30" i="6"/>
  <c r="M30" i="6"/>
  <c r="L30" i="6"/>
  <c r="K30" i="6"/>
  <c r="J30" i="6"/>
  <c r="H30" i="6"/>
  <c r="AC29" i="6"/>
  <c r="AB29" i="6"/>
  <c r="AA29" i="6"/>
  <c r="Z29" i="6"/>
  <c r="Y29" i="6"/>
  <c r="X29" i="6"/>
  <c r="W29" i="6"/>
  <c r="V29" i="6"/>
  <c r="U29" i="6"/>
  <c r="T29" i="6"/>
  <c r="S29" i="6"/>
  <c r="R29" i="6"/>
  <c r="Q29" i="6"/>
  <c r="P29" i="6"/>
  <c r="O29" i="6"/>
  <c r="N29" i="6"/>
  <c r="M29" i="6"/>
  <c r="L29" i="6"/>
  <c r="K29" i="6"/>
  <c r="J29" i="6"/>
  <c r="H29" i="6"/>
  <c r="AC28" i="6"/>
  <c r="AB28" i="6"/>
  <c r="AA28" i="6"/>
  <c r="Z28" i="6"/>
  <c r="Y28" i="6"/>
  <c r="X28" i="6"/>
  <c r="W28" i="6"/>
  <c r="V28" i="6"/>
  <c r="U28" i="6"/>
  <c r="T28" i="6"/>
  <c r="S28" i="6"/>
  <c r="R28" i="6"/>
  <c r="Q28" i="6"/>
  <c r="P28" i="6"/>
  <c r="O28" i="6"/>
  <c r="N28" i="6"/>
  <c r="M28" i="6"/>
  <c r="L28" i="6"/>
  <c r="K28" i="6"/>
  <c r="J28" i="6"/>
  <c r="H28" i="6"/>
  <c r="AG27" i="6"/>
  <c r="AF27" i="6"/>
  <c r="AE27" i="6"/>
  <c r="AD27" i="6"/>
  <c r="AC27" i="6"/>
  <c r="AB27" i="6"/>
  <c r="AA27" i="6"/>
  <c r="Z27" i="6"/>
  <c r="Y27" i="6"/>
  <c r="X27" i="6"/>
  <c r="W27" i="6"/>
  <c r="V27" i="6"/>
  <c r="U27" i="6"/>
  <c r="T27" i="6"/>
  <c r="S27" i="6"/>
  <c r="R27" i="6"/>
  <c r="Q27" i="6"/>
  <c r="P27" i="6"/>
  <c r="O27" i="6"/>
  <c r="N27" i="6"/>
  <c r="M27" i="6"/>
  <c r="L27" i="6"/>
  <c r="K27" i="6"/>
  <c r="J27" i="6"/>
  <c r="H27" i="6"/>
  <c r="AG26" i="6"/>
  <c r="AF26" i="6"/>
  <c r="AE26" i="6"/>
  <c r="AD26" i="6"/>
  <c r="AC26" i="6"/>
  <c r="AB26" i="6"/>
  <c r="AA26" i="6"/>
  <c r="Z26" i="6"/>
  <c r="Y26" i="6"/>
  <c r="X26" i="6"/>
  <c r="W26" i="6"/>
  <c r="V26" i="6"/>
  <c r="U26" i="6"/>
  <c r="T26" i="6"/>
  <c r="S26" i="6"/>
  <c r="R26" i="6"/>
  <c r="Q26" i="6"/>
  <c r="P26" i="6"/>
  <c r="O26" i="6"/>
  <c r="N26" i="6"/>
  <c r="M26" i="6"/>
  <c r="L26" i="6"/>
  <c r="K26" i="6"/>
  <c r="J26" i="6"/>
  <c r="H26" i="6"/>
  <c r="AC25" i="6"/>
  <c r="AB25" i="6"/>
  <c r="AA25" i="6"/>
  <c r="Z25" i="6"/>
  <c r="Y25" i="6"/>
  <c r="X25" i="6"/>
  <c r="W25" i="6"/>
  <c r="V25" i="6"/>
  <c r="U25" i="6"/>
  <c r="T25" i="6"/>
  <c r="S25" i="6"/>
  <c r="R25" i="6"/>
  <c r="Q25" i="6"/>
  <c r="P25" i="6"/>
  <c r="O25" i="6"/>
  <c r="N25" i="6"/>
  <c r="M25" i="6"/>
  <c r="L25" i="6"/>
  <c r="K25" i="6"/>
  <c r="J25" i="6"/>
  <c r="H25" i="6"/>
  <c r="AC24" i="6"/>
  <c r="AB24" i="6"/>
  <c r="AA24" i="6"/>
  <c r="Z24" i="6"/>
  <c r="Y24" i="6"/>
  <c r="X24" i="6"/>
  <c r="W24" i="6"/>
  <c r="V24" i="6"/>
  <c r="U24" i="6"/>
  <c r="T24" i="6"/>
  <c r="S24" i="6"/>
  <c r="R24" i="6"/>
  <c r="Q24" i="6"/>
  <c r="P24" i="6"/>
  <c r="O24" i="6"/>
  <c r="N24" i="6"/>
  <c r="M24" i="6"/>
  <c r="L24" i="6"/>
  <c r="K24" i="6"/>
  <c r="J24" i="6"/>
  <c r="H24" i="6"/>
  <c r="AC23" i="6"/>
  <c r="AB23" i="6"/>
  <c r="AA23" i="6"/>
  <c r="Z23" i="6"/>
  <c r="Y23" i="6"/>
  <c r="X23" i="6"/>
  <c r="W23" i="6"/>
  <c r="V23" i="6"/>
  <c r="U23" i="6"/>
  <c r="T23" i="6"/>
  <c r="S23" i="6"/>
  <c r="R23" i="6"/>
  <c r="Q23" i="6"/>
  <c r="P23" i="6"/>
  <c r="O23" i="6"/>
  <c r="N23" i="6"/>
  <c r="M23" i="6"/>
  <c r="L23" i="6"/>
  <c r="K23" i="6"/>
  <c r="J23" i="6"/>
  <c r="H23" i="6"/>
  <c r="AG22" i="6"/>
  <c r="AE22" i="6"/>
  <c r="AC22" i="6"/>
  <c r="AB22" i="6"/>
  <c r="AA22" i="6"/>
  <c r="Z22" i="6"/>
  <c r="Y22" i="6"/>
  <c r="X22" i="6"/>
  <c r="W22" i="6"/>
  <c r="V22" i="6"/>
  <c r="U22" i="6"/>
  <c r="T22" i="6"/>
  <c r="S22" i="6"/>
  <c r="R22" i="6"/>
  <c r="Q22" i="6"/>
  <c r="P22" i="6"/>
  <c r="O22" i="6"/>
  <c r="N22" i="6"/>
  <c r="M22" i="6"/>
  <c r="L22" i="6"/>
  <c r="K22" i="6"/>
  <c r="J22" i="6"/>
  <c r="H22" i="6"/>
  <c r="AC21" i="6"/>
  <c r="AB21" i="6"/>
  <c r="AA21" i="6"/>
  <c r="Z21" i="6"/>
  <c r="Y21" i="6"/>
  <c r="X21" i="6"/>
  <c r="W21" i="6"/>
  <c r="V21" i="6"/>
  <c r="U21" i="6"/>
  <c r="T21" i="6"/>
  <c r="S21" i="6"/>
  <c r="R21" i="6"/>
  <c r="Q21" i="6"/>
  <c r="P21" i="6"/>
  <c r="O21" i="6"/>
  <c r="N21" i="6"/>
  <c r="M21" i="6"/>
  <c r="L21" i="6"/>
  <c r="K21" i="6"/>
  <c r="J21" i="6"/>
  <c r="H21" i="6"/>
  <c r="AC20" i="6"/>
  <c r="AB20" i="6"/>
  <c r="AA20" i="6"/>
  <c r="Z20" i="6"/>
  <c r="Y20" i="6"/>
  <c r="X20" i="6"/>
  <c r="W20" i="6"/>
  <c r="V20" i="6"/>
  <c r="U20" i="6"/>
  <c r="T20" i="6"/>
  <c r="S20" i="6"/>
  <c r="R20" i="6"/>
  <c r="Q20" i="6"/>
  <c r="P20" i="6"/>
  <c r="O20" i="6"/>
  <c r="N20" i="6"/>
  <c r="M20" i="6"/>
  <c r="L20" i="6"/>
  <c r="K20" i="6"/>
  <c r="J20" i="6"/>
  <c r="H20" i="6"/>
  <c r="AC19" i="6"/>
  <c r="AB19" i="6"/>
  <c r="AA19" i="6"/>
  <c r="Z19" i="6"/>
  <c r="Y19" i="6"/>
  <c r="X19" i="6"/>
  <c r="W19" i="6"/>
  <c r="V19" i="6"/>
  <c r="U19" i="6"/>
  <c r="T19" i="6"/>
  <c r="S19" i="6"/>
  <c r="R19" i="6"/>
  <c r="Q19" i="6"/>
  <c r="P19" i="6"/>
  <c r="O19" i="6"/>
  <c r="N19" i="6"/>
  <c r="M19" i="6"/>
  <c r="L19" i="6"/>
  <c r="K19" i="6"/>
  <c r="J19" i="6"/>
  <c r="H19" i="6"/>
  <c r="AC18" i="6"/>
  <c r="AB18" i="6"/>
  <c r="AA18" i="6"/>
  <c r="Z18" i="6"/>
  <c r="Y18" i="6"/>
  <c r="X18" i="6"/>
  <c r="W18" i="6"/>
  <c r="V18" i="6"/>
  <c r="U18" i="6"/>
  <c r="T18" i="6"/>
  <c r="S18" i="6"/>
  <c r="R18" i="6"/>
  <c r="Q18" i="6"/>
  <c r="P18" i="6"/>
  <c r="O18" i="6"/>
  <c r="N18" i="6"/>
  <c r="M18" i="6"/>
  <c r="L18" i="6"/>
  <c r="K18" i="6"/>
  <c r="J18" i="6"/>
  <c r="H18" i="6"/>
  <c r="AC17" i="6"/>
  <c r="AB17" i="6"/>
  <c r="AA17" i="6"/>
  <c r="Z17" i="6"/>
  <c r="Y17" i="6"/>
  <c r="X17" i="6"/>
  <c r="W17" i="6"/>
  <c r="V17" i="6"/>
  <c r="U17" i="6"/>
  <c r="T17" i="6"/>
  <c r="S17" i="6"/>
  <c r="R17" i="6"/>
  <c r="Q17" i="6"/>
  <c r="P17" i="6"/>
  <c r="O17" i="6"/>
  <c r="N17" i="6"/>
  <c r="M17" i="6"/>
  <c r="L17" i="6"/>
  <c r="K17" i="6"/>
  <c r="J17" i="6"/>
  <c r="H17" i="6"/>
  <c r="AC16" i="6"/>
  <c r="AB16" i="6"/>
  <c r="AA16" i="6"/>
  <c r="Z16" i="6"/>
  <c r="Y16" i="6"/>
  <c r="X16" i="6"/>
  <c r="W16" i="6"/>
  <c r="V16" i="6"/>
  <c r="U16" i="6"/>
  <c r="T16" i="6"/>
  <c r="S16" i="6"/>
  <c r="R16" i="6"/>
  <c r="Q16" i="6"/>
  <c r="P16" i="6"/>
  <c r="O16" i="6"/>
  <c r="N16" i="6"/>
  <c r="M16" i="6"/>
  <c r="L16" i="6"/>
  <c r="K16" i="6"/>
  <c r="J16" i="6"/>
  <c r="H16" i="6"/>
  <c r="AC15" i="6"/>
  <c r="AB15" i="6"/>
  <c r="AA15" i="6"/>
  <c r="Z15" i="6"/>
  <c r="Y15" i="6"/>
  <c r="X15" i="6"/>
  <c r="W15" i="6"/>
  <c r="V15" i="6"/>
  <c r="U15" i="6"/>
  <c r="T15" i="6"/>
  <c r="S15" i="6"/>
  <c r="R15" i="6"/>
  <c r="Q15" i="6"/>
  <c r="P15" i="6"/>
  <c r="O15" i="6"/>
  <c r="N15" i="6"/>
  <c r="M15" i="6"/>
  <c r="L15" i="6"/>
  <c r="K15" i="6"/>
  <c r="J15" i="6"/>
  <c r="H15" i="6"/>
  <c r="AC14" i="6"/>
  <c r="AB14" i="6"/>
  <c r="AA14" i="6"/>
  <c r="Z14" i="6"/>
  <c r="Y14" i="6"/>
  <c r="X14" i="6"/>
  <c r="W14" i="6"/>
  <c r="V14" i="6"/>
  <c r="U14" i="6"/>
  <c r="T14" i="6"/>
  <c r="S14" i="6"/>
  <c r="R14" i="6"/>
  <c r="Q14" i="6"/>
  <c r="P14" i="6"/>
  <c r="O14" i="6"/>
  <c r="N14" i="6"/>
  <c r="M14" i="6"/>
  <c r="L14" i="6"/>
  <c r="K14" i="6"/>
  <c r="J14" i="6"/>
  <c r="H14" i="6"/>
  <c r="AC13" i="6"/>
  <c r="AB13" i="6"/>
  <c r="AA13" i="6"/>
  <c r="Z13" i="6"/>
  <c r="Y13" i="6"/>
  <c r="X13" i="6"/>
  <c r="W13" i="6"/>
  <c r="V13" i="6"/>
  <c r="U13" i="6"/>
  <c r="T13" i="6"/>
  <c r="S13" i="6"/>
  <c r="R13" i="6"/>
  <c r="Q13" i="6"/>
  <c r="P13" i="6"/>
  <c r="O13" i="6"/>
  <c r="N13" i="6"/>
  <c r="M13" i="6"/>
  <c r="L13" i="6"/>
  <c r="K13" i="6"/>
  <c r="J13" i="6"/>
  <c r="H13" i="6"/>
  <c r="AC12" i="6"/>
  <c r="AB12" i="6"/>
  <c r="AA12" i="6"/>
  <c r="Z12" i="6"/>
  <c r="Y12" i="6"/>
  <c r="X12" i="6"/>
  <c r="W12" i="6"/>
  <c r="V12" i="6"/>
  <c r="U12" i="6"/>
  <c r="T12" i="6"/>
  <c r="S12" i="6"/>
  <c r="R12" i="6"/>
  <c r="Q12" i="6"/>
  <c r="P12" i="6"/>
  <c r="O12" i="6"/>
  <c r="N12" i="6"/>
  <c r="M12" i="6"/>
  <c r="L12" i="6"/>
  <c r="K12" i="6"/>
  <c r="J12" i="6"/>
  <c r="H12" i="6"/>
  <c r="AC11" i="6"/>
  <c r="AB11" i="6"/>
  <c r="AA11" i="6"/>
  <c r="Z11" i="6"/>
  <c r="Y11" i="6"/>
  <c r="X11" i="6"/>
  <c r="W11" i="6"/>
  <c r="V11" i="6"/>
  <c r="U11" i="6"/>
  <c r="T11" i="6"/>
  <c r="S11" i="6"/>
  <c r="R11" i="6"/>
  <c r="Q11" i="6"/>
  <c r="P11" i="6"/>
  <c r="O11" i="6"/>
  <c r="N11" i="6"/>
  <c r="M11" i="6"/>
  <c r="L11" i="6"/>
  <c r="K11" i="6"/>
  <c r="J11" i="6"/>
  <c r="H11" i="6"/>
  <c r="AC10" i="6"/>
  <c r="AB10" i="6"/>
  <c r="AA10" i="6"/>
  <c r="Z10" i="6"/>
  <c r="Y10" i="6"/>
  <c r="X10" i="6"/>
  <c r="W10" i="6"/>
  <c r="V10" i="6"/>
  <c r="U10" i="6"/>
  <c r="T10" i="6"/>
  <c r="S10" i="6"/>
  <c r="R10" i="6"/>
  <c r="Q10" i="6"/>
  <c r="P10" i="6"/>
  <c r="O10" i="6"/>
  <c r="N10" i="6"/>
  <c r="M10" i="6"/>
  <c r="L10" i="6"/>
  <c r="K10" i="6"/>
  <c r="J10" i="6"/>
  <c r="H10" i="6"/>
  <c r="AC9" i="6"/>
  <c r="AB9" i="6"/>
  <c r="AA9" i="6"/>
  <c r="Z9" i="6"/>
  <c r="Y9" i="6"/>
  <c r="X9" i="6"/>
  <c r="W9" i="6"/>
  <c r="V9" i="6"/>
  <c r="U9" i="6"/>
  <c r="T9" i="6"/>
  <c r="S9" i="6"/>
  <c r="R9" i="6"/>
  <c r="Q9" i="6"/>
  <c r="P9" i="6"/>
  <c r="O9" i="6"/>
  <c r="N9" i="6"/>
  <c r="M9" i="6"/>
  <c r="L9" i="6"/>
  <c r="K9" i="6"/>
  <c r="J9" i="6"/>
  <c r="H9" i="6"/>
  <c r="AC8" i="6"/>
  <c r="AB8" i="6"/>
  <c r="AA8" i="6"/>
  <c r="Z8" i="6"/>
  <c r="Y8" i="6"/>
  <c r="X8" i="6"/>
  <c r="W8" i="6"/>
  <c r="V8" i="6"/>
  <c r="U8" i="6"/>
  <c r="T8" i="6"/>
  <c r="S8" i="6"/>
  <c r="R8" i="6"/>
  <c r="Q8" i="6"/>
  <c r="P8" i="6"/>
  <c r="O8" i="6"/>
  <c r="N8" i="6"/>
  <c r="M8" i="6"/>
  <c r="L8" i="6"/>
  <c r="K8" i="6"/>
  <c r="J8" i="6"/>
  <c r="H8" i="6"/>
  <c r="AC7" i="6"/>
  <c r="AB7" i="6"/>
  <c r="AA7" i="6"/>
  <c r="Z7" i="6"/>
  <c r="Y7" i="6"/>
  <c r="X7" i="6"/>
  <c r="W7" i="6"/>
  <c r="V7" i="6"/>
  <c r="U7" i="6"/>
  <c r="T7" i="6"/>
  <c r="S7" i="6"/>
  <c r="R7" i="6"/>
  <c r="Q7" i="6"/>
  <c r="P7" i="6"/>
  <c r="O7" i="6"/>
  <c r="N7" i="6"/>
  <c r="M7" i="6"/>
  <c r="L7" i="6"/>
  <c r="K7" i="6"/>
  <c r="J7" i="6"/>
  <c r="H7" i="6"/>
  <c r="AC6" i="6"/>
  <c r="AB6" i="6"/>
  <c r="AA6" i="6"/>
  <c r="Z6" i="6"/>
  <c r="Y6" i="6"/>
  <c r="X6" i="6"/>
  <c r="W6" i="6"/>
  <c r="V6" i="6"/>
  <c r="U6" i="6"/>
  <c r="T6" i="6"/>
  <c r="S6" i="6"/>
  <c r="R6" i="6"/>
  <c r="Q6" i="6"/>
  <c r="P6" i="6"/>
  <c r="O6" i="6"/>
  <c r="N6" i="6"/>
  <c r="M6" i="6"/>
  <c r="L6" i="6"/>
  <c r="K6" i="6"/>
  <c r="J6" i="6"/>
  <c r="H6" i="6"/>
  <c r="AC5" i="6"/>
  <c r="AB5" i="6"/>
  <c r="AA5" i="6"/>
  <c r="Z5" i="6"/>
  <c r="Y5" i="6"/>
  <c r="X5" i="6"/>
  <c r="W5" i="6"/>
  <c r="V5" i="6"/>
  <c r="U5" i="6"/>
  <c r="T5" i="6"/>
  <c r="S5" i="6"/>
  <c r="R5" i="6"/>
  <c r="Q5" i="6"/>
  <c r="P5" i="6"/>
  <c r="O5" i="6"/>
  <c r="N5" i="6"/>
  <c r="M5" i="6"/>
  <c r="L5" i="6"/>
  <c r="K5" i="6"/>
  <c r="J5" i="6"/>
  <c r="H5" i="6"/>
  <c r="AC4" i="6"/>
  <c r="AB4" i="6"/>
  <c r="AA4" i="6"/>
  <c r="Z4" i="6"/>
  <c r="Y4" i="6"/>
  <c r="X4" i="6"/>
  <c r="W4" i="6"/>
  <c r="V4" i="6"/>
  <c r="U4" i="6"/>
  <c r="T4" i="6"/>
  <c r="S4" i="6"/>
  <c r="R4" i="6"/>
  <c r="Q4" i="6"/>
  <c r="P4" i="6"/>
  <c r="O4" i="6"/>
  <c r="N4" i="6"/>
  <c r="M4" i="6"/>
  <c r="L4" i="6"/>
  <c r="K4" i="6"/>
  <c r="J4" i="6"/>
  <c r="H4" i="6"/>
  <c r="AC3" i="6"/>
  <c r="AB3" i="6"/>
  <c r="AA3" i="6"/>
  <c r="Z3" i="6"/>
  <c r="Y3" i="6"/>
  <c r="X3" i="6"/>
  <c r="W3" i="6"/>
  <c r="V3" i="6"/>
  <c r="U3" i="6"/>
  <c r="T3" i="6"/>
  <c r="S3" i="6"/>
  <c r="R3" i="6"/>
  <c r="Q3" i="6"/>
  <c r="P3" i="6"/>
  <c r="O3" i="6"/>
  <c r="N3" i="6"/>
  <c r="M3" i="6"/>
  <c r="L3" i="6"/>
  <c r="K3" i="6"/>
  <c r="J3" i="6"/>
  <c r="H3" i="6"/>
  <c r="AC2" i="6"/>
  <c r="AB2" i="6"/>
  <c r="AA2" i="6"/>
  <c r="Z2" i="6"/>
  <c r="Y2" i="6"/>
  <c r="X2" i="6"/>
  <c r="W2" i="6"/>
  <c r="V2" i="6"/>
  <c r="U2" i="6"/>
  <c r="T2" i="6"/>
  <c r="S2" i="6"/>
  <c r="R2" i="6"/>
  <c r="Q2" i="6"/>
  <c r="P2" i="6"/>
  <c r="O2" i="6"/>
  <c r="N2" i="6"/>
  <c r="M2" i="6"/>
  <c r="L2" i="6"/>
  <c r="K2" i="6"/>
  <c r="J2" i="6"/>
  <c r="H2" i="6"/>
  <c r="AC307" i="5"/>
  <c r="AB307" i="5"/>
  <c r="AA307" i="5"/>
  <c r="Z307" i="5"/>
  <c r="Y307" i="5"/>
  <c r="X307" i="5"/>
  <c r="W307" i="5"/>
  <c r="V307" i="5"/>
  <c r="U307" i="5"/>
  <c r="T307" i="5"/>
  <c r="S307" i="5"/>
  <c r="R307" i="5"/>
  <c r="Q307" i="5"/>
  <c r="P307" i="5"/>
  <c r="O307" i="5"/>
  <c r="N307" i="5"/>
  <c r="M307" i="5"/>
  <c r="L307" i="5"/>
  <c r="K307" i="5"/>
  <c r="J307" i="5"/>
  <c r="H307" i="5"/>
  <c r="AC306" i="5"/>
  <c r="AB306" i="5"/>
  <c r="AA306" i="5"/>
  <c r="Z306" i="5"/>
  <c r="Y306" i="5"/>
  <c r="X306" i="5"/>
  <c r="W306" i="5"/>
  <c r="V306" i="5"/>
  <c r="U306" i="5"/>
  <c r="T306" i="5"/>
  <c r="S306" i="5"/>
  <c r="R306" i="5"/>
  <c r="Q306" i="5"/>
  <c r="P306" i="5"/>
  <c r="O306" i="5"/>
  <c r="N306" i="5"/>
  <c r="M306" i="5"/>
  <c r="L306" i="5"/>
  <c r="K306" i="5"/>
  <c r="J306" i="5"/>
  <c r="H306" i="5"/>
  <c r="AC305" i="5"/>
  <c r="AB305" i="5"/>
  <c r="AA305" i="5"/>
  <c r="Z305" i="5"/>
  <c r="Y305" i="5"/>
  <c r="X305" i="5"/>
  <c r="W305" i="5"/>
  <c r="V305" i="5"/>
  <c r="U305" i="5"/>
  <c r="T305" i="5"/>
  <c r="S305" i="5"/>
  <c r="R305" i="5"/>
  <c r="Q305" i="5"/>
  <c r="P305" i="5"/>
  <c r="O305" i="5"/>
  <c r="N305" i="5"/>
  <c r="M305" i="5"/>
  <c r="L305" i="5"/>
  <c r="K305" i="5"/>
  <c r="J305" i="5"/>
  <c r="H305" i="5"/>
  <c r="AC304" i="5"/>
  <c r="AB304" i="5"/>
  <c r="AA304" i="5"/>
  <c r="Z304" i="5"/>
  <c r="Y304" i="5"/>
  <c r="X304" i="5"/>
  <c r="W304" i="5"/>
  <c r="V304" i="5"/>
  <c r="U304" i="5"/>
  <c r="T304" i="5"/>
  <c r="S304" i="5"/>
  <c r="R304" i="5"/>
  <c r="Q304" i="5"/>
  <c r="P304" i="5"/>
  <c r="O304" i="5"/>
  <c r="N304" i="5"/>
  <c r="M304" i="5"/>
  <c r="L304" i="5"/>
  <c r="K304" i="5"/>
  <c r="J304" i="5"/>
  <c r="H304" i="5"/>
  <c r="AC303" i="5"/>
  <c r="AB303" i="5"/>
  <c r="AA303" i="5"/>
  <c r="Z303" i="5"/>
  <c r="Y303" i="5"/>
  <c r="X303" i="5"/>
  <c r="W303" i="5"/>
  <c r="V303" i="5"/>
  <c r="U303" i="5"/>
  <c r="T303" i="5"/>
  <c r="S303" i="5"/>
  <c r="R303" i="5"/>
  <c r="Q303" i="5"/>
  <c r="P303" i="5"/>
  <c r="O303" i="5"/>
  <c r="N303" i="5"/>
  <c r="M303" i="5"/>
  <c r="L303" i="5"/>
  <c r="K303" i="5"/>
  <c r="J303" i="5"/>
  <c r="H303" i="5"/>
  <c r="AC302" i="5"/>
  <c r="AB302" i="5"/>
  <c r="AA302" i="5"/>
  <c r="Z302" i="5"/>
  <c r="Y302" i="5"/>
  <c r="X302" i="5"/>
  <c r="W302" i="5"/>
  <c r="V302" i="5"/>
  <c r="U302" i="5"/>
  <c r="T302" i="5"/>
  <c r="S302" i="5"/>
  <c r="R302" i="5"/>
  <c r="Q302" i="5"/>
  <c r="P302" i="5"/>
  <c r="O302" i="5"/>
  <c r="N302" i="5"/>
  <c r="M302" i="5"/>
  <c r="L302" i="5"/>
  <c r="K302" i="5"/>
  <c r="J302" i="5"/>
  <c r="H302" i="5"/>
  <c r="AC301" i="5"/>
  <c r="AB301" i="5"/>
  <c r="AA301" i="5"/>
  <c r="Z301" i="5"/>
  <c r="Y301" i="5"/>
  <c r="X301" i="5"/>
  <c r="W301" i="5"/>
  <c r="V301" i="5"/>
  <c r="U301" i="5"/>
  <c r="T301" i="5"/>
  <c r="S301" i="5"/>
  <c r="R301" i="5"/>
  <c r="Q301" i="5"/>
  <c r="P301" i="5"/>
  <c r="O301" i="5"/>
  <c r="N301" i="5"/>
  <c r="M301" i="5"/>
  <c r="L301" i="5"/>
  <c r="K301" i="5"/>
  <c r="J301" i="5"/>
  <c r="H301" i="5"/>
  <c r="AC300" i="5"/>
  <c r="AB300" i="5"/>
  <c r="AA300" i="5"/>
  <c r="Z300" i="5"/>
  <c r="Y300" i="5"/>
  <c r="X300" i="5"/>
  <c r="W300" i="5"/>
  <c r="V300" i="5"/>
  <c r="U300" i="5"/>
  <c r="T300" i="5"/>
  <c r="S300" i="5"/>
  <c r="R300" i="5"/>
  <c r="Q300" i="5"/>
  <c r="P300" i="5"/>
  <c r="O300" i="5"/>
  <c r="N300" i="5"/>
  <c r="M300" i="5"/>
  <c r="L300" i="5"/>
  <c r="K300" i="5"/>
  <c r="J300" i="5"/>
  <c r="H300" i="5"/>
  <c r="AC299" i="5"/>
  <c r="AB299" i="5"/>
  <c r="AA299" i="5"/>
  <c r="Z299" i="5"/>
  <c r="Y299" i="5"/>
  <c r="X299" i="5"/>
  <c r="W299" i="5"/>
  <c r="V299" i="5"/>
  <c r="U299" i="5"/>
  <c r="T299" i="5"/>
  <c r="S299" i="5"/>
  <c r="R299" i="5"/>
  <c r="Q299" i="5"/>
  <c r="P299" i="5"/>
  <c r="O299" i="5"/>
  <c r="N299" i="5"/>
  <c r="M299" i="5"/>
  <c r="L299" i="5"/>
  <c r="K299" i="5"/>
  <c r="J299" i="5"/>
  <c r="H299" i="5"/>
  <c r="AC298" i="5"/>
  <c r="AB298" i="5"/>
  <c r="AA298" i="5"/>
  <c r="Z298" i="5"/>
  <c r="Y298" i="5"/>
  <c r="X298" i="5"/>
  <c r="W298" i="5"/>
  <c r="V298" i="5"/>
  <c r="U298" i="5"/>
  <c r="T298" i="5"/>
  <c r="S298" i="5"/>
  <c r="R298" i="5"/>
  <c r="Q298" i="5"/>
  <c r="P298" i="5"/>
  <c r="O298" i="5"/>
  <c r="N298" i="5"/>
  <c r="M298" i="5"/>
  <c r="L298" i="5"/>
  <c r="K298" i="5"/>
  <c r="J298" i="5"/>
  <c r="H298" i="5"/>
  <c r="AC297" i="5"/>
  <c r="AB297" i="5"/>
  <c r="AA297" i="5"/>
  <c r="Z297" i="5"/>
  <c r="Y297" i="5"/>
  <c r="X297" i="5"/>
  <c r="W297" i="5"/>
  <c r="V297" i="5"/>
  <c r="U297" i="5"/>
  <c r="T297" i="5"/>
  <c r="S297" i="5"/>
  <c r="R297" i="5"/>
  <c r="Q297" i="5"/>
  <c r="P297" i="5"/>
  <c r="O297" i="5"/>
  <c r="N297" i="5"/>
  <c r="M297" i="5"/>
  <c r="L297" i="5"/>
  <c r="K297" i="5"/>
  <c r="J297" i="5"/>
  <c r="H297" i="5"/>
  <c r="AC296" i="5"/>
  <c r="AB296" i="5"/>
  <c r="AA296" i="5"/>
  <c r="Z296" i="5"/>
  <c r="Y296" i="5"/>
  <c r="X296" i="5"/>
  <c r="W296" i="5"/>
  <c r="V296" i="5"/>
  <c r="U296" i="5"/>
  <c r="T296" i="5"/>
  <c r="S296" i="5"/>
  <c r="R296" i="5"/>
  <c r="Q296" i="5"/>
  <c r="P296" i="5"/>
  <c r="O296" i="5"/>
  <c r="N296" i="5"/>
  <c r="M296" i="5"/>
  <c r="L296" i="5"/>
  <c r="K296" i="5"/>
  <c r="J296" i="5"/>
  <c r="H296" i="5"/>
  <c r="AC295" i="5"/>
  <c r="AB295" i="5"/>
  <c r="AA295" i="5"/>
  <c r="Z295" i="5"/>
  <c r="Y295" i="5"/>
  <c r="X295" i="5"/>
  <c r="W295" i="5"/>
  <c r="V295" i="5"/>
  <c r="U295" i="5"/>
  <c r="T295" i="5"/>
  <c r="S295" i="5"/>
  <c r="R295" i="5"/>
  <c r="Q295" i="5"/>
  <c r="P295" i="5"/>
  <c r="O295" i="5"/>
  <c r="N295" i="5"/>
  <c r="M295" i="5"/>
  <c r="L295" i="5"/>
  <c r="K295" i="5"/>
  <c r="J295" i="5"/>
  <c r="H295" i="5"/>
  <c r="AC294" i="5"/>
  <c r="AB294" i="5"/>
  <c r="AA294" i="5"/>
  <c r="Z294" i="5"/>
  <c r="Y294" i="5"/>
  <c r="X294" i="5"/>
  <c r="W294" i="5"/>
  <c r="V294" i="5"/>
  <c r="U294" i="5"/>
  <c r="T294" i="5"/>
  <c r="S294" i="5"/>
  <c r="R294" i="5"/>
  <c r="Q294" i="5"/>
  <c r="P294" i="5"/>
  <c r="O294" i="5"/>
  <c r="N294" i="5"/>
  <c r="M294" i="5"/>
  <c r="L294" i="5"/>
  <c r="K294" i="5"/>
  <c r="J294" i="5"/>
  <c r="H294" i="5"/>
  <c r="AC293" i="5"/>
  <c r="AB293" i="5"/>
  <c r="AA293" i="5"/>
  <c r="Z293" i="5"/>
  <c r="Y293" i="5"/>
  <c r="X293" i="5"/>
  <c r="W293" i="5"/>
  <c r="V293" i="5"/>
  <c r="U293" i="5"/>
  <c r="T293" i="5"/>
  <c r="S293" i="5"/>
  <c r="R293" i="5"/>
  <c r="Q293" i="5"/>
  <c r="P293" i="5"/>
  <c r="O293" i="5"/>
  <c r="N293" i="5"/>
  <c r="M293" i="5"/>
  <c r="L293" i="5"/>
  <c r="K293" i="5"/>
  <c r="J293" i="5"/>
  <c r="H293" i="5"/>
  <c r="AC292" i="5"/>
  <c r="AB292" i="5"/>
  <c r="AA292" i="5"/>
  <c r="Z292" i="5"/>
  <c r="Y292" i="5"/>
  <c r="X292" i="5"/>
  <c r="W292" i="5"/>
  <c r="V292" i="5"/>
  <c r="U292" i="5"/>
  <c r="T292" i="5"/>
  <c r="S292" i="5"/>
  <c r="R292" i="5"/>
  <c r="Q292" i="5"/>
  <c r="P292" i="5"/>
  <c r="O292" i="5"/>
  <c r="N292" i="5"/>
  <c r="M292" i="5"/>
  <c r="L292" i="5"/>
  <c r="K292" i="5"/>
  <c r="J292" i="5"/>
  <c r="H292" i="5"/>
  <c r="AG291" i="5"/>
  <c r="AF291" i="5"/>
  <c r="AE291" i="5"/>
  <c r="AD291" i="5"/>
  <c r="AC291" i="5"/>
  <c r="AB291" i="5"/>
  <c r="AA291" i="5"/>
  <c r="Z291" i="5"/>
  <c r="Y291" i="5"/>
  <c r="X291" i="5"/>
  <c r="W291" i="5"/>
  <c r="V291" i="5"/>
  <c r="U291" i="5"/>
  <c r="T291" i="5"/>
  <c r="S291" i="5"/>
  <c r="R291" i="5"/>
  <c r="Q291" i="5"/>
  <c r="P291" i="5"/>
  <c r="O291" i="5"/>
  <c r="N291" i="5"/>
  <c r="M291" i="5"/>
  <c r="L291" i="5"/>
  <c r="K291" i="5"/>
  <c r="J291" i="5"/>
  <c r="H291" i="5"/>
  <c r="AG290" i="5"/>
  <c r="AF290" i="5"/>
  <c r="AE290" i="5"/>
  <c r="AD290" i="5"/>
  <c r="AC290" i="5"/>
  <c r="AB290" i="5"/>
  <c r="AA290" i="5"/>
  <c r="Z290" i="5"/>
  <c r="Y290" i="5"/>
  <c r="X290" i="5"/>
  <c r="W290" i="5"/>
  <c r="V290" i="5"/>
  <c r="U290" i="5"/>
  <c r="T290" i="5"/>
  <c r="S290" i="5"/>
  <c r="R290" i="5"/>
  <c r="Q290" i="5"/>
  <c r="P290" i="5"/>
  <c r="O290" i="5"/>
  <c r="N290" i="5"/>
  <c r="M290" i="5"/>
  <c r="L290" i="5"/>
  <c r="K290" i="5"/>
  <c r="J290" i="5"/>
  <c r="H290" i="5"/>
  <c r="AC289" i="5"/>
  <c r="AB289" i="5"/>
  <c r="AA289" i="5"/>
  <c r="Z289" i="5"/>
  <c r="Y289" i="5"/>
  <c r="X289" i="5"/>
  <c r="W289" i="5"/>
  <c r="V289" i="5"/>
  <c r="U289" i="5"/>
  <c r="T289" i="5"/>
  <c r="S289" i="5"/>
  <c r="R289" i="5"/>
  <c r="Q289" i="5"/>
  <c r="P289" i="5"/>
  <c r="O289" i="5"/>
  <c r="N289" i="5"/>
  <c r="M289" i="5"/>
  <c r="L289" i="5"/>
  <c r="K289" i="5"/>
  <c r="J289" i="5"/>
  <c r="H289" i="5"/>
  <c r="AC288" i="5"/>
  <c r="AB288" i="5"/>
  <c r="AA288" i="5"/>
  <c r="Z288" i="5"/>
  <c r="Y288" i="5"/>
  <c r="X288" i="5"/>
  <c r="W288" i="5"/>
  <c r="V288" i="5"/>
  <c r="U288" i="5"/>
  <c r="T288" i="5"/>
  <c r="S288" i="5"/>
  <c r="R288" i="5"/>
  <c r="Q288" i="5"/>
  <c r="P288" i="5"/>
  <c r="O288" i="5"/>
  <c r="N288" i="5"/>
  <c r="M288" i="5"/>
  <c r="L288" i="5"/>
  <c r="K288" i="5"/>
  <c r="J288" i="5"/>
  <c r="H288" i="5"/>
  <c r="AC287" i="5"/>
  <c r="AB287" i="5"/>
  <c r="AA287" i="5"/>
  <c r="Z287" i="5"/>
  <c r="Y287" i="5"/>
  <c r="X287" i="5"/>
  <c r="W287" i="5"/>
  <c r="V287" i="5"/>
  <c r="U287" i="5"/>
  <c r="T287" i="5"/>
  <c r="S287" i="5"/>
  <c r="R287" i="5"/>
  <c r="Q287" i="5"/>
  <c r="P287" i="5"/>
  <c r="O287" i="5"/>
  <c r="N287" i="5"/>
  <c r="M287" i="5"/>
  <c r="L287" i="5"/>
  <c r="K287" i="5"/>
  <c r="J287" i="5"/>
  <c r="H287" i="5"/>
  <c r="AC286" i="5"/>
  <c r="AB286" i="5"/>
  <c r="AA286" i="5"/>
  <c r="Z286" i="5"/>
  <c r="Y286" i="5"/>
  <c r="X286" i="5"/>
  <c r="W286" i="5"/>
  <c r="V286" i="5"/>
  <c r="U286" i="5"/>
  <c r="T286" i="5"/>
  <c r="S286" i="5"/>
  <c r="R286" i="5"/>
  <c r="Q286" i="5"/>
  <c r="P286" i="5"/>
  <c r="O286" i="5"/>
  <c r="N286" i="5"/>
  <c r="M286" i="5"/>
  <c r="L286" i="5"/>
  <c r="K286" i="5"/>
  <c r="J286" i="5"/>
  <c r="H286" i="5"/>
  <c r="AC285" i="5"/>
  <c r="AB285" i="5"/>
  <c r="Z285" i="5"/>
  <c r="Y285" i="5"/>
  <c r="V285" i="5"/>
  <c r="U285" i="5"/>
  <c r="T285" i="5"/>
  <c r="S285" i="5"/>
  <c r="R285" i="5"/>
  <c r="Q285" i="5"/>
  <c r="P285" i="5"/>
  <c r="O285" i="5"/>
  <c r="N285" i="5"/>
  <c r="M285" i="5"/>
  <c r="L285" i="5"/>
  <c r="K285" i="5"/>
  <c r="J285" i="5"/>
  <c r="H285" i="5"/>
  <c r="AG284" i="5"/>
  <c r="AF284" i="5"/>
  <c r="AE284" i="5"/>
  <c r="AD284" i="5"/>
  <c r="AC284" i="5"/>
  <c r="AB284" i="5"/>
  <c r="AA284" i="5"/>
  <c r="Z284" i="5"/>
  <c r="Y284" i="5"/>
  <c r="X284" i="5"/>
  <c r="W284" i="5"/>
  <c r="V284" i="5"/>
  <c r="U284" i="5"/>
  <c r="T284" i="5"/>
  <c r="S284" i="5"/>
  <c r="R284" i="5"/>
  <c r="Q284" i="5"/>
  <c r="P284" i="5"/>
  <c r="O284" i="5"/>
  <c r="N284" i="5"/>
  <c r="M284" i="5"/>
  <c r="L284" i="5"/>
  <c r="K284" i="5"/>
  <c r="J284" i="5"/>
  <c r="H284" i="5"/>
  <c r="AG283" i="5"/>
  <c r="AF283" i="5"/>
  <c r="AE283" i="5"/>
  <c r="AD283" i="5"/>
  <c r="AC283" i="5"/>
  <c r="AB283" i="5"/>
  <c r="AA283" i="5"/>
  <c r="Z283" i="5"/>
  <c r="Y283" i="5"/>
  <c r="X283" i="5"/>
  <c r="W283" i="5"/>
  <c r="V283" i="5"/>
  <c r="U283" i="5"/>
  <c r="T283" i="5"/>
  <c r="S283" i="5"/>
  <c r="R283" i="5"/>
  <c r="Q283" i="5"/>
  <c r="P283" i="5"/>
  <c r="O283" i="5"/>
  <c r="N283" i="5"/>
  <c r="M283" i="5"/>
  <c r="L283" i="5"/>
  <c r="K283" i="5"/>
  <c r="J283" i="5"/>
  <c r="H283" i="5"/>
  <c r="AG282" i="5"/>
  <c r="AF282" i="5"/>
  <c r="AE282" i="5"/>
  <c r="AD282" i="5"/>
  <c r="AC282" i="5"/>
  <c r="AB282" i="5"/>
  <c r="AA282" i="5"/>
  <c r="Z282" i="5"/>
  <c r="Y282" i="5"/>
  <c r="X282" i="5"/>
  <c r="W282" i="5"/>
  <c r="V282" i="5"/>
  <c r="U282" i="5"/>
  <c r="T282" i="5"/>
  <c r="S282" i="5"/>
  <c r="R282" i="5"/>
  <c r="Q282" i="5"/>
  <c r="P282" i="5"/>
  <c r="O282" i="5"/>
  <c r="N282" i="5"/>
  <c r="M282" i="5"/>
  <c r="L282" i="5"/>
  <c r="K282" i="5"/>
  <c r="J282" i="5"/>
  <c r="H282" i="5"/>
  <c r="AG281" i="5"/>
  <c r="AF281" i="5"/>
  <c r="AE281" i="5"/>
  <c r="AD281" i="5"/>
  <c r="AC281" i="5"/>
  <c r="AB281" i="5"/>
  <c r="AA281" i="5"/>
  <c r="Z281" i="5"/>
  <c r="Y281" i="5"/>
  <c r="X281" i="5"/>
  <c r="W281" i="5"/>
  <c r="V281" i="5"/>
  <c r="U281" i="5"/>
  <c r="T281" i="5"/>
  <c r="S281" i="5"/>
  <c r="R281" i="5"/>
  <c r="Q281" i="5"/>
  <c r="P281" i="5"/>
  <c r="O281" i="5"/>
  <c r="N281" i="5"/>
  <c r="M281" i="5"/>
  <c r="L281" i="5"/>
  <c r="K281" i="5"/>
  <c r="J281" i="5"/>
  <c r="H281" i="5"/>
  <c r="AG280" i="5"/>
  <c r="AF280" i="5"/>
  <c r="AE280" i="5"/>
  <c r="AD280" i="5"/>
  <c r="AC280" i="5"/>
  <c r="AB280" i="5"/>
  <c r="AA280" i="5"/>
  <c r="Z280" i="5"/>
  <c r="Y280" i="5"/>
  <c r="X280" i="5"/>
  <c r="W280" i="5"/>
  <c r="V280" i="5"/>
  <c r="U280" i="5"/>
  <c r="T280" i="5"/>
  <c r="S280" i="5"/>
  <c r="R280" i="5"/>
  <c r="Q280" i="5"/>
  <c r="P280" i="5"/>
  <c r="O280" i="5"/>
  <c r="N280" i="5"/>
  <c r="M280" i="5"/>
  <c r="L280" i="5"/>
  <c r="K280" i="5"/>
  <c r="J280" i="5"/>
  <c r="H280" i="5"/>
  <c r="AG279" i="5"/>
  <c r="AF279" i="5"/>
  <c r="AE279" i="5"/>
  <c r="AD279" i="5"/>
  <c r="AC279" i="5"/>
  <c r="AB279" i="5"/>
  <c r="AA279" i="5"/>
  <c r="Z279" i="5"/>
  <c r="Y279" i="5"/>
  <c r="X279" i="5"/>
  <c r="W279" i="5"/>
  <c r="V279" i="5"/>
  <c r="U279" i="5"/>
  <c r="T279" i="5"/>
  <c r="S279" i="5"/>
  <c r="R279" i="5"/>
  <c r="Q279" i="5"/>
  <c r="P279" i="5"/>
  <c r="O279" i="5"/>
  <c r="N279" i="5"/>
  <c r="M279" i="5"/>
  <c r="L279" i="5"/>
  <c r="K279" i="5"/>
  <c r="J279" i="5"/>
  <c r="H279" i="5"/>
  <c r="AG278" i="5"/>
  <c r="AF278" i="5"/>
  <c r="AE278" i="5"/>
  <c r="AD278" i="5"/>
  <c r="AC278" i="5"/>
  <c r="AB278" i="5"/>
  <c r="AA278" i="5"/>
  <c r="Z278" i="5"/>
  <c r="Y278" i="5"/>
  <c r="X278" i="5"/>
  <c r="W278" i="5"/>
  <c r="V278" i="5"/>
  <c r="U278" i="5"/>
  <c r="T278" i="5"/>
  <c r="S278" i="5"/>
  <c r="R278" i="5"/>
  <c r="Q278" i="5"/>
  <c r="P278" i="5"/>
  <c r="O278" i="5"/>
  <c r="N278" i="5"/>
  <c r="M278" i="5"/>
  <c r="L278" i="5"/>
  <c r="K278" i="5"/>
  <c r="J278" i="5"/>
  <c r="H278" i="5"/>
  <c r="AC277" i="5"/>
  <c r="AB277" i="5"/>
  <c r="AA277" i="5"/>
  <c r="Z277" i="5"/>
  <c r="Y277" i="5"/>
  <c r="X277" i="5"/>
  <c r="W277" i="5"/>
  <c r="V277" i="5"/>
  <c r="U277" i="5"/>
  <c r="T277" i="5"/>
  <c r="S277" i="5"/>
  <c r="R277" i="5"/>
  <c r="Q277" i="5"/>
  <c r="P277" i="5"/>
  <c r="O277" i="5"/>
  <c r="N277" i="5"/>
  <c r="M277" i="5"/>
  <c r="L277" i="5"/>
  <c r="K277" i="5"/>
  <c r="J277" i="5"/>
  <c r="H277" i="5"/>
  <c r="AG276" i="5"/>
  <c r="AF276" i="5"/>
  <c r="AE276" i="5"/>
  <c r="AD276" i="5"/>
  <c r="AC276" i="5"/>
  <c r="AB276" i="5"/>
  <c r="AA276" i="5"/>
  <c r="Z276" i="5"/>
  <c r="Y276" i="5"/>
  <c r="X276" i="5"/>
  <c r="W276" i="5"/>
  <c r="V276" i="5"/>
  <c r="U276" i="5"/>
  <c r="T276" i="5"/>
  <c r="S276" i="5"/>
  <c r="R276" i="5"/>
  <c r="Q276" i="5"/>
  <c r="P276" i="5"/>
  <c r="O276" i="5"/>
  <c r="N276" i="5"/>
  <c r="M276" i="5"/>
  <c r="L276" i="5"/>
  <c r="K276" i="5"/>
  <c r="J276" i="5"/>
  <c r="H276" i="5"/>
  <c r="AG275" i="5"/>
  <c r="AF275" i="5"/>
  <c r="AE275" i="5"/>
  <c r="AD275" i="5"/>
  <c r="AC275" i="5"/>
  <c r="AB275" i="5"/>
  <c r="AA275" i="5"/>
  <c r="Z275" i="5"/>
  <c r="Y275" i="5"/>
  <c r="X275" i="5"/>
  <c r="W275" i="5"/>
  <c r="V275" i="5"/>
  <c r="U275" i="5"/>
  <c r="T275" i="5"/>
  <c r="S275" i="5"/>
  <c r="R275" i="5"/>
  <c r="Q275" i="5"/>
  <c r="P275" i="5"/>
  <c r="O275" i="5"/>
  <c r="N275" i="5"/>
  <c r="M275" i="5"/>
  <c r="L275" i="5"/>
  <c r="K275" i="5"/>
  <c r="J275" i="5"/>
  <c r="H275" i="5"/>
  <c r="AG274" i="5"/>
  <c r="AF274" i="5"/>
  <c r="AE274" i="5"/>
  <c r="AD274" i="5"/>
  <c r="AC274" i="5"/>
  <c r="AB274" i="5"/>
  <c r="AA274" i="5"/>
  <c r="Z274" i="5"/>
  <c r="Y274" i="5"/>
  <c r="X274" i="5"/>
  <c r="W274" i="5"/>
  <c r="V274" i="5"/>
  <c r="U274" i="5"/>
  <c r="T274" i="5"/>
  <c r="S274" i="5"/>
  <c r="R274" i="5"/>
  <c r="Q274" i="5"/>
  <c r="P274" i="5"/>
  <c r="O274" i="5"/>
  <c r="N274" i="5"/>
  <c r="M274" i="5"/>
  <c r="L274" i="5"/>
  <c r="K274" i="5"/>
  <c r="J274" i="5"/>
  <c r="H274" i="5"/>
  <c r="AG273" i="5"/>
  <c r="AF273" i="5"/>
  <c r="AE273" i="5"/>
  <c r="AD273" i="5"/>
  <c r="AC273" i="5"/>
  <c r="AB273" i="5"/>
  <c r="AA273" i="5"/>
  <c r="Z273" i="5"/>
  <c r="Y273" i="5"/>
  <c r="X273" i="5"/>
  <c r="W273" i="5"/>
  <c r="V273" i="5"/>
  <c r="U273" i="5"/>
  <c r="T273" i="5"/>
  <c r="S273" i="5"/>
  <c r="R273" i="5"/>
  <c r="Q273" i="5"/>
  <c r="P273" i="5"/>
  <c r="O273" i="5"/>
  <c r="N273" i="5"/>
  <c r="M273" i="5"/>
  <c r="L273" i="5"/>
  <c r="K273" i="5"/>
  <c r="J273" i="5"/>
  <c r="H273" i="5"/>
  <c r="AG272" i="5"/>
  <c r="AF272" i="5"/>
  <c r="AE272" i="5"/>
  <c r="AD272" i="5"/>
  <c r="AC272" i="5"/>
  <c r="AB272" i="5"/>
  <c r="AA272" i="5"/>
  <c r="Z272" i="5"/>
  <c r="Y272" i="5"/>
  <c r="X272" i="5"/>
  <c r="W272" i="5"/>
  <c r="V272" i="5"/>
  <c r="U272" i="5"/>
  <c r="T272" i="5"/>
  <c r="S272" i="5"/>
  <c r="R272" i="5"/>
  <c r="Q272" i="5"/>
  <c r="P272" i="5"/>
  <c r="O272" i="5"/>
  <c r="N272" i="5"/>
  <c r="M272" i="5"/>
  <c r="L272" i="5"/>
  <c r="K272" i="5"/>
  <c r="J272" i="5"/>
  <c r="H272" i="5"/>
  <c r="AG271" i="5"/>
  <c r="AF271" i="5"/>
  <c r="AE271" i="5"/>
  <c r="AD271" i="5"/>
  <c r="AC271" i="5"/>
  <c r="AB271" i="5"/>
  <c r="AA271" i="5"/>
  <c r="Z271" i="5"/>
  <c r="Y271" i="5"/>
  <c r="X271" i="5"/>
  <c r="W271" i="5"/>
  <c r="V271" i="5"/>
  <c r="U271" i="5"/>
  <c r="T271" i="5"/>
  <c r="S271" i="5"/>
  <c r="R271" i="5"/>
  <c r="Q271" i="5"/>
  <c r="P271" i="5"/>
  <c r="O271" i="5"/>
  <c r="N271" i="5"/>
  <c r="M271" i="5"/>
  <c r="L271" i="5"/>
  <c r="K271" i="5"/>
  <c r="J271" i="5"/>
  <c r="H271" i="5"/>
  <c r="AC270" i="5"/>
  <c r="AB270" i="5"/>
  <c r="AA270" i="5"/>
  <c r="Z270" i="5"/>
  <c r="Y270" i="5"/>
  <c r="X270" i="5"/>
  <c r="W270" i="5"/>
  <c r="V270" i="5"/>
  <c r="U270" i="5"/>
  <c r="T270" i="5"/>
  <c r="S270" i="5"/>
  <c r="R270" i="5"/>
  <c r="Q270" i="5"/>
  <c r="P270" i="5"/>
  <c r="O270" i="5"/>
  <c r="N270" i="5"/>
  <c r="M270" i="5"/>
  <c r="L270" i="5"/>
  <c r="K270" i="5"/>
  <c r="J270" i="5"/>
  <c r="H270" i="5"/>
  <c r="AG269" i="5"/>
  <c r="AF269" i="5"/>
  <c r="AE269" i="5"/>
  <c r="AD269" i="5"/>
  <c r="AC269" i="5"/>
  <c r="AB269" i="5"/>
  <c r="AA269" i="5"/>
  <c r="Z269" i="5"/>
  <c r="Y269" i="5"/>
  <c r="X269" i="5"/>
  <c r="W269" i="5"/>
  <c r="V269" i="5"/>
  <c r="U269" i="5"/>
  <c r="T269" i="5"/>
  <c r="S269" i="5"/>
  <c r="R269" i="5"/>
  <c r="Q269" i="5"/>
  <c r="P269" i="5"/>
  <c r="O269" i="5"/>
  <c r="N269" i="5"/>
  <c r="M269" i="5"/>
  <c r="L269" i="5"/>
  <c r="K269" i="5"/>
  <c r="J269" i="5"/>
  <c r="H269" i="5"/>
  <c r="AG268" i="5"/>
  <c r="AF268" i="5"/>
  <c r="AE268" i="5"/>
  <c r="AD268" i="5"/>
  <c r="AC268" i="5"/>
  <c r="AB268" i="5"/>
  <c r="AA268" i="5"/>
  <c r="Z268" i="5"/>
  <c r="Y268" i="5"/>
  <c r="X268" i="5"/>
  <c r="W268" i="5"/>
  <c r="V268" i="5"/>
  <c r="U268" i="5"/>
  <c r="T268" i="5"/>
  <c r="S268" i="5"/>
  <c r="R268" i="5"/>
  <c r="Q268" i="5"/>
  <c r="P268" i="5"/>
  <c r="O268" i="5"/>
  <c r="N268" i="5"/>
  <c r="M268" i="5"/>
  <c r="L268" i="5"/>
  <c r="K268" i="5"/>
  <c r="J268" i="5"/>
  <c r="H268" i="5"/>
  <c r="AC267" i="5"/>
  <c r="AB267" i="5"/>
  <c r="AA267" i="5"/>
  <c r="Z267" i="5"/>
  <c r="Y267" i="5"/>
  <c r="X267" i="5"/>
  <c r="W267" i="5"/>
  <c r="V267" i="5"/>
  <c r="U267" i="5"/>
  <c r="T267" i="5"/>
  <c r="S267" i="5"/>
  <c r="R267" i="5"/>
  <c r="Q267" i="5"/>
  <c r="P267" i="5"/>
  <c r="O267" i="5"/>
  <c r="N267" i="5"/>
  <c r="M267" i="5"/>
  <c r="L267" i="5"/>
  <c r="K267" i="5"/>
  <c r="J267" i="5"/>
  <c r="H267" i="5"/>
  <c r="AC266" i="5"/>
  <c r="AB266" i="5"/>
  <c r="AA266" i="5"/>
  <c r="Z266" i="5"/>
  <c r="Y266" i="5"/>
  <c r="X266" i="5"/>
  <c r="W266" i="5"/>
  <c r="V266" i="5"/>
  <c r="U266" i="5"/>
  <c r="T266" i="5"/>
  <c r="S266" i="5"/>
  <c r="R266" i="5"/>
  <c r="Q266" i="5"/>
  <c r="P266" i="5"/>
  <c r="O266" i="5"/>
  <c r="N266" i="5"/>
  <c r="M266" i="5"/>
  <c r="L266" i="5"/>
  <c r="K266" i="5"/>
  <c r="J266" i="5"/>
  <c r="H266" i="5"/>
  <c r="AG265" i="5"/>
  <c r="AF265" i="5"/>
  <c r="AE265" i="5"/>
  <c r="AD265" i="5"/>
  <c r="AC265" i="5"/>
  <c r="AB265" i="5"/>
  <c r="AA265" i="5"/>
  <c r="Z265" i="5"/>
  <c r="Y265" i="5"/>
  <c r="X265" i="5"/>
  <c r="W265" i="5"/>
  <c r="V265" i="5"/>
  <c r="U265" i="5"/>
  <c r="T265" i="5"/>
  <c r="S265" i="5"/>
  <c r="R265" i="5"/>
  <c r="Q265" i="5"/>
  <c r="P265" i="5"/>
  <c r="O265" i="5"/>
  <c r="N265" i="5"/>
  <c r="M265" i="5"/>
  <c r="L265" i="5"/>
  <c r="K265" i="5"/>
  <c r="J265" i="5"/>
  <c r="H265" i="5"/>
  <c r="AC264" i="5"/>
  <c r="AB264" i="5"/>
  <c r="AA264" i="5"/>
  <c r="Z264" i="5"/>
  <c r="Y264" i="5"/>
  <c r="X264" i="5"/>
  <c r="W264" i="5"/>
  <c r="V264" i="5"/>
  <c r="U264" i="5"/>
  <c r="T264" i="5"/>
  <c r="S264" i="5"/>
  <c r="R264" i="5"/>
  <c r="Q264" i="5"/>
  <c r="P264" i="5"/>
  <c r="O264" i="5"/>
  <c r="N264" i="5"/>
  <c r="M264" i="5"/>
  <c r="L264" i="5"/>
  <c r="K264" i="5"/>
  <c r="J264" i="5"/>
  <c r="H264" i="5"/>
  <c r="AC263" i="5"/>
  <c r="AB263" i="5"/>
  <c r="AA263" i="5"/>
  <c r="Z263" i="5"/>
  <c r="Y263" i="5"/>
  <c r="X263" i="5"/>
  <c r="W263" i="5"/>
  <c r="V263" i="5"/>
  <c r="U263" i="5"/>
  <c r="T263" i="5"/>
  <c r="S263" i="5"/>
  <c r="R263" i="5"/>
  <c r="Q263" i="5"/>
  <c r="P263" i="5"/>
  <c r="O263" i="5"/>
  <c r="N263" i="5"/>
  <c r="M263" i="5"/>
  <c r="L263" i="5"/>
  <c r="K263" i="5"/>
  <c r="J263" i="5"/>
  <c r="H263" i="5"/>
  <c r="AC262" i="5"/>
  <c r="AB262" i="5"/>
  <c r="AA262" i="5"/>
  <c r="Z262" i="5"/>
  <c r="Y262" i="5"/>
  <c r="X262" i="5"/>
  <c r="W262" i="5"/>
  <c r="V262" i="5"/>
  <c r="U262" i="5"/>
  <c r="T262" i="5"/>
  <c r="S262" i="5"/>
  <c r="R262" i="5"/>
  <c r="Q262" i="5"/>
  <c r="P262" i="5"/>
  <c r="O262" i="5"/>
  <c r="N262" i="5"/>
  <c r="M262" i="5"/>
  <c r="L262" i="5"/>
  <c r="K262" i="5"/>
  <c r="J262" i="5"/>
  <c r="H262" i="5"/>
  <c r="AC261" i="5"/>
  <c r="AB261" i="5"/>
  <c r="AA261" i="5"/>
  <c r="Z261" i="5"/>
  <c r="Y261" i="5"/>
  <c r="X261" i="5"/>
  <c r="W261" i="5"/>
  <c r="V261" i="5"/>
  <c r="U261" i="5"/>
  <c r="T261" i="5"/>
  <c r="S261" i="5"/>
  <c r="R261" i="5"/>
  <c r="Q261" i="5"/>
  <c r="P261" i="5"/>
  <c r="O261" i="5"/>
  <c r="N261" i="5"/>
  <c r="M261" i="5"/>
  <c r="L261" i="5"/>
  <c r="K261" i="5"/>
  <c r="J261" i="5"/>
  <c r="H261" i="5"/>
  <c r="AC260" i="5"/>
  <c r="AB260" i="5"/>
  <c r="AA260" i="5"/>
  <c r="Z260" i="5"/>
  <c r="Y260" i="5"/>
  <c r="X260" i="5"/>
  <c r="W260" i="5"/>
  <c r="V260" i="5"/>
  <c r="U260" i="5"/>
  <c r="T260" i="5"/>
  <c r="S260" i="5"/>
  <c r="R260" i="5"/>
  <c r="Q260" i="5"/>
  <c r="P260" i="5"/>
  <c r="O260" i="5"/>
  <c r="N260" i="5"/>
  <c r="M260" i="5"/>
  <c r="L260" i="5"/>
  <c r="K260" i="5"/>
  <c r="J260" i="5"/>
  <c r="H260" i="5"/>
  <c r="AG259" i="5"/>
  <c r="AF259" i="5"/>
  <c r="AC259" i="5"/>
  <c r="AB259" i="5"/>
  <c r="AA259" i="5"/>
  <c r="Z259" i="5"/>
  <c r="Y259" i="5"/>
  <c r="X259" i="5"/>
  <c r="W259" i="5"/>
  <c r="V259" i="5"/>
  <c r="U259" i="5"/>
  <c r="T259" i="5"/>
  <c r="S259" i="5"/>
  <c r="R259" i="5"/>
  <c r="Q259" i="5"/>
  <c r="P259" i="5"/>
  <c r="O259" i="5"/>
  <c r="N259" i="5"/>
  <c r="M259" i="5"/>
  <c r="L259" i="5"/>
  <c r="K259" i="5"/>
  <c r="J259" i="5"/>
  <c r="H259" i="5"/>
  <c r="AC258" i="5"/>
  <c r="AB258" i="5"/>
  <c r="AA258" i="5"/>
  <c r="Z258" i="5"/>
  <c r="Y258" i="5"/>
  <c r="X258" i="5"/>
  <c r="W258" i="5"/>
  <c r="V258" i="5"/>
  <c r="U258" i="5"/>
  <c r="T258" i="5"/>
  <c r="S258" i="5"/>
  <c r="R258" i="5"/>
  <c r="Q258" i="5"/>
  <c r="P258" i="5"/>
  <c r="O258" i="5"/>
  <c r="N258" i="5"/>
  <c r="M258" i="5"/>
  <c r="L258" i="5"/>
  <c r="K258" i="5"/>
  <c r="J258" i="5"/>
  <c r="H258" i="5"/>
  <c r="AC257" i="5"/>
  <c r="AB257" i="5"/>
  <c r="AA257" i="5"/>
  <c r="Z257" i="5"/>
  <c r="Y257" i="5"/>
  <c r="X257" i="5"/>
  <c r="W257" i="5"/>
  <c r="V257" i="5"/>
  <c r="U257" i="5"/>
  <c r="T257" i="5"/>
  <c r="S257" i="5"/>
  <c r="R257" i="5"/>
  <c r="Q257" i="5"/>
  <c r="P257" i="5"/>
  <c r="O257" i="5"/>
  <c r="N257" i="5"/>
  <c r="M257" i="5"/>
  <c r="L257" i="5"/>
  <c r="K257" i="5"/>
  <c r="J257" i="5"/>
  <c r="H257" i="5"/>
  <c r="AC256" i="5"/>
  <c r="AB256" i="5"/>
  <c r="AA256" i="5"/>
  <c r="Z256" i="5"/>
  <c r="Y256" i="5"/>
  <c r="X256" i="5"/>
  <c r="W256" i="5"/>
  <c r="V256" i="5"/>
  <c r="U256" i="5"/>
  <c r="T256" i="5"/>
  <c r="S256" i="5"/>
  <c r="R256" i="5"/>
  <c r="Q256" i="5"/>
  <c r="P256" i="5"/>
  <c r="O256" i="5"/>
  <c r="N256" i="5"/>
  <c r="M256" i="5"/>
  <c r="L256" i="5"/>
  <c r="K256" i="5"/>
  <c r="J256" i="5"/>
  <c r="H256" i="5"/>
  <c r="AC255" i="5"/>
  <c r="AB255" i="5"/>
  <c r="AA255" i="5"/>
  <c r="Z255" i="5"/>
  <c r="Y255" i="5"/>
  <c r="X255" i="5"/>
  <c r="W255" i="5"/>
  <c r="V255" i="5"/>
  <c r="U255" i="5"/>
  <c r="T255" i="5"/>
  <c r="S255" i="5"/>
  <c r="R255" i="5"/>
  <c r="Q255" i="5"/>
  <c r="P255" i="5"/>
  <c r="O255" i="5"/>
  <c r="N255" i="5"/>
  <c r="M255" i="5"/>
  <c r="L255" i="5"/>
  <c r="K255" i="5"/>
  <c r="J255" i="5"/>
  <c r="H255" i="5"/>
  <c r="AC254" i="5"/>
  <c r="AB254" i="5"/>
  <c r="AA254" i="5"/>
  <c r="Z254" i="5"/>
  <c r="Y254" i="5"/>
  <c r="X254" i="5"/>
  <c r="W254" i="5"/>
  <c r="V254" i="5"/>
  <c r="U254" i="5"/>
  <c r="T254" i="5"/>
  <c r="S254" i="5"/>
  <c r="R254" i="5"/>
  <c r="Q254" i="5"/>
  <c r="P254" i="5"/>
  <c r="O254" i="5"/>
  <c r="N254" i="5"/>
  <c r="M254" i="5"/>
  <c r="L254" i="5"/>
  <c r="K254" i="5"/>
  <c r="J254" i="5"/>
  <c r="H254" i="5"/>
  <c r="AC253" i="5"/>
  <c r="AB253" i="5"/>
  <c r="AA253" i="5"/>
  <c r="Z253" i="5"/>
  <c r="Y253" i="5"/>
  <c r="X253" i="5"/>
  <c r="W253" i="5"/>
  <c r="V253" i="5"/>
  <c r="U253" i="5"/>
  <c r="T253" i="5"/>
  <c r="S253" i="5"/>
  <c r="R253" i="5"/>
  <c r="Q253" i="5"/>
  <c r="P253" i="5"/>
  <c r="O253" i="5"/>
  <c r="N253" i="5"/>
  <c r="M253" i="5"/>
  <c r="L253" i="5"/>
  <c r="K253" i="5"/>
  <c r="J253" i="5"/>
  <c r="H253" i="5"/>
  <c r="AC252" i="5"/>
  <c r="AB252" i="5"/>
  <c r="AA252" i="5"/>
  <c r="Z252" i="5"/>
  <c r="Y252" i="5"/>
  <c r="X252" i="5"/>
  <c r="W252" i="5"/>
  <c r="V252" i="5"/>
  <c r="U252" i="5"/>
  <c r="T252" i="5"/>
  <c r="S252" i="5"/>
  <c r="R252" i="5"/>
  <c r="Q252" i="5"/>
  <c r="P252" i="5"/>
  <c r="O252" i="5"/>
  <c r="N252" i="5"/>
  <c r="M252" i="5"/>
  <c r="L252" i="5"/>
  <c r="K252" i="5"/>
  <c r="J252" i="5"/>
  <c r="H252" i="5"/>
  <c r="AG251" i="5"/>
  <c r="AF251" i="5"/>
  <c r="AE251" i="5"/>
  <c r="AD251" i="5"/>
  <c r="AC251" i="5"/>
  <c r="AB251" i="5"/>
  <c r="AA251" i="5"/>
  <c r="Z251" i="5"/>
  <c r="Y251" i="5"/>
  <c r="X251" i="5"/>
  <c r="W251" i="5"/>
  <c r="V251" i="5"/>
  <c r="U251" i="5"/>
  <c r="T251" i="5"/>
  <c r="S251" i="5"/>
  <c r="R251" i="5"/>
  <c r="Q251" i="5"/>
  <c r="P251" i="5"/>
  <c r="O251" i="5"/>
  <c r="N251" i="5"/>
  <c r="M251" i="5"/>
  <c r="L251" i="5"/>
  <c r="K251" i="5"/>
  <c r="J251" i="5"/>
  <c r="H251" i="5"/>
  <c r="AC250" i="5"/>
  <c r="AB250" i="5"/>
  <c r="AA250" i="5"/>
  <c r="Z250" i="5"/>
  <c r="Y250" i="5"/>
  <c r="X250" i="5"/>
  <c r="W250" i="5"/>
  <c r="V250" i="5"/>
  <c r="U250" i="5"/>
  <c r="T250" i="5"/>
  <c r="S250" i="5"/>
  <c r="R250" i="5"/>
  <c r="Q250" i="5"/>
  <c r="P250" i="5"/>
  <c r="O250" i="5"/>
  <c r="N250" i="5"/>
  <c r="M250" i="5"/>
  <c r="L250" i="5"/>
  <c r="K250" i="5"/>
  <c r="J250" i="5"/>
  <c r="H250" i="5"/>
  <c r="AC249" i="5"/>
  <c r="AB249" i="5"/>
  <c r="AA249" i="5"/>
  <c r="Z249" i="5"/>
  <c r="Y249" i="5"/>
  <c r="X249" i="5"/>
  <c r="W249" i="5"/>
  <c r="V249" i="5"/>
  <c r="U249" i="5"/>
  <c r="T249" i="5"/>
  <c r="S249" i="5"/>
  <c r="R249" i="5"/>
  <c r="Q249" i="5"/>
  <c r="P249" i="5"/>
  <c r="O249" i="5"/>
  <c r="N249" i="5"/>
  <c r="M249" i="5"/>
  <c r="L249" i="5"/>
  <c r="K249" i="5"/>
  <c r="J249" i="5"/>
  <c r="H249" i="5"/>
  <c r="AC248" i="5"/>
  <c r="AB248" i="5"/>
  <c r="AA248" i="5"/>
  <c r="Z248" i="5"/>
  <c r="Y248" i="5"/>
  <c r="X248" i="5"/>
  <c r="W248" i="5"/>
  <c r="V248" i="5"/>
  <c r="U248" i="5"/>
  <c r="T248" i="5"/>
  <c r="S248" i="5"/>
  <c r="R248" i="5"/>
  <c r="Q248" i="5"/>
  <c r="P248" i="5"/>
  <c r="O248" i="5"/>
  <c r="N248" i="5"/>
  <c r="M248" i="5"/>
  <c r="L248" i="5"/>
  <c r="K248" i="5"/>
  <c r="J248" i="5"/>
  <c r="H248" i="5"/>
  <c r="AC247" i="5"/>
  <c r="AB247" i="5"/>
  <c r="AA247" i="5"/>
  <c r="Z247" i="5"/>
  <c r="Y247" i="5"/>
  <c r="X247" i="5"/>
  <c r="W247" i="5"/>
  <c r="V247" i="5"/>
  <c r="U247" i="5"/>
  <c r="T247" i="5"/>
  <c r="S247" i="5"/>
  <c r="R247" i="5"/>
  <c r="Q247" i="5"/>
  <c r="P247" i="5"/>
  <c r="O247" i="5"/>
  <c r="N247" i="5"/>
  <c r="M247" i="5"/>
  <c r="L247" i="5"/>
  <c r="K247" i="5"/>
  <c r="J247" i="5"/>
  <c r="H247" i="5"/>
  <c r="AC246" i="5"/>
  <c r="AB246" i="5"/>
  <c r="AA246" i="5"/>
  <c r="Z246" i="5"/>
  <c r="Y246" i="5"/>
  <c r="X246" i="5"/>
  <c r="W246" i="5"/>
  <c r="V246" i="5"/>
  <c r="U246" i="5"/>
  <c r="T246" i="5"/>
  <c r="S246" i="5"/>
  <c r="R246" i="5"/>
  <c r="Q246" i="5"/>
  <c r="P246" i="5"/>
  <c r="O246" i="5"/>
  <c r="N246" i="5"/>
  <c r="M246" i="5"/>
  <c r="L246" i="5"/>
  <c r="K246" i="5"/>
  <c r="J246" i="5"/>
  <c r="H246" i="5"/>
  <c r="AC245" i="5"/>
  <c r="AB245" i="5"/>
  <c r="AA245" i="5"/>
  <c r="Z245" i="5"/>
  <c r="Y245" i="5"/>
  <c r="X245" i="5"/>
  <c r="W245" i="5"/>
  <c r="V245" i="5"/>
  <c r="U245" i="5"/>
  <c r="T245" i="5"/>
  <c r="S245" i="5"/>
  <c r="R245" i="5"/>
  <c r="Q245" i="5"/>
  <c r="P245" i="5"/>
  <c r="O245" i="5"/>
  <c r="N245" i="5"/>
  <c r="M245" i="5"/>
  <c r="L245" i="5"/>
  <c r="K245" i="5"/>
  <c r="J245" i="5"/>
  <c r="H245" i="5"/>
  <c r="AC244" i="5"/>
  <c r="AB244" i="5"/>
  <c r="AA244" i="5"/>
  <c r="Z244" i="5"/>
  <c r="Y244" i="5"/>
  <c r="X244" i="5"/>
  <c r="W244" i="5"/>
  <c r="V244" i="5"/>
  <c r="U244" i="5"/>
  <c r="T244" i="5"/>
  <c r="S244" i="5"/>
  <c r="R244" i="5"/>
  <c r="Q244" i="5"/>
  <c r="P244" i="5"/>
  <c r="O244" i="5"/>
  <c r="N244" i="5"/>
  <c r="M244" i="5"/>
  <c r="L244" i="5"/>
  <c r="K244" i="5"/>
  <c r="J244" i="5"/>
  <c r="H244" i="5"/>
  <c r="AC243" i="5"/>
  <c r="AB243" i="5"/>
  <c r="AA243" i="5"/>
  <c r="Z243" i="5"/>
  <c r="Y243" i="5"/>
  <c r="X243" i="5"/>
  <c r="W243" i="5"/>
  <c r="V243" i="5"/>
  <c r="U243" i="5"/>
  <c r="T243" i="5"/>
  <c r="S243" i="5"/>
  <c r="R243" i="5"/>
  <c r="Q243" i="5"/>
  <c r="P243" i="5"/>
  <c r="O243" i="5"/>
  <c r="N243" i="5"/>
  <c r="M243" i="5"/>
  <c r="L243" i="5"/>
  <c r="K243" i="5"/>
  <c r="J243" i="5"/>
  <c r="H243" i="5"/>
  <c r="AC242" i="5"/>
  <c r="AB242" i="5"/>
  <c r="AA242" i="5"/>
  <c r="Z242" i="5"/>
  <c r="Y242" i="5"/>
  <c r="X242" i="5"/>
  <c r="W242" i="5"/>
  <c r="V242" i="5"/>
  <c r="U242" i="5"/>
  <c r="T242" i="5"/>
  <c r="S242" i="5"/>
  <c r="R242" i="5"/>
  <c r="Q242" i="5"/>
  <c r="P242" i="5"/>
  <c r="O242" i="5"/>
  <c r="N242" i="5"/>
  <c r="M242" i="5"/>
  <c r="L242" i="5"/>
  <c r="K242" i="5"/>
  <c r="J242" i="5"/>
  <c r="H242" i="5"/>
  <c r="AC241" i="5"/>
  <c r="AB241" i="5"/>
  <c r="AA241" i="5"/>
  <c r="Z241" i="5"/>
  <c r="Y241" i="5"/>
  <c r="X241" i="5"/>
  <c r="W241" i="5"/>
  <c r="V241" i="5"/>
  <c r="U241" i="5"/>
  <c r="T241" i="5"/>
  <c r="S241" i="5"/>
  <c r="R241" i="5"/>
  <c r="Q241" i="5"/>
  <c r="P241" i="5"/>
  <c r="O241" i="5"/>
  <c r="N241" i="5"/>
  <c r="M241" i="5"/>
  <c r="L241" i="5"/>
  <c r="K241" i="5"/>
  <c r="J241" i="5"/>
  <c r="H241" i="5"/>
  <c r="AC240" i="5"/>
  <c r="AB240" i="5"/>
  <c r="AA240" i="5"/>
  <c r="Z240" i="5"/>
  <c r="Y240" i="5"/>
  <c r="X240" i="5"/>
  <c r="W240" i="5"/>
  <c r="V240" i="5"/>
  <c r="U240" i="5"/>
  <c r="T240" i="5"/>
  <c r="S240" i="5"/>
  <c r="R240" i="5"/>
  <c r="Q240" i="5"/>
  <c r="P240" i="5"/>
  <c r="O240" i="5"/>
  <c r="N240" i="5"/>
  <c r="M240" i="5"/>
  <c r="L240" i="5"/>
  <c r="K240" i="5"/>
  <c r="J240" i="5"/>
  <c r="H240" i="5"/>
  <c r="AC239" i="5"/>
  <c r="AB239" i="5"/>
  <c r="AA239" i="5"/>
  <c r="Z239" i="5"/>
  <c r="Y239" i="5"/>
  <c r="X239" i="5"/>
  <c r="W239" i="5"/>
  <c r="V239" i="5"/>
  <c r="U239" i="5"/>
  <c r="T239" i="5"/>
  <c r="S239" i="5"/>
  <c r="R239" i="5"/>
  <c r="Q239" i="5"/>
  <c r="P239" i="5"/>
  <c r="O239" i="5"/>
  <c r="N239" i="5"/>
  <c r="M239" i="5"/>
  <c r="L239" i="5"/>
  <c r="K239" i="5"/>
  <c r="J239" i="5"/>
  <c r="H239" i="5"/>
  <c r="AC238" i="5"/>
  <c r="AB238" i="5"/>
  <c r="AA238" i="5"/>
  <c r="Z238" i="5"/>
  <c r="Y238" i="5"/>
  <c r="X238" i="5"/>
  <c r="W238" i="5"/>
  <c r="V238" i="5"/>
  <c r="U238" i="5"/>
  <c r="T238" i="5"/>
  <c r="S238" i="5"/>
  <c r="R238" i="5"/>
  <c r="Q238" i="5"/>
  <c r="P238" i="5"/>
  <c r="O238" i="5"/>
  <c r="N238" i="5"/>
  <c r="M238" i="5"/>
  <c r="L238" i="5"/>
  <c r="K238" i="5"/>
  <c r="J238" i="5"/>
  <c r="H238" i="5"/>
  <c r="AC237" i="5"/>
  <c r="AB237" i="5"/>
  <c r="AA237" i="5"/>
  <c r="Z237" i="5"/>
  <c r="Y237" i="5"/>
  <c r="X237" i="5"/>
  <c r="W237" i="5"/>
  <c r="V237" i="5"/>
  <c r="U237" i="5"/>
  <c r="T237" i="5"/>
  <c r="S237" i="5"/>
  <c r="R237" i="5"/>
  <c r="Q237" i="5"/>
  <c r="P237" i="5"/>
  <c r="O237" i="5"/>
  <c r="N237" i="5"/>
  <c r="M237" i="5"/>
  <c r="L237" i="5"/>
  <c r="K237" i="5"/>
  <c r="J237" i="5"/>
  <c r="H237" i="5"/>
  <c r="AC236" i="5"/>
  <c r="AB236" i="5"/>
  <c r="AA236" i="5"/>
  <c r="Z236" i="5"/>
  <c r="Y236" i="5"/>
  <c r="X236" i="5"/>
  <c r="W236" i="5"/>
  <c r="V236" i="5"/>
  <c r="U236" i="5"/>
  <c r="T236" i="5"/>
  <c r="S236" i="5"/>
  <c r="R236" i="5"/>
  <c r="Q236" i="5"/>
  <c r="P236" i="5"/>
  <c r="O236" i="5"/>
  <c r="N236" i="5"/>
  <c r="M236" i="5"/>
  <c r="L236" i="5"/>
  <c r="K236" i="5"/>
  <c r="J236" i="5"/>
  <c r="H236" i="5"/>
  <c r="AC235" i="5"/>
  <c r="AB235" i="5"/>
  <c r="AA235" i="5"/>
  <c r="Z235" i="5"/>
  <c r="Y235" i="5"/>
  <c r="X235" i="5"/>
  <c r="W235" i="5"/>
  <c r="V235" i="5"/>
  <c r="U235" i="5"/>
  <c r="T235" i="5"/>
  <c r="S235" i="5"/>
  <c r="R235" i="5"/>
  <c r="Q235" i="5"/>
  <c r="P235" i="5"/>
  <c r="O235" i="5"/>
  <c r="N235" i="5"/>
  <c r="M235" i="5"/>
  <c r="L235" i="5"/>
  <c r="K235" i="5"/>
  <c r="J235" i="5"/>
  <c r="H235" i="5"/>
  <c r="AC234" i="5"/>
  <c r="AB234" i="5"/>
  <c r="AA234" i="5"/>
  <c r="Z234" i="5"/>
  <c r="Y234" i="5"/>
  <c r="X234" i="5"/>
  <c r="W234" i="5"/>
  <c r="V234" i="5"/>
  <c r="U234" i="5"/>
  <c r="T234" i="5"/>
  <c r="S234" i="5"/>
  <c r="R234" i="5"/>
  <c r="Q234" i="5"/>
  <c r="P234" i="5"/>
  <c r="O234" i="5"/>
  <c r="N234" i="5"/>
  <c r="M234" i="5"/>
  <c r="L234" i="5"/>
  <c r="K234" i="5"/>
  <c r="J234" i="5"/>
  <c r="H234" i="5"/>
  <c r="AC233" i="5"/>
  <c r="AB233" i="5"/>
  <c r="AA233" i="5"/>
  <c r="Z233" i="5"/>
  <c r="Y233" i="5"/>
  <c r="X233" i="5"/>
  <c r="W233" i="5"/>
  <c r="V233" i="5"/>
  <c r="U233" i="5"/>
  <c r="T233" i="5"/>
  <c r="S233" i="5"/>
  <c r="R233" i="5"/>
  <c r="Q233" i="5"/>
  <c r="P233" i="5"/>
  <c r="O233" i="5"/>
  <c r="N233" i="5"/>
  <c r="M233" i="5"/>
  <c r="L233" i="5"/>
  <c r="K233" i="5"/>
  <c r="J233" i="5"/>
  <c r="H233" i="5"/>
  <c r="AC232" i="5"/>
  <c r="AB232" i="5"/>
  <c r="AA232" i="5"/>
  <c r="Z232" i="5"/>
  <c r="Y232" i="5"/>
  <c r="X232" i="5"/>
  <c r="W232" i="5"/>
  <c r="V232" i="5"/>
  <c r="U232" i="5"/>
  <c r="T232" i="5"/>
  <c r="S232" i="5"/>
  <c r="R232" i="5"/>
  <c r="Q232" i="5"/>
  <c r="P232" i="5"/>
  <c r="O232" i="5"/>
  <c r="N232" i="5"/>
  <c r="M232" i="5"/>
  <c r="L232" i="5"/>
  <c r="K232" i="5"/>
  <c r="J232" i="5"/>
  <c r="H232" i="5"/>
  <c r="AC231" i="5"/>
  <c r="AB231" i="5"/>
  <c r="AA231" i="5"/>
  <c r="Z231" i="5"/>
  <c r="Y231" i="5"/>
  <c r="X231" i="5"/>
  <c r="W231" i="5"/>
  <c r="V231" i="5"/>
  <c r="U231" i="5"/>
  <c r="T231" i="5"/>
  <c r="S231" i="5"/>
  <c r="R231" i="5"/>
  <c r="Q231" i="5"/>
  <c r="P231" i="5"/>
  <c r="O231" i="5"/>
  <c r="N231" i="5"/>
  <c r="M231" i="5"/>
  <c r="L231" i="5"/>
  <c r="K231" i="5"/>
  <c r="J231" i="5"/>
  <c r="H231" i="5"/>
  <c r="AC230" i="5"/>
  <c r="AB230" i="5"/>
  <c r="AA230" i="5"/>
  <c r="Z230" i="5"/>
  <c r="Y230" i="5"/>
  <c r="X230" i="5"/>
  <c r="W230" i="5"/>
  <c r="V230" i="5"/>
  <c r="U230" i="5"/>
  <c r="T230" i="5"/>
  <c r="S230" i="5"/>
  <c r="R230" i="5"/>
  <c r="Q230" i="5"/>
  <c r="P230" i="5"/>
  <c r="O230" i="5"/>
  <c r="N230" i="5"/>
  <c r="M230" i="5"/>
  <c r="L230" i="5"/>
  <c r="K230" i="5"/>
  <c r="J230" i="5"/>
  <c r="H230" i="5"/>
  <c r="AC229" i="5"/>
  <c r="AB229" i="5"/>
  <c r="AA229" i="5"/>
  <c r="Z229" i="5"/>
  <c r="Y229" i="5"/>
  <c r="X229" i="5"/>
  <c r="W229" i="5"/>
  <c r="V229" i="5"/>
  <c r="U229" i="5"/>
  <c r="T229" i="5"/>
  <c r="S229" i="5"/>
  <c r="R229" i="5"/>
  <c r="Q229" i="5"/>
  <c r="P229" i="5"/>
  <c r="O229" i="5"/>
  <c r="N229" i="5"/>
  <c r="M229" i="5"/>
  <c r="L229" i="5"/>
  <c r="K229" i="5"/>
  <c r="J229" i="5"/>
  <c r="H229" i="5"/>
  <c r="AC228" i="5"/>
  <c r="AB228" i="5"/>
  <c r="AA228" i="5"/>
  <c r="Z228" i="5"/>
  <c r="Y228" i="5"/>
  <c r="X228" i="5"/>
  <c r="W228" i="5"/>
  <c r="V228" i="5"/>
  <c r="U228" i="5"/>
  <c r="T228" i="5"/>
  <c r="S228" i="5"/>
  <c r="R228" i="5"/>
  <c r="Q228" i="5"/>
  <c r="P228" i="5"/>
  <c r="O228" i="5"/>
  <c r="N228" i="5"/>
  <c r="M228" i="5"/>
  <c r="L228" i="5"/>
  <c r="K228" i="5"/>
  <c r="J228" i="5"/>
  <c r="H228" i="5"/>
  <c r="AC227" i="5"/>
  <c r="AB227" i="5"/>
  <c r="AA227" i="5"/>
  <c r="Z227" i="5"/>
  <c r="Y227" i="5"/>
  <c r="X227" i="5"/>
  <c r="W227" i="5"/>
  <c r="V227" i="5"/>
  <c r="U227" i="5"/>
  <c r="T227" i="5"/>
  <c r="S227" i="5"/>
  <c r="R227" i="5"/>
  <c r="Q227" i="5"/>
  <c r="P227" i="5"/>
  <c r="O227" i="5"/>
  <c r="N227" i="5"/>
  <c r="M227" i="5"/>
  <c r="L227" i="5"/>
  <c r="K227" i="5"/>
  <c r="J227" i="5"/>
  <c r="H227" i="5"/>
  <c r="AC226" i="5"/>
  <c r="AB226" i="5"/>
  <c r="AA226" i="5"/>
  <c r="Z226" i="5"/>
  <c r="Y226" i="5"/>
  <c r="X226" i="5"/>
  <c r="W226" i="5"/>
  <c r="V226" i="5"/>
  <c r="U226" i="5"/>
  <c r="T226" i="5"/>
  <c r="S226" i="5"/>
  <c r="R226" i="5"/>
  <c r="Q226" i="5"/>
  <c r="P226" i="5"/>
  <c r="O226" i="5"/>
  <c r="N226" i="5"/>
  <c r="M226" i="5"/>
  <c r="L226" i="5"/>
  <c r="K226" i="5"/>
  <c r="J226" i="5"/>
  <c r="H226" i="5"/>
  <c r="AC225" i="5"/>
  <c r="AB225" i="5"/>
  <c r="AA225" i="5"/>
  <c r="Z225" i="5"/>
  <c r="Y225" i="5"/>
  <c r="X225" i="5"/>
  <c r="W225" i="5"/>
  <c r="V225" i="5"/>
  <c r="U225" i="5"/>
  <c r="T225" i="5"/>
  <c r="S225" i="5"/>
  <c r="R225" i="5"/>
  <c r="Q225" i="5"/>
  <c r="P225" i="5"/>
  <c r="O225" i="5"/>
  <c r="N225" i="5"/>
  <c r="M225" i="5"/>
  <c r="L225" i="5"/>
  <c r="K225" i="5"/>
  <c r="J225" i="5"/>
  <c r="H225" i="5"/>
  <c r="AC224" i="5"/>
  <c r="AB224" i="5"/>
  <c r="AA224" i="5"/>
  <c r="Z224" i="5"/>
  <c r="Y224" i="5"/>
  <c r="X224" i="5"/>
  <c r="W224" i="5"/>
  <c r="V224" i="5"/>
  <c r="U224" i="5"/>
  <c r="T224" i="5"/>
  <c r="S224" i="5"/>
  <c r="R224" i="5"/>
  <c r="Q224" i="5"/>
  <c r="P224" i="5"/>
  <c r="O224" i="5"/>
  <c r="N224" i="5"/>
  <c r="M224" i="5"/>
  <c r="L224" i="5"/>
  <c r="K224" i="5"/>
  <c r="J224" i="5"/>
  <c r="H224" i="5"/>
  <c r="AC223" i="5"/>
  <c r="AB223" i="5"/>
  <c r="AA223" i="5"/>
  <c r="Z223" i="5"/>
  <c r="Y223" i="5"/>
  <c r="X223" i="5"/>
  <c r="W223" i="5"/>
  <c r="V223" i="5"/>
  <c r="U223" i="5"/>
  <c r="T223" i="5"/>
  <c r="S223" i="5"/>
  <c r="R223" i="5"/>
  <c r="Q223" i="5"/>
  <c r="P223" i="5"/>
  <c r="O223" i="5"/>
  <c r="N223" i="5"/>
  <c r="M223" i="5"/>
  <c r="L223" i="5"/>
  <c r="K223" i="5"/>
  <c r="J223" i="5"/>
  <c r="H223" i="5"/>
  <c r="AC222" i="5"/>
  <c r="AB222" i="5"/>
  <c r="AA222" i="5"/>
  <c r="Z222" i="5"/>
  <c r="Y222" i="5"/>
  <c r="X222" i="5"/>
  <c r="W222" i="5"/>
  <c r="V222" i="5"/>
  <c r="U222" i="5"/>
  <c r="T222" i="5"/>
  <c r="S222" i="5"/>
  <c r="R222" i="5"/>
  <c r="Q222" i="5"/>
  <c r="P222" i="5"/>
  <c r="O222" i="5"/>
  <c r="N222" i="5"/>
  <c r="M222" i="5"/>
  <c r="L222" i="5"/>
  <c r="K222" i="5"/>
  <c r="J222" i="5"/>
  <c r="H222" i="5"/>
  <c r="AC221" i="5"/>
  <c r="AB221" i="5"/>
  <c r="AA221" i="5"/>
  <c r="Z221" i="5"/>
  <c r="Y221" i="5"/>
  <c r="X221" i="5"/>
  <c r="W221" i="5"/>
  <c r="V221" i="5"/>
  <c r="U221" i="5"/>
  <c r="T221" i="5"/>
  <c r="S221" i="5"/>
  <c r="R221" i="5"/>
  <c r="Q221" i="5"/>
  <c r="P221" i="5"/>
  <c r="O221" i="5"/>
  <c r="N221" i="5"/>
  <c r="M221" i="5"/>
  <c r="L221" i="5"/>
  <c r="K221" i="5"/>
  <c r="J221" i="5"/>
  <c r="H221" i="5"/>
  <c r="AC220" i="5"/>
  <c r="AB220" i="5"/>
  <c r="AA220" i="5"/>
  <c r="Z220" i="5"/>
  <c r="Y220" i="5"/>
  <c r="X220" i="5"/>
  <c r="W220" i="5"/>
  <c r="V220" i="5"/>
  <c r="U220" i="5"/>
  <c r="T220" i="5"/>
  <c r="S220" i="5"/>
  <c r="R220" i="5"/>
  <c r="Q220" i="5"/>
  <c r="P220" i="5"/>
  <c r="O220" i="5"/>
  <c r="N220" i="5"/>
  <c r="M220" i="5"/>
  <c r="L220" i="5"/>
  <c r="K220" i="5"/>
  <c r="J220" i="5"/>
  <c r="H220" i="5"/>
  <c r="AC219" i="5"/>
  <c r="AB219" i="5"/>
  <c r="AA219" i="5"/>
  <c r="Z219" i="5"/>
  <c r="Y219" i="5"/>
  <c r="X219" i="5"/>
  <c r="W219" i="5"/>
  <c r="V219" i="5"/>
  <c r="U219" i="5"/>
  <c r="T219" i="5"/>
  <c r="S219" i="5"/>
  <c r="R219" i="5"/>
  <c r="Q219" i="5"/>
  <c r="P219" i="5"/>
  <c r="O219" i="5"/>
  <c r="N219" i="5"/>
  <c r="M219" i="5"/>
  <c r="L219" i="5"/>
  <c r="K219" i="5"/>
  <c r="J219" i="5"/>
  <c r="H219" i="5"/>
  <c r="AC218" i="5"/>
  <c r="AB218" i="5"/>
  <c r="AA218" i="5"/>
  <c r="Z218" i="5"/>
  <c r="Y218" i="5"/>
  <c r="X218" i="5"/>
  <c r="W218" i="5"/>
  <c r="V218" i="5"/>
  <c r="U218" i="5"/>
  <c r="T218" i="5"/>
  <c r="S218" i="5"/>
  <c r="R218" i="5"/>
  <c r="Q218" i="5"/>
  <c r="P218" i="5"/>
  <c r="O218" i="5"/>
  <c r="N218" i="5"/>
  <c r="M218" i="5"/>
  <c r="L218" i="5"/>
  <c r="K218" i="5"/>
  <c r="J218" i="5"/>
  <c r="H218" i="5"/>
  <c r="AC217" i="5"/>
  <c r="AB217" i="5"/>
  <c r="AA217" i="5"/>
  <c r="Z217" i="5"/>
  <c r="Y217" i="5"/>
  <c r="X217" i="5"/>
  <c r="W217" i="5"/>
  <c r="V217" i="5"/>
  <c r="U217" i="5"/>
  <c r="T217" i="5"/>
  <c r="S217" i="5"/>
  <c r="R217" i="5"/>
  <c r="Q217" i="5"/>
  <c r="P217" i="5"/>
  <c r="O217" i="5"/>
  <c r="N217" i="5"/>
  <c r="M217" i="5"/>
  <c r="L217" i="5"/>
  <c r="K217" i="5"/>
  <c r="J217" i="5"/>
  <c r="H217" i="5"/>
  <c r="AC216" i="5"/>
  <c r="AB216" i="5"/>
  <c r="AA216" i="5"/>
  <c r="Z216" i="5"/>
  <c r="Y216" i="5"/>
  <c r="X216" i="5"/>
  <c r="W216" i="5"/>
  <c r="V216" i="5"/>
  <c r="U216" i="5"/>
  <c r="T216" i="5"/>
  <c r="S216" i="5"/>
  <c r="R216" i="5"/>
  <c r="Q216" i="5"/>
  <c r="P216" i="5"/>
  <c r="O216" i="5"/>
  <c r="N216" i="5"/>
  <c r="M216" i="5"/>
  <c r="L216" i="5"/>
  <c r="K216" i="5"/>
  <c r="J216" i="5"/>
  <c r="H216" i="5"/>
  <c r="AC215" i="5"/>
  <c r="AB215" i="5"/>
  <c r="AA215" i="5"/>
  <c r="Z215" i="5"/>
  <c r="Y215" i="5"/>
  <c r="X215" i="5"/>
  <c r="W215" i="5"/>
  <c r="V215" i="5"/>
  <c r="U215" i="5"/>
  <c r="T215" i="5"/>
  <c r="S215" i="5"/>
  <c r="R215" i="5"/>
  <c r="Q215" i="5"/>
  <c r="P215" i="5"/>
  <c r="O215" i="5"/>
  <c r="N215" i="5"/>
  <c r="M215" i="5"/>
  <c r="L215" i="5"/>
  <c r="K215" i="5"/>
  <c r="J215" i="5"/>
  <c r="H215" i="5"/>
  <c r="AC214" i="5"/>
  <c r="AB214" i="5"/>
  <c r="AA214" i="5"/>
  <c r="Z214" i="5"/>
  <c r="Y214" i="5"/>
  <c r="X214" i="5"/>
  <c r="W214" i="5"/>
  <c r="V214" i="5"/>
  <c r="U214" i="5"/>
  <c r="T214" i="5"/>
  <c r="S214" i="5"/>
  <c r="R214" i="5"/>
  <c r="Q214" i="5"/>
  <c r="P214" i="5"/>
  <c r="O214" i="5"/>
  <c r="N214" i="5"/>
  <c r="M214" i="5"/>
  <c r="L214" i="5"/>
  <c r="K214" i="5"/>
  <c r="J214" i="5"/>
  <c r="H214" i="5"/>
  <c r="AC213" i="5"/>
  <c r="AB213" i="5"/>
  <c r="AA213" i="5"/>
  <c r="Z213" i="5"/>
  <c r="Y213" i="5"/>
  <c r="W213" i="5"/>
  <c r="V213" i="5"/>
  <c r="U213" i="5"/>
  <c r="T213" i="5"/>
  <c r="S213" i="5"/>
  <c r="R213" i="5"/>
  <c r="Q213" i="5"/>
  <c r="P213" i="5"/>
  <c r="O213" i="5"/>
  <c r="N213" i="5"/>
  <c r="M213" i="5"/>
  <c r="L213" i="5"/>
  <c r="K213" i="5"/>
  <c r="J213" i="5"/>
  <c r="H213" i="5"/>
  <c r="AC212" i="5"/>
  <c r="AB212" i="5"/>
  <c r="AA212" i="5"/>
  <c r="Z212" i="5"/>
  <c r="Y212" i="5"/>
  <c r="X212" i="5"/>
  <c r="W212" i="5"/>
  <c r="V212" i="5"/>
  <c r="U212" i="5"/>
  <c r="T212" i="5"/>
  <c r="S212" i="5"/>
  <c r="R212" i="5"/>
  <c r="Q212" i="5"/>
  <c r="P212" i="5"/>
  <c r="O212" i="5"/>
  <c r="N212" i="5"/>
  <c r="M212" i="5"/>
  <c r="L212" i="5"/>
  <c r="K212" i="5"/>
  <c r="J212" i="5"/>
  <c r="H212" i="5"/>
  <c r="AC211" i="5"/>
  <c r="AB211" i="5"/>
  <c r="AA211" i="5"/>
  <c r="Z211" i="5"/>
  <c r="Y211" i="5"/>
  <c r="X211" i="5"/>
  <c r="W211" i="5"/>
  <c r="V211" i="5"/>
  <c r="U211" i="5"/>
  <c r="T211" i="5"/>
  <c r="S211" i="5"/>
  <c r="R211" i="5"/>
  <c r="Q211" i="5"/>
  <c r="P211" i="5"/>
  <c r="O211" i="5"/>
  <c r="N211" i="5"/>
  <c r="M211" i="5"/>
  <c r="L211" i="5"/>
  <c r="K211" i="5"/>
  <c r="J211" i="5"/>
  <c r="H211" i="5"/>
  <c r="AC210" i="5"/>
  <c r="AB210" i="5"/>
  <c r="AA210" i="5"/>
  <c r="Z210" i="5"/>
  <c r="Y210" i="5"/>
  <c r="X210" i="5"/>
  <c r="W210" i="5"/>
  <c r="V210" i="5"/>
  <c r="U210" i="5"/>
  <c r="T210" i="5"/>
  <c r="S210" i="5"/>
  <c r="R210" i="5"/>
  <c r="Q210" i="5"/>
  <c r="P210" i="5"/>
  <c r="O210" i="5"/>
  <c r="N210" i="5"/>
  <c r="M210" i="5"/>
  <c r="L210" i="5"/>
  <c r="K210" i="5"/>
  <c r="J210" i="5"/>
  <c r="H210" i="5"/>
  <c r="AC209" i="5"/>
  <c r="AB209" i="5"/>
  <c r="AA209" i="5"/>
  <c r="Z209" i="5"/>
  <c r="Y209" i="5"/>
  <c r="X209" i="5"/>
  <c r="W209" i="5"/>
  <c r="V209" i="5"/>
  <c r="U209" i="5"/>
  <c r="T209" i="5"/>
  <c r="S209" i="5"/>
  <c r="R209" i="5"/>
  <c r="Q209" i="5"/>
  <c r="P209" i="5"/>
  <c r="O209" i="5"/>
  <c r="N209" i="5"/>
  <c r="M209" i="5"/>
  <c r="L209" i="5"/>
  <c r="K209" i="5"/>
  <c r="J209" i="5"/>
  <c r="H209" i="5"/>
  <c r="AG208" i="5"/>
  <c r="AF208" i="5"/>
  <c r="AE208" i="5"/>
  <c r="AD208" i="5"/>
  <c r="AC208" i="5"/>
  <c r="AB208" i="5"/>
  <c r="AA208" i="5"/>
  <c r="Z208" i="5"/>
  <c r="Y208" i="5"/>
  <c r="X208" i="5"/>
  <c r="W208" i="5"/>
  <c r="V208" i="5"/>
  <c r="U208" i="5"/>
  <c r="T208" i="5"/>
  <c r="S208" i="5"/>
  <c r="R208" i="5"/>
  <c r="Q208" i="5"/>
  <c r="P208" i="5"/>
  <c r="O208" i="5"/>
  <c r="N208" i="5"/>
  <c r="M208" i="5"/>
  <c r="L208" i="5"/>
  <c r="K208" i="5"/>
  <c r="J208" i="5"/>
  <c r="H208" i="5"/>
  <c r="AG207" i="5"/>
  <c r="AF207" i="5"/>
  <c r="AE207" i="5"/>
  <c r="AD207" i="5"/>
  <c r="AC207" i="5"/>
  <c r="AB207" i="5"/>
  <c r="AA207" i="5"/>
  <c r="Z207" i="5"/>
  <c r="Y207" i="5"/>
  <c r="X207" i="5"/>
  <c r="W207" i="5"/>
  <c r="V207" i="5"/>
  <c r="U207" i="5"/>
  <c r="T207" i="5"/>
  <c r="S207" i="5"/>
  <c r="R207" i="5"/>
  <c r="Q207" i="5"/>
  <c r="P207" i="5"/>
  <c r="O207" i="5"/>
  <c r="N207" i="5"/>
  <c r="M207" i="5"/>
  <c r="L207" i="5"/>
  <c r="K207" i="5"/>
  <c r="J207" i="5"/>
  <c r="H207" i="5"/>
  <c r="AC206" i="5"/>
  <c r="AB206" i="5"/>
  <c r="AA206" i="5"/>
  <c r="Z206" i="5"/>
  <c r="Y206" i="5"/>
  <c r="X206" i="5"/>
  <c r="W206" i="5"/>
  <c r="V206" i="5"/>
  <c r="U206" i="5"/>
  <c r="T206" i="5"/>
  <c r="S206" i="5"/>
  <c r="R206" i="5"/>
  <c r="Q206" i="5"/>
  <c r="P206" i="5"/>
  <c r="O206" i="5"/>
  <c r="N206" i="5"/>
  <c r="M206" i="5"/>
  <c r="L206" i="5"/>
  <c r="K206" i="5"/>
  <c r="J206" i="5"/>
  <c r="H206" i="5"/>
  <c r="AC205" i="5"/>
  <c r="AB205" i="5"/>
  <c r="AA205" i="5"/>
  <c r="Z205" i="5"/>
  <c r="Y205" i="5"/>
  <c r="X205" i="5"/>
  <c r="W205" i="5"/>
  <c r="V205" i="5"/>
  <c r="U205" i="5"/>
  <c r="T205" i="5"/>
  <c r="S205" i="5"/>
  <c r="R205" i="5"/>
  <c r="Q205" i="5"/>
  <c r="P205" i="5"/>
  <c r="O205" i="5"/>
  <c r="N205" i="5"/>
  <c r="M205" i="5"/>
  <c r="L205" i="5"/>
  <c r="K205" i="5"/>
  <c r="J205" i="5"/>
  <c r="H205" i="5"/>
  <c r="AC204" i="5"/>
  <c r="AB204" i="5"/>
  <c r="AA204" i="5"/>
  <c r="Z204" i="5"/>
  <c r="Y204" i="5"/>
  <c r="X204" i="5"/>
  <c r="W204" i="5"/>
  <c r="V204" i="5"/>
  <c r="U204" i="5"/>
  <c r="T204" i="5"/>
  <c r="S204" i="5"/>
  <c r="R204" i="5"/>
  <c r="Q204" i="5"/>
  <c r="P204" i="5"/>
  <c r="O204" i="5"/>
  <c r="N204" i="5"/>
  <c r="M204" i="5"/>
  <c r="L204" i="5"/>
  <c r="K204" i="5"/>
  <c r="J204" i="5"/>
  <c r="H204" i="5"/>
  <c r="AC203" i="5"/>
  <c r="AB203" i="5"/>
  <c r="AA203" i="5"/>
  <c r="Z203" i="5"/>
  <c r="Y203" i="5"/>
  <c r="X203" i="5"/>
  <c r="W203" i="5"/>
  <c r="V203" i="5"/>
  <c r="U203" i="5"/>
  <c r="T203" i="5"/>
  <c r="S203" i="5"/>
  <c r="R203" i="5"/>
  <c r="Q203" i="5"/>
  <c r="P203" i="5"/>
  <c r="O203" i="5"/>
  <c r="N203" i="5"/>
  <c r="M203" i="5"/>
  <c r="L203" i="5"/>
  <c r="K203" i="5"/>
  <c r="J203" i="5"/>
  <c r="H203" i="5"/>
  <c r="AC202" i="5"/>
  <c r="AB202" i="5"/>
  <c r="AA202" i="5"/>
  <c r="Z202" i="5"/>
  <c r="Y202" i="5"/>
  <c r="X202" i="5"/>
  <c r="W202" i="5"/>
  <c r="V202" i="5"/>
  <c r="U202" i="5"/>
  <c r="T202" i="5"/>
  <c r="S202" i="5"/>
  <c r="R202" i="5"/>
  <c r="Q202" i="5"/>
  <c r="P202" i="5"/>
  <c r="O202" i="5"/>
  <c r="N202" i="5"/>
  <c r="M202" i="5"/>
  <c r="L202" i="5"/>
  <c r="K202" i="5"/>
  <c r="J202" i="5"/>
  <c r="H202" i="5"/>
  <c r="AC201" i="5"/>
  <c r="AB201" i="5"/>
  <c r="AA201" i="5"/>
  <c r="Z201" i="5"/>
  <c r="Y201" i="5"/>
  <c r="X201" i="5"/>
  <c r="W201" i="5"/>
  <c r="V201" i="5"/>
  <c r="U201" i="5"/>
  <c r="T201" i="5"/>
  <c r="S201" i="5"/>
  <c r="R201" i="5"/>
  <c r="Q201" i="5"/>
  <c r="P201" i="5"/>
  <c r="O201" i="5"/>
  <c r="N201" i="5"/>
  <c r="M201" i="5"/>
  <c r="L201" i="5"/>
  <c r="K201" i="5"/>
  <c r="J201" i="5"/>
  <c r="H201" i="5"/>
  <c r="AC200" i="5"/>
  <c r="AB200" i="5"/>
  <c r="AA200" i="5"/>
  <c r="Z200" i="5"/>
  <c r="Y200" i="5"/>
  <c r="X200" i="5"/>
  <c r="W200" i="5"/>
  <c r="V200" i="5"/>
  <c r="U200" i="5"/>
  <c r="T200" i="5"/>
  <c r="S200" i="5"/>
  <c r="R200" i="5"/>
  <c r="Q200" i="5"/>
  <c r="P200" i="5"/>
  <c r="O200" i="5"/>
  <c r="N200" i="5"/>
  <c r="M200" i="5"/>
  <c r="L200" i="5"/>
  <c r="K200" i="5"/>
  <c r="J200" i="5"/>
  <c r="H200" i="5"/>
  <c r="AG199" i="5"/>
  <c r="AF199" i="5"/>
  <c r="AE199" i="5"/>
  <c r="AD199" i="5"/>
  <c r="AC199" i="5"/>
  <c r="AB199" i="5"/>
  <c r="AA199" i="5"/>
  <c r="Z199" i="5"/>
  <c r="Y199" i="5"/>
  <c r="X199" i="5"/>
  <c r="W199" i="5"/>
  <c r="V199" i="5"/>
  <c r="U199" i="5"/>
  <c r="T199" i="5"/>
  <c r="S199" i="5"/>
  <c r="R199" i="5"/>
  <c r="Q199" i="5"/>
  <c r="P199" i="5"/>
  <c r="O199" i="5"/>
  <c r="N199" i="5"/>
  <c r="M199" i="5"/>
  <c r="L199" i="5"/>
  <c r="K199" i="5"/>
  <c r="J199" i="5"/>
  <c r="H199" i="5"/>
  <c r="AG198" i="5"/>
  <c r="AF198" i="5"/>
  <c r="AE198" i="5"/>
  <c r="AD198" i="5"/>
  <c r="AC198" i="5"/>
  <c r="AB198" i="5"/>
  <c r="AA198" i="5"/>
  <c r="Z198" i="5"/>
  <c r="Y198" i="5"/>
  <c r="X198" i="5"/>
  <c r="W198" i="5"/>
  <c r="V198" i="5"/>
  <c r="U198" i="5"/>
  <c r="T198" i="5"/>
  <c r="S198" i="5"/>
  <c r="R198" i="5"/>
  <c r="Q198" i="5"/>
  <c r="P198" i="5"/>
  <c r="O198" i="5"/>
  <c r="N198" i="5"/>
  <c r="M198" i="5"/>
  <c r="L198" i="5"/>
  <c r="K198" i="5"/>
  <c r="J198" i="5"/>
  <c r="H198" i="5"/>
  <c r="AC197" i="5"/>
  <c r="AB197" i="5"/>
  <c r="AA197" i="5"/>
  <c r="Z197" i="5"/>
  <c r="Y197" i="5"/>
  <c r="X197" i="5"/>
  <c r="W197" i="5"/>
  <c r="V197" i="5"/>
  <c r="U197" i="5"/>
  <c r="T197" i="5"/>
  <c r="S197" i="5"/>
  <c r="R197" i="5"/>
  <c r="Q197" i="5"/>
  <c r="P197" i="5"/>
  <c r="O197" i="5"/>
  <c r="N197" i="5"/>
  <c r="M197" i="5"/>
  <c r="L197" i="5"/>
  <c r="K197" i="5"/>
  <c r="J197" i="5"/>
  <c r="H197" i="5"/>
  <c r="AC196" i="5"/>
  <c r="AB196" i="5"/>
  <c r="AA196" i="5"/>
  <c r="Z196" i="5"/>
  <c r="Y196" i="5"/>
  <c r="X196" i="5"/>
  <c r="W196" i="5"/>
  <c r="V196" i="5"/>
  <c r="U196" i="5"/>
  <c r="T196" i="5"/>
  <c r="S196" i="5"/>
  <c r="R196" i="5"/>
  <c r="Q196" i="5"/>
  <c r="P196" i="5"/>
  <c r="O196" i="5"/>
  <c r="N196" i="5"/>
  <c r="M196" i="5"/>
  <c r="L196" i="5"/>
  <c r="K196" i="5"/>
  <c r="J196" i="5"/>
  <c r="H196" i="5"/>
  <c r="AC195" i="5"/>
  <c r="AB195" i="5"/>
  <c r="AA195" i="5"/>
  <c r="Z195" i="5"/>
  <c r="Y195" i="5"/>
  <c r="X195" i="5"/>
  <c r="W195" i="5"/>
  <c r="V195" i="5"/>
  <c r="U195" i="5"/>
  <c r="T195" i="5"/>
  <c r="S195" i="5"/>
  <c r="R195" i="5"/>
  <c r="Q195" i="5"/>
  <c r="P195" i="5"/>
  <c r="O195" i="5"/>
  <c r="N195" i="5"/>
  <c r="M195" i="5"/>
  <c r="L195" i="5"/>
  <c r="K195" i="5"/>
  <c r="J195" i="5"/>
  <c r="H195" i="5"/>
  <c r="AC194" i="5"/>
  <c r="AB194" i="5"/>
  <c r="AA194" i="5"/>
  <c r="Z194" i="5"/>
  <c r="Y194" i="5"/>
  <c r="X194" i="5"/>
  <c r="W194" i="5"/>
  <c r="V194" i="5"/>
  <c r="U194" i="5"/>
  <c r="T194" i="5"/>
  <c r="S194" i="5"/>
  <c r="R194" i="5"/>
  <c r="Q194" i="5"/>
  <c r="P194" i="5"/>
  <c r="O194" i="5"/>
  <c r="N194" i="5"/>
  <c r="M194" i="5"/>
  <c r="L194" i="5"/>
  <c r="K194" i="5"/>
  <c r="J194" i="5"/>
  <c r="H194" i="5"/>
  <c r="AC193" i="5"/>
  <c r="AB193" i="5"/>
  <c r="AA193" i="5"/>
  <c r="Z193" i="5"/>
  <c r="Y193" i="5"/>
  <c r="X193" i="5"/>
  <c r="W193" i="5"/>
  <c r="V193" i="5"/>
  <c r="U193" i="5"/>
  <c r="T193" i="5"/>
  <c r="S193" i="5"/>
  <c r="R193" i="5"/>
  <c r="Q193" i="5"/>
  <c r="P193" i="5"/>
  <c r="O193" i="5"/>
  <c r="N193" i="5"/>
  <c r="M193" i="5"/>
  <c r="L193" i="5"/>
  <c r="K193" i="5"/>
  <c r="J193" i="5"/>
  <c r="H193" i="5"/>
  <c r="AC192" i="5"/>
  <c r="AB192" i="5"/>
  <c r="AA192" i="5"/>
  <c r="Z192" i="5"/>
  <c r="Y192" i="5"/>
  <c r="X192" i="5"/>
  <c r="W192" i="5"/>
  <c r="V192" i="5"/>
  <c r="U192" i="5"/>
  <c r="T192" i="5"/>
  <c r="S192" i="5"/>
  <c r="R192" i="5"/>
  <c r="Q192" i="5"/>
  <c r="P192" i="5"/>
  <c r="O192" i="5"/>
  <c r="N192" i="5"/>
  <c r="M192" i="5"/>
  <c r="L192" i="5"/>
  <c r="K192" i="5"/>
  <c r="J192" i="5"/>
  <c r="H192" i="5"/>
  <c r="AC191" i="5"/>
  <c r="AB191" i="5"/>
  <c r="AA191" i="5"/>
  <c r="Z191" i="5"/>
  <c r="Y191" i="5"/>
  <c r="X191" i="5"/>
  <c r="W191" i="5"/>
  <c r="V191" i="5"/>
  <c r="U191" i="5"/>
  <c r="T191" i="5"/>
  <c r="S191" i="5"/>
  <c r="R191" i="5"/>
  <c r="Q191" i="5"/>
  <c r="P191" i="5"/>
  <c r="O191" i="5"/>
  <c r="N191" i="5"/>
  <c r="M191" i="5"/>
  <c r="L191" i="5"/>
  <c r="K191" i="5"/>
  <c r="J191" i="5"/>
  <c r="H191" i="5"/>
  <c r="AC190" i="5"/>
  <c r="AB190" i="5"/>
  <c r="AA190" i="5"/>
  <c r="Z190" i="5"/>
  <c r="Y190" i="5"/>
  <c r="X190" i="5"/>
  <c r="W190" i="5"/>
  <c r="V190" i="5"/>
  <c r="U190" i="5"/>
  <c r="T190" i="5"/>
  <c r="S190" i="5"/>
  <c r="R190" i="5"/>
  <c r="Q190" i="5"/>
  <c r="P190" i="5"/>
  <c r="O190" i="5"/>
  <c r="N190" i="5"/>
  <c r="M190" i="5"/>
  <c r="L190" i="5"/>
  <c r="K190" i="5"/>
  <c r="J190" i="5"/>
  <c r="H190" i="5"/>
  <c r="AC189" i="5"/>
  <c r="AB189" i="5"/>
  <c r="AA189" i="5"/>
  <c r="Z189" i="5"/>
  <c r="Y189" i="5"/>
  <c r="X189" i="5"/>
  <c r="W189" i="5"/>
  <c r="V189" i="5"/>
  <c r="U189" i="5"/>
  <c r="T189" i="5"/>
  <c r="S189" i="5"/>
  <c r="R189" i="5"/>
  <c r="Q189" i="5"/>
  <c r="P189" i="5"/>
  <c r="O189" i="5"/>
  <c r="N189" i="5"/>
  <c r="M189" i="5"/>
  <c r="L189" i="5"/>
  <c r="K189" i="5"/>
  <c r="J189" i="5"/>
  <c r="H189" i="5"/>
  <c r="AG188" i="5"/>
  <c r="AD188" i="5"/>
  <c r="AC188" i="5"/>
  <c r="AB188" i="5"/>
  <c r="AA188" i="5"/>
  <c r="Z188" i="5"/>
  <c r="Y188" i="5"/>
  <c r="X188" i="5"/>
  <c r="W188" i="5"/>
  <c r="V188" i="5"/>
  <c r="U188" i="5"/>
  <c r="T188" i="5"/>
  <c r="S188" i="5"/>
  <c r="R188" i="5"/>
  <c r="Q188" i="5"/>
  <c r="P188" i="5"/>
  <c r="O188" i="5"/>
  <c r="N188" i="5"/>
  <c r="M188" i="5"/>
  <c r="L188" i="5"/>
  <c r="K188" i="5"/>
  <c r="J188" i="5"/>
  <c r="H188" i="5"/>
  <c r="AC187" i="5"/>
  <c r="AB187" i="5"/>
  <c r="AA187" i="5"/>
  <c r="Z187" i="5"/>
  <c r="Y187" i="5"/>
  <c r="X187" i="5"/>
  <c r="W187" i="5"/>
  <c r="V187" i="5"/>
  <c r="U187" i="5"/>
  <c r="T187" i="5"/>
  <c r="S187" i="5"/>
  <c r="R187" i="5"/>
  <c r="Q187" i="5"/>
  <c r="P187" i="5"/>
  <c r="O187" i="5"/>
  <c r="N187" i="5"/>
  <c r="M187" i="5"/>
  <c r="L187" i="5"/>
  <c r="K187" i="5"/>
  <c r="J187" i="5"/>
  <c r="H187" i="5"/>
  <c r="AC186" i="5"/>
  <c r="AB186" i="5"/>
  <c r="AA186" i="5"/>
  <c r="Z186" i="5"/>
  <c r="Y186" i="5"/>
  <c r="X186" i="5"/>
  <c r="W186" i="5"/>
  <c r="V186" i="5"/>
  <c r="U186" i="5"/>
  <c r="T186" i="5"/>
  <c r="S186" i="5"/>
  <c r="R186" i="5"/>
  <c r="Q186" i="5"/>
  <c r="P186" i="5"/>
  <c r="O186" i="5"/>
  <c r="N186" i="5"/>
  <c r="M186" i="5"/>
  <c r="L186" i="5"/>
  <c r="K186" i="5"/>
  <c r="J186" i="5"/>
  <c r="H186" i="5"/>
  <c r="AC185" i="5"/>
  <c r="AB185" i="5"/>
  <c r="AA185" i="5"/>
  <c r="Z185" i="5"/>
  <c r="Y185" i="5"/>
  <c r="X185" i="5"/>
  <c r="W185" i="5"/>
  <c r="V185" i="5"/>
  <c r="U185" i="5"/>
  <c r="T185" i="5"/>
  <c r="S185" i="5"/>
  <c r="R185" i="5"/>
  <c r="Q185" i="5"/>
  <c r="P185" i="5"/>
  <c r="O185" i="5"/>
  <c r="N185" i="5"/>
  <c r="M185" i="5"/>
  <c r="L185" i="5"/>
  <c r="K185" i="5"/>
  <c r="J185" i="5"/>
  <c r="H185" i="5"/>
  <c r="AC184" i="5"/>
  <c r="AB184" i="5"/>
  <c r="AA184" i="5"/>
  <c r="Z184" i="5"/>
  <c r="Y184" i="5"/>
  <c r="X184" i="5"/>
  <c r="W184" i="5"/>
  <c r="V184" i="5"/>
  <c r="U184" i="5"/>
  <c r="T184" i="5"/>
  <c r="S184" i="5"/>
  <c r="R184" i="5"/>
  <c r="Q184" i="5"/>
  <c r="P184" i="5"/>
  <c r="O184" i="5"/>
  <c r="N184" i="5"/>
  <c r="M184" i="5"/>
  <c r="L184" i="5"/>
  <c r="K184" i="5"/>
  <c r="J184" i="5"/>
  <c r="H184" i="5"/>
  <c r="AG183" i="5"/>
  <c r="AE183" i="5"/>
  <c r="AC183" i="5"/>
  <c r="AB183" i="5"/>
  <c r="AA183" i="5"/>
  <c r="Z183" i="5"/>
  <c r="Y183" i="5"/>
  <c r="X183" i="5"/>
  <c r="W183" i="5"/>
  <c r="V183" i="5"/>
  <c r="U183" i="5"/>
  <c r="T183" i="5"/>
  <c r="S183" i="5"/>
  <c r="R183" i="5"/>
  <c r="Q183" i="5"/>
  <c r="P183" i="5"/>
  <c r="O183" i="5"/>
  <c r="N183" i="5"/>
  <c r="M183" i="5"/>
  <c r="L183" i="5"/>
  <c r="K183" i="5"/>
  <c r="J183" i="5"/>
  <c r="H183" i="5"/>
  <c r="AC182" i="5"/>
  <c r="AB182" i="5"/>
  <c r="AA182" i="5"/>
  <c r="Z182" i="5"/>
  <c r="Y182" i="5"/>
  <c r="X182" i="5"/>
  <c r="W182" i="5"/>
  <c r="V182" i="5"/>
  <c r="U182" i="5"/>
  <c r="T182" i="5"/>
  <c r="S182" i="5"/>
  <c r="R182" i="5"/>
  <c r="Q182" i="5"/>
  <c r="P182" i="5"/>
  <c r="O182" i="5"/>
  <c r="N182" i="5"/>
  <c r="M182" i="5"/>
  <c r="L182" i="5"/>
  <c r="K182" i="5"/>
  <c r="J182" i="5"/>
  <c r="H182" i="5"/>
  <c r="AC181" i="5"/>
  <c r="AB181" i="5"/>
  <c r="AA181" i="5"/>
  <c r="Z181" i="5"/>
  <c r="Y181" i="5"/>
  <c r="X181" i="5"/>
  <c r="W181" i="5"/>
  <c r="V181" i="5"/>
  <c r="U181" i="5"/>
  <c r="T181" i="5"/>
  <c r="S181" i="5"/>
  <c r="R181" i="5"/>
  <c r="Q181" i="5"/>
  <c r="P181" i="5"/>
  <c r="O181" i="5"/>
  <c r="N181" i="5"/>
  <c r="M181" i="5"/>
  <c r="L181" i="5"/>
  <c r="K181" i="5"/>
  <c r="J181" i="5"/>
  <c r="H181" i="5"/>
  <c r="AC180" i="5"/>
  <c r="AB180" i="5"/>
  <c r="AA180" i="5"/>
  <c r="Z180" i="5"/>
  <c r="Y180" i="5"/>
  <c r="X180" i="5"/>
  <c r="W180" i="5"/>
  <c r="V180" i="5"/>
  <c r="U180" i="5"/>
  <c r="T180" i="5"/>
  <c r="S180" i="5"/>
  <c r="R180" i="5"/>
  <c r="Q180" i="5"/>
  <c r="P180" i="5"/>
  <c r="O180" i="5"/>
  <c r="N180" i="5"/>
  <c r="M180" i="5"/>
  <c r="L180" i="5"/>
  <c r="K180" i="5"/>
  <c r="J180" i="5"/>
  <c r="H180" i="5"/>
  <c r="AC179" i="5"/>
  <c r="AB179" i="5"/>
  <c r="AA179" i="5"/>
  <c r="Z179" i="5"/>
  <c r="Y179" i="5"/>
  <c r="X179" i="5"/>
  <c r="W179" i="5"/>
  <c r="V179" i="5"/>
  <c r="U179" i="5"/>
  <c r="T179" i="5"/>
  <c r="S179" i="5"/>
  <c r="R179" i="5"/>
  <c r="Q179" i="5"/>
  <c r="P179" i="5"/>
  <c r="O179" i="5"/>
  <c r="N179" i="5"/>
  <c r="M179" i="5"/>
  <c r="L179" i="5"/>
  <c r="K179" i="5"/>
  <c r="J179" i="5"/>
  <c r="H179" i="5"/>
  <c r="AC178" i="5"/>
  <c r="AB178" i="5"/>
  <c r="AA178" i="5"/>
  <c r="Z178" i="5"/>
  <c r="Y178" i="5"/>
  <c r="X178" i="5"/>
  <c r="W178" i="5"/>
  <c r="V178" i="5"/>
  <c r="U178" i="5"/>
  <c r="T178" i="5"/>
  <c r="S178" i="5"/>
  <c r="R178" i="5"/>
  <c r="Q178" i="5"/>
  <c r="P178" i="5"/>
  <c r="O178" i="5"/>
  <c r="N178" i="5"/>
  <c r="M178" i="5"/>
  <c r="L178" i="5"/>
  <c r="K178" i="5"/>
  <c r="J178" i="5"/>
  <c r="H178" i="5"/>
  <c r="AC177" i="5"/>
  <c r="AB177" i="5"/>
  <c r="AA177" i="5"/>
  <c r="Z177" i="5"/>
  <c r="Y177" i="5"/>
  <c r="X177" i="5"/>
  <c r="W177" i="5"/>
  <c r="V177" i="5"/>
  <c r="U177" i="5"/>
  <c r="T177" i="5"/>
  <c r="S177" i="5"/>
  <c r="R177" i="5"/>
  <c r="Q177" i="5"/>
  <c r="P177" i="5"/>
  <c r="O177" i="5"/>
  <c r="N177" i="5"/>
  <c r="M177" i="5"/>
  <c r="L177" i="5"/>
  <c r="K177" i="5"/>
  <c r="J177" i="5"/>
  <c r="H177" i="5"/>
  <c r="AC176" i="5"/>
  <c r="AB176" i="5"/>
  <c r="AA176" i="5"/>
  <c r="Z176" i="5"/>
  <c r="Y176" i="5"/>
  <c r="X176" i="5"/>
  <c r="W176" i="5"/>
  <c r="V176" i="5"/>
  <c r="U176" i="5"/>
  <c r="T176" i="5"/>
  <c r="S176" i="5"/>
  <c r="R176" i="5"/>
  <c r="Q176" i="5"/>
  <c r="P176" i="5"/>
  <c r="O176" i="5"/>
  <c r="N176" i="5"/>
  <c r="M176" i="5"/>
  <c r="L176" i="5"/>
  <c r="K176" i="5"/>
  <c r="J176" i="5"/>
  <c r="H176" i="5"/>
  <c r="AC175" i="5"/>
  <c r="AB175" i="5"/>
  <c r="AA175" i="5"/>
  <c r="Z175" i="5"/>
  <c r="Y175" i="5"/>
  <c r="X175" i="5"/>
  <c r="W175" i="5"/>
  <c r="V175" i="5"/>
  <c r="U175" i="5"/>
  <c r="T175" i="5"/>
  <c r="S175" i="5"/>
  <c r="R175" i="5"/>
  <c r="Q175" i="5"/>
  <c r="P175" i="5"/>
  <c r="O175" i="5"/>
  <c r="N175" i="5"/>
  <c r="M175" i="5"/>
  <c r="L175" i="5"/>
  <c r="K175" i="5"/>
  <c r="J175" i="5"/>
  <c r="H175" i="5"/>
  <c r="AC174" i="5"/>
  <c r="AB174" i="5"/>
  <c r="AA174" i="5"/>
  <c r="Z174" i="5"/>
  <c r="Y174" i="5"/>
  <c r="X174" i="5"/>
  <c r="W174" i="5"/>
  <c r="V174" i="5"/>
  <c r="U174" i="5"/>
  <c r="T174" i="5"/>
  <c r="S174" i="5"/>
  <c r="R174" i="5"/>
  <c r="Q174" i="5"/>
  <c r="P174" i="5"/>
  <c r="O174" i="5"/>
  <c r="N174" i="5"/>
  <c r="M174" i="5"/>
  <c r="L174" i="5"/>
  <c r="K174" i="5"/>
  <c r="J174" i="5"/>
  <c r="H174" i="5"/>
  <c r="AG173" i="5"/>
  <c r="AF173" i="5"/>
  <c r="AE173" i="5"/>
  <c r="AD173" i="5"/>
  <c r="AC173" i="5"/>
  <c r="AB173" i="5"/>
  <c r="AA173" i="5"/>
  <c r="Z173" i="5"/>
  <c r="Y173" i="5"/>
  <c r="X173" i="5"/>
  <c r="W173" i="5"/>
  <c r="V173" i="5"/>
  <c r="U173" i="5"/>
  <c r="T173" i="5"/>
  <c r="S173" i="5"/>
  <c r="R173" i="5"/>
  <c r="Q173" i="5"/>
  <c r="P173" i="5"/>
  <c r="O173" i="5"/>
  <c r="N173" i="5"/>
  <c r="M173" i="5"/>
  <c r="L173" i="5"/>
  <c r="K173" i="5"/>
  <c r="J173" i="5"/>
  <c r="H173" i="5"/>
  <c r="AG172" i="5"/>
  <c r="AF172" i="5"/>
  <c r="AE172" i="5"/>
  <c r="AD172" i="5"/>
  <c r="AC172" i="5"/>
  <c r="AB172" i="5"/>
  <c r="AA172" i="5"/>
  <c r="Z172" i="5"/>
  <c r="Y172" i="5"/>
  <c r="X172" i="5"/>
  <c r="W172" i="5"/>
  <c r="V172" i="5"/>
  <c r="U172" i="5"/>
  <c r="T172" i="5"/>
  <c r="S172" i="5"/>
  <c r="R172" i="5"/>
  <c r="Q172" i="5"/>
  <c r="P172" i="5"/>
  <c r="O172" i="5"/>
  <c r="N172" i="5"/>
  <c r="M172" i="5"/>
  <c r="L172" i="5"/>
  <c r="K172" i="5"/>
  <c r="J172" i="5"/>
  <c r="H172" i="5"/>
  <c r="AC171" i="5"/>
  <c r="AB171" i="5"/>
  <c r="AA171" i="5"/>
  <c r="Z171" i="5"/>
  <c r="Y171" i="5"/>
  <c r="X171" i="5"/>
  <c r="W171" i="5"/>
  <c r="V171" i="5"/>
  <c r="U171" i="5"/>
  <c r="T171" i="5"/>
  <c r="S171" i="5"/>
  <c r="R171" i="5"/>
  <c r="Q171" i="5"/>
  <c r="P171" i="5"/>
  <c r="O171" i="5"/>
  <c r="N171" i="5"/>
  <c r="M171" i="5"/>
  <c r="L171" i="5"/>
  <c r="K171" i="5"/>
  <c r="J171" i="5"/>
  <c r="H171" i="5"/>
  <c r="AC170" i="5"/>
  <c r="AB170" i="5"/>
  <c r="AA170" i="5"/>
  <c r="Z170" i="5"/>
  <c r="Y170" i="5"/>
  <c r="X170" i="5"/>
  <c r="W170" i="5"/>
  <c r="V170" i="5"/>
  <c r="U170" i="5"/>
  <c r="T170" i="5"/>
  <c r="S170" i="5"/>
  <c r="R170" i="5"/>
  <c r="Q170" i="5"/>
  <c r="P170" i="5"/>
  <c r="O170" i="5"/>
  <c r="N170" i="5"/>
  <c r="M170" i="5"/>
  <c r="L170" i="5"/>
  <c r="K170" i="5"/>
  <c r="J170" i="5"/>
  <c r="H170" i="5"/>
  <c r="AC169" i="5"/>
  <c r="AB169" i="5"/>
  <c r="AA169" i="5"/>
  <c r="Z169" i="5"/>
  <c r="Y169" i="5"/>
  <c r="X169" i="5"/>
  <c r="W169" i="5"/>
  <c r="V169" i="5"/>
  <c r="U169" i="5"/>
  <c r="T169" i="5"/>
  <c r="S169" i="5"/>
  <c r="R169" i="5"/>
  <c r="Q169" i="5"/>
  <c r="P169" i="5"/>
  <c r="O169" i="5"/>
  <c r="N169" i="5"/>
  <c r="M169" i="5"/>
  <c r="L169" i="5"/>
  <c r="K169" i="5"/>
  <c r="J169" i="5"/>
  <c r="H169" i="5"/>
  <c r="AC168" i="5"/>
  <c r="AB168" i="5"/>
  <c r="AA168" i="5"/>
  <c r="Z168" i="5"/>
  <c r="Y168" i="5"/>
  <c r="X168" i="5"/>
  <c r="W168" i="5"/>
  <c r="V168" i="5"/>
  <c r="U168" i="5"/>
  <c r="T168" i="5"/>
  <c r="S168" i="5"/>
  <c r="R168" i="5"/>
  <c r="Q168" i="5"/>
  <c r="P168" i="5"/>
  <c r="O168" i="5"/>
  <c r="N168" i="5"/>
  <c r="M168" i="5"/>
  <c r="L168" i="5"/>
  <c r="K168" i="5"/>
  <c r="J168" i="5"/>
  <c r="H168" i="5"/>
  <c r="AC167" i="5"/>
  <c r="AB167" i="5"/>
  <c r="AA167" i="5"/>
  <c r="Z167" i="5"/>
  <c r="Y167" i="5"/>
  <c r="X167" i="5"/>
  <c r="W167" i="5"/>
  <c r="V167" i="5"/>
  <c r="U167" i="5"/>
  <c r="T167" i="5"/>
  <c r="S167" i="5"/>
  <c r="R167" i="5"/>
  <c r="Q167" i="5"/>
  <c r="P167" i="5"/>
  <c r="O167" i="5"/>
  <c r="N167" i="5"/>
  <c r="M167" i="5"/>
  <c r="L167" i="5"/>
  <c r="K167" i="5"/>
  <c r="J167" i="5"/>
  <c r="H167" i="5"/>
  <c r="AC166" i="5"/>
  <c r="AB166" i="5"/>
  <c r="AA166" i="5"/>
  <c r="Z166" i="5"/>
  <c r="Y166" i="5"/>
  <c r="X166" i="5"/>
  <c r="W166" i="5"/>
  <c r="V166" i="5"/>
  <c r="U166" i="5"/>
  <c r="T166" i="5"/>
  <c r="S166" i="5"/>
  <c r="R166" i="5"/>
  <c r="Q166" i="5"/>
  <c r="P166" i="5"/>
  <c r="O166" i="5"/>
  <c r="N166" i="5"/>
  <c r="M166" i="5"/>
  <c r="L166" i="5"/>
  <c r="K166" i="5"/>
  <c r="J166" i="5"/>
  <c r="H166" i="5"/>
  <c r="AC165" i="5"/>
  <c r="AB165" i="5"/>
  <c r="AA165" i="5"/>
  <c r="Z165" i="5"/>
  <c r="Y165" i="5"/>
  <c r="X165" i="5"/>
  <c r="W165" i="5"/>
  <c r="V165" i="5"/>
  <c r="U165" i="5"/>
  <c r="T165" i="5"/>
  <c r="S165" i="5"/>
  <c r="R165" i="5"/>
  <c r="Q165" i="5"/>
  <c r="P165" i="5"/>
  <c r="O165" i="5"/>
  <c r="N165" i="5"/>
  <c r="M165" i="5"/>
  <c r="L165" i="5"/>
  <c r="K165" i="5"/>
  <c r="J165" i="5"/>
  <c r="H165" i="5"/>
  <c r="AC164" i="5"/>
  <c r="AB164" i="5"/>
  <c r="AA164" i="5"/>
  <c r="Z164" i="5"/>
  <c r="Y164" i="5"/>
  <c r="X164" i="5"/>
  <c r="W164" i="5"/>
  <c r="V164" i="5"/>
  <c r="U164" i="5"/>
  <c r="T164" i="5"/>
  <c r="S164" i="5"/>
  <c r="R164" i="5"/>
  <c r="Q164" i="5"/>
  <c r="P164" i="5"/>
  <c r="O164" i="5"/>
  <c r="N164" i="5"/>
  <c r="M164" i="5"/>
  <c r="L164" i="5"/>
  <c r="K164" i="5"/>
  <c r="J164" i="5"/>
  <c r="H164" i="5"/>
  <c r="AC163" i="5"/>
  <c r="AB163" i="5"/>
  <c r="AA163" i="5"/>
  <c r="Z163" i="5"/>
  <c r="Y163" i="5"/>
  <c r="X163" i="5"/>
  <c r="W163" i="5"/>
  <c r="V163" i="5"/>
  <c r="U163" i="5"/>
  <c r="T163" i="5"/>
  <c r="S163" i="5"/>
  <c r="R163" i="5"/>
  <c r="Q163" i="5"/>
  <c r="P163" i="5"/>
  <c r="O163" i="5"/>
  <c r="N163" i="5"/>
  <c r="M163" i="5"/>
  <c r="L163" i="5"/>
  <c r="K163" i="5"/>
  <c r="J163" i="5"/>
  <c r="H163" i="5"/>
  <c r="AG162" i="5"/>
  <c r="AF162" i="5"/>
  <c r="AE162" i="5"/>
  <c r="AD162" i="5"/>
  <c r="AC162" i="5"/>
  <c r="AB162" i="5"/>
  <c r="AA162" i="5"/>
  <c r="Z162" i="5"/>
  <c r="Y162" i="5"/>
  <c r="X162" i="5"/>
  <c r="W162" i="5"/>
  <c r="V162" i="5"/>
  <c r="U162" i="5"/>
  <c r="T162" i="5"/>
  <c r="S162" i="5"/>
  <c r="R162" i="5"/>
  <c r="Q162" i="5"/>
  <c r="P162" i="5"/>
  <c r="O162" i="5"/>
  <c r="N162" i="5"/>
  <c r="M162" i="5"/>
  <c r="L162" i="5"/>
  <c r="K162" i="5"/>
  <c r="J162" i="5"/>
  <c r="H162" i="5"/>
  <c r="AC161" i="5"/>
  <c r="AB161" i="5"/>
  <c r="AA161" i="5"/>
  <c r="Z161" i="5"/>
  <c r="Y161" i="5"/>
  <c r="X161" i="5"/>
  <c r="W161" i="5"/>
  <c r="V161" i="5"/>
  <c r="U161" i="5"/>
  <c r="T161" i="5"/>
  <c r="S161" i="5"/>
  <c r="R161" i="5"/>
  <c r="Q161" i="5"/>
  <c r="P161" i="5"/>
  <c r="O161" i="5"/>
  <c r="N161" i="5"/>
  <c r="M161" i="5"/>
  <c r="L161" i="5"/>
  <c r="K161" i="5"/>
  <c r="J161" i="5"/>
  <c r="H161" i="5"/>
  <c r="AC160" i="5"/>
  <c r="AB160" i="5"/>
  <c r="AA160" i="5"/>
  <c r="Z160" i="5"/>
  <c r="Y160" i="5"/>
  <c r="X160" i="5"/>
  <c r="W160" i="5"/>
  <c r="V160" i="5"/>
  <c r="U160" i="5"/>
  <c r="T160" i="5"/>
  <c r="S160" i="5"/>
  <c r="R160" i="5"/>
  <c r="Q160" i="5"/>
  <c r="P160" i="5"/>
  <c r="O160" i="5"/>
  <c r="N160" i="5"/>
  <c r="M160" i="5"/>
  <c r="L160" i="5"/>
  <c r="K160" i="5"/>
  <c r="J160" i="5"/>
  <c r="H160" i="5"/>
  <c r="AC159" i="5"/>
  <c r="AB159" i="5"/>
  <c r="AA159" i="5"/>
  <c r="Z159" i="5"/>
  <c r="Y159" i="5"/>
  <c r="X159" i="5"/>
  <c r="W159" i="5"/>
  <c r="V159" i="5"/>
  <c r="U159" i="5"/>
  <c r="T159" i="5"/>
  <c r="S159" i="5"/>
  <c r="R159" i="5"/>
  <c r="Q159" i="5"/>
  <c r="P159" i="5"/>
  <c r="O159" i="5"/>
  <c r="N159" i="5"/>
  <c r="M159" i="5"/>
  <c r="L159" i="5"/>
  <c r="K159" i="5"/>
  <c r="J159" i="5"/>
  <c r="H159" i="5"/>
  <c r="AC158" i="5"/>
  <c r="AB158" i="5"/>
  <c r="AA158" i="5"/>
  <c r="Z158" i="5"/>
  <c r="Y158" i="5"/>
  <c r="X158" i="5"/>
  <c r="W158" i="5"/>
  <c r="V158" i="5"/>
  <c r="U158" i="5"/>
  <c r="T158" i="5"/>
  <c r="S158" i="5"/>
  <c r="R158" i="5"/>
  <c r="Q158" i="5"/>
  <c r="P158" i="5"/>
  <c r="O158" i="5"/>
  <c r="N158" i="5"/>
  <c r="M158" i="5"/>
  <c r="L158" i="5"/>
  <c r="K158" i="5"/>
  <c r="J158" i="5"/>
  <c r="H158" i="5"/>
  <c r="AC157" i="5"/>
  <c r="AB157" i="5"/>
  <c r="AA157" i="5"/>
  <c r="Z157" i="5"/>
  <c r="Y157" i="5"/>
  <c r="X157" i="5"/>
  <c r="W157" i="5"/>
  <c r="V157" i="5"/>
  <c r="U157" i="5"/>
  <c r="T157" i="5"/>
  <c r="S157" i="5"/>
  <c r="R157" i="5"/>
  <c r="Q157" i="5"/>
  <c r="P157" i="5"/>
  <c r="O157" i="5"/>
  <c r="N157" i="5"/>
  <c r="M157" i="5"/>
  <c r="L157" i="5"/>
  <c r="K157" i="5"/>
  <c r="J157" i="5"/>
  <c r="H157" i="5"/>
  <c r="AG156" i="5"/>
  <c r="AF156" i="5"/>
  <c r="AE156" i="5"/>
  <c r="AD156" i="5"/>
  <c r="AC156" i="5"/>
  <c r="AB156" i="5"/>
  <c r="AA156" i="5"/>
  <c r="Z156" i="5"/>
  <c r="Y156" i="5"/>
  <c r="X156" i="5"/>
  <c r="W156" i="5"/>
  <c r="V156" i="5"/>
  <c r="U156" i="5"/>
  <c r="T156" i="5"/>
  <c r="S156" i="5"/>
  <c r="R156" i="5"/>
  <c r="Q156" i="5"/>
  <c r="P156" i="5"/>
  <c r="O156" i="5"/>
  <c r="N156" i="5"/>
  <c r="M156" i="5"/>
  <c r="L156" i="5"/>
  <c r="K156" i="5"/>
  <c r="J156" i="5"/>
  <c r="H156" i="5"/>
  <c r="AC155" i="5"/>
  <c r="AB155" i="5"/>
  <c r="AA155" i="5"/>
  <c r="Z155" i="5"/>
  <c r="Y155" i="5"/>
  <c r="X155" i="5"/>
  <c r="W155" i="5"/>
  <c r="V155" i="5"/>
  <c r="U155" i="5"/>
  <c r="T155" i="5"/>
  <c r="S155" i="5"/>
  <c r="R155" i="5"/>
  <c r="Q155" i="5"/>
  <c r="P155" i="5"/>
  <c r="O155" i="5"/>
  <c r="N155" i="5"/>
  <c r="M155" i="5"/>
  <c r="L155" i="5"/>
  <c r="K155" i="5"/>
  <c r="J155" i="5"/>
  <c r="H155" i="5"/>
  <c r="AC154" i="5"/>
  <c r="AB154" i="5"/>
  <c r="AA154" i="5"/>
  <c r="Z154" i="5"/>
  <c r="Y154" i="5"/>
  <c r="X154" i="5"/>
  <c r="W154" i="5"/>
  <c r="V154" i="5"/>
  <c r="U154" i="5"/>
  <c r="T154" i="5"/>
  <c r="S154" i="5"/>
  <c r="R154" i="5"/>
  <c r="Q154" i="5"/>
  <c r="P154" i="5"/>
  <c r="O154" i="5"/>
  <c r="N154" i="5"/>
  <c r="M154" i="5"/>
  <c r="L154" i="5"/>
  <c r="K154" i="5"/>
  <c r="J154" i="5"/>
  <c r="H154" i="5"/>
  <c r="AC153" i="5"/>
  <c r="AB153" i="5"/>
  <c r="AA153" i="5"/>
  <c r="Z153" i="5"/>
  <c r="Y153" i="5"/>
  <c r="X153" i="5"/>
  <c r="W153" i="5"/>
  <c r="V153" i="5"/>
  <c r="U153" i="5"/>
  <c r="T153" i="5"/>
  <c r="S153" i="5"/>
  <c r="R153" i="5"/>
  <c r="Q153" i="5"/>
  <c r="P153" i="5"/>
  <c r="O153" i="5"/>
  <c r="N153" i="5"/>
  <c r="M153" i="5"/>
  <c r="L153" i="5"/>
  <c r="K153" i="5"/>
  <c r="J153" i="5"/>
  <c r="H153" i="5"/>
  <c r="AG152" i="5"/>
  <c r="AF152" i="5"/>
  <c r="AE152" i="5"/>
  <c r="AD152" i="5"/>
  <c r="AC152" i="5"/>
  <c r="AB152" i="5"/>
  <c r="AA152" i="5"/>
  <c r="Z152" i="5"/>
  <c r="Y152" i="5"/>
  <c r="X152" i="5"/>
  <c r="W152" i="5"/>
  <c r="V152" i="5"/>
  <c r="U152" i="5"/>
  <c r="T152" i="5"/>
  <c r="S152" i="5"/>
  <c r="R152" i="5"/>
  <c r="Q152" i="5"/>
  <c r="P152" i="5"/>
  <c r="O152" i="5"/>
  <c r="N152" i="5"/>
  <c r="M152" i="5"/>
  <c r="L152" i="5"/>
  <c r="K152" i="5"/>
  <c r="J152" i="5"/>
  <c r="H152" i="5"/>
  <c r="AC151" i="5"/>
  <c r="AB151" i="5"/>
  <c r="AA151" i="5"/>
  <c r="Z151" i="5"/>
  <c r="Y151" i="5"/>
  <c r="X151" i="5"/>
  <c r="W151" i="5"/>
  <c r="V151" i="5"/>
  <c r="U151" i="5"/>
  <c r="T151" i="5"/>
  <c r="S151" i="5"/>
  <c r="R151" i="5"/>
  <c r="Q151" i="5"/>
  <c r="P151" i="5"/>
  <c r="O151" i="5"/>
  <c r="N151" i="5"/>
  <c r="M151" i="5"/>
  <c r="L151" i="5"/>
  <c r="K151" i="5"/>
  <c r="J151" i="5"/>
  <c r="H151" i="5"/>
  <c r="AC150" i="5"/>
  <c r="AB150" i="5"/>
  <c r="AA150" i="5"/>
  <c r="Z150" i="5"/>
  <c r="Y150" i="5"/>
  <c r="X150" i="5"/>
  <c r="W150" i="5"/>
  <c r="V150" i="5"/>
  <c r="U150" i="5"/>
  <c r="T150" i="5"/>
  <c r="S150" i="5"/>
  <c r="R150" i="5"/>
  <c r="Q150" i="5"/>
  <c r="P150" i="5"/>
  <c r="O150" i="5"/>
  <c r="N150" i="5"/>
  <c r="M150" i="5"/>
  <c r="L150" i="5"/>
  <c r="K150" i="5"/>
  <c r="J150" i="5"/>
  <c r="H150" i="5"/>
  <c r="AC149" i="5"/>
  <c r="AA149" i="5"/>
  <c r="V149" i="5"/>
  <c r="U149" i="5"/>
  <c r="T149" i="5"/>
  <c r="S149" i="5"/>
  <c r="R149" i="5"/>
  <c r="Q149" i="5"/>
  <c r="P149" i="5"/>
  <c r="O149" i="5"/>
  <c r="N149" i="5"/>
  <c r="M149" i="5"/>
  <c r="L149" i="5"/>
  <c r="K149" i="5"/>
  <c r="J149" i="5"/>
  <c r="H149" i="5"/>
  <c r="AG148" i="5"/>
  <c r="AF148" i="5"/>
  <c r="AE148" i="5"/>
  <c r="AD148" i="5"/>
  <c r="AC148" i="5"/>
  <c r="AB148" i="5"/>
  <c r="AA148" i="5"/>
  <c r="Z148" i="5"/>
  <c r="Y148" i="5"/>
  <c r="X148" i="5"/>
  <c r="W148" i="5"/>
  <c r="V148" i="5"/>
  <c r="U148" i="5"/>
  <c r="T148" i="5"/>
  <c r="S148" i="5"/>
  <c r="R148" i="5"/>
  <c r="Q148" i="5"/>
  <c r="P148" i="5"/>
  <c r="O148" i="5"/>
  <c r="N148" i="5"/>
  <c r="M148" i="5"/>
  <c r="L148" i="5"/>
  <c r="K148" i="5"/>
  <c r="J148" i="5"/>
  <c r="H148" i="5"/>
  <c r="AC147" i="5"/>
  <c r="AB147" i="5"/>
  <c r="AA147" i="5"/>
  <c r="Z147" i="5"/>
  <c r="Y147" i="5"/>
  <c r="X147" i="5"/>
  <c r="W147" i="5"/>
  <c r="V147" i="5"/>
  <c r="U147" i="5"/>
  <c r="T147" i="5"/>
  <c r="S147" i="5"/>
  <c r="R147" i="5"/>
  <c r="Q147" i="5"/>
  <c r="P147" i="5"/>
  <c r="O147" i="5"/>
  <c r="N147" i="5"/>
  <c r="M147" i="5"/>
  <c r="L147" i="5"/>
  <c r="K147" i="5"/>
  <c r="J147" i="5"/>
  <c r="H147" i="5"/>
  <c r="AG146" i="5"/>
  <c r="AF146" i="5"/>
  <c r="AE146" i="5"/>
  <c r="AD146" i="5"/>
  <c r="AC146" i="5"/>
  <c r="AB146" i="5"/>
  <c r="AA146" i="5"/>
  <c r="Z146" i="5"/>
  <c r="Y146" i="5"/>
  <c r="X146" i="5"/>
  <c r="W146" i="5"/>
  <c r="V146" i="5"/>
  <c r="U146" i="5"/>
  <c r="T146" i="5"/>
  <c r="S146" i="5"/>
  <c r="R146" i="5"/>
  <c r="Q146" i="5"/>
  <c r="P146" i="5"/>
  <c r="O146" i="5"/>
  <c r="N146" i="5"/>
  <c r="M146" i="5"/>
  <c r="L146" i="5"/>
  <c r="K146" i="5"/>
  <c r="J146" i="5"/>
  <c r="H146" i="5"/>
  <c r="AC145" i="5"/>
  <c r="AB145" i="5"/>
  <c r="AA145" i="5"/>
  <c r="Z145" i="5"/>
  <c r="Y145" i="5"/>
  <c r="X145" i="5"/>
  <c r="W145" i="5"/>
  <c r="V145" i="5"/>
  <c r="U145" i="5"/>
  <c r="T145" i="5"/>
  <c r="S145" i="5"/>
  <c r="R145" i="5"/>
  <c r="Q145" i="5"/>
  <c r="P145" i="5"/>
  <c r="O145" i="5"/>
  <c r="N145" i="5"/>
  <c r="M145" i="5"/>
  <c r="L145" i="5"/>
  <c r="K145" i="5"/>
  <c r="J145" i="5"/>
  <c r="H145" i="5"/>
  <c r="AC144" i="5"/>
  <c r="AB144" i="5"/>
  <c r="AA144" i="5"/>
  <c r="Z144" i="5"/>
  <c r="Y144" i="5"/>
  <c r="X144" i="5"/>
  <c r="W144" i="5"/>
  <c r="V144" i="5"/>
  <c r="U144" i="5"/>
  <c r="T144" i="5"/>
  <c r="S144" i="5"/>
  <c r="R144" i="5"/>
  <c r="Q144" i="5"/>
  <c r="P144" i="5"/>
  <c r="O144" i="5"/>
  <c r="N144" i="5"/>
  <c r="M144" i="5"/>
  <c r="L144" i="5"/>
  <c r="K144" i="5"/>
  <c r="J144" i="5"/>
  <c r="H144" i="5"/>
  <c r="AG143" i="5"/>
  <c r="AE143" i="5"/>
  <c r="AC143" i="5"/>
  <c r="AB143" i="5"/>
  <c r="AA143" i="5"/>
  <c r="Z143" i="5"/>
  <c r="Y143" i="5"/>
  <c r="X143" i="5"/>
  <c r="W143" i="5"/>
  <c r="V143" i="5"/>
  <c r="U143" i="5"/>
  <c r="T143" i="5"/>
  <c r="S143" i="5"/>
  <c r="R143" i="5"/>
  <c r="Q143" i="5"/>
  <c r="P143" i="5"/>
  <c r="O143" i="5"/>
  <c r="N143" i="5"/>
  <c r="M143" i="5"/>
  <c r="L143" i="5"/>
  <c r="K143" i="5"/>
  <c r="J143" i="5"/>
  <c r="H143" i="5"/>
  <c r="AC142" i="5"/>
  <c r="AB142" i="5"/>
  <c r="AA142" i="5"/>
  <c r="Z142" i="5"/>
  <c r="Y142" i="5"/>
  <c r="X142" i="5"/>
  <c r="W142" i="5"/>
  <c r="V142" i="5"/>
  <c r="U142" i="5"/>
  <c r="T142" i="5"/>
  <c r="S142" i="5"/>
  <c r="R142" i="5"/>
  <c r="Q142" i="5"/>
  <c r="P142" i="5"/>
  <c r="O142" i="5"/>
  <c r="N142" i="5"/>
  <c r="M142" i="5"/>
  <c r="L142" i="5"/>
  <c r="K142" i="5"/>
  <c r="J142" i="5"/>
  <c r="H142" i="5"/>
  <c r="AC141" i="5"/>
  <c r="AB141" i="5"/>
  <c r="AA141" i="5"/>
  <c r="Z141" i="5"/>
  <c r="Y141" i="5"/>
  <c r="W141" i="5"/>
  <c r="V141" i="5"/>
  <c r="U141" i="5"/>
  <c r="T141" i="5"/>
  <c r="S141" i="5"/>
  <c r="R141" i="5"/>
  <c r="Q141" i="5"/>
  <c r="P141" i="5"/>
  <c r="O141" i="5"/>
  <c r="N141" i="5"/>
  <c r="M141" i="5"/>
  <c r="L141" i="5"/>
  <c r="K141" i="5"/>
  <c r="J141" i="5"/>
  <c r="H141" i="5"/>
  <c r="AC140" i="5"/>
  <c r="AB140" i="5"/>
  <c r="AA140" i="5"/>
  <c r="Z140" i="5"/>
  <c r="Y140" i="5"/>
  <c r="X140" i="5"/>
  <c r="W140" i="5"/>
  <c r="V140" i="5"/>
  <c r="U140" i="5"/>
  <c r="T140" i="5"/>
  <c r="S140" i="5"/>
  <c r="R140" i="5"/>
  <c r="Q140" i="5"/>
  <c r="P140" i="5"/>
  <c r="O140" i="5"/>
  <c r="N140" i="5"/>
  <c r="M140" i="5"/>
  <c r="L140" i="5"/>
  <c r="K140" i="5"/>
  <c r="J140" i="5"/>
  <c r="H140" i="5"/>
  <c r="AG139" i="5"/>
  <c r="AF139" i="5"/>
  <c r="AE139" i="5"/>
  <c r="AD139" i="5"/>
  <c r="AC139" i="5"/>
  <c r="AB139" i="5"/>
  <c r="AA139" i="5"/>
  <c r="Z139" i="5"/>
  <c r="Y139" i="5"/>
  <c r="X139" i="5"/>
  <c r="W139" i="5"/>
  <c r="V139" i="5"/>
  <c r="U139" i="5"/>
  <c r="T139" i="5"/>
  <c r="S139" i="5"/>
  <c r="R139" i="5"/>
  <c r="Q139" i="5"/>
  <c r="P139" i="5"/>
  <c r="O139" i="5"/>
  <c r="N139" i="5"/>
  <c r="M139" i="5"/>
  <c r="L139" i="5"/>
  <c r="K139" i="5"/>
  <c r="J139" i="5"/>
  <c r="H139" i="5"/>
  <c r="AC138" i="5"/>
  <c r="AB138" i="5"/>
  <c r="AA138" i="5"/>
  <c r="Z138" i="5"/>
  <c r="Y138" i="5"/>
  <c r="X138" i="5"/>
  <c r="W138" i="5"/>
  <c r="V138" i="5"/>
  <c r="U138" i="5"/>
  <c r="T138" i="5"/>
  <c r="S138" i="5"/>
  <c r="R138" i="5"/>
  <c r="Q138" i="5"/>
  <c r="P138" i="5"/>
  <c r="O138" i="5"/>
  <c r="N138" i="5"/>
  <c r="M138" i="5"/>
  <c r="L138" i="5"/>
  <c r="K138" i="5"/>
  <c r="J138" i="5"/>
  <c r="H138" i="5"/>
  <c r="AC137" i="5"/>
  <c r="AB137" i="5"/>
  <c r="AA137" i="5"/>
  <c r="Z137" i="5"/>
  <c r="Y137" i="5"/>
  <c r="X137" i="5"/>
  <c r="W137" i="5"/>
  <c r="V137" i="5"/>
  <c r="U137" i="5"/>
  <c r="T137" i="5"/>
  <c r="S137" i="5"/>
  <c r="R137" i="5"/>
  <c r="Q137" i="5"/>
  <c r="P137" i="5"/>
  <c r="O137" i="5"/>
  <c r="N137" i="5"/>
  <c r="M137" i="5"/>
  <c r="L137" i="5"/>
  <c r="K137" i="5"/>
  <c r="J137" i="5"/>
  <c r="H137" i="5"/>
  <c r="AC136" i="5"/>
  <c r="AB136" i="5"/>
  <c r="AA136" i="5"/>
  <c r="Z136" i="5"/>
  <c r="Y136" i="5"/>
  <c r="X136" i="5"/>
  <c r="W136" i="5"/>
  <c r="V136" i="5"/>
  <c r="U136" i="5"/>
  <c r="T136" i="5"/>
  <c r="S136" i="5"/>
  <c r="R136" i="5"/>
  <c r="Q136" i="5"/>
  <c r="P136" i="5"/>
  <c r="O136" i="5"/>
  <c r="N136" i="5"/>
  <c r="M136" i="5"/>
  <c r="L136" i="5"/>
  <c r="K136" i="5"/>
  <c r="J136" i="5"/>
  <c r="H136" i="5"/>
  <c r="AC135" i="5"/>
  <c r="AB135" i="5"/>
  <c r="AA135" i="5"/>
  <c r="Z135" i="5"/>
  <c r="Y135" i="5"/>
  <c r="X135" i="5"/>
  <c r="W135" i="5"/>
  <c r="V135" i="5"/>
  <c r="U135" i="5"/>
  <c r="T135" i="5"/>
  <c r="S135" i="5"/>
  <c r="R135" i="5"/>
  <c r="Q135" i="5"/>
  <c r="P135" i="5"/>
  <c r="O135" i="5"/>
  <c r="N135" i="5"/>
  <c r="M135" i="5"/>
  <c r="L135" i="5"/>
  <c r="K135" i="5"/>
  <c r="J135" i="5"/>
  <c r="H135" i="5"/>
  <c r="AC134" i="5"/>
  <c r="AB134" i="5"/>
  <c r="AA134" i="5"/>
  <c r="Z134" i="5"/>
  <c r="Y134" i="5"/>
  <c r="X134" i="5"/>
  <c r="W134" i="5"/>
  <c r="V134" i="5"/>
  <c r="U134" i="5"/>
  <c r="T134" i="5"/>
  <c r="S134" i="5"/>
  <c r="R134" i="5"/>
  <c r="Q134" i="5"/>
  <c r="P134" i="5"/>
  <c r="O134" i="5"/>
  <c r="N134" i="5"/>
  <c r="M134" i="5"/>
  <c r="L134" i="5"/>
  <c r="K134" i="5"/>
  <c r="J134" i="5"/>
  <c r="H134" i="5"/>
  <c r="AC133" i="5"/>
  <c r="AB133" i="5"/>
  <c r="AA133" i="5"/>
  <c r="Z133" i="5"/>
  <c r="Y133" i="5"/>
  <c r="X133" i="5"/>
  <c r="W133" i="5"/>
  <c r="V133" i="5"/>
  <c r="U133" i="5"/>
  <c r="T133" i="5"/>
  <c r="S133" i="5"/>
  <c r="R133" i="5"/>
  <c r="Q133" i="5"/>
  <c r="P133" i="5"/>
  <c r="O133" i="5"/>
  <c r="N133" i="5"/>
  <c r="M133" i="5"/>
  <c r="L133" i="5"/>
  <c r="K133" i="5"/>
  <c r="J133" i="5"/>
  <c r="H133" i="5"/>
  <c r="AG132" i="5"/>
  <c r="AD132" i="5"/>
  <c r="AC132" i="5"/>
  <c r="AB132" i="5"/>
  <c r="AA132" i="5"/>
  <c r="Z132" i="5"/>
  <c r="Y132" i="5"/>
  <c r="X132" i="5"/>
  <c r="W132" i="5"/>
  <c r="V132" i="5"/>
  <c r="U132" i="5"/>
  <c r="T132" i="5"/>
  <c r="S132" i="5"/>
  <c r="R132" i="5"/>
  <c r="Q132" i="5"/>
  <c r="P132" i="5"/>
  <c r="O132" i="5"/>
  <c r="N132" i="5"/>
  <c r="M132" i="5"/>
  <c r="L132" i="5"/>
  <c r="K132" i="5"/>
  <c r="J132" i="5"/>
  <c r="H132" i="5"/>
  <c r="AC131" i="5"/>
  <c r="AB131" i="5"/>
  <c r="AA131" i="5"/>
  <c r="Z131" i="5"/>
  <c r="Y131" i="5"/>
  <c r="X131" i="5"/>
  <c r="W131" i="5"/>
  <c r="V131" i="5"/>
  <c r="U131" i="5"/>
  <c r="T131" i="5"/>
  <c r="S131" i="5"/>
  <c r="R131" i="5"/>
  <c r="Q131" i="5"/>
  <c r="P131" i="5"/>
  <c r="O131" i="5"/>
  <c r="N131" i="5"/>
  <c r="M131" i="5"/>
  <c r="L131" i="5"/>
  <c r="K131" i="5"/>
  <c r="J131" i="5"/>
  <c r="H131" i="5"/>
  <c r="AC130" i="5"/>
  <c r="AB130" i="5"/>
  <c r="AA130" i="5"/>
  <c r="Z130" i="5"/>
  <c r="Y130" i="5"/>
  <c r="X130" i="5"/>
  <c r="W130" i="5"/>
  <c r="V130" i="5"/>
  <c r="U130" i="5"/>
  <c r="T130" i="5"/>
  <c r="S130" i="5"/>
  <c r="R130" i="5"/>
  <c r="Q130" i="5"/>
  <c r="P130" i="5"/>
  <c r="O130" i="5"/>
  <c r="N130" i="5"/>
  <c r="M130" i="5"/>
  <c r="L130" i="5"/>
  <c r="K130" i="5"/>
  <c r="J130" i="5"/>
  <c r="H130" i="5"/>
  <c r="AC129" i="5"/>
  <c r="AB129" i="5"/>
  <c r="AA129" i="5"/>
  <c r="Z129" i="5"/>
  <c r="Y129" i="5"/>
  <c r="X129" i="5"/>
  <c r="W129" i="5"/>
  <c r="V129" i="5"/>
  <c r="U129" i="5"/>
  <c r="T129" i="5"/>
  <c r="S129" i="5"/>
  <c r="R129" i="5"/>
  <c r="Q129" i="5"/>
  <c r="P129" i="5"/>
  <c r="O129" i="5"/>
  <c r="N129" i="5"/>
  <c r="M129" i="5"/>
  <c r="L129" i="5"/>
  <c r="K129" i="5"/>
  <c r="J129" i="5"/>
  <c r="H129" i="5"/>
  <c r="AC128" i="5"/>
  <c r="AB128" i="5"/>
  <c r="AA128" i="5"/>
  <c r="Z128" i="5"/>
  <c r="Y128" i="5"/>
  <c r="X128" i="5"/>
  <c r="W128" i="5"/>
  <c r="V128" i="5"/>
  <c r="U128" i="5"/>
  <c r="T128" i="5"/>
  <c r="S128" i="5"/>
  <c r="R128" i="5"/>
  <c r="Q128" i="5"/>
  <c r="P128" i="5"/>
  <c r="O128" i="5"/>
  <c r="N128" i="5"/>
  <c r="M128" i="5"/>
  <c r="L128" i="5"/>
  <c r="K128" i="5"/>
  <c r="J128" i="5"/>
  <c r="H128" i="5"/>
  <c r="AC127" i="5"/>
  <c r="AB127" i="5"/>
  <c r="AA127" i="5"/>
  <c r="Z127" i="5"/>
  <c r="Y127" i="5"/>
  <c r="X127" i="5"/>
  <c r="W127" i="5"/>
  <c r="V127" i="5"/>
  <c r="U127" i="5"/>
  <c r="T127" i="5"/>
  <c r="S127" i="5"/>
  <c r="R127" i="5"/>
  <c r="Q127" i="5"/>
  <c r="P127" i="5"/>
  <c r="O127" i="5"/>
  <c r="N127" i="5"/>
  <c r="M127" i="5"/>
  <c r="L127" i="5"/>
  <c r="K127" i="5"/>
  <c r="J127" i="5"/>
  <c r="H127" i="5"/>
  <c r="AC126" i="5"/>
  <c r="AB126" i="5"/>
  <c r="AA126" i="5"/>
  <c r="Z126" i="5"/>
  <c r="Y126" i="5"/>
  <c r="X126" i="5"/>
  <c r="W126" i="5"/>
  <c r="V126" i="5"/>
  <c r="U126" i="5"/>
  <c r="T126" i="5"/>
  <c r="S126" i="5"/>
  <c r="R126" i="5"/>
  <c r="Q126" i="5"/>
  <c r="P126" i="5"/>
  <c r="O126" i="5"/>
  <c r="N126" i="5"/>
  <c r="M126" i="5"/>
  <c r="L126" i="5"/>
  <c r="K126" i="5"/>
  <c r="J126" i="5"/>
  <c r="H126" i="5"/>
  <c r="AC125" i="5"/>
  <c r="AB125" i="5"/>
  <c r="AA125" i="5"/>
  <c r="Z125" i="5"/>
  <c r="Y125" i="5"/>
  <c r="X125" i="5"/>
  <c r="W125" i="5"/>
  <c r="V125" i="5"/>
  <c r="U125" i="5"/>
  <c r="T125" i="5"/>
  <c r="S125" i="5"/>
  <c r="R125" i="5"/>
  <c r="Q125" i="5"/>
  <c r="P125" i="5"/>
  <c r="O125" i="5"/>
  <c r="N125" i="5"/>
  <c r="M125" i="5"/>
  <c r="L125" i="5"/>
  <c r="K125" i="5"/>
  <c r="J125" i="5"/>
  <c r="H125" i="5"/>
  <c r="AC124" i="5"/>
  <c r="AB124" i="5"/>
  <c r="AA124" i="5"/>
  <c r="Z124" i="5"/>
  <c r="Y124" i="5"/>
  <c r="X124" i="5"/>
  <c r="W124" i="5"/>
  <c r="V124" i="5"/>
  <c r="U124" i="5"/>
  <c r="T124" i="5"/>
  <c r="S124" i="5"/>
  <c r="R124" i="5"/>
  <c r="Q124" i="5"/>
  <c r="P124" i="5"/>
  <c r="O124" i="5"/>
  <c r="N124" i="5"/>
  <c r="M124" i="5"/>
  <c r="L124" i="5"/>
  <c r="K124" i="5"/>
  <c r="J124" i="5"/>
  <c r="H124" i="5"/>
  <c r="AC123" i="5"/>
  <c r="AB123" i="5"/>
  <c r="AA123" i="5"/>
  <c r="Z123" i="5"/>
  <c r="Y123" i="5"/>
  <c r="X123" i="5"/>
  <c r="W123" i="5"/>
  <c r="V123" i="5"/>
  <c r="U123" i="5"/>
  <c r="T123" i="5"/>
  <c r="S123" i="5"/>
  <c r="R123" i="5"/>
  <c r="Q123" i="5"/>
  <c r="P123" i="5"/>
  <c r="O123" i="5"/>
  <c r="N123" i="5"/>
  <c r="M123" i="5"/>
  <c r="L123" i="5"/>
  <c r="K123" i="5"/>
  <c r="J123" i="5"/>
  <c r="H123" i="5"/>
  <c r="AC122" i="5"/>
  <c r="AB122" i="5"/>
  <c r="AA122" i="5"/>
  <c r="Z122" i="5"/>
  <c r="Y122" i="5"/>
  <c r="X122" i="5"/>
  <c r="W122" i="5"/>
  <c r="V122" i="5"/>
  <c r="U122" i="5"/>
  <c r="T122" i="5"/>
  <c r="S122" i="5"/>
  <c r="R122" i="5"/>
  <c r="Q122" i="5"/>
  <c r="P122" i="5"/>
  <c r="O122" i="5"/>
  <c r="N122" i="5"/>
  <c r="M122" i="5"/>
  <c r="L122" i="5"/>
  <c r="K122" i="5"/>
  <c r="J122" i="5"/>
  <c r="H122" i="5"/>
  <c r="AC121" i="5"/>
  <c r="AB121" i="5"/>
  <c r="AA121" i="5"/>
  <c r="Z121" i="5"/>
  <c r="Y121" i="5"/>
  <c r="X121" i="5"/>
  <c r="W121" i="5"/>
  <c r="V121" i="5"/>
  <c r="U121" i="5"/>
  <c r="T121" i="5"/>
  <c r="S121" i="5"/>
  <c r="R121" i="5"/>
  <c r="Q121" i="5"/>
  <c r="P121" i="5"/>
  <c r="O121" i="5"/>
  <c r="N121" i="5"/>
  <c r="M121" i="5"/>
  <c r="L121" i="5"/>
  <c r="K121" i="5"/>
  <c r="J121" i="5"/>
  <c r="H121" i="5"/>
  <c r="AG120" i="5"/>
  <c r="AF120" i="5"/>
  <c r="AE120" i="5"/>
  <c r="AD120" i="5"/>
  <c r="AC120" i="5"/>
  <c r="AB120" i="5"/>
  <c r="AA120" i="5"/>
  <c r="Z120" i="5"/>
  <c r="Y120" i="5"/>
  <c r="X120" i="5"/>
  <c r="W120" i="5"/>
  <c r="V120" i="5"/>
  <c r="U120" i="5"/>
  <c r="T120" i="5"/>
  <c r="S120" i="5"/>
  <c r="R120" i="5"/>
  <c r="Q120" i="5"/>
  <c r="P120" i="5"/>
  <c r="O120" i="5"/>
  <c r="N120" i="5"/>
  <c r="M120" i="5"/>
  <c r="L120" i="5"/>
  <c r="K120" i="5"/>
  <c r="J120" i="5"/>
  <c r="H120" i="5"/>
  <c r="AG119" i="5"/>
  <c r="AF119" i="5"/>
  <c r="AE119" i="5"/>
  <c r="AD119" i="5"/>
  <c r="AC119" i="5"/>
  <c r="AB119" i="5"/>
  <c r="AA119" i="5"/>
  <c r="Z119" i="5"/>
  <c r="Y119" i="5"/>
  <c r="X119" i="5"/>
  <c r="W119" i="5"/>
  <c r="V119" i="5"/>
  <c r="U119" i="5"/>
  <c r="T119" i="5"/>
  <c r="S119" i="5"/>
  <c r="R119" i="5"/>
  <c r="Q119" i="5"/>
  <c r="P119" i="5"/>
  <c r="O119" i="5"/>
  <c r="N119" i="5"/>
  <c r="M119" i="5"/>
  <c r="L119" i="5"/>
  <c r="K119" i="5"/>
  <c r="J119" i="5"/>
  <c r="H119" i="5"/>
  <c r="AG118" i="5"/>
  <c r="AF118" i="5"/>
  <c r="AE118" i="5"/>
  <c r="AD118" i="5"/>
  <c r="AC118" i="5"/>
  <c r="AB118" i="5"/>
  <c r="AA118" i="5"/>
  <c r="Z118" i="5"/>
  <c r="Y118" i="5"/>
  <c r="X118" i="5"/>
  <c r="W118" i="5"/>
  <c r="V118" i="5"/>
  <c r="U118" i="5"/>
  <c r="T118" i="5"/>
  <c r="S118" i="5"/>
  <c r="R118" i="5"/>
  <c r="Q118" i="5"/>
  <c r="P118" i="5"/>
  <c r="O118" i="5"/>
  <c r="N118" i="5"/>
  <c r="M118" i="5"/>
  <c r="L118" i="5"/>
  <c r="K118" i="5"/>
  <c r="J118" i="5"/>
  <c r="H118" i="5"/>
  <c r="AC117" i="5"/>
  <c r="AB117" i="5"/>
  <c r="AA117" i="5"/>
  <c r="Z117" i="5"/>
  <c r="Y117" i="5"/>
  <c r="X117" i="5"/>
  <c r="W117" i="5"/>
  <c r="V117" i="5"/>
  <c r="U117" i="5"/>
  <c r="T117" i="5"/>
  <c r="S117" i="5"/>
  <c r="R117" i="5"/>
  <c r="Q117" i="5"/>
  <c r="P117" i="5"/>
  <c r="O117" i="5"/>
  <c r="N117" i="5"/>
  <c r="M117" i="5"/>
  <c r="L117" i="5"/>
  <c r="K117" i="5"/>
  <c r="J117" i="5"/>
  <c r="H117" i="5"/>
  <c r="AC116" i="5"/>
  <c r="AB116" i="5"/>
  <c r="AA116" i="5"/>
  <c r="Z116" i="5"/>
  <c r="Y116" i="5"/>
  <c r="X116" i="5"/>
  <c r="W116" i="5"/>
  <c r="V116" i="5"/>
  <c r="U116" i="5"/>
  <c r="T116" i="5"/>
  <c r="S116" i="5"/>
  <c r="R116" i="5"/>
  <c r="Q116" i="5"/>
  <c r="P116" i="5"/>
  <c r="O116" i="5"/>
  <c r="N116" i="5"/>
  <c r="M116" i="5"/>
  <c r="L116" i="5"/>
  <c r="K116" i="5"/>
  <c r="J116" i="5"/>
  <c r="H116" i="5"/>
  <c r="AC115" i="5"/>
  <c r="AB115" i="5"/>
  <c r="AA115" i="5"/>
  <c r="Z115" i="5"/>
  <c r="Y115" i="5"/>
  <c r="X115" i="5"/>
  <c r="W115" i="5"/>
  <c r="V115" i="5"/>
  <c r="U115" i="5"/>
  <c r="T115" i="5"/>
  <c r="S115" i="5"/>
  <c r="R115" i="5"/>
  <c r="Q115" i="5"/>
  <c r="P115" i="5"/>
  <c r="O115" i="5"/>
  <c r="N115" i="5"/>
  <c r="M115" i="5"/>
  <c r="L115" i="5"/>
  <c r="K115" i="5"/>
  <c r="J115" i="5"/>
  <c r="H115" i="5"/>
  <c r="AC114" i="5"/>
  <c r="AB114" i="5"/>
  <c r="AA114" i="5"/>
  <c r="Z114" i="5"/>
  <c r="Y114" i="5"/>
  <c r="X114" i="5"/>
  <c r="W114" i="5"/>
  <c r="V114" i="5"/>
  <c r="U114" i="5"/>
  <c r="T114" i="5"/>
  <c r="S114" i="5"/>
  <c r="R114" i="5"/>
  <c r="Q114" i="5"/>
  <c r="P114" i="5"/>
  <c r="O114" i="5"/>
  <c r="N114" i="5"/>
  <c r="M114" i="5"/>
  <c r="L114" i="5"/>
  <c r="K114" i="5"/>
  <c r="J114" i="5"/>
  <c r="H114" i="5"/>
  <c r="AC113" i="5"/>
  <c r="AB113" i="5"/>
  <c r="AA113" i="5"/>
  <c r="Z113" i="5"/>
  <c r="Y113" i="5"/>
  <c r="X113" i="5"/>
  <c r="W113" i="5"/>
  <c r="V113" i="5"/>
  <c r="U113" i="5"/>
  <c r="T113" i="5"/>
  <c r="S113" i="5"/>
  <c r="R113" i="5"/>
  <c r="Q113" i="5"/>
  <c r="P113" i="5"/>
  <c r="O113" i="5"/>
  <c r="N113" i="5"/>
  <c r="M113" i="5"/>
  <c r="L113" i="5"/>
  <c r="K113" i="5"/>
  <c r="J113" i="5"/>
  <c r="H113" i="5"/>
  <c r="AC112" i="5"/>
  <c r="AB112" i="5"/>
  <c r="AA112" i="5"/>
  <c r="Z112" i="5"/>
  <c r="Y112" i="5"/>
  <c r="X112" i="5"/>
  <c r="W112" i="5"/>
  <c r="V112" i="5"/>
  <c r="U112" i="5"/>
  <c r="T112" i="5"/>
  <c r="S112" i="5"/>
  <c r="R112" i="5"/>
  <c r="Q112" i="5"/>
  <c r="P112" i="5"/>
  <c r="O112" i="5"/>
  <c r="N112" i="5"/>
  <c r="M112" i="5"/>
  <c r="L112" i="5"/>
  <c r="K112" i="5"/>
  <c r="J112" i="5"/>
  <c r="H112" i="5"/>
  <c r="AC111" i="5"/>
  <c r="AB111" i="5"/>
  <c r="AA111" i="5"/>
  <c r="Z111" i="5"/>
  <c r="Y111" i="5"/>
  <c r="X111" i="5"/>
  <c r="W111" i="5"/>
  <c r="V111" i="5"/>
  <c r="U111" i="5"/>
  <c r="T111" i="5"/>
  <c r="S111" i="5"/>
  <c r="R111" i="5"/>
  <c r="Q111" i="5"/>
  <c r="P111" i="5"/>
  <c r="O111" i="5"/>
  <c r="N111" i="5"/>
  <c r="M111" i="5"/>
  <c r="L111" i="5"/>
  <c r="K111" i="5"/>
  <c r="J111" i="5"/>
  <c r="H111" i="5"/>
  <c r="AG110" i="5"/>
  <c r="AF110" i="5"/>
  <c r="AE110" i="5"/>
  <c r="AD110" i="5"/>
  <c r="AC110" i="5"/>
  <c r="AB110" i="5"/>
  <c r="AA110" i="5"/>
  <c r="Z110" i="5"/>
  <c r="Y110" i="5"/>
  <c r="X110" i="5"/>
  <c r="W110" i="5"/>
  <c r="V110" i="5"/>
  <c r="U110" i="5"/>
  <c r="T110" i="5"/>
  <c r="S110" i="5"/>
  <c r="R110" i="5"/>
  <c r="Q110" i="5"/>
  <c r="P110" i="5"/>
  <c r="O110" i="5"/>
  <c r="N110" i="5"/>
  <c r="M110" i="5"/>
  <c r="L110" i="5"/>
  <c r="K110" i="5"/>
  <c r="J110" i="5"/>
  <c r="H110" i="5"/>
  <c r="AG109" i="5"/>
  <c r="AF109" i="5"/>
  <c r="AE109" i="5"/>
  <c r="AD109" i="5"/>
  <c r="AC109" i="5"/>
  <c r="AB109" i="5"/>
  <c r="AA109" i="5"/>
  <c r="Z109" i="5"/>
  <c r="Y109" i="5"/>
  <c r="X109" i="5"/>
  <c r="W109" i="5"/>
  <c r="V109" i="5"/>
  <c r="U109" i="5"/>
  <c r="T109" i="5"/>
  <c r="S109" i="5"/>
  <c r="R109" i="5"/>
  <c r="Q109" i="5"/>
  <c r="P109" i="5"/>
  <c r="O109" i="5"/>
  <c r="N109" i="5"/>
  <c r="M109" i="5"/>
  <c r="L109" i="5"/>
  <c r="K109" i="5"/>
  <c r="J109" i="5"/>
  <c r="H109" i="5"/>
  <c r="AC108" i="5"/>
  <c r="AB108" i="5"/>
  <c r="AA108" i="5"/>
  <c r="Z108" i="5"/>
  <c r="Y108" i="5"/>
  <c r="X108" i="5"/>
  <c r="W108" i="5"/>
  <c r="V108" i="5"/>
  <c r="U108" i="5"/>
  <c r="T108" i="5"/>
  <c r="S108" i="5"/>
  <c r="R108" i="5"/>
  <c r="Q108" i="5"/>
  <c r="P108" i="5"/>
  <c r="O108" i="5"/>
  <c r="N108" i="5"/>
  <c r="M108" i="5"/>
  <c r="L108" i="5"/>
  <c r="K108" i="5"/>
  <c r="J108" i="5"/>
  <c r="H108" i="5"/>
  <c r="AG107" i="5"/>
  <c r="AF107" i="5"/>
  <c r="AE107" i="5"/>
  <c r="AD107" i="5"/>
  <c r="AC107" i="5"/>
  <c r="AB107" i="5"/>
  <c r="AA107" i="5"/>
  <c r="Z107" i="5"/>
  <c r="Y107" i="5"/>
  <c r="X107" i="5"/>
  <c r="W107" i="5"/>
  <c r="V107" i="5"/>
  <c r="U107" i="5"/>
  <c r="T107" i="5"/>
  <c r="S107" i="5"/>
  <c r="R107" i="5"/>
  <c r="Q107" i="5"/>
  <c r="P107" i="5"/>
  <c r="O107" i="5"/>
  <c r="N107" i="5"/>
  <c r="M107" i="5"/>
  <c r="L107" i="5"/>
  <c r="K107" i="5"/>
  <c r="J107" i="5"/>
  <c r="H107" i="5"/>
  <c r="AG106" i="5"/>
  <c r="AF106" i="5"/>
  <c r="AE106" i="5"/>
  <c r="AD106" i="5"/>
  <c r="AC106" i="5"/>
  <c r="AB106" i="5"/>
  <c r="AA106" i="5"/>
  <c r="Z106" i="5"/>
  <c r="Y106" i="5"/>
  <c r="X106" i="5"/>
  <c r="W106" i="5"/>
  <c r="V106" i="5"/>
  <c r="U106" i="5"/>
  <c r="T106" i="5"/>
  <c r="S106" i="5"/>
  <c r="R106" i="5"/>
  <c r="Q106" i="5"/>
  <c r="P106" i="5"/>
  <c r="O106" i="5"/>
  <c r="N106" i="5"/>
  <c r="M106" i="5"/>
  <c r="L106" i="5"/>
  <c r="K106" i="5"/>
  <c r="J106" i="5"/>
  <c r="H106" i="5"/>
  <c r="AC105" i="5"/>
  <c r="AB105" i="5"/>
  <c r="AA105" i="5"/>
  <c r="Z105" i="5"/>
  <c r="Y105" i="5"/>
  <c r="X105" i="5"/>
  <c r="W105" i="5"/>
  <c r="V105" i="5"/>
  <c r="U105" i="5"/>
  <c r="T105" i="5"/>
  <c r="S105" i="5"/>
  <c r="R105" i="5"/>
  <c r="Q105" i="5"/>
  <c r="P105" i="5"/>
  <c r="O105" i="5"/>
  <c r="N105" i="5"/>
  <c r="M105" i="5"/>
  <c r="L105" i="5"/>
  <c r="K105" i="5"/>
  <c r="J105" i="5"/>
  <c r="H105" i="5"/>
  <c r="AC104" i="5"/>
  <c r="AB104" i="5"/>
  <c r="AA104" i="5"/>
  <c r="Z104" i="5"/>
  <c r="Y104" i="5"/>
  <c r="X104" i="5"/>
  <c r="W104" i="5"/>
  <c r="V104" i="5"/>
  <c r="U104" i="5"/>
  <c r="T104" i="5"/>
  <c r="S104" i="5"/>
  <c r="R104" i="5"/>
  <c r="Q104" i="5"/>
  <c r="P104" i="5"/>
  <c r="O104" i="5"/>
  <c r="N104" i="5"/>
  <c r="M104" i="5"/>
  <c r="L104" i="5"/>
  <c r="K104" i="5"/>
  <c r="J104" i="5"/>
  <c r="H104" i="5"/>
  <c r="AC103" i="5"/>
  <c r="AB103" i="5"/>
  <c r="AA103" i="5"/>
  <c r="Z103" i="5"/>
  <c r="Y103" i="5"/>
  <c r="X103" i="5"/>
  <c r="W103" i="5"/>
  <c r="V103" i="5"/>
  <c r="U103" i="5"/>
  <c r="T103" i="5"/>
  <c r="S103" i="5"/>
  <c r="R103" i="5"/>
  <c r="Q103" i="5"/>
  <c r="P103" i="5"/>
  <c r="O103" i="5"/>
  <c r="N103" i="5"/>
  <c r="M103" i="5"/>
  <c r="L103" i="5"/>
  <c r="K103" i="5"/>
  <c r="J103" i="5"/>
  <c r="H103" i="5"/>
  <c r="AG102" i="5"/>
  <c r="AF102" i="5"/>
  <c r="AE102" i="5"/>
  <c r="AD102" i="5"/>
  <c r="AC102" i="5"/>
  <c r="AB102" i="5"/>
  <c r="AA102" i="5"/>
  <c r="Z102" i="5"/>
  <c r="Y102" i="5"/>
  <c r="X102" i="5"/>
  <c r="W102" i="5"/>
  <c r="V102" i="5"/>
  <c r="U102" i="5"/>
  <c r="T102" i="5"/>
  <c r="S102" i="5"/>
  <c r="R102" i="5"/>
  <c r="Q102" i="5"/>
  <c r="P102" i="5"/>
  <c r="O102" i="5"/>
  <c r="N102" i="5"/>
  <c r="M102" i="5"/>
  <c r="L102" i="5"/>
  <c r="K102" i="5"/>
  <c r="J102" i="5"/>
  <c r="H102" i="5"/>
  <c r="AG101" i="5"/>
  <c r="AE101" i="5"/>
  <c r="AC101" i="5"/>
  <c r="AB101" i="5"/>
  <c r="AA101" i="5"/>
  <c r="Z101" i="5"/>
  <c r="Y101" i="5"/>
  <c r="X101" i="5"/>
  <c r="W101" i="5"/>
  <c r="V101" i="5"/>
  <c r="U101" i="5"/>
  <c r="T101" i="5"/>
  <c r="S101" i="5"/>
  <c r="R101" i="5"/>
  <c r="Q101" i="5"/>
  <c r="P101" i="5"/>
  <c r="O101" i="5"/>
  <c r="N101" i="5"/>
  <c r="M101" i="5"/>
  <c r="L101" i="5"/>
  <c r="K101" i="5"/>
  <c r="J101" i="5"/>
  <c r="H101" i="5"/>
  <c r="AC100" i="5"/>
  <c r="AB100" i="5"/>
  <c r="AA100" i="5"/>
  <c r="Z100" i="5"/>
  <c r="Y100" i="5"/>
  <c r="X100" i="5"/>
  <c r="W100" i="5"/>
  <c r="V100" i="5"/>
  <c r="U100" i="5"/>
  <c r="T100" i="5"/>
  <c r="S100" i="5"/>
  <c r="R100" i="5"/>
  <c r="Q100" i="5"/>
  <c r="P100" i="5"/>
  <c r="O100" i="5"/>
  <c r="N100" i="5"/>
  <c r="M100" i="5"/>
  <c r="L100" i="5"/>
  <c r="K100" i="5"/>
  <c r="J100" i="5"/>
  <c r="H100" i="5"/>
  <c r="AC99" i="5"/>
  <c r="AB99" i="5"/>
  <c r="AA99" i="5"/>
  <c r="Z99" i="5"/>
  <c r="Y99" i="5"/>
  <c r="X99" i="5"/>
  <c r="W99" i="5"/>
  <c r="V99" i="5"/>
  <c r="U99" i="5"/>
  <c r="T99" i="5"/>
  <c r="S99" i="5"/>
  <c r="R99" i="5"/>
  <c r="Q99" i="5"/>
  <c r="P99" i="5"/>
  <c r="O99" i="5"/>
  <c r="N99" i="5"/>
  <c r="M99" i="5"/>
  <c r="L99" i="5"/>
  <c r="K99" i="5"/>
  <c r="J99" i="5"/>
  <c r="H99" i="5"/>
  <c r="AC98" i="5"/>
  <c r="AB98" i="5"/>
  <c r="AA98" i="5"/>
  <c r="Z98" i="5"/>
  <c r="Y98" i="5"/>
  <c r="X98" i="5"/>
  <c r="W98" i="5"/>
  <c r="V98" i="5"/>
  <c r="U98" i="5"/>
  <c r="T98" i="5"/>
  <c r="S98" i="5"/>
  <c r="R98" i="5"/>
  <c r="Q98" i="5"/>
  <c r="P98" i="5"/>
  <c r="O98" i="5"/>
  <c r="N98" i="5"/>
  <c r="M98" i="5"/>
  <c r="L98" i="5"/>
  <c r="K98" i="5"/>
  <c r="J98" i="5"/>
  <c r="H98" i="5"/>
  <c r="AC97" i="5"/>
  <c r="AB97" i="5"/>
  <c r="AA97" i="5"/>
  <c r="Z97" i="5"/>
  <c r="Y97" i="5"/>
  <c r="X97" i="5"/>
  <c r="W97" i="5"/>
  <c r="V97" i="5"/>
  <c r="U97" i="5"/>
  <c r="T97" i="5"/>
  <c r="S97" i="5"/>
  <c r="R97" i="5"/>
  <c r="Q97" i="5"/>
  <c r="P97" i="5"/>
  <c r="O97" i="5"/>
  <c r="N97" i="5"/>
  <c r="M97" i="5"/>
  <c r="L97" i="5"/>
  <c r="K97" i="5"/>
  <c r="J97" i="5"/>
  <c r="H97" i="5"/>
  <c r="AC96" i="5"/>
  <c r="AB96" i="5"/>
  <c r="AA96" i="5"/>
  <c r="Z96" i="5"/>
  <c r="Y96" i="5"/>
  <c r="X96" i="5"/>
  <c r="W96" i="5"/>
  <c r="V96" i="5"/>
  <c r="U96" i="5"/>
  <c r="T96" i="5"/>
  <c r="S96" i="5"/>
  <c r="R96" i="5"/>
  <c r="Q96" i="5"/>
  <c r="P96" i="5"/>
  <c r="O96" i="5"/>
  <c r="N96" i="5"/>
  <c r="M96" i="5"/>
  <c r="L96" i="5"/>
  <c r="K96" i="5"/>
  <c r="J96" i="5"/>
  <c r="H96" i="5"/>
  <c r="AC95" i="5"/>
  <c r="AB95" i="5"/>
  <c r="AA95" i="5"/>
  <c r="Z95" i="5"/>
  <c r="Y95" i="5"/>
  <c r="X95" i="5"/>
  <c r="W95" i="5"/>
  <c r="V95" i="5"/>
  <c r="U95" i="5"/>
  <c r="T95" i="5"/>
  <c r="S95" i="5"/>
  <c r="R95" i="5"/>
  <c r="Q95" i="5"/>
  <c r="P95" i="5"/>
  <c r="O95" i="5"/>
  <c r="N95" i="5"/>
  <c r="M95" i="5"/>
  <c r="L95" i="5"/>
  <c r="K95" i="5"/>
  <c r="J95" i="5"/>
  <c r="H95" i="5"/>
  <c r="AC94" i="5"/>
  <c r="AB94" i="5"/>
  <c r="AA94" i="5"/>
  <c r="Z94" i="5"/>
  <c r="Y94" i="5"/>
  <c r="X94" i="5"/>
  <c r="W94" i="5"/>
  <c r="V94" i="5"/>
  <c r="U94" i="5"/>
  <c r="T94" i="5"/>
  <c r="S94" i="5"/>
  <c r="R94" i="5"/>
  <c r="Q94" i="5"/>
  <c r="P94" i="5"/>
  <c r="O94" i="5"/>
  <c r="N94" i="5"/>
  <c r="M94" i="5"/>
  <c r="L94" i="5"/>
  <c r="K94" i="5"/>
  <c r="J94" i="5"/>
  <c r="H94" i="5"/>
  <c r="AC93" i="5"/>
  <c r="AB93" i="5"/>
  <c r="AA93" i="5"/>
  <c r="Z93" i="5"/>
  <c r="Y93" i="5"/>
  <c r="X93" i="5"/>
  <c r="W93" i="5"/>
  <c r="V93" i="5"/>
  <c r="U93" i="5"/>
  <c r="T93" i="5"/>
  <c r="S93" i="5"/>
  <c r="R93" i="5"/>
  <c r="Q93" i="5"/>
  <c r="P93" i="5"/>
  <c r="O93" i="5"/>
  <c r="N93" i="5"/>
  <c r="M93" i="5"/>
  <c r="L93" i="5"/>
  <c r="K93" i="5"/>
  <c r="J93" i="5"/>
  <c r="H93" i="5"/>
  <c r="AC92" i="5"/>
  <c r="AB92" i="5"/>
  <c r="AA92" i="5"/>
  <c r="Z92" i="5"/>
  <c r="Y92" i="5"/>
  <c r="X92" i="5"/>
  <c r="W92" i="5"/>
  <c r="V92" i="5"/>
  <c r="U92" i="5"/>
  <c r="T92" i="5"/>
  <c r="S92" i="5"/>
  <c r="R92" i="5"/>
  <c r="Q92" i="5"/>
  <c r="P92" i="5"/>
  <c r="O92" i="5"/>
  <c r="N92" i="5"/>
  <c r="M92" i="5"/>
  <c r="L92" i="5"/>
  <c r="K92" i="5"/>
  <c r="J92" i="5"/>
  <c r="H92" i="5"/>
  <c r="AC91" i="5"/>
  <c r="AB91" i="5"/>
  <c r="AA91" i="5"/>
  <c r="Z91" i="5"/>
  <c r="Y91" i="5"/>
  <c r="X91" i="5"/>
  <c r="W91" i="5"/>
  <c r="V91" i="5"/>
  <c r="U91" i="5"/>
  <c r="T91" i="5"/>
  <c r="S91" i="5"/>
  <c r="R91" i="5"/>
  <c r="Q91" i="5"/>
  <c r="P91" i="5"/>
  <c r="O91" i="5"/>
  <c r="N91" i="5"/>
  <c r="M91" i="5"/>
  <c r="L91" i="5"/>
  <c r="K91" i="5"/>
  <c r="J91" i="5"/>
  <c r="H91" i="5"/>
  <c r="AC90" i="5"/>
  <c r="AB90" i="5"/>
  <c r="AA90" i="5"/>
  <c r="Z90" i="5"/>
  <c r="Y90" i="5"/>
  <c r="X90" i="5"/>
  <c r="W90" i="5"/>
  <c r="V90" i="5"/>
  <c r="U90" i="5"/>
  <c r="T90" i="5"/>
  <c r="S90" i="5"/>
  <c r="R90" i="5"/>
  <c r="Q90" i="5"/>
  <c r="P90" i="5"/>
  <c r="O90" i="5"/>
  <c r="N90" i="5"/>
  <c r="M90" i="5"/>
  <c r="L90" i="5"/>
  <c r="K90" i="5"/>
  <c r="J90" i="5"/>
  <c r="H90" i="5"/>
  <c r="AC89" i="5"/>
  <c r="AB89" i="5"/>
  <c r="AA89" i="5"/>
  <c r="Z89" i="5"/>
  <c r="Y89" i="5"/>
  <c r="X89" i="5"/>
  <c r="W89" i="5"/>
  <c r="V89" i="5"/>
  <c r="U89" i="5"/>
  <c r="T89" i="5"/>
  <c r="S89" i="5"/>
  <c r="R89" i="5"/>
  <c r="Q89" i="5"/>
  <c r="P89" i="5"/>
  <c r="O89" i="5"/>
  <c r="N89" i="5"/>
  <c r="M89" i="5"/>
  <c r="L89" i="5"/>
  <c r="K89" i="5"/>
  <c r="J89" i="5"/>
  <c r="H89" i="5"/>
  <c r="AC88" i="5"/>
  <c r="AA88" i="5"/>
  <c r="Z88" i="5"/>
  <c r="Y88" i="5"/>
  <c r="X88" i="5"/>
  <c r="W88" i="5"/>
  <c r="V88" i="5"/>
  <c r="U88" i="5"/>
  <c r="T88" i="5"/>
  <c r="S88" i="5"/>
  <c r="R88" i="5"/>
  <c r="Q88" i="5"/>
  <c r="P88" i="5"/>
  <c r="O88" i="5"/>
  <c r="N88" i="5"/>
  <c r="M88" i="5"/>
  <c r="L88" i="5"/>
  <c r="K88" i="5"/>
  <c r="J88" i="5"/>
  <c r="H88" i="5"/>
  <c r="AC87" i="5"/>
  <c r="AB87" i="5"/>
  <c r="AA87" i="5"/>
  <c r="Z87" i="5"/>
  <c r="Y87" i="5"/>
  <c r="X87" i="5"/>
  <c r="W87" i="5"/>
  <c r="V87" i="5"/>
  <c r="U87" i="5"/>
  <c r="T87" i="5"/>
  <c r="S87" i="5"/>
  <c r="R87" i="5"/>
  <c r="Q87" i="5"/>
  <c r="P87" i="5"/>
  <c r="O87" i="5"/>
  <c r="N87" i="5"/>
  <c r="M87" i="5"/>
  <c r="L87" i="5"/>
  <c r="K87" i="5"/>
  <c r="J87" i="5"/>
  <c r="H87" i="5"/>
  <c r="AC86" i="5"/>
  <c r="AB86" i="5"/>
  <c r="AA86" i="5"/>
  <c r="Z86" i="5"/>
  <c r="Y86" i="5"/>
  <c r="X86" i="5"/>
  <c r="W86" i="5"/>
  <c r="V86" i="5"/>
  <c r="U86" i="5"/>
  <c r="T86" i="5"/>
  <c r="S86" i="5"/>
  <c r="R86" i="5"/>
  <c r="Q86" i="5"/>
  <c r="P86" i="5"/>
  <c r="O86" i="5"/>
  <c r="N86" i="5"/>
  <c r="M86" i="5"/>
  <c r="L86" i="5"/>
  <c r="K86" i="5"/>
  <c r="J86" i="5"/>
  <c r="H86" i="5"/>
  <c r="AC85" i="5"/>
  <c r="AB85" i="5"/>
  <c r="AA85" i="5"/>
  <c r="Z85" i="5"/>
  <c r="Y85" i="5"/>
  <c r="X85" i="5"/>
  <c r="W85" i="5"/>
  <c r="V85" i="5"/>
  <c r="U85" i="5"/>
  <c r="T85" i="5"/>
  <c r="S85" i="5"/>
  <c r="R85" i="5"/>
  <c r="Q85" i="5"/>
  <c r="P85" i="5"/>
  <c r="O85" i="5"/>
  <c r="N85" i="5"/>
  <c r="M85" i="5"/>
  <c r="L85" i="5"/>
  <c r="K85" i="5"/>
  <c r="J85" i="5"/>
  <c r="H85" i="5"/>
  <c r="AC84" i="5"/>
  <c r="AB84" i="5"/>
  <c r="AA84" i="5"/>
  <c r="Z84" i="5"/>
  <c r="Y84" i="5"/>
  <c r="X84" i="5"/>
  <c r="W84" i="5"/>
  <c r="V84" i="5"/>
  <c r="U84" i="5"/>
  <c r="T84" i="5"/>
  <c r="S84" i="5"/>
  <c r="R84" i="5"/>
  <c r="Q84" i="5"/>
  <c r="P84" i="5"/>
  <c r="O84" i="5"/>
  <c r="N84" i="5"/>
  <c r="M84" i="5"/>
  <c r="L84" i="5"/>
  <c r="K84" i="5"/>
  <c r="J84" i="5"/>
  <c r="H84" i="5"/>
  <c r="AG83" i="5"/>
  <c r="AF83" i="5"/>
  <c r="AE83" i="5"/>
  <c r="AD83" i="5"/>
  <c r="AC83" i="5"/>
  <c r="AB83" i="5"/>
  <c r="AA83" i="5"/>
  <c r="Z83" i="5"/>
  <c r="Y83" i="5"/>
  <c r="X83" i="5"/>
  <c r="W83" i="5"/>
  <c r="V83" i="5"/>
  <c r="U83" i="5"/>
  <c r="T83" i="5"/>
  <c r="S83" i="5"/>
  <c r="R83" i="5"/>
  <c r="Q83" i="5"/>
  <c r="P83" i="5"/>
  <c r="O83" i="5"/>
  <c r="N83" i="5"/>
  <c r="M83" i="5"/>
  <c r="L83" i="5"/>
  <c r="K83" i="5"/>
  <c r="J83" i="5"/>
  <c r="H83" i="5"/>
  <c r="AG82" i="5"/>
  <c r="AF82" i="5"/>
  <c r="AE82" i="5"/>
  <c r="AD82" i="5"/>
  <c r="AC82" i="5"/>
  <c r="AB82" i="5"/>
  <c r="AA82" i="5"/>
  <c r="Z82" i="5"/>
  <c r="Y82" i="5"/>
  <c r="X82" i="5"/>
  <c r="W82" i="5"/>
  <c r="V82" i="5"/>
  <c r="U82" i="5"/>
  <c r="T82" i="5"/>
  <c r="S82" i="5"/>
  <c r="R82" i="5"/>
  <c r="Q82" i="5"/>
  <c r="P82" i="5"/>
  <c r="O82" i="5"/>
  <c r="N82" i="5"/>
  <c r="M82" i="5"/>
  <c r="L82" i="5"/>
  <c r="K82" i="5"/>
  <c r="J82" i="5"/>
  <c r="H82" i="5"/>
  <c r="AG81" i="5"/>
  <c r="AF81" i="5"/>
  <c r="AE81" i="5"/>
  <c r="AD81" i="5"/>
  <c r="AC81" i="5"/>
  <c r="AB81" i="5"/>
  <c r="AA81" i="5"/>
  <c r="Z81" i="5"/>
  <c r="Y81" i="5"/>
  <c r="X81" i="5"/>
  <c r="W81" i="5"/>
  <c r="V81" i="5"/>
  <c r="U81" i="5"/>
  <c r="T81" i="5"/>
  <c r="S81" i="5"/>
  <c r="R81" i="5"/>
  <c r="Q81" i="5"/>
  <c r="P81" i="5"/>
  <c r="O81" i="5"/>
  <c r="N81" i="5"/>
  <c r="M81" i="5"/>
  <c r="L81" i="5"/>
  <c r="K81" i="5"/>
  <c r="J81" i="5"/>
  <c r="H81" i="5"/>
  <c r="AG80" i="5"/>
  <c r="AF80" i="5"/>
  <c r="AE80" i="5"/>
  <c r="AD80" i="5"/>
  <c r="AC80" i="5"/>
  <c r="AB80" i="5"/>
  <c r="AA80" i="5"/>
  <c r="Z80" i="5"/>
  <c r="Y80" i="5"/>
  <c r="X80" i="5"/>
  <c r="W80" i="5"/>
  <c r="V80" i="5"/>
  <c r="U80" i="5"/>
  <c r="T80" i="5"/>
  <c r="S80" i="5"/>
  <c r="R80" i="5"/>
  <c r="Q80" i="5"/>
  <c r="P80" i="5"/>
  <c r="O80" i="5"/>
  <c r="N80" i="5"/>
  <c r="M80" i="5"/>
  <c r="L80" i="5"/>
  <c r="K80" i="5"/>
  <c r="J80" i="5"/>
  <c r="H80" i="5"/>
  <c r="AG79" i="5"/>
  <c r="AF79" i="5"/>
  <c r="AE79" i="5"/>
  <c r="AD79" i="5"/>
  <c r="AC79" i="5"/>
  <c r="AB79" i="5"/>
  <c r="AA79" i="5"/>
  <c r="Z79" i="5"/>
  <c r="Y79" i="5"/>
  <c r="X79" i="5"/>
  <c r="W79" i="5"/>
  <c r="V79" i="5"/>
  <c r="U79" i="5"/>
  <c r="T79" i="5"/>
  <c r="S79" i="5"/>
  <c r="R79" i="5"/>
  <c r="Q79" i="5"/>
  <c r="P79" i="5"/>
  <c r="O79" i="5"/>
  <c r="N79" i="5"/>
  <c r="M79" i="5"/>
  <c r="L79" i="5"/>
  <c r="K79" i="5"/>
  <c r="J79" i="5"/>
  <c r="H79" i="5"/>
  <c r="AG78" i="5"/>
  <c r="AF78" i="5"/>
  <c r="AE78" i="5"/>
  <c r="AD78" i="5"/>
  <c r="AC78" i="5"/>
  <c r="AB78" i="5"/>
  <c r="AA78" i="5"/>
  <c r="Z78" i="5"/>
  <c r="Y78" i="5"/>
  <c r="X78" i="5"/>
  <c r="W78" i="5"/>
  <c r="V78" i="5"/>
  <c r="U78" i="5"/>
  <c r="T78" i="5"/>
  <c r="S78" i="5"/>
  <c r="R78" i="5"/>
  <c r="Q78" i="5"/>
  <c r="P78" i="5"/>
  <c r="O78" i="5"/>
  <c r="N78" i="5"/>
  <c r="M78" i="5"/>
  <c r="L78" i="5"/>
  <c r="K78" i="5"/>
  <c r="J78" i="5"/>
  <c r="H78" i="5"/>
  <c r="AG77" i="5"/>
  <c r="AF77" i="5"/>
  <c r="AE77" i="5"/>
  <c r="AD77" i="5"/>
  <c r="AC77" i="5"/>
  <c r="AB77" i="5"/>
  <c r="AA77" i="5"/>
  <c r="Z77" i="5"/>
  <c r="Y77" i="5"/>
  <c r="X77" i="5"/>
  <c r="W77" i="5"/>
  <c r="V77" i="5"/>
  <c r="U77" i="5"/>
  <c r="T77" i="5"/>
  <c r="S77" i="5"/>
  <c r="R77" i="5"/>
  <c r="Q77" i="5"/>
  <c r="P77" i="5"/>
  <c r="O77" i="5"/>
  <c r="N77" i="5"/>
  <c r="M77" i="5"/>
  <c r="L77" i="5"/>
  <c r="K77" i="5"/>
  <c r="J77" i="5"/>
  <c r="H77" i="5"/>
  <c r="AC76" i="5"/>
  <c r="AB76" i="5"/>
  <c r="AA76" i="5"/>
  <c r="Z76" i="5"/>
  <c r="Y76" i="5"/>
  <c r="X76" i="5"/>
  <c r="W76" i="5"/>
  <c r="V76" i="5"/>
  <c r="U76" i="5"/>
  <c r="T76" i="5"/>
  <c r="S76" i="5"/>
  <c r="R76" i="5"/>
  <c r="Q76" i="5"/>
  <c r="P76" i="5"/>
  <c r="O76" i="5"/>
  <c r="N76" i="5"/>
  <c r="M76" i="5"/>
  <c r="L76" i="5"/>
  <c r="K76" i="5"/>
  <c r="J76" i="5"/>
  <c r="H76" i="5"/>
  <c r="AC75" i="5"/>
  <c r="AB75" i="5"/>
  <c r="AA75" i="5"/>
  <c r="Z75" i="5"/>
  <c r="Y75" i="5"/>
  <c r="X75" i="5"/>
  <c r="W75" i="5"/>
  <c r="V75" i="5"/>
  <c r="U75" i="5"/>
  <c r="T75" i="5"/>
  <c r="S75" i="5"/>
  <c r="R75" i="5"/>
  <c r="Q75" i="5"/>
  <c r="P75" i="5"/>
  <c r="O75" i="5"/>
  <c r="N75" i="5"/>
  <c r="M75" i="5"/>
  <c r="L75" i="5"/>
  <c r="K75" i="5"/>
  <c r="J75" i="5"/>
  <c r="H75" i="5"/>
  <c r="AC74" i="5"/>
  <c r="AB74" i="5"/>
  <c r="AA74" i="5"/>
  <c r="Z74" i="5"/>
  <c r="Y74" i="5"/>
  <c r="X74" i="5"/>
  <c r="W74" i="5"/>
  <c r="V74" i="5"/>
  <c r="U74" i="5"/>
  <c r="T74" i="5"/>
  <c r="S74" i="5"/>
  <c r="R74" i="5"/>
  <c r="Q74" i="5"/>
  <c r="P74" i="5"/>
  <c r="O74" i="5"/>
  <c r="N74" i="5"/>
  <c r="M74" i="5"/>
  <c r="L74" i="5"/>
  <c r="K74" i="5"/>
  <c r="J74" i="5"/>
  <c r="H74" i="5"/>
  <c r="AC73" i="5"/>
  <c r="AB73" i="5"/>
  <c r="AA73" i="5"/>
  <c r="Z73" i="5"/>
  <c r="Y73" i="5"/>
  <c r="X73" i="5"/>
  <c r="W73" i="5"/>
  <c r="V73" i="5"/>
  <c r="U73" i="5"/>
  <c r="T73" i="5"/>
  <c r="S73" i="5"/>
  <c r="R73" i="5"/>
  <c r="Q73" i="5"/>
  <c r="P73" i="5"/>
  <c r="O73" i="5"/>
  <c r="N73" i="5"/>
  <c r="M73" i="5"/>
  <c r="L73" i="5"/>
  <c r="K73" i="5"/>
  <c r="J73" i="5"/>
  <c r="H73" i="5"/>
  <c r="AC72" i="5"/>
  <c r="AB72" i="5"/>
  <c r="AA72" i="5"/>
  <c r="Z72" i="5"/>
  <c r="Y72" i="5"/>
  <c r="X72" i="5"/>
  <c r="W72" i="5"/>
  <c r="V72" i="5"/>
  <c r="U72" i="5"/>
  <c r="T72" i="5"/>
  <c r="S72" i="5"/>
  <c r="R72" i="5"/>
  <c r="Q72" i="5"/>
  <c r="P72" i="5"/>
  <c r="O72" i="5"/>
  <c r="N72" i="5"/>
  <c r="M72" i="5"/>
  <c r="L72" i="5"/>
  <c r="K72" i="5"/>
  <c r="J72" i="5"/>
  <c r="H72" i="5"/>
  <c r="AC71" i="5"/>
  <c r="AB71" i="5"/>
  <c r="AA71" i="5"/>
  <c r="Z71" i="5"/>
  <c r="Y71" i="5"/>
  <c r="X71" i="5"/>
  <c r="W71" i="5"/>
  <c r="V71" i="5"/>
  <c r="U71" i="5"/>
  <c r="T71" i="5"/>
  <c r="S71" i="5"/>
  <c r="R71" i="5"/>
  <c r="Q71" i="5"/>
  <c r="P71" i="5"/>
  <c r="O71" i="5"/>
  <c r="N71" i="5"/>
  <c r="M71" i="5"/>
  <c r="L71" i="5"/>
  <c r="K71" i="5"/>
  <c r="J71" i="5"/>
  <c r="H71" i="5"/>
  <c r="AC70" i="5"/>
  <c r="AB70" i="5"/>
  <c r="AA70" i="5"/>
  <c r="Z70" i="5"/>
  <c r="Y70" i="5"/>
  <c r="X70" i="5"/>
  <c r="W70" i="5"/>
  <c r="V70" i="5"/>
  <c r="U70" i="5"/>
  <c r="T70" i="5"/>
  <c r="S70" i="5"/>
  <c r="R70" i="5"/>
  <c r="Q70" i="5"/>
  <c r="P70" i="5"/>
  <c r="O70" i="5"/>
  <c r="N70" i="5"/>
  <c r="M70" i="5"/>
  <c r="L70" i="5"/>
  <c r="K70" i="5"/>
  <c r="J70" i="5"/>
  <c r="H70" i="5"/>
  <c r="AC69" i="5"/>
  <c r="AB69" i="5"/>
  <c r="AA69" i="5"/>
  <c r="Z69" i="5"/>
  <c r="Y69" i="5"/>
  <c r="X69" i="5"/>
  <c r="W69" i="5"/>
  <c r="V69" i="5"/>
  <c r="U69" i="5"/>
  <c r="T69" i="5"/>
  <c r="S69" i="5"/>
  <c r="R69" i="5"/>
  <c r="Q69" i="5"/>
  <c r="P69" i="5"/>
  <c r="O69" i="5"/>
  <c r="N69" i="5"/>
  <c r="M69" i="5"/>
  <c r="L69" i="5"/>
  <c r="K69" i="5"/>
  <c r="J69" i="5"/>
  <c r="H69" i="5"/>
  <c r="AC68" i="5"/>
  <c r="AB68" i="5"/>
  <c r="AA68" i="5"/>
  <c r="Z68" i="5"/>
  <c r="Y68" i="5"/>
  <c r="X68" i="5"/>
  <c r="W68" i="5"/>
  <c r="V68" i="5"/>
  <c r="U68" i="5"/>
  <c r="T68" i="5"/>
  <c r="S68" i="5"/>
  <c r="R68" i="5"/>
  <c r="Q68" i="5"/>
  <c r="P68" i="5"/>
  <c r="O68" i="5"/>
  <c r="N68" i="5"/>
  <c r="M68" i="5"/>
  <c r="L68" i="5"/>
  <c r="K68" i="5"/>
  <c r="J68" i="5"/>
  <c r="H68" i="5"/>
  <c r="AC67" i="5"/>
  <c r="AB67" i="5"/>
  <c r="AA67" i="5"/>
  <c r="Z67" i="5"/>
  <c r="Y67" i="5"/>
  <c r="X67" i="5"/>
  <c r="W67" i="5"/>
  <c r="V67" i="5"/>
  <c r="U67" i="5"/>
  <c r="T67" i="5"/>
  <c r="S67" i="5"/>
  <c r="R67" i="5"/>
  <c r="Q67" i="5"/>
  <c r="P67" i="5"/>
  <c r="O67" i="5"/>
  <c r="N67" i="5"/>
  <c r="M67" i="5"/>
  <c r="L67" i="5"/>
  <c r="K67" i="5"/>
  <c r="J67" i="5"/>
  <c r="H67" i="5"/>
  <c r="AC66" i="5"/>
  <c r="AB66" i="5"/>
  <c r="AA66" i="5"/>
  <c r="Z66" i="5"/>
  <c r="Y66" i="5"/>
  <c r="X66" i="5"/>
  <c r="W66" i="5"/>
  <c r="V66" i="5"/>
  <c r="U66" i="5"/>
  <c r="T66" i="5"/>
  <c r="S66" i="5"/>
  <c r="R66" i="5"/>
  <c r="Q66" i="5"/>
  <c r="P66" i="5"/>
  <c r="O66" i="5"/>
  <c r="N66" i="5"/>
  <c r="M66" i="5"/>
  <c r="L66" i="5"/>
  <c r="K66" i="5"/>
  <c r="J66" i="5"/>
  <c r="H66" i="5"/>
  <c r="AC65" i="5"/>
  <c r="AB65" i="5"/>
  <c r="AA65" i="5"/>
  <c r="Z65" i="5"/>
  <c r="Y65" i="5"/>
  <c r="X65" i="5"/>
  <c r="W65" i="5"/>
  <c r="V65" i="5"/>
  <c r="U65" i="5"/>
  <c r="T65" i="5"/>
  <c r="S65" i="5"/>
  <c r="R65" i="5"/>
  <c r="Q65" i="5"/>
  <c r="P65" i="5"/>
  <c r="O65" i="5"/>
  <c r="N65" i="5"/>
  <c r="M65" i="5"/>
  <c r="L65" i="5"/>
  <c r="K65" i="5"/>
  <c r="J65" i="5"/>
  <c r="H65" i="5"/>
  <c r="AC64" i="5"/>
  <c r="AB64" i="5"/>
  <c r="AA64" i="5"/>
  <c r="Z64" i="5"/>
  <c r="Y64" i="5"/>
  <c r="X64" i="5"/>
  <c r="W64" i="5"/>
  <c r="V64" i="5"/>
  <c r="U64" i="5"/>
  <c r="T64" i="5"/>
  <c r="S64" i="5"/>
  <c r="R64" i="5"/>
  <c r="Q64" i="5"/>
  <c r="P64" i="5"/>
  <c r="O64" i="5"/>
  <c r="N64" i="5"/>
  <c r="M64" i="5"/>
  <c r="L64" i="5"/>
  <c r="K64" i="5"/>
  <c r="J64" i="5"/>
  <c r="H64" i="5"/>
  <c r="AC63" i="5"/>
  <c r="AB63" i="5"/>
  <c r="AA63" i="5"/>
  <c r="Z63" i="5"/>
  <c r="Y63" i="5"/>
  <c r="X63" i="5"/>
  <c r="W63" i="5"/>
  <c r="V63" i="5"/>
  <c r="U63" i="5"/>
  <c r="T63" i="5"/>
  <c r="S63" i="5"/>
  <c r="R63" i="5"/>
  <c r="Q63" i="5"/>
  <c r="P63" i="5"/>
  <c r="O63" i="5"/>
  <c r="N63" i="5"/>
  <c r="M63" i="5"/>
  <c r="L63" i="5"/>
  <c r="K63" i="5"/>
  <c r="J63" i="5"/>
  <c r="H63" i="5"/>
  <c r="AG62" i="5"/>
  <c r="AF62" i="5"/>
  <c r="AE62" i="5"/>
  <c r="AD62" i="5"/>
  <c r="AC62" i="5"/>
  <c r="AB62" i="5"/>
  <c r="AA62" i="5"/>
  <c r="Z62" i="5"/>
  <c r="Y62" i="5"/>
  <c r="X62" i="5"/>
  <c r="W62" i="5"/>
  <c r="V62" i="5"/>
  <c r="U62" i="5"/>
  <c r="T62" i="5"/>
  <c r="S62" i="5"/>
  <c r="R62" i="5"/>
  <c r="Q62" i="5"/>
  <c r="P62" i="5"/>
  <c r="O62" i="5"/>
  <c r="N62" i="5"/>
  <c r="M62" i="5"/>
  <c r="L62" i="5"/>
  <c r="K62" i="5"/>
  <c r="J62" i="5"/>
  <c r="H62" i="5"/>
  <c r="AC61" i="5"/>
  <c r="AB61" i="5"/>
  <c r="AA61" i="5"/>
  <c r="Z61" i="5"/>
  <c r="Y61" i="5"/>
  <c r="X61" i="5"/>
  <c r="W61" i="5"/>
  <c r="V61" i="5"/>
  <c r="U61" i="5"/>
  <c r="T61" i="5"/>
  <c r="S61" i="5"/>
  <c r="R61" i="5"/>
  <c r="Q61" i="5"/>
  <c r="P61" i="5"/>
  <c r="O61" i="5"/>
  <c r="N61" i="5"/>
  <c r="M61" i="5"/>
  <c r="L61" i="5"/>
  <c r="K61" i="5"/>
  <c r="J61" i="5"/>
  <c r="H61" i="5"/>
  <c r="AC60" i="5"/>
  <c r="AB60" i="5"/>
  <c r="AA60" i="5"/>
  <c r="Z60" i="5"/>
  <c r="Y60" i="5"/>
  <c r="X60" i="5"/>
  <c r="W60" i="5"/>
  <c r="V60" i="5"/>
  <c r="U60" i="5"/>
  <c r="T60" i="5"/>
  <c r="S60" i="5"/>
  <c r="R60" i="5"/>
  <c r="Q60" i="5"/>
  <c r="P60" i="5"/>
  <c r="O60" i="5"/>
  <c r="N60" i="5"/>
  <c r="M60" i="5"/>
  <c r="L60" i="5"/>
  <c r="K60" i="5"/>
  <c r="J60" i="5"/>
  <c r="H60" i="5"/>
  <c r="AC59" i="5"/>
  <c r="AB59" i="5"/>
  <c r="AA59" i="5"/>
  <c r="Z59" i="5"/>
  <c r="Y59" i="5"/>
  <c r="X59" i="5"/>
  <c r="W59" i="5"/>
  <c r="V59" i="5"/>
  <c r="U59" i="5"/>
  <c r="T59" i="5"/>
  <c r="S59" i="5"/>
  <c r="R59" i="5"/>
  <c r="Q59" i="5"/>
  <c r="P59" i="5"/>
  <c r="O59" i="5"/>
  <c r="N59" i="5"/>
  <c r="M59" i="5"/>
  <c r="L59" i="5"/>
  <c r="K59" i="5"/>
  <c r="J59" i="5"/>
  <c r="H59" i="5"/>
  <c r="AC58" i="5"/>
  <c r="AB58" i="5"/>
  <c r="AA58" i="5"/>
  <c r="Z58" i="5"/>
  <c r="Y58" i="5"/>
  <c r="X58" i="5"/>
  <c r="W58" i="5"/>
  <c r="V58" i="5"/>
  <c r="U58" i="5"/>
  <c r="T58" i="5"/>
  <c r="S58" i="5"/>
  <c r="R58" i="5"/>
  <c r="Q58" i="5"/>
  <c r="P58" i="5"/>
  <c r="O58" i="5"/>
  <c r="N58" i="5"/>
  <c r="M58" i="5"/>
  <c r="L58" i="5"/>
  <c r="K58" i="5"/>
  <c r="J58" i="5"/>
  <c r="H58" i="5"/>
  <c r="AC57" i="5"/>
  <c r="AB57" i="5"/>
  <c r="AA57" i="5"/>
  <c r="Z57" i="5"/>
  <c r="Y57" i="5"/>
  <c r="X57" i="5"/>
  <c r="W57" i="5"/>
  <c r="V57" i="5"/>
  <c r="U57" i="5"/>
  <c r="T57" i="5"/>
  <c r="S57" i="5"/>
  <c r="R57" i="5"/>
  <c r="Q57" i="5"/>
  <c r="P57" i="5"/>
  <c r="O57" i="5"/>
  <c r="N57" i="5"/>
  <c r="M57" i="5"/>
  <c r="L57" i="5"/>
  <c r="K57" i="5"/>
  <c r="J57" i="5"/>
  <c r="H57" i="5"/>
  <c r="AC56" i="5"/>
  <c r="AB56" i="5"/>
  <c r="AA56" i="5"/>
  <c r="Z56" i="5"/>
  <c r="Y56" i="5"/>
  <c r="X56" i="5"/>
  <c r="W56" i="5"/>
  <c r="V56" i="5"/>
  <c r="U56" i="5"/>
  <c r="T56" i="5"/>
  <c r="S56" i="5"/>
  <c r="R56" i="5"/>
  <c r="Q56" i="5"/>
  <c r="P56" i="5"/>
  <c r="O56" i="5"/>
  <c r="N56" i="5"/>
  <c r="M56" i="5"/>
  <c r="L56" i="5"/>
  <c r="K56" i="5"/>
  <c r="J56" i="5"/>
  <c r="H56" i="5"/>
  <c r="AG55" i="5"/>
  <c r="AF55" i="5"/>
  <c r="AE55" i="5"/>
  <c r="AD55" i="5"/>
  <c r="AC55" i="5"/>
  <c r="AB55" i="5"/>
  <c r="AA55" i="5"/>
  <c r="Z55" i="5"/>
  <c r="Y55" i="5"/>
  <c r="X55" i="5"/>
  <c r="W55" i="5"/>
  <c r="V55" i="5"/>
  <c r="U55" i="5"/>
  <c r="T55" i="5"/>
  <c r="S55" i="5"/>
  <c r="R55" i="5"/>
  <c r="Q55" i="5"/>
  <c r="P55" i="5"/>
  <c r="O55" i="5"/>
  <c r="N55" i="5"/>
  <c r="M55" i="5"/>
  <c r="L55" i="5"/>
  <c r="K55" i="5"/>
  <c r="J55" i="5"/>
  <c r="H55" i="5"/>
  <c r="AC54" i="5"/>
  <c r="AB54" i="5"/>
  <c r="AA54" i="5"/>
  <c r="Z54" i="5"/>
  <c r="Y54" i="5"/>
  <c r="X54" i="5"/>
  <c r="W54" i="5"/>
  <c r="V54" i="5"/>
  <c r="U54" i="5"/>
  <c r="T54" i="5"/>
  <c r="S54" i="5"/>
  <c r="R54" i="5"/>
  <c r="Q54" i="5"/>
  <c r="P54" i="5"/>
  <c r="O54" i="5"/>
  <c r="N54" i="5"/>
  <c r="M54" i="5"/>
  <c r="L54" i="5"/>
  <c r="K54" i="5"/>
  <c r="J54" i="5"/>
  <c r="H54" i="5"/>
  <c r="AC53" i="5"/>
  <c r="AB53" i="5"/>
  <c r="AA53" i="5"/>
  <c r="Z53" i="5"/>
  <c r="Y53" i="5"/>
  <c r="X53" i="5"/>
  <c r="W53" i="5"/>
  <c r="V53" i="5"/>
  <c r="U53" i="5"/>
  <c r="T53" i="5"/>
  <c r="S53" i="5"/>
  <c r="R53" i="5"/>
  <c r="Q53" i="5"/>
  <c r="P53" i="5"/>
  <c r="O53" i="5"/>
  <c r="N53" i="5"/>
  <c r="M53" i="5"/>
  <c r="L53" i="5"/>
  <c r="K53" i="5"/>
  <c r="J53" i="5"/>
  <c r="H53" i="5"/>
  <c r="AC52" i="5"/>
  <c r="AB52" i="5"/>
  <c r="AA52" i="5"/>
  <c r="Z52" i="5"/>
  <c r="Y52" i="5"/>
  <c r="X52" i="5"/>
  <c r="W52" i="5"/>
  <c r="V52" i="5"/>
  <c r="U52" i="5"/>
  <c r="T52" i="5"/>
  <c r="S52" i="5"/>
  <c r="R52" i="5"/>
  <c r="Q52" i="5"/>
  <c r="P52" i="5"/>
  <c r="O52" i="5"/>
  <c r="N52" i="5"/>
  <c r="M52" i="5"/>
  <c r="L52" i="5"/>
  <c r="K52" i="5"/>
  <c r="J52" i="5"/>
  <c r="H52" i="5"/>
  <c r="AC51" i="5"/>
  <c r="AB51" i="5"/>
  <c r="AA51" i="5"/>
  <c r="Z51" i="5"/>
  <c r="Y51" i="5"/>
  <c r="X51" i="5"/>
  <c r="W51" i="5"/>
  <c r="V51" i="5"/>
  <c r="U51" i="5"/>
  <c r="T51" i="5"/>
  <c r="S51" i="5"/>
  <c r="R51" i="5"/>
  <c r="Q51" i="5"/>
  <c r="P51" i="5"/>
  <c r="O51" i="5"/>
  <c r="N51" i="5"/>
  <c r="M51" i="5"/>
  <c r="L51" i="5"/>
  <c r="K51" i="5"/>
  <c r="J51" i="5"/>
  <c r="H51" i="5"/>
  <c r="AC50" i="5"/>
  <c r="AB50" i="5"/>
  <c r="AA50" i="5"/>
  <c r="Z50" i="5"/>
  <c r="Y50" i="5"/>
  <c r="X50" i="5"/>
  <c r="W50" i="5"/>
  <c r="V50" i="5"/>
  <c r="U50" i="5"/>
  <c r="T50" i="5"/>
  <c r="S50" i="5"/>
  <c r="R50" i="5"/>
  <c r="Q50" i="5"/>
  <c r="P50" i="5"/>
  <c r="O50" i="5"/>
  <c r="N50" i="5"/>
  <c r="M50" i="5"/>
  <c r="L50" i="5"/>
  <c r="K50" i="5"/>
  <c r="J50" i="5"/>
  <c r="H50" i="5"/>
  <c r="AC49" i="5"/>
  <c r="AB49" i="5"/>
  <c r="AA49" i="5"/>
  <c r="Z49" i="5"/>
  <c r="Y49" i="5"/>
  <c r="X49" i="5"/>
  <c r="W49" i="5"/>
  <c r="V49" i="5"/>
  <c r="U49" i="5"/>
  <c r="T49" i="5"/>
  <c r="S49" i="5"/>
  <c r="R49" i="5"/>
  <c r="Q49" i="5"/>
  <c r="P49" i="5"/>
  <c r="O49" i="5"/>
  <c r="N49" i="5"/>
  <c r="M49" i="5"/>
  <c r="L49" i="5"/>
  <c r="K49" i="5"/>
  <c r="J49" i="5"/>
  <c r="H49" i="5"/>
  <c r="AC48" i="5"/>
  <c r="AB48" i="5"/>
  <c r="AA48" i="5"/>
  <c r="Z48" i="5"/>
  <c r="Y48" i="5"/>
  <c r="X48" i="5"/>
  <c r="W48" i="5"/>
  <c r="V48" i="5"/>
  <c r="U48" i="5"/>
  <c r="T48" i="5"/>
  <c r="S48" i="5"/>
  <c r="R48" i="5"/>
  <c r="Q48" i="5"/>
  <c r="P48" i="5"/>
  <c r="O48" i="5"/>
  <c r="N48" i="5"/>
  <c r="M48" i="5"/>
  <c r="L48" i="5"/>
  <c r="K48" i="5"/>
  <c r="J48" i="5"/>
  <c r="H48" i="5"/>
  <c r="AC47" i="5"/>
  <c r="AB47" i="5"/>
  <c r="AA47" i="5"/>
  <c r="Z47" i="5"/>
  <c r="Y47" i="5"/>
  <c r="X47" i="5"/>
  <c r="W47" i="5"/>
  <c r="V47" i="5"/>
  <c r="U47" i="5"/>
  <c r="T47" i="5"/>
  <c r="S47" i="5"/>
  <c r="R47" i="5"/>
  <c r="Q47" i="5"/>
  <c r="P47" i="5"/>
  <c r="O47" i="5"/>
  <c r="N47" i="5"/>
  <c r="M47" i="5"/>
  <c r="L47" i="5"/>
  <c r="K47" i="5"/>
  <c r="J47" i="5"/>
  <c r="H47" i="5"/>
  <c r="AC46" i="5"/>
  <c r="AB46" i="5"/>
  <c r="AA46" i="5"/>
  <c r="Z46" i="5"/>
  <c r="Y46" i="5"/>
  <c r="X46" i="5"/>
  <c r="W46" i="5"/>
  <c r="V46" i="5"/>
  <c r="U46" i="5"/>
  <c r="T46" i="5"/>
  <c r="S46" i="5"/>
  <c r="R46" i="5"/>
  <c r="Q46" i="5"/>
  <c r="P46" i="5"/>
  <c r="O46" i="5"/>
  <c r="N46" i="5"/>
  <c r="M46" i="5"/>
  <c r="L46" i="5"/>
  <c r="K46" i="5"/>
  <c r="J46" i="5"/>
  <c r="H46" i="5"/>
  <c r="AC45" i="5"/>
  <c r="AB45" i="5"/>
  <c r="AA45" i="5"/>
  <c r="Z45" i="5"/>
  <c r="Y45" i="5"/>
  <c r="X45" i="5"/>
  <c r="W45" i="5"/>
  <c r="V45" i="5"/>
  <c r="U45" i="5"/>
  <c r="T45" i="5"/>
  <c r="S45" i="5"/>
  <c r="R45" i="5"/>
  <c r="Q45" i="5"/>
  <c r="P45" i="5"/>
  <c r="O45" i="5"/>
  <c r="N45" i="5"/>
  <c r="M45" i="5"/>
  <c r="L45" i="5"/>
  <c r="K45" i="5"/>
  <c r="J45" i="5"/>
  <c r="H45" i="5"/>
  <c r="AC44" i="5"/>
  <c r="AB44" i="5"/>
  <c r="AA44" i="5"/>
  <c r="Z44" i="5"/>
  <c r="Y44" i="5"/>
  <c r="X44" i="5"/>
  <c r="W44" i="5"/>
  <c r="V44" i="5"/>
  <c r="U44" i="5"/>
  <c r="T44" i="5"/>
  <c r="S44" i="5"/>
  <c r="R44" i="5"/>
  <c r="Q44" i="5"/>
  <c r="P44" i="5"/>
  <c r="O44" i="5"/>
  <c r="N44" i="5"/>
  <c r="M44" i="5"/>
  <c r="L44" i="5"/>
  <c r="K44" i="5"/>
  <c r="J44" i="5"/>
  <c r="H44" i="5"/>
  <c r="AC43" i="5"/>
  <c r="AB43" i="5"/>
  <c r="AA43" i="5"/>
  <c r="Z43" i="5"/>
  <c r="Y43" i="5"/>
  <c r="X43" i="5"/>
  <c r="W43" i="5"/>
  <c r="V43" i="5"/>
  <c r="U43" i="5"/>
  <c r="T43" i="5"/>
  <c r="S43" i="5"/>
  <c r="R43" i="5"/>
  <c r="Q43" i="5"/>
  <c r="P43" i="5"/>
  <c r="O43" i="5"/>
  <c r="N43" i="5"/>
  <c r="M43" i="5"/>
  <c r="L43" i="5"/>
  <c r="K43" i="5"/>
  <c r="J43" i="5"/>
  <c r="H43" i="5"/>
  <c r="AC42" i="5"/>
  <c r="AB42" i="5"/>
  <c r="AA42" i="5"/>
  <c r="Z42" i="5"/>
  <c r="Y42" i="5"/>
  <c r="X42" i="5"/>
  <c r="W42" i="5"/>
  <c r="V42" i="5"/>
  <c r="U42" i="5"/>
  <c r="T42" i="5"/>
  <c r="S42" i="5"/>
  <c r="R42" i="5"/>
  <c r="Q42" i="5"/>
  <c r="P42" i="5"/>
  <c r="O42" i="5"/>
  <c r="N42" i="5"/>
  <c r="M42" i="5"/>
  <c r="L42" i="5"/>
  <c r="K42" i="5"/>
  <c r="J42" i="5"/>
  <c r="H42" i="5"/>
  <c r="AG41" i="5"/>
  <c r="AE41" i="5"/>
  <c r="AC41" i="5"/>
  <c r="AB41" i="5"/>
  <c r="AA41" i="5"/>
  <c r="Z41" i="5"/>
  <c r="Y41" i="5"/>
  <c r="X41" i="5"/>
  <c r="W41" i="5"/>
  <c r="V41" i="5"/>
  <c r="U41" i="5"/>
  <c r="T41" i="5"/>
  <c r="S41" i="5"/>
  <c r="R41" i="5"/>
  <c r="Q41" i="5"/>
  <c r="P41" i="5"/>
  <c r="O41" i="5"/>
  <c r="N41" i="5"/>
  <c r="M41" i="5"/>
  <c r="L41" i="5"/>
  <c r="K41" i="5"/>
  <c r="J41" i="5"/>
  <c r="H41" i="5"/>
  <c r="AC40" i="5"/>
  <c r="AB40" i="5"/>
  <c r="AA40" i="5"/>
  <c r="Z40" i="5"/>
  <c r="Y40" i="5"/>
  <c r="X40" i="5"/>
  <c r="W40" i="5"/>
  <c r="V40" i="5"/>
  <c r="U40" i="5"/>
  <c r="T40" i="5"/>
  <c r="S40" i="5"/>
  <c r="R40" i="5"/>
  <c r="Q40" i="5"/>
  <c r="P40" i="5"/>
  <c r="O40" i="5"/>
  <c r="N40" i="5"/>
  <c r="M40" i="5"/>
  <c r="L40" i="5"/>
  <c r="K40" i="5"/>
  <c r="J40" i="5"/>
  <c r="H40" i="5"/>
  <c r="AC39" i="5"/>
  <c r="AB39" i="5"/>
  <c r="AA39" i="5"/>
  <c r="Z39" i="5"/>
  <c r="Y39" i="5"/>
  <c r="X39" i="5"/>
  <c r="W39" i="5"/>
  <c r="V39" i="5"/>
  <c r="U39" i="5"/>
  <c r="T39" i="5"/>
  <c r="S39" i="5"/>
  <c r="R39" i="5"/>
  <c r="Q39" i="5"/>
  <c r="P39" i="5"/>
  <c r="O39" i="5"/>
  <c r="N39" i="5"/>
  <c r="M39" i="5"/>
  <c r="L39" i="5"/>
  <c r="K39" i="5"/>
  <c r="J39" i="5"/>
  <c r="H39" i="5"/>
  <c r="AC38" i="5"/>
  <c r="AB38" i="5"/>
  <c r="AA38" i="5"/>
  <c r="Z38" i="5"/>
  <c r="Y38" i="5"/>
  <c r="X38" i="5"/>
  <c r="W38" i="5"/>
  <c r="V38" i="5"/>
  <c r="U38" i="5"/>
  <c r="T38" i="5"/>
  <c r="S38" i="5"/>
  <c r="R38" i="5"/>
  <c r="Q38" i="5"/>
  <c r="P38" i="5"/>
  <c r="O38" i="5"/>
  <c r="N38" i="5"/>
  <c r="M38" i="5"/>
  <c r="L38" i="5"/>
  <c r="K38" i="5"/>
  <c r="J38" i="5"/>
  <c r="H38" i="5"/>
  <c r="AC37" i="5"/>
  <c r="AB37" i="5"/>
  <c r="AA37" i="5"/>
  <c r="Z37" i="5"/>
  <c r="Y37" i="5"/>
  <c r="X37" i="5"/>
  <c r="W37" i="5"/>
  <c r="V37" i="5"/>
  <c r="U37" i="5"/>
  <c r="T37" i="5"/>
  <c r="S37" i="5"/>
  <c r="R37" i="5"/>
  <c r="Q37" i="5"/>
  <c r="P37" i="5"/>
  <c r="O37" i="5"/>
  <c r="N37" i="5"/>
  <c r="M37" i="5"/>
  <c r="L37" i="5"/>
  <c r="K37" i="5"/>
  <c r="J37" i="5"/>
  <c r="H37" i="5"/>
  <c r="AC36" i="5"/>
  <c r="AB36" i="5"/>
  <c r="AA36" i="5"/>
  <c r="Z36" i="5"/>
  <c r="Y36" i="5"/>
  <c r="X36" i="5"/>
  <c r="W36" i="5"/>
  <c r="V36" i="5"/>
  <c r="U36" i="5"/>
  <c r="T36" i="5"/>
  <c r="S36" i="5"/>
  <c r="R36" i="5"/>
  <c r="Q36" i="5"/>
  <c r="P36" i="5"/>
  <c r="O36" i="5"/>
  <c r="N36" i="5"/>
  <c r="M36" i="5"/>
  <c r="L36" i="5"/>
  <c r="K36" i="5"/>
  <c r="J36" i="5"/>
  <c r="H36" i="5"/>
  <c r="AC35" i="5"/>
  <c r="AB35" i="5"/>
  <c r="AA35" i="5"/>
  <c r="Z35" i="5"/>
  <c r="Y35" i="5"/>
  <c r="X35" i="5"/>
  <c r="W35" i="5"/>
  <c r="V35" i="5"/>
  <c r="U35" i="5"/>
  <c r="T35" i="5"/>
  <c r="S35" i="5"/>
  <c r="R35" i="5"/>
  <c r="Q35" i="5"/>
  <c r="P35" i="5"/>
  <c r="O35" i="5"/>
  <c r="N35" i="5"/>
  <c r="M35" i="5"/>
  <c r="L35" i="5"/>
  <c r="K35" i="5"/>
  <c r="J35" i="5"/>
  <c r="H35" i="5"/>
  <c r="AC34" i="5"/>
  <c r="AB34" i="5"/>
  <c r="AA34" i="5"/>
  <c r="Z34" i="5"/>
  <c r="Y34" i="5"/>
  <c r="X34" i="5"/>
  <c r="W34" i="5"/>
  <c r="V34" i="5"/>
  <c r="U34" i="5"/>
  <c r="T34" i="5"/>
  <c r="S34" i="5"/>
  <c r="R34" i="5"/>
  <c r="Q34" i="5"/>
  <c r="P34" i="5"/>
  <c r="O34" i="5"/>
  <c r="N34" i="5"/>
  <c r="M34" i="5"/>
  <c r="L34" i="5"/>
  <c r="K34" i="5"/>
  <c r="J34" i="5"/>
  <c r="H34" i="5"/>
  <c r="AC33" i="5"/>
  <c r="AB33" i="5"/>
  <c r="AA33" i="5"/>
  <c r="Z33" i="5"/>
  <c r="Y33" i="5"/>
  <c r="X33" i="5"/>
  <c r="W33" i="5"/>
  <c r="V33" i="5"/>
  <c r="U33" i="5"/>
  <c r="T33" i="5"/>
  <c r="S33" i="5"/>
  <c r="R33" i="5"/>
  <c r="Q33" i="5"/>
  <c r="P33" i="5"/>
  <c r="O33" i="5"/>
  <c r="N33" i="5"/>
  <c r="M33" i="5"/>
  <c r="L33" i="5"/>
  <c r="K33" i="5"/>
  <c r="J33" i="5"/>
  <c r="H33" i="5"/>
  <c r="AC32" i="5"/>
  <c r="AB32" i="5"/>
  <c r="AA32" i="5"/>
  <c r="Z32" i="5"/>
  <c r="Y32" i="5"/>
  <c r="X32" i="5"/>
  <c r="W32" i="5"/>
  <c r="V32" i="5"/>
  <c r="U32" i="5"/>
  <c r="T32" i="5"/>
  <c r="S32" i="5"/>
  <c r="R32" i="5"/>
  <c r="Q32" i="5"/>
  <c r="P32" i="5"/>
  <c r="O32" i="5"/>
  <c r="N32" i="5"/>
  <c r="M32" i="5"/>
  <c r="L32" i="5"/>
  <c r="K32" i="5"/>
  <c r="J32" i="5"/>
  <c r="H32" i="5"/>
  <c r="AG31" i="5"/>
  <c r="AE31" i="5"/>
  <c r="AC31" i="5"/>
  <c r="AB31" i="5"/>
  <c r="AA31" i="5"/>
  <c r="Z31" i="5"/>
  <c r="Y31" i="5"/>
  <c r="X31" i="5"/>
  <c r="W31" i="5"/>
  <c r="V31" i="5"/>
  <c r="U31" i="5"/>
  <c r="T31" i="5"/>
  <c r="S31" i="5"/>
  <c r="R31" i="5"/>
  <c r="Q31" i="5"/>
  <c r="P31" i="5"/>
  <c r="O31" i="5"/>
  <c r="N31" i="5"/>
  <c r="M31" i="5"/>
  <c r="L31" i="5"/>
  <c r="K31" i="5"/>
  <c r="J31" i="5"/>
  <c r="H31" i="5"/>
  <c r="AC30" i="5"/>
  <c r="AB30" i="5"/>
  <c r="AA30" i="5"/>
  <c r="Z30" i="5"/>
  <c r="Y30" i="5"/>
  <c r="X30" i="5"/>
  <c r="W30" i="5"/>
  <c r="V30" i="5"/>
  <c r="U30" i="5"/>
  <c r="T30" i="5"/>
  <c r="S30" i="5"/>
  <c r="R30" i="5"/>
  <c r="Q30" i="5"/>
  <c r="P30" i="5"/>
  <c r="O30" i="5"/>
  <c r="N30" i="5"/>
  <c r="M30" i="5"/>
  <c r="L30" i="5"/>
  <c r="K30" i="5"/>
  <c r="J30" i="5"/>
  <c r="H30" i="5"/>
  <c r="AC29" i="5"/>
  <c r="AB29" i="5"/>
  <c r="AA29" i="5"/>
  <c r="Z29" i="5"/>
  <c r="Y29" i="5"/>
  <c r="X29" i="5"/>
  <c r="W29" i="5"/>
  <c r="V29" i="5"/>
  <c r="U29" i="5"/>
  <c r="T29" i="5"/>
  <c r="S29" i="5"/>
  <c r="R29" i="5"/>
  <c r="Q29" i="5"/>
  <c r="P29" i="5"/>
  <c r="O29" i="5"/>
  <c r="N29" i="5"/>
  <c r="M29" i="5"/>
  <c r="L29" i="5"/>
  <c r="K29" i="5"/>
  <c r="J29" i="5"/>
  <c r="H29" i="5"/>
  <c r="AC28" i="5"/>
  <c r="AB28" i="5"/>
  <c r="AA28" i="5"/>
  <c r="Z28" i="5"/>
  <c r="Y28" i="5"/>
  <c r="X28" i="5"/>
  <c r="W28" i="5"/>
  <c r="V28" i="5"/>
  <c r="U28" i="5"/>
  <c r="T28" i="5"/>
  <c r="S28" i="5"/>
  <c r="R28" i="5"/>
  <c r="Q28" i="5"/>
  <c r="P28" i="5"/>
  <c r="O28" i="5"/>
  <c r="N28" i="5"/>
  <c r="M28" i="5"/>
  <c r="L28" i="5"/>
  <c r="K28" i="5"/>
  <c r="J28" i="5"/>
  <c r="H28" i="5"/>
  <c r="AC27" i="5"/>
  <c r="AB27" i="5"/>
  <c r="AA27" i="5"/>
  <c r="Z27" i="5"/>
  <c r="Y27" i="5"/>
  <c r="X27" i="5"/>
  <c r="W27" i="5"/>
  <c r="V27" i="5"/>
  <c r="U27" i="5"/>
  <c r="T27" i="5"/>
  <c r="S27" i="5"/>
  <c r="R27" i="5"/>
  <c r="Q27" i="5"/>
  <c r="P27" i="5"/>
  <c r="O27" i="5"/>
  <c r="N27" i="5"/>
  <c r="M27" i="5"/>
  <c r="L27" i="5"/>
  <c r="K27" i="5"/>
  <c r="J27" i="5"/>
  <c r="H27" i="5"/>
  <c r="AG26" i="5"/>
  <c r="AF26" i="5"/>
  <c r="AE26" i="5"/>
  <c r="AD26" i="5"/>
  <c r="AC26" i="5"/>
  <c r="AB26" i="5"/>
  <c r="AA26" i="5"/>
  <c r="Z26" i="5"/>
  <c r="Y26" i="5"/>
  <c r="X26" i="5"/>
  <c r="W26" i="5"/>
  <c r="V26" i="5"/>
  <c r="U26" i="5"/>
  <c r="T26" i="5"/>
  <c r="S26" i="5"/>
  <c r="R26" i="5"/>
  <c r="Q26" i="5"/>
  <c r="P26" i="5"/>
  <c r="O26" i="5"/>
  <c r="N26" i="5"/>
  <c r="M26" i="5"/>
  <c r="L26" i="5"/>
  <c r="K26" i="5"/>
  <c r="J26" i="5"/>
  <c r="H26" i="5"/>
  <c r="AG25" i="5"/>
  <c r="AF25" i="5"/>
  <c r="AE25" i="5"/>
  <c r="AD25" i="5"/>
  <c r="AC25" i="5"/>
  <c r="AB25" i="5"/>
  <c r="AA25" i="5"/>
  <c r="Z25" i="5"/>
  <c r="Y25" i="5"/>
  <c r="X25" i="5"/>
  <c r="W25" i="5"/>
  <c r="V25" i="5"/>
  <c r="U25" i="5"/>
  <c r="T25" i="5"/>
  <c r="S25" i="5"/>
  <c r="R25" i="5"/>
  <c r="Q25" i="5"/>
  <c r="P25" i="5"/>
  <c r="O25" i="5"/>
  <c r="N25" i="5"/>
  <c r="M25" i="5"/>
  <c r="L25" i="5"/>
  <c r="K25" i="5"/>
  <c r="J25" i="5"/>
  <c r="H25" i="5"/>
  <c r="AG24" i="5"/>
  <c r="AF24" i="5"/>
  <c r="AE24" i="5"/>
  <c r="AD24" i="5"/>
  <c r="AC24" i="5"/>
  <c r="AB24" i="5"/>
  <c r="AA24" i="5"/>
  <c r="Z24" i="5"/>
  <c r="Y24" i="5"/>
  <c r="X24" i="5"/>
  <c r="W24" i="5"/>
  <c r="V24" i="5"/>
  <c r="U24" i="5"/>
  <c r="T24" i="5"/>
  <c r="S24" i="5"/>
  <c r="R24" i="5"/>
  <c r="Q24" i="5"/>
  <c r="P24" i="5"/>
  <c r="O24" i="5"/>
  <c r="N24" i="5"/>
  <c r="M24" i="5"/>
  <c r="L24" i="5"/>
  <c r="K24" i="5"/>
  <c r="J24" i="5"/>
  <c r="H24" i="5"/>
  <c r="AC23" i="5"/>
  <c r="AB23" i="5"/>
  <c r="AA23" i="5"/>
  <c r="Z23" i="5"/>
  <c r="Y23" i="5"/>
  <c r="X23" i="5"/>
  <c r="W23" i="5"/>
  <c r="V23" i="5"/>
  <c r="U23" i="5"/>
  <c r="T23" i="5"/>
  <c r="S23" i="5"/>
  <c r="R23" i="5"/>
  <c r="Q23" i="5"/>
  <c r="P23" i="5"/>
  <c r="O23" i="5"/>
  <c r="N23" i="5"/>
  <c r="M23" i="5"/>
  <c r="L23" i="5"/>
  <c r="K23" i="5"/>
  <c r="J23" i="5"/>
  <c r="H23" i="5"/>
  <c r="AC22" i="5"/>
  <c r="AB22" i="5"/>
  <c r="AA22" i="5"/>
  <c r="Z22" i="5"/>
  <c r="Y22" i="5"/>
  <c r="X22" i="5"/>
  <c r="W22" i="5"/>
  <c r="V22" i="5"/>
  <c r="U22" i="5"/>
  <c r="T22" i="5"/>
  <c r="S22" i="5"/>
  <c r="R22" i="5"/>
  <c r="Q22" i="5"/>
  <c r="P22" i="5"/>
  <c r="O22" i="5"/>
  <c r="N22" i="5"/>
  <c r="M22" i="5"/>
  <c r="L22" i="5"/>
  <c r="K22" i="5"/>
  <c r="J22" i="5"/>
  <c r="H22" i="5"/>
  <c r="AC21" i="5"/>
  <c r="AB21" i="5"/>
  <c r="AA21" i="5"/>
  <c r="Z21" i="5"/>
  <c r="Y21" i="5"/>
  <c r="X21" i="5"/>
  <c r="W21" i="5"/>
  <c r="V21" i="5"/>
  <c r="U21" i="5"/>
  <c r="T21" i="5"/>
  <c r="S21" i="5"/>
  <c r="R21" i="5"/>
  <c r="Q21" i="5"/>
  <c r="P21" i="5"/>
  <c r="O21" i="5"/>
  <c r="N21" i="5"/>
  <c r="M21" i="5"/>
  <c r="L21" i="5"/>
  <c r="K21" i="5"/>
  <c r="J21" i="5"/>
  <c r="H21" i="5"/>
  <c r="AC20" i="5"/>
  <c r="AB20" i="5"/>
  <c r="AA20" i="5"/>
  <c r="Z20" i="5"/>
  <c r="Y20" i="5"/>
  <c r="X20" i="5"/>
  <c r="W20" i="5"/>
  <c r="V20" i="5"/>
  <c r="U20" i="5"/>
  <c r="T20" i="5"/>
  <c r="S20" i="5"/>
  <c r="R20" i="5"/>
  <c r="Q20" i="5"/>
  <c r="P20" i="5"/>
  <c r="O20" i="5"/>
  <c r="N20" i="5"/>
  <c r="M20" i="5"/>
  <c r="L20" i="5"/>
  <c r="K20" i="5"/>
  <c r="J20" i="5"/>
  <c r="H20" i="5"/>
  <c r="AG19" i="5"/>
  <c r="AF19" i="5"/>
  <c r="AE19" i="5"/>
  <c r="AD19" i="5"/>
  <c r="AC19" i="5"/>
  <c r="AB19" i="5"/>
  <c r="AA19" i="5"/>
  <c r="Z19" i="5"/>
  <c r="Y19" i="5"/>
  <c r="X19" i="5"/>
  <c r="W19" i="5"/>
  <c r="V19" i="5"/>
  <c r="U19" i="5"/>
  <c r="T19" i="5"/>
  <c r="S19" i="5"/>
  <c r="R19" i="5"/>
  <c r="Q19" i="5"/>
  <c r="P19" i="5"/>
  <c r="O19" i="5"/>
  <c r="N19" i="5"/>
  <c r="M19" i="5"/>
  <c r="L19" i="5"/>
  <c r="K19" i="5"/>
  <c r="J19" i="5"/>
  <c r="H19" i="5"/>
  <c r="AC18" i="5"/>
  <c r="AB18" i="5"/>
  <c r="AA18" i="5"/>
  <c r="Z18" i="5"/>
  <c r="Y18" i="5"/>
  <c r="X18" i="5"/>
  <c r="W18" i="5"/>
  <c r="V18" i="5"/>
  <c r="U18" i="5"/>
  <c r="T18" i="5"/>
  <c r="S18" i="5"/>
  <c r="R18" i="5"/>
  <c r="Q18" i="5"/>
  <c r="P18" i="5"/>
  <c r="O18" i="5"/>
  <c r="N18" i="5"/>
  <c r="M18" i="5"/>
  <c r="L18" i="5"/>
  <c r="K18" i="5"/>
  <c r="J18" i="5"/>
  <c r="H18" i="5"/>
  <c r="AC17" i="5"/>
  <c r="AB17" i="5"/>
  <c r="AA17" i="5"/>
  <c r="Z17" i="5"/>
  <c r="Y17" i="5"/>
  <c r="X17" i="5"/>
  <c r="W17" i="5"/>
  <c r="V17" i="5"/>
  <c r="U17" i="5"/>
  <c r="T17" i="5"/>
  <c r="S17" i="5"/>
  <c r="R17" i="5"/>
  <c r="Q17" i="5"/>
  <c r="P17" i="5"/>
  <c r="O17" i="5"/>
  <c r="N17" i="5"/>
  <c r="M17" i="5"/>
  <c r="L17" i="5"/>
  <c r="K17" i="5"/>
  <c r="J17" i="5"/>
  <c r="H17" i="5"/>
  <c r="AC16" i="5"/>
  <c r="AB16" i="5"/>
  <c r="AA16" i="5"/>
  <c r="Z16" i="5"/>
  <c r="Y16" i="5"/>
  <c r="X16" i="5"/>
  <c r="W16" i="5"/>
  <c r="V16" i="5"/>
  <c r="U16" i="5"/>
  <c r="T16" i="5"/>
  <c r="S16" i="5"/>
  <c r="R16" i="5"/>
  <c r="Q16" i="5"/>
  <c r="P16" i="5"/>
  <c r="O16" i="5"/>
  <c r="N16" i="5"/>
  <c r="M16" i="5"/>
  <c r="L16" i="5"/>
  <c r="K16" i="5"/>
  <c r="J16" i="5"/>
  <c r="H16" i="5"/>
  <c r="AG15" i="5"/>
  <c r="AF15" i="5"/>
  <c r="AE15" i="5"/>
  <c r="AD15" i="5"/>
  <c r="AC15" i="5"/>
  <c r="AB15" i="5"/>
  <c r="AA15" i="5"/>
  <c r="Z15" i="5"/>
  <c r="Y15" i="5"/>
  <c r="X15" i="5"/>
  <c r="W15" i="5"/>
  <c r="V15" i="5"/>
  <c r="U15" i="5"/>
  <c r="T15" i="5"/>
  <c r="S15" i="5"/>
  <c r="R15" i="5"/>
  <c r="Q15" i="5"/>
  <c r="P15" i="5"/>
  <c r="O15" i="5"/>
  <c r="N15" i="5"/>
  <c r="M15" i="5"/>
  <c r="L15" i="5"/>
  <c r="K15" i="5"/>
  <c r="J15" i="5"/>
  <c r="H15" i="5"/>
  <c r="AC14" i="5"/>
  <c r="AB14" i="5"/>
  <c r="AA14" i="5"/>
  <c r="Z14" i="5"/>
  <c r="Y14" i="5"/>
  <c r="X14" i="5"/>
  <c r="W14" i="5"/>
  <c r="V14" i="5"/>
  <c r="U14" i="5"/>
  <c r="T14" i="5"/>
  <c r="S14" i="5"/>
  <c r="R14" i="5"/>
  <c r="Q14" i="5"/>
  <c r="P14" i="5"/>
  <c r="O14" i="5"/>
  <c r="N14" i="5"/>
  <c r="M14" i="5"/>
  <c r="L14" i="5"/>
  <c r="K14" i="5"/>
  <c r="J14" i="5"/>
  <c r="H14" i="5"/>
  <c r="AC13" i="5"/>
  <c r="AB13" i="5"/>
  <c r="AA13" i="5"/>
  <c r="Z13" i="5"/>
  <c r="Y13" i="5"/>
  <c r="X13" i="5"/>
  <c r="W13" i="5"/>
  <c r="V13" i="5"/>
  <c r="U13" i="5"/>
  <c r="T13" i="5"/>
  <c r="S13" i="5"/>
  <c r="R13" i="5"/>
  <c r="Q13" i="5"/>
  <c r="P13" i="5"/>
  <c r="O13" i="5"/>
  <c r="N13" i="5"/>
  <c r="M13" i="5"/>
  <c r="L13" i="5"/>
  <c r="K13" i="5"/>
  <c r="J13" i="5"/>
  <c r="H13" i="5"/>
  <c r="AC12" i="5"/>
  <c r="AB12" i="5"/>
  <c r="AA12" i="5"/>
  <c r="Z12" i="5"/>
  <c r="Y12" i="5"/>
  <c r="X12" i="5"/>
  <c r="W12" i="5"/>
  <c r="V12" i="5"/>
  <c r="U12" i="5"/>
  <c r="T12" i="5"/>
  <c r="S12" i="5"/>
  <c r="R12" i="5"/>
  <c r="Q12" i="5"/>
  <c r="P12" i="5"/>
  <c r="O12" i="5"/>
  <c r="N12" i="5"/>
  <c r="M12" i="5"/>
  <c r="L12" i="5"/>
  <c r="K12" i="5"/>
  <c r="J12" i="5"/>
  <c r="H12" i="5"/>
  <c r="AC11" i="5"/>
  <c r="AB11" i="5"/>
  <c r="AA11" i="5"/>
  <c r="Z11" i="5"/>
  <c r="Y11" i="5"/>
  <c r="X11" i="5"/>
  <c r="W11" i="5"/>
  <c r="V11" i="5"/>
  <c r="U11" i="5"/>
  <c r="T11" i="5"/>
  <c r="S11" i="5"/>
  <c r="R11" i="5"/>
  <c r="Q11" i="5"/>
  <c r="P11" i="5"/>
  <c r="O11" i="5"/>
  <c r="N11" i="5"/>
  <c r="M11" i="5"/>
  <c r="L11" i="5"/>
  <c r="K11" i="5"/>
  <c r="J11" i="5"/>
  <c r="H11" i="5"/>
  <c r="AC10" i="5"/>
  <c r="AB10" i="5"/>
  <c r="AA10" i="5"/>
  <c r="Z10" i="5"/>
  <c r="Y10" i="5"/>
  <c r="X10" i="5"/>
  <c r="W10" i="5"/>
  <c r="V10" i="5"/>
  <c r="U10" i="5"/>
  <c r="T10" i="5"/>
  <c r="S10" i="5"/>
  <c r="R10" i="5"/>
  <c r="Q10" i="5"/>
  <c r="P10" i="5"/>
  <c r="O10" i="5"/>
  <c r="N10" i="5"/>
  <c r="M10" i="5"/>
  <c r="L10" i="5"/>
  <c r="K10" i="5"/>
  <c r="J10" i="5"/>
  <c r="H10" i="5"/>
  <c r="AC9" i="5"/>
  <c r="AB9" i="5"/>
  <c r="AA9" i="5"/>
  <c r="Z9" i="5"/>
  <c r="Y9" i="5"/>
  <c r="X9" i="5"/>
  <c r="W9" i="5"/>
  <c r="V9" i="5"/>
  <c r="U9" i="5"/>
  <c r="T9" i="5"/>
  <c r="S9" i="5"/>
  <c r="R9" i="5"/>
  <c r="Q9" i="5"/>
  <c r="P9" i="5"/>
  <c r="O9" i="5"/>
  <c r="N9" i="5"/>
  <c r="M9" i="5"/>
  <c r="L9" i="5"/>
  <c r="K9" i="5"/>
  <c r="J9" i="5"/>
  <c r="H9" i="5"/>
  <c r="AC8" i="5"/>
  <c r="AB8" i="5"/>
  <c r="AA8" i="5"/>
  <c r="Z8" i="5"/>
  <c r="Y8" i="5"/>
  <c r="X8" i="5"/>
  <c r="W8" i="5"/>
  <c r="V8" i="5"/>
  <c r="U8" i="5"/>
  <c r="T8" i="5"/>
  <c r="S8" i="5"/>
  <c r="R8" i="5"/>
  <c r="Q8" i="5"/>
  <c r="P8" i="5"/>
  <c r="O8" i="5"/>
  <c r="N8" i="5"/>
  <c r="M8" i="5"/>
  <c r="L8" i="5"/>
  <c r="K8" i="5"/>
  <c r="J8" i="5"/>
  <c r="H8" i="5"/>
  <c r="AC7" i="5"/>
  <c r="AB7" i="5"/>
  <c r="AA7" i="5"/>
  <c r="Z7" i="5"/>
  <c r="Y7" i="5"/>
  <c r="X7" i="5"/>
  <c r="W7" i="5"/>
  <c r="V7" i="5"/>
  <c r="U7" i="5"/>
  <c r="T7" i="5"/>
  <c r="S7" i="5"/>
  <c r="R7" i="5"/>
  <c r="Q7" i="5"/>
  <c r="P7" i="5"/>
  <c r="O7" i="5"/>
  <c r="N7" i="5"/>
  <c r="M7" i="5"/>
  <c r="L7" i="5"/>
  <c r="K7" i="5"/>
  <c r="J7" i="5"/>
  <c r="H7" i="5"/>
  <c r="AG6" i="5"/>
  <c r="AF6" i="5"/>
  <c r="AC6" i="5"/>
  <c r="AB6" i="5"/>
  <c r="AA6" i="5"/>
  <c r="Z6" i="5"/>
  <c r="Y6" i="5"/>
  <c r="X6" i="5"/>
  <c r="W6" i="5"/>
  <c r="V6" i="5"/>
  <c r="U6" i="5"/>
  <c r="T6" i="5"/>
  <c r="S6" i="5"/>
  <c r="R6" i="5"/>
  <c r="Q6" i="5"/>
  <c r="P6" i="5"/>
  <c r="O6" i="5"/>
  <c r="N6" i="5"/>
  <c r="M6" i="5"/>
  <c r="L6" i="5"/>
  <c r="K6" i="5"/>
  <c r="J6" i="5"/>
  <c r="H6" i="5"/>
  <c r="AG5" i="5"/>
  <c r="AE5" i="5"/>
  <c r="AC5" i="5"/>
  <c r="AB5" i="5"/>
  <c r="AA5" i="5"/>
  <c r="Z5" i="5"/>
  <c r="Y5" i="5"/>
  <c r="X5" i="5"/>
  <c r="W5" i="5"/>
  <c r="V5" i="5"/>
  <c r="U5" i="5"/>
  <c r="T5" i="5"/>
  <c r="S5" i="5"/>
  <c r="R5" i="5"/>
  <c r="Q5" i="5"/>
  <c r="P5" i="5"/>
  <c r="O5" i="5"/>
  <c r="N5" i="5"/>
  <c r="M5" i="5"/>
  <c r="L5" i="5"/>
  <c r="K5" i="5"/>
  <c r="J5" i="5"/>
  <c r="H5" i="5"/>
  <c r="AG4" i="5"/>
  <c r="AF4" i="5"/>
  <c r="AE4" i="5"/>
  <c r="AD4" i="5"/>
  <c r="AC4" i="5"/>
  <c r="AB4" i="5"/>
  <c r="AA4" i="5"/>
  <c r="Z4" i="5"/>
  <c r="Y4" i="5"/>
  <c r="X4" i="5"/>
  <c r="W4" i="5"/>
  <c r="V4" i="5"/>
  <c r="U4" i="5"/>
  <c r="T4" i="5"/>
  <c r="S4" i="5"/>
  <c r="R4" i="5"/>
  <c r="Q4" i="5"/>
  <c r="P4" i="5"/>
  <c r="O4" i="5"/>
  <c r="N4" i="5"/>
  <c r="M4" i="5"/>
  <c r="L4" i="5"/>
  <c r="K4" i="5"/>
  <c r="J4" i="5"/>
  <c r="H4" i="5"/>
  <c r="AC3" i="5"/>
  <c r="AB3" i="5"/>
  <c r="AA3" i="5"/>
  <c r="Z3" i="5"/>
  <c r="Y3" i="5"/>
  <c r="X3" i="5"/>
  <c r="W3" i="5"/>
  <c r="V3" i="5"/>
  <c r="U3" i="5"/>
  <c r="T3" i="5"/>
  <c r="S3" i="5"/>
  <c r="R3" i="5"/>
  <c r="Q3" i="5"/>
  <c r="P3" i="5"/>
  <c r="O3" i="5"/>
  <c r="N3" i="5"/>
  <c r="M3" i="5"/>
  <c r="L3" i="5"/>
  <c r="K3" i="5"/>
  <c r="J3" i="5"/>
  <c r="H3" i="5"/>
  <c r="AC2" i="5"/>
  <c r="AB2" i="5"/>
  <c r="AA2" i="5"/>
  <c r="Z2" i="5"/>
  <c r="Y2" i="5"/>
  <c r="X2" i="5"/>
  <c r="W2" i="5"/>
  <c r="V2" i="5"/>
  <c r="U2" i="5"/>
  <c r="T2" i="5"/>
  <c r="S2" i="5"/>
  <c r="R2" i="5"/>
  <c r="Q2" i="5"/>
  <c r="P2" i="5"/>
  <c r="O2" i="5"/>
  <c r="N2" i="5"/>
  <c r="M2" i="5"/>
  <c r="L2" i="5"/>
  <c r="K2" i="5"/>
  <c r="J2" i="5"/>
  <c r="H2" i="5"/>
  <c r="U51" i="4"/>
  <c r="T51" i="4"/>
  <c r="S51" i="4"/>
  <c r="R51" i="4"/>
  <c r="Q51" i="4"/>
  <c r="P51" i="4"/>
  <c r="O51" i="4"/>
  <c r="N51" i="4"/>
  <c r="M51" i="4"/>
  <c r="L51" i="4"/>
  <c r="K51" i="4"/>
  <c r="J51" i="4"/>
  <c r="H51" i="4"/>
  <c r="U50" i="4"/>
  <c r="T50" i="4"/>
  <c r="S50" i="4"/>
  <c r="R50" i="4"/>
  <c r="Q50" i="4"/>
  <c r="P50" i="4"/>
  <c r="O50" i="4"/>
  <c r="N50" i="4"/>
  <c r="M50" i="4"/>
  <c r="L50" i="4"/>
  <c r="K50" i="4"/>
  <c r="J50" i="4"/>
  <c r="H50" i="4"/>
  <c r="U49" i="4"/>
  <c r="T49" i="4"/>
  <c r="S49" i="4"/>
  <c r="R49" i="4"/>
  <c r="Q49" i="4"/>
  <c r="P49" i="4"/>
  <c r="O49" i="4"/>
  <c r="N49" i="4"/>
  <c r="M49" i="4"/>
  <c r="L49" i="4"/>
  <c r="K49" i="4"/>
  <c r="J49" i="4"/>
  <c r="H49" i="4"/>
  <c r="U48" i="4"/>
  <c r="T48" i="4"/>
  <c r="S48" i="4"/>
  <c r="R48" i="4"/>
  <c r="Q48" i="4"/>
  <c r="P48" i="4"/>
  <c r="O48" i="4"/>
  <c r="N48" i="4"/>
  <c r="M48" i="4"/>
  <c r="L48" i="4"/>
  <c r="K48" i="4"/>
  <c r="J48" i="4"/>
  <c r="H48" i="4"/>
  <c r="U47" i="4"/>
  <c r="T47" i="4"/>
  <c r="S47" i="4"/>
  <c r="R47" i="4"/>
  <c r="Q47" i="4"/>
  <c r="P47" i="4"/>
  <c r="O47" i="4"/>
  <c r="N47" i="4"/>
  <c r="M47" i="4"/>
  <c r="L47" i="4"/>
  <c r="K47" i="4"/>
  <c r="J47" i="4"/>
  <c r="H47" i="4"/>
  <c r="U46" i="4"/>
  <c r="T46" i="4"/>
  <c r="S46" i="4"/>
  <c r="R46" i="4"/>
  <c r="Q46" i="4"/>
  <c r="P46" i="4"/>
  <c r="O46" i="4"/>
  <c r="N46" i="4"/>
  <c r="M46" i="4"/>
  <c r="L46" i="4"/>
  <c r="K46" i="4"/>
  <c r="J46" i="4"/>
  <c r="H46" i="4"/>
  <c r="U45" i="4"/>
  <c r="T45" i="4"/>
  <c r="S45" i="4"/>
  <c r="R45" i="4"/>
  <c r="Q45" i="4"/>
  <c r="P45" i="4"/>
  <c r="O45" i="4"/>
  <c r="N45" i="4"/>
  <c r="M45" i="4"/>
  <c r="L45" i="4"/>
  <c r="K45" i="4"/>
  <c r="J45" i="4"/>
  <c r="H45" i="4"/>
  <c r="U44" i="4"/>
  <c r="T44" i="4"/>
  <c r="S44" i="4"/>
  <c r="R44" i="4"/>
  <c r="Q44" i="4"/>
  <c r="P44" i="4"/>
  <c r="O44" i="4"/>
  <c r="N44" i="4"/>
  <c r="M44" i="4"/>
  <c r="L44" i="4"/>
  <c r="K44" i="4"/>
  <c r="J44" i="4"/>
  <c r="H44" i="4"/>
  <c r="U43" i="4"/>
  <c r="T43" i="4"/>
  <c r="S43" i="4"/>
  <c r="R43" i="4"/>
  <c r="Q43" i="4"/>
  <c r="P43" i="4"/>
  <c r="O43" i="4"/>
  <c r="N43" i="4"/>
  <c r="M43" i="4"/>
  <c r="L43" i="4"/>
  <c r="K43" i="4"/>
  <c r="J43" i="4"/>
  <c r="H43" i="4"/>
  <c r="U42" i="4"/>
  <c r="T42" i="4"/>
  <c r="S42" i="4"/>
  <c r="R42" i="4"/>
  <c r="Q42" i="4"/>
  <c r="P42" i="4"/>
  <c r="O42" i="4"/>
  <c r="N42" i="4"/>
  <c r="M42" i="4"/>
  <c r="L42" i="4"/>
  <c r="K42" i="4"/>
  <c r="J42" i="4"/>
  <c r="H42" i="4"/>
  <c r="U41" i="4"/>
  <c r="T41" i="4"/>
  <c r="S41" i="4"/>
  <c r="R41" i="4"/>
  <c r="Q41" i="4"/>
  <c r="P41" i="4"/>
  <c r="O41" i="4"/>
  <c r="N41" i="4"/>
  <c r="M41" i="4"/>
  <c r="L41" i="4"/>
  <c r="K41" i="4"/>
  <c r="J41" i="4"/>
  <c r="H41" i="4"/>
  <c r="U40" i="4"/>
  <c r="T40" i="4"/>
  <c r="S40" i="4"/>
  <c r="R40" i="4"/>
  <c r="Q40" i="4"/>
  <c r="P40" i="4"/>
  <c r="O40" i="4"/>
  <c r="N40" i="4"/>
  <c r="M40" i="4"/>
  <c r="L40" i="4"/>
  <c r="K40" i="4"/>
  <c r="J40" i="4"/>
  <c r="H40" i="4"/>
  <c r="U39" i="4"/>
  <c r="T39" i="4"/>
  <c r="S39" i="4"/>
  <c r="R39" i="4"/>
  <c r="Q39" i="4"/>
  <c r="P39" i="4"/>
  <c r="O39" i="4"/>
  <c r="N39" i="4"/>
  <c r="M39" i="4"/>
  <c r="L39" i="4"/>
  <c r="K39" i="4"/>
  <c r="J39" i="4"/>
  <c r="H39" i="4"/>
  <c r="U38" i="4"/>
  <c r="T38" i="4"/>
  <c r="S38" i="4"/>
  <c r="R38" i="4"/>
  <c r="Q38" i="4"/>
  <c r="P38" i="4"/>
  <c r="O38" i="4"/>
  <c r="N38" i="4"/>
  <c r="M38" i="4"/>
  <c r="L38" i="4"/>
  <c r="K38" i="4"/>
  <c r="J38" i="4"/>
  <c r="H38" i="4"/>
  <c r="U37" i="4"/>
  <c r="T37" i="4"/>
  <c r="S37" i="4"/>
  <c r="R37" i="4"/>
  <c r="Q37" i="4"/>
  <c r="P37" i="4"/>
  <c r="O37" i="4"/>
  <c r="N37" i="4"/>
  <c r="M37" i="4"/>
  <c r="L37" i="4"/>
  <c r="K37" i="4"/>
  <c r="J37" i="4"/>
  <c r="H37" i="4"/>
  <c r="U36" i="4"/>
  <c r="T36" i="4"/>
  <c r="S36" i="4"/>
  <c r="R36" i="4"/>
  <c r="Q36" i="4"/>
  <c r="P36" i="4"/>
  <c r="O36" i="4"/>
  <c r="N36" i="4"/>
  <c r="M36" i="4"/>
  <c r="L36" i="4"/>
  <c r="K36" i="4"/>
  <c r="J36" i="4"/>
  <c r="H36" i="4"/>
  <c r="U35" i="4"/>
  <c r="T35" i="4"/>
  <c r="S35" i="4"/>
  <c r="R35" i="4"/>
  <c r="Q35" i="4"/>
  <c r="P35" i="4"/>
  <c r="O35" i="4"/>
  <c r="N35" i="4"/>
  <c r="M35" i="4"/>
  <c r="L35" i="4"/>
  <c r="K35" i="4"/>
  <c r="J35" i="4"/>
  <c r="H35" i="4"/>
  <c r="U34" i="4"/>
  <c r="T34" i="4"/>
  <c r="S34" i="4"/>
  <c r="R34" i="4"/>
  <c r="Q34" i="4"/>
  <c r="P34" i="4"/>
  <c r="O34" i="4"/>
  <c r="N34" i="4"/>
  <c r="M34" i="4"/>
  <c r="L34" i="4"/>
  <c r="K34" i="4"/>
  <c r="J34" i="4"/>
  <c r="H34" i="4"/>
  <c r="U33" i="4"/>
  <c r="T33" i="4"/>
  <c r="S33" i="4"/>
  <c r="R33" i="4"/>
  <c r="Q33" i="4"/>
  <c r="P33" i="4"/>
  <c r="O33" i="4"/>
  <c r="N33" i="4"/>
  <c r="M33" i="4"/>
  <c r="L33" i="4"/>
  <c r="K33" i="4"/>
  <c r="J33" i="4"/>
  <c r="H33" i="4"/>
  <c r="U32" i="4"/>
  <c r="T32" i="4"/>
  <c r="S32" i="4"/>
  <c r="R32" i="4"/>
  <c r="Q32" i="4"/>
  <c r="P32" i="4"/>
  <c r="O32" i="4"/>
  <c r="N32" i="4"/>
  <c r="M32" i="4"/>
  <c r="L32" i="4"/>
  <c r="K32" i="4"/>
  <c r="J32" i="4"/>
  <c r="H32" i="4"/>
  <c r="U31" i="4"/>
  <c r="T31" i="4"/>
  <c r="S31" i="4"/>
  <c r="R31" i="4"/>
  <c r="Q31" i="4"/>
  <c r="P31" i="4"/>
  <c r="O31" i="4"/>
  <c r="N31" i="4"/>
  <c r="M31" i="4"/>
  <c r="L31" i="4"/>
  <c r="K31" i="4"/>
  <c r="J31" i="4"/>
  <c r="H31" i="4"/>
  <c r="U30" i="4"/>
  <c r="T30" i="4"/>
  <c r="S30" i="4"/>
  <c r="R30" i="4"/>
  <c r="Q30" i="4"/>
  <c r="P30" i="4"/>
  <c r="O30" i="4"/>
  <c r="N30" i="4"/>
  <c r="M30" i="4"/>
  <c r="L30" i="4"/>
  <c r="K30" i="4"/>
  <c r="J30" i="4"/>
  <c r="H30" i="4"/>
  <c r="U29" i="4"/>
  <c r="T29" i="4"/>
  <c r="S29" i="4"/>
  <c r="R29" i="4"/>
  <c r="Q29" i="4"/>
  <c r="P29" i="4"/>
  <c r="O29" i="4"/>
  <c r="N29" i="4"/>
  <c r="M29" i="4"/>
  <c r="L29" i="4"/>
  <c r="K29" i="4"/>
  <c r="J29" i="4"/>
  <c r="H29" i="4"/>
  <c r="U28" i="4"/>
  <c r="T28" i="4"/>
  <c r="S28" i="4"/>
  <c r="R28" i="4"/>
  <c r="Q28" i="4"/>
  <c r="P28" i="4"/>
  <c r="O28" i="4"/>
  <c r="N28" i="4"/>
  <c r="M28" i="4"/>
  <c r="L28" i="4"/>
  <c r="K28" i="4"/>
  <c r="J28" i="4"/>
  <c r="H28" i="4"/>
  <c r="U27" i="4"/>
  <c r="T27" i="4"/>
  <c r="S27" i="4"/>
  <c r="R27" i="4"/>
  <c r="Q27" i="4"/>
  <c r="P27" i="4"/>
  <c r="O27" i="4"/>
  <c r="N27" i="4"/>
  <c r="M27" i="4"/>
  <c r="L27" i="4"/>
  <c r="K27" i="4"/>
  <c r="J27" i="4"/>
  <c r="H27" i="4"/>
  <c r="U26" i="4"/>
  <c r="T26" i="4"/>
  <c r="S26" i="4"/>
  <c r="R26" i="4"/>
  <c r="Q26" i="4"/>
  <c r="P26" i="4"/>
  <c r="O26" i="4"/>
  <c r="N26" i="4"/>
  <c r="M26" i="4"/>
  <c r="L26" i="4"/>
  <c r="K26" i="4"/>
  <c r="J26" i="4"/>
  <c r="H26" i="4"/>
  <c r="U25" i="4"/>
  <c r="T25" i="4"/>
  <c r="S25" i="4"/>
  <c r="R25" i="4"/>
  <c r="Q25" i="4"/>
  <c r="P25" i="4"/>
  <c r="O25" i="4"/>
  <c r="N25" i="4"/>
  <c r="M25" i="4"/>
  <c r="L25" i="4"/>
  <c r="K25" i="4"/>
  <c r="J25" i="4"/>
  <c r="H25" i="4"/>
  <c r="U24" i="4"/>
  <c r="T24" i="4"/>
  <c r="S24" i="4"/>
  <c r="R24" i="4"/>
  <c r="Q24" i="4"/>
  <c r="P24" i="4"/>
  <c r="O24" i="4"/>
  <c r="N24" i="4"/>
  <c r="M24" i="4"/>
  <c r="L24" i="4"/>
  <c r="K24" i="4"/>
  <c r="J24" i="4"/>
  <c r="H24" i="4"/>
  <c r="U23" i="4"/>
  <c r="T23" i="4"/>
  <c r="S23" i="4"/>
  <c r="R23" i="4"/>
  <c r="Q23" i="4"/>
  <c r="P23" i="4"/>
  <c r="O23" i="4"/>
  <c r="N23" i="4"/>
  <c r="M23" i="4"/>
  <c r="L23" i="4"/>
  <c r="K23" i="4"/>
  <c r="J23" i="4"/>
  <c r="H23" i="4"/>
  <c r="U22" i="4"/>
  <c r="T22" i="4"/>
  <c r="S22" i="4"/>
  <c r="R22" i="4"/>
  <c r="Q22" i="4"/>
  <c r="P22" i="4"/>
  <c r="O22" i="4"/>
  <c r="N22" i="4"/>
  <c r="M22" i="4"/>
  <c r="L22" i="4"/>
  <c r="K22" i="4"/>
  <c r="J22" i="4"/>
  <c r="H22" i="4"/>
  <c r="U21" i="4"/>
  <c r="T21" i="4"/>
  <c r="S21" i="4"/>
  <c r="R21" i="4"/>
  <c r="Q21" i="4"/>
  <c r="P21" i="4"/>
  <c r="O21" i="4"/>
  <c r="N21" i="4"/>
  <c r="M21" i="4"/>
  <c r="L21" i="4"/>
  <c r="K21" i="4"/>
  <c r="J21" i="4"/>
  <c r="H21" i="4"/>
  <c r="U20" i="4"/>
  <c r="T20" i="4"/>
  <c r="S20" i="4"/>
  <c r="R20" i="4"/>
  <c r="Q20" i="4"/>
  <c r="P20" i="4"/>
  <c r="O20" i="4"/>
  <c r="N20" i="4"/>
  <c r="M20" i="4"/>
  <c r="L20" i="4"/>
  <c r="K20" i="4"/>
  <c r="J20" i="4"/>
  <c r="H20" i="4"/>
  <c r="U19" i="4"/>
  <c r="T19" i="4"/>
  <c r="S19" i="4"/>
  <c r="R19" i="4"/>
  <c r="Q19" i="4"/>
  <c r="P19" i="4"/>
  <c r="O19" i="4"/>
  <c r="N19" i="4"/>
  <c r="M19" i="4"/>
  <c r="L19" i="4"/>
  <c r="K19" i="4"/>
  <c r="J19" i="4"/>
  <c r="H19" i="4"/>
  <c r="U18" i="4"/>
  <c r="T18" i="4"/>
  <c r="S18" i="4"/>
  <c r="R18" i="4"/>
  <c r="Q18" i="4"/>
  <c r="P18" i="4"/>
  <c r="O18" i="4"/>
  <c r="N18" i="4"/>
  <c r="M18" i="4"/>
  <c r="L18" i="4"/>
  <c r="K18" i="4"/>
  <c r="J18" i="4"/>
  <c r="H18" i="4"/>
  <c r="U17" i="4"/>
  <c r="T17" i="4"/>
  <c r="S17" i="4"/>
  <c r="R17" i="4"/>
  <c r="Q17" i="4"/>
  <c r="P17" i="4"/>
  <c r="O17" i="4"/>
  <c r="N17" i="4"/>
  <c r="M17" i="4"/>
  <c r="L17" i="4"/>
  <c r="K17" i="4"/>
  <c r="J17" i="4"/>
  <c r="H17" i="4"/>
  <c r="U16" i="4"/>
  <c r="T16" i="4"/>
  <c r="S16" i="4"/>
  <c r="R16" i="4"/>
  <c r="Q16" i="4"/>
  <c r="P16" i="4"/>
  <c r="O16" i="4"/>
  <c r="N16" i="4"/>
  <c r="M16" i="4"/>
  <c r="L16" i="4"/>
  <c r="K16" i="4"/>
  <c r="J16" i="4"/>
  <c r="H16" i="4"/>
  <c r="U15" i="4"/>
  <c r="T15" i="4"/>
  <c r="S15" i="4"/>
  <c r="R15" i="4"/>
  <c r="Q15" i="4"/>
  <c r="P15" i="4"/>
  <c r="O15" i="4"/>
  <c r="N15" i="4"/>
  <c r="M15" i="4"/>
  <c r="L15" i="4"/>
  <c r="K15" i="4"/>
  <c r="J15" i="4"/>
  <c r="H15" i="4"/>
  <c r="U14" i="4"/>
  <c r="T14" i="4"/>
  <c r="S14" i="4"/>
  <c r="R14" i="4"/>
  <c r="Q14" i="4"/>
  <c r="P14" i="4"/>
  <c r="O14" i="4"/>
  <c r="N14" i="4"/>
  <c r="M14" i="4"/>
  <c r="L14" i="4"/>
  <c r="K14" i="4"/>
  <c r="J14" i="4"/>
  <c r="H14" i="4"/>
  <c r="U13" i="4"/>
  <c r="T13" i="4"/>
  <c r="S13" i="4"/>
  <c r="R13" i="4"/>
  <c r="Q13" i="4"/>
  <c r="P13" i="4"/>
  <c r="O13" i="4"/>
  <c r="N13" i="4"/>
  <c r="M13" i="4"/>
  <c r="L13" i="4"/>
  <c r="K13" i="4"/>
  <c r="J13" i="4"/>
  <c r="H13" i="4"/>
  <c r="U12" i="4"/>
  <c r="T12" i="4"/>
  <c r="S12" i="4"/>
  <c r="R12" i="4"/>
  <c r="Q12" i="4"/>
  <c r="P12" i="4"/>
  <c r="O12" i="4"/>
  <c r="N12" i="4"/>
  <c r="M12" i="4"/>
  <c r="L12" i="4"/>
  <c r="K12" i="4"/>
  <c r="J12" i="4"/>
  <c r="H12" i="4"/>
  <c r="U11" i="4"/>
  <c r="T11" i="4"/>
  <c r="S11" i="4"/>
  <c r="R11" i="4"/>
  <c r="P11" i="4"/>
  <c r="O11" i="4"/>
  <c r="N11" i="4"/>
  <c r="M11" i="4"/>
  <c r="L11" i="4"/>
  <c r="K11" i="4"/>
  <c r="J11" i="4"/>
  <c r="H11" i="4"/>
  <c r="U10" i="4"/>
  <c r="T10" i="4"/>
  <c r="S10" i="4"/>
  <c r="R10" i="4"/>
  <c r="Q10" i="4"/>
  <c r="P10" i="4"/>
  <c r="O10" i="4"/>
  <c r="N10" i="4"/>
  <c r="M10" i="4"/>
  <c r="L10" i="4"/>
  <c r="K10" i="4"/>
  <c r="J10" i="4"/>
  <c r="H10" i="4"/>
  <c r="U9" i="4"/>
  <c r="T9" i="4"/>
  <c r="S9" i="4"/>
  <c r="R9" i="4"/>
  <c r="Q9" i="4"/>
  <c r="P9" i="4"/>
  <c r="O9" i="4"/>
  <c r="N9" i="4"/>
  <c r="M9" i="4"/>
  <c r="L9" i="4"/>
  <c r="K9" i="4"/>
  <c r="J9" i="4"/>
  <c r="H9" i="4"/>
  <c r="U8" i="4"/>
  <c r="T8" i="4"/>
  <c r="S8" i="4"/>
  <c r="R8" i="4"/>
  <c r="Q8" i="4"/>
  <c r="P8" i="4"/>
  <c r="O8" i="4"/>
  <c r="N8" i="4"/>
  <c r="M8" i="4"/>
  <c r="L8" i="4"/>
  <c r="K8" i="4"/>
  <c r="J8" i="4"/>
  <c r="H8" i="4"/>
  <c r="U7" i="4"/>
  <c r="T7" i="4"/>
  <c r="S7" i="4"/>
  <c r="R7" i="4"/>
  <c r="Q7" i="4"/>
  <c r="P7" i="4"/>
  <c r="O7" i="4"/>
  <c r="N7" i="4"/>
  <c r="M7" i="4"/>
  <c r="L7" i="4"/>
  <c r="K7" i="4"/>
  <c r="J7" i="4"/>
  <c r="H7" i="4"/>
  <c r="U6" i="4"/>
  <c r="T6" i="4"/>
  <c r="S6" i="4"/>
  <c r="R6" i="4"/>
  <c r="Q6" i="4"/>
  <c r="P6" i="4"/>
  <c r="O6" i="4"/>
  <c r="N6" i="4"/>
  <c r="M6" i="4"/>
  <c r="L6" i="4"/>
  <c r="K6" i="4"/>
  <c r="J6" i="4"/>
  <c r="H6" i="4"/>
  <c r="U5" i="4"/>
  <c r="T5" i="4"/>
  <c r="S5" i="4"/>
  <c r="R5" i="4"/>
  <c r="Q5" i="4"/>
  <c r="P5" i="4"/>
  <c r="O5" i="4"/>
  <c r="N5" i="4"/>
  <c r="M5" i="4"/>
  <c r="L5" i="4"/>
  <c r="K5" i="4"/>
  <c r="J5" i="4"/>
  <c r="H5" i="4"/>
  <c r="U4" i="4"/>
  <c r="T4" i="4"/>
  <c r="S4" i="4"/>
  <c r="R4" i="4"/>
  <c r="Q4" i="4"/>
  <c r="P4" i="4"/>
  <c r="O4" i="4"/>
  <c r="N4" i="4"/>
  <c r="M4" i="4"/>
  <c r="L4" i="4"/>
  <c r="K4" i="4"/>
  <c r="J4" i="4"/>
  <c r="H4" i="4"/>
  <c r="U3" i="4"/>
  <c r="T3" i="4"/>
  <c r="S3" i="4"/>
  <c r="R3" i="4"/>
  <c r="Q3" i="4"/>
  <c r="P3" i="4"/>
  <c r="O3" i="4"/>
  <c r="N3" i="4"/>
  <c r="M3" i="4"/>
  <c r="L3" i="4"/>
  <c r="K3" i="4"/>
  <c r="J3" i="4"/>
  <c r="H3" i="4"/>
  <c r="AG2" i="4"/>
  <c r="AF2" i="4"/>
  <c r="AE2" i="4"/>
  <c r="AD2" i="4"/>
  <c r="AC2" i="4"/>
  <c r="AB2" i="4"/>
  <c r="AA2" i="4"/>
  <c r="Z2" i="4"/>
  <c r="Y2" i="4"/>
  <c r="X2" i="4"/>
  <c r="W2" i="4"/>
  <c r="V2" i="4"/>
  <c r="U2" i="4"/>
  <c r="T2" i="4"/>
  <c r="S2" i="4"/>
  <c r="R2" i="4"/>
  <c r="Q2" i="4"/>
  <c r="P2" i="4"/>
  <c r="O2" i="4"/>
  <c r="N2" i="4"/>
  <c r="M2" i="4"/>
  <c r="L2" i="4"/>
  <c r="K2" i="4"/>
  <c r="J2" i="4"/>
  <c r="H2" i="4"/>
  <c r="U64" i="3"/>
  <c r="T64" i="3"/>
  <c r="S64" i="3"/>
  <c r="R64" i="3"/>
  <c r="Q64" i="3"/>
  <c r="P64" i="3"/>
  <c r="O64" i="3"/>
  <c r="N64" i="3"/>
  <c r="M64" i="3"/>
  <c r="L64" i="3"/>
  <c r="K64" i="3"/>
  <c r="J64" i="3"/>
  <c r="H64" i="3"/>
  <c r="U63" i="3"/>
  <c r="T63" i="3"/>
  <c r="S63" i="3"/>
  <c r="R63" i="3"/>
  <c r="Q63" i="3"/>
  <c r="P63" i="3"/>
  <c r="O63" i="3"/>
  <c r="N63" i="3"/>
  <c r="M63" i="3"/>
  <c r="L63" i="3"/>
  <c r="K63" i="3"/>
  <c r="J63" i="3"/>
  <c r="H63" i="3"/>
  <c r="U62" i="3"/>
  <c r="T62" i="3"/>
  <c r="S62" i="3"/>
  <c r="R62" i="3"/>
  <c r="Q62" i="3"/>
  <c r="P62" i="3"/>
  <c r="O62" i="3"/>
  <c r="N62" i="3"/>
  <c r="M62" i="3"/>
  <c r="L62" i="3"/>
  <c r="K62" i="3"/>
  <c r="J62" i="3"/>
  <c r="H62" i="3"/>
  <c r="U61" i="3"/>
  <c r="T61" i="3"/>
  <c r="S61" i="3"/>
  <c r="R61" i="3"/>
  <c r="Q61" i="3"/>
  <c r="P61" i="3"/>
  <c r="O61" i="3"/>
  <c r="N61" i="3"/>
  <c r="M61" i="3"/>
  <c r="L61" i="3"/>
  <c r="K61" i="3"/>
  <c r="J61" i="3"/>
  <c r="H61" i="3"/>
  <c r="U60" i="3"/>
  <c r="T60" i="3"/>
  <c r="S60" i="3"/>
  <c r="R60" i="3"/>
  <c r="Q60" i="3"/>
  <c r="P60" i="3"/>
  <c r="O60" i="3"/>
  <c r="N60" i="3"/>
  <c r="M60" i="3"/>
  <c r="L60" i="3"/>
  <c r="K60" i="3"/>
  <c r="J60" i="3"/>
  <c r="H60" i="3"/>
  <c r="U59" i="3"/>
  <c r="T59" i="3"/>
  <c r="S59" i="3"/>
  <c r="R59" i="3"/>
  <c r="Q59" i="3"/>
  <c r="P59" i="3"/>
  <c r="O59" i="3"/>
  <c r="N59" i="3"/>
  <c r="M59" i="3"/>
  <c r="L59" i="3"/>
  <c r="K59" i="3"/>
  <c r="J59" i="3"/>
  <c r="H59" i="3"/>
  <c r="U58" i="3"/>
  <c r="T58" i="3"/>
  <c r="S58" i="3"/>
  <c r="R58" i="3"/>
  <c r="Q58" i="3"/>
  <c r="P58" i="3"/>
  <c r="O58" i="3"/>
  <c r="N58" i="3"/>
  <c r="M58" i="3"/>
  <c r="L58" i="3"/>
  <c r="K58" i="3"/>
  <c r="J58" i="3"/>
  <c r="H58" i="3"/>
  <c r="U57" i="3"/>
  <c r="T57" i="3"/>
  <c r="S57" i="3"/>
  <c r="R57" i="3"/>
  <c r="Q57" i="3"/>
  <c r="P57" i="3"/>
  <c r="O57" i="3"/>
  <c r="N57" i="3"/>
  <c r="M57" i="3"/>
  <c r="L57" i="3"/>
  <c r="K57" i="3"/>
  <c r="J57" i="3"/>
  <c r="H57" i="3"/>
  <c r="U56" i="3"/>
  <c r="T56" i="3"/>
  <c r="S56" i="3"/>
  <c r="R56" i="3"/>
  <c r="Q56" i="3"/>
  <c r="P56" i="3"/>
  <c r="O56" i="3"/>
  <c r="N56" i="3"/>
  <c r="M56" i="3"/>
  <c r="L56" i="3"/>
  <c r="K56" i="3"/>
  <c r="J56" i="3"/>
  <c r="H56" i="3"/>
  <c r="U55" i="3"/>
  <c r="T55" i="3"/>
  <c r="S55" i="3"/>
  <c r="R55" i="3"/>
  <c r="Q55" i="3"/>
  <c r="P55" i="3"/>
  <c r="O55" i="3"/>
  <c r="N55" i="3"/>
  <c r="M55" i="3"/>
  <c r="L55" i="3"/>
  <c r="K55" i="3"/>
  <c r="J55" i="3"/>
  <c r="H55" i="3"/>
  <c r="U54" i="3"/>
  <c r="T54" i="3"/>
  <c r="S54" i="3"/>
  <c r="R54" i="3"/>
  <c r="Q54" i="3"/>
  <c r="P54" i="3"/>
  <c r="O54" i="3"/>
  <c r="N54" i="3"/>
  <c r="M54" i="3"/>
  <c r="L54" i="3"/>
  <c r="K54" i="3"/>
  <c r="J54" i="3"/>
  <c r="H54" i="3"/>
  <c r="U53" i="3"/>
  <c r="T53" i="3"/>
  <c r="S53" i="3"/>
  <c r="R53" i="3"/>
  <c r="Q53" i="3"/>
  <c r="P53" i="3"/>
  <c r="O53" i="3"/>
  <c r="N53" i="3"/>
  <c r="M53" i="3"/>
  <c r="L53" i="3"/>
  <c r="K53" i="3"/>
  <c r="J53" i="3"/>
  <c r="H53" i="3"/>
  <c r="U52" i="3"/>
  <c r="T52" i="3"/>
  <c r="S52" i="3"/>
  <c r="R52" i="3"/>
  <c r="Q52" i="3"/>
  <c r="P52" i="3"/>
  <c r="O52" i="3"/>
  <c r="N52" i="3"/>
  <c r="M52" i="3"/>
  <c r="L52" i="3"/>
  <c r="K52" i="3"/>
  <c r="J52" i="3"/>
  <c r="H52" i="3"/>
  <c r="U51" i="3"/>
  <c r="T51" i="3"/>
  <c r="S51" i="3"/>
  <c r="R51" i="3"/>
  <c r="Q51" i="3"/>
  <c r="P51" i="3"/>
  <c r="O51" i="3"/>
  <c r="N51" i="3"/>
  <c r="M51" i="3"/>
  <c r="L51" i="3"/>
  <c r="K51" i="3"/>
  <c r="J51" i="3"/>
  <c r="H51" i="3"/>
  <c r="U50" i="3"/>
  <c r="T50" i="3"/>
  <c r="S50" i="3"/>
  <c r="R50" i="3"/>
  <c r="Q50" i="3"/>
  <c r="P50" i="3"/>
  <c r="O50" i="3"/>
  <c r="N50" i="3"/>
  <c r="M50" i="3"/>
  <c r="L50" i="3"/>
  <c r="K50" i="3"/>
  <c r="J50" i="3"/>
  <c r="H50" i="3"/>
  <c r="U49" i="3"/>
  <c r="T49" i="3"/>
  <c r="S49" i="3"/>
  <c r="R49" i="3"/>
  <c r="Q49" i="3"/>
  <c r="P49" i="3"/>
  <c r="O49" i="3"/>
  <c r="N49" i="3"/>
  <c r="M49" i="3"/>
  <c r="L49" i="3"/>
  <c r="K49" i="3"/>
  <c r="J49" i="3"/>
  <c r="H49" i="3"/>
  <c r="U48" i="3"/>
  <c r="T48" i="3"/>
  <c r="S48" i="3"/>
  <c r="R48" i="3"/>
  <c r="Q48" i="3"/>
  <c r="P48" i="3"/>
  <c r="O48" i="3"/>
  <c r="N48" i="3"/>
  <c r="M48" i="3"/>
  <c r="L48" i="3"/>
  <c r="K48" i="3"/>
  <c r="J48" i="3"/>
  <c r="H48" i="3"/>
  <c r="U47" i="3"/>
  <c r="T47" i="3"/>
  <c r="S47" i="3"/>
  <c r="R47" i="3"/>
  <c r="Q47" i="3"/>
  <c r="P47" i="3"/>
  <c r="O47" i="3"/>
  <c r="N47" i="3"/>
  <c r="M47" i="3"/>
  <c r="L47" i="3"/>
  <c r="K47" i="3"/>
  <c r="J47" i="3"/>
  <c r="H47" i="3"/>
  <c r="U46" i="3"/>
  <c r="T46" i="3"/>
  <c r="S46" i="3"/>
  <c r="R46" i="3"/>
  <c r="Q46" i="3"/>
  <c r="P46" i="3"/>
  <c r="O46" i="3"/>
  <c r="N46" i="3"/>
  <c r="M46" i="3"/>
  <c r="L46" i="3"/>
  <c r="K46" i="3"/>
  <c r="J46" i="3"/>
  <c r="H46" i="3"/>
  <c r="U45" i="3"/>
  <c r="T45" i="3"/>
  <c r="S45" i="3"/>
  <c r="R45" i="3"/>
  <c r="Q45" i="3"/>
  <c r="P45" i="3"/>
  <c r="O45" i="3"/>
  <c r="N45" i="3"/>
  <c r="M45" i="3"/>
  <c r="L45" i="3"/>
  <c r="K45" i="3"/>
  <c r="J45" i="3"/>
  <c r="H45" i="3"/>
  <c r="U44" i="3"/>
  <c r="T44" i="3"/>
  <c r="S44" i="3"/>
  <c r="R44" i="3"/>
  <c r="Q44" i="3"/>
  <c r="P44" i="3"/>
  <c r="O44" i="3"/>
  <c r="N44" i="3"/>
  <c r="M44" i="3"/>
  <c r="L44" i="3"/>
  <c r="K44" i="3"/>
  <c r="J44" i="3"/>
  <c r="H44" i="3"/>
  <c r="U43" i="3"/>
  <c r="T43" i="3"/>
  <c r="S43" i="3"/>
  <c r="R43" i="3"/>
  <c r="Q43" i="3"/>
  <c r="P43" i="3"/>
  <c r="O43" i="3"/>
  <c r="N43" i="3"/>
  <c r="M43" i="3"/>
  <c r="L43" i="3"/>
  <c r="K43" i="3"/>
  <c r="J43" i="3"/>
  <c r="H43" i="3"/>
  <c r="U42" i="3"/>
  <c r="T42" i="3"/>
  <c r="S42" i="3"/>
  <c r="R42" i="3"/>
  <c r="Q42" i="3"/>
  <c r="P42" i="3"/>
  <c r="O42" i="3"/>
  <c r="N42" i="3"/>
  <c r="M42" i="3"/>
  <c r="L42" i="3"/>
  <c r="K42" i="3"/>
  <c r="J42" i="3"/>
  <c r="H42" i="3"/>
  <c r="U41" i="3"/>
  <c r="T41" i="3"/>
  <c r="S41" i="3"/>
  <c r="R41" i="3"/>
  <c r="Q41" i="3"/>
  <c r="P41" i="3"/>
  <c r="O41" i="3"/>
  <c r="N41" i="3"/>
  <c r="M41" i="3"/>
  <c r="L41" i="3"/>
  <c r="K41" i="3"/>
  <c r="J41" i="3"/>
  <c r="H41" i="3"/>
  <c r="U40" i="3"/>
  <c r="T40" i="3"/>
  <c r="S40" i="3"/>
  <c r="R40" i="3"/>
  <c r="Q40" i="3"/>
  <c r="P40" i="3"/>
  <c r="O40" i="3"/>
  <c r="N40" i="3"/>
  <c r="M40" i="3"/>
  <c r="L40" i="3"/>
  <c r="K40" i="3"/>
  <c r="J40" i="3"/>
  <c r="H40" i="3"/>
  <c r="U39" i="3"/>
  <c r="T39" i="3"/>
  <c r="S39" i="3"/>
  <c r="R39" i="3"/>
  <c r="Q39" i="3"/>
  <c r="P39" i="3"/>
  <c r="O39" i="3"/>
  <c r="N39" i="3"/>
  <c r="M39" i="3"/>
  <c r="L39" i="3"/>
  <c r="K39" i="3"/>
  <c r="J39" i="3"/>
  <c r="H39" i="3"/>
  <c r="U38" i="3"/>
  <c r="T38" i="3"/>
  <c r="S38" i="3"/>
  <c r="R38" i="3"/>
  <c r="Q38" i="3"/>
  <c r="P38" i="3"/>
  <c r="O38" i="3"/>
  <c r="N38" i="3"/>
  <c r="M38" i="3"/>
  <c r="L38" i="3"/>
  <c r="K38" i="3"/>
  <c r="J38" i="3"/>
  <c r="H38" i="3"/>
  <c r="U37" i="3"/>
  <c r="T37" i="3"/>
  <c r="S37" i="3"/>
  <c r="R37" i="3"/>
  <c r="Q37" i="3"/>
  <c r="P37" i="3"/>
  <c r="O37" i="3"/>
  <c r="N37" i="3"/>
  <c r="M37" i="3"/>
  <c r="L37" i="3"/>
  <c r="K37" i="3"/>
  <c r="J37" i="3"/>
  <c r="H37" i="3"/>
  <c r="U36" i="3"/>
  <c r="T36" i="3"/>
  <c r="S36" i="3"/>
  <c r="R36" i="3"/>
  <c r="Q36" i="3"/>
  <c r="P36" i="3"/>
  <c r="O36" i="3"/>
  <c r="N36" i="3"/>
  <c r="M36" i="3"/>
  <c r="L36" i="3"/>
  <c r="K36" i="3"/>
  <c r="J36" i="3"/>
  <c r="H36" i="3"/>
  <c r="U35" i="3"/>
  <c r="T35" i="3"/>
  <c r="S35" i="3"/>
  <c r="R35" i="3"/>
  <c r="Q35" i="3"/>
  <c r="P35" i="3"/>
  <c r="O35" i="3"/>
  <c r="N35" i="3"/>
  <c r="M35" i="3"/>
  <c r="L35" i="3"/>
  <c r="K35" i="3"/>
  <c r="J35" i="3"/>
  <c r="H35" i="3"/>
  <c r="U34" i="3"/>
  <c r="T34" i="3"/>
  <c r="S34" i="3"/>
  <c r="R34" i="3"/>
  <c r="Q34" i="3"/>
  <c r="P34" i="3"/>
  <c r="O34" i="3"/>
  <c r="N34" i="3"/>
  <c r="M34" i="3"/>
  <c r="L34" i="3"/>
  <c r="K34" i="3"/>
  <c r="J34" i="3"/>
  <c r="H34" i="3"/>
  <c r="U33" i="3"/>
  <c r="T33" i="3"/>
  <c r="S33" i="3"/>
  <c r="R33" i="3"/>
  <c r="Q33" i="3"/>
  <c r="P33" i="3"/>
  <c r="O33" i="3"/>
  <c r="N33" i="3"/>
  <c r="M33" i="3"/>
  <c r="L33" i="3"/>
  <c r="K33" i="3"/>
  <c r="J33" i="3"/>
  <c r="H33" i="3"/>
  <c r="U32" i="3"/>
  <c r="T32" i="3"/>
  <c r="S32" i="3"/>
  <c r="R32" i="3"/>
  <c r="Q32" i="3"/>
  <c r="P32" i="3"/>
  <c r="O32" i="3"/>
  <c r="N32" i="3"/>
  <c r="M32" i="3"/>
  <c r="L32" i="3"/>
  <c r="K32" i="3"/>
  <c r="J32" i="3"/>
  <c r="H32" i="3"/>
  <c r="U31" i="3"/>
  <c r="T31" i="3"/>
  <c r="S31" i="3"/>
  <c r="R31" i="3"/>
  <c r="Q31" i="3"/>
  <c r="P31" i="3"/>
  <c r="O31" i="3"/>
  <c r="N31" i="3"/>
  <c r="M31" i="3"/>
  <c r="L31" i="3"/>
  <c r="K31" i="3"/>
  <c r="J31" i="3"/>
  <c r="H31" i="3"/>
  <c r="U30" i="3"/>
  <c r="T30" i="3"/>
  <c r="S30" i="3"/>
  <c r="R30" i="3"/>
  <c r="Q30" i="3"/>
  <c r="P30" i="3"/>
  <c r="O30" i="3"/>
  <c r="N30" i="3"/>
  <c r="M30" i="3"/>
  <c r="L30" i="3"/>
  <c r="K30" i="3"/>
  <c r="J30" i="3"/>
  <c r="H30" i="3"/>
  <c r="U29" i="3"/>
  <c r="T29" i="3"/>
  <c r="S29" i="3"/>
  <c r="R29" i="3"/>
  <c r="Q29" i="3"/>
  <c r="P29" i="3"/>
  <c r="O29" i="3"/>
  <c r="N29" i="3"/>
  <c r="M29" i="3"/>
  <c r="L29" i="3"/>
  <c r="K29" i="3"/>
  <c r="J29" i="3"/>
  <c r="H29" i="3"/>
  <c r="U28" i="3"/>
  <c r="T28" i="3"/>
  <c r="S28" i="3"/>
  <c r="R28" i="3"/>
  <c r="Q28" i="3"/>
  <c r="P28" i="3"/>
  <c r="O28" i="3"/>
  <c r="N28" i="3"/>
  <c r="M28" i="3"/>
  <c r="L28" i="3"/>
  <c r="K28" i="3"/>
  <c r="J28" i="3"/>
  <c r="H28" i="3"/>
  <c r="U27" i="3"/>
  <c r="T27" i="3"/>
  <c r="S27" i="3"/>
  <c r="R27" i="3"/>
  <c r="Q27" i="3"/>
  <c r="P27" i="3"/>
  <c r="O27" i="3"/>
  <c r="N27" i="3"/>
  <c r="M27" i="3"/>
  <c r="L27" i="3"/>
  <c r="K27" i="3"/>
  <c r="J27" i="3"/>
  <c r="H27" i="3"/>
  <c r="U26" i="3"/>
  <c r="T26" i="3"/>
  <c r="S26" i="3"/>
  <c r="R26" i="3"/>
  <c r="Q26" i="3"/>
  <c r="P26" i="3"/>
  <c r="O26" i="3"/>
  <c r="N26" i="3"/>
  <c r="M26" i="3"/>
  <c r="L26" i="3"/>
  <c r="K26" i="3"/>
  <c r="J26" i="3"/>
  <c r="H26" i="3"/>
  <c r="U25" i="3"/>
  <c r="T25" i="3"/>
  <c r="S25" i="3"/>
  <c r="R25" i="3"/>
  <c r="Q25" i="3"/>
  <c r="P25" i="3"/>
  <c r="O25" i="3"/>
  <c r="N25" i="3"/>
  <c r="M25" i="3"/>
  <c r="L25" i="3"/>
  <c r="K25" i="3"/>
  <c r="J25" i="3"/>
  <c r="H25" i="3"/>
  <c r="U24" i="3"/>
  <c r="T24" i="3"/>
  <c r="S24" i="3"/>
  <c r="R24" i="3"/>
  <c r="Q24" i="3"/>
  <c r="P24" i="3"/>
  <c r="O24" i="3"/>
  <c r="N24" i="3"/>
  <c r="M24" i="3"/>
  <c r="L24" i="3"/>
  <c r="K24" i="3"/>
  <c r="J24" i="3"/>
  <c r="H24" i="3"/>
  <c r="U23" i="3"/>
  <c r="T23" i="3"/>
  <c r="S23" i="3"/>
  <c r="R23" i="3"/>
  <c r="Q23" i="3"/>
  <c r="P23" i="3"/>
  <c r="O23" i="3"/>
  <c r="N23" i="3"/>
  <c r="M23" i="3"/>
  <c r="L23" i="3"/>
  <c r="K23" i="3"/>
  <c r="J23" i="3"/>
  <c r="H23" i="3"/>
  <c r="U22" i="3"/>
  <c r="T22" i="3"/>
  <c r="S22" i="3"/>
  <c r="R22" i="3"/>
  <c r="Q22" i="3"/>
  <c r="P22" i="3"/>
  <c r="O22" i="3"/>
  <c r="N22" i="3"/>
  <c r="M22" i="3"/>
  <c r="L22" i="3"/>
  <c r="K22" i="3"/>
  <c r="J22" i="3"/>
  <c r="H22" i="3"/>
  <c r="U21" i="3"/>
  <c r="T21" i="3"/>
  <c r="S21" i="3"/>
  <c r="R21" i="3"/>
  <c r="Q21" i="3"/>
  <c r="P21" i="3"/>
  <c r="O21" i="3"/>
  <c r="N21" i="3"/>
  <c r="M21" i="3"/>
  <c r="L21" i="3"/>
  <c r="K21" i="3"/>
  <c r="J21" i="3"/>
  <c r="H21" i="3"/>
  <c r="U20" i="3"/>
  <c r="T20" i="3"/>
  <c r="S20" i="3"/>
  <c r="R20" i="3"/>
  <c r="Q20" i="3"/>
  <c r="P20" i="3"/>
  <c r="O20" i="3"/>
  <c r="N20" i="3"/>
  <c r="M20" i="3"/>
  <c r="L20" i="3"/>
  <c r="K20" i="3"/>
  <c r="J20" i="3"/>
  <c r="H20" i="3"/>
  <c r="U19" i="3"/>
  <c r="T19" i="3"/>
  <c r="S19" i="3"/>
  <c r="R19" i="3"/>
  <c r="Q19" i="3"/>
  <c r="P19" i="3"/>
  <c r="O19" i="3"/>
  <c r="N19" i="3"/>
  <c r="M19" i="3"/>
  <c r="L19" i="3"/>
  <c r="K19" i="3"/>
  <c r="J19" i="3"/>
  <c r="H19" i="3"/>
  <c r="U18" i="3"/>
  <c r="T18" i="3"/>
  <c r="S18" i="3"/>
  <c r="R18" i="3"/>
  <c r="Q18" i="3"/>
  <c r="P18" i="3"/>
  <c r="O18" i="3"/>
  <c r="N18" i="3"/>
  <c r="M18" i="3"/>
  <c r="L18" i="3"/>
  <c r="K18" i="3"/>
  <c r="J18" i="3"/>
  <c r="H18" i="3"/>
  <c r="U17" i="3"/>
  <c r="T17" i="3"/>
  <c r="S17" i="3"/>
  <c r="R17" i="3"/>
  <c r="Q17" i="3"/>
  <c r="P17" i="3"/>
  <c r="O17" i="3"/>
  <c r="N17" i="3"/>
  <c r="M17" i="3"/>
  <c r="L17" i="3"/>
  <c r="K17" i="3"/>
  <c r="J17" i="3"/>
  <c r="H17" i="3"/>
  <c r="U16" i="3"/>
  <c r="T16" i="3"/>
  <c r="S16" i="3"/>
  <c r="R16" i="3"/>
  <c r="Q16" i="3"/>
  <c r="P16" i="3"/>
  <c r="O16" i="3"/>
  <c r="N16" i="3"/>
  <c r="M16" i="3"/>
  <c r="L16" i="3"/>
  <c r="K16" i="3"/>
  <c r="J16" i="3"/>
  <c r="H16" i="3"/>
  <c r="U15" i="3"/>
  <c r="T15" i="3"/>
  <c r="S15" i="3"/>
  <c r="R15" i="3"/>
  <c r="Q15" i="3"/>
  <c r="P15" i="3"/>
  <c r="O15" i="3"/>
  <c r="N15" i="3"/>
  <c r="M15" i="3"/>
  <c r="L15" i="3"/>
  <c r="K15" i="3"/>
  <c r="J15" i="3"/>
  <c r="H15" i="3"/>
  <c r="U14" i="3"/>
  <c r="T14" i="3"/>
  <c r="S14" i="3"/>
  <c r="R14" i="3"/>
  <c r="Q14" i="3"/>
  <c r="P14" i="3"/>
  <c r="O14" i="3"/>
  <c r="N14" i="3"/>
  <c r="M14" i="3"/>
  <c r="L14" i="3"/>
  <c r="K14" i="3"/>
  <c r="J14" i="3"/>
  <c r="H14" i="3"/>
  <c r="U13" i="3"/>
  <c r="T13" i="3"/>
  <c r="S13" i="3"/>
  <c r="R13" i="3"/>
  <c r="Q13" i="3"/>
  <c r="P13" i="3"/>
  <c r="O13" i="3"/>
  <c r="N13" i="3"/>
  <c r="M13" i="3"/>
  <c r="L13" i="3"/>
  <c r="K13" i="3"/>
  <c r="J13" i="3"/>
  <c r="H13" i="3"/>
  <c r="U12" i="3"/>
  <c r="T12" i="3"/>
  <c r="S12" i="3"/>
  <c r="R12" i="3"/>
  <c r="Q12" i="3"/>
  <c r="P12" i="3"/>
  <c r="O12" i="3"/>
  <c r="N12" i="3"/>
  <c r="M12" i="3"/>
  <c r="L12" i="3"/>
  <c r="K12" i="3"/>
  <c r="J12" i="3"/>
  <c r="H12" i="3"/>
  <c r="U11" i="3"/>
  <c r="T11" i="3"/>
  <c r="S11" i="3"/>
  <c r="R11" i="3"/>
  <c r="Q11" i="3"/>
  <c r="P11" i="3"/>
  <c r="O11" i="3"/>
  <c r="N11" i="3"/>
  <c r="M11" i="3"/>
  <c r="L11" i="3"/>
  <c r="K11" i="3"/>
  <c r="J11" i="3"/>
  <c r="H11" i="3"/>
  <c r="U10" i="3"/>
  <c r="T10" i="3"/>
  <c r="S10" i="3"/>
  <c r="R10" i="3"/>
  <c r="Q10" i="3"/>
  <c r="P10" i="3"/>
  <c r="O10" i="3"/>
  <c r="N10" i="3"/>
  <c r="M10" i="3"/>
  <c r="L10" i="3"/>
  <c r="K10" i="3"/>
  <c r="J10" i="3"/>
  <c r="H10" i="3"/>
  <c r="U9" i="3"/>
  <c r="T9" i="3"/>
  <c r="S9" i="3"/>
  <c r="R9" i="3"/>
  <c r="Q9" i="3"/>
  <c r="P9" i="3"/>
  <c r="O9" i="3"/>
  <c r="N9" i="3"/>
  <c r="M9" i="3"/>
  <c r="L9" i="3"/>
  <c r="K9" i="3"/>
  <c r="J9" i="3"/>
  <c r="H9" i="3"/>
  <c r="U8" i="3"/>
  <c r="T8" i="3"/>
  <c r="S8" i="3"/>
  <c r="R8" i="3"/>
  <c r="Q8" i="3"/>
  <c r="P8" i="3"/>
  <c r="O8" i="3"/>
  <c r="N8" i="3"/>
  <c r="M8" i="3"/>
  <c r="L8" i="3"/>
  <c r="K8" i="3"/>
  <c r="J8" i="3"/>
  <c r="H8" i="3"/>
  <c r="U7" i="3"/>
  <c r="T7" i="3"/>
  <c r="S7" i="3"/>
  <c r="R7" i="3"/>
  <c r="Q7" i="3"/>
  <c r="P7" i="3"/>
  <c r="O7" i="3"/>
  <c r="N7" i="3"/>
  <c r="M7" i="3"/>
  <c r="L7" i="3"/>
  <c r="K7" i="3"/>
  <c r="J7" i="3"/>
  <c r="H7" i="3"/>
  <c r="U6" i="3"/>
  <c r="T6" i="3"/>
  <c r="S6" i="3"/>
  <c r="R6" i="3"/>
  <c r="Q6" i="3"/>
  <c r="P6" i="3"/>
  <c r="O6" i="3"/>
  <c r="N6" i="3"/>
  <c r="M6" i="3"/>
  <c r="L6" i="3"/>
  <c r="K6" i="3"/>
  <c r="J6" i="3"/>
  <c r="H6" i="3"/>
  <c r="U5" i="3"/>
  <c r="T5" i="3"/>
  <c r="S5" i="3"/>
  <c r="R5" i="3"/>
  <c r="Q5" i="3"/>
  <c r="P5" i="3"/>
  <c r="O5" i="3"/>
  <c r="N5" i="3"/>
  <c r="M5" i="3"/>
  <c r="L5" i="3"/>
  <c r="K5" i="3"/>
  <c r="J5" i="3"/>
  <c r="H5" i="3"/>
  <c r="U4" i="3"/>
  <c r="T4" i="3"/>
  <c r="S4" i="3"/>
  <c r="R4" i="3"/>
  <c r="Q4" i="3"/>
  <c r="P4" i="3"/>
  <c r="O4" i="3"/>
  <c r="N4" i="3"/>
  <c r="M4" i="3"/>
  <c r="L4" i="3"/>
  <c r="K4" i="3"/>
  <c r="J4" i="3"/>
  <c r="H4" i="3"/>
  <c r="U3" i="3"/>
  <c r="T3" i="3"/>
  <c r="S3" i="3"/>
  <c r="R3" i="3"/>
  <c r="Q3" i="3"/>
  <c r="P3" i="3"/>
  <c r="O3" i="3"/>
  <c r="N3" i="3"/>
  <c r="M3" i="3"/>
  <c r="L3" i="3"/>
  <c r="K3" i="3"/>
  <c r="J3" i="3"/>
  <c r="H3" i="3"/>
  <c r="AC2" i="3"/>
  <c r="AB2" i="3"/>
  <c r="AA2" i="3"/>
  <c r="Z2" i="3"/>
  <c r="Y2" i="3"/>
  <c r="X2" i="3"/>
  <c r="W2" i="3"/>
  <c r="V2" i="3"/>
  <c r="U2" i="3"/>
  <c r="T2" i="3"/>
  <c r="S2" i="3"/>
  <c r="R2" i="3"/>
  <c r="Q2" i="3"/>
  <c r="P2" i="3"/>
  <c r="O2" i="3"/>
  <c r="N2" i="3"/>
  <c r="M2" i="3"/>
  <c r="L2" i="3"/>
  <c r="K2" i="3"/>
  <c r="J2" i="3"/>
  <c r="H2" i="3"/>
  <c r="U66" i="2"/>
  <c r="T66" i="2"/>
  <c r="S66" i="2"/>
  <c r="R66" i="2"/>
  <c r="Q66" i="2"/>
  <c r="P66" i="2"/>
  <c r="O66" i="2"/>
  <c r="N66" i="2"/>
  <c r="M66" i="2"/>
  <c r="L66" i="2"/>
  <c r="K66" i="2"/>
  <c r="J66" i="2"/>
  <c r="U65" i="2"/>
  <c r="T65" i="2"/>
  <c r="S65" i="2"/>
  <c r="R65" i="2"/>
  <c r="Q65" i="2"/>
  <c r="P65" i="2"/>
  <c r="O65" i="2"/>
  <c r="N65" i="2"/>
  <c r="M65" i="2"/>
  <c r="L65" i="2"/>
  <c r="K65" i="2"/>
  <c r="J65" i="2"/>
  <c r="U64" i="2"/>
  <c r="T64" i="2"/>
  <c r="S64" i="2"/>
  <c r="R64" i="2"/>
  <c r="Q64" i="2"/>
  <c r="P64" i="2"/>
  <c r="O64" i="2"/>
  <c r="N64" i="2"/>
  <c r="M64" i="2"/>
  <c r="L64" i="2"/>
  <c r="K64" i="2"/>
  <c r="J64" i="2"/>
  <c r="U63" i="2"/>
  <c r="T63" i="2"/>
  <c r="S63" i="2"/>
  <c r="R63" i="2"/>
  <c r="Q63" i="2"/>
  <c r="P63" i="2"/>
  <c r="O63" i="2"/>
  <c r="N63" i="2"/>
  <c r="M63" i="2"/>
  <c r="L63" i="2"/>
  <c r="K63" i="2"/>
  <c r="J63" i="2"/>
  <c r="U62" i="2"/>
  <c r="T62" i="2"/>
  <c r="S62" i="2"/>
  <c r="R62" i="2"/>
  <c r="Q62" i="2"/>
  <c r="P62" i="2"/>
  <c r="O62" i="2"/>
  <c r="N62" i="2"/>
  <c r="M62" i="2"/>
  <c r="L62" i="2"/>
  <c r="K62" i="2"/>
  <c r="J62" i="2"/>
  <c r="U61" i="2"/>
  <c r="T61" i="2"/>
  <c r="S61" i="2"/>
  <c r="R61" i="2"/>
  <c r="Q61" i="2"/>
  <c r="P61" i="2"/>
  <c r="O61" i="2"/>
  <c r="N61" i="2"/>
  <c r="M61" i="2"/>
  <c r="L61" i="2"/>
  <c r="K61" i="2"/>
  <c r="J61" i="2"/>
  <c r="U60" i="2"/>
  <c r="T60" i="2"/>
  <c r="S60" i="2"/>
  <c r="R60" i="2"/>
  <c r="Q60" i="2"/>
  <c r="P60" i="2"/>
  <c r="O60" i="2"/>
  <c r="N60" i="2"/>
  <c r="M60" i="2"/>
  <c r="L60" i="2"/>
  <c r="K60" i="2"/>
  <c r="J60" i="2"/>
  <c r="U59" i="2"/>
  <c r="T59" i="2"/>
  <c r="S59" i="2"/>
  <c r="R59" i="2"/>
  <c r="Q59" i="2"/>
  <c r="P59" i="2"/>
  <c r="O59" i="2"/>
  <c r="N59" i="2"/>
  <c r="M59" i="2"/>
  <c r="L59" i="2"/>
  <c r="K59" i="2"/>
  <c r="J59" i="2"/>
  <c r="U58" i="2"/>
  <c r="T58" i="2"/>
  <c r="S58" i="2"/>
  <c r="R58" i="2"/>
  <c r="Q58" i="2"/>
  <c r="P58" i="2"/>
  <c r="O58" i="2"/>
  <c r="N58" i="2"/>
  <c r="M58" i="2"/>
  <c r="L58" i="2"/>
  <c r="K58" i="2"/>
  <c r="J58" i="2"/>
  <c r="U57" i="2"/>
  <c r="T57" i="2"/>
  <c r="S57" i="2"/>
  <c r="R57" i="2"/>
  <c r="Q57" i="2"/>
  <c r="P57" i="2"/>
  <c r="O57" i="2"/>
  <c r="N57" i="2"/>
  <c r="M57" i="2"/>
  <c r="L57" i="2"/>
  <c r="K57" i="2"/>
  <c r="J57" i="2"/>
  <c r="H57" i="2"/>
  <c r="U56" i="2"/>
  <c r="T56" i="2"/>
  <c r="S56" i="2"/>
  <c r="R56" i="2"/>
  <c r="Q56" i="2"/>
  <c r="P56" i="2"/>
  <c r="O56" i="2"/>
  <c r="N56" i="2"/>
  <c r="M56" i="2"/>
  <c r="L56" i="2"/>
  <c r="K56" i="2"/>
  <c r="J56" i="2"/>
  <c r="H56" i="2"/>
  <c r="U55" i="2"/>
  <c r="T55" i="2"/>
  <c r="S55" i="2"/>
  <c r="R55" i="2"/>
  <c r="Q55" i="2"/>
  <c r="P55" i="2"/>
  <c r="O55" i="2"/>
  <c r="N55" i="2"/>
  <c r="M55" i="2"/>
  <c r="L55" i="2"/>
  <c r="K55" i="2"/>
  <c r="J55" i="2"/>
  <c r="H55" i="2"/>
  <c r="U54" i="2"/>
  <c r="T54" i="2"/>
  <c r="S54" i="2"/>
  <c r="R54" i="2"/>
  <c r="Q54" i="2"/>
  <c r="P54" i="2"/>
  <c r="O54" i="2"/>
  <c r="N54" i="2"/>
  <c r="M54" i="2"/>
  <c r="L54" i="2"/>
  <c r="K54" i="2"/>
  <c r="J54" i="2"/>
  <c r="H54" i="2"/>
  <c r="U53" i="2"/>
  <c r="T53" i="2"/>
  <c r="S53" i="2"/>
  <c r="R53" i="2"/>
  <c r="Q53" i="2"/>
  <c r="P53" i="2"/>
  <c r="O53" i="2"/>
  <c r="N53" i="2"/>
  <c r="M53" i="2"/>
  <c r="L53" i="2"/>
  <c r="K53" i="2"/>
  <c r="J53" i="2"/>
  <c r="H53" i="2"/>
  <c r="U52" i="2"/>
  <c r="T52" i="2"/>
  <c r="S52" i="2"/>
  <c r="R52" i="2"/>
  <c r="Q52" i="2"/>
  <c r="P52" i="2"/>
  <c r="O52" i="2"/>
  <c r="N52" i="2"/>
  <c r="M52" i="2"/>
  <c r="L52" i="2"/>
  <c r="K52" i="2"/>
  <c r="J52" i="2"/>
  <c r="H52" i="2"/>
  <c r="U51" i="2"/>
  <c r="T51" i="2"/>
  <c r="S51" i="2"/>
  <c r="R51" i="2"/>
  <c r="Q51" i="2"/>
  <c r="P51" i="2"/>
  <c r="O51" i="2"/>
  <c r="N51" i="2"/>
  <c r="M51" i="2"/>
  <c r="L51" i="2"/>
  <c r="K51" i="2"/>
  <c r="J51" i="2"/>
  <c r="H51" i="2"/>
  <c r="U50" i="2"/>
  <c r="T50" i="2"/>
  <c r="S50" i="2"/>
  <c r="R50" i="2"/>
  <c r="Q50" i="2"/>
  <c r="P50" i="2"/>
  <c r="O50" i="2"/>
  <c r="N50" i="2"/>
  <c r="M50" i="2"/>
  <c r="L50" i="2"/>
  <c r="K50" i="2"/>
  <c r="J50" i="2"/>
  <c r="H50" i="2"/>
  <c r="U49" i="2"/>
  <c r="T49" i="2"/>
  <c r="S49" i="2"/>
  <c r="R49" i="2"/>
  <c r="Q49" i="2"/>
  <c r="P49" i="2"/>
  <c r="O49" i="2"/>
  <c r="N49" i="2"/>
  <c r="M49" i="2"/>
  <c r="L49" i="2"/>
  <c r="K49" i="2"/>
  <c r="J49" i="2"/>
  <c r="H49" i="2"/>
  <c r="U48" i="2"/>
  <c r="T48" i="2"/>
  <c r="S48" i="2"/>
  <c r="R48" i="2"/>
  <c r="Q48" i="2"/>
  <c r="P48" i="2"/>
  <c r="O48" i="2"/>
  <c r="N48" i="2"/>
  <c r="M48" i="2"/>
  <c r="L48" i="2"/>
  <c r="K48" i="2"/>
  <c r="J48" i="2"/>
  <c r="H48" i="2"/>
  <c r="U47" i="2"/>
  <c r="T47" i="2"/>
  <c r="S47" i="2"/>
  <c r="R47" i="2"/>
  <c r="Q47" i="2"/>
  <c r="P47" i="2"/>
  <c r="O47" i="2"/>
  <c r="N47" i="2"/>
  <c r="M47" i="2"/>
  <c r="L47" i="2"/>
  <c r="K47" i="2"/>
  <c r="J47" i="2"/>
  <c r="H47" i="2"/>
  <c r="U46" i="2"/>
  <c r="T46" i="2"/>
  <c r="S46" i="2"/>
  <c r="R46" i="2"/>
  <c r="Q46" i="2"/>
  <c r="P46" i="2"/>
  <c r="O46" i="2"/>
  <c r="N46" i="2"/>
  <c r="M46" i="2"/>
  <c r="L46" i="2"/>
  <c r="K46" i="2"/>
  <c r="J46" i="2"/>
  <c r="H46" i="2"/>
  <c r="U45" i="2"/>
  <c r="T45" i="2"/>
  <c r="S45" i="2"/>
  <c r="R45" i="2"/>
  <c r="Q45" i="2"/>
  <c r="P45" i="2"/>
  <c r="O45" i="2"/>
  <c r="N45" i="2"/>
  <c r="M45" i="2"/>
  <c r="L45" i="2"/>
  <c r="K45" i="2"/>
  <c r="J45" i="2"/>
  <c r="H45" i="2"/>
  <c r="U44" i="2"/>
  <c r="T44" i="2"/>
  <c r="S44" i="2"/>
  <c r="R44" i="2"/>
  <c r="Q44" i="2"/>
  <c r="P44" i="2"/>
  <c r="O44" i="2"/>
  <c r="N44" i="2"/>
  <c r="M44" i="2"/>
  <c r="L44" i="2"/>
  <c r="K44" i="2"/>
  <c r="J44" i="2"/>
  <c r="H44" i="2"/>
  <c r="U43" i="2"/>
  <c r="T43" i="2"/>
  <c r="S43" i="2"/>
  <c r="R43" i="2"/>
  <c r="Q43" i="2"/>
  <c r="P43" i="2"/>
  <c r="O43" i="2"/>
  <c r="N43" i="2"/>
  <c r="M43" i="2"/>
  <c r="L43" i="2"/>
  <c r="K43" i="2"/>
  <c r="J43" i="2"/>
  <c r="H43" i="2"/>
  <c r="U42" i="2"/>
  <c r="T42" i="2"/>
  <c r="S42" i="2"/>
  <c r="R42" i="2"/>
  <c r="Q42" i="2"/>
  <c r="P42" i="2"/>
  <c r="O42" i="2"/>
  <c r="N42" i="2"/>
  <c r="M42" i="2"/>
  <c r="L42" i="2"/>
  <c r="K42" i="2"/>
  <c r="J42" i="2"/>
  <c r="H42" i="2"/>
  <c r="U41" i="2"/>
  <c r="T41" i="2"/>
  <c r="S41" i="2"/>
  <c r="R41" i="2"/>
  <c r="Q41" i="2"/>
  <c r="P41" i="2"/>
  <c r="O41" i="2"/>
  <c r="N41" i="2"/>
  <c r="M41" i="2"/>
  <c r="L41" i="2"/>
  <c r="K41" i="2"/>
  <c r="J41" i="2"/>
  <c r="H41" i="2"/>
  <c r="U40" i="2"/>
  <c r="T40" i="2"/>
  <c r="S40" i="2"/>
  <c r="R40" i="2"/>
  <c r="Q40" i="2"/>
  <c r="P40" i="2"/>
  <c r="O40" i="2"/>
  <c r="N40" i="2"/>
  <c r="M40" i="2"/>
  <c r="L40" i="2"/>
  <c r="K40" i="2"/>
  <c r="J40" i="2"/>
  <c r="H40" i="2"/>
  <c r="U39" i="2"/>
  <c r="T39" i="2"/>
  <c r="S39" i="2"/>
  <c r="R39" i="2"/>
  <c r="Q39" i="2"/>
  <c r="P39" i="2"/>
  <c r="O39" i="2"/>
  <c r="N39" i="2"/>
  <c r="M39" i="2"/>
  <c r="L39" i="2"/>
  <c r="K39" i="2"/>
  <c r="J39" i="2"/>
  <c r="H39" i="2"/>
  <c r="U38" i="2"/>
  <c r="T38" i="2"/>
  <c r="S38" i="2"/>
  <c r="R38" i="2"/>
  <c r="Q38" i="2"/>
  <c r="P38" i="2"/>
  <c r="O38" i="2"/>
  <c r="N38" i="2"/>
  <c r="M38" i="2"/>
  <c r="L38" i="2"/>
  <c r="K38" i="2"/>
  <c r="J38" i="2"/>
  <c r="H38" i="2"/>
  <c r="U37" i="2"/>
  <c r="T37" i="2"/>
  <c r="S37" i="2"/>
  <c r="R37" i="2"/>
  <c r="Q37" i="2"/>
  <c r="P37" i="2"/>
  <c r="O37" i="2"/>
  <c r="N37" i="2"/>
  <c r="M37" i="2"/>
  <c r="L37" i="2"/>
  <c r="K37" i="2"/>
  <c r="J37" i="2"/>
  <c r="H37" i="2"/>
  <c r="U36" i="2"/>
  <c r="T36" i="2"/>
  <c r="S36" i="2"/>
  <c r="R36" i="2"/>
  <c r="Q36" i="2"/>
  <c r="P36" i="2"/>
  <c r="O36" i="2"/>
  <c r="N36" i="2"/>
  <c r="M36" i="2"/>
  <c r="L36" i="2"/>
  <c r="K36" i="2"/>
  <c r="J36" i="2"/>
  <c r="H36" i="2"/>
  <c r="U35" i="2"/>
  <c r="T35" i="2"/>
  <c r="S35" i="2"/>
  <c r="R35" i="2"/>
  <c r="Q35" i="2"/>
  <c r="P35" i="2"/>
  <c r="O35" i="2"/>
  <c r="N35" i="2"/>
  <c r="M35" i="2"/>
  <c r="L35" i="2"/>
  <c r="K35" i="2"/>
  <c r="J35" i="2"/>
  <c r="H35" i="2"/>
  <c r="U34" i="2"/>
  <c r="T34" i="2"/>
  <c r="S34" i="2"/>
  <c r="R34" i="2"/>
  <c r="Q34" i="2"/>
  <c r="P34" i="2"/>
  <c r="O34" i="2"/>
  <c r="N34" i="2"/>
  <c r="M34" i="2"/>
  <c r="L34" i="2"/>
  <c r="K34" i="2"/>
  <c r="J34" i="2"/>
  <c r="H34" i="2"/>
  <c r="U33" i="2"/>
  <c r="T33" i="2"/>
  <c r="S33" i="2"/>
  <c r="R33" i="2"/>
  <c r="Q33" i="2"/>
  <c r="P33" i="2"/>
  <c r="O33" i="2"/>
  <c r="N33" i="2"/>
  <c r="M33" i="2"/>
  <c r="L33" i="2"/>
  <c r="K33" i="2"/>
  <c r="J33" i="2"/>
  <c r="H33" i="2"/>
  <c r="U32" i="2"/>
  <c r="T32" i="2"/>
  <c r="S32" i="2"/>
  <c r="R32" i="2"/>
  <c r="Q32" i="2"/>
  <c r="P32" i="2"/>
  <c r="O32" i="2"/>
  <c r="N32" i="2"/>
  <c r="M32" i="2"/>
  <c r="L32" i="2"/>
  <c r="K32" i="2"/>
  <c r="J32" i="2"/>
  <c r="H32" i="2"/>
  <c r="U31" i="2"/>
  <c r="T31" i="2"/>
  <c r="S31" i="2"/>
  <c r="R31" i="2"/>
  <c r="Q31" i="2"/>
  <c r="P31" i="2"/>
  <c r="O31" i="2"/>
  <c r="N31" i="2"/>
  <c r="M31" i="2"/>
  <c r="L31" i="2"/>
  <c r="K31" i="2"/>
  <c r="J31" i="2"/>
  <c r="H31" i="2"/>
  <c r="U30" i="2"/>
  <c r="T30" i="2"/>
  <c r="S30" i="2"/>
  <c r="R30" i="2"/>
  <c r="Q30" i="2"/>
  <c r="P30" i="2"/>
  <c r="O30" i="2"/>
  <c r="N30" i="2"/>
  <c r="M30" i="2"/>
  <c r="L30" i="2"/>
  <c r="K30" i="2"/>
  <c r="J30" i="2"/>
  <c r="H30" i="2"/>
  <c r="U29" i="2"/>
  <c r="T29" i="2"/>
  <c r="S29" i="2"/>
  <c r="R29" i="2"/>
  <c r="Q29" i="2"/>
  <c r="P29" i="2"/>
  <c r="O29" i="2"/>
  <c r="N29" i="2"/>
  <c r="M29" i="2"/>
  <c r="L29" i="2"/>
  <c r="K29" i="2"/>
  <c r="J29" i="2"/>
  <c r="H29" i="2"/>
  <c r="U28" i="2"/>
  <c r="T28" i="2"/>
  <c r="S28" i="2"/>
  <c r="R28" i="2"/>
  <c r="Q28" i="2"/>
  <c r="P28" i="2"/>
  <c r="O28" i="2"/>
  <c r="N28" i="2"/>
  <c r="M28" i="2"/>
  <c r="L28" i="2"/>
  <c r="K28" i="2"/>
  <c r="J28" i="2"/>
  <c r="H28" i="2"/>
  <c r="U27" i="2"/>
  <c r="T27" i="2"/>
  <c r="S27" i="2"/>
  <c r="R27" i="2"/>
  <c r="Q27" i="2"/>
  <c r="P27" i="2"/>
  <c r="O27" i="2"/>
  <c r="N27" i="2"/>
  <c r="M27" i="2"/>
  <c r="L27" i="2"/>
  <c r="K27" i="2"/>
  <c r="J27" i="2"/>
  <c r="H27" i="2"/>
  <c r="U26" i="2"/>
  <c r="T26" i="2"/>
  <c r="S26" i="2"/>
  <c r="R26" i="2"/>
  <c r="Q26" i="2"/>
  <c r="P26" i="2"/>
  <c r="O26" i="2"/>
  <c r="N26" i="2"/>
  <c r="M26" i="2"/>
  <c r="L26" i="2"/>
  <c r="K26" i="2"/>
  <c r="J26" i="2"/>
  <c r="H26" i="2"/>
  <c r="U25" i="2"/>
  <c r="T25" i="2"/>
  <c r="S25" i="2"/>
  <c r="R25" i="2"/>
  <c r="Q25" i="2"/>
  <c r="P25" i="2"/>
  <c r="O25" i="2"/>
  <c r="N25" i="2"/>
  <c r="M25" i="2"/>
  <c r="L25" i="2"/>
  <c r="K25" i="2"/>
  <c r="J25" i="2"/>
  <c r="H25" i="2"/>
  <c r="U24" i="2"/>
  <c r="T24" i="2"/>
  <c r="S24" i="2"/>
  <c r="R24" i="2"/>
  <c r="Q24" i="2"/>
  <c r="P24" i="2"/>
  <c r="O24" i="2"/>
  <c r="N24" i="2"/>
  <c r="M24" i="2"/>
  <c r="L24" i="2"/>
  <c r="K24" i="2"/>
  <c r="J24" i="2"/>
  <c r="H24" i="2"/>
  <c r="U23" i="2"/>
  <c r="T23" i="2"/>
  <c r="S23" i="2"/>
  <c r="R23" i="2"/>
  <c r="Q23" i="2"/>
  <c r="P23" i="2"/>
  <c r="O23" i="2"/>
  <c r="N23" i="2"/>
  <c r="M23" i="2"/>
  <c r="L23" i="2"/>
  <c r="K23" i="2"/>
  <c r="J23" i="2"/>
  <c r="H23" i="2"/>
  <c r="U22" i="2"/>
  <c r="T22" i="2"/>
  <c r="S22" i="2"/>
  <c r="R22" i="2"/>
  <c r="Q22" i="2"/>
  <c r="P22" i="2"/>
  <c r="O22" i="2"/>
  <c r="N22" i="2"/>
  <c r="M22" i="2"/>
  <c r="L22" i="2"/>
  <c r="K22" i="2"/>
  <c r="J22" i="2"/>
  <c r="H22" i="2"/>
  <c r="U21" i="2"/>
  <c r="T21" i="2"/>
  <c r="S21" i="2"/>
  <c r="R21" i="2"/>
  <c r="Q21" i="2"/>
  <c r="P21" i="2"/>
  <c r="O21" i="2"/>
  <c r="N21" i="2"/>
  <c r="M21" i="2"/>
  <c r="L21" i="2"/>
  <c r="K21" i="2"/>
  <c r="J21" i="2"/>
  <c r="H21" i="2"/>
  <c r="U20" i="2"/>
  <c r="T20" i="2"/>
  <c r="S20" i="2"/>
  <c r="R20" i="2"/>
  <c r="Q20" i="2"/>
  <c r="P20" i="2"/>
  <c r="O20" i="2"/>
  <c r="N20" i="2"/>
  <c r="M20" i="2"/>
  <c r="L20" i="2"/>
  <c r="K20" i="2"/>
  <c r="J20" i="2"/>
  <c r="H20" i="2"/>
  <c r="U19" i="2"/>
  <c r="T19" i="2"/>
  <c r="S19" i="2"/>
  <c r="R19" i="2"/>
  <c r="Q19" i="2"/>
  <c r="P19" i="2"/>
  <c r="O19" i="2"/>
  <c r="N19" i="2"/>
  <c r="M19" i="2"/>
  <c r="L19" i="2"/>
  <c r="K19" i="2"/>
  <c r="J19" i="2"/>
  <c r="H19" i="2"/>
  <c r="U18" i="2"/>
  <c r="T18" i="2"/>
  <c r="S18" i="2"/>
  <c r="R18" i="2"/>
  <c r="Q18" i="2"/>
  <c r="P18" i="2"/>
  <c r="O18" i="2"/>
  <c r="N18" i="2"/>
  <c r="M18" i="2"/>
  <c r="L18" i="2"/>
  <c r="K18" i="2"/>
  <c r="J18" i="2"/>
  <c r="H18" i="2"/>
  <c r="U17" i="2"/>
  <c r="T17" i="2"/>
  <c r="S17" i="2"/>
  <c r="R17" i="2"/>
  <c r="Q17" i="2"/>
  <c r="P17" i="2"/>
  <c r="O17" i="2"/>
  <c r="N17" i="2"/>
  <c r="M17" i="2"/>
  <c r="L17" i="2"/>
  <c r="K17" i="2"/>
  <c r="J17" i="2"/>
  <c r="H17" i="2"/>
  <c r="U16" i="2"/>
  <c r="T16" i="2"/>
  <c r="S16" i="2"/>
  <c r="R16" i="2"/>
  <c r="Q16" i="2"/>
  <c r="P16" i="2"/>
  <c r="O16" i="2"/>
  <c r="N16" i="2"/>
  <c r="M16" i="2"/>
  <c r="L16" i="2"/>
  <c r="K16" i="2"/>
  <c r="J16" i="2"/>
  <c r="H16" i="2"/>
  <c r="U15" i="2"/>
  <c r="T15" i="2"/>
  <c r="S15" i="2"/>
  <c r="R15" i="2"/>
  <c r="Q15" i="2"/>
  <c r="P15" i="2"/>
  <c r="O15" i="2"/>
  <c r="N15" i="2"/>
  <c r="M15" i="2"/>
  <c r="L15" i="2"/>
  <c r="K15" i="2"/>
  <c r="J15" i="2"/>
  <c r="H15" i="2"/>
  <c r="U14" i="2"/>
  <c r="T14" i="2"/>
  <c r="S14" i="2"/>
  <c r="R14" i="2"/>
  <c r="Q14" i="2"/>
  <c r="P14" i="2"/>
  <c r="O14" i="2"/>
  <c r="N14" i="2"/>
  <c r="M14" i="2"/>
  <c r="L14" i="2"/>
  <c r="K14" i="2"/>
  <c r="J14" i="2"/>
  <c r="H14" i="2"/>
  <c r="U13" i="2"/>
  <c r="T13" i="2"/>
  <c r="S13" i="2"/>
  <c r="R13" i="2"/>
  <c r="Q13" i="2"/>
  <c r="P13" i="2"/>
  <c r="O13" i="2"/>
  <c r="N13" i="2"/>
  <c r="M13" i="2"/>
  <c r="L13" i="2"/>
  <c r="K13" i="2"/>
  <c r="J13" i="2"/>
  <c r="H13" i="2"/>
  <c r="U12" i="2"/>
  <c r="T12" i="2"/>
  <c r="S12" i="2"/>
  <c r="R12" i="2"/>
  <c r="Q12" i="2"/>
  <c r="P12" i="2"/>
  <c r="O12" i="2"/>
  <c r="N12" i="2"/>
  <c r="M12" i="2"/>
  <c r="L12" i="2"/>
  <c r="K12" i="2"/>
  <c r="J12" i="2"/>
  <c r="H12" i="2"/>
  <c r="U11" i="2"/>
  <c r="T11" i="2"/>
  <c r="S11" i="2"/>
  <c r="R11" i="2"/>
  <c r="Q11" i="2"/>
  <c r="P11" i="2"/>
  <c r="O11" i="2"/>
  <c r="N11" i="2"/>
  <c r="M11" i="2"/>
  <c r="L11" i="2"/>
  <c r="K11" i="2"/>
  <c r="J11" i="2"/>
  <c r="H11" i="2"/>
  <c r="U10" i="2"/>
  <c r="T10" i="2"/>
  <c r="S10" i="2"/>
  <c r="R10" i="2"/>
  <c r="Q10" i="2"/>
  <c r="P10" i="2"/>
  <c r="O10" i="2"/>
  <c r="N10" i="2"/>
  <c r="M10" i="2"/>
  <c r="L10" i="2"/>
  <c r="K10" i="2"/>
  <c r="J10" i="2"/>
  <c r="H10" i="2"/>
  <c r="U9" i="2"/>
  <c r="T9" i="2"/>
  <c r="S9" i="2"/>
  <c r="R9" i="2"/>
  <c r="Q9" i="2"/>
  <c r="P9" i="2"/>
  <c r="O9" i="2"/>
  <c r="N9" i="2"/>
  <c r="M9" i="2"/>
  <c r="L9" i="2"/>
  <c r="K9" i="2"/>
  <c r="J9" i="2"/>
  <c r="H9" i="2"/>
  <c r="U8" i="2"/>
  <c r="T8" i="2"/>
  <c r="S8" i="2"/>
  <c r="R8" i="2"/>
  <c r="Q8" i="2"/>
  <c r="P8" i="2"/>
  <c r="O8" i="2"/>
  <c r="N8" i="2"/>
  <c r="M8" i="2"/>
  <c r="L8" i="2"/>
  <c r="K8" i="2"/>
  <c r="J8" i="2"/>
  <c r="H8" i="2"/>
  <c r="U7" i="2"/>
  <c r="T7" i="2"/>
  <c r="S7" i="2"/>
  <c r="R7" i="2"/>
  <c r="Q7" i="2"/>
  <c r="P7" i="2"/>
  <c r="O7" i="2"/>
  <c r="N7" i="2"/>
  <c r="M7" i="2"/>
  <c r="L7" i="2"/>
  <c r="K7" i="2"/>
  <c r="J7" i="2"/>
  <c r="H7" i="2"/>
  <c r="U6" i="2"/>
  <c r="T6" i="2"/>
  <c r="S6" i="2"/>
  <c r="R6" i="2"/>
  <c r="Q6" i="2"/>
  <c r="P6" i="2"/>
  <c r="O6" i="2"/>
  <c r="N6" i="2"/>
  <c r="M6" i="2"/>
  <c r="L6" i="2"/>
  <c r="K6" i="2"/>
  <c r="J6" i="2"/>
  <c r="H6" i="2"/>
  <c r="U5" i="2"/>
  <c r="T5" i="2"/>
  <c r="S5" i="2"/>
  <c r="R5" i="2"/>
  <c r="Q5" i="2"/>
  <c r="P5" i="2"/>
  <c r="O5" i="2"/>
  <c r="N5" i="2"/>
  <c r="M5" i="2"/>
  <c r="L5" i="2"/>
  <c r="K5" i="2"/>
  <c r="J5" i="2"/>
  <c r="H5" i="2"/>
  <c r="U4" i="2"/>
  <c r="T4" i="2"/>
  <c r="S4" i="2"/>
  <c r="R4" i="2"/>
  <c r="Q4" i="2"/>
  <c r="P4" i="2"/>
  <c r="O4" i="2"/>
  <c r="N4" i="2"/>
  <c r="M4" i="2"/>
  <c r="L4" i="2"/>
  <c r="K4" i="2"/>
  <c r="J4" i="2"/>
  <c r="H4" i="2"/>
  <c r="U3" i="2"/>
  <c r="T3" i="2"/>
  <c r="S3" i="2"/>
  <c r="R3" i="2"/>
  <c r="Q3" i="2"/>
  <c r="P3" i="2"/>
  <c r="O3" i="2"/>
  <c r="N3" i="2"/>
  <c r="M3" i="2"/>
  <c r="L3" i="2"/>
  <c r="K3" i="2"/>
  <c r="J3" i="2"/>
  <c r="H3" i="2"/>
  <c r="AG2" i="2"/>
  <c r="AF2" i="2"/>
  <c r="AE2" i="2"/>
  <c r="AD2" i="2"/>
  <c r="AC2" i="2"/>
  <c r="AB2" i="2"/>
  <c r="AA2" i="2"/>
  <c r="Z2" i="2"/>
  <c r="Y2" i="2"/>
  <c r="X2" i="2"/>
  <c r="W2" i="2"/>
  <c r="V2" i="2"/>
  <c r="U2" i="2"/>
  <c r="T2" i="2"/>
  <c r="S2" i="2"/>
  <c r="R2" i="2"/>
  <c r="Q2" i="2"/>
  <c r="P2" i="2"/>
  <c r="O2" i="2"/>
  <c r="N2" i="2"/>
  <c r="M2" i="2"/>
  <c r="L2" i="2"/>
  <c r="K2" i="2"/>
  <c r="J2" i="2"/>
  <c r="H2"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H103" authorId="0" shapeId="0" xr:uid="{00000000-0006-0000-0400-000002000000}">
      <text>
        <r>
          <rPr>
            <sz val="10"/>
            <rFont val="Arial"/>
            <family val="2"/>
          </rPr>
          <t>We have Simplification of Expressions using BOMASS in Chapter 9 as well (Playing with numbers)- Selina. So we have considered this in Decimals instead of Playing with Numbers. 
Also, in the same chapter, we also have 'Types of Brackets'. So do we need to include that as well. Because after rationalisation, Types of Bracket was removed.
@sangeetha@acadally.com
	-Shilpi Kumari</t>
        </r>
      </text>
    </comment>
    <comment ref="G251" authorId="0" shapeId="0" xr:uid="{00000000-0006-0000-0400-000001000000}">
      <text>
        <r>
          <rPr>
            <sz val="10"/>
            <rFont val="Arial"/>
            <family val="2"/>
          </rPr>
          <t>Creating L1 question only
	-Krishan Kumar</t>
        </r>
      </text>
    </comment>
  </commentList>
</comments>
</file>

<file path=xl/sharedStrings.xml><?xml version="1.0" encoding="utf-8"?>
<sst xmlns="http://schemas.openxmlformats.org/spreadsheetml/2006/main" count="5913" uniqueCount="1845">
  <si>
    <t>Template</t>
  </si>
  <si>
    <t>Board</t>
  </si>
  <si>
    <t>Subject</t>
  </si>
  <si>
    <t xml:space="preserve">Grade </t>
  </si>
  <si>
    <t>Topic</t>
  </si>
  <si>
    <t>LO ID (Remember)</t>
  </si>
  <si>
    <t>LO Name (Remember)</t>
  </si>
  <si>
    <t>LO ID (Understand)</t>
  </si>
  <si>
    <t>LO Name (Understand)</t>
  </si>
  <si>
    <t>LO ID (Apply)</t>
  </si>
  <si>
    <t>LO Name (Apply)</t>
  </si>
  <si>
    <t>LO ID (Analyse)</t>
  </si>
  <si>
    <t>LO Name (Analyse)</t>
  </si>
  <si>
    <t>LO ID (Evaluate)</t>
  </si>
  <si>
    <t>LO Name (Evaluate)</t>
  </si>
  <si>
    <t>LO ID (Create)</t>
  </si>
  <si>
    <t>LO Name (Create)</t>
  </si>
  <si>
    <t>Clone
Level 1</t>
  </si>
  <si>
    <t>Clone
Level 2</t>
  </si>
  <si>
    <t>Clone
Level 3</t>
  </si>
  <si>
    <t>Clone Total</t>
  </si>
  <si>
    <t>Original
Level 1</t>
  </si>
  <si>
    <t>Original
Level 2</t>
  </si>
  <si>
    <t>Original
Level 3</t>
  </si>
  <si>
    <t>Original Total</t>
  </si>
  <si>
    <t>Unknown
Level 1</t>
  </si>
  <si>
    <t>Unknown
Level 2</t>
  </si>
  <si>
    <t>Unknown
Level 3</t>
  </si>
  <si>
    <t>Unknown Total</t>
  </si>
  <si>
    <t>ICSE</t>
  </si>
  <si>
    <t>Physics</t>
  </si>
  <si>
    <t>Matter</t>
  </si>
  <si>
    <t>Introduction to Matter</t>
  </si>
  <si>
    <t>LU006781</t>
  </si>
  <si>
    <t>LU006782</t>
  </si>
  <si>
    <t>States of Matter</t>
  </si>
  <si>
    <t>LU006199</t>
  </si>
  <si>
    <t>LU006200</t>
  </si>
  <si>
    <t>LU006201</t>
  </si>
  <si>
    <t>LU005312</t>
  </si>
  <si>
    <t>Physical Quantities and Measurement</t>
  </si>
  <si>
    <t>Measurement of Length</t>
  </si>
  <si>
    <t>LU006783</t>
  </si>
  <si>
    <t>LU006784</t>
  </si>
  <si>
    <t>LU005174</t>
  </si>
  <si>
    <t>Measurement of Mass</t>
  </si>
  <si>
    <t>LU006419</t>
  </si>
  <si>
    <t>LU006785</t>
  </si>
  <si>
    <t>LU005183</t>
  </si>
  <si>
    <t>Measurement of Time</t>
  </si>
  <si>
    <t>LU006786</t>
  </si>
  <si>
    <t>LU005384</t>
  </si>
  <si>
    <t>Temperature and its Measurement</t>
  </si>
  <si>
    <t>LU005361</t>
  </si>
  <si>
    <t>LU006422</t>
  </si>
  <si>
    <t>Types of Thermometers</t>
  </si>
  <si>
    <t>LU005925</t>
  </si>
  <si>
    <t>LU006424</t>
  </si>
  <si>
    <t>LU005927</t>
  </si>
  <si>
    <t>Measurement of Area</t>
  </si>
  <si>
    <t>LU006787</t>
  </si>
  <si>
    <t>LU006788</t>
  </si>
  <si>
    <t>Force</t>
  </si>
  <si>
    <t>Introduction to force</t>
  </si>
  <si>
    <t>LU005179</t>
  </si>
  <si>
    <t>Effects of Force</t>
  </si>
  <si>
    <t>LU006789</t>
  </si>
  <si>
    <t>LU005540</t>
  </si>
  <si>
    <t>Force of Friction</t>
  </si>
  <si>
    <t>LU005551</t>
  </si>
  <si>
    <t>LU005557</t>
  </si>
  <si>
    <t>LU005558</t>
  </si>
  <si>
    <t>Friction a Necessary Evil</t>
  </si>
  <si>
    <t>LU005553</t>
  </si>
  <si>
    <t>LU005555</t>
  </si>
  <si>
    <t>Energy</t>
  </si>
  <si>
    <t>Simple Machines</t>
  </si>
  <si>
    <t>LU006048</t>
  </si>
  <si>
    <t>LU006790</t>
  </si>
  <si>
    <t>Concept and numericals</t>
  </si>
  <si>
    <t>Different Orders of Levers</t>
  </si>
  <si>
    <t>LU006049</t>
  </si>
  <si>
    <t>LU006050</t>
  </si>
  <si>
    <t xml:space="preserve">Pulley, Screw and Wheel </t>
  </si>
  <si>
    <t>LU006051</t>
  </si>
  <si>
    <t>LU006054</t>
  </si>
  <si>
    <t>LU006055</t>
  </si>
  <si>
    <t>Wedge and Inclined plane</t>
  </si>
  <si>
    <t>LU006052</t>
  </si>
  <si>
    <t>LU006053</t>
  </si>
  <si>
    <t>Light</t>
  </si>
  <si>
    <t>Rectilinear Propagation of Light</t>
  </si>
  <si>
    <t>LU005166</t>
  </si>
  <si>
    <t>LU006791</t>
  </si>
  <si>
    <t>Pinhole camera</t>
  </si>
  <si>
    <t>LU005167</t>
  </si>
  <si>
    <t>LU005834</t>
  </si>
  <si>
    <t>Shadows</t>
  </si>
  <si>
    <t>LU005837</t>
  </si>
  <si>
    <t>LU006792</t>
  </si>
  <si>
    <t>LU006006</t>
  </si>
  <si>
    <t>Magnetism</t>
  </si>
  <si>
    <t>Understanding Magnets</t>
  </si>
  <si>
    <t>LU006793</t>
  </si>
  <si>
    <t>LU006794</t>
  </si>
  <si>
    <t>Magnetic and non-magnetic substances.</t>
  </si>
  <si>
    <t>LU005161</t>
  </si>
  <si>
    <t>Magnetic Field</t>
  </si>
  <si>
    <t>LU006518</t>
  </si>
  <si>
    <t>LU005972</t>
  </si>
  <si>
    <t>Making Magnets</t>
  </si>
  <si>
    <t>LU006795</t>
  </si>
  <si>
    <t>LU006796</t>
  </si>
  <si>
    <t>Electromagnet</t>
  </si>
  <si>
    <t>LU005347</t>
  </si>
  <si>
    <t>LU006797</t>
  </si>
  <si>
    <t xml:space="preserve">Handling of Magnets </t>
  </si>
  <si>
    <t>LU005157</t>
  </si>
  <si>
    <t>Ways of Demagnetization</t>
  </si>
  <si>
    <t>LU006798</t>
  </si>
  <si>
    <t>Measurement of Volume</t>
  </si>
  <si>
    <t>LU006420</t>
  </si>
  <si>
    <t>LU006799</t>
  </si>
  <si>
    <t>LU006800</t>
  </si>
  <si>
    <t xml:space="preserve">Area of Irregular Shape </t>
  </si>
  <si>
    <t>LU006801</t>
  </si>
  <si>
    <t xml:space="preserve">Measurement of Density </t>
  </si>
  <si>
    <t>LU006802</t>
  </si>
  <si>
    <t>LU006803</t>
  </si>
  <si>
    <t>Exploring Speed</t>
  </si>
  <si>
    <t>LU005375</t>
  </si>
  <si>
    <t>LU005376</t>
  </si>
  <si>
    <t>LU005377</t>
  </si>
  <si>
    <t>Force and Pressure: Motion</t>
  </si>
  <si>
    <t xml:space="preserve">Exploring Motion </t>
  </si>
  <si>
    <t>LU005177</t>
  </si>
  <si>
    <t xml:space="preserve">Translatory and Circular Motion </t>
  </si>
  <si>
    <t>LU006804</t>
  </si>
  <si>
    <t>LU005187</t>
  </si>
  <si>
    <t xml:space="preserve">Repetitive and Combination of Motion </t>
  </si>
  <si>
    <t>LU005190</t>
  </si>
  <si>
    <t>LU005189</t>
  </si>
  <si>
    <t xml:space="preserve">Repetive and Combination of Motion </t>
  </si>
  <si>
    <t>LU005178</t>
  </si>
  <si>
    <t>Uniform and Non Uniform Motion</t>
  </si>
  <si>
    <t>LU005386</t>
  </si>
  <si>
    <t>LU006805</t>
  </si>
  <si>
    <t>Weight</t>
  </si>
  <si>
    <t>LU006346</t>
  </si>
  <si>
    <t>Introduction to Energy</t>
  </si>
  <si>
    <t>LU005897</t>
  </si>
  <si>
    <t>LU006806</t>
  </si>
  <si>
    <t xml:space="preserve">Introduction to Conservation of Energy </t>
  </si>
  <si>
    <t>LU006807</t>
  </si>
  <si>
    <t xml:space="preserve">Light Energy </t>
  </si>
  <si>
    <t>Understanding Reflection of Light</t>
  </si>
  <si>
    <t>LU005838</t>
  </si>
  <si>
    <t>LU005164</t>
  </si>
  <si>
    <t>Laws of Reflection</t>
  </si>
  <si>
    <t>LU005917</t>
  </si>
  <si>
    <t>LU005372</t>
  </si>
  <si>
    <t>Plane Mirror</t>
  </si>
  <si>
    <t>LU006808</t>
  </si>
  <si>
    <t>LU005367</t>
  </si>
  <si>
    <t>Speed of Light</t>
  </si>
  <si>
    <t>LU006161</t>
  </si>
  <si>
    <t>Colours of World</t>
  </si>
  <si>
    <t>LU006809</t>
  </si>
  <si>
    <t>LU006810</t>
  </si>
  <si>
    <t>LU006811</t>
  </si>
  <si>
    <t>Heat</t>
  </si>
  <si>
    <t>Introduction to Heat</t>
  </si>
  <si>
    <t>LU006812</t>
  </si>
  <si>
    <t>Effects of Heat</t>
  </si>
  <si>
    <t>LU006813</t>
  </si>
  <si>
    <t>Conduction</t>
  </si>
  <si>
    <t>LU005359</t>
  </si>
  <si>
    <t>LU005352</t>
  </si>
  <si>
    <t>Convection</t>
  </si>
  <si>
    <t>LU005358</t>
  </si>
  <si>
    <t>LU005351</t>
  </si>
  <si>
    <t>Radiation</t>
  </si>
  <si>
    <t>LU005360</t>
  </si>
  <si>
    <t>LU005353</t>
  </si>
  <si>
    <t>Thermos Flask</t>
  </si>
  <si>
    <t>LU006814</t>
  </si>
  <si>
    <t>Sound</t>
  </si>
  <si>
    <t>Sources of Sound</t>
  </si>
  <si>
    <t>LU006815</t>
  </si>
  <si>
    <t>Characteristics of a sound wave</t>
  </si>
  <si>
    <t>LU006816</t>
  </si>
  <si>
    <t>LU005577</t>
  </si>
  <si>
    <t>LU005585</t>
  </si>
  <si>
    <t>Propagation of Sound</t>
  </si>
  <si>
    <t>LU005575</t>
  </si>
  <si>
    <t>LU006106</t>
  </si>
  <si>
    <t>Reflection and Absorption of sound</t>
  </si>
  <si>
    <t>LU006817</t>
  </si>
  <si>
    <t>LU006818</t>
  </si>
  <si>
    <t>Electricity and Magnetism</t>
  </si>
  <si>
    <t>Law of Magnetism</t>
  </si>
  <si>
    <t>LU006819</t>
  </si>
  <si>
    <t>LU006820</t>
  </si>
  <si>
    <t xml:space="preserve">Electromagnetism </t>
  </si>
  <si>
    <t>LU006821</t>
  </si>
  <si>
    <t>LU006822</t>
  </si>
  <si>
    <t>LU006088</t>
  </si>
  <si>
    <t xml:space="preserve">Electric Bell </t>
  </si>
  <si>
    <t>LU005349</t>
  </si>
  <si>
    <t xml:space="preserve">Introduction to Electricity </t>
  </si>
  <si>
    <t>LU006823</t>
  </si>
  <si>
    <t>LU005155</t>
  </si>
  <si>
    <t>LU006824</t>
  </si>
  <si>
    <t xml:space="preserve">Resistors </t>
  </si>
  <si>
    <t>LU006510</t>
  </si>
  <si>
    <t>Electric circuits</t>
  </si>
  <si>
    <t>LU005153</t>
  </si>
  <si>
    <t>LU006825</t>
  </si>
  <si>
    <t>LU006826</t>
  </si>
  <si>
    <t>Simple electric circuit: Series and Parallel</t>
  </si>
  <si>
    <t>LU005346</t>
  </si>
  <si>
    <t>Electrical Conductor</t>
  </si>
  <si>
    <t>LU005152</t>
  </si>
  <si>
    <t>LUID</t>
  </si>
  <si>
    <t xml:space="preserve">Denisty of Irreguar Solids </t>
  </si>
  <si>
    <t>LU006827</t>
  </si>
  <si>
    <t>LU006828</t>
  </si>
  <si>
    <t>Fluid Density</t>
  </si>
  <si>
    <t>LU006829</t>
  </si>
  <si>
    <t>LU006352</t>
  </si>
  <si>
    <t>LU006830</t>
  </si>
  <si>
    <t>Concept of Floatation and sinking of a substance (relate to density)</t>
  </si>
  <si>
    <t>Denisty of Three States of Matter</t>
  </si>
  <si>
    <t>LU006831</t>
  </si>
  <si>
    <t>Force and Pressure</t>
  </si>
  <si>
    <t>Moment of Force</t>
  </si>
  <si>
    <t>LU006832</t>
  </si>
  <si>
    <t>LU006833</t>
  </si>
  <si>
    <t>LU006834</t>
  </si>
  <si>
    <t>Introduction to Pressure</t>
  </si>
  <si>
    <t>LU005543</t>
  </si>
  <si>
    <t xml:space="preserve">Definition, unit and numericals </t>
  </si>
  <si>
    <t xml:space="preserve">Pressure Exerted by Liquids and Gases
</t>
  </si>
  <si>
    <t>LU005544</t>
  </si>
  <si>
    <t>LU005915</t>
  </si>
  <si>
    <t>LU005546</t>
  </si>
  <si>
    <t>Concept of Work Done</t>
  </si>
  <si>
    <t>LU006353</t>
  </si>
  <si>
    <t>Understanding Kinetic Energy</t>
  </si>
  <si>
    <t>LU006355</t>
  </si>
  <si>
    <t>Understanding Potential Energy</t>
  </si>
  <si>
    <t>LU006356</t>
  </si>
  <si>
    <t>LU006835</t>
  </si>
  <si>
    <t>Conversion of Energy</t>
  </si>
  <si>
    <t>LU006836</t>
  </si>
  <si>
    <t>Concept of Power</t>
  </si>
  <si>
    <t>LU006360</t>
  </si>
  <si>
    <t>LU006837</t>
  </si>
  <si>
    <t>Light Energy</t>
  </si>
  <si>
    <t>Curved mirrors</t>
  </si>
  <si>
    <t>LU006838</t>
  </si>
  <si>
    <t>LU006839</t>
  </si>
  <si>
    <t>Rules for Drawing Ray Diagrams of Mirror</t>
  </si>
  <si>
    <t>LU006494</t>
  </si>
  <si>
    <t>LU005374</t>
  </si>
  <si>
    <t>Image Formation by Mirror</t>
  </si>
  <si>
    <t>LU005921</t>
  </si>
  <si>
    <t>LU005923</t>
  </si>
  <si>
    <t>Dispersion of Light</t>
  </si>
  <si>
    <t>LU005373</t>
  </si>
  <si>
    <t>LU005565</t>
  </si>
  <si>
    <t>Understanding of Refraction of Light</t>
  </si>
  <si>
    <t>LU005586</t>
  </si>
  <si>
    <t>Heat Transfer</t>
  </si>
  <si>
    <t xml:space="preserve">Boiling and Evaporation </t>
  </si>
  <si>
    <t>LU006840</t>
  </si>
  <si>
    <t>LU006841</t>
  </si>
  <si>
    <t>Thermal Expansion</t>
  </si>
  <si>
    <t>LU006842</t>
  </si>
  <si>
    <t>LU006843</t>
  </si>
  <si>
    <t>LU006844</t>
  </si>
  <si>
    <t>Comparing Thermal Expansion in Different State of Matter</t>
  </si>
  <si>
    <t>LU006845</t>
  </si>
  <si>
    <t>Pitch and Frequency</t>
  </si>
  <si>
    <t>LU006846</t>
  </si>
  <si>
    <t>LU006847</t>
  </si>
  <si>
    <t>LU006848</t>
  </si>
  <si>
    <t>Loudness and Amplitude</t>
  </si>
  <si>
    <t>LU006849</t>
  </si>
  <si>
    <t>LU006850</t>
  </si>
  <si>
    <t>Electricity</t>
  </si>
  <si>
    <t>Household electricity</t>
  </si>
  <si>
    <t>LU006851</t>
  </si>
  <si>
    <t>Live, Neutral and Earth Wire</t>
  </si>
  <si>
    <t>LU006852</t>
  </si>
  <si>
    <t>Safety Components in Household Circuits</t>
  </si>
  <si>
    <t>LU005350</t>
  </si>
  <si>
    <t>LU005519</t>
  </si>
  <si>
    <t>Static Electricity</t>
  </si>
  <si>
    <t>LU006853</t>
  </si>
  <si>
    <t>LU006854</t>
  </si>
  <si>
    <t>LU006855</t>
  </si>
  <si>
    <t>Electroscope</t>
  </si>
  <si>
    <t>LU006856</t>
  </si>
  <si>
    <t>Protection and Danger of electricity</t>
  </si>
  <si>
    <t>LU005524</t>
  </si>
  <si>
    <t>LU005914</t>
  </si>
  <si>
    <t>Sub-topic/LU</t>
  </si>
  <si>
    <t>Description/Content coverage</t>
  </si>
  <si>
    <t>Total</t>
  </si>
  <si>
    <t>Maths</t>
  </si>
  <si>
    <t>Knowing Our Numbers</t>
  </si>
  <si>
    <t xml:space="preserve">Place value </t>
  </si>
  <si>
    <t>LU000153</t>
  </si>
  <si>
    <t>LU000156</t>
  </si>
  <si>
    <t>Introduction to face value</t>
  </si>
  <si>
    <t>LU001069</t>
  </si>
  <si>
    <t>Indian and International system of numeration</t>
  </si>
  <si>
    <t>LU000160</t>
  </si>
  <si>
    <t>LU000162</t>
  </si>
  <si>
    <t>LU000159</t>
  </si>
  <si>
    <t>Formation of numbers</t>
  </si>
  <si>
    <t>LU000945</t>
  </si>
  <si>
    <t>Comparison of Large Numbers</t>
  </si>
  <si>
    <t>LU000154</t>
  </si>
  <si>
    <t>LU000155</t>
  </si>
  <si>
    <t>Addition and subtraction of large numbers</t>
  </si>
  <si>
    <t>LU000948</t>
  </si>
  <si>
    <t>LU000949</t>
  </si>
  <si>
    <t>Multiplication and division of large numbers</t>
  </si>
  <si>
    <t>LU000950</t>
  </si>
  <si>
    <t>LU000951</t>
  </si>
  <si>
    <t>Word problems on application of large numbers</t>
  </si>
  <si>
    <t>LU001371</t>
  </si>
  <si>
    <t>Conversion of units</t>
  </si>
  <si>
    <t>LU000163</t>
  </si>
  <si>
    <t>LU000164</t>
  </si>
  <si>
    <t>LU000165</t>
  </si>
  <si>
    <t>LU001372</t>
  </si>
  <si>
    <t>Estimation and approximation of large numbers</t>
  </si>
  <si>
    <t>LU000167</t>
  </si>
  <si>
    <t>Rounding off (approximating) a number to the nearest tens
Rounding off (approximating) a number to the nearest hundreds
Rounding off (approximating) a number to the nearest thousands</t>
  </si>
  <si>
    <t>Estimation of outcomes of number operations (situations)</t>
  </si>
  <si>
    <t>LU000168</t>
  </si>
  <si>
    <t>LU000169</t>
  </si>
  <si>
    <t>Estimate sum and difference
Estimate product and quotient</t>
  </si>
  <si>
    <t>Word problems on conversion of units</t>
  </si>
  <si>
    <t>LU001373</t>
  </si>
  <si>
    <t>LU001374</t>
  </si>
  <si>
    <t>LU001375</t>
  </si>
  <si>
    <t>Whole Numbers</t>
  </si>
  <si>
    <t>Introduction to Whole Numbers</t>
  </si>
  <si>
    <t>LU000176</t>
  </si>
  <si>
    <t>LU000177</t>
  </si>
  <si>
    <t>LU000178</t>
  </si>
  <si>
    <t>Properties of addition for whole numbers</t>
  </si>
  <si>
    <t>LU000952</t>
  </si>
  <si>
    <t>LU000956</t>
  </si>
  <si>
    <t>LU000960</t>
  </si>
  <si>
    <t>LU000189</t>
  </si>
  <si>
    <t>Properties of subtraction for whole numbers</t>
  </si>
  <si>
    <t>LU000953</t>
  </si>
  <si>
    <t>LU000957</t>
  </si>
  <si>
    <t>LU000961</t>
  </si>
  <si>
    <t>Properties of multiplication for whole numbers</t>
  </si>
  <si>
    <t>LU000954</t>
  </si>
  <si>
    <t>LU000958</t>
  </si>
  <si>
    <t>LU000962</t>
  </si>
  <si>
    <t>LU000190</t>
  </si>
  <si>
    <t>Distributive property of whole numbers</t>
  </si>
  <si>
    <t>LU000964</t>
  </si>
  <si>
    <t>LU000965</t>
  </si>
  <si>
    <t>Properties of division for whole numbers</t>
  </si>
  <si>
    <t>LU000955</t>
  </si>
  <si>
    <t>LU000959</t>
  </si>
  <si>
    <t>LU000963</t>
  </si>
  <si>
    <t>Whole Numbers on Number Line</t>
  </si>
  <si>
    <t>LU000179</t>
  </si>
  <si>
    <t>Operations of Whole Numbers (Addition, Subtraction, Multiplication) on a Number Line</t>
  </si>
  <si>
    <t>LU000180</t>
  </si>
  <si>
    <t>LU000181</t>
  </si>
  <si>
    <t>LU000182</t>
  </si>
  <si>
    <t>Mixed operations of Whole Numbers</t>
  </si>
  <si>
    <t>LU000968</t>
  </si>
  <si>
    <t>LU000969</t>
  </si>
  <si>
    <t>Patterns</t>
  </si>
  <si>
    <t>Patterns in numbers and shapes</t>
  </si>
  <si>
    <t>LU001344</t>
  </si>
  <si>
    <t>LU001347</t>
  </si>
  <si>
    <t>LU001345</t>
  </si>
  <si>
    <t xml:space="preserve">Magic square </t>
  </si>
  <si>
    <t>LU001067</t>
  </si>
  <si>
    <t>Matchstick Patterns</t>
  </si>
  <si>
    <t>LU000937</t>
  </si>
  <si>
    <t>Integers</t>
  </si>
  <si>
    <t>Introduction to negative numbers</t>
  </si>
  <si>
    <t>LU000907</t>
  </si>
  <si>
    <t>Introduction to Integers</t>
  </si>
  <si>
    <t>LU000265</t>
  </si>
  <si>
    <t>LU000266</t>
  </si>
  <si>
    <t>LU000267</t>
  </si>
  <si>
    <t>LU000270</t>
  </si>
  <si>
    <t>LU000275</t>
  </si>
  <si>
    <t>LU000268</t>
  </si>
  <si>
    <t>LU000269</t>
  </si>
  <si>
    <t>Comparing and ordering integers</t>
  </si>
  <si>
    <t>LU000908</t>
  </si>
  <si>
    <t>LU000273</t>
  </si>
  <si>
    <t>Operations of Integers - Addition</t>
  </si>
  <si>
    <t>LU000271</t>
  </si>
  <si>
    <t>LU000276</t>
  </si>
  <si>
    <t>LU000274</t>
  </si>
  <si>
    <t>Properties of addition for integers</t>
  </si>
  <si>
    <t>LU000991</t>
  </si>
  <si>
    <t>LU000995</t>
  </si>
  <si>
    <t>LU001001</t>
  </si>
  <si>
    <t>LU000354</t>
  </si>
  <si>
    <t>Operations of Integers - Subtraction</t>
  </si>
  <si>
    <t>LU000272</t>
  </si>
  <si>
    <t>LU000277</t>
  </si>
  <si>
    <t>Operation of addition and subtraction</t>
  </si>
  <si>
    <t>LU000914</t>
  </si>
  <si>
    <t>Sets</t>
  </si>
  <si>
    <t>Introduction to Sets</t>
  </si>
  <si>
    <t>LU001376</t>
  </si>
  <si>
    <t>Representation of Sets</t>
  </si>
  <si>
    <t>LU001377</t>
  </si>
  <si>
    <t>LU001378</t>
  </si>
  <si>
    <t>LU001379</t>
  </si>
  <si>
    <t>Types of Sets</t>
  </si>
  <si>
    <t>LU001380</t>
  </si>
  <si>
    <t>LU001381</t>
  </si>
  <si>
    <t>Cardinality of a Set</t>
  </si>
  <si>
    <t>LU001382</t>
  </si>
  <si>
    <t>Fractions</t>
  </si>
  <si>
    <t>Introduction to fractions</t>
  </si>
  <si>
    <t>LU000278</t>
  </si>
  <si>
    <t>Representation of fractions</t>
  </si>
  <si>
    <t>LU000280</t>
  </si>
  <si>
    <t>LU000279</t>
  </si>
  <si>
    <t>Types of Fractions - Proper, Improper and Mixed fractions</t>
  </si>
  <si>
    <t>LU000281</t>
  </si>
  <si>
    <t>LU000282</t>
  </si>
  <si>
    <t>LU000283</t>
  </si>
  <si>
    <t>Interconversion of mixed fraction to improper fraction</t>
  </si>
  <si>
    <t>LU000975</t>
  </si>
  <si>
    <t>LU000976</t>
  </si>
  <si>
    <t>Equivalent fractions</t>
  </si>
  <si>
    <t>LU000285</t>
  </si>
  <si>
    <t>LU000291</t>
  </si>
  <si>
    <t>LU000286</t>
  </si>
  <si>
    <t>LU000287</t>
  </si>
  <si>
    <t>Addition and subtraction of like fractions</t>
  </si>
  <si>
    <t>LU000977</t>
  </si>
  <si>
    <t>LU000978</t>
  </si>
  <si>
    <t>Addition and subtraction of unlike fractions</t>
  </si>
  <si>
    <t>LU000979</t>
  </si>
  <si>
    <t>LU000980</t>
  </si>
  <si>
    <t>Addition and subtraction of mixed fractions</t>
  </si>
  <si>
    <t>LU000981</t>
  </si>
  <si>
    <t>LU000982</t>
  </si>
  <si>
    <t>LU001135</t>
  </si>
  <si>
    <t>Decimals</t>
  </si>
  <si>
    <t>Introduction to Decimals</t>
  </si>
  <si>
    <t>LU000292</t>
  </si>
  <si>
    <t>LU000293</t>
  </si>
  <si>
    <t>LU000294</t>
  </si>
  <si>
    <t>Types of Decimal Numbers</t>
  </si>
  <si>
    <t>LU000304</t>
  </si>
  <si>
    <t>LU000305</t>
  </si>
  <si>
    <t>Representation of decimal numbers on number line</t>
  </si>
  <si>
    <t>LU000295</t>
  </si>
  <si>
    <t>Interconversion of fractions and decimal fractions</t>
  </si>
  <si>
    <t>LU000096</t>
  </si>
  <si>
    <t>LU000097</t>
  </si>
  <si>
    <t>Comparison of Decimals</t>
  </si>
  <si>
    <t>LU000297</t>
  </si>
  <si>
    <t>Addition of decimals</t>
  </si>
  <si>
    <t>LU000302</t>
  </si>
  <si>
    <t>Subtraction of decimals</t>
  </si>
  <si>
    <t>LU000303</t>
  </si>
  <si>
    <t>LU000925</t>
  </si>
  <si>
    <t>Conversion between mixed units into a single decimal representation (Money, length, weight, capacity)</t>
  </si>
  <si>
    <t>LU000298</t>
  </si>
  <si>
    <t>LU000299</t>
  </si>
  <si>
    <t>LU000300</t>
  </si>
  <si>
    <t>LU000301</t>
  </si>
  <si>
    <t>Word Problems Based on Decimals</t>
  </si>
  <si>
    <t>LU001383</t>
  </si>
  <si>
    <t>Word problems involving addition and subtraction of decimals (two operations together on money, mass, length and temperature).</t>
  </si>
  <si>
    <t>Playing with Numbers (Including H.C.F. and L.C.M.)</t>
  </si>
  <si>
    <t>Simplification of Brackets</t>
  </si>
  <si>
    <t>LU001384</t>
  </si>
  <si>
    <t>Even and Odd Numbers</t>
  </si>
  <si>
    <t>LU000197</t>
  </si>
  <si>
    <t>LU000198</t>
  </si>
  <si>
    <t>Prime, Composite and Twin and Prime-triplet Numbers</t>
  </si>
  <si>
    <t>LU000195</t>
  </si>
  <si>
    <t>LU000196</t>
  </si>
  <si>
    <t>LU000213</t>
  </si>
  <si>
    <t>Factors, Multiples and Perfect Numbers</t>
  </si>
  <si>
    <t>LU000192</t>
  </si>
  <si>
    <t>LU000193</t>
  </si>
  <si>
    <t>LU000194</t>
  </si>
  <si>
    <t>LU000210</t>
  </si>
  <si>
    <t>Rules for Divisibility of Numbers (2, 5, and 10)</t>
  </si>
  <si>
    <t>LU000199</t>
  </si>
  <si>
    <t>LU000202</t>
  </si>
  <si>
    <t>LU000207</t>
  </si>
  <si>
    <t>Rules for Divisibility of Numbers (3, 6, and 9)</t>
  </si>
  <si>
    <t>LU000200</t>
  </si>
  <si>
    <t>LU000203</t>
  </si>
  <si>
    <t>LU000206</t>
  </si>
  <si>
    <t>Rules for Divisibility of Numbers (4, 7, 8, and 11)</t>
  </si>
  <si>
    <t>LU000201</t>
  </si>
  <si>
    <t>LU000205</t>
  </si>
  <si>
    <t>LU000208</t>
  </si>
  <si>
    <t>LU000204</t>
  </si>
  <si>
    <t>LU000921</t>
  </si>
  <si>
    <t>Common factors, Common multiples, Co-primes</t>
  </si>
  <si>
    <t>LU000060</t>
  </si>
  <si>
    <t>LU000058</t>
  </si>
  <si>
    <t>LU000209</t>
  </si>
  <si>
    <t>Prime factorisation</t>
  </si>
  <si>
    <t>HCF</t>
  </si>
  <si>
    <t>LU000211</t>
  </si>
  <si>
    <t>LU001385</t>
  </si>
  <si>
    <t>LCM</t>
  </si>
  <si>
    <t>LU000212</t>
  </si>
  <si>
    <t>LU001386</t>
  </si>
  <si>
    <t>LU000214</t>
  </si>
  <si>
    <t>Ratio and Proportion (Including Unitary Method)</t>
  </si>
  <si>
    <t>Introduction to Ratio</t>
  </si>
  <si>
    <t>LU000342</t>
  </si>
  <si>
    <t>LU000343</t>
  </si>
  <si>
    <t>LU001387</t>
  </si>
  <si>
    <t>More on Ratios</t>
  </si>
  <si>
    <t>LU000344</t>
  </si>
  <si>
    <t>LU000348</t>
  </si>
  <si>
    <t>LU000349</t>
  </si>
  <si>
    <t>Comparing The Ratios</t>
  </si>
  <si>
    <t>LU001133</t>
  </si>
  <si>
    <t>Comparison by Subtraction and Division Methods</t>
  </si>
  <si>
    <t>Problems on Ratios</t>
  </si>
  <si>
    <t>LU000350</t>
  </si>
  <si>
    <t>LU000351</t>
  </si>
  <si>
    <t>Introduction to Proportion</t>
  </si>
  <si>
    <t>LU000345</t>
  </si>
  <si>
    <t>LU000346</t>
  </si>
  <si>
    <t>Introduction to Unitary Method</t>
  </si>
  <si>
    <t>LU000347</t>
  </si>
  <si>
    <t xml:space="preserve">Word problems on ratio and proportion </t>
  </si>
  <si>
    <t>LU001388</t>
  </si>
  <si>
    <t>Percent (Percentage)</t>
  </si>
  <si>
    <t>Introduction to Percent</t>
  </si>
  <si>
    <t>LU000444</t>
  </si>
  <si>
    <t>Conversion of Fraction/Decimal into Percentage</t>
  </si>
  <si>
    <t>LU000445</t>
  </si>
  <si>
    <t>LU000446</t>
  </si>
  <si>
    <t>Conversion of Percentage into Fraction/Decimal</t>
  </si>
  <si>
    <t>LU000447</t>
  </si>
  <si>
    <t>LU000448</t>
  </si>
  <si>
    <t>Expressing One Quantity(Number) as a Percentage of the Other</t>
  </si>
  <si>
    <t>LU000451</t>
  </si>
  <si>
    <t>Idea of Speed, Distance and Time</t>
  </si>
  <si>
    <t>Speed</t>
  </si>
  <si>
    <t>LU000006</t>
  </si>
  <si>
    <t>LU000941</t>
  </si>
  <si>
    <t>Algebra</t>
  </si>
  <si>
    <t>Introduction to variable</t>
  </si>
  <si>
    <t>LU000330</t>
  </si>
  <si>
    <t>Use of variables in common rule</t>
  </si>
  <si>
    <t>LU000936</t>
  </si>
  <si>
    <t>LU000516</t>
  </si>
  <si>
    <t>LU000938</t>
  </si>
  <si>
    <t>Introduction to algebraic expression</t>
  </si>
  <si>
    <t>LU000935</t>
  </si>
  <si>
    <t>LU000504</t>
  </si>
  <si>
    <t>Terms of Algebraic Expression</t>
  </si>
  <si>
    <t>LU000505</t>
  </si>
  <si>
    <t>LU000507</t>
  </si>
  <si>
    <t>LU000506</t>
  </si>
  <si>
    <t>Like and Unlike terms</t>
  </si>
  <si>
    <t>LU000508</t>
  </si>
  <si>
    <t>Classification of algebraic expressions</t>
  </si>
  <si>
    <t>LU000510</t>
  </si>
  <si>
    <t>LU000712</t>
  </si>
  <si>
    <t>Framing of Algebraic Expressions</t>
  </si>
  <si>
    <t>Evaluation of Algebraic Expressions</t>
  </si>
  <si>
    <t>LU000514</t>
  </si>
  <si>
    <t>Simple (Linear) Equations (Including word Problems)</t>
  </si>
  <si>
    <t>Introduction to linear equation in one variable.</t>
  </si>
  <si>
    <t>LU000582</t>
  </si>
  <si>
    <t>Basic Geometrical Ideas</t>
  </si>
  <si>
    <t>Introduction (Point, line segment, ray, line)</t>
  </si>
  <si>
    <t>LU000218</t>
  </si>
  <si>
    <t>LU000219</t>
  </si>
  <si>
    <t>LU000220</t>
  </si>
  <si>
    <t>LU000223</t>
  </si>
  <si>
    <t>Curves</t>
  </si>
  <si>
    <t>LU000224</t>
  </si>
  <si>
    <t>LU000225</t>
  </si>
  <si>
    <t>LU000226</t>
  </si>
  <si>
    <t>LU001107</t>
  </si>
  <si>
    <t>LU001108</t>
  </si>
  <si>
    <t>Angles</t>
  </si>
  <si>
    <t>LU000228</t>
  </si>
  <si>
    <t xml:space="preserve">Triangle </t>
  </si>
  <si>
    <t>LU000229</t>
  </si>
  <si>
    <t>Quadrilateral</t>
  </si>
  <si>
    <t>LU000230</t>
  </si>
  <si>
    <t>Circle</t>
  </si>
  <si>
    <t>LU000231</t>
  </si>
  <si>
    <t>LU000232</t>
  </si>
  <si>
    <t>LU000966</t>
  </si>
  <si>
    <t>LU000967</t>
  </si>
  <si>
    <t>LU001093</t>
  </si>
  <si>
    <t>LU001094</t>
  </si>
  <si>
    <t>Understanding Elementary Shapes</t>
  </si>
  <si>
    <t>Measuring line segments</t>
  </si>
  <si>
    <t>LU000970</t>
  </si>
  <si>
    <t>LU000971</t>
  </si>
  <si>
    <t>LU000972</t>
  </si>
  <si>
    <t>LU000973</t>
  </si>
  <si>
    <t>LU000974</t>
  </si>
  <si>
    <t>Pair of lines (intersecting and parallel lines)</t>
  </si>
  <si>
    <t>LU000221</t>
  </si>
  <si>
    <t>LU000222</t>
  </si>
  <si>
    <t>Perpendicular Lines</t>
  </si>
  <si>
    <t>LU000244</t>
  </si>
  <si>
    <t>LU000250</t>
  </si>
  <si>
    <t>Types of Angles (Right, Straight, complete)</t>
  </si>
  <si>
    <t>LU000259</t>
  </si>
  <si>
    <t>LU000260</t>
  </si>
  <si>
    <t>LU000242</t>
  </si>
  <si>
    <t>LU000257</t>
  </si>
  <si>
    <t>LU000258</t>
  </si>
  <si>
    <t>LU000240</t>
  </si>
  <si>
    <t>LU000241</t>
  </si>
  <si>
    <t>Measuring Angles</t>
  </si>
  <si>
    <t>LU000243</t>
  </si>
  <si>
    <t>Classification of triangles (based on sides)</t>
  </si>
  <si>
    <t>LU000246</t>
  </si>
  <si>
    <t>LU000263</t>
  </si>
  <si>
    <t>LU000264</t>
  </si>
  <si>
    <t>Classification of triangles (based on angles)</t>
  </si>
  <si>
    <t>LU000247</t>
  </si>
  <si>
    <t>LU000261</t>
  </si>
  <si>
    <t>LU000262</t>
  </si>
  <si>
    <t>Classification of triangles (isosceles and scalene) based on angles</t>
  </si>
  <si>
    <t>LU000923</t>
  </si>
  <si>
    <t>LU000924</t>
  </si>
  <si>
    <t>Altitude and Median of a Triangle</t>
  </si>
  <si>
    <t>LU000424</t>
  </si>
  <si>
    <t>LU000423</t>
  </si>
  <si>
    <t>Quadrilaterals: Trapezium, Parallelogram and Rhombus</t>
  </si>
  <si>
    <t>LU000593</t>
  </si>
  <si>
    <t>Definition of isosceles trapezium</t>
  </si>
  <si>
    <t>LU000595</t>
  </si>
  <si>
    <t>LU000596</t>
  </si>
  <si>
    <t>Quadrilaterals: Rectangle and Square</t>
  </si>
  <si>
    <t>LU000597</t>
  </si>
  <si>
    <t>LU000598</t>
  </si>
  <si>
    <t>Classification of polygons</t>
  </si>
  <si>
    <t>LU000227</t>
  </si>
  <si>
    <t>LU000905</t>
  </si>
  <si>
    <t>LU000245</t>
  </si>
  <si>
    <t>Elements of 3-D figures. (Faces, Edges and vertices)</t>
  </si>
  <si>
    <t>LU000249</t>
  </si>
  <si>
    <t>LU000251</t>
  </si>
  <si>
    <t>LU000255</t>
  </si>
  <si>
    <t>LU000254</t>
  </si>
  <si>
    <t>LU000253</t>
  </si>
  <si>
    <t>LU000256</t>
  </si>
  <si>
    <t>LU000570</t>
  </si>
  <si>
    <t>LU000252</t>
  </si>
  <si>
    <t>LU000555</t>
  </si>
  <si>
    <t>Identification of 3-D shapes</t>
  </si>
  <si>
    <t>LU000248</t>
  </si>
  <si>
    <t>Nets for 3-D shapes (Cube, cuboid, prisms)</t>
  </si>
  <si>
    <t>LU000080</t>
  </si>
  <si>
    <t>LU000081</t>
  </si>
  <si>
    <t>LU000082</t>
  </si>
  <si>
    <t>Nets for 3-D shapes (Cone, cylinder, pyramid)</t>
  </si>
  <si>
    <t>LU000083</t>
  </si>
  <si>
    <t>LU000087</t>
  </si>
  <si>
    <t>LU000091</t>
  </si>
  <si>
    <t>Symmetry</t>
  </si>
  <si>
    <t>Symmetry and reflection in a mirror</t>
  </si>
  <si>
    <t>LU000789</t>
  </si>
  <si>
    <t>LU000900</t>
  </si>
  <si>
    <t>LU000790</t>
  </si>
  <si>
    <t>Lines of symmetry</t>
  </si>
  <si>
    <t>LU000791</t>
  </si>
  <si>
    <t>LU000796</t>
  </si>
  <si>
    <t>LU001176</t>
  </si>
  <si>
    <t>LU000800</t>
  </si>
  <si>
    <t>LU000896</t>
  </si>
  <si>
    <t>LU001389</t>
  </si>
  <si>
    <t>Operation of Reflection  (Taking mirror images) of simple 2-D objects</t>
  </si>
  <si>
    <t>LU001390</t>
  </si>
  <si>
    <t>Construction</t>
  </si>
  <si>
    <t>Construction of a circle</t>
  </si>
  <si>
    <t>LU000807</t>
  </si>
  <si>
    <t>Construction of a line segment</t>
  </si>
  <si>
    <t>LU000808</t>
  </si>
  <si>
    <t>LU000826</t>
  </si>
  <si>
    <t>LU000809</t>
  </si>
  <si>
    <t>Construction of a perpendicular to a line through a point on it</t>
  </si>
  <si>
    <t>LU000812</t>
  </si>
  <si>
    <t>LU000815</t>
  </si>
  <si>
    <t>Construction of a perpendicular bisector of a line segment</t>
  </si>
  <si>
    <t>LU000817</t>
  </si>
  <si>
    <t>Construction of angles</t>
  </si>
  <si>
    <t>LU000818</t>
  </si>
  <si>
    <t>LU000819</t>
  </si>
  <si>
    <t>LU000821</t>
  </si>
  <si>
    <t>Constructing angles of special measures</t>
  </si>
  <si>
    <t>LU000822</t>
  </si>
  <si>
    <t>LU000823</t>
  </si>
  <si>
    <t>LU000824</t>
  </si>
  <si>
    <t>LU000825</t>
  </si>
  <si>
    <t>LU000829</t>
  </si>
  <si>
    <t>Mensuration</t>
  </si>
  <si>
    <t>Concept of Perimeter</t>
  </si>
  <si>
    <t>LU000027</t>
  </si>
  <si>
    <t>LU000323</t>
  </si>
  <si>
    <t>Perimeter of a rectangle and regular shapes</t>
  </si>
  <si>
    <t>LU000324</t>
  </si>
  <si>
    <t>LU001356</t>
  </si>
  <si>
    <t>LU000325</t>
  </si>
  <si>
    <t>Shapes of different kinds with the same perimeter</t>
  </si>
  <si>
    <t>LU001391</t>
  </si>
  <si>
    <t>Concept of Area</t>
  </si>
  <si>
    <t>LU000030</t>
  </si>
  <si>
    <t>Area of shapes using formula</t>
  </si>
  <si>
    <t>LU000327</t>
  </si>
  <si>
    <t>LU000328</t>
  </si>
  <si>
    <t>Area of composite shapes</t>
  </si>
  <si>
    <t>LU000926</t>
  </si>
  <si>
    <t>Data Handling</t>
  </si>
  <si>
    <t>Introduction to Data</t>
  </si>
  <si>
    <t>LU000308</t>
  </si>
  <si>
    <t>LU000309</t>
  </si>
  <si>
    <t>Tally Chart</t>
  </si>
  <si>
    <t>LU000310</t>
  </si>
  <si>
    <t>LU000311</t>
  </si>
  <si>
    <t>LU000312</t>
  </si>
  <si>
    <t>Pictograph and its interpretation</t>
  </si>
  <si>
    <t>LU000313</t>
  </si>
  <si>
    <t>LU000314</t>
  </si>
  <si>
    <t>LU000315</t>
  </si>
  <si>
    <t>Bar graph</t>
  </si>
  <si>
    <t>LU000316</t>
  </si>
  <si>
    <t>LU000317</t>
  </si>
  <si>
    <t>LU000318</t>
  </si>
  <si>
    <t>Mean</t>
  </si>
  <si>
    <t>LU000386</t>
  </si>
  <si>
    <t>Median</t>
  </si>
  <si>
    <t>LU000389</t>
  </si>
  <si>
    <t>Multiplication of Integers</t>
  </si>
  <si>
    <t>LU000355</t>
  </si>
  <si>
    <t>LU000358</t>
  </si>
  <si>
    <t>LU000356</t>
  </si>
  <si>
    <t>Division of integers</t>
  </si>
  <si>
    <t>LU000361</t>
  </si>
  <si>
    <t>LU000363</t>
  </si>
  <si>
    <t>LU000364</t>
  </si>
  <si>
    <t>LU000365</t>
  </si>
  <si>
    <t>Properties of addition of Integers I</t>
  </si>
  <si>
    <t>Properties of addition of Integers II</t>
  </si>
  <si>
    <t>Properties of subtraction of Integers</t>
  </si>
  <si>
    <t>LU000992</t>
  </si>
  <si>
    <t>LU000996</t>
  </si>
  <si>
    <t>LU001002</t>
  </si>
  <si>
    <t>Properties of multiplication of Integers</t>
  </si>
  <si>
    <t>LU000993</t>
  </si>
  <si>
    <t>LU000997</t>
  </si>
  <si>
    <t>LU001003</t>
  </si>
  <si>
    <t>LU000359</t>
  </si>
  <si>
    <t>Distributive property of integers</t>
  </si>
  <si>
    <t>LU000999</t>
  </si>
  <si>
    <t>LU001000</t>
  </si>
  <si>
    <t>Properties of division of Integers</t>
  </si>
  <si>
    <t>LU000994</t>
  </si>
  <si>
    <t>LU000998</t>
  </si>
  <si>
    <t>LU001004</t>
  </si>
  <si>
    <t>Combination of properties of integers</t>
  </si>
  <si>
    <t>LU001392</t>
  </si>
  <si>
    <t>Word Problems on Integers</t>
  </si>
  <si>
    <t>LU001393</t>
  </si>
  <si>
    <t>Rational Numbers</t>
  </si>
  <si>
    <t>Introduction to rational numbers</t>
  </si>
  <si>
    <t>LU000464</t>
  </si>
  <si>
    <t>LU000465</t>
  </si>
  <si>
    <t>LU000466</t>
  </si>
  <si>
    <t>Equivalent rational numbers, Positive and negative rational numbers</t>
  </si>
  <si>
    <t>LU000467</t>
  </si>
  <si>
    <t>LU000468</t>
  </si>
  <si>
    <t>LU000469</t>
  </si>
  <si>
    <t>Rational numbers on a number line and their standard form</t>
  </si>
  <si>
    <t>LU000470</t>
  </si>
  <si>
    <t>LU000471</t>
  </si>
  <si>
    <t>Comparison of rational numbers</t>
  </si>
  <si>
    <t>LU000472</t>
  </si>
  <si>
    <t>Rational numbers between two rational numbers and pattern involving rational numbers</t>
  </si>
  <si>
    <t>LU000473</t>
  </si>
  <si>
    <t>Addition of rational numbers</t>
  </si>
  <si>
    <t>LU000474</t>
  </si>
  <si>
    <t>Subtraction of rational numbers</t>
  </si>
  <si>
    <t>LU000475</t>
  </si>
  <si>
    <t>Multiplication of rational numbers</t>
  </si>
  <si>
    <t>LU000476</t>
  </si>
  <si>
    <t>Division of rational numbers</t>
  </si>
  <si>
    <t>LU000477</t>
  </si>
  <si>
    <t>Rational numbers as terminating decimal</t>
  </si>
  <si>
    <t>LU001180</t>
  </si>
  <si>
    <t>Word Problems on Rational Numbers</t>
  </si>
  <si>
    <t>LU001394</t>
  </si>
  <si>
    <t>Fractions and Decimals</t>
  </si>
  <si>
    <t>Classification of fractions</t>
  </si>
  <si>
    <t>LU001395</t>
  </si>
  <si>
    <t>Multiplication of Fraction by a Whole Number</t>
  </si>
  <si>
    <t>LU001005</t>
  </si>
  <si>
    <t>LU001006</t>
  </si>
  <si>
    <t>LU001007</t>
  </si>
  <si>
    <t>Multiplication of fraction by a fraction</t>
  </si>
  <si>
    <t>LU001008</t>
  </si>
  <si>
    <t>LU001009</t>
  </si>
  <si>
    <t>LU001010</t>
  </si>
  <si>
    <t>LU000368</t>
  </si>
  <si>
    <t>Division of a whole number by a fraction</t>
  </si>
  <si>
    <t>LU001011</t>
  </si>
  <si>
    <t>LU001012</t>
  </si>
  <si>
    <t>LU001013</t>
  </si>
  <si>
    <t>LU000371</t>
  </si>
  <si>
    <t>Division of a fraction by a whole number</t>
  </si>
  <si>
    <t>LU001014</t>
  </si>
  <si>
    <t>LU001015</t>
  </si>
  <si>
    <t>LU001016</t>
  </si>
  <si>
    <t>Division of a fraction by another fraction</t>
  </si>
  <si>
    <t>LU001017</t>
  </si>
  <si>
    <t>LU001018</t>
  </si>
  <si>
    <t>LU001019</t>
  </si>
  <si>
    <t>BODMAS rule for fractions</t>
  </si>
  <si>
    <t>LU000383</t>
  </si>
  <si>
    <t>LU001164</t>
  </si>
  <si>
    <t>Decimal Fractions (Decimals)</t>
  </si>
  <si>
    <t>Multiplication of decimal numbers</t>
  </si>
  <si>
    <t>LU000375</t>
  </si>
  <si>
    <t>LU000376</t>
  </si>
  <si>
    <t>LU000377</t>
  </si>
  <si>
    <t>Division of decimal numbers</t>
  </si>
  <si>
    <t>LU000379</t>
  </si>
  <si>
    <t>LU000380</t>
  </si>
  <si>
    <t>LU000381</t>
  </si>
  <si>
    <t>Exponents</t>
  </si>
  <si>
    <t>Introduction to exponential form of numbers</t>
  </si>
  <si>
    <t>LU000517</t>
  </si>
  <si>
    <t>LU000518</t>
  </si>
  <si>
    <t>Converting numbers to exponential form (Whole numbers and Integers)</t>
  </si>
  <si>
    <t>LU000519</t>
  </si>
  <si>
    <t>LU000934</t>
  </si>
  <si>
    <t>Converting rational numbers to exponential form</t>
  </si>
  <si>
    <t>LU000547</t>
  </si>
  <si>
    <t>LU000553</t>
  </si>
  <si>
    <t>Comparison of exponents</t>
  </si>
  <si>
    <t>LU001053</t>
  </si>
  <si>
    <t>Product law of powers with same base</t>
  </si>
  <si>
    <t>LU000520</t>
  </si>
  <si>
    <t>LU000521</t>
  </si>
  <si>
    <t>Quotient law of powers with same base</t>
  </si>
  <si>
    <t>LU000523</t>
  </si>
  <si>
    <t>LU000524</t>
  </si>
  <si>
    <t>Product law of powers with the same exponent</t>
  </si>
  <si>
    <t>LU000529</t>
  </si>
  <si>
    <t>LU000530</t>
  </si>
  <si>
    <t>Quotient law of powers with the same exponent</t>
  </si>
  <si>
    <t>LU000532</t>
  </si>
  <si>
    <t>LU000533</t>
  </si>
  <si>
    <t>Law of power of a power</t>
  </si>
  <si>
    <t>LU000526</t>
  </si>
  <si>
    <t>LU000527</t>
  </si>
  <si>
    <t>LU000538</t>
  </si>
  <si>
    <t>LU000539</t>
  </si>
  <si>
    <t>Practical application of exponent laws with whole numbers</t>
  </si>
  <si>
    <t>LU000541</t>
  </si>
  <si>
    <t>Types of sets</t>
  </si>
  <si>
    <t>LU001396</t>
  </si>
  <si>
    <t>LU001397</t>
  </si>
  <si>
    <t>Universal Sets</t>
  </si>
  <si>
    <t>LU001398</t>
  </si>
  <si>
    <t>Cardinal property of sets</t>
  </si>
  <si>
    <t>LU001399</t>
  </si>
  <si>
    <t>Ratio and Proportion</t>
  </si>
  <si>
    <t>LU001400</t>
  </si>
  <si>
    <t>Unitary Method (Including Time and Work)</t>
  </si>
  <si>
    <t>Unitary method</t>
  </si>
  <si>
    <t>LU001401</t>
  </si>
  <si>
    <t>LU001402</t>
  </si>
  <si>
    <t>Percent and Percentage</t>
  </si>
  <si>
    <t>Increase or decrease as percentage</t>
  </si>
  <si>
    <t>LU001027</t>
  </si>
  <si>
    <t>LU001028</t>
  </si>
  <si>
    <t>Profit and Loss</t>
  </si>
  <si>
    <t>Profit and loss</t>
  </si>
  <si>
    <t>LU000454</t>
  </si>
  <si>
    <t>LU000455</t>
  </si>
  <si>
    <t>LU000456</t>
  </si>
  <si>
    <t>LU000457</t>
  </si>
  <si>
    <t>Profit or loss as percentage</t>
  </si>
  <si>
    <t>LU000458</t>
  </si>
  <si>
    <t>LU000459</t>
  </si>
  <si>
    <t>Simple Interest</t>
  </si>
  <si>
    <t>LU000460</t>
  </si>
  <si>
    <t>LU000461</t>
  </si>
  <si>
    <t>LU000462</t>
  </si>
  <si>
    <t>LU000463</t>
  </si>
  <si>
    <t>Speed, Distance and Time</t>
  </si>
  <si>
    <t>LU001403</t>
  </si>
  <si>
    <t>LU001404</t>
  </si>
  <si>
    <t>LU001405</t>
  </si>
  <si>
    <t>Algebraic Expressions</t>
  </si>
  <si>
    <t>Addition of algebraic expressions</t>
  </si>
  <si>
    <t>LU000511</t>
  </si>
  <si>
    <t>LU000512</t>
  </si>
  <si>
    <t>Subtraction of algebraic expressions</t>
  </si>
  <si>
    <t>LU000786</t>
  </si>
  <si>
    <t>LU000513</t>
  </si>
  <si>
    <t>Linear Equations in One Variable</t>
  </si>
  <si>
    <t>Setting up an equation</t>
  </si>
  <si>
    <t>LU000404</t>
  </si>
  <si>
    <t>LU000338</t>
  </si>
  <si>
    <t>LU000405</t>
  </si>
  <si>
    <t>Solving equations by trial and error method</t>
  </si>
  <si>
    <t>LU000336</t>
  </si>
  <si>
    <t>Solving equations by a systematic method</t>
  </si>
  <si>
    <t>LU000407</t>
  </si>
  <si>
    <t>LU000409</t>
  </si>
  <si>
    <t>Solving equations by transpose method</t>
  </si>
  <si>
    <t>LU000410</t>
  </si>
  <si>
    <t>Applications of simple equations to practical situations</t>
  </si>
  <si>
    <t>LU000413</t>
  </si>
  <si>
    <t>Inequalities</t>
  </si>
  <si>
    <t>Linear Inequations</t>
  </si>
  <si>
    <t>LU001406</t>
  </si>
  <si>
    <t>LU001407</t>
  </si>
  <si>
    <t>Rules for Solving Linear Inequality in One Variable</t>
  </si>
  <si>
    <t>LU001408</t>
  </si>
  <si>
    <t>Graphical representation of solution set of an inequality</t>
  </si>
  <si>
    <t>LU001409</t>
  </si>
  <si>
    <t>Solution of Simple Inequalities in One Variable</t>
  </si>
  <si>
    <t>LU001410</t>
  </si>
  <si>
    <t>Lines and Angles</t>
  </si>
  <si>
    <t>Introduction to related angles (complementary angles and supplementary angles)</t>
  </si>
  <si>
    <t>LU000414</t>
  </si>
  <si>
    <t>LU000415</t>
  </si>
  <si>
    <t>Adjacent angles and Linear pair</t>
  </si>
  <si>
    <t>LU000416</t>
  </si>
  <si>
    <t>LU000417</t>
  </si>
  <si>
    <t>Vertically opposite angles</t>
  </si>
  <si>
    <t>LU000418</t>
  </si>
  <si>
    <t>Pairs of lines and a transversal</t>
  </si>
  <si>
    <t>LU000419</t>
  </si>
  <si>
    <t>Interior angles made by transversal</t>
  </si>
  <si>
    <t>LU001020</t>
  </si>
  <si>
    <t>LU001022</t>
  </si>
  <si>
    <t>LU001025</t>
  </si>
  <si>
    <t>Exterior angles made by transversal</t>
  </si>
  <si>
    <t>LU001021</t>
  </si>
  <si>
    <t>LU001023</t>
  </si>
  <si>
    <t>LU001026</t>
  </si>
  <si>
    <t>Corresponding angles made by transversal</t>
  </si>
  <si>
    <t>LU001024</t>
  </si>
  <si>
    <t>Checking for parallel lines</t>
  </si>
  <si>
    <t>LU000422</t>
  </si>
  <si>
    <t>Triangle and Its Properties</t>
  </si>
  <si>
    <t>Exterior angle property of a triangle</t>
  </si>
  <si>
    <t>LU000425</t>
  </si>
  <si>
    <t>LU000426</t>
  </si>
  <si>
    <t>LU000429</t>
  </si>
  <si>
    <t>Angle sum property of a triangle</t>
  </si>
  <si>
    <t>LU000430</t>
  </si>
  <si>
    <t>Two special triangles (Equilateral and Isosceles)</t>
  </si>
  <si>
    <t>LU000427</t>
  </si>
  <si>
    <t>LU000428</t>
  </si>
  <si>
    <t>Relation between sides of a triangle</t>
  </si>
  <si>
    <t>LU000431</t>
  </si>
  <si>
    <t>Pythagoras property</t>
  </si>
  <si>
    <t>LU000432</t>
  </si>
  <si>
    <t>LU000433</t>
  </si>
  <si>
    <t>LU000434</t>
  </si>
  <si>
    <t>LU000435</t>
  </si>
  <si>
    <t>Rotational symmetry</t>
  </si>
  <si>
    <t>LU000792</t>
  </si>
  <si>
    <t>LU000793</t>
  </si>
  <si>
    <t>LU000794</t>
  </si>
  <si>
    <t>LU000795</t>
  </si>
  <si>
    <t>LU000797</t>
  </si>
  <si>
    <t>Line symmetry and rotational symmetry</t>
  </si>
  <si>
    <t>LU000799</t>
  </si>
  <si>
    <t>Representing 3D in 2D</t>
  </si>
  <si>
    <t>Mapping space around us</t>
  </si>
  <si>
    <t>LU000867</t>
  </si>
  <si>
    <t>LU000868</t>
  </si>
  <si>
    <t>LU000869</t>
  </si>
  <si>
    <t>Congruence of Triangles</t>
  </si>
  <si>
    <t>Congruence</t>
  </si>
  <si>
    <t>LU000831</t>
  </si>
  <si>
    <t>LU000832</t>
  </si>
  <si>
    <t>LU001234</t>
  </si>
  <si>
    <t>LU000835</t>
  </si>
  <si>
    <t>LU000839</t>
  </si>
  <si>
    <t>LU000840</t>
  </si>
  <si>
    <t>LU000841</t>
  </si>
  <si>
    <t>Construction of a line parallel to a given line from a point outside it</t>
  </si>
  <si>
    <t>LU000846</t>
  </si>
  <si>
    <t>Construction of simple triangles</t>
  </si>
  <si>
    <t>LU000847</t>
  </si>
  <si>
    <t>LU000848</t>
  </si>
  <si>
    <t>LU000849</t>
  </si>
  <si>
    <t>LU000850</t>
  </si>
  <si>
    <t>LU000851</t>
  </si>
  <si>
    <t>Circumference of a circle</t>
  </si>
  <si>
    <t>LU000493</t>
  </si>
  <si>
    <t>LU000494</t>
  </si>
  <si>
    <t>LU000496</t>
  </si>
  <si>
    <t>Area of a triangle</t>
  </si>
  <si>
    <t>LU000492</t>
  </si>
  <si>
    <t>Area of a parallelogram</t>
  </si>
  <si>
    <t>LU000490</t>
  </si>
  <si>
    <t>Area of a circle</t>
  </si>
  <si>
    <t>LU000495</t>
  </si>
  <si>
    <t>Concentric Circles</t>
  </si>
  <si>
    <t>LU000498</t>
  </si>
  <si>
    <t>LU000499</t>
  </si>
  <si>
    <t>LU000501</t>
  </si>
  <si>
    <t>LU000388</t>
  </si>
  <si>
    <t>LU000920</t>
  </si>
  <si>
    <t>Bar Graphs</t>
  </si>
  <si>
    <t>LU001411</t>
  </si>
  <si>
    <t>Chance and probability</t>
  </si>
  <si>
    <t>LU000624</t>
  </si>
  <si>
    <t>LU000394</t>
  </si>
  <si>
    <t>Properties of addition of rational numbers</t>
  </si>
  <si>
    <t>LU001037</t>
  </si>
  <si>
    <t>LU001041</t>
  </si>
  <si>
    <t>LU001045</t>
  </si>
  <si>
    <t>LU000578</t>
  </si>
  <si>
    <t>LU000479</t>
  </si>
  <si>
    <t>Properties of subtraction of rational numbers</t>
  </si>
  <si>
    <t>LU001038</t>
  </si>
  <si>
    <t>LU001042</t>
  </si>
  <si>
    <t>LU001046</t>
  </si>
  <si>
    <t>Properties of multiplication of rational numbers</t>
  </si>
  <si>
    <t>LU001039</t>
  </si>
  <si>
    <t>LU001043</t>
  </si>
  <si>
    <t>LU001047</t>
  </si>
  <si>
    <t>LU000579</t>
  </si>
  <si>
    <t>LU000478</t>
  </si>
  <si>
    <t>Properties of division of rational numbers</t>
  </si>
  <si>
    <t>LU001040</t>
  </si>
  <si>
    <t>LU001044</t>
  </si>
  <si>
    <t>LU001048</t>
  </si>
  <si>
    <t>Distributive property of multiplication over addition and subtraction of rational numbers</t>
  </si>
  <si>
    <t>LU000580</t>
  </si>
  <si>
    <t>LU000901</t>
  </si>
  <si>
    <t>Application of combination of properties of rational numbers</t>
  </si>
  <si>
    <t>LU000910</t>
  </si>
  <si>
    <t>Exponents and Powers</t>
  </si>
  <si>
    <t>LU000535</t>
  </si>
  <si>
    <t>LU000536</t>
  </si>
  <si>
    <t>LU000736</t>
  </si>
  <si>
    <t>LU000928</t>
  </si>
  <si>
    <t>LU000929</t>
  </si>
  <si>
    <t>Square and Square Roots</t>
  </si>
  <si>
    <t>Square Numbers and Their Properties</t>
  </si>
  <si>
    <t>LU000636</t>
  </si>
  <si>
    <t>LU000933</t>
  </si>
  <si>
    <t>Patterns in Square Numbers</t>
  </si>
  <si>
    <t>LU000915</t>
  </si>
  <si>
    <t>LU000640</t>
  </si>
  <si>
    <t>LU000643</t>
  </si>
  <si>
    <t>Square Roots</t>
  </si>
  <si>
    <t>LU000647</t>
  </si>
  <si>
    <t>LU000652</t>
  </si>
  <si>
    <t>LU000649</t>
  </si>
  <si>
    <t>LU000650</t>
  </si>
  <si>
    <t>LU000655</t>
  </si>
  <si>
    <t>LU000651</t>
  </si>
  <si>
    <t>Cube and Cube Roots</t>
  </si>
  <si>
    <t>Cube Numbers</t>
  </si>
  <si>
    <t>LU000658</t>
  </si>
  <si>
    <t>Cubes and Their Prime Factors</t>
  </si>
  <si>
    <t>LU000663</t>
  </si>
  <si>
    <t>LU000664</t>
  </si>
  <si>
    <t>Cube Roots</t>
  </si>
  <si>
    <t>LU000659</t>
  </si>
  <si>
    <t>LU000666</t>
  </si>
  <si>
    <t>LU001124</t>
  </si>
  <si>
    <t>LU001125</t>
  </si>
  <si>
    <t>LU000918</t>
  </si>
  <si>
    <t>LU000919</t>
  </si>
  <si>
    <t xml:space="preserve">Palying with numbers </t>
  </si>
  <si>
    <t>Numbers in general form</t>
  </si>
  <si>
    <t>LU000880</t>
  </si>
  <si>
    <t>LU000881</t>
  </si>
  <si>
    <t>LU000882</t>
  </si>
  <si>
    <t>Solution of cryptarithms</t>
  </si>
  <si>
    <t>LU000884</t>
  </si>
  <si>
    <t>Deduction of divisibility rules</t>
  </si>
  <si>
    <t>LU001412</t>
  </si>
  <si>
    <t xml:space="preserve">Sets </t>
  </si>
  <si>
    <t>LU001413</t>
  </si>
  <si>
    <t>LU001414</t>
  </si>
  <si>
    <t>Subsets</t>
  </si>
  <si>
    <t>LU001415</t>
  </si>
  <si>
    <t>LU001416</t>
  </si>
  <si>
    <t>Complement of a set</t>
  </si>
  <si>
    <t>LU001417</t>
  </si>
  <si>
    <t>Set Operations</t>
  </si>
  <si>
    <t>LU001418</t>
  </si>
  <si>
    <t>LU001419</t>
  </si>
  <si>
    <t>Profit, Loss and Discount</t>
  </si>
  <si>
    <t>Discount</t>
  </si>
  <si>
    <t>LU000677</t>
  </si>
  <si>
    <t>LU000678</t>
  </si>
  <si>
    <t>LU000679</t>
  </si>
  <si>
    <t>LU000693</t>
  </si>
  <si>
    <t>Problems on Discount, Profit and Loss</t>
  </si>
  <si>
    <t>LU000932</t>
  </si>
  <si>
    <t>Sales Tax/ VAT/ GST</t>
  </si>
  <si>
    <t>LU000681</t>
  </si>
  <si>
    <t>LU000682</t>
  </si>
  <si>
    <t>LU000683</t>
  </si>
  <si>
    <t>LU000684</t>
  </si>
  <si>
    <t>Compound Interest</t>
  </si>
  <si>
    <t>LU000685</t>
  </si>
  <si>
    <t>LU001138</t>
  </si>
  <si>
    <t>LU001139</t>
  </si>
  <si>
    <t>LU000687</t>
  </si>
  <si>
    <t>LU000688</t>
  </si>
  <si>
    <t>Direct and Indirect Variation/Proportion</t>
  </si>
  <si>
    <t>Direct Variation/Proportion</t>
  </si>
  <si>
    <t>LU000748</t>
  </si>
  <si>
    <t>LU000750</t>
  </si>
  <si>
    <t>LU000754</t>
  </si>
  <si>
    <t>Inverse Variation/Proportion</t>
  </si>
  <si>
    <t>LU000749</t>
  </si>
  <si>
    <t>LU000753</t>
  </si>
  <si>
    <t>LU000755</t>
  </si>
  <si>
    <t>Applications of Direct and Inverse Proportions</t>
  </si>
  <si>
    <t>LU000752</t>
  </si>
  <si>
    <t>LU000751</t>
  </si>
  <si>
    <t>Time and Work</t>
  </si>
  <si>
    <t>LU001420</t>
  </si>
  <si>
    <t>Multiplication of a Monomial by a Polynomial</t>
  </si>
  <si>
    <t>LU000694</t>
  </si>
  <si>
    <t>LU000695</t>
  </si>
  <si>
    <t>LU000697</t>
  </si>
  <si>
    <t>LU000698</t>
  </si>
  <si>
    <t>LU000696</t>
  </si>
  <si>
    <t>Multiplication of a Binomial by a Polynomial</t>
  </si>
  <si>
    <t>LU000700</t>
  </si>
  <si>
    <t>LU000779</t>
  </si>
  <si>
    <t>LU000701</t>
  </si>
  <si>
    <t>Multiplication of Polynomials</t>
  </si>
  <si>
    <t>LU000699</t>
  </si>
  <si>
    <t>Division of Polynomials</t>
  </si>
  <si>
    <t>LU000711</t>
  </si>
  <si>
    <t>LU000708</t>
  </si>
  <si>
    <t>LU000709</t>
  </si>
  <si>
    <t>LU000710</t>
  </si>
  <si>
    <t>Algebraic Identities</t>
  </si>
  <si>
    <t>LU000702</t>
  </si>
  <si>
    <t>LU000705</t>
  </si>
  <si>
    <t>LU000704</t>
  </si>
  <si>
    <t>LU000703</t>
  </si>
  <si>
    <t>LU000706</t>
  </si>
  <si>
    <t>Factorisation</t>
  </si>
  <si>
    <t>Factorisation of algebraic expressions</t>
  </si>
  <si>
    <t>LU000770</t>
  </si>
  <si>
    <t>LU000771</t>
  </si>
  <si>
    <t>LU000757</t>
  </si>
  <si>
    <t>Methods to Factorise an Algebraic Expressions</t>
  </si>
  <si>
    <t>LU000758</t>
  </si>
  <si>
    <t>LU000940</t>
  </si>
  <si>
    <t>LU000759</t>
  </si>
  <si>
    <t>Factorisation of an Algebraic Expressions Using Identities</t>
  </si>
  <si>
    <t>LU000768</t>
  </si>
  <si>
    <t>LU000767</t>
  </si>
  <si>
    <t>LU000769</t>
  </si>
  <si>
    <t>LU000760</t>
  </si>
  <si>
    <t>Reducing Equations to Simpler form</t>
  </si>
  <si>
    <t>LU000584</t>
  </si>
  <si>
    <t>LU000585</t>
  </si>
  <si>
    <t>LU000588</t>
  </si>
  <si>
    <t>Solving Equations having the Variable on both sides</t>
  </si>
  <si>
    <t>LU000583</t>
  </si>
  <si>
    <t>Application of Linear Equations</t>
  </si>
  <si>
    <t>LU000587</t>
  </si>
  <si>
    <t>LU001421</t>
  </si>
  <si>
    <t>Understanding Shapes</t>
  </si>
  <si>
    <t>Sum of the measures of a interior angle of a polygon</t>
  </si>
  <si>
    <t>LU000592</t>
  </si>
  <si>
    <t>LU000599</t>
  </si>
  <si>
    <t>LU000608</t>
  </si>
  <si>
    <t>Sum of the measures of a exterior angle of a polygon</t>
  </si>
  <si>
    <t>LU000591</t>
  </si>
  <si>
    <t>LU000590</t>
  </si>
  <si>
    <t>Parallelogram</t>
  </si>
  <si>
    <t>LU000600</t>
  </si>
  <si>
    <t>Rhombus</t>
  </si>
  <si>
    <t>LU000604</t>
  </si>
  <si>
    <t>Rectangle</t>
  </si>
  <si>
    <t>LU000610</t>
  </si>
  <si>
    <t>Square</t>
  </si>
  <si>
    <t>LU000607</t>
  </si>
  <si>
    <t>Trapezium</t>
  </si>
  <si>
    <t>LU000911</t>
  </si>
  <si>
    <t>Kite</t>
  </si>
  <si>
    <t>LU000601</t>
  </si>
  <si>
    <t>Composite three dimensional shapes</t>
  </si>
  <si>
    <t>Relationship between face, edge and vertex of polyhedron (Euler formula)</t>
  </si>
  <si>
    <t>LU000573</t>
  </si>
  <si>
    <t>Construction of Quadrilaterals</t>
  </si>
  <si>
    <t>LU001152</t>
  </si>
  <si>
    <t>LU000859</t>
  </si>
  <si>
    <t>LU000861</t>
  </si>
  <si>
    <t>LU000860</t>
  </si>
  <si>
    <t>LU000862</t>
  </si>
  <si>
    <t>LU000863</t>
  </si>
  <si>
    <t>LU000864</t>
  </si>
  <si>
    <t>LU000866</t>
  </si>
  <si>
    <t>Area of rectangle</t>
  </si>
  <si>
    <t>LU000488</t>
  </si>
  <si>
    <t>LU000489</t>
  </si>
  <si>
    <t>Area of a Trapezium</t>
  </si>
  <si>
    <t>LU000715</t>
  </si>
  <si>
    <t>Area of a semi-circle</t>
  </si>
  <si>
    <t>LU000497</t>
  </si>
  <si>
    <t>Area of a rhombus</t>
  </si>
  <si>
    <t>LU000491</t>
  </si>
  <si>
    <t>LU000717</t>
  </si>
  <si>
    <t>Area of a general quadrilateral</t>
  </si>
  <si>
    <t>LU000716</t>
  </si>
  <si>
    <t>LU000728</t>
  </si>
  <si>
    <t>LU000731</t>
  </si>
  <si>
    <t>LU000732</t>
  </si>
  <si>
    <t>LU000733</t>
  </si>
  <si>
    <t>Total surface area of a cuboid</t>
  </si>
  <si>
    <t>LU000718</t>
  </si>
  <si>
    <t>LU000722</t>
  </si>
  <si>
    <t>LU000734</t>
  </si>
  <si>
    <t>Total surface area of a cube</t>
  </si>
  <si>
    <t>LU000720</t>
  </si>
  <si>
    <t>LU000721</t>
  </si>
  <si>
    <t>Total surface area of a right circular cylinder</t>
  </si>
  <si>
    <t>LU000729</t>
  </si>
  <si>
    <t>LU000723</t>
  </si>
  <si>
    <t>Volume of a cube and a cuboid</t>
  </si>
  <si>
    <t>LU000724</t>
  </si>
  <si>
    <t>LU000725</t>
  </si>
  <si>
    <t>Volume of a right circular cylinder</t>
  </si>
  <si>
    <t>LU000726</t>
  </si>
  <si>
    <t>LU000727</t>
  </si>
  <si>
    <t>LU000942</t>
  </si>
  <si>
    <t>Double bar graph</t>
  </si>
  <si>
    <t>LU000390</t>
  </si>
  <si>
    <t>LU000391</t>
  </si>
  <si>
    <t>LU000392</t>
  </si>
  <si>
    <t>Histogram</t>
  </si>
  <si>
    <t>LU000620</t>
  </si>
  <si>
    <t>LU000634</t>
  </si>
  <si>
    <t>LU000635</t>
  </si>
  <si>
    <t>Circle graph/pie chart</t>
  </si>
  <si>
    <t>LU000633</t>
  </si>
  <si>
    <t>LU000909</t>
  </si>
  <si>
    <t>LU000393</t>
  </si>
  <si>
    <t>LU000626</t>
  </si>
  <si>
    <t>Chapter Name</t>
  </si>
  <si>
    <t>Description(if any required)</t>
  </si>
  <si>
    <t>The Leaf</t>
  </si>
  <si>
    <t>Biology</t>
  </si>
  <si>
    <t xml:space="preserve">Leaf morphology </t>
  </si>
  <si>
    <t>LU005943</t>
  </si>
  <si>
    <t>LU006586</t>
  </si>
  <si>
    <t>Main functions of Leaf</t>
  </si>
  <si>
    <t>LU005944</t>
  </si>
  <si>
    <t>LU005945</t>
  </si>
  <si>
    <t>Leaf Modification</t>
  </si>
  <si>
    <t>LU006587</t>
  </si>
  <si>
    <t>LU006588</t>
  </si>
  <si>
    <t>why this modification is needed? along with definition</t>
  </si>
  <si>
    <t>LU006589</t>
  </si>
  <si>
    <t>bryophyllum example is a must</t>
  </si>
  <si>
    <t>The Flower</t>
  </si>
  <si>
    <t>Structure of flower</t>
  </si>
  <si>
    <t>LU006590</t>
  </si>
  <si>
    <t>Observations of actual specimens in the field, dissecting a bisexual flower (mustard, china rose, vinca) to study the whorls</t>
  </si>
  <si>
    <t>Pollination in Flowers</t>
  </si>
  <si>
    <t>LU006591</t>
  </si>
  <si>
    <t>LU006592</t>
  </si>
  <si>
    <t>three characteristics of plants pollinated by insects, water and wind (with examples).</t>
  </si>
  <si>
    <t>Fertilization events in Flowers</t>
  </si>
  <si>
    <t>LU005962</t>
  </si>
  <si>
    <t>Fruits</t>
  </si>
  <si>
    <t>LU006593</t>
  </si>
  <si>
    <t>LU006594</t>
  </si>
  <si>
    <t>Seeds</t>
  </si>
  <si>
    <t>LU006595</t>
  </si>
  <si>
    <t>LU006431</t>
  </si>
  <si>
    <t>The Cell</t>
  </si>
  <si>
    <t>Smallest unit of Life</t>
  </si>
  <si>
    <t>LU005843</t>
  </si>
  <si>
    <t>LU005844</t>
  </si>
  <si>
    <t>Parts of a Cell</t>
  </si>
  <si>
    <t>LU006596</t>
  </si>
  <si>
    <t>LU006597</t>
  </si>
  <si>
    <t>Animal cell versus Plant cell</t>
  </si>
  <si>
    <t>LU005848</t>
  </si>
  <si>
    <t>Human Digestive System</t>
  </si>
  <si>
    <t>LU005389</t>
  </si>
  <si>
    <t>LU005391</t>
  </si>
  <si>
    <t>Upper region of alimentary canal</t>
  </si>
  <si>
    <t>LU005948</t>
  </si>
  <si>
    <t>LU005949</t>
  </si>
  <si>
    <t>LU005950</t>
  </si>
  <si>
    <t>Middle and Lower region of alimentary canal</t>
  </si>
  <si>
    <t>LU005393</t>
  </si>
  <si>
    <t>LU005394</t>
  </si>
  <si>
    <t>Indigestion issues in Humans</t>
  </si>
  <si>
    <t>LU006598</t>
  </si>
  <si>
    <t>feel free to discuss and explore various categories like indigestion can be because of gi disorders like gall stones, stomach infections, gut health disturbance etc.</t>
  </si>
  <si>
    <t>LU006599</t>
  </si>
  <si>
    <t>Human Respiratory System</t>
  </si>
  <si>
    <t>Breathing in humans</t>
  </si>
  <si>
    <t>LU005438</t>
  </si>
  <si>
    <t>LU006600</t>
  </si>
  <si>
    <t>Human Respiratory Organs</t>
  </si>
  <si>
    <t>LU005439</t>
  </si>
  <si>
    <t>LU005440</t>
  </si>
  <si>
    <t>What do we breathe out</t>
  </si>
  <si>
    <t>LU005955</t>
  </si>
  <si>
    <t>Respiratory Diseases</t>
  </si>
  <si>
    <t>LU006601</t>
  </si>
  <si>
    <t>Human Circulatory System</t>
  </si>
  <si>
    <t>Organs of human circulatory system</t>
  </si>
  <si>
    <t>LU005454</t>
  </si>
  <si>
    <t>Human Blood</t>
  </si>
  <si>
    <t>LU005455</t>
  </si>
  <si>
    <t>Blood vessels and Human Heart</t>
  </si>
  <si>
    <t>LU005956</t>
  </si>
  <si>
    <t>LU005957</t>
  </si>
  <si>
    <t>Blood circulation in Humans</t>
  </si>
  <si>
    <t>LU005958</t>
  </si>
  <si>
    <t>LU005456</t>
  </si>
  <si>
    <t>Heart Health</t>
  </si>
  <si>
    <t>LU006602</t>
  </si>
  <si>
    <t>blood pressure introduction is very basic, please avoid deep diving into the mechanics of blood pressure</t>
  </si>
  <si>
    <t>Blood transfusion</t>
  </si>
  <si>
    <t>LU006603</t>
  </si>
  <si>
    <t>Health and Hygiene</t>
  </si>
  <si>
    <t>Tyoes of Diseases in Humans</t>
  </si>
  <si>
    <t>LU005093</t>
  </si>
  <si>
    <t>Communicable diseases in Humans</t>
  </si>
  <si>
    <t>LU006604</t>
  </si>
  <si>
    <t xml:space="preserve">common examples of each </t>
  </si>
  <si>
    <t>LU006605</t>
  </si>
  <si>
    <t>Prevention of Diseases in Humans</t>
  </si>
  <si>
    <t>LU006606</t>
  </si>
  <si>
    <t>LU006607</t>
  </si>
  <si>
    <t>Hygiene</t>
  </si>
  <si>
    <t>LU006608</t>
  </si>
  <si>
    <t>Adaptation</t>
  </si>
  <si>
    <t>Diversity of organisms and their surroundings</t>
  </si>
  <si>
    <t>LU005252</t>
  </si>
  <si>
    <t>Habitat and Adaptation</t>
  </si>
  <si>
    <t>LU005258</t>
  </si>
  <si>
    <t>Aquatic habitat</t>
  </si>
  <si>
    <t>LU005257</t>
  </si>
  <si>
    <t>Terrestrial habitat</t>
  </si>
  <si>
    <t>LU005254</t>
  </si>
  <si>
    <t>LU005255</t>
  </si>
  <si>
    <t>Aerial habitat</t>
  </si>
  <si>
    <t>LU006609</t>
  </si>
  <si>
    <t>27 LUs</t>
  </si>
  <si>
    <t>Tissues</t>
  </si>
  <si>
    <t>Variety of tissues</t>
  </si>
  <si>
    <t>LU006242</t>
  </si>
  <si>
    <t>Types of Plant Tissues</t>
  </si>
  <si>
    <t>LU006244</t>
  </si>
  <si>
    <t>LU006245</t>
  </si>
  <si>
    <t>Simple and Complex Permanent Tissues</t>
  </si>
  <si>
    <t>LU006246</t>
  </si>
  <si>
    <t>LU006610</t>
  </si>
  <si>
    <t>only nature of cells and function. Elements of xylem and phloem not to be mentioned</t>
  </si>
  <si>
    <t xml:space="preserve">Epithelial tissue </t>
  </si>
  <si>
    <t>LU006249</t>
  </si>
  <si>
    <t>Connective tissue and its types</t>
  </si>
  <si>
    <t>LU006251</t>
  </si>
  <si>
    <t>LU006252</t>
  </si>
  <si>
    <t>Muscular tissues and Neuron</t>
  </si>
  <si>
    <t>LU006253</t>
  </si>
  <si>
    <t>LU006254</t>
  </si>
  <si>
    <t>Kingdom Classification</t>
  </si>
  <si>
    <t>Why do Classification of Life forms?</t>
  </si>
  <si>
    <t>LU006611</t>
  </si>
  <si>
    <t>LU006612</t>
  </si>
  <si>
    <t>LU006258</t>
  </si>
  <si>
    <t>Monera</t>
  </si>
  <si>
    <t>LU006613</t>
  </si>
  <si>
    <t>applications related to daily life to be discussed</t>
  </si>
  <si>
    <t>Protista</t>
  </si>
  <si>
    <t>LU006614</t>
  </si>
  <si>
    <t>Amoeba's nutrition, locomotion, respiration, excretion and reproduction –
by binary and multiple fission</t>
  </si>
  <si>
    <t>Fungi and Plantae</t>
  </si>
  <si>
    <t>LU006615</t>
  </si>
  <si>
    <t>LU006616</t>
  </si>
  <si>
    <t>classification of plantae not to be discussed</t>
  </si>
  <si>
    <t>Animal classification</t>
  </si>
  <si>
    <t>LU006617</t>
  </si>
  <si>
    <t>LU006618</t>
  </si>
  <si>
    <t>Two characteristics and two examples of each Phylum</t>
  </si>
  <si>
    <t>Invertebrates</t>
  </si>
  <si>
    <t>LU006619</t>
  </si>
  <si>
    <t>LU006620</t>
  </si>
  <si>
    <t>LU006621</t>
  </si>
  <si>
    <t>Evolution and Classification</t>
  </si>
  <si>
    <t>LU006257</t>
  </si>
  <si>
    <t>Infer that complex organisms have evolved from simple organisms(evolution of life)</t>
  </si>
  <si>
    <t>Plant Life</t>
  </si>
  <si>
    <t xml:space="preserve">Introduction to Photosynthesis </t>
  </si>
  <si>
    <t>LU006622</t>
  </si>
  <si>
    <t>significance of photosynthesis for planet</t>
  </si>
  <si>
    <t xml:space="preserve">Factors Affecting Photosynthesis </t>
  </si>
  <si>
    <t>LU006623</t>
  </si>
  <si>
    <t>Experiment to demonstrate photosynthesis process.</t>
  </si>
  <si>
    <t>Respiration and its types</t>
  </si>
  <si>
    <t>LU005435</t>
  </si>
  <si>
    <t>Respiration in Plants</t>
  </si>
  <si>
    <t>LU005443</t>
  </si>
  <si>
    <t>Photosynthesis versus Respiration</t>
  </si>
  <si>
    <t>LU005444</t>
  </si>
  <si>
    <t>Human Body</t>
  </si>
  <si>
    <t>Excretory Organs</t>
  </si>
  <si>
    <t>LU006624</t>
  </si>
  <si>
    <t>Renal excretory system</t>
  </si>
  <si>
    <t>LU006625</t>
  </si>
  <si>
    <t>use diagrams as well</t>
  </si>
  <si>
    <t>LU006626</t>
  </si>
  <si>
    <t>use kidney diagram as well; structure of nephron not to be discussed; however you can mention nephrons are the basic filtration units in kideney and there are millions of them; infer that the kidneys are very important as they filter the blood</t>
  </si>
  <si>
    <t>Disorders of urinary system</t>
  </si>
  <si>
    <t>LU006627</t>
  </si>
  <si>
    <t>causes, symptoms, prevention</t>
  </si>
  <si>
    <t>Organs of Nervous system</t>
  </si>
  <si>
    <t>LU006628</t>
  </si>
  <si>
    <t>Use diagrams in plenty; list some of the activities that are under the control of the nervous system.</t>
  </si>
  <si>
    <t>Brain, Spinal cord and Nerves</t>
  </si>
  <si>
    <t>LU006629</t>
  </si>
  <si>
    <t>Use diagrams in plenty(discuss the need of spinal cord, brain, nerves for the body)</t>
  </si>
  <si>
    <t>LU006630</t>
  </si>
  <si>
    <t>LU006631</t>
  </si>
  <si>
    <t>discuss the need of spinal cord, brain, nerves for the body; relate that all parts of the body are connected to the brain through the nerve</t>
  </si>
  <si>
    <t>Allergy</t>
  </si>
  <si>
    <t>Allergy and allergens</t>
  </si>
  <si>
    <t>LU006632</t>
  </si>
  <si>
    <t>Common allergens like dust, pollen grain, mites, strong sunlight, particular food items; define the terms allergy and allergens and differentiate between them</t>
  </si>
  <si>
    <t>LU006633</t>
  </si>
  <si>
    <t>LU006634</t>
  </si>
  <si>
    <t>Types of allergies</t>
  </si>
  <si>
    <t>LU006635</t>
  </si>
  <si>
    <t>use plenty examples</t>
  </si>
  <si>
    <t>LU006636</t>
  </si>
  <si>
    <t>Precautions and care to be taken by a person who is prone to allergies.</t>
  </si>
  <si>
    <t>Transport of Food and Minerals in Plants</t>
  </si>
  <si>
    <t>Diffusion and Osmosis</t>
  </si>
  <si>
    <t>LU006171</t>
  </si>
  <si>
    <t>experiments demonstrating diffusion and osmosis at apply level; explain that transport in unicellular and simple multicellular plants takes place by diffusion</t>
  </si>
  <si>
    <t xml:space="preserve">Mechanism of Food and Mineral Transport </t>
  </si>
  <si>
    <t>LU006637</t>
  </si>
  <si>
    <t>Demonstrating experiments on root pressure.</t>
  </si>
  <si>
    <t>Transpiration</t>
  </si>
  <si>
    <t>LU005463</t>
  </si>
  <si>
    <t>LU006638</t>
  </si>
  <si>
    <t>experiments demonstrating transpiration</t>
  </si>
  <si>
    <t>Conducting Vessels</t>
  </si>
  <si>
    <t>LU006639</t>
  </si>
  <si>
    <t>use diagrams in plenty; presence/absence of conducting tissues in simple plants like Chlamydomonas, Spirogyra and higher plants like Petunia, Vinca, mustard, balsam, mango tree and neem tree</t>
  </si>
  <si>
    <t>Minerals for Plant Health</t>
  </si>
  <si>
    <t>LU006640</t>
  </si>
  <si>
    <t>realize that the minerals required are either micronutrients or macronutrients depending upon the quantity required by the plants; Also mention three deficiency diseases caused by lack of these essential nutrients.</t>
  </si>
  <si>
    <t>Reproduction in Plants and Animals</t>
  </si>
  <si>
    <t>Modes of reproduction in plants</t>
  </si>
  <si>
    <t>LU005419</t>
  </si>
  <si>
    <t>LU005421</t>
  </si>
  <si>
    <t>LU006474</t>
  </si>
  <si>
    <t>g10  ncert LU</t>
  </si>
  <si>
    <t>Asexual modes of reproduction</t>
  </si>
  <si>
    <t>LU006641</t>
  </si>
  <si>
    <t>basic process along with a suitable example of each</t>
  </si>
  <si>
    <t>g6 icse repeat; no assessment needed for these LUs</t>
  </si>
  <si>
    <t>Artificial pollination</t>
  </si>
  <si>
    <t>LU006642</t>
  </si>
  <si>
    <t>Reproductive System in Humans</t>
  </si>
  <si>
    <t>LU005658</t>
  </si>
  <si>
    <t>LU005659</t>
  </si>
  <si>
    <t>Fertilisation and Post-fertilisation events in Humans</t>
  </si>
  <si>
    <t>LU005660</t>
  </si>
  <si>
    <t>Ecosystems</t>
  </si>
  <si>
    <t>Ecosystem</t>
  </si>
  <si>
    <t>LU005605</t>
  </si>
  <si>
    <t>Biotic components</t>
  </si>
  <si>
    <t>LU006643</t>
  </si>
  <si>
    <t>producers, consumers(types of consumers), decomposers</t>
  </si>
  <si>
    <t>Abiotic components</t>
  </si>
  <si>
    <t>LU006644</t>
  </si>
  <si>
    <t>Brief account of abiotic or non-living components such as air, soil, water and climatic factors such as sunlight, temperature, humidity and wind</t>
  </si>
  <si>
    <t>Biotic and abiotic components interactions</t>
  </si>
  <si>
    <t>LU006645</t>
  </si>
  <si>
    <t>evaluate the abiotic factors and their influence on biotic factors</t>
  </si>
  <si>
    <t>LU006646</t>
  </si>
  <si>
    <t>interpret the relationship between different biotic components in terms of food chain, food web and pyramid of numbers</t>
  </si>
  <si>
    <t>Interdependence between organisms</t>
  </si>
  <si>
    <t>LU006647</t>
  </si>
  <si>
    <t>describe and provide examples for inter dependence relationships between organisms</t>
  </si>
  <si>
    <t>Forest ecosystem</t>
  </si>
  <si>
    <t>LU006648</t>
  </si>
  <si>
    <t>define flora and fauna, draw relationship between the flora and fauna of a particular forest ecosystem;</t>
  </si>
  <si>
    <t>Human endocrine system and adolescence</t>
  </si>
  <si>
    <t>Terms related to endocrine system</t>
  </si>
  <si>
    <t>LU006649</t>
  </si>
  <si>
    <t>basic concept and difference</t>
  </si>
  <si>
    <t>LU006650</t>
  </si>
  <si>
    <t>Endocrine glands</t>
  </si>
  <si>
    <t>LU006651</t>
  </si>
  <si>
    <t>Following points to be studied in tabular form: name of gland, location in body, secretion, function.</t>
  </si>
  <si>
    <t>Adolescence and Puberty</t>
  </si>
  <si>
    <t>LU005654</t>
  </si>
  <si>
    <t>LU005653</t>
  </si>
  <si>
    <t>Reproductive phase in humans</t>
  </si>
  <si>
    <t>LU005656</t>
  </si>
  <si>
    <t>LU005655</t>
  </si>
  <si>
    <t>Adolescent Reproductive health</t>
  </si>
  <si>
    <t>LU005650</t>
  </si>
  <si>
    <t>LU006652</t>
  </si>
  <si>
    <t>meaning of stress; ways to tackle stress: yoga, meditation, time management, sports, hobbies, rational thinking etc</t>
  </si>
  <si>
    <t>Human circulatory system</t>
  </si>
  <si>
    <t>Heart-pumping organ</t>
  </si>
  <si>
    <t>LU006653</t>
  </si>
  <si>
    <t xml:space="preserve"> in detail (including valves, septum; pace maker)</t>
  </si>
  <si>
    <t>Major blood vessels in humans</t>
  </si>
  <si>
    <t>LU006654</t>
  </si>
  <si>
    <t>Double circulation of blood</t>
  </si>
  <si>
    <t>LU006655</t>
  </si>
  <si>
    <t>Principles of blood compatibility</t>
  </si>
  <si>
    <t>LU006656</t>
  </si>
  <si>
    <t>Heart conditions</t>
  </si>
  <si>
    <t>LU006457</t>
  </si>
  <si>
    <t>g10 ncert lu</t>
  </si>
  <si>
    <t>LU006657</t>
  </si>
  <si>
    <t>Lymphatic system</t>
  </si>
  <si>
    <t>LU006658</t>
  </si>
  <si>
    <t>Human nervous system</t>
  </si>
  <si>
    <t>Types of nerves</t>
  </si>
  <si>
    <t>LU006659</t>
  </si>
  <si>
    <t>sensory, motor, mixed (function only), cranial and spinal nerves (only definition and number)</t>
  </si>
  <si>
    <t>Motor Neuron</t>
  </si>
  <si>
    <t>LU006660</t>
  </si>
  <si>
    <t>Central nervous system</t>
  </si>
  <si>
    <t>LU006661</t>
  </si>
  <si>
    <t>in detail with its parts and their functions</t>
  </si>
  <si>
    <t>Reflex action</t>
  </si>
  <si>
    <t>LU006662</t>
  </si>
  <si>
    <t>definition and basic terms used to describe reflex action stimulus, response, impulse, receptor, effector); common examples of reflex action(Reflex action and its impact in their daily lives.Citing the example of Pavlov’s experiment on the dog, and its relation to our body)</t>
  </si>
  <si>
    <t>Various Infectious Diseases</t>
  </si>
  <si>
    <t>LU006663</t>
  </si>
  <si>
    <t>causative agents, symptoms and prevention to be dealt with in a tabular form</t>
  </si>
  <si>
    <t>Prevention of Infectious Diseases</t>
  </si>
  <si>
    <t>LU006664</t>
  </si>
  <si>
    <t>LU006665</t>
  </si>
  <si>
    <t>Vaccination and immunization</t>
  </si>
  <si>
    <t>LU006666</t>
  </si>
  <si>
    <t>concepts and difference between the two</t>
  </si>
  <si>
    <t>Bad habits for human health</t>
  </si>
  <si>
    <t>LU006667</t>
  </si>
  <si>
    <t>First aid</t>
  </si>
  <si>
    <t>LU006668</t>
  </si>
  <si>
    <t>LU006669</t>
  </si>
  <si>
    <t>LU006670</t>
  </si>
  <si>
    <t>Food production</t>
  </si>
  <si>
    <t>Bacteria and Fungi in Food industry</t>
  </si>
  <si>
    <t>LU006671</t>
  </si>
  <si>
    <t>observe the use of bacteria in making curd and cheese</t>
  </si>
  <si>
    <t>LU006672</t>
  </si>
  <si>
    <t>observe specimens of mushroom, and note down the useful parts</t>
  </si>
  <si>
    <t>Agriculture for Food Production</t>
  </si>
  <si>
    <t>LU006673</t>
  </si>
  <si>
    <t>use plenty of examples</t>
  </si>
  <si>
    <t>LU006674</t>
  </si>
  <si>
    <t>brief-awareness level</t>
  </si>
  <si>
    <t>Horticulture for Food Production</t>
  </si>
  <si>
    <t>LU006675</t>
  </si>
  <si>
    <t xml:space="preserve">Animal Husbandary </t>
  </si>
  <si>
    <t>LU006676</t>
  </si>
  <si>
    <t>LU006677</t>
  </si>
  <si>
    <t>Pisiculture</t>
  </si>
  <si>
    <t>LU006312</t>
  </si>
  <si>
    <t>LU006313</t>
  </si>
  <si>
    <t>LU006314</t>
  </si>
  <si>
    <t>Sericulture and apiculture</t>
  </si>
  <si>
    <t>LU006678</t>
  </si>
  <si>
    <t>Introduction to Chemistry</t>
  </si>
  <si>
    <t>Chemistry</t>
  </si>
  <si>
    <t>Importance of Chemistry</t>
  </si>
  <si>
    <t>LU006679</t>
  </si>
  <si>
    <t>LU006680</t>
  </si>
  <si>
    <t>LU006681</t>
  </si>
  <si>
    <t>Applications of Chemistry</t>
  </si>
  <si>
    <t>LU006682</t>
  </si>
  <si>
    <t>LU006683</t>
  </si>
  <si>
    <t>LU006684</t>
  </si>
  <si>
    <t>Elements, Compounds and Mixtures</t>
  </si>
  <si>
    <t>Introduction to Elements</t>
  </si>
  <si>
    <t>LU006685</t>
  </si>
  <si>
    <t>LU006686</t>
  </si>
  <si>
    <t>LU006687</t>
  </si>
  <si>
    <t>Introduction to Compounds</t>
  </si>
  <si>
    <t>LU006688</t>
  </si>
  <si>
    <t>LU006689</t>
  </si>
  <si>
    <t>Mixtures</t>
  </si>
  <si>
    <t>LU006690</t>
  </si>
  <si>
    <t>LU006228</t>
  </si>
  <si>
    <t>G9 CBSE</t>
  </si>
  <si>
    <t>Separation Techniques of Mixtures</t>
  </si>
  <si>
    <t>LU006691</t>
  </si>
  <si>
    <t>LU005295</t>
  </si>
  <si>
    <t>LU006692</t>
  </si>
  <si>
    <t>LU006693</t>
  </si>
  <si>
    <t>LU006694</t>
  </si>
  <si>
    <t>Properties of Matter</t>
  </si>
  <si>
    <t>LU006196</t>
  </si>
  <si>
    <t>LU006198</t>
  </si>
  <si>
    <t>LU006197</t>
  </si>
  <si>
    <t>Effect of Heat on Matter</t>
  </si>
  <si>
    <t>LU006695</t>
  </si>
  <si>
    <t>LU006696</t>
  </si>
  <si>
    <t>LU006697</t>
  </si>
  <si>
    <t>Water</t>
  </si>
  <si>
    <t>Sources and Uses of Water</t>
  </si>
  <si>
    <t>LU006698</t>
  </si>
  <si>
    <t>LU006699</t>
  </si>
  <si>
    <t>Solubility in Water</t>
  </si>
  <si>
    <t>LU006700</t>
  </si>
  <si>
    <t>LU006701</t>
  </si>
  <si>
    <t>Pollution of Water</t>
  </si>
  <si>
    <t>LU006702</t>
  </si>
  <si>
    <t>LU006703</t>
  </si>
  <si>
    <t>LU006704</t>
  </si>
  <si>
    <t>Air and Atmosphere</t>
  </si>
  <si>
    <t>Presence and Composition of Air</t>
  </si>
  <si>
    <t>LU006705</t>
  </si>
  <si>
    <t>LU005881</t>
  </si>
  <si>
    <t>Uses of Components of Air</t>
  </si>
  <si>
    <t>LU006706</t>
  </si>
  <si>
    <t>LU006707</t>
  </si>
  <si>
    <t>LU006708</t>
  </si>
  <si>
    <t>Definition of Atmosphere</t>
  </si>
  <si>
    <t>LU006709</t>
  </si>
  <si>
    <t>31 LUs</t>
  </si>
  <si>
    <t>Description</t>
  </si>
  <si>
    <t>Matter and its Composition</t>
  </si>
  <si>
    <t>LU006081</t>
  </si>
  <si>
    <t>Matter and its general properties</t>
  </si>
  <si>
    <t>LU006710</t>
  </si>
  <si>
    <t>Matter and Its Particles(size and space between them)
Particles are Continuously Moving(concept of diffusion)
Particles of Matter Attract Each Other</t>
  </si>
  <si>
    <t>LU006711</t>
  </si>
  <si>
    <t>Comparison of the properties of different states of matter (solids, liquid, gas)</t>
  </si>
  <si>
    <t>Physical and Chemical Changes</t>
  </si>
  <si>
    <t>Changes Around Us</t>
  </si>
  <si>
    <t>LU005905</t>
  </si>
  <si>
    <t>Physical changes</t>
  </si>
  <si>
    <t>LU005494</t>
  </si>
  <si>
    <t>LU005489</t>
  </si>
  <si>
    <t>Chemical changes</t>
  </si>
  <si>
    <t>LU005493</t>
  </si>
  <si>
    <t>LU005488</t>
  </si>
  <si>
    <t>LU005486</t>
  </si>
  <si>
    <t>Types of change</t>
  </si>
  <si>
    <t>LU005906</t>
  </si>
  <si>
    <t>LU006712</t>
  </si>
  <si>
    <t>LU006062</t>
  </si>
  <si>
    <t>Elements, Compounds and Mixtures (experimental techniques)</t>
  </si>
  <si>
    <t>Elements</t>
  </si>
  <si>
    <t>LU006226</t>
  </si>
  <si>
    <t>LU006713</t>
  </si>
  <si>
    <t>Mixtures and pure substances</t>
  </si>
  <si>
    <t>LU005299</t>
  </si>
  <si>
    <t>LU006082</t>
  </si>
  <si>
    <t>LU006714</t>
  </si>
  <si>
    <t>Compounds</t>
  </si>
  <si>
    <t>LU006227</t>
  </si>
  <si>
    <t>LU006715</t>
  </si>
  <si>
    <t>Separation of Solid-Solid Mixture</t>
  </si>
  <si>
    <t>LU005294</t>
  </si>
  <si>
    <t>LU006716</t>
  </si>
  <si>
    <t>LU006717</t>
  </si>
  <si>
    <t>Separation of Solid-Liquid Mixtures</t>
  </si>
  <si>
    <t>LU006222</t>
  </si>
  <si>
    <t>Separation of Liquid-Liquid Mixtures</t>
  </si>
  <si>
    <t>LU006223</t>
  </si>
  <si>
    <t>LU006718</t>
  </si>
  <si>
    <t>Modern Separation Techniques</t>
  </si>
  <si>
    <t>LU006221</t>
  </si>
  <si>
    <t>Atomic Structure</t>
  </si>
  <si>
    <t>Atoms and Molecules</t>
  </si>
  <si>
    <t>LU006719</t>
  </si>
  <si>
    <t>LU006720</t>
  </si>
  <si>
    <t>LU006721</t>
  </si>
  <si>
    <t>Radicals</t>
  </si>
  <si>
    <t>LU006722</t>
  </si>
  <si>
    <t>LU006723</t>
  </si>
  <si>
    <t>Arrangement in periodic table</t>
  </si>
  <si>
    <t>LU006724</t>
  </si>
  <si>
    <t xml:space="preserve">Valency </t>
  </si>
  <si>
    <t>LU006380</t>
  </si>
  <si>
    <t>LU006725</t>
  </si>
  <si>
    <t>Language of Chemistry</t>
  </si>
  <si>
    <t>Chemical Reactions</t>
  </si>
  <si>
    <t>LU006529</t>
  </si>
  <si>
    <t>G10 CBSE</t>
  </si>
  <si>
    <t>LU006726</t>
  </si>
  <si>
    <t>Metals and Non-Metals</t>
  </si>
  <si>
    <t>Classification of Elements</t>
  </si>
  <si>
    <t>LU006727</t>
  </si>
  <si>
    <t>LU006728</t>
  </si>
  <si>
    <t>LU006729</t>
  </si>
  <si>
    <t>Corrosion</t>
  </si>
  <si>
    <t>LU006566</t>
  </si>
  <si>
    <t>LU006730</t>
  </si>
  <si>
    <t>Properties of Air</t>
  </si>
  <si>
    <t>LU006731</t>
  </si>
  <si>
    <t>LU006732</t>
  </si>
  <si>
    <t>Properties and Importance of Oxygen</t>
  </si>
  <si>
    <t>LU006733</t>
  </si>
  <si>
    <t>LU006734</t>
  </si>
  <si>
    <t>include "Mass Change During Burning Process"</t>
  </si>
  <si>
    <t>LU006735</t>
  </si>
  <si>
    <t>Air Quality</t>
  </si>
  <si>
    <t>LU006736</t>
  </si>
  <si>
    <t>LU006737</t>
  </si>
  <si>
    <t>LU006738</t>
  </si>
  <si>
    <t>Respiration, Combustion and Rusting</t>
  </si>
  <si>
    <t>LU006739</t>
  </si>
  <si>
    <t>LU006740</t>
  </si>
  <si>
    <t>Kinetic Molecular Theory of Matter</t>
  </si>
  <si>
    <t>LU006741</t>
  </si>
  <si>
    <t>Change of State of Matter</t>
  </si>
  <si>
    <t>LU006742</t>
  </si>
  <si>
    <t>LU006743</t>
  </si>
  <si>
    <t>Law of Conservation of Mass</t>
  </si>
  <si>
    <t>LU006374</t>
  </si>
  <si>
    <t>Types of Changes</t>
  </si>
  <si>
    <t>LU006744</t>
  </si>
  <si>
    <t>LU006745</t>
  </si>
  <si>
    <t>LU006746</t>
  </si>
  <si>
    <t xml:space="preserve">Include Exothermic and Endothermic </t>
  </si>
  <si>
    <t>Comparative Study of Different Types of Changes</t>
  </si>
  <si>
    <t>LU006747</t>
  </si>
  <si>
    <t>LU006748</t>
  </si>
  <si>
    <t>Separation techniques</t>
  </si>
  <si>
    <t>LU006749</t>
  </si>
  <si>
    <t>LU006750</t>
  </si>
  <si>
    <t>LU005297</t>
  </si>
  <si>
    <t>Subatomic Particles</t>
  </si>
  <si>
    <t>LU006751</t>
  </si>
  <si>
    <t>Introduction to Nucleus</t>
  </si>
  <si>
    <t>LU006752</t>
  </si>
  <si>
    <t>Atomic Number and Mass Number</t>
  </si>
  <si>
    <t>LU006753</t>
  </si>
  <si>
    <t>LU006754</t>
  </si>
  <si>
    <t>Formulae of Compounds</t>
  </si>
  <si>
    <t>LU006381</t>
  </si>
  <si>
    <t>Writing Chemical Reactions and Equations</t>
  </si>
  <si>
    <t>LU005500</t>
  </si>
  <si>
    <t>LU006755</t>
  </si>
  <si>
    <t>LU006756</t>
  </si>
  <si>
    <t>Balancing Chemical Equations</t>
  </si>
  <si>
    <t>LU006757</t>
  </si>
  <si>
    <t>LU005506</t>
  </si>
  <si>
    <t>LU006530</t>
  </si>
  <si>
    <t>Introduction of Chemical Reactions</t>
  </si>
  <si>
    <t>LU006758</t>
  </si>
  <si>
    <t>Combination and Decomposition Reactions</t>
  </si>
  <si>
    <t>LU006531</t>
  </si>
  <si>
    <t>LU006533</t>
  </si>
  <si>
    <t>LU006759</t>
  </si>
  <si>
    <t>Displacement and Double Displacement Reactions</t>
  </si>
  <si>
    <t>LU006534</t>
  </si>
  <si>
    <t>LU006760</t>
  </si>
  <si>
    <t>LU006535</t>
  </si>
  <si>
    <t>Neutralization Reaction</t>
  </si>
  <si>
    <t>LU006541</t>
  </si>
  <si>
    <t>LU006542</t>
  </si>
  <si>
    <t>LU006761</t>
  </si>
  <si>
    <t>Hydrogen</t>
  </si>
  <si>
    <t>Preparation of Hydrogen</t>
  </si>
  <si>
    <t>LU006762</t>
  </si>
  <si>
    <t>LU006763</t>
  </si>
  <si>
    <t>LU006764</t>
  </si>
  <si>
    <t>Properties and Uses of Hydrogen</t>
  </si>
  <si>
    <t>LU006765</t>
  </si>
  <si>
    <t>Oxidation and Reduction</t>
  </si>
  <si>
    <t>LU006766</t>
  </si>
  <si>
    <t>Solubility of Water</t>
  </si>
  <si>
    <t>LU006767</t>
  </si>
  <si>
    <t>LU006210</t>
  </si>
  <si>
    <t>LU006768</t>
  </si>
  <si>
    <t>Solution, Suspension and Colloids</t>
  </si>
  <si>
    <t>LU006219</t>
  </si>
  <si>
    <t>LU006212</t>
  </si>
  <si>
    <t>LU006213</t>
  </si>
  <si>
    <t>Water of Crystallisation</t>
  </si>
  <si>
    <t>LU006551</t>
  </si>
  <si>
    <t>LU006769</t>
  </si>
  <si>
    <t>Chemical Reactions of Water</t>
  </si>
  <si>
    <t>LU006770</t>
  </si>
  <si>
    <t>Hard and Soft Water</t>
  </si>
  <si>
    <t>LU006771</t>
  </si>
  <si>
    <t>LU006772</t>
  </si>
  <si>
    <t>LU006773</t>
  </si>
  <si>
    <t>Carbon and Its Compounds</t>
  </si>
  <si>
    <t>Crystalline and Amorphous Nature of Allotropes of Carbon</t>
  </si>
  <si>
    <t>LU006774</t>
  </si>
  <si>
    <t>LU006568</t>
  </si>
  <si>
    <t>LU006775</t>
  </si>
  <si>
    <t>Preparation and Properties of Carbon dioxide</t>
  </si>
  <si>
    <t>LU006776</t>
  </si>
  <si>
    <t>LU006777</t>
  </si>
  <si>
    <t>LU006778</t>
  </si>
  <si>
    <t>Properties and Uses of Carbon Monoxide</t>
  </si>
  <si>
    <t>LU006779</t>
  </si>
  <si>
    <t>LU006780</t>
  </si>
  <si>
    <t>Simple Interest and Compound Interest</t>
  </si>
  <si>
    <t xml:space="preserve">LUID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</si>
</sst>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0"/>
      <color rgb="FF000000"/>
      <name val="Arial"/>
      <charset val="1"/>
    </font>
    <font>
      <sz val="11"/>
      <color theme="1"/>
      <name val="Arial"/>
      <charset val="1"/>
    </font>
    <font>
      <b/>
      <sz val="11"/>
      <color rgb="FF000000"/>
      <name val="Arial"/>
      <charset val="1"/>
    </font>
    <font>
      <b/>
      <sz val="11"/>
      <color theme="1"/>
      <name val="Arial"/>
      <charset val="1"/>
    </font>
    <font>
      <sz val="9"/>
      <color theme="1"/>
      <name val="Google Sans Mono"/>
      <charset val="1"/>
    </font>
    <font>
      <b/>
      <sz val="10"/>
      <color theme="1"/>
      <name val="Times New Roman"/>
      <charset val="1"/>
    </font>
    <font>
      <sz val="10"/>
      <color theme="1"/>
      <name val="Times New Roman"/>
      <charset val="1"/>
    </font>
    <font>
      <sz val="12"/>
      <color theme="1"/>
      <name val="Times New Roman"/>
      <charset val="1"/>
    </font>
    <font>
      <sz val="10"/>
      <name val="Arial"/>
      <family val="2"/>
    </font>
    <font>
      <sz val="10"/>
      <color rgb="FF000000"/>
      <name val="Times New Roman"/>
      <charset val="1"/>
    </font>
  </fonts>
  <fills count="14">
    <fill>
      <patternFill patternType="none"/>
    </fill>
    <fill>
      <patternFill patternType="gray125"/>
    </fill>
    <fill>
      <patternFill patternType="solid">
        <fgColor rgb="FFD9EAD3"/>
        <bgColor rgb="FFD0E0E3"/>
      </patternFill>
    </fill>
    <fill>
      <patternFill patternType="solid">
        <fgColor rgb="FFC9DAF8"/>
        <bgColor rgb="FFD0E0E3"/>
      </patternFill>
    </fill>
    <fill>
      <patternFill patternType="solid">
        <fgColor rgb="FFD0E0E3"/>
        <bgColor rgb="FFC9DAF8"/>
      </patternFill>
    </fill>
    <fill>
      <patternFill patternType="solid">
        <fgColor rgb="FFF6B26B"/>
        <bgColor rgb="FFFF9900"/>
      </patternFill>
    </fill>
    <fill>
      <patternFill patternType="solid">
        <fgColor rgb="FFE06666"/>
        <bgColor rgb="FFFF6600"/>
      </patternFill>
    </fill>
    <fill>
      <patternFill patternType="solid">
        <fgColor rgb="FFFF9900"/>
        <bgColor rgb="FFFFCC00"/>
      </patternFill>
    </fill>
    <fill>
      <patternFill patternType="solid">
        <fgColor rgb="FFFFFFFF"/>
        <bgColor rgb="FFF3F3F3"/>
      </patternFill>
    </fill>
    <fill>
      <patternFill patternType="solid">
        <fgColor rgb="FFFFE599"/>
        <bgColor rgb="FFFFFF99"/>
      </patternFill>
    </fill>
    <fill>
      <patternFill patternType="solid">
        <fgColor rgb="FFFFFF00"/>
        <bgColor rgb="FFFFFF00"/>
      </patternFill>
    </fill>
    <fill>
      <patternFill patternType="solid">
        <fgColor rgb="FFFF00FF"/>
        <bgColor rgb="FFFF00FF"/>
      </patternFill>
    </fill>
    <fill>
      <patternFill patternType="solid">
        <fgColor rgb="FFF3F3F3"/>
        <bgColor rgb="FFFFFFFF"/>
      </patternFill>
    </fill>
    <fill>
      <patternFill patternType="solid">
        <fgColor rgb="FF00FF00"/>
        <bgColor rgb="FF33CCCC"/>
      </patternFill>
    </fill>
  </fills>
  <borders count="3">
    <border>
      <left/>
      <right/>
      <top/>
      <bottom/>
      <diagonal/>
    </border>
    <border>
      <left/>
      <right/>
      <top style="thin">
        <color rgb="FFFFFFFF"/>
      </top>
      <bottom style="thick">
        <color rgb="FF8093B3"/>
      </bottom>
      <diagonal/>
    </border>
    <border>
      <left style="thin">
        <color auto="1"/>
      </left>
      <right style="thin">
        <color auto="1"/>
      </right>
      <top style="thin">
        <color auto="1"/>
      </top>
      <bottom style="thin">
        <color auto="1"/>
      </bottom>
      <diagonal/>
    </border>
  </borders>
  <cellStyleXfs count="1">
    <xf numFmtId="0" fontId="0" fillId="0" borderId="0"/>
  </cellStyleXfs>
  <cellXfs count="117">
    <xf numFmtId="0" fontId="0" fillId="0" borderId="0" xfId="0"/>
    <xf numFmtId="0" fontId="1" fillId="0" borderId="0" xfId="0" applyFont="1" applyAlignment="1">
      <alignment wrapText="1"/>
    </xf>
    <xf numFmtId="0" fontId="1" fillId="0" borderId="0" xfId="0" applyFont="1"/>
    <xf numFmtId="0" fontId="2" fillId="2" borderId="0" xfId="0" applyFont="1" applyFill="1" applyAlignment="1">
      <alignment horizontal="center" vertical="top" wrapText="1"/>
    </xf>
    <xf numFmtId="0" fontId="3" fillId="3" borderId="0" xfId="0" applyFont="1" applyFill="1" applyAlignment="1">
      <alignment horizontal="center"/>
    </xf>
    <xf numFmtId="0" fontId="3" fillId="3" borderId="0" xfId="0" applyFont="1" applyFill="1" applyAlignment="1">
      <alignment horizontal="center" wrapText="1"/>
    </xf>
    <xf numFmtId="0" fontId="3" fillId="4" borderId="0" xfId="0" applyFont="1" applyFill="1" applyAlignment="1">
      <alignment horizontal="center"/>
    </xf>
    <xf numFmtId="0" fontId="3" fillId="4" borderId="0" xfId="0" applyFont="1" applyFill="1" applyAlignment="1">
      <alignment horizontal="center" wrapText="1"/>
    </xf>
    <xf numFmtId="0" fontId="1" fillId="2" borderId="0" xfId="0" applyFont="1" applyFill="1" applyAlignment="1">
      <alignment wrapText="1"/>
    </xf>
    <xf numFmtId="0" fontId="3" fillId="5" borderId="1" xfId="0" applyFont="1" applyFill="1" applyBorder="1" applyAlignment="1">
      <alignment horizontal="center" wrapText="1"/>
    </xf>
    <xf numFmtId="0" fontId="3" fillId="5" borderId="0" xfId="0" applyFont="1" applyFill="1" applyAlignment="1">
      <alignment horizontal="center"/>
    </xf>
    <xf numFmtId="0" fontId="3" fillId="6" borderId="1" xfId="0" applyFont="1" applyFill="1" applyBorder="1" applyAlignment="1">
      <alignment horizontal="center" wrapText="1"/>
    </xf>
    <xf numFmtId="0" fontId="3" fillId="6" borderId="0" xfId="0" applyFont="1" applyFill="1" applyAlignment="1">
      <alignment horizontal="center"/>
    </xf>
    <xf numFmtId="0" fontId="1" fillId="0" borderId="0" xfId="0" applyFont="1" applyAlignment="1">
      <alignment horizontal="right" wrapText="1"/>
    </xf>
    <xf numFmtId="0" fontId="1" fillId="7" borderId="0" xfId="0" applyFont="1" applyFill="1" applyAlignment="1">
      <alignment wrapText="1"/>
    </xf>
    <xf numFmtId="0" fontId="1" fillId="0" borderId="0" xfId="0" applyFont="1" applyAlignment="1">
      <alignment horizontal="center" wrapText="1"/>
    </xf>
    <xf numFmtId="0" fontId="4" fillId="8" borderId="0" xfId="0" applyFont="1" applyFill="1" applyAlignment="1">
      <alignment horizontal="center"/>
    </xf>
    <xf numFmtId="0" fontId="1" fillId="0" borderId="0" xfId="0" applyFont="1" applyAlignment="1">
      <alignment horizontal="center"/>
    </xf>
    <xf numFmtId="0" fontId="1" fillId="8" borderId="0" xfId="0" applyFont="1" applyFill="1" applyAlignment="1">
      <alignment wrapText="1"/>
    </xf>
    <xf numFmtId="0" fontId="1" fillId="7" borderId="0" xfId="0" applyFont="1" applyFill="1"/>
    <xf numFmtId="0" fontId="1" fillId="2" borderId="0" xfId="0" applyFont="1" applyFill="1"/>
    <xf numFmtId="0" fontId="5" fillId="9" borderId="2" xfId="0" applyFont="1" applyFill="1" applyBorder="1" applyAlignment="1">
      <alignment horizontal="center" vertical="center"/>
    </xf>
    <xf numFmtId="0" fontId="5" fillId="9" borderId="2" xfId="0" applyFont="1" applyFill="1" applyBorder="1" applyAlignment="1">
      <alignment horizontal="center" vertical="center" wrapText="1"/>
    </xf>
    <xf numFmtId="0" fontId="6" fillId="9" borderId="2" xfId="0" applyFont="1" applyFill="1" applyBorder="1" applyAlignment="1">
      <alignment vertical="center" wrapText="1"/>
    </xf>
    <xf numFmtId="0" fontId="1" fillId="2" borderId="2" xfId="0" applyFont="1" applyFill="1" applyBorder="1"/>
    <xf numFmtId="0" fontId="6" fillId="0" borderId="0" xfId="0" applyFont="1" applyAlignment="1">
      <alignment horizontal="center" vertical="center"/>
    </xf>
    <xf numFmtId="0" fontId="6" fillId="0" borderId="2" xfId="0" applyFont="1" applyBorder="1" applyAlignment="1">
      <alignment horizontal="center" vertical="center"/>
    </xf>
    <xf numFmtId="0" fontId="6" fillId="0" borderId="2" xfId="0" applyFont="1" applyBorder="1" applyAlignment="1">
      <alignment horizontal="center" vertical="center" wrapText="1"/>
    </xf>
    <xf numFmtId="0" fontId="6" fillId="0" borderId="2" xfId="0" applyFont="1" applyBorder="1" applyAlignment="1">
      <alignment vertical="center" wrapText="1"/>
    </xf>
    <xf numFmtId="0" fontId="1" fillId="8" borderId="2" xfId="0" applyFont="1" applyFill="1" applyBorder="1"/>
    <xf numFmtId="0" fontId="1" fillId="8" borderId="0" xfId="0" applyFont="1" applyFill="1" applyAlignment="1">
      <alignment horizontal="center"/>
    </xf>
    <xf numFmtId="0" fontId="6" fillId="7" borderId="2" xfId="0" applyFont="1" applyFill="1" applyBorder="1" applyAlignment="1">
      <alignment horizontal="center" vertical="center"/>
    </xf>
    <xf numFmtId="0" fontId="6" fillId="8" borderId="2" xfId="0" applyFont="1" applyFill="1" applyBorder="1" applyAlignment="1">
      <alignment vertical="center" wrapText="1"/>
    </xf>
    <xf numFmtId="0" fontId="7" fillId="7" borderId="0" xfId="0" applyFont="1" applyFill="1" applyAlignment="1">
      <alignment horizontal="center"/>
    </xf>
    <xf numFmtId="0" fontId="6" fillId="6" borderId="0" xfId="0" applyFont="1" applyFill="1" applyAlignment="1">
      <alignment horizontal="center" vertical="center"/>
    </xf>
    <xf numFmtId="0" fontId="6" fillId="6" borderId="2" xfId="0" applyFont="1" applyFill="1" applyBorder="1" applyAlignment="1">
      <alignment horizontal="center" vertical="center"/>
    </xf>
    <xf numFmtId="0" fontId="6" fillId="6" borderId="2" xfId="0" applyFont="1" applyFill="1" applyBorder="1" applyAlignment="1">
      <alignment horizontal="center" vertical="center" wrapText="1"/>
    </xf>
    <xf numFmtId="0" fontId="6" fillId="6" borderId="2" xfId="0" applyFont="1" applyFill="1" applyBorder="1" applyAlignment="1">
      <alignment vertical="center" wrapText="1"/>
    </xf>
    <xf numFmtId="0" fontId="7" fillId="8" borderId="0" xfId="0" applyFont="1" applyFill="1" applyAlignment="1">
      <alignment horizontal="center"/>
    </xf>
    <xf numFmtId="0" fontId="6" fillId="8" borderId="2" xfId="0" applyFont="1" applyFill="1" applyBorder="1" applyAlignment="1">
      <alignment horizontal="center" vertical="center"/>
    </xf>
    <xf numFmtId="0" fontId="6" fillId="8" borderId="2" xfId="0" applyFont="1" applyFill="1" applyBorder="1" applyAlignment="1">
      <alignment horizontal="center" vertical="center" wrapText="1"/>
    </xf>
    <xf numFmtId="0" fontId="6" fillId="0" borderId="2" xfId="0" applyFont="1" applyBorder="1" applyAlignment="1">
      <alignment vertical="center"/>
    </xf>
    <xf numFmtId="0" fontId="6" fillId="6" borderId="2" xfId="0" applyFont="1" applyFill="1" applyBorder="1" applyAlignment="1">
      <alignment vertical="center"/>
    </xf>
    <xf numFmtId="0" fontId="6" fillId="10" borderId="0" xfId="0" applyFont="1" applyFill="1" applyAlignment="1">
      <alignment horizontal="center" vertical="center"/>
    </xf>
    <xf numFmtId="0" fontId="6" fillId="10" borderId="2" xfId="0" applyFont="1" applyFill="1" applyBorder="1" applyAlignment="1">
      <alignment horizontal="center" vertical="center"/>
    </xf>
    <xf numFmtId="0" fontId="6" fillId="10" borderId="2" xfId="0" applyFont="1" applyFill="1" applyBorder="1" applyAlignment="1">
      <alignment horizontal="center" vertical="center" wrapText="1"/>
    </xf>
    <xf numFmtId="0" fontId="6" fillId="10" borderId="2" xfId="0" applyFont="1" applyFill="1" applyBorder="1" applyAlignment="1">
      <alignment vertical="center" wrapText="1"/>
    </xf>
    <xf numFmtId="0" fontId="6" fillId="8" borderId="0" xfId="0" applyFont="1" applyFill="1" applyAlignment="1">
      <alignment horizontal="center"/>
    </xf>
    <xf numFmtId="0" fontId="6" fillId="7" borderId="2" xfId="0" applyFont="1" applyFill="1" applyBorder="1" applyAlignment="1">
      <alignment horizontal="center" vertical="center" wrapText="1"/>
    </xf>
    <xf numFmtId="0" fontId="1" fillId="8" borderId="2" xfId="0" applyFont="1" applyFill="1" applyBorder="1" applyAlignment="1">
      <alignment wrapText="1"/>
    </xf>
    <xf numFmtId="0" fontId="6" fillId="11" borderId="0" xfId="0" applyFont="1" applyFill="1" applyAlignment="1">
      <alignment horizontal="center" vertical="center"/>
    </xf>
    <xf numFmtId="0" fontId="6" fillId="11" borderId="2" xfId="0" applyFont="1" applyFill="1" applyBorder="1" applyAlignment="1">
      <alignment horizontal="center" vertical="center"/>
    </xf>
    <xf numFmtId="0" fontId="6" fillId="11" borderId="2" xfId="0" applyFont="1" applyFill="1" applyBorder="1" applyAlignment="1">
      <alignment horizontal="center" vertical="center" wrapText="1"/>
    </xf>
    <xf numFmtId="0" fontId="6" fillId="11" borderId="2" xfId="0" applyFont="1" applyFill="1" applyBorder="1" applyAlignment="1">
      <alignment vertical="center" wrapText="1"/>
    </xf>
    <xf numFmtId="0" fontId="6" fillId="10" borderId="2" xfId="0" applyFont="1" applyFill="1" applyBorder="1" applyAlignment="1">
      <alignment vertical="center"/>
    </xf>
    <xf numFmtId="0" fontId="6" fillId="0" borderId="2" xfId="0" applyFont="1" applyBorder="1" applyAlignment="1">
      <alignment horizontal="center"/>
    </xf>
    <xf numFmtId="0" fontId="7" fillId="10" borderId="0" xfId="0" applyFont="1" applyFill="1" applyAlignment="1">
      <alignment horizontal="center"/>
    </xf>
    <xf numFmtId="0" fontId="6" fillId="0" borderId="2" xfId="0" applyFont="1" applyBorder="1"/>
    <xf numFmtId="0" fontId="6" fillId="8" borderId="2" xfId="0" applyFont="1" applyFill="1" applyBorder="1" applyAlignment="1">
      <alignment horizontal="left" vertical="center" wrapText="1"/>
    </xf>
    <xf numFmtId="0" fontId="1" fillId="0" borderId="2" xfId="0" applyFont="1" applyBorder="1"/>
    <xf numFmtId="0" fontId="6" fillId="7" borderId="2" xfId="0" applyFont="1" applyFill="1" applyBorder="1" applyAlignment="1">
      <alignment vertical="center" wrapText="1"/>
    </xf>
    <xf numFmtId="0" fontId="6" fillId="8" borderId="2" xfId="0" applyFont="1" applyFill="1" applyBorder="1" applyAlignment="1">
      <alignment horizontal="center"/>
    </xf>
    <xf numFmtId="0" fontId="6" fillId="0" borderId="0" xfId="0" applyFont="1" applyAlignment="1">
      <alignment horizontal="center" vertical="center" wrapText="1"/>
    </xf>
    <xf numFmtId="0" fontId="6" fillId="0" borderId="0" xfId="0" applyFont="1" applyAlignment="1">
      <alignment vertical="center" wrapText="1"/>
    </xf>
    <xf numFmtId="0" fontId="6" fillId="0" borderId="0" xfId="0" applyFont="1"/>
    <xf numFmtId="0" fontId="1" fillId="0" borderId="0" xfId="0" applyFont="1" applyAlignment="1">
      <alignment horizontal="center" vertical="center"/>
    </xf>
    <xf numFmtId="0" fontId="1" fillId="0" borderId="0" xfId="0" applyFont="1" applyAlignment="1">
      <alignment vertical="center"/>
    </xf>
    <xf numFmtId="0" fontId="5" fillId="9" borderId="0" xfId="0" applyFont="1" applyFill="1" applyAlignment="1">
      <alignment horizontal="center"/>
    </xf>
    <xf numFmtId="0" fontId="5" fillId="9" borderId="0" xfId="0" applyFont="1" applyFill="1" applyAlignment="1">
      <alignment horizontal="center" wrapText="1"/>
    </xf>
    <xf numFmtId="0" fontId="6" fillId="9" borderId="0" xfId="0" applyFont="1" applyFill="1"/>
    <xf numFmtId="0" fontId="6" fillId="0" borderId="0" xfId="0" applyFont="1" applyAlignment="1">
      <alignment wrapText="1"/>
    </xf>
    <xf numFmtId="0" fontId="6" fillId="0" borderId="0" xfId="0" applyFont="1" applyAlignment="1">
      <alignment horizontal="center"/>
    </xf>
    <xf numFmtId="0" fontId="6" fillId="0" borderId="0" xfId="0" applyFont="1" applyAlignment="1">
      <alignment horizontal="left"/>
    </xf>
    <xf numFmtId="0" fontId="6" fillId="10" borderId="0" xfId="0" applyFont="1" applyFill="1"/>
    <xf numFmtId="0" fontId="6" fillId="10" borderId="0" xfId="0" applyFont="1" applyFill="1" applyAlignment="1">
      <alignment wrapText="1"/>
    </xf>
    <xf numFmtId="0" fontId="6" fillId="10" borderId="0" xfId="0" applyFont="1" applyFill="1" applyAlignment="1">
      <alignment horizontal="center" wrapText="1"/>
    </xf>
    <xf numFmtId="0" fontId="6" fillId="10" borderId="0" xfId="0" applyFont="1" applyFill="1" applyAlignment="1">
      <alignment horizontal="left"/>
    </xf>
    <xf numFmtId="0" fontId="6" fillId="10" borderId="0" xfId="0" applyFont="1" applyFill="1" applyAlignment="1">
      <alignment horizontal="center"/>
    </xf>
    <xf numFmtId="0" fontId="9" fillId="7" borderId="0" xfId="0" applyFont="1" applyFill="1" applyAlignment="1">
      <alignment horizontal="left"/>
    </xf>
    <xf numFmtId="0" fontId="7" fillId="7" borderId="0" xfId="0" applyFont="1" applyFill="1"/>
    <xf numFmtId="0" fontId="6" fillId="7" borderId="0" xfId="0" applyFont="1" applyFill="1" applyAlignment="1">
      <alignment wrapText="1"/>
    </xf>
    <xf numFmtId="0" fontId="6" fillId="11" borderId="0" xfId="0" applyFont="1" applyFill="1" applyAlignment="1">
      <alignment wrapText="1"/>
    </xf>
    <xf numFmtId="0" fontId="9" fillId="11" borderId="0" xfId="0" applyFont="1" applyFill="1" applyAlignment="1">
      <alignment horizontal="left"/>
    </xf>
    <xf numFmtId="0" fontId="6" fillId="11" borderId="0" xfId="0" applyFont="1" applyFill="1" applyAlignment="1">
      <alignment horizontal="center"/>
    </xf>
    <xf numFmtId="0" fontId="6" fillId="11" borderId="0" xfId="0" applyFont="1" applyFill="1" applyAlignment="1">
      <alignment horizontal="left"/>
    </xf>
    <xf numFmtId="0" fontId="6" fillId="11" borderId="0" xfId="0" applyFont="1" applyFill="1"/>
    <xf numFmtId="0" fontId="6" fillId="7" borderId="0" xfId="0" applyFont="1" applyFill="1" applyAlignment="1">
      <alignment horizontal="center"/>
    </xf>
    <xf numFmtId="0" fontId="6" fillId="8" borderId="0" xfId="0" applyFont="1" applyFill="1"/>
    <xf numFmtId="0" fontId="6" fillId="7" borderId="0" xfId="0" applyFont="1" applyFill="1" applyAlignment="1">
      <alignment horizontal="left"/>
    </xf>
    <xf numFmtId="0" fontId="6" fillId="8" borderId="0" xfId="0" applyFont="1" applyFill="1" applyAlignment="1">
      <alignment wrapText="1"/>
    </xf>
    <xf numFmtId="0" fontId="6" fillId="0" borderId="0" xfId="0" applyFont="1" applyAlignment="1">
      <alignment horizontal="left" wrapText="1"/>
    </xf>
    <xf numFmtId="0" fontId="6" fillId="7" borderId="0" xfId="0" applyFont="1" applyFill="1"/>
    <xf numFmtId="0" fontId="6" fillId="8" borderId="0" xfId="0" applyFont="1" applyFill="1" applyAlignment="1">
      <alignment horizontal="center" wrapText="1"/>
    </xf>
    <xf numFmtId="0" fontId="9" fillId="8" borderId="0" xfId="0" applyFont="1" applyFill="1" applyAlignment="1">
      <alignment horizontal="left" wrapText="1"/>
    </xf>
    <xf numFmtId="0" fontId="9" fillId="7" borderId="0" xfId="0" applyFont="1" applyFill="1" applyAlignment="1">
      <alignment horizontal="left" wrapText="1"/>
    </xf>
    <xf numFmtId="0" fontId="6" fillId="8" borderId="0" xfId="0" applyFont="1" applyFill="1" applyAlignment="1">
      <alignment horizontal="center" vertical="center" wrapText="1"/>
    </xf>
    <xf numFmtId="0" fontId="5" fillId="0" borderId="0" xfId="0" applyFont="1" applyAlignment="1">
      <alignment horizontal="center"/>
    </xf>
    <xf numFmtId="0" fontId="5" fillId="0" borderId="0" xfId="0" applyFont="1" applyAlignment="1">
      <alignment horizontal="center" wrapText="1"/>
    </xf>
    <xf numFmtId="0" fontId="3" fillId="5" borderId="0" xfId="0" applyFont="1" applyFill="1" applyAlignment="1">
      <alignment horizontal="center" wrapText="1"/>
    </xf>
    <xf numFmtId="0" fontId="3" fillId="6" borderId="0" xfId="0" applyFont="1" applyFill="1" applyAlignment="1">
      <alignment horizontal="center" wrapText="1"/>
    </xf>
    <xf numFmtId="0" fontId="1" fillId="8" borderId="0" xfId="0" applyFont="1" applyFill="1"/>
    <xf numFmtId="0" fontId="6" fillId="12" borderId="0" xfId="0" applyFont="1" applyFill="1"/>
    <xf numFmtId="0" fontId="6" fillId="8" borderId="0" xfId="0" applyFont="1" applyFill="1" applyAlignment="1">
      <alignment vertical="center" wrapText="1"/>
    </xf>
    <xf numFmtId="0" fontId="3" fillId="0" borderId="0" xfId="0" applyFont="1" applyAlignment="1">
      <alignment wrapText="1"/>
    </xf>
    <xf numFmtId="0" fontId="4" fillId="8" borderId="0" xfId="0" applyFont="1" applyFill="1" applyAlignment="1">
      <alignment horizontal="center" wrapText="1"/>
    </xf>
    <xf numFmtId="0" fontId="1" fillId="8" borderId="0" xfId="0" applyFont="1" applyFill="1" applyAlignment="1">
      <alignment horizontal="right" wrapText="1"/>
    </xf>
    <xf numFmtId="0" fontId="3" fillId="0" borderId="0" xfId="0" applyFont="1"/>
    <xf numFmtId="0" fontId="1" fillId="13" borderId="0" xfId="0" applyFont="1" applyFill="1" applyAlignment="1">
      <alignment wrapText="1"/>
    </xf>
    <xf numFmtId="0" fontId="1" fillId="13" borderId="0" xfId="0" applyFont="1" applyFill="1"/>
    <xf numFmtId="0" fontId="3" fillId="3" borderId="0" xfId="0" applyFont="1" applyFill="1" applyAlignment="1">
      <alignment horizontal="left" vertical="center" wrapText="1"/>
    </xf>
    <xf numFmtId="0" fontId="3" fillId="4" borderId="0" xfId="0" applyFont="1" applyFill="1" applyAlignment="1">
      <alignment horizontal="left" vertical="center" wrapText="1"/>
    </xf>
    <xf numFmtId="0" fontId="1" fillId="0" borderId="0" xfId="0" applyFont="1" applyAlignment="1">
      <alignment horizontal="left" vertical="center" wrapText="1"/>
    </xf>
    <xf numFmtId="0" fontId="1" fillId="8" borderId="0" xfId="0" applyFont="1" applyFill="1" applyAlignment="1">
      <alignment horizontal="left" vertical="center" wrapText="1"/>
    </xf>
    <xf numFmtId="0" fontId="1" fillId="0" borderId="0" xfId="0" applyFont="1" applyAlignment="1">
      <alignment horizontal="center" vertical="center" wrapText="1"/>
    </xf>
    <xf numFmtId="0" fontId="3" fillId="3" borderId="0" xfId="0" applyFont="1" applyFill="1" applyAlignment="1">
      <alignment horizontal="center" vertical="center" wrapText="1"/>
    </xf>
    <xf numFmtId="0" fontId="3" fillId="4" borderId="0" xfId="0" applyFont="1" applyFill="1" applyAlignment="1">
      <alignment horizontal="center" vertical="center" wrapText="1"/>
    </xf>
    <xf numFmtId="0" fontId="1" fillId="8" borderId="0" xfId="0" applyFont="1" applyFill="1" applyAlignment="1">
      <alignment horizontal="center"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3F3F3"/>
      <rgbColor rgb="FFD0E0E3"/>
      <rgbColor rgb="FF660066"/>
      <rgbColor rgb="FFE06666"/>
      <rgbColor rgb="FF0066CC"/>
      <rgbColor rgb="FFC9DAF8"/>
      <rgbColor rgb="FF000080"/>
      <rgbColor rgb="FFFF00FF"/>
      <rgbColor rgb="FFFFFF00"/>
      <rgbColor rgb="FF00FFFF"/>
      <rgbColor rgb="FF800080"/>
      <rgbColor rgb="FF800000"/>
      <rgbColor rgb="FF008080"/>
      <rgbColor rgb="FF0000FF"/>
      <rgbColor rgb="FF00CCFF"/>
      <rgbColor rgb="FFCCFFFF"/>
      <rgbColor rgb="FFD9EAD3"/>
      <rgbColor rgb="FFFFFF99"/>
      <rgbColor rgb="FF99CCFF"/>
      <rgbColor rgb="FFF6B26B"/>
      <rgbColor rgb="FFCC99FF"/>
      <rgbColor rgb="FFFFE599"/>
      <rgbColor rgb="FF3366FF"/>
      <rgbColor rgb="FF33CCCC"/>
      <rgbColor rgb="FF99CC00"/>
      <rgbColor rgb="FFFFCC00"/>
      <rgbColor rgb="FFFF9900"/>
      <rgbColor rgb="FFFF6600"/>
      <rgbColor rgb="FF666699"/>
      <rgbColor rgb="FF8093B3"/>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J2:AG2" headerRowCount="0" totalsRowShown="0">
  <tableColumns count="24">
    <tableColumn id="1" xr3:uid="{00000000-0010-0000-0000-000001000000}" name="Column1"/>
    <tableColumn id="2" xr3:uid="{00000000-0010-0000-0000-000002000000}" name="Column2"/>
    <tableColumn id="3" xr3:uid="{00000000-0010-0000-0000-000003000000}" name="Column3"/>
    <tableColumn id="4" xr3:uid="{00000000-0010-0000-0000-000004000000}" name="Column4"/>
    <tableColumn id="5" xr3:uid="{00000000-0010-0000-0000-000005000000}" name="Column5"/>
    <tableColumn id="6" xr3:uid="{00000000-0010-0000-0000-000006000000}" name="Column6"/>
    <tableColumn id="7" xr3:uid="{00000000-0010-0000-0000-000007000000}" name="Column7"/>
    <tableColumn id="8" xr3:uid="{00000000-0010-0000-0000-000008000000}" name="Column8"/>
    <tableColumn id="9" xr3:uid="{00000000-0010-0000-0000-000009000000}" name="Column9"/>
    <tableColumn id="10" xr3:uid="{00000000-0010-0000-0000-00000A000000}" name="Column10"/>
    <tableColumn id="11" xr3:uid="{00000000-0010-0000-0000-00000B000000}" name="Column11"/>
    <tableColumn id="12" xr3:uid="{00000000-0010-0000-0000-00000C000000}" name="Column12"/>
    <tableColumn id="13" xr3:uid="{00000000-0010-0000-0000-00000D000000}" name="Column13"/>
    <tableColumn id="14" xr3:uid="{00000000-0010-0000-0000-00000E000000}" name="Column14"/>
    <tableColumn id="15" xr3:uid="{00000000-0010-0000-0000-00000F000000}" name="Column15"/>
    <tableColumn id="16" xr3:uid="{00000000-0010-0000-0000-000010000000}" name="Column16"/>
    <tableColumn id="17" xr3:uid="{00000000-0010-0000-0000-000011000000}" name="Column17"/>
    <tableColumn id="18" xr3:uid="{00000000-0010-0000-0000-000012000000}" name="Column18"/>
    <tableColumn id="19" xr3:uid="{00000000-0010-0000-0000-000013000000}" name="Column19"/>
    <tableColumn id="20" xr3:uid="{00000000-0010-0000-0000-000014000000}" name="Column20"/>
    <tableColumn id="21" xr3:uid="{00000000-0010-0000-0000-000015000000}" name="Column21"/>
    <tableColumn id="22" xr3:uid="{00000000-0010-0000-0000-000016000000}" name="Column22"/>
    <tableColumn id="23" xr3:uid="{00000000-0010-0000-0000-000017000000}" name="Column23"/>
    <tableColumn id="24" xr3:uid="{00000000-0010-0000-0000-000018000000}" name="Column24"/>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1000000}" name="Table_2" displayName="Table_2" ref="J2:AG2" headerRowCount="0" totalsRowShown="0">
  <tableColumns count="24">
    <tableColumn id="1" xr3:uid="{00000000-0010-0000-0100-000001000000}" name="Column1"/>
    <tableColumn id="2" xr3:uid="{00000000-0010-0000-0100-000002000000}" name="Column2"/>
    <tableColumn id="3" xr3:uid="{00000000-0010-0000-0100-000003000000}" name="Column3"/>
    <tableColumn id="4" xr3:uid="{00000000-0010-0000-0100-000004000000}" name="Column4"/>
    <tableColumn id="5" xr3:uid="{00000000-0010-0000-0100-000005000000}" name="Column5"/>
    <tableColumn id="6" xr3:uid="{00000000-0010-0000-0100-000006000000}" name="Column6"/>
    <tableColumn id="7" xr3:uid="{00000000-0010-0000-0100-000007000000}" name="Column7"/>
    <tableColumn id="8" xr3:uid="{00000000-0010-0000-0100-000008000000}" name="Column8"/>
    <tableColumn id="9" xr3:uid="{00000000-0010-0000-0100-000009000000}" name="Column9"/>
    <tableColumn id="10" xr3:uid="{00000000-0010-0000-0100-00000A000000}" name="Column10"/>
    <tableColumn id="11" xr3:uid="{00000000-0010-0000-0100-00000B000000}" name="Column11"/>
    <tableColumn id="12" xr3:uid="{00000000-0010-0000-0100-00000C000000}" name="Column12"/>
    <tableColumn id="13" xr3:uid="{00000000-0010-0000-0100-00000D000000}" name="Column13"/>
    <tableColumn id="14" xr3:uid="{00000000-0010-0000-0100-00000E000000}" name="Column14"/>
    <tableColumn id="15" xr3:uid="{00000000-0010-0000-0100-00000F000000}" name="Column15"/>
    <tableColumn id="16" xr3:uid="{00000000-0010-0000-0100-000010000000}" name="Column16"/>
    <tableColumn id="17" xr3:uid="{00000000-0010-0000-0100-000011000000}" name="Column17"/>
    <tableColumn id="18" xr3:uid="{00000000-0010-0000-0100-000012000000}" name="Column18"/>
    <tableColumn id="19" xr3:uid="{00000000-0010-0000-0100-000013000000}" name="Column19"/>
    <tableColumn id="20" xr3:uid="{00000000-0010-0000-0100-000014000000}" name="Column20"/>
    <tableColumn id="21" xr3:uid="{00000000-0010-0000-0100-000015000000}" name="Column21"/>
    <tableColumn id="22" xr3:uid="{00000000-0010-0000-0100-000016000000}" name="Column22"/>
    <tableColumn id="23" xr3:uid="{00000000-0010-0000-0100-000017000000}" name="Column23"/>
    <tableColumn id="24" xr3:uid="{00000000-0010-0000-0100-000018000000}" name="Column24"/>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00000000-000C-0000-FFFF-FFFF02000000}" name="Table_3" displayName="Table_3" ref="J2:AG2" headerRowCount="0" totalsRowShown="0">
  <tableColumns count="24">
    <tableColumn id="1" xr3:uid="{00000000-0010-0000-0200-000001000000}" name="Column1"/>
    <tableColumn id="2" xr3:uid="{00000000-0010-0000-0200-000002000000}" name="Column2"/>
    <tableColumn id="3" xr3:uid="{00000000-0010-0000-0200-000003000000}" name="Column3"/>
    <tableColumn id="4" xr3:uid="{00000000-0010-0000-0200-000004000000}" name="Column4"/>
    <tableColumn id="5" xr3:uid="{00000000-0010-0000-0200-000005000000}" name="Column5"/>
    <tableColumn id="6" xr3:uid="{00000000-0010-0000-0200-000006000000}" name="Column6"/>
    <tableColumn id="7" xr3:uid="{00000000-0010-0000-0200-000007000000}" name="Column7"/>
    <tableColumn id="8" xr3:uid="{00000000-0010-0000-0200-000008000000}" name="Column8"/>
    <tableColumn id="9" xr3:uid="{00000000-0010-0000-0200-000009000000}" name="Column9"/>
    <tableColumn id="10" xr3:uid="{00000000-0010-0000-0200-00000A000000}" name="Column10"/>
    <tableColumn id="11" xr3:uid="{00000000-0010-0000-0200-00000B000000}" name="Column11"/>
    <tableColumn id="12" xr3:uid="{00000000-0010-0000-0200-00000C000000}" name="Column12"/>
    <tableColumn id="13" xr3:uid="{00000000-0010-0000-0200-00000D000000}" name="Column13"/>
    <tableColumn id="14" xr3:uid="{00000000-0010-0000-0200-00000E000000}" name="Column14"/>
    <tableColumn id="15" xr3:uid="{00000000-0010-0000-0200-00000F000000}" name="Column15"/>
    <tableColumn id="16" xr3:uid="{00000000-0010-0000-0200-000010000000}" name="Column16"/>
    <tableColumn id="17" xr3:uid="{00000000-0010-0000-0200-000011000000}" name="Column17"/>
    <tableColumn id="18" xr3:uid="{00000000-0010-0000-0200-000012000000}" name="Column18"/>
    <tableColumn id="19" xr3:uid="{00000000-0010-0000-0200-000013000000}" name="Column19"/>
    <tableColumn id="20" xr3:uid="{00000000-0010-0000-0200-000014000000}" name="Column20"/>
    <tableColumn id="21" xr3:uid="{00000000-0010-0000-0200-000015000000}" name="Column21"/>
    <tableColumn id="22" xr3:uid="{00000000-0010-0000-0200-000016000000}" name="Column22"/>
    <tableColumn id="23" xr3:uid="{00000000-0010-0000-0200-000017000000}" name="Column23"/>
    <tableColumn id="24" xr3:uid="{00000000-0010-0000-0200-000018000000}" name="Column24"/>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3000000}" name="Table_10" displayName="Table_10" ref="G251:H251" headerRowCount="0" totalsRowShown="0">
  <tableColumns count="2">
    <tableColumn id="1" xr3:uid="{00000000-0010-0000-0300-000001000000}" name="Column1"/>
    <tableColumn id="2" xr3:uid="{00000000-0010-0000-0300-000002000000}" name="Column2"/>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4000000}" name="Table_11" displayName="Table_11" ref="G272:H272" headerRowCount="0" totalsRowShown="0">
  <tableColumns count="2">
    <tableColumn id="1" xr3:uid="{00000000-0010-0000-0400-000001000000}" name="Column1"/>
    <tableColumn id="2" xr3:uid="{00000000-0010-0000-0400-000002000000}" name="Column2"/>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5000000}" name="Table_12" displayName="Table_12" ref="G273:H273" headerRowCount="0" totalsRowShown="0">
  <tableColumns count="2">
    <tableColumn id="1" xr3:uid="{00000000-0010-0000-0500-000001000000}" name="Column1"/>
    <tableColumn id="2" xr3:uid="{00000000-0010-0000-0500-000002000000}" name="Column2"/>
  </tableColumns>
  <tableStyleInfo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6000000}" name="Table_13" displayName="Table_13" ref="G274:J275" headerRowCount="0" totalsRowShown="0">
  <tableColumns count="4">
    <tableColumn id="1" xr3:uid="{00000000-0010-0000-0600-000001000000}" name="Column1"/>
    <tableColumn id="2" xr3:uid="{00000000-0010-0000-0600-000002000000}" name="Column2"/>
    <tableColumn id="3" xr3:uid="{00000000-0010-0000-0600-000003000000}" name="Column3"/>
    <tableColumn id="4" xr3:uid="{00000000-0010-0000-0600-000004000000}" name="Column4"/>
  </tableColumns>
  <tableStyleInfo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7000000}" name="Table_14" displayName="Table_14" ref="G276:J276" headerRowCount="0" totalsRowShown="0">
  <tableColumns count="4">
    <tableColumn id="1" xr3:uid="{00000000-0010-0000-0700-000001000000}" name="Column1"/>
    <tableColumn id="2" xr3:uid="{00000000-0010-0000-0700-000002000000}" name="Column2"/>
    <tableColumn id="3" xr3:uid="{00000000-0010-0000-0700-000003000000}" name="Column3"/>
    <tableColumn id="4" xr3:uid="{00000000-0010-0000-0700-000004000000}" name="Column4"/>
  </tableColumns>
  <tableStyleInfo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8000000}" name="Table_15" displayName="Table_15" ref="G277:H277" headerRowCount="0" totalsRowShown="0">
  <tableColumns count="2">
    <tableColumn id="1" xr3:uid="{00000000-0010-0000-0800-000001000000}" name="Column1"/>
    <tableColumn id="2" xr3:uid="{00000000-0010-0000-0800-000002000000}" name="Column2"/>
  </tableColumns>
  <tableStyleInfo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9000000}" name="Table_16" displayName="Table_16" ref="G278:H278" headerRowCount="0" totalsRowShown="0">
  <tableColumns count="2">
    <tableColumn id="1" xr3:uid="{00000000-0010-0000-0900-000001000000}" name="Column1"/>
    <tableColumn id="2" xr3:uid="{00000000-0010-0000-0900-000002000000}" name="Column2"/>
  </tableColumns>
  <tableStyleInfo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A000000}" name="Table_17" displayName="Table_17" ref="G279:H279" headerRowCount="0" totalsRowShown="0">
  <tableColumns count="2">
    <tableColumn id="1" xr3:uid="{00000000-0010-0000-0A00-000001000000}" name="Column1"/>
    <tableColumn id="2" xr3:uid="{00000000-0010-0000-0A00-000002000000}" name="Column2"/>
  </tableColumns>
  <tableStyleInfo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B000000}" name="Table_18" displayName="Table_18" ref="G280:H283" headerRowCount="0" totalsRowShown="0">
  <tableColumns count="2">
    <tableColumn id="1" xr3:uid="{00000000-0010-0000-0B00-000001000000}" name="Column1"/>
    <tableColumn id="2" xr3:uid="{00000000-0010-0000-0B00-000002000000}" name="Column2"/>
  </tableColumns>
  <tableStyleInfo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C000000}" name="Table_19" displayName="Table_19" ref="G284:H286" headerRowCount="0" totalsRowShown="0">
  <tableColumns count="2">
    <tableColumn id="1" xr3:uid="{00000000-0010-0000-0C00-000001000000}" name="Column1"/>
    <tableColumn id="2" xr3:uid="{00000000-0010-0000-0C00-000002000000}" name="Column2"/>
  </tableColumns>
  <tableStyleInfo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D000000}" name="Table_20" displayName="Table_20" ref="G291:H291" headerRowCount="0" totalsRowShown="0">
  <tableColumns count="2">
    <tableColumn id="1" xr3:uid="{00000000-0010-0000-0D00-000001000000}" name="Column1"/>
    <tableColumn id="2" xr3:uid="{00000000-0010-0000-0D00-000002000000}" name="Column2"/>
  </tableColumns>
  <tableStyleInfo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00000000-000C-0000-FFFF-FFFF0E000000}" name="Table_4" displayName="Table_4" ref="J2:AG2" headerRowCount="0" totalsRowShown="0">
  <tableColumns count="24">
    <tableColumn id="1" xr3:uid="{00000000-0010-0000-0E00-000001000000}" name="Column1"/>
    <tableColumn id="2" xr3:uid="{00000000-0010-0000-0E00-000002000000}" name="Column2"/>
    <tableColumn id="3" xr3:uid="{00000000-0010-0000-0E00-000003000000}" name="Column3"/>
    <tableColumn id="4" xr3:uid="{00000000-0010-0000-0E00-000004000000}" name="Column4"/>
    <tableColumn id="5" xr3:uid="{00000000-0010-0000-0E00-000005000000}" name="Column5"/>
    <tableColumn id="6" xr3:uid="{00000000-0010-0000-0E00-000006000000}" name="Column6"/>
    <tableColumn id="7" xr3:uid="{00000000-0010-0000-0E00-000007000000}" name="Column7"/>
    <tableColumn id="8" xr3:uid="{00000000-0010-0000-0E00-000008000000}" name="Column8"/>
    <tableColumn id="9" xr3:uid="{00000000-0010-0000-0E00-000009000000}" name="Column9"/>
    <tableColumn id="10" xr3:uid="{00000000-0010-0000-0E00-00000A000000}" name="Column10"/>
    <tableColumn id="11" xr3:uid="{00000000-0010-0000-0E00-00000B000000}" name="Column11"/>
    <tableColumn id="12" xr3:uid="{00000000-0010-0000-0E00-00000C000000}" name="Column12"/>
    <tableColumn id="13" xr3:uid="{00000000-0010-0000-0E00-00000D000000}" name="Column13"/>
    <tableColumn id="14" xr3:uid="{00000000-0010-0000-0E00-00000E000000}" name="Column14"/>
    <tableColumn id="15" xr3:uid="{00000000-0010-0000-0E00-00000F000000}" name="Column15"/>
    <tableColumn id="16" xr3:uid="{00000000-0010-0000-0E00-000010000000}" name="Column16"/>
    <tableColumn id="17" xr3:uid="{00000000-0010-0000-0E00-000011000000}" name="Column17"/>
    <tableColumn id="18" xr3:uid="{00000000-0010-0000-0E00-000012000000}" name="Column18"/>
    <tableColumn id="19" xr3:uid="{00000000-0010-0000-0E00-000013000000}" name="Column19"/>
    <tableColumn id="20" xr3:uid="{00000000-0010-0000-0E00-000014000000}" name="Column20"/>
    <tableColumn id="21" xr3:uid="{00000000-0010-0000-0E00-000015000000}" name="Column21"/>
    <tableColumn id="22" xr3:uid="{00000000-0010-0000-0E00-000016000000}" name="Column22"/>
    <tableColumn id="23" xr3:uid="{00000000-0010-0000-0E00-000017000000}" name="Column23"/>
    <tableColumn id="24" xr3:uid="{00000000-0010-0000-0E00-000018000000}" name="Column24"/>
  </tableColumns>
  <tableStyleInfo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00000000-000C-0000-FFFF-FFFF0F000000}" name="Table_5" displayName="Table_5" ref="G30:J30" headerRowCount="0" totalsRowShown="0">
  <tableColumns count="4">
    <tableColumn id="1" xr3:uid="{00000000-0010-0000-0F00-000001000000}" name="Column1"/>
    <tableColumn id="2" xr3:uid="{00000000-0010-0000-0F00-000002000000}" name="Column2"/>
    <tableColumn id="3" xr3:uid="{00000000-0010-0000-0F00-000003000000}" name="Column3"/>
    <tableColumn id="4" xr3:uid="{00000000-0010-0000-0F00-000004000000}" name="Column4"/>
  </tableColumns>
  <tableStyleInfo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6" xr:uid="{00000000-000C-0000-FFFF-FFFF10000000}" name="Table_6" displayName="Table_6" ref="G34:J34" headerRowCount="0" totalsRowShown="0">
  <tableColumns count="4">
    <tableColumn id="1" xr3:uid="{00000000-0010-0000-1000-000001000000}" name="Column1"/>
    <tableColumn id="2" xr3:uid="{00000000-0010-0000-1000-000002000000}" name="Column2"/>
    <tableColumn id="3" xr3:uid="{00000000-0010-0000-1000-000003000000}" name="Column3"/>
    <tableColumn id="4" xr3:uid="{00000000-0010-0000-1000-000004000000}" name="Column4"/>
  </tableColumns>
  <tableStyleInfo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7" xr:uid="{00000000-000C-0000-FFFF-FFFF11000000}" name="Table_7" displayName="Table_7" ref="G76" headerRowCount="0" totalsRowShown="0">
  <tableColumns count="1">
    <tableColumn id="1" xr3:uid="{00000000-0010-0000-1100-000001000000}" name="Column1"/>
  </tableColumns>
  <tableStyleInfo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8" xr:uid="{00000000-000C-0000-FFFF-FFFF12000000}" name="Table_8" displayName="Table_8" ref="I166:J168" headerRowCount="0" totalsRowShown="0">
  <tableColumns count="2">
    <tableColumn id="1" xr3:uid="{00000000-0010-0000-1200-000001000000}" name="Column1"/>
    <tableColumn id="2" xr3:uid="{00000000-0010-0000-1200-000002000000}" name="Column2"/>
  </tableColumns>
  <tableStyleInfo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9" xr:uid="{00000000-000C-0000-FFFF-FFFF13000000}" name="Table_9" displayName="Table_9" ref="G198:H199" headerRowCount="0" totalsRowShown="0">
  <tableColumns count="2">
    <tableColumn id="1" xr3:uid="{00000000-0010-0000-1300-000001000000}" name="Column1"/>
    <tableColumn id="2" xr3:uid="{00000000-0010-0000-1300-000002000000}" name="Column2"/>
  </tableColumns>
  <tableStyleInfo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14000000}" name="Table_21" displayName="Table_21" ref="J2:AG2" headerRowCount="0" totalsRowShown="0">
  <tableColumns count="24">
    <tableColumn id="1" xr3:uid="{00000000-0010-0000-1400-000001000000}" name="Column1"/>
    <tableColumn id="2" xr3:uid="{00000000-0010-0000-1400-000002000000}" name="Column2"/>
    <tableColumn id="3" xr3:uid="{00000000-0010-0000-1400-000003000000}" name="Column3"/>
    <tableColumn id="4" xr3:uid="{00000000-0010-0000-1400-000004000000}" name="Column4"/>
    <tableColumn id="5" xr3:uid="{00000000-0010-0000-1400-000005000000}" name="Column5"/>
    <tableColumn id="6" xr3:uid="{00000000-0010-0000-1400-000006000000}" name="Column6"/>
    <tableColumn id="7" xr3:uid="{00000000-0010-0000-1400-000007000000}" name="Column7"/>
    <tableColumn id="8" xr3:uid="{00000000-0010-0000-1400-000008000000}" name="Column8"/>
    <tableColumn id="9" xr3:uid="{00000000-0010-0000-1400-000009000000}" name="Column9"/>
    <tableColumn id="10" xr3:uid="{00000000-0010-0000-1400-00000A000000}" name="Column10"/>
    <tableColumn id="11" xr3:uid="{00000000-0010-0000-1400-00000B000000}" name="Column11"/>
    <tableColumn id="12" xr3:uid="{00000000-0010-0000-1400-00000C000000}" name="Column12"/>
    <tableColumn id="13" xr3:uid="{00000000-0010-0000-1400-00000D000000}" name="Column13"/>
    <tableColumn id="14" xr3:uid="{00000000-0010-0000-1400-00000E000000}" name="Column14"/>
    <tableColumn id="15" xr3:uid="{00000000-0010-0000-1400-00000F000000}" name="Column15"/>
    <tableColumn id="16" xr3:uid="{00000000-0010-0000-1400-000010000000}" name="Column16"/>
    <tableColumn id="17" xr3:uid="{00000000-0010-0000-1400-000011000000}" name="Column17"/>
    <tableColumn id="18" xr3:uid="{00000000-0010-0000-1400-000012000000}" name="Column18"/>
    <tableColumn id="19" xr3:uid="{00000000-0010-0000-1400-000013000000}" name="Column19"/>
    <tableColumn id="20" xr3:uid="{00000000-0010-0000-1400-000014000000}" name="Column20"/>
    <tableColumn id="21" xr3:uid="{00000000-0010-0000-1400-000015000000}" name="Column21"/>
    <tableColumn id="22" xr3:uid="{00000000-0010-0000-1400-000016000000}" name="Column22"/>
    <tableColumn id="23" xr3:uid="{00000000-0010-0000-1400-000017000000}" name="Column23"/>
    <tableColumn id="24" xr3:uid="{00000000-0010-0000-1400-000018000000}" name="Column24"/>
  </tableColumns>
  <tableStyleInfo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15000000}" name="Table_22" displayName="Table_22" ref="G26:G45" headerRowCount="0" totalsRowShown="0">
  <tableColumns count="1">
    <tableColumn id="1" xr3:uid="{00000000-0010-0000-1500-000001000000}" name="Column1"/>
  </tableColumns>
  <tableStyleInfo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16000000}" name="Table_23" displayName="Table_23" ref="J112:K115" headerRowCount="0" totalsRowShown="0">
  <tableColumns count="2">
    <tableColumn id="1" xr3:uid="{00000000-0010-0000-1600-000001000000}" name="Column1"/>
    <tableColumn id="2" xr3:uid="{00000000-0010-0000-1600-000002000000}" name="Column2"/>
  </tableColumns>
  <tableStyleInfo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17000000}" name="Table_24" displayName="Table_24" ref="G162:H162" headerRowCount="0" totalsRowShown="0">
  <tableColumns count="2">
    <tableColumn id="1" xr3:uid="{00000000-0010-0000-1700-000001000000}" name="Column1"/>
    <tableColumn id="2" xr3:uid="{00000000-0010-0000-1700-000002000000}" name="Column2"/>
  </tableColumns>
  <tableStyleInfo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0000000-000C-0000-FFFF-FFFF18000000}" name="Table_25" displayName="Table_25" ref="J170:K170" headerRowCount="0" totalsRowShown="0">
  <tableColumns count="2">
    <tableColumn id="1" xr3:uid="{00000000-0010-0000-1800-000001000000}" name="Column1"/>
    <tableColumn id="2" xr3:uid="{00000000-0010-0000-1800-000002000000}" name="Column2"/>
  </tableColumns>
  <tableStyleInfo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000000-000C-0000-FFFF-FFFF19000000}" name="Table_26" displayName="Table_26" ref="J171:M175" headerRowCount="0" totalsRowShown="0">
  <tableColumns count="4">
    <tableColumn id="1" xr3:uid="{00000000-0010-0000-1900-000001000000}" name="Column1"/>
    <tableColumn id="2" xr3:uid="{00000000-0010-0000-1900-000002000000}" name="Column2"/>
    <tableColumn id="3" xr3:uid="{00000000-0010-0000-1900-000003000000}" name="Column3"/>
    <tableColumn id="4" xr3:uid="{00000000-0010-0000-1900-000004000000}" name="Column4"/>
  </tableColumns>
  <tableStyleInfo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0000000-000C-0000-FFFF-FFFF1A000000}" name="Table_27" displayName="Table_27" ref="G179:H179" headerRowCount="0" totalsRowShown="0">
  <tableColumns count="2">
    <tableColumn id="1" xr3:uid="{00000000-0010-0000-1A00-000001000000}" name="Column1"/>
    <tableColumn id="2" xr3:uid="{00000000-0010-0000-1A00-000002000000}" name="Column2"/>
  </tableColumns>
  <tableStyleInfo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0000000-000C-0000-FFFF-FFFF1B000000}" name="Table_28" displayName="Table_28" ref="F181:I191" headerRowCount="0" totalsRowShown="0">
  <tableColumns count="4">
    <tableColumn id="1" xr3:uid="{00000000-0010-0000-1B00-000001000000}" name="Column1"/>
    <tableColumn id="2" xr3:uid="{00000000-0010-0000-1B00-000002000000}" name="Column2"/>
    <tableColumn id="3" xr3:uid="{00000000-0010-0000-1B00-000003000000}" name="Column3"/>
    <tableColumn id="4" xr3:uid="{00000000-0010-0000-1B00-000004000000}" name="Column4"/>
  </tableColumns>
  <tableStyleInfo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00000000-000C-0000-FFFF-FFFF1C000000}" name="Table_29" displayName="Table_29" ref="J2:AG2" headerRowCount="0" totalsRowShown="0">
  <tableColumns count="24">
    <tableColumn id="1" xr3:uid="{00000000-0010-0000-1C00-000001000000}" name="Column1"/>
    <tableColumn id="2" xr3:uid="{00000000-0010-0000-1C00-000002000000}" name="Column2"/>
    <tableColumn id="3" xr3:uid="{00000000-0010-0000-1C00-000003000000}" name="Column3"/>
    <tableColumn id="4" xr3:uid="{00000000-0010-0000-1C00-000004000000}" name="Column4"/>
    <tableColumn id="5" xr3:uid="{00000000-0010-0000-1C00-000005000000}" name="Column5"/>
    <tableColumn id="6" xr3:uid="{00000000-0010-0000-1C00-000006000000}" name="Column6"/>
    <tableColumn id="7" xr3:uid="{00000000-0010-0000-1C00-000007000000}" name="Column7"/>
    <tableColumn id="8" xr3:uid="{00000000-0010-0000-1C00-000008000000}" name="Column8"/>
    <tableColumn id="9" xr3:uid="{00000000-0010-0000-1C00-000009000000}" name="Column9"/>
    <tableColumn id="10" xr3:uid="{00000000-0010-0000-1C00-00000A000000}" name="Column10"/>
    <tableColumn id="11" xr3:uid="{00000000-0010-0000-1C00-00000B000000}" name="Column11"/>
    <tableColumn id="12" xr3:uid="{00000000-0010-0000-1C00-00000C000000}" name="Column12"/>
    <tableColumn id="13" xr3:uid="{00000000-0010-0000-1C00-00000D000000}" name="Column13"/>
    <tableColumn id="14" xr3:uid="{00000000-0010-0000-1C00-00000E000000}" name="Column14"/>
    <tableColumn id="15" xr3:uid="{00000000-0010-0000-1C00-00000F000000}" name="Column15"/>
    <tableColumn id="16" xr3:uid="{00000000-0010-0000-1C00-000010000000}" name="Column16"/>
    <tableColumn id="17" xr3:uid="{00000000-0010-0000-1C00-000011000000}" name="Column17"/>
    <tableColumn id="18" xr3:uid="{00000000-0010-0000-1C00-000012000000}" name="Column18"/>
    <tableColumn id="19" xr3:uid="{00000000-0010-0000-1C00-000013000000}" name="Column19"/>
    <tableColumn id="20" xr3:uid="{00000000-0010-0000-1C00-000014000000}" name="Column20"/>
    <tableColumn id="21" xr3:uid="{00000000-0010-0000-1C00-000015000000}" name="Column21"/>
    <tableColumn id="22" xr3:uid="{00000000-0010-0000-1C00-000016000000}" name="Column22"/>
    <tableColumn id="23" xr3:uid="{00000000-0010-0000-1C00-000017000000}" name="Column23"/>
    <tableColumn id="24" xr3:uid="{00000000-0010-0000-1C00-000018000000}" name="Column24"/>
  </tableColumns>
  <tableStyleInfo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00000000-000C-0000-FFFF-FFFF1D000000}" name="Table_30" displayName="Table_30" ref="G45:H46" headerRowCount="0" totalsRowShown="0">
  <tableColumns count="2">
    <tableColumn id="1" xr3:uid="{00000000-0010-0000-1D00-000001000000}" name="Column1"/>
    <tableColumn id="2" xr3:uid="{00000000-0010-0000-1D00-000002000000}" name="Column2"/>
  </tableColumns>
  <tableStyleInfo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00000000-000C-0000-FFFF-FFFF1E000000}" name="Table_31" displayName="Table_31" ref="G49:H51" headerRowCount="0" totalsRowShown="0">
  <tableColumns count="2">
    <tableColumn id="1" xr3:uid="{00000000-0010-0000-1E00-000001000000}" name="Column1"/>
    <tableColumn id="2" xr3:uid="{00000000-0010-0000-1E00-000002000000}" name="Column2"/>
  </tableColumns>
  <tableStyleInfo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00000000-000C-0000-FFFF-FFFF1F000000}" name="Table_32" displayName="Table_32" ref="I49:J49" headerRowCount="0" totalsRowShown="0">
  <tableColumns count="2">
    <tableColumn id="1" xr3:uid="{00000000-0010-0000-1F00-000001000000}" name="Column1"/>
    <tableColumn id="2" xr3:uid="{00000000-0010-0000-1F00-000002000000}" name="Column2"/>
  </tableColumns>
  <tableStyleInfo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00000000-000C-0000-FFFF-FFFF20000000}" name="Table_33" displayName="Table_33" ref="G52:H52" headerRowCount="0" totalsRowShown="0">
  <tableColumns count="2">
    <tableColumn id="1" xr3:uid="{00000000-0010-0000-2000-000001000000}" name="Column1"/>
    <tableColumn id="2" xr3:uid="{00000000-0010-0000-2000-000002000000}" name="Column2"/>
  </tableColumns>
  <tableStyleInfo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00000000-000C-0000-FFFF-FFFF21000000}" name="Table_34" displayName="Table_34" ref="G54:H58" headerRowCount="0" totalsRowShown="0">
  <tableColumns count="2">
    <tableColumn id="1" xr3:uid="{00000000-0010-0000-2100-000001000000}" name="Column1"/>
    <tableColumn id="2" xr3:uid="{00000000-0010-0000-2100-000002000000}" name="Column2"/>
  </tableColumns>
  <tableStyleInfo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00000000-000C-0000-FFFF-FFFF22000000}" name="Table_35" displayName="Table_35" ref="G71:H74" headerRowCount="0" totalsRowShown="0">
  <tableColumns count="2">
    <tableColumn id="1" xr3:uid="{00000000-0010-0000-2200-000001000000}" name="Column1"/>
    <tableColumn id="2" xr3:uid="{00000000-0010-0000-2200-000002000000}" name="Column2"/>
  </tableColumns>
  <tableStyleInfo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00000000-000C-0000-FFFF-FFFF23000000}" name="Table_36" displayName="Table_36" ref="G128:H129" headerRowCount="0" totalsRowShown="0">
  <tableColumns count="2">
    <tableColumn id="1" xr3:uid="{00000000-0010-0000-2300-000001000000}" name="Column1"/>
    <tableColumn id="2" xr3:uid="{00000000-0010-0000-2300-000002000000}" name="Column2"/>
  </tableColumns>
  <tableStyleInfo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00000000-000C-0000-FFFF-FFFF24000000}" name="Table_37" displayName="Table_37" ref="G130:J131" headerRowCount="0" totalsRowShown="0">
  <tableColumns count="4">
    <tableColumn id="1" xr3:uid="{00000000-0010-0000-2400-000001000000}" name="Column1"/>
    <tableColumn id="2" xr3:uid="{00000000-0010-0000-2400-000002000000}" name="Column2"/>
    <tableColumn id="3" xr3:uid="{00000000-0010-0000-2400-000003000000}" name="Column3"/>
    <tableColumn id="4" xr3:uid="{00000000-0010-0000-2400-000004000000}" name="Column4"/>
  </tableColumns>
  <tableStyleInfo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00000000-000C-0000-FFFF-FFFF25000000}" name="Table_38" displayName="Table_38" ref="G132:H132" headerRowCount="0" totalsRowShown="0">
  <tableColumns count="2">
    <tableColumn id="1" xr3:uid="{00000000-0010-0000-2500-000001000000}" name="Column1"/>
    <tableColumn id="2" xr3:uid="{00000000-0010-0000-2500-000002000000}" name="Column2"/>
  </tableColumns>
  <tableStyleInfo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00000000-000C-0000-FFFF-FFFF26000000}" name="Table_39" displayName="Table_39" ref="G133:H133" headerRowCount="0" totalsRowShown="0">
  <tableColumns count="2">
    <tableColumn id="1" xr3:uid="{00000000-0010-0000-2600-000001000000}" name="Column1"/>
    <tableColumn id="2" xr3:uid="{00000000-0010-0000-2600-000002000000}" name="Column2"/>
  </tableColumns>
  <tableStyleInfo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00000000-000C-0000-FFFF-FFFF27000000}" name="Table_40" displayName="Table_40" ref="G134:H134" headerRowCount="0" totalsRowShown="0">
  <tableColumns count="2">
    <tableColumn id="1" xr3:uid="{00000000-0010-0000-2700-000001000000}" name="Column1"/>
    <tableColumn id="2" xr3:uid="{00000000-0010-0000-2700-000002000000}" name="Column2"/>
  </tableColumns>
  <tableStyleInfo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00000000-000C-0000-FFFF-FFFF28000000}" name="Table_41" displayName="Table_41" ref="G135:H139" headerRowCount="0" totalsRowShown="0">
  <tableColumns count="2">
    <tableColumn id="1" xr3:uid="{00000000-0010-0000-2800-000001000000}" name="Column1"/>
    <tableColumn id="2" xr3:uid="{00000000-0010-0000-2800-000002000000}" name="Column2"/>
  </tableColumns>
  <tableStyleInfo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00000000-000C-0000-FFFF-FFFF29000000}" name="Table_42" displayName="Table_42" ref="G143:J158" headerRowCount="0" totalsRowShown="0">
  <tableColumns count="4">
    <tableColumn id="1" xr3:uid="{00000000-0010-0000-2900-000001000000}" name="Column1"/>
    <tableColumn id="2" xr3:uid="{00000000-0010-0000-2900-000002000000}" name="Column2"/>
    <tableColumn id="3" xr3:uid="{00000000-0010-0000-2900-000003000000}" name="Column3"/>
    <tableColumn id="4" xr3:uid="{00000000-0010-0000-2900-000004000000}" name="Column4"/>
  </tableColumns>
  <tableStyleInfo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00000000-000C-0000-FFFF-FFFF2A000000}" name="Table_43" displayName="Table_43" ref="F158" headerRowCount="0" totalsRowShown="0">
  <tableColumns count="1">
    <tableColumn id="1" xr3:uid="{00000000-0010-0000-2A00-000001000000}" name="Column1"/>
  </tableColumns>
  <tableStyleInfo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00000000-000C-0000-FFFF-FFFF2B000000}" name="Table_44" displayName="Table_44" ref="F159" headerRowCount="0" totalsRowShown="0">
  <tableColumns count="1">
    <tableColumn id="1" xr3:uid="{00000000-0010-0000-2B00-000001000000}" name="Column1"/>
  </tableColumns>
  <tableStyleInfo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00000000-000C-0000-FFFF-FFFF2C000000}" name="Table_45" displayName="Table_45" ref="G159:J165" headerRowCount="0" totalsRowShown="0">
  <tableColumns count="4">
    <tableColumn id="1" xr3:uid="{00000000-0010-0000-2C00-000001000000}" name="Column1"/>
    <tableColumn id="2" xr3:uid="{00000000-0010-0000-2C00-000002000000}" name="Column2"/>
    <tableColumn id="3" xr3:uid="{00000000-0010-0000-2C00-000003000000}" name="Column3"/>
    <tableColumn id="4" xr3:uid="{00000000-0010-0000-2C00-000004000000}" name="Column4"/>
  </tableColumns>
  <tableStyleInfo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00000000-000C-0000-FFFF-FFFF2D000000}" name="Table_46" displayName="Table_46" ref="G166:H168" headerRowCount="0" totalsRowShown="0">
  <tableColumns count="2">
    <tableColumn id="1" xr3:uid="{00000000-0010-0000-2D00-000001000000}" name="Column1"/>
    <tableColumn id="2" xr3:uid="{00000000-0010-0000-2D00-000002000000}" name="Column2"/>
  </tableColumns>
  <tableStyleInfo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1" xr:uid="{00000000-000C-0000-FFFF-FFFF3F000000}" name="Table_64" displayName="Table_64" ref="J2:AG2" headerRowCount="0" totalsRowShown="0">
  <tableColumns count="24">
    <tableColumn id="1" xr3:uid="{00000000-0010-0000-3F00-000001000000}" name="Column1"/>
    <tableColumn id="2" xr3:uid="{00000000-0010-0000-3F00-000002000000}" name="Column2"/>
    <tableColumn id="3" xr3:uid="{00000000-0010-0000-3F00-000003000000}" name="Column3"/>
    <tableColumn id="4" xr3:uid="{00000000-0010-0000-3F00-000004000000}" name="Column4"/>
    <tableColumn id="5" xr3:uid="{00000000-0010-0000-3F00-000005000000}" name="Column5"/>
    <tableColumn id="6" xr3:uid="{00000000-0010-0000-3F00-000006000000}" name="Column6"/>
    <tableColumn id="7" xr3:uid="{00000000-0010-0000-3F00-000007000000}" name="Column7"/>
    <tableColumn id="8" xr3:uid="{00000000-0010-0000-3F00-000008000000}" name="Column8"/>
    <tableColumn id="9" xr3:uid="{00000000-0010-0000-3F00-000009000000}" name="Column9"/>
    <tableColumn id="10" xr3:uid="{00000000-0010-0000-3F00-00000A000000}" name="Column10"/>
    <tableColumn id="11" xr3:uid="{00000000-0010-0000-3F00-00000B000000}" name="Column11"/>
    <tableColumn id="12" xr3:uid="{00000000-0010-0000-3F00-00000C000000}" name="Column12"/>
    <tableColumn id="13" xr3:uid="{00000000-0010-0000-3F00-00000D000000}" name="Column13"/>
    <tableColumn id="14" xr3:uid="{00000000-0010-0000-3F00-00000E000000}" name="Column14"/>
    <tableColumn id="15" xr3:uid="{00000000-0010-0000-3F00-00000F000000}" name="Column15"/>
    <tableColumn id="16" xr3:uid="{00000000-0010-0000-3F00-000010000000}" name="Column16"/>
    <tableColumn id="17" xr3:uid="{00000000-0010-0000-3F00-000011000000}" name="Column17"/>
    <tableColumn id="18" xr3:uid="{00000000-0010-0000-3F00-000012000000}" name="Column18"/>
    <tableColumn id="19" xr3:uid="{00000000-0010-0000-3F00-000013000000}" name="Column19"/>
    <tableColumn id="20" xr3:uid="{00000000-0010-0000-3F00-000014000000}" name="Column20"/>
    <tableColumn id="21" xr3:uid="{00000000-0010-0000-3F00-000015000000}" name="Column21"/>
    <tableColumn id="22" xr3:uid="{00000000-0010-0000-3F00-000016000000}" name="Column22"/>
    <tableColumn id="23" xr3:uid="{00000000-0010-0000-3F00-000017000000}" name="Column23"/>
    <tableColumn id="24" xr3:uid="{00000000-0010-0000-3F00-000018000000}" name="Column24"/>
  </tableColumns>
  <tableStyleInfo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2" xr:uid="{00000000-000C-0000-FFFF-FFFF40000000}" name="Table_65" displayName="Table_65" ref="J2:AG2" headerRowCount="0" totalsRowShown="0">
  <tableColumns count="24">
    <tableColumn id="1" xr3:uid="{00000000-0010-0000-4000-000001000000}" name="Column1"/>
    <tableColumn id="2" xr3:uid="{00000000-0010-0000-4000-000002000000}" name="Column2"/>
    <tableColumn id="3" xr3:uid="{00000000-0010-0000-4000-000003000000}" name="Column3"/>
    <tableColumn id="4" xr3:uid="{00000000-0010-0000-4000-000004000000}" name="Column4"/>
    <tableColumn id="5" xr3:uid="{00000000-0010-0000-4000-000005000000}" name="Column5"/>
    <tableColumn id="6" xr3:uid="{00000000-0010-0000-4000-000006000000}" name="Column6"/>
    <tableColumn id="7" xr3:uid="{00000000-0010-0000-4000-000007000000}" name="Column7"/>
    <tableColumn id="8" xr3:uid="{00000000-0010-0000-4000-000008000000}" name="Column8"/>
    <tableColumn id="9" xr3:uid="{00000000-0010-0000-4000-000009000000}" name="Column9"/>
    <tableColumn id="10" xr3:uid="{00000000-0010-0000-4000-00000A000000}" name="Column10"/>
    <tableColumn id="11" xr3:uid="{00000000-0010-0000-4000-00000B000000}" name="Column11"/>
    <tableColumn id="12" xr3:uid="{00000000-0010-0000-4000-00000C000000}" name="Column12"/>
    <tableColumn id="13" xr3:uid="{00000000-0010-0000-4000-00000D000000}" name="Column13"/>
    <tableColumn id="14" xr3:uid="{00000000-0010-0000-4000-00000E000000}" name="Column14"/>
    <tableColumn id="15" xr3:uid="{00000000-0010-0000-4000-00000F000000}" name="Column15"/>
    <tableColumn id="16" xr3:uid="{00000000-0010-0000-4000-000010000000}" name="Column16"/>
    <tableColumn id="17" xr3:uid="{00000000-0010-0000-4000-000011000000}" name="Column17"/>
    <tableColumn id="18" xr3:uid="{00000000-0010-0000-4000-000012000000}" name="Column18"/>
    <tableColumn id="19" xr3:uid="{00000000-0010-0000-4000-000013000000}" name="Column19"/>
    <tableColumn id="20" xr3:uid="{00000000-0010-0000-4000-000014000000}" name="Column20"/>
    <tableColumn id="21" xr3:uid="{00000000-0010-0000-4000-000015000000}" name="Column21"/>
    <tableColumn id="22" xr3:uid="{00000000-0010-0000-4000-000016000000}" name="Column22"/>
    <tableColumn id="23" xr3:uid="{00000000-0010-0000-4000-000017000000}" name="Column23"/>
    <tableColumn id="24" xr3:uid="{00000000-0010-0000-4000-000018000000}" name="Column24"/>
  </tableColumns>
  <tableStyleInfo showFirstColumn="0" showLastColumn="0" showRowStripes="1" showColumnStripes="0"/>
</table>
</file>

<file path=xl/tables/table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3" xr:uid="{00000000-000C-0000-FFFF-FFFF41000000}" name="Table_66" displayName="Table_66" ref="J2:AG2" headerRowCount="0" totalsRowShown="0">
  <tableColumns count="24">
    <tableColumn id="1" xr3:uid="{00000000-0010-0000-4100-000001000000}" name="Column1"/>
    <tableColumn id="2" xr3:uid="{00000000-0010-0000-4100-000002000000}" name="Column2"/>
    <tableColumn id="3" xr3:uid="{00000000-0010-0000-4100-000003000000}" name="Column3"/>
    <tableColumn id="4" xr3:uid="{00000000-0010-0000-4100-000004000000}" name="Column4"/>
    <tableColumn id="5" xr3:uid="{00000000-0010-0000-4100-000005000000}" name="Column5"/>
    <tableColumn id="6" xr3:uid="{00000000-0010-0000-4100-000006000000}" name="Column6"/>
    <tableColumn id="7" xr3:uid="{00000000-0010-0000-4100-000007000000}" name="Column7"/>
    <tableColumn id="8" xr3:uid="{00000000-0010-0000-4100-000008000000}" name="Column8"/>
    <tableColumn id="9" xr3:uid="{00000000-0010-0000-4100-000009000000}" name="Column9"/>
    <tableColumn id="10" xr3:uid="{00000000-0010-0000-4100-00000A000000}" name="Column10"/>
    <tableColumn id="11" xr3:uid="{00000000-0010-0000-4100-00000B000000}" name="Column11"/>
    <tableColumn id="12" xr3:uid="{00000000-0010-0000-4100-00000C000000}" name="Column12"/>
    <tableColumn id="13" xr3:uid="{00000000-0010-0000-4100-00000D000000}" name="Column13"/>
    <tableColumn id="14" xr3:uid="{00000000-0010-0000-4100-00000E000000}" name="Column14"/>
    <tableColumn id="15" xr3:uid="{00000000-0010-0000-4100-00000F000000}" name="Column15"/>
    <tableColumn id="16" xr3:uid="{00000000-0010-0000-4100-000010000000}" name="Column16"/>
    <tableColumn id="17" xr3:uid="{00000000-0010-0000-4100-000011000000}" name="Column17"/>
    <tableColumn id="18" xr3:uid="{00000000-0010-0000-4100-000012000000}" name="Column18"/>
    <tableColumn id="19" xr3:uid="{00000000-0010-0000-4100-000013000000}" name="Column19"/>
    <tableColumn id="20" xr3:uid="{00000000-0010-0000-4100-000014000000}" name="Column20"/>
    <tableColumn id="21" xr3:uid="{00000000-0010-0000-4100-000015000000}" name="Column21"/>
    <tableColumn id="22" xr3:uid="{00000000-0010-0000-4100-000016000000}" name="Column22"/>
    <tableColumn id="23" xr3:uid="{00000000-0010-0000-4100-000017000000}" name="Column23"/>
    <tableColumn id="24" xr3:uid="{00000000-0010-0000-4100-000018000000}" name="Column24"/>
  </tableColumns>
  <tableStyleInfo showFirstColumn="0" showLastColumn="0" showRowStripes="1" showColumnStripes="0"/>
</table>
</file>

<file path=xl/tables/table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4" xr:uid="{00000000-000C-0000-FFFF-FFFF42000000}" name="Table_67" displayName="Table_67" ref="J2:AG2" headerRowCount="0" totalsRowShown="0">
  <tableColumns count="24">
    <tableColumn id="1" xr3:uid="{00000000-0010-0000-4200-000001000000}" name="Column1"/>
    <tableColumn id="2" xr3:uid="{00000000-0010-0000-4200-000002000000}" name="Column2"/>
    <tableColumn id="3" xr3:uid="{00000000-0010-0000-4200-000003000000}" name="Column3"/>
    <tableColumn id="4" xr3:uid="{00000000-0010-0000-4200-000004000000}" name="Column4"/>
    <tableColumn id="5" xr3:uid="{00000000-0010-0000-4200-000005000000}" name="Column5"/>
    <tableColumn id="6" xr3:uid="{00000000-0010-0000-4200-000006000000}" name="Column6"/>
    <tableColumn id="7" xr3:uid="{00000000-0010-0000-4200-000007000000}" name="Column7"/>
    <tableColumn id="8" xr3:uid="{00000000-0010-0000-4200-000008000000}" name="Column8"/>
    <tableColumn id="9" xr3:uid="{00000000-0010-0000-4200-000009000000}" name="Column9"/>
    <tableColumn id="10" xr3:uid="{00000000-0010-0000-4200-00000A000000}" name="Column10"/>
    <tableColumn id="11" xr3:uid="{00000000-0010-0000-4200-00000B000000}" name="Column11"/>
    <tableColumn id="12" xr3:uid="{00000000-0010-0000-4200-00000C000000}" name="Column12"/>
    <tableColumn id="13" xr3:uid="{00000000-0010-0000-4200-00000D000000}" name="Column13"/>
    <tableColumn id="14" xr3:uid="{00000000-0010-0000-4200-00000E000000}" name="Column14"/>
    <tableColumn id="15" xr3:uid="{00000000-0010-0000-4200-00000F000000}" name="Column15"/>
    <tableColumn id="16" xr3:uid="{00000000-0010-0000-4200-000010000000}" name="Column16"/>
    <tableColumn id="17" xr3:uid="{00000000-0010-0000-4200-000011000000}" name="Column17"/>
    <tableColumn id="18" xr3:uid="{00000000-0010-0000-4200-000012000000}" name="Column18"/>
    <tableColumn id="19" xr3:uid="{00000000-0010-0000-4200-000013000000}" name="Column19"/>
    <tableColumn id="20" xr3:uid="{00000000-0010-0000-4200-000014000000}" name="Column20"/>
    <tableColumn id="21" xr3:uid="{00000000-0010-0000-4200-000015000000}" name="Column21"/>
    <tableColumn id="22" xr3:uid="{00000000-0010-0000-4200-000016000000}" name="Column22"/>
    <tableColumn id="23" xr3:uid="{00000000-0010-0000-4200-000017000000}" name="Column23"/>
    <tableColumn id="24" xr3:uid="{00000000-0010-0000-4200-000018000000}" name="Column24"/>
  </tableColumns>
  <tableStyleInfo showFirstColumn="0" showLastColumn="0" showRowStripes="1" showColumnStripes="0"/>
</table>
</file>

<file path=xl/tables/table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5" xr:uid="{00000000-000C-0000-FFFF-FFFF43000000}" name="Table_68" displayName="Table_68" ref="J2:AG2" headerRowCount="0" totalsRowShown="0">
  <tableColumns count="24">
    <tableColumn id="1" xr3:uid="{00000000-0010-0000-4300-000001000000}" name="Column1"/>
    <tableColumn id="2" xr3:uid="{00000000-0010-0000-4300-000002000000}" name="Column2"/>
    <tableColumn id="3" xr3:uid="{00000000-0010-0000-4300-000003000000}" name="Column3"/>
    <tableColumn id="4" xr3:uid="{00000000-0010-0000-4300-000004000000}" name="Column4"/>
    <tableColumn id="5" xr3:uid="{00000000-0010-0000-4300-000005000000}" name="Column5"/>
    <tableColumn id="6" xr3:uid="{00000000-0010-0000-4300-000006000000}" name="Column6"/>
    <tableColumn id="7" xr3:uid="{00000000-0010-0000-4300-000007000000}" name="Column7"/>
    <tableColumn id="8" xr3:uid="{00000000-0010-0000-4300-000008000000}" name="Column8"/>
    <tableColumn id="9" xr3:uid="{00000000-0010-0000-4300-000009000000}" name="Column9"/>
    <tableColumn id="10" xr3:uid="{00000000-0010-0000-4300-00000A000000}" name="Column10"/>
    <tableColumn id="11" xr3:uid="{00000000-0010-0000-4300-00000B000000}" name="Column11"/>
    <tableColumn id="12" xr3:uid="{00000000-0010-0000-4300-00000C000000}" name="Column12"/>
    <tableColumn id="13" xr3:uid="{00000000-0010-0000-4300-00000D000000}" name="Column13"/>
    <tableColumn id="14" xr3:uid="{00000000-0010-0000-4300-00000E000000}" name="Column14"/>
    <tableColumn id="15" xr3:uid="{00000000-0010-0000-4300-00000F000000}" name="Column15"/>
    <tableColumn id="16" xr3:uid="{00000000-0010-0000-4300-000010000000}" name="Column16"/>
    <tableColumn id="17" xr3:uid="{00000000-0010-0000-4300-000011000000}" name="Column17"/>
    <tableColumn id="18" xr3:uid="{00000000-0010-0000-4300-000012000000}" name="Column18"/>
    <tableColumn id="19" xr3:uid="{00000000-0010-0000-4300-000013000000}" name="Column19"/>
    <tableColumn id="20" xr3:uid="{00000000-0010-0000-4300-000014000000}" name="Column20"/>
    <tableColumn id="21" xr3:uid="{00000000-0010-0000-4300-000015000000}" name="Column21"/>
    <tableColumn id="22" xr3:uid="{00000000-0010-0000-4300-000016000000}" name="Column22"/>
    <tableColumn id="23" xr3:uid="{00000000-0010-0000-4300-000017000000}" name="Column23"/>
    <tableColumn id="24" xr3:uid="{00000000-0010-0000-4300-000018000000}" name="Column24"/>
  </tableColumns>
  <tableStyleInfo showFirstColumn="0" showLastColumn="0" showRowStripes="1" showColumnStripes="0"/>
</table>
</file>

<file path=xl/tables/table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6" xr:uid="{00000000-000C-0000-FFFF-FFFF44000000}" name="Table_69" displayName="Table_69" ref="J2:AG2" headerRowCount="0" totalsRowShown="0">
  <tableColumns count="24">
    <tableColumn id="1" xr3:uid="{00000000-0010-0000-4400-000001000000}" name="Column1"/>
    <tableColumn id="2" xr3:uid="{00000000-0010-0000-4400-000002000000}" name="Column2"/>
    <tableColumn id="3" xr3:uid="{00000000-0010-0000-4400-000003000000}" name="Column3"/>
    <tableColumn id="4" xr3:uid="{00000000-0010-0000-4400-000004000000}" name="Column4"/>
    <tableColumn id="5" xr3:uid="{00000000-0010-0000-4400-000005000000}" name="Column5"/>
    <tableColumn id="6" xr3:uid="{00000000-0010-0000-4400-000006000000}" name="Column6"/>
    <tableColumn id="7" xr3:uid="{00000000-0010-0000-4400-000007000000}" name="Column7"/>
    <tableColumn id="8" xr3:uid="{00000000-0010-0000-4400-000008000000}" name="Column8"/>
    <tableColumn id="9" xr3:uid="{00000000-0010-0000-4400-000009000000}" name="Column9"/>
    <tableColumn id="10" xr3:uid="{00000000-0010-0000-4400-00000A000000}" name="Column10"/>
    <tableColumn id="11" xr3:uid="{00000000-0010-0000-4400-00000B000000}" name="Column11"/>
    <tableColumn id="12" xr3:uid="{00000000-0010-0000-4400-00000C000000}" name="Column12"/>
    <tableColumn id="13" xr3:uid="{00000000-0010-0000-4400-00000D000000}" name="Column13"/>
    <tableColumn id="14" xr3:uid="{00000000-0010-0000-4400-00000E000000}" name="Column14"/>
    <tableColumn id="15" xr3:uid="{00000000-0010-0000-4400-00000F000000}" name="Column15"/>
    <tableColumn id="16" xr3:uid="{00000000-0010-0000-4400-000010000000}" name="Column16"/>
    <tableColumn id="17" xr3:uid="{00000000-0010-0000-4400-000011000000}" name="Column17"/>
    <tableColumn id="18" xr3:uid="{00000000-0010-0000-4400-000012000000}" name="Column18"/>
    <tableColumn id="19" xr3:uid="{00000000-0010-0000-4400-000013000000}" name="Column19"/>
    <tableColumn id="20" xr3:uid="{00000000-0010-0000-4400-000014000000}" name="Column20"/>
    <tableColumn id="21" xr3:uid="{00000000-0010-0000-4400-000015000000}" name="Column21"/>
    <tableColumn id="22" xr3:uid="{00000000-0010-0000-4400-000016000000}" name="Column22"/>
    <tableColumn id="23" xr3:uid="{00000000-0010-0000-4400-000017000000}" name="Column23"/>
    <tableColumn id="24" xr3:uid="{00000000-0010-0000-4400-000018000000}" name="Column24"/>
  </tableColumns>
  <tableStyleInfo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8" Type="http://schemas.openxmlformats.org/officeDocument/2006/relationships/table" Target="../tables/table10.xml"/><Relationship Id="rId13" Type="http://schemas.openxmlformats.org/officeDocument/2006/relationships/table" Target="../tables/table15.xml"/><Relationship Id="rId18" Type="http://schemas.openxmlformats.org/officeDocument/2006/relationships/table" Target="../tables/table20.xml"/><Relationship Id="rId3" Type="http://schemas.openxmlformats.org/officeDocument/2006/relationships/table" Target="../tables/table5.xml"/><Relationship Id="rId7" Type="http://schemas.openxmlformats.org/officeDocument/2006/relationships/table" Target="../tables/table9.xml"/><Relationship Id="rId12" Type="http://schemas.openxmlformats.org/officeDocument/2006/relationships/table" Target="../tables/table14.xml"/><Relationship Id="rId17" Type="http://schemas.openxmlformats.org/officeDocument/2006/relationships/table" Target="../tables/table19.xml"/><Relationship Id="rId2" Type="http://schemas.openxmlformats.org/officeDocument/2006/relationships/table" Target="../tables/table4.xml"/><Relationship Id="rId16" Type="http://schemas.openxmlformats.org/officeDocument/2006/relationships/table" Target="../tables/table18.xml"/><Relationship Id="rId1" Type="http://schemas.openxmlformats.org/officeDocument/2006/relationships/vmlDrawing" Target="../drawings/vmlDrawing1.vml"/><Relationship Id="rId6" Type="http://schemas.openxmlformats.org/officeDocument/2006/relationships/table" Target="../tables/table8.xml"/><Relationship Id="rId11" Type="http://schemas.openxmlformats.org/officeDocument/2006/relationships/table" Target="../tables/table13.xml"/><Relationship Id="rId5" Type="http://schemas.openxmlformats.org/officeDocument/2006/relationships/table" Target="../tables/table7.xml"/><Relationship Id="rId15" Type="http://schemas.openxmlformats.org/officeDocument/2006/relationships/table" Target="../tables/table17.xml"/><Relationship Id="rId10" Type="http://schemas.openxmlformats.org/officeDocument/2006/relationships/table" Target="../tables/table12.xml"/><Relationship Id="rId19" Type="http://schemas.openxmlformats.org/officeDocument/2006/relationships/comments" Target="../comments1.xml"/><Relationship Id="rId4" Type="http://schemas.openxmlformats.org/officeDocument/2006/relationships/table" Target="../tables/table6.xml"/><Relationship Id="rId9" Type="http://schemas.openxmlformats.org/officeDocument/2006/relationships/table" Target="../tables/table11.xml"/><Relationship Id="rId14" Type="http://schemas.openxmlformats.org/officeDocument/2006/relationships/table" Target="../tables/table16.xml"/></Relationships>
</file>

<file path=xl/worksheets/_rels/sheet5.xml.rels><?xml version="1.0" encoding="UTF-8" standalone="yes"?>
<Relationships xmlns="http://schemas.openxmlformats.org/package/2006/relationships"><Relationship Id="rId8" Type="http://schemas.openxmlformats.org/officeDocument/2006/relationships/table" Target="../tables/table28.xml"/><Relationship Id="rId3" Type="http://schemas.openxmlformats.org/officeDocument/2006/relationships/table" Target="../tables/table23.xml"/><Relationship Id="rId7" Type="http://schemas.openxmlformats.org/officeDocument/2006/relationships/table" Target="../tables/table27.xml"/><Relationship Id="rId2" Type="http://schemas.openxmlformats.org/officeDocument/2006/relationships/table" Target="../tables/table22.xml"/><Relationship Id="rId1" Type="http://schemas.openxmlformats.org/officeDocument/2006/relationships/table" Target="../tables/table21.xml"/><Relationship Id="rId6" Type="http://schemas.openxmlformats.org/officeDocument/2006/relationships/table" Target="../tables/table26.xml"/><Relationship Id="rId5" Type="http://schemas.openxmlformats.org/officeDocument/2006/relationships/table" Target="../tables/table25.xml"/><Relationship Id="rId4" Type="http://schemas.openxmlformats.org/officeDocument/2006/relationships/table" Target="../tables/table24.xml"/></Relationships>
</file>

<file path=xl/worksheets/_rels/sheet6.xml.rels><?xml version="1.0" encoding="UTF-8" standalone="yes"?>
<Relationships xmlns="http://schemas.openxmlformats.org/package/2006/relationships"><Relationship Id="rId8" Type="http://schemas.openxmlformats.org/officeDocument/2006/relationships/table" Target="../tables/table36.xml"/><Relationship Id="rId13" Type="http://schemas.openxmlformats.org/officeDocument/2006/relationships/table" Target="../tables/table41.xml"/><Relationship Id="rId18" Type="http://schemas.openxmlformats.org/officeDocument/2006/relationships/table" Target="../tables/table46.xml"/><Relationship Id="rId3" Type="http://schemas.openxmlformats.org/officeDocument/2006/relationships/table" Target="../tables/table31.xml"/><Relationship Id="rId7" Type="http://schemas.openxmlformats.org/officeDocument/2006/relationships/table" Target="../tables/table35.xml"/><Relationship Id="rId12" Type="http://schemas.openxmlformats.org/officeDocument/2006/relationships/table" Target="../tables/table40.xml"/><Relationship Id="rId17" Type="http://schemas.openxmlformats.org/officeDocument/2006/relationships/table" Target="../tables/table45.xml"/><Relationship Id="rId2" Type="http://schemas.openxmlformats.org/officeDocument/2006/relationships/table" Target="../tables/table30.xml"/><Relationship Id="rId16" Type="http://schemas.openxmlformats.org/officeDocument/2006/relationships/table" Target="../tables/table44.xml"/><Relationship Id="rId1" Type="http://schemas.openxmlformats.org/officeDocument/2006/relationships/table" Target="../tables/table29.xml"/><Relationship Id="rId6" Type="http://schemas.openxmlformats.org/officeDocument/2006/relationships/table" Target="../tables/table34.xml"/><Relationship Id="rId11" Type="http://schemas.openxmlformats.org/officeDocument/2006/relationships/table" Target="../tables/table39.xml"/><Relationship Id="rId5" Type="http://schemas.openxmlformats.org/officeDocument/2006/relationships/table" Target="../tables/table33.xml"/><Relationship Id="rId15" Type="http://schemas.openxmlformats.org/officeDocument/2006/relationships/table" Target="../tables/table43.xml"/><Relationship Id="rId10" Type="http://schemas.openxmlformats.org/officeDocument/2006/relationships/table" Target="../tables/table38.xml"/><Relationship Id="rId4" Type="http://schemas.openxmlformats.org/officeDocument/2006/relationships/table" Target="../tables/table32.xml"/><Relationship Id="rId9" Type="http://schemas.openxmlformats.org/officeDocument/2006/relationships/table" Target="../tables/table37.xml"/><Relationship Id="rId14" Type="http://schemas.openxmlformats.org/officeDocument/2006/relationships/table" Target="../tables/table42.xml"/></Relationships>
</file>

<file path=xl/worksheets/_rels/sheet7.xml.rels><?xml version="1.0" encoding="UTF-8" standalone="yes"?>
<Relationships xmlns="http://schemas.openxmlformats.org/package/2006/relationships"><Relationship Id="rId1" Type="http://schemas.openxmlformats.org/officeDocument/2006/relationships/table" Target="../tables/table4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48.xml"/></Relationships>
</file>

<file path=xl/worksheets/_rels/sheet9.xml.rels><?xml version="1.0" encoding="UTF-8" standalone="yes"?>
<Relationships xmlns="http://schemas.openxmlformats.org/package/2006/relationships"><Relationship Id="rId1" Type="http://schemas.openxmlformats.org/officeDocument/2006/relationships/table" Target="../tables/table49.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50.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51.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5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G1007"/>
  <sheetViews>
    <sheetView zoomScaleNormal="100" workbookViewId="0">
      <selection activeCell="F5" sqref="F5"/>
    </sheetView>
  </sheetViews>
  <sheetFormatPr defaultColWidth="12.6640625" defaultRowHeight="13.2"/>
  <cols>
    <col min="1" max="2" width="9.77734375" customWidth="1"/>
    <col min="5" max="5" width="22.109375" customWidth="1"/>
    <col min="6" max="6" width="19.21875" customWidth="1"/>
    <col min="8" max="8" width="38.109375" customWidth="1"/>
    <col min="9" max="9" width="35.44140625" hidden="1" customWidth="1"/>
    <col min="11" max="11" width="24.88671875" customWidth="1"/>
    <col min="13" max="13" width="28.109375" customWidth="1"/>
    <col min="15" max="15" width="35.6640625" customWidth="1"/>
    <col min="17" max="17" width="29.21875" customWidth="1"/>
    <col min="19" max="19" width="28.33203125" customWidth="1"/>
    <col min="21" max="21" width="25.33203125" customWidth="1"/>
  </cols>
  <sheetData>
    <row r="1" spans="1:33" ht="27.6">
      <c r="A1" s="3" t="s">
        <v>0</v>
      </c>
      <c r="B1" s="4" t="s">
        <v>1</v>
      </c>
      <c r="C1" s="4" t="s">
        <v>2</v>
      </c>
      <c r="D1" s="4" t="s">
        <v>3</v>
      </c>
      <c r="E1" s="5" t="s">
        <v>1280</v>
      </c>
      <c r="F1" s="6" t="s">
        <v>4</v>
      </c>
      <c r="G1" s="6" t="s">
        <v>223</v>
      </c>
      <c r="H1" s="7" t="s">
        <v>307</v>
      </c>
      <c r="J1" s="8" t="s">
        <v>5</v>
      </c>
      <c r="K1" s="8" t="s">
        <v>6</v>
      </c>
      <c r="L1" s="8" t="s">
        <v>7</v>
      </c>
      <c r="M1" s="8" t="s">
        <v>8</v>
      </c>
      <c r="N1" s="8" t="s">
        <v>9</v>
      </c>
      <c r="O1" s="8" t="s">
        <v>10</v>
      </c>
      <c r="P1" s="8" t="s">
        <v>11</v>
      </c>
      <c r="Q1" s="8" t="s">
        <v>12</v>
      </c>
      <c r="R1" s="8" t="s">
        <v>13</v>
      </c>
      <c r="S1" s="8" t="s">
        <v>14</v>
      </c>
      <c r="T1" s="8" t="s">
        <v>15</v>
      </c>
      <c r="U1" s="8" t="s">
        <v>16</v>
      </c>
      <c r="V1" s="9" t="s">
        <v>17</v>
      </c>
      <c r="W1" s="9" t="s">
        <v>18</v>
      </c>
      <c r="X1" s="9" t="s">
        <v>19</v>
      </c>
      <c r="Y1" s="9" t="s">
        <v>20</v>
      </c>
      <c r="Z1" s="9" t="s">
        <v>21</v>
      </c>
      <c r="AA1" s="9" t="s">
        <v>22</v>
      </c>
      <c r="AB1" s="9" t="s">
        <v>23</v>
      </c>
      <c r="AC1" s="10" t="s">
        <v>24</v>
      </c>
      <c r="AD1" s="11" t="s">
        <v>25</v>
      </c>
      <c r="AE1" s="11" t="s">
        <v>26</v>
      </c>
      <c r="AF1" s="11" t="s">
        <v>27</v>
      </c>
      <c r="AG1" s="12" t="s">
        <v>28</v>
      </c>
    </row>
    <row r="2" spans="1:33" ht="27.6">
      <c r="A2" s="1"/>
      <c r="B2" s="1" t="s">
        <v>29</v>
      </c>
      <c r="C2" s="1" t="s">
        <v>30</v>
      </c>
      <c r="D2" s="13">
        <v>6</v>
      </c>
      <c r="E2" s="1" t="s">
        <v>31</v>
      </c>
      <c r="F2" s="2" t="s">
        <v>32</v>
      </c>
      <c r="G2" s="14" t="s">
        <v>33</v>
      </c>
      <c r="H2" s="2" t="str">
        <f ca="1">IFERROR(__xludf.dummyfunction("IFERROR(
  VLOOKUP(G2, IMPORTRANGE(""https://docs.google.com/spreadsheets/d/14deopnvwcrKtEGCKuYXdUHJbeLDZlkiSSWWT0g7x2pM/edit#gid=849066331"", ""LU List Maths (Filter)!A:B""), 2, FALSE),
  IFERROR(
    VLOOKUP(G2, IMPORTRANGE(""https://docs.google.com/spr"&amp;"eadsheets/d/14deopnvwcrKtEGCKuYXdUHJbeLDZlkiSSWWT0g7x2pM/edit#gid=849066331"", ""LU List Science (Filter)!A:B""), 2, FALSE),
    ""Not Found""
  )
)
"),"Definition and Composition of Matter")</f>
        <v>Definition and Composition of Matter</v>
      </c>
      <c r="J2" s="1" t="str">
        <f t="shared" ref="J2:J33" si="0">G2 &amp; ".001"</f>
        <v>LU006781.001</v>
      </c>
      <c r="K2" s="1" t="str">
        <f ca="1">IFERROR(__xludf.dummyfunction("VLOOKUP(J2, IMPORTRANGE(""https://docs.google.com/spreadsheets/d/1yDAaXNsi4Mr5FtRQL4tbmSdIzhx6_m4wkOD7IG-k_eo/edit#gid=1336395716"", ""Science!M:N""), 2, FALSE)"),"(LU006781.001); Default - Remember")</f>
        <v>(LU006781.001); Default - Remember</v>
      </c>
      <c r="L2" s="1" t="str">
        <f t="shared" ref="L2:L33" si="1">G2 &amp; ".002"</f>
        <v>LU006781.002</v>
      </c>
      <c r="M2" s="1" t="str">
        <f ca="1">IFERROR(__xludf.dummyfunction("VLOOKUP(L2, IMPORTRANGE(""https://docs.google.com/spreadsheets/d/1yDAaXNsi4Mr5FtRQL4tbmSdIzhx6_m4wkOD7IG-k_eo/edit#gid=1336395716"", ""Science!M:N""), 2, FALSE)"),"(LU006781.002); Default - Understand")</f>
        <v>(LU006781.002); Default - Understand</v>
      </c>
      <c r="N2" s="1" t="str">
        <f t="shared" ref="N2:N33" si="2">G2 &amp; ".003"</f>
        <v>LU006781.003</v>
      </c>
      <c r="O2" s="1" t="str">
        <f ca="1">IFERROR(__xludf.dummyfunction("VLOOKUP(N2, IMPORTRANGE(""https://docs.google.com/spreadsheets/d/1yDAaXNsi4Mr5FtRQL4tbmSdIzhx6_m4wkOD7IG-k_eo/edit#gid=1336395716"", ""Science!M:N""), 2, FALSE)"),"(LU006781.003); Default - Apply")</f>
        <v>(LU006781.003); Default - Apply</v>
      </c>
      <c r="P2" s="1" t="str">
        <f t="shared" ref="P2:P33" si="3">G2 &amp; ".004"</f>
        <v>LU006781.004</v>
      </c>
      <c r="Q2" s="15" t="str">
        <f ca="1">IFERROR(__xludf.dummyfunction("VLOOKUP(P2, IMPORTRANGE(""https://docs.google.com/spreadsheets/d/1yDAaXNsi4Mr5FtRQL4tbmSdIzhx6_m4wkOD7IG-k_eo/edit#gid=1336395716"", ""Science!M:N""), 2, FALSE)"),"(LU006781.004); Default - Analyse")</f>
        <v>(LU006781.004); Default - Analyse</v>
      </c>
      <c r="R2" s="1" t="str">
        <f t="shared" ref="R2:R33" si="4">G2 &amp; ".005"</f>
        <v>LU006781.005</v>
      </c>
      <c r="S2" s="15" t="str">
        <f ca="1">IFERROR(__xludf.dummyfunction("VLOOKUP(R2, IMPORTRANGE(""https://docs.google.com/spreadsheets/d/1yDAaXNsi4Mr5FtRQL4tbmSdIzhx6_m4wkOD7IG-k_eo/edit#gid=1336395716"", ""Science!M:N""), 2, FALSE)"),"(LU006781.005); Default - Evaluate")</f>
        <v>(LU006781.005); Default - Evaluate</v>
      </c>
      <c r="T2" s="1" t="str">
        <f t="shared" ref="T2:T33" si="5">G2 &amp; ".006"</f>
        <v>LU006781.006</v>
      </c>
      <c r="U2" s="15" t="str">
        <f ca="1">IFERROR(__xludf.dummyfunction("VLOOKUP(T2, IMPORTRANGE(""https://docs.google.com/spreadsheets/d/1yDAaXNsi4Mr5FtRQL4tbmSdIzhx6_m4wkOD7IG-k_eo/edit#gid=1336395716"", ""Science!M:N""), 2, FALSE)"),"(LU006781.006); Default - Create")</f>
        <v>(LU006781.006); Default - Create</v>
      </c>
      <c r="V2" s="16" t="str">
        <f ca="1">IFERROR(__xludf.dummyfunction("ArrayFormula(VLOOKUP(G2, IMPORTRANGE(""https://docs.google.com/spreadsheets/d/1p7R4vtkWt5VOBim4ltsDG9KTzSjrtKXsMtQGXPHyND0/edit#gid=795171502"", ""'Filter 30_05_2024'!A1:M2000""), {2, 3, 4, 5,6,7,8,9,10,11,12,13}, 0))"),"#N/A")</f>
        <v>#N/A</v>
      </c>
      <c r="W2" s="16" t="str">
        <f ca="1">IFERROR(__xludf.dummyfunction("""COMPUTED_VALUE"""),"#N/A")</f>
        <v>#N/A</v>
      </c>
      <c r="X2" s="16" t="str">
        <f ca="1">IFERROR(__xludf.dummyfunction("""COMPUTED_VALUE"""),"#N/A")</f>
        <v>#N/A</v>
      </c>
      <c r="Y2" s="16" t="str">
        <f ca="1">IFERROR(__xludf.dummyfunction("""COMPUTED_VALUE"""),"#N/A")</f>
        <v>#N/A</v>
      </c>
      <c r="Z2" s="16" t="str">
        <f ca="1">IFERROR(__xludf.dummyfunction("""COMPUTED_VALUE"""),"#N/A")</f>
        <v>#N/A</v>
      </c>
      <c r="AA2" s="17" t="str">
        <f ca="1">IFERROR(__xludf.dummyfunction("""COMPUTED_VALUE"""),"#N/A")</f>
        <v>#N/A</v>
      </c>
      <c r="AB2" s="17" t="str">
        <f ca="1">IFERROR(__xludf.dummyfunction("""COMPUTED_VALUE"""),"#N/A")</f>
        <v>#N/A</v>
      </c>
      <c r="AC2" s="17" t="str">
        <f ca="1">IFERROR(__xludf.dummyfunction("""COMPUTED_VALUE"""),"#N/A")</f>
        <v>#N/A</v>
      </c>
      <c r="AD2" s="2" t="str">
        <f ca="1">IFERROR(__xludf.dummyfunction("""COMPUTED_VALUE"""),"#N/A")</f>
        <v>#N/A</v>
      </c>
      <c r="AE2" s="2" t="str">
        <f ca="1">IFERROR(__xludf.dummyfunction("""COMPUTED_VALUE"""),"#N/A")</f>
        <v>#N/A</v>
      </c>
      <c r="AF2" s="2" t="str">
        <f ca="1">IFERROR(__xludf.dummyfunction("""COMPUTED_VALUE"""),"#N/A")</f>
        <v>#N/A</v>
      </c>
      <c r="AG2" s="2" t="str">
        <f ca="1">IFERROR(__xludf.dummyfunction("""COMPUTED_VALUE"""),"#N/A")</f>
        <v>#N/A</v>
      </c>
    </row>
    <row r="3" spans="1:33" ht="27.6">
      <c r="A3" s="1"/>
      <c r="B3" s="1" t="s">
        <v>29</v>
      </c>
      <c r="C3" s="1" t="s">
        <v>30</v>
      </c>
      <c r="D3" s="13">
        <v>6</v>
      </c>
      <c r="E3" s="1" t="s">
        <v>31</v>
      </c>
      <c r="F3" s="2" t="s">
        <v>32</v>
      </c>
      <c r="G3" s="14" t="s">
        <v>34</v>
      </c>
      <c r="H3" s="2" t="str">
        <f ca="1">IFERROR(__xludf.dummyfunction("IFERROR(
  VLOOKUP(G3, IMPORTRANGE(""https://docs.google.com/spreadsheets/d/14deopnvwcrKtEGCKuYXdUHJbeLDZlkiSSWWT0g7x2pM/edit#gid=849066331"", ""LU List Maths (Filter)!A:B""), 2, FALSE),
  IFERROR(
    VLOOKUP(G3, IMPORTRANGE(""https://docs.google.com/spr"&amp;"eadsheets/d/14deopnvwcrKtEGCKuYXdUHJbeLDZlkiSSWWT0g7x2pM/edit#gid=849066331"", ""LU List Science (Filter)!A:B""), 2, FALSE),
    ""Not Found""
  )
)
"),"Types of Matter")</f>
        <v>Types of Matter</v>
      </c>
      <c r="J3" s="1" t="str">
        <f t="shared" si="0"/>
        <v>LU006782.001</v>
      </c>
      <c r="K3" s="1" t="str">
        <f ca="1">IFERROR(__xludf.dummyfunction("VLOOKUP(J3, IMPORTRANGE(""https://docs.google.com/spreadsheets/d/1yDAaXNsi4Mr5FtRQL4tbmSdIzhx6_m4wkOD7IG-k_eo/edit#gid=1336395716"", ""Science!M:N""), 2, FALSE)"),"(LU006782.001); Default - Remember")</f>
        <v>(LU006782.001); Default - Remember</v>
      </c>
      <c r="L3" s="1" t="str">
        <f t="shared" si="1"/>
        <v>LU006782.002</v>
      </c>
      <c r="M3" s="1" t="str">
        <f ca="1">IFERROR(__xludf.dummyfunction("VLOOKUP(L3, IMPORTRANGE(""https://docs.google.com/spreadsheets/d/1yDAaXNsi4Mr5FtRQL4tbmSdIzhx6_m4wkOD7IG-k_eo/edit#gid=1336395716"", ""Science!M:N""), 2, FALSE)"),"(LU006782.002); Default - Understand")</f>
        <v>(LU006782.002); Default - Understand</v>
      </c>
      <c r="N3" s="1" t="str">
        <f t="shared" si="2"/>
        <v>LU006782.003</v>
      </c>
      <c r="O3" s="1" t="str">
        <f ca="1">IFERROR(__xludf.dummyfunction("VLOOKUP(N3, IMPORTRANGE(""https://docs.google.com/spreadsheets/d/1yDAaXNsi4Mr5FtRQL4tbmSdIzhx6_m4wkOD7IG-k_eo/edit#gid=1336395716"", ""Science!M:N""), 2, FALSE)"),"(LU006782.003); Default - Apply")</f>
        <v>(LU006782.003); Default - Apply</v>
      </c>
      <c r="P3" s="1" t="str">
        <f t="shared" si="3"/>
        <v>LU006782.004</v>
      </c>
      <c r="Q3" s="15" t="str">
        <f ca="1">IFERROR(__xludf.dummyfunction("VLOOKUP(P3, IMPORTRANGE(""https://docs.google.com/spreadsheets/d/1yDAaXNsi4Mr5FtRQL4tbmSdIzhx6_m4wkOD7IG-k_eo/edit#gid=1336395716"", ""Science!M:N""), 2, FALSE)"),"(LU006782.004); Default - Analyse")</f>
        <v>(LU006782.004); Default - Analyse</v>
      </c>
      <c r="R3" s="1" t="str">
        <f t="shared" si="4"/>
        <v>LU006782.005</v>
      </c>
      <c r="S3" s="15" t="str">
        <f ca="1">IFERROR(__xludf.dummyfunction("VLOOKUP(R3, IMPORTRANGE(""https://docs.google.com/spreadsheets/d/1yDAaXNsi4Mr5FtRQL4tbmSdIzhx6_m4wkOD7IG-k_eo/edit#gid=1336395716"", ""Science!M:N""), 2, FALSE)"),"(LU006782.005); Default - Evaluate")</f>
        <v>(LU006782.005); Default - Evaluate</v>
      </c>
      <c r="T3" s="1" t="str">
        <f t="shared" si="5"/>
        <v>LU006782.006</v>
      </c>
      <c r="U3" s="15" t="str">
        <f ca="1">IFERROR(__xludf.dummyfunction("VLOOKUP(T3, IMPORTRANGE(""https://docs.google.com/spreadsheets/d/1yDAaXNsi4Mr5FtRQL4tbmSdIzhx6_m4wkOD7IG-k_eo/edit#gid=1336395716"", ""Science!M:N""), 2, FALSE)"),"(LU006782.006); Default - Create")</f>
        <v>(LU006782.006); Default - Create</v>
      </c>
    </row>
    <row r="4" spans="1:33" ht="110.4">
      <c r="A4" s="1"/>
      <c r="B4" s="1" t="s">
        <v>29</v>
      </c>
      <c r="C4" s="1" t="s">
        <v>30</v>
      </c>
      <c r="D4" s="13">
        <v>6</v>
      </c>
      <c r="E4" s="1" t="s">
        <v>31</v>
      </c>
      <c r="F4" s="2" t="s">
        <v>35</v>
      </c>
      <c r="G4" s="2" t="s">
        <v>36</v>
      </c>
      <c r="H4" s="2" t="str">
        <f ca="1">IFERROR(__xludf.dummyfunction("IFERROR(
  VLOOKUP(G4, IMPORTRANGE(""https://docs.google.com/spreadsheets/d/14deopnvwcrKtEGCKuYXdUHJbeLDZlkiSSWWT0g7x2pM/edit#gid=849066331"", ""LU List Maths (Filter)!A:B""), 2, FALSE),
  IFERROR(
    VLOOKUP(G4, IMPORTRANGE(""https://docs.google.com/spr"&amp;"eadsheets/d/14deopnvwcrKtEGCKuYXdUHJbeLDZlkiSSWWT0g7x2pM/edit#gid=849066331"", ""LU List Science (Filter)!A:B""), 2, FALSE),
    ""Not Found""
  )
)
"),"General Properties of Matter in Solid state")</f>
        <v>General Properties of Matter in Solid state</v>
      </c>
      <c r="J4" s="1" t="str">
        <f t="shared" si="0"/>
        <v>LU006199.001</v>
      </c>
      <c r="K4" s="1" t="str">
        <f ca="1">IFERROR(__xludf.dummyfunction("VLOOKUP(J4, IMPORTRANGE(""https://docs.google.com/spreadsheets/d/1yDAaXNsi4Mr5FtRQL4tbmSdIzhx6_m4wkOD7IG-k_eo/edit#gid=1336395716"", ""Science!M:N""), 2, FALSE)"),"List the key properties of solids, such as definite shape, fixed volume, high density, rigidity, incompressibility, low diffusion rate, and strong intermolecular forces")</f>
        <v>List the key properties of solids, such as definite shape, fixed volume, high density, rigidity, incompressibility, low diffusion rate, and strong intermolecular forces</v>
      </c>
      <c r="L4" s="1" t="str">
        <f t="shared" si="1"/>
        <v>LU006199.002</v>
      </c>
      <c r="M4" s="1" t="str">
        <f ca="1">IFERROR(__xludf.dummyfunction("VLOOKUP(L4, IMPORTRANGE(""https://docs.google.com/spreadsheets/d/1yDAaXNsi4Mr5FtRQL4tbmSdIzhx6_m4wkOD7IG-k_eo/edit#gid=1336395716"", ""Science!M:N""), 2, FALSE)"),"Explain why solids have a definite shape and volume by describing the arrangement and interaction of particles in the solid state")</f>
        <v>Explain why solids have a definite shape and volume by describing the arrangement and interaction of particles in the solid state</v>
      </c>
      <c r="N4" s="1" t="str">
        <f t="shared" si="2"/>
        <v>LU006199.003</v>
      </c>
      <c r="O4" s="1" t="str">
        <f ca="1">IFERROR(__xludf.dummyfunction("VLOOKUP(N4, IMPORTRANGE(""https://docs.google.com/spreadsheets/d/1yDAaXNsi4Mr5FtRQL4tbmSdIzhx6_m4wkOD7IG-k_eo/edit#gid=1336395716"", ""Science!M:N""), 2, FALSE)"),"Demonstrate the incompressibility of solids by performing a simple experiment using a sponge, an iron nail, and a piece of chalk, and recording their observations")</f>
        <v>Demonstrate the incompressibility of solids by performing a simple experiment using a sponge, an iron nail, and a piece of chalk, and recording their observations</v>
      </c>
      <c r="P4" s="1" t="str">
        <f t="shared" si="3"/>
        <v>LU006199.004</v>
      </c>
      <c r="Q4" s="15" t="str">
        <f ca="1">IFERROR(__xludf.dummyfunction("VLOOKUP(P4, IMPORTRANGE(""https://docs.google.com/spreadsheets/d/1yDAaXNsi4Mr5FtRQL4tbmSdIzhx6_m4wkOD7IG-k_eo/edit#gid=1336395716"", ""Science!M:N""), 2, FALSE)"),"Compare and contrast the properties of solids with those of liquids and gases, identifying key differences and similarities in terms of particle arrangement and movement")</f>
        <v>Compare and contrast the properties of solids with those of liquids and gases, identifying key differences and similarities in terms of particle arrangement and movement</v>
      </c>
      <c r="R4" s="1" t="str">
        <f t="shared" si="4"/>
        <v>LU006199.005</v>
      </c>
      <c r="S4" s="15" t="str">
        <f ca="1">IFERROR(__xludf.dummyfunction("VLOOKUP(R4, IMPORTRANGE(""https://docs.google.com/spreadsheets/d/1yDAaXNsi4Mr5FtRQL4tbmSdIzhx6_m4wkOD7IG-k_eo/edit#gid=1336395716"", ""Science!M:N""), 2, FALSE)"),"Assess the suitability of different materials (e.g., rubber band, sugar, sponge) for specific applications based on their solid-state properties, providing justification for their choices")</f>
        <v>Assess the suitability of different materials (e.g., rubber band, sugar, sponge) for specific applications based on their solid-state properties, providing justification for their choices</v>
      </c>
      <c r="T4" s="1" t="str">
        <f t="shared" si="5"/>
        <v>LU006199.006</v>
      </c>
      <c r="U4" s="15" t="str">
        <f ca="1">IFERROR(__xludf.dummyfunction("VLOOKUP(T4, IMPORTRANGE(""https://docs.google.com/spreadsheets/d/1yDAaXNsi4Mr5FtRQL4tbmSdIzhx6_m4wkOD7IG-k_eo/edit#gid=1336395716"", ""Science!M:N""), 2, FALSE)"),"Design a simple model or experiment to visually demonstrate the rigidity and incompressibility of solids, and present the model to the class, explaining the scientific principles it illustrates")</f>
        <v>Design a simple model or experiment to visually demonstrate the rigidity and incompressibility of solids, and present the model to the class, explaining the scientific principles it illustrates</v>
      </c>
    </row>
    <row r="5" spans="1:33" ht="69">
      <c r="A5" s="1"/>
      <c r="B5" s="1" t="s">
        <v>29</v>
      </c>
      <c r="C5" s="1" t="s">
        <v>30</v>
      </c>
      <c r="D5" s="13">
        <v>6</v>
      </c>
      <c r="E5" s="1" t="s">
        <v>31</v>
      </c>
      <c r="F5" s="2" t="s">
        <v>35</v>
      </c>
      <c r="G5" s="2" t="s">
        <v>37</v>
      </c>
      <c r="H5" s="2" t="str">
        <f ca="1">IFERROR(__xludf.dummyfunction("IFERROR(
  VLOOKUP(G5, IMPORTRANGE(""https://docs.google.com/spreadsheets/d/14deopnvwcrKtEGCKuYXdUHJbeLDZlkiSSWWT0g7x2pM/edit#gid=849066331"", ""LU List Maths (Filter)!A:B""), 2, FALSE),
  IFERROR(
    VLOOKUP(G5, IMPORTRANGE(""https://docs.google.com/spr"&amp;"eadsheets/d/14deopnvwcrKtEGCKuYXdUHJbeLDZlkiSSWWT0g7x2pM/edit#gid=849066331"", ""LU List Science (Filter)!A:B""), 2, FALSE),
    ""Not Found""
  )
)
"),"General Properties of Matter in Liquid State")</f>
        <v>General Properties of Matter in Liquid State</v>
      </c>
      <c r="J5" s="1" t="str">
        <f t="shared" si="0"/>
        <v>LU006200.001</v>
      </c>
      <c r="K5" s="1" t="str">
        <f ca="1">IFERROR(__xludf.dummyfunction("VLOOKUP(J5, IMPORTRANGE(""https://docs.google.com/spreadsheets/d/1yDAaXNsi4Mr5FtRQL4tbmSdIzhx6_m4wkOD7IG-k_eo/edit#gid=1336395716"", ""Science!M:N""), 2, FALSE)"),"List the general properties of liquids such as having a fixed volume, no fixed shape, and the ability to flow.")</f>
        <v>List the general properties of liquids such as having a fixed volume, no fixed shape, and the ability to flow.</v>
      </c>
      <c r="L5" s="1" t="str">
        <f t="shared" si="1"/>
        <v>LU006200.002</v>
      </c>
      <c r="M5" s="1" t="str">
        <f ca="1">IFERROR(__xludf.dummyfunction("VLOOKUP(L5, IMPORTRANGE(""https://docs.google.com/spreadsheets/d/1yDAaXNsi4Mr5FtRQL4tbmSdIzhx6_m4wkOD7IG-k_eo/edit#gid=1336395716"", ""Science!M:N""), 2, FALSE)"),"Explain why liquids take the shape of their container but retain a fixed volume.")</f>
        <v>Explain why liquids take the shape of their container but retain a fixed volume.</v>
      </c>
      <c r="N5" s="1" t="str">
        <f t="shared" si="2"/>
        <v>LU006200.003</v>
      </c>
      <c r="O5" s="1" t="str">
        <f ca="1">IFERROR(__xludf.dummyfunction("VLOOKUP(N5, IMPORTRANGE(""https://docs.google.com/spreadsheets/d/1yDAaXNsi4Mr5FtRQL4tbmSdIzhx6_m4wkOD7IG-k_eo/edit#gid=1336395716"", ""Science!M:N""), 2, FALSE)"),"Demonstrate the fluidity of liquids by transferring a liquid from one container to another and observing its shape change.")</f>
        <v>Demonstrate the fluidity of liquids by transferring a liquid from one container to another and observing its shape change.</v>
      </c>
      <c r="P5" s="1" t="str">
        <f t="shared" si="3"/>
        <v>LU006200.004</v>
      </c>
      <c r="Q5" s="15" t="str">
        <f ca="1">IFERROR(__xludf.dummyfunction("VLOOKUP(P5, IMPORTRANGE(""https://docs.google.com/spreadsheets/d/1yDAaXNsi4Mr5FtRQL4tbmSdIzhx6_m4wkOD7IG-k_eo/edit#gid=1336395716"", ""Science!M:N""), 2, FALSE)"),"Differentiate between the diffusion rates of solids and liquids using examples from everyday life.")</f>
        <v>Differentiate between the diffusion rates of solids and liquids using examples from everyday life.</v>
      </c>
      <c r="R5" s="1" t="str">
        <f t="shared" si="4"/>
        <v>LU006200.005</v>
      </c>
      <c r="S5" s="15" t="str">
        <f ca="1">IFERROR(__xludf.dummyfunction("VLOOKUP(R5, IMPORTRANGE(""https://docs.google.com/spreadsheets/d/1yDAaXNsi4Mr5FtRQL4tbmSdIzhx6_m4wkOD7IG-k_eo/edit#gid=1336395716"", ""Science!M:N""), 2, FALSE)"),"Evaluate the importance of liquids' ability to diffuse gases, such as oxygen and carbon dioxide, for aquatic life.")</f>
        <v>Evaluate the importance of liquids' ability to diffuse gases, such as oxygen and carbon dioxide, for aquatic life.</v>
      </c>
      <c r="T5" s="1" t="str">
        <f t="shared" si="5"/>
        <v>LU006200.006</v>
      </c>
      <c r="U5" s="15" t="str">
        <f ca="1">IFERROR(__xludf.dummyfunction("VLOOKUP(T5, IMPORTRANGE(""https://docs.google.com/spreadsheets/d/1yDAaXNsi4Mr5FtRQL4tbmSdIzhx6_m4wkOD7IG-k_eo/edit#gid=1336395716"", ""Science!M:N""), 2, FALSE)"),"Design an experiment to measure the effect of temperature on the diffusion rate of a liquid.")</f>
        <v>Design an experiment to measure the effect of temperature on the diffusion rate of a liquid.</v>
      </c>
    </row>
    <row r="6" spans="1:33" ht="69">
      <c r="A6" s="1"/>
      <c r="B6" s="1" t="s">
        <v>29</v>
      </c>
      <c r="C6" s="1" t="s">
        <v>30</v>
      </c>
      <c r="D6" s="13">
        <v>6</v>
      </c>
      <c r="E6" s="1" t="s">
        <v>31</v>
      </c>
      <c r="F6" s="2" t="s">
        <v>35</v>
      </c>
      <c r="G6" s="2" t="s">
        <v>38</v>
      </c>
      <c r="H6" s="2" t="str">
        <f ca="1">IFERROR(__xludf.dummyfunction("IFERROR(
  VLOOKUP(G6, IMPORTRANGE(""https://docs.google.com/spreadsheets/d/14deopnvwcrKtEGCKuYXdUHJbeLDZlkiSSWWT0g7x2pM/edit#gid=849066331"", ""LU List Maths (Filter)!A:B""), 2, FALSE),
  IFERROR(
    VLOOKUP(G6, IMPORTRANGE(""https://docs.google.com/spr"&amp;"eadsheets/d/14deopnvwcrKtEGCKuYXdUHJbeLDZlkiSSWWT0g7x2pM/edit#gid=849066331"", ""LU List Science (Filter)!A:B""), 2, FALSE),
    ""Not Found""
  )
)
"),"General Properties of Matter in Gaseous State")</f>
        <v>General Properties of Matter in Gaseous State</v>
      </c>
      <c r="J6" s="1" t="str">
        <f t="shared" si="0"/>
        <v>LU006201.001</v>
      </c>
      <c r="K6" s="1" t="str">
        <f ca="1">IFERROR(__xludf.dummyfunction("VLOOKUP(J6, IMPORTRANGE(""https://docs.google.com/spreadsheets/d/1yDAaXNsi4Mr5FtRQL4tbmSdIzhx6_m4wkOD7IG-k_eo/edit#gid=1336395716"", ""Science!M:N""), 2, FALSE)"),"List the general properties of gases such as having no fixed shape or volume, and high compressibility.")</f>
        <v>List the general properties of gases such as having no fixed shape or volume, and high compressibility.</v>
      </c>
      <c r="L6" s="1" t="str">
        <f t="shared" si="1"/>
        <v>LU006201.002</v>
      </c>
      <c r="M6" s="1" t="str">
        <f ca="1">IFERROR(__xludf.dummyfunction("VLOOKUP(L6, IMPORTRANGE(""https://docs.google.com/spreadsheets/d/1yDAaXNsi4Mr5FtRQL4tbmSdIzhx6_m4wkOD7IG-k_eo/edit#gid=1336395716"", ""Science!M:N""), 2, FALSE)"),"Explain why gases can fill any container regardless of its shape or size.")</f>
        <v>Explain why gases can fill any container regardless of its shape or size.</v>
      </c>
      <c r="N6" s="1" t="str">
        <f t="shared" si="2"/>
        <v>LU006201.003</v>
      </c>
      <c r="O6" s="1" t="str">
        <f ca="1">IFERROR(__xludf.dummyfunction("VLOOKUP(N6, IMPORTRANGE(""https://docs.google.com/spreadsheets/d/1yDAaXNsi4Mr5FtRQL4tbmSdIzhx6_m4wkOD7IG-k_eo/edit#gid=1336395716"", ""Science!M:N""), 2, FALSE)"),"Demonstrate the compressibility of gases using a syringe experiment.")</f>
        <v>Demonstrate the compressibility of gases using a syringe experiment.</v>
      </c>
      <c r="P6" s="1" t="str">
        <f t="shared" si="3"/>
        <v>LU006201.004</v>
      </c>
      <c r="Q6" s="15" t="str">
        <f ca="1">IFERROR(__xludf.dummyfunction("VLOOKUP(P6, IMPORTRANGE(""https://docs.google.com/spreadsheets/d/1yDAaXNsi4Mr5FtRQL4tbmSdIzhx6_m4wkOD7IG-k_eo/edit#gid=1336395716"", ""Science!M:N""), 2, FALSE)"),"Differentiate between the diffusion rates of gases, liquids, and solids using examples from everyday life.")</f>
        <v>Differentiate between the diffusion rates of gases, liquids, and solids using examples from everyday life.</v>
      </c>
      <c r="R6" s="1" t="str">
        <f t="shared" si="4"/>
        <v>LU006201.005</v>
      </c>
      <c r="S6" s="15" t="str">
        <f ca="1">IFERROR(__xludf.dummyfunction("VLOOKUP(R6, IMPORTRANGE(""https://docs.google.com/spreadsheets/d/1yDAaXNsi4Mr5FtRQL4tbmSdIzhx6_m4wkOD7IG-k_eo/edit#gid=1336395716"", ""Science!M:N""), 2, FALSE)"),"Evaluate the impact of gas diffusion on the distribution of scents in a room.")</f>
        <v>Evaluate the impact of gas diffusion on the distribution of scents in a room.</v>
      </c>
      <c r="T6" s="1" t="str">
        <f t="shared" si="5"/>
        <v>LU006201.006</v>
      </c>
      <c r="U6" s="15" t="str">
        <f ca="1">IFERROR(__xludf.dummyfunction("VLOOKUP(T6, IMPORTRANGE(""https://docs.google.com/spreadsheets/d/1yDAaXNsi4Mr5FtRQL4tbmSdIzhx6_m4wkOD7IG-k_eo/edit#gid=1336395716"", ""Science!M:N""), 2, FALSE)"),"Design an experiment to measure the effect of temperature on the pressure exerted by a gas in a closed container.")</f>
        <v>Design an experiment to measure the effect of temperature on the pressure exerted by a gas in a closed container.</v>
      </c>
    </row>
    <row r="7" spans="1:33" ht="82.8">
      <c r="A7" s="1"/>
      <c r="B7" s="1" t="s">
        <v>29</v>
      </c>
      <c r="C7" s="1" t="s">
        <v>30</v>
      </c>
      <c r="D7" s="13">
        <v>6</v>
      </c>
      <c r="E7" s="1" t="s">
        <v>31</v>
      </c>
      <c r="F7" s="2" t="s">
        <v>35</v>
      </c>
      <c r="G7" s="2" t="s">
        <v>39</v>
      </c>
      <c r="H7" s="2" t="str">
        <f ca="1">IFERROR(__xludf.dummyfunction("IFERROR(
  VLOOKUP(G7, IMPORTRANGE(""https://docs.google.com/spreadsheets/d/14deopnvwcrKtEGCKuYXdUHJbeLDZlkiSSWWT0g7x2pM/edit#gid=849066331"", ""LU List Maths (Filter)!A:B""), 2, FALSE),
  IFERROR(
    VLOOKUP(G7, IMPORTRANGE(""https://docs.google.com/spr"&amp;"eadsheets/d/14deopnvwcrKtEGCKuYXdUHJbeLDZlkiSSWWT0g7x2pM/edit#gid=849066331"", ""LU List Science (Filter)!A:B""), 2, FALSE),
    ""Not Found""
  )
)
"),"Comparion of Particle Arrangements in the Three State of Matter")</f>
        <v>Comparion of Particle Arrangements in the Three State of Matter</v>
      </c>
      <c r="J7" s="1" t="str">
        <f t="shared" si="0"/>
        <v>LU005312.001</v>
      </c>
      <c r="K7" s="1" t="str">
        <f ca="1">IFERROR(__xludf.dummyfunction("VLOOKUP(J7, IMPORTRANGE(""https://docs.google.com/spreadsheets/d/1yDAaXNsi4Mr5FtRQL4tbmSdIzhx6_m4wkOD7IG-k_eo/edit#gid=1336395716"", ""Science!M:N""), 2, FALSE)"),"Students will recite the definitions of the particle arrangement in solids, liquids, and gases.")</f>
        <v>Students will recite the definitions of the particle arrangement in solids, liquids, and gases.</v>
      </c>
      <c r="L7" s="1" t="str">
        <f t="shared" si="1"/>
        <v>LU005312.002</v>
      </c>
      <c r="M7" s="1" t="str">
        <f ca="1">IFERROR(__xludf.dummyfunction("VLOOKUP(L7, IMPORTRANGE(""https://docs.google.com/spreadsheets/d/1yDAaXNsi4Mr5FtRQL4tbmSdIzhx6_m4wkOD7IG-k_eo/edit#gid=1336395716"", ""Science!M:N""), 2, FALSE)"),"Students will interpret diagrams showing particle arrangements in solids, liquids, and gases.")</f>
        <v>Students will interpret diagrams showing particle arrangements in solids, liquids, and gases.</v>
      </c>
      <c r="N7" s="1" t="str">
        <f t="shared" si="2"/>
        <v>LU005312.003</v>
      </c>
      <c r="O7" s="1" t="str">
        <f ca="1">IFERROR(__xludf.dummyfunction("VLOOKUP(N7, IMPORTRANGE(""https://docs.google.com/spreadsheets/d/1yDAaXNsi4Mr5FtRQL4tbmSdIzhx6_m4wkOD7IG-k_eo/edit#gid=1336395716"", ""Science!M:N""), 2, FALSE)"),"Students will demonstrate the particle arrangements of solids, liquids, and gases using models or simulations.")</f>
        <v>Students will demonstrate the particle arrangements of solids, liquids, and gases using models or simulations.</v>
      </c>
      <c r="P7" s="1" t="str">
        <f t="shared" si="3"/>
        <v>LU005312.004</v>
      </c>
      <c r="Q7" s="15" t="str">
        <f ca="1">IFERROR(__xludf.dummyfunction("VLOOKUP(P7, IMPORTRANGE(""https://docs.google.com/spreadsheets/d/1yDAaXNsi4Mr5FtRQL4tbmSdIzhx6_m4wkOD7IG-k_eo/edit#gid=1336395716"", ""Science!M:N""), 2, FALSE)"),"Students will differentiate between the particle arrangements in solids, liquids, and gases by examining their properties.")</f>
        <v>Students will differentiate between the particle arrangements in solids, liquids, and gases by examining their properties.</v>
      </c>
      <c r="R7" s="1" t="str">
        <f t="shared" si="4"/>
        <v>LU005312.005</v>
      </c>
      <c r="S7" s="15" t="str">
        <f ca="1">IFERROR(__xludf.dummyfunction("VLOOKUP(R7, IMPORTRANGE(""https://docs.google.com/spreadsheets/d/1yDAaXNsi4Mr5FtRQL4tbmSdIzhx6_m4wkOD7IG-k_eo/edit#gid=1336395716"", ""Science!M:N""), 2, FALSE)"),"Students will justify the suitability of different states of matter for various applications based on particle arrangement.")</f>
        <v>Students will justify the suitability of different states of matter for various applications based on particle arrangement.</v>
      </c>
      <c r="T7" s="1" t="str">
        <f t="shared" si="5"/>
        <v>LU005312.006</v>
      </c>
      <c r="U7" s="15" t="str">
        <f ca="1">IFERROR(__xludf.dummyfunction("VLOOKUP(T7, IMPORTRANGE(""https://docs.google.com/spreadsheets/d/1yDAaXNsi4Mr5FtRQL4tbmSdIzhx6_m4wkOD7IG-k_eo/edit#gid=1336395716"", ""Science!M:N""), 2, FALSE)"),"Students will design an experiment that shows the change in particle arrangement when matter transitions between solid, liquid, and gas states.")</f>
        <v>Students will design an experiment that shows the change in particle arrangement when matter transitions between solid, liquid, and gas states.</v>
      </c>
    </row>
    <row r="8" spans="1:33" ht="27.6">
      <c r="A8" s="1"/>
      <c r="B8" s="1" t="s">
        <v>29</v>
      </c>
      <c r="C8" s="1" t="s">
        <v>30</v>
      </c>
      <c r="D8" s="13">
        <v>6</v>
      </c>
      <c r="E8" s="1" t="s">
        <v>40</v>
      </c>
      <c r="F8" s="2" t="s">
        <v>41</v>
      </c>
      <c r="G8" s="14" t="s">
        <v>42</v>
      </c>
      <c r="H8" s="2" t="str">
        <f ca="1">IFERROR(__xludf.dummyfunction("IFERROR(
  VLOOKUP(G8, IMPORTRANGE(""https://docs.google.com/spreadsheets/d/14deopnvwcrKtEGCKuYXdUHJbeLDZlkiSSWWT0g7x2pM/edit#gid=849066331"", ""LU List Maths (Filter)!A:B""), 2, FALSE),
  IFERROR(
    VLOOKUP(G8, IMPORTRANGE(""https://docs.google.com/spr"&amp;"eadsheets/d/14deopnvwcrKtEGCKuYXdUHJbeLDZlkiSSWWT0g7x2pM/edit#gid=849066331"", ""LU List Science (Filter)!A:B""), 2, FALSE),
    ""Not Found""
  )
)
"),"Concept of length as distance between two points.")</f>
        <v>Concept of length as distance between two points.</v>
      </c>
      <c r="J8" s="1" t="str">
        <f t="shared" si="0"/>
        <v>LU006783.001</v>
      </c>
      <c r="K8" s="1" t="str">
        <f ca="1">IFERROR(__xludf.dummyfunction("VLOOKUP(J8, IMPORTRANGE(""https://docs.google.com/spreadsheets/d/1yDAaXNsi4Mr5FtRQL4tbmSdIzhx6_m4wkOD7IG-k_eo/edit#gid=1336395716"", ""Science!M:N""), 2, FALSE)"),"(LU006783.001); Default - Remember")</f>
        <v>(LU006783.001); Default - Remember</v>
      </c>
      <c r="L8" s="1" t="str">
        <f t="shared" si="1"/>
        <v>LU006783.002</v>
      </c>
      <c r="M8" s="1" t="str">
        <f ca="1">IFERROR(__xludf.dummyfunction("VLOOKUP(L8, IMPORTRANGE(""https://docs.google.com/spreadsheets/d/1yDAaXNsi4Mr5FtRQL4tbmSdIzhx6_m4wkOD7IG-k_eo/edit#gid=1336395716"", ""Science!M:N""), 2, FALSE)"),"(LU006783.002); Default - Understand")</f>
        <v>(LU006783.002); Default - Understand</v>
      </c>
      <c r="N8" s="1" t="str">
        <f t="shared" si="2"/>
        <v>LU006783.003</v>
      </c>
      <c r="O8" s="1" t="str">
        <f ca="1">IFERROR(__xludf.dummyfunction("VLOOKUP(N8, IMPORTRANGE(""https://docs.google.com/spreadsheets/d/1yDAaXNsi4Mr5FtRQL4tbmSdIzhx6_m4wkOD7IG-k_eo/edit#gid=1336395716"", ""Science!M:N""), 2, FALSE)"),"(LU006783.003); Default - Apply")</f>
        <v>(LU006783.003); Default - Apply</v>
      </c>
      <c r="P8" s="1" t="str">
        <f t="shared" si="3"/>
        <v>LU006783.004</v>
      </c>
      <c r="Q8" s="15" t="str">
        <f ca="1">IFERROR(__xludf.dummyfunction("VLOOKUP(P8, IMPORTRANGE(""https://docs.google.com/spreadsheets/d/1yDAaXNsi4Mr5FtRQL4tbmSdIzhx6_m4wkOD7IG-k_eo/edit#gid=1336395716"", ""Science!M:N""), 2, FALSE)"),"(LU006783.004); Default - Analyse")</f>
        <v>(LU006783.004); Default - Analyse</v>
      </c>
      <c r="R8" s="1" t="str">
        <f t="shared" si="4"/>
        <v>LU006783.005</v>
      </c>
      <c r="S8" s="15" t="str">
        <f ca="1">IFERROR(__xludf.dummyfunction("VLOOKUP(R8, IMPORTRANGE(""https://docs.google.com/spreadsheets/d/1yDAaXNsi4Mr5FtRQL4tbmSdIzhx6_m4wkOD7IG-k_eo/edit#gid=1336395716"", ""Science!M:N""), 2, FALSE)"),"(LU006783.005); Default - Evaluate")</f>
        <v>(LU006783.005); Default - Evaluate</v>
      </c>
      <c r="T8" s="1" t="str">
        <f t="shared" si="5"/>
        <v>LU006783.006</v>
      </c>
      <c r="U8" s="15" t="str">
        <f ca="1">IFERROR(__xludf.dummyfunction("VLOOKUP(T8, IMPORTRANGE(""https://docs.google.com/spreadsheets/d/1yDAaXNsi4Mr5FtRQL4tbmSdIzhx6_m4wkOD7IG-k_eo/edit#gid=1336395716"", ""Science!M:N""), 2, FALSE)"),"(LU006783.006); Default - Create")</f>
        <v>(LU006783.006); Default - Create</v>
      </c>
    </row>
    <row r="9" spans="1:33" ht="27.6">
      <c r="A9" s="1"/>
      <c r="B9" s="1" t="s">
        <v>29</v>
      </c>
      <c r="C9" s="1" t="s">
        <v>30</v>
      </c>
      <c r="D9" s="13">
        <v>6</v>
      </c>
      <c r="E9" s="1" t="s">
        <v>40</v>
      </c>
      <c r="F9" s="2" t="s">
        <v>41</v>
      </c>
      <c r="G9" s="14" t="s">
        <v>43</v>
      </c>
      <c r="H9" s="2" t="str">
        <f ca="1">IFERROR(__xludf.dummyfunction("IFERROR(
  VLOOKUP(G9, IMPORTRANGE(""https://docs.google.com/spreadsheets/d/14deopnvwcrKtEGCKuYXdUHJbeLDZlkiSSWWT0g7x2pM/edit#gid=849066331"", ""LU List Maths (Filter)!A:B""), 2, FALSE),
  IFERROR(
    VLOOKUP(G9, IMPORTRANGE(""https://docs.google.com/spr"&amp;"eadsheets/d/14deopnvwcrKtEGCKuYXdUHJbeLDZlkiSSWWT0g7x2pM/edit#gid=849066331"", ""LU List Science (Filter)!A:B""), 2, FALSE),
    ""Not Found""
  )
)
"),"Measurement of length using a ruler and measuring tape")</f>
        <v>Measurement of length using a ruler and measuring tape</v>
      </c>
      <c r="J9" s="1" t="str">
        <f t="shared" si="0"/>
        <v>LU006784.001</v>
      </c>
      <c r="K9" s="1" t="str">
        <f ca="1">IFERROR(__xludf.dummyfunction("VLOOKUP(J9, IMPORTRANGE(""https://docs.google.com/spreadsheets/d/1yDAaXNsi4Mr5FtRQL4tbmSdIzhx6_m4wkOD7IG-k_eo/edit#gid=1336395716"", ""Science!M:N""), 2, FALSE)"),"(LU006784.001); Default - Remember")</f>
        <v>(LU006784.001); Default - Remember</v>
      </c>
      <c r="L9" s="1" t="str">
        <f t="shared" si="1"/>
        <v>LU006784.002</v>
      </c>
      <c r="M9" s="1" t="str">
        <f ca="1">IFERROR(__xludf.dummyfunction("VLOOKUP(L9, IMPORTRANGE(""https://docs.google.com/spreadsheets/d/1yDAaXNsi4Mr5FtRQL4tbmSdIzhx6_m4wkOD7IG-k_eo/edit#gid=1336395716"", ""Science!M:N""), 2, FALSE)"),"(LU006784.002); Default - Understand")</f>
        <v>(LU006784.002); Default - Understand</v>
      </c>
      <c r="N9" s="1" t="str">
        <f t="shared" si="2"/>
        <v>LU006784.003</v>
      </c>
      <c r="O9" s="1" t="str">
        <f ca="1">IFERROR(__xludf.dummyfunction("VLOOKUP(N9, IMPORTRANGE(""https://docs.google.com/spreadsheets/d/1yDAaXNsi4Mr5FtRQL4tbmSdIzhx6_m4wkOD7IG-k_eo/edit#gid=1336395716"", ""Science!M:N""), 2, FALSE)"),"(LU006784.003); Default - Apply")</f>
        <v>(LU006784.003); Default - Apply</v>
      </c>
      <c r="P9" s="1" t="str">
        <f t="shared" si="3"/>
        <v>LU006784.004</v>
      </c>
      <c r="Q9" s="15" t="str">
        <f ca="1">IFERROR(__xludf.dummyfunction("VLOOKUP(P9, IMPORTRANGE(""https://docs.google.com/spreadsheets/d/1yDAaXNsi4Mr5FtRQL4tbmSdIzhx6_m4wkOD7IG-k_eo/edit#gid=1336395716"", ""Science!M:N""), 2, FALSE)"),"(LU006784.004); Default - Analyse")</f>
        <v>(LU006784.004); Default - Analyse</v>
      </c>
      <c r="R9" s="1" t="str">
        <f t="shared" si="4"/>
        <v>LU006784.005</v>
      </c>
      <c r="S9" s="15" t="str">
        <f ca="1">IFERROR(__xludf.dummyfunction("VLOOKUP(R9, IMPORTRANGE(""https://docs.google.com/spreadsheets/d/1yDAaXNsi4Mr5FtRQL4tbmSdIzhx6_m4wkOD7IG-k_eo/edit#gid=1336395716"", ""Science!M:N""), 2, FALSE)"),"(LU006784.005); Default - Evaluate")</f>
        <v>(LU006784.005); Default - Evaluate</v>
      </c>
      <c r="T9" s="1" t="str">
        <f t="shared" si="5"/>
        <v>LU006784.006</v>
      </c>
      <c r="U9" s="15" t="str">
        <f ca="1">IFERROR(__xludf.dummyfunction("VLOOKUP(T9, IMPORTRANGE(""https://docs.google.com/spreadsheets/d/1yDAaXNsi4Mr5FtRQL4tbmSdIzhx6_m4wkOD7IG-k_eo/edit#gid=1336395716"", ""Science!M:N""), 2, FALSE)"),"(LU006784.006); Default - Create")</f>
        <v>(LU006784.006); Default - Create</v>
      </c>
    </row>
    <row r="10" spans="1:33" ht="69">
      <c r="A10" s="1"/>
      <c r="B10" s="1" t="s">
        <v>29</v>
      </c>
      <c r="C10" s="1" t="s">
        <v>30</v>
      </c>
      <c r="D10" s="13">
        <v>6</v>
      </c>
      <c r="E10" s="1" t="s">
        <v>40</v>
      </c>
      <c r="F10" s="2" t="s">
        <v>41</v>
      </c>
      <c r="G10" s="1" t="s">
        <v>44</v>
      </c>
      <c r="H10" s="2" t="str">
        <f ca="1">IFERROR(__xludf.dummyfunction("IFERROR(
  VLOOKUP(G10, IMPORTRANGE(""https://docs.google.com/spreadsheets/d/14deopnvwcrKtEGCKuYXdUHJbeLDZlkiSSWWT0g7x2pM/edit#gid=849066331"", ""LU List Maths (Filter)!A:B""), 2, FALSE),
  IFERROR(
    VLOOKUP(G10, IMPORTRANGE(""https://docs.google.com/s"&amp;"preadsheets/d/14deopnvwcrKtEGCKuYXdUHJbeLDZlkiSSWWT0g7x2pM/edit#gid=849066331"", ""LU List Science (Filter)!A:B""), 2, FALSE),
    ""Not Found""
  )
)
"),"Units of length")</f>
        <v>Units of length</v>
      </c>
      <c r="J10" s="1" t="str">
        <f t="shared" si="0"/>
        <v>LU005174.001</v>
      </c>
      <c r="K10" s="1" t="str">
        <f ca="1">IFERROR(__xludf.dummyfunction("VLOOKUP(J10, IMPORTRANGE(""https://docs.google.com/spreadsheets/d/1yDAaXNsi4Mr5FtRQL4tbmSdIzhx6_m4wkOD7IG-k_eo/edit#gid=1336395716"", ""Science!M:N""), 2, FALSE)"),"Identify the basic units used to measure length.")</f>
        <v>Identify the basic units used to measure length.</v>
      </c>
      <c r="L10" s="1" t="str">
        <f t="shared" si="1"/>
        <v>LU005174.002</v>
      </c>
      <c r="M10" s="1" t="str">
        <f ca="1">IFERROR(__xludf.dummyfunction("VLOOKUP(L10, IMPORTRANGE(""https://docs.google.com/spreadsheets/d/1yDAaXNsi4Mr5FtRQL4tbmSdIzhx6_m4wkOD7IG-k_eo/edit#gid=1336395716"", ""Science!M:N""), 2, FALSE)"),"Explain the relationship between different length units (e.g., centimeters and meters).")</f>
        <v>Explain the relationship between different length units (e.g., centimeters and meters).</v>
      </c>
      <c r="N10" s="1" t="str">
        <f t="shared" si="2"/>
        <v>LU005174.003</v>
      </c>
      <c r="O10" s="1" t="str">
        <f ca="1">IFERROR(__xludf.dummyfunction("VLOOKUP(N10, IMPORTRANGE(""https://docs.google.com/spreadsheets/d/1yDAaXNsi4Mr5FtRQL4tbmSdIzhx6_m4wkOD7IG-k_eo/edit#gid=1336395716"", ""Science!M:N""), 2, FALSE)"),"Convert between various units of length.")</f>
        <v>Convert between various units of length.</v>
      </c>
      <c r="P10" s="1" t="str">
        <f t="shared" si="3"/>
        <v>LU005174.004</v>
      </c>
      <c r="Q10" s="15" t="str">
        <f ca="1">IFERROR(__xludf.dummyfunction("VLOOKUP(P10, IMPORTRANGE(""https://docs.google.com/spreadsheets/d/1yDAaXNsi4Mr5FtRQL4tbmSdIzhx6_m4wkOD7IG-k_eo/edit#gid=1336395716"", ""Science!M:N""), 2, FALSE)"),"Describe real-world scenarios where specific length units are commonly used.")</f>
        <v>Describe real-world scenarios where specific length units are commonly used.</v>
      </c>
      <c r="R10" s="1" t="str">
        <f t="shared" si="4"/>
        <v>LU005174.005</v>
      </c>
      <c r="S10" s="15" t="str">
        <f ca="1">IFERROR(__xludf.dummyfunction("VLOOKUP(R10, IMPORTRANGE(""https://docs.google.com/spreadsheets/d/1yDAaXNsi4Mr5FtRQL4tbmSdIzhx6_m4wkOD7IG-k_eo/edit#gid=1336395716"", ""Science!M:N""), 2, FALSE)"),"Judge the effectiveness of different units of length in solving practical measurement problems.")</f>
        <v>Judge the effectiveness of different units of length in solving practical measurement problems.</v>
      </c>
      <c r="T10" s="1" t="str">
        <f t="shared" si="5"/>
        <v>LU005174.006</v>
      </c>
      <c r="U10" s="15" t="str">
        <f ca="1">IFERROR(__xludf.dummyfunction("VLOOKUP(T10, IMPORTRANGE(""https://docs.google.com/spreadsheets/d/1yDAaXNsi4Mr5FtRQL4tbmSdIzhx6_m4wkOD7IG-k_eo/edit#gid=1336395716"", ""Science!M:N""), 2, FALSE)"),"Develop a hands-on classroom activity illustrating the use of different length units in daily life.")</f>
        <v>Develop a hands-on classroom activity illustrating the use of different length units in daily life.</v>
      </c>
    </row>
    <row r="11" spans="1:33" ht="69">
      <c r="A11" s="1"/>
      <c r="B11" s="1" t="s">
        <v>29</v>
      </c>
      <c r="C11" s="1" t="s">
        <v>30</v>
      </c>
      <c r="D11" s="13">
        <v>6</v>
      </c>
      <c r="E11" s="1" t="s">
        <v>40</v>
      </c>
      <c r="F11" s="2" t="s">
        <v>45</v>
      </c>
      <c r="G11" s="1" t="s">
        <v>46</v>
      </c>
      <c r="H11" s="2" t="str">
        <f ca="1">IFERROR(__xludf.dummyfunction("IFERROR(
  VLOOKUP(G11, IMPORTRANGE(""https://docs.google.com/spreadsheets/d/14deopnvwcrKtEGCKuYXdUHJbeLDZlkiSSWWT0g7x2pM/edit#gid=849066331"", ""LU List Maths (Filter)!A:B""), 2, FALSE),
  IFERROR(
    VLOOKUP(G11, IMPORTRANGE(""https://docs.google.com/s"&amp;"preadsheets/d/14deopnvwcrKtEGCKuYXdUHJbeLDZlkiSSWWT0g7x2pM/edit#gid=849066331"", ""LU List Science (Filter)!A:B""), 2, FALSE),
    ""Not Found""
  )
)
"),"Properties of material- Mass")</f>
        <v>Properties of material- Mass</v>
      </c>
      <c r="J11" s="1" t="str">
        <f t="shared" si="0"/>
        <v>LU006419.001</v>
      </c>
      <c r="K11" s="1" t="str">
        <f ca="1">IFERROR(__xludf.dummyfunction("VLOOKUP(J11, IMPORTRANGE(""https://docs.google.com/spreadsheets/d/1yDAaXNsi4Mr5FtRQL4tbmSdIzhx6_m4wkOD7IG-k_eo/edit#gid=1336395716"", ""Science!M:N""), 2, FALSE)"),"Define mass of an object. ")</f>
        <v xml:space="preserve">Define mass of an object. </v>
      </c>
      <c r="L11" s="1" t="str">
        <f t="shared" si="1"/>
        <v>LU006419.002</v>
      </c>
      <c r="M11" s="1" t="str">
        <f ca="1">IFERROR(__xludf.dummyfunction("VLOOKUP(L11, IMPORTRANGE(""https://docs.google.com/spreadsheets/d/1yDAaXNsi4Mr5FtRQL4tbmSdIzhx6_m4wkOD7IG-k_eo/edit#gid=1336395716"", ""Science!M:N""), 2, FALSE)"),"Explain the concept of mass using examples.")</f>
        <v>Explain the concept of mass using examples.</v>
      </c>
      <c r="N11" s="1" t="str">
        <f t="shared" si="2"/>
        <v>LU006419.003</v>
      </c>
      <c r="O11" s="1" t="str">
        <f ca="1">IFERROR(__xludf.dummyfunction("VLOOKUP(N11, IMPORTRANGE(""https://docs.google.com/spreadsheets/d/1yDAaXNsi4Mr5FtRQL4tbmSdIzhx6_m4wkOD7IG-k_eo/edit#gid=1336395716"", ""Science!M:N""), 2, FALSE)"),"Measure the mass of various classroom objects using a balance scale.")</f>
        <v>Measure the mass of various classroom objects using a balance scale.</v>
      </c>
      <c r="P11" s="1" t="str">
        <f t="shared" si="3"/>
        <v>LU006419.004</v>
      </c>
      <c r="Q11" s="15" t="str">
        <f ca="1">IFERROR(__xludf.dummyfunction("VLOOKUP(P11, IMPORTRANGE(""https://docs.google.com/spreadsheets/d/1yDAaXNsi4Mr5FtRQL4tbmSdIzhx6_m4wkOD7IG-k_eo/edit#gid=1336395716"", ""Science!M:N""), 2, FALSE)"),"Categorize objects by mass and discuss patterns or differences in their properties.")</f>
        <v>Categorize objects by mass and discuss patterns or differences in their properties.</v>
      </c>
      <c r="R11" s="1" t="str">
        <f t="shared" si="4"/>
        <v>LU006419.005</v>
      </c>
      <c r="S11" s="15" t="str">
        <f ca="1">IFERROR(__xludf.dummyfunction("VLOOKUP(R11, IMPORTRANGE(""https://docs.google.com/spreadsheets/d/1yDAaXNsi4Mr5FtRQL4tbmSdIzhx6_m4wkOD7IG-k_eo/edit#gid=1336395716"", ""Science!M:N""), 2, FALSE)"),"Assess which material (e.g., metal, wood) has more mass when given objects of the same size.")</f>
        <v>Assess which material (e.g., metal, wood) has more mass when given objects of the same size.</v>
      </c>
      <c r="T11" s="1" t="str">
        <f t="shared" si="5"/>
        <v>LU006419.006</v>
      </c>
      <c r="U11" s="15" t="str">
        <f ca="1">IFERROR(__xludf.dummyfunction("VLOOKUP(T11, IMPORTRANGE(""https://docs.google.com/spreadsheets/d/1yDAaXNsi4Mr5FtRQL4tbmSdIzhx6_m4wkOD7IG-k_eo/edit#gid=1336395716"", ""Science!M:N""), 2, FALSE)"),"Design a simple experiment to investigate the effect of size on the mass of objects made from the same material.")</f>
        <v>Design a simple experiment to investigate the effect of size on the mass of objects made from the same material.</v>
      </c>
    </row>
    <row r="12" spans="1:33" ht="27.6">
      <c r="A12" s="1"/>
      <c r="B12" s="1" t="s">
        <v>29</v>
      </c>
      <c r="C12" s="1" t="s">
        <v>30</v>
      </c>
      <c r="D12" s="13">
        <v>6</v>
      </c>
      <c r="E12" s="1" t="s">
        <v>40</v>
      </c>
      <c r="F12" s="2" t="s">
        <v>45</v>
      </c>
      <c r="G12" s="14" t="s">
        <v>47</v>
      </c>
      <c r="H12" s="2" t="str">
        <f ca="1">IFERROR(__xludf.dummyfunction("IFERROR(
  VLOOKUP(G12, IMPORTRANGE(""https://docs.google.com/spreadsheets/d/14deopnvwcrKtEGCKuYXdUHJbeLDZlkiSSWWT0g7x2pM/edit#gid=849066331"", ""LU List Maths (Filter)!A:B""), 2, FALSE),
  IFERROR(
    VLOOKUP(G12, IMPORTRANGE(""https://docs.google.com/s"&amp;"preadsheets/d/14deopnvwcrKtEGCKuYXdUHJbeLDZlkiSSWWT0g7x2pM/edit#gid=849066331"", ""LU List Science (Filter)!A:B""), 2, FALSE),
    ""Not Found""
  )
)
"),"Measurement of mass using beam balance and electronic balance")</f>
        <v>Measurement of mass using beam balance and electronic balance</v>
      </c>
      <c r="J12" s="1" t="str">
        <f t="shared" si="0"/>
        <v>LU006785.001</v>
      </c>
      <c r="K12" s="1" t="str">
        <f ca="1">IFERROR(__xludf.dummyfunction("VLOOKUP(J12, IMPORTRANGE(""https://docs.google.com/spreadsheets/d/1yDAaXNsi4Mr5FtRQL4tbmSdIzhx6_m4wkOD7IG-k_eo/edit#gid=1336395716"", ""Science!M:N""), 2, FALSE)"),"(LU006785.001); Default - Remember")</f>
        <v>(LU006785.001); Default - Remember</v>
      </c>
      <c r="L12" s="1" t="str">
        <f t="shared" si="1"/>
        <v>LU006785.002</v>
      </c>
      <c r="M12" s="1" t="str">
        <f ca="1">IFERROR(__xludf.dummyfunction("VLOOKUP(L12, IMPORTRANGE(""https://docs.google.com/spreadsheets/d/1yDAaXNsi4Mr5FtRQL4tbmSdIzhx6_m4wkOD7IG-k_eo/edit#gid=1336395716"", ""Science!M:N""), 2, FALSE)"),"(LU006785.002); Default - Understand")</f>
        <v>(LU006785.002); Default - Understand</v>
      </c>
      <c r="N12" s="1" t="str">
        <f t="shared" si="2"/>
        <v>LU006785.003</v>
      </c>
      <c r="O12" s="1" t="str">
        <f ca="1">IFERROR(__xludf.dummyfunction("VLOOKUP(N12, IMPORTRANGE(""https://docs.google.com/spreadsheets/d/1yDAaXNsi4Mr5FtRQL4tbmSdIzhx6_m4wkOD7IG-k_eo/edit#gid=1336395716"", ""Science!M:N""), 2, FALSE)"),"(LU006785.003); Default - Apply")</f>
        <v>(LU006785.003); Default - Apply</v>
      </c>
      <c r="P12" s="1" t="str">
        <f t="shared" si="3"/>
        <v>LU006785.004</v>
      </c>
      <c r="Q12" s="15" t="str">
        <f ca="1">IFERROR(__xludf.dummyfunction("VLOOKUP(P12, IMPORTRANGE(""https://docs.google.com/spreadsheets/d/1yDAaXNsi4Mr5FtRQL4tbmSdIzhx6_m4wkOD7IG-k_eo/edit#gid=1336395716"", ""Science!M:N""), 2, FALSE)"),"(LU006785.004); Default - Analyse")</f>
        <v>(LU006785.004); Default - Analyse</v>
      </c>
      <c r="R12" s="1" t="str">
        <f t="shared" si="4"/>
        <v>LU006785.005</v>
      </c>
      <c r="S12" s="15" t="str">
        <f ca="1">IFERROR(__xludf.dummyfunction("VLOOKUP(R12, IMPORTRANGE(""https://docs.google.com/spreadsheets/d/1yDAaXNsi4Mr5FtRQL4tbmSdIzhx6_m4wkOD7IG-k_eo/edit#gid=1336395716"", ""Science!M:N""), 2, FALSE)"),"(LU006785.005); Default - Evaluate")</f>
        <v>(LU006785.005); Default - Evaluate</v>
      </c>
      <c r="T12" s="1" t="str">
        <f t="shared" si="5"/>
        <v>LU006785.006</v>
      </c>
      <c r="U12" s="15" t="str">
        <f ca="1">IFERROR(__xludf.dummyfunction("VLOOKUP(T12, IMPORTRANGE(""https://docs.google.com/spreadsheets/d/1yDAaXNsi4Mr5FtRQL4tbmSdIzhx6_m4wkOD7IG-k_eo/edit#gid=1336395716"", ""Science!M:N""), 2, FALSE)"),"(LU006785.006); Default - Create")</f>
        <v>(LU006785.006); Default - Create</v>
      </c>
    </row>
    <row r="13" spans="1:33" ht="55.2">
      <c r="A13" s="1"/>
      <c r="B13" s="1" t="s">
        <v>29</v>
      </c>
      <c r="C13" s="1" t="s">
        <v>30</v>
      </c>
      <c r="D13" s="13">
        <v>6</v>
      </c>
      <c r="E13" s="1" t="s">
        <v>40</v>
      </c>
      <c r="F13" s="2" t="s">
        <v>45</v>
      </c>
      <c r="G13" s="1" t="s">
        <v>48</v>
      </c>
      <c r="H13" s="2" t="str">
        <f ca="1">IFERROR(__xludf.dummyfunction("IFERROR(
  VLOOKUP(G13, IMPORTRANGE(""https://docs.google.com/spreadsheets/d/14deopnvwcrKtEGCKuYXdUHJbeLDZlkiSSWWT0g7x2pM/edit#gid=849066331"", ""LU List Maths (Filter)!A:B""), 2, FALSE),
  IFERROR(
    VLOOKUP(G13, IMPORTRANGE(""https://docs.google.com/s"&amp;"preadsheets/d/14deopnvwcrKtEGCKuYXdUHJbeLDZlkiSSWWT0g7x2pM/edit#gid=849066331"", ""LU List Science (Filter)!A:B""), 2, FALSE),
    ""Not Found""
  )
)
"),"Units of mass")</f>
        <v>Units of mass</v>
      </c>
      <c r="J13" s="1" t="str">
        <f t="shared" si="0"/>
        <v>LU005183.001</v>
      </c>
      <c r="K13" s="1" t="str">
        <f ca="1">IFERROR(__xludf.dummyfunction("VLOOKUP(J13, IMPORTRANGE(""https://docs.google.com/spreadsheets/d/1yDAaXNsi4Mr5FtRQL4tbmSdIzhx6_m4wkOD7IG-k_eo/edit#gid=1336395716"", ""Science!M:N""), 2, FALSE)"),"Recall the basic units used to measure mass.")</f>
        <v>Recall the basic units used to measure mass.</v>
      </c>
      <c r="L13" s="1" t="str">
        <f t="shared" si="1"/>
        <v>LU005183.002</v>
      </c>
      <c r="M13" s="1" t="str">
        <f ca="1">IFERROR(__xludf.dummyfunction("VLOOKUP(L13, IMPORTRANGE(""https://docs.google.com/spreadsheets/d/1yDAaXNsi4Mr5FtRQL4tbmSdIzhx6_m4wkOD7IG-k_eo/edit#gid=1336395716"", ""Science!M:N""), 2, FALSE)"),"Explain the relationship between different mass units (e.g., grams and kilograms).")</f>
        <v>Explain the relationship between different mass units (e.g., grams and kilograms).</v>
      </c>
      <c r="N13" s="1" t="str">
        <f t="shared" si="2"/>
        <v>LU005183.003</v>
      </c>
      <c r="O13" s="1" t="str">
        <f ca="1">IFERROR(__xludf.dummyfunction("VLOOKUP(N13, IMPORTRANGE(""https://docs.google.com/spreadsheets/d/1yDAaXNsi4Mr5FtRQL4tbmSdIzhx6_m4wkOD7IG-k_eo/edit#gid=1336395716"", ""Science!M:N""), 2, FALSE)"),"Convert between various units of mass.")</f>
        <v>Convert between various units of mass.</v>
      </c>
      <c r="P13" s="1" t="str">
        <f t="shared" si="3"/>
        <v>LU005183.004</v>
      </c>
      <c r="Q13" s="15" t="str">
        <f ca="1">IFERROR(__xludf.dummyfunction("VLOOKUP(P13, IMPORTRANGE(""https://docs.google.com/spreadsheets/d/1yDAaXNsi4Mr5FtRQL4tbmSdIzhx6_m4wkOD7IG-k_eo/edit#gid=1336395716"", ""Science!M:N""), 2, FALSE)"),"#N/A")</f>
        <v>#N/A</v>
      </c>
      <c r="R13" s="1" t="str">
        <f t="shared" si="4"/>
        <v>LU005183.005</v>
      </c>
      <c r="S13" s="15" t="str">
        <f ca="1">IFERROR(__xludf.dummyfunction("VLOOKUP(R13, IMPORTRANGE(""https://docs.google.com/spreadsheets/d/1yDAaXNsi4Mr5FtRQL4tbmSdIzhx6_m4wkOD7IG-k_eo/edit#gid=1336395716"", ""Science!M:N""), 2, FALSE)"),"Evaluate the significance of precise mass measurements in industries like pharmaceuticals or cooking.")</f>
        <v>Evaluate the significance of precise mass measurements in industries like pharmaceuticals or cooking.</v>
      </c>
      <c r="T13" s="1" t="str">
        <f t="shared" si="5"/>
        <v>LU005183.006</v>
      </c>
      <c r="U13" s="15" t="str">
        <f ca="1">IFERROR(__xludf.dummyfunction("VLOOKUP(T13, IMPORTRANGE(""https://docs.google.com/spreadsheets/d/1yDAaXNsi4Mr5FtRQL4tbmSdIzhx6_m4wkOD7IG-k_eo/edit#gid=1336395716"", ""Science!M:N""), 2, FALSE)"),"#N/A")</f>
        <v>#N/A</v>
      </c>
    </row>
    <row r="14" spans="1:33" ht="27.6">
      <c r="A14" s="1"/>
      <c r="B14" s="1" t="s">
        <v>29</v>
      </c>
      <c r="C14" s="1" t="s">
        <v>30</v>
      </c>
      <c r="D14" s="13">
        <v>6</v>
      </c>
      <c r="E14" s="1" t="s">
        <v>40</v>
      </c>
      <c r="F14" s="2" t="s">
        <v>49</v>
      </c>
      <c r="G14" s="14" t="s">
        <v>50</v>
      </c>
      <c r="H14" s="2" t="str">
        <f ca="1">IFERROR(__xludf.dummyfunction("IFERROR(
  VLOOKUP(G14, IMPORTRANGE(""https://docs.google.com/spreadsheets/d/14deopnvwcrKtEGCKuYXdUHJbeLDZlkiSSWWT0g7x2pM/edit#gid=849066331"", ""LU List Maths (Filter)!A:B""), 2, FALSE),
  IFERROR(
    VLOOKUP(G14, IMPORTRANGE(""https://docs.google.com/s"&amp;"preadsheets/d/14deopnvwcrKtEGCKuYXdUHJbeLDZlkiSSWWT0g7x2pM/edit#gid=849066331"", ""LU List Science (Filter)!A:B""), 2, FALSE),
    ""Not Found""
  )
)
"),"Measurement of time using clock, watch and stop watch")</f>
        <v>Measurement of time using clock, watch and stop watch</v>
      </c>
      <c r="J14" s="1" t="str">
        <f t="shared" si="0"/>
        <v>LU006786.001</v>
      </c>
      <c r="K14" s="1" t="str">
        <f ca="1">IFERROR(__xludf.dummyfunction("VLOOKUP(J14, IMPORTRANGE(""https://docs.google.com/spreadsheets/d/1yDAaXNsi4Mr5FtRQL4tbmSdIzhx6_m4wkOD7IG-k_eo/edit#gid=1336395716"", ""Science!M:N""), 2, FALSE)"),"(LU006786.001); Default - Remember")</f>
        <v>(LU006786.001); Default - Remember</v>
      </c>
      <c r="L14" s="1" t="str">
        <f t="shared" si="1"/>
        <v>LU006786.002</v>
      </c>
      <c r="M14" s="1" t="str">
        <f ca="1">IFERROR(__xludf.dummyfunction("VLOOKUP(L14, IMPORTRANGE(""https://docs.google.com/spreadsheets/d/1yDAaXNsi4Mr5FtRQL4tbmSdIzhx6_m4wkOD7IG-k_eo/edit#gid=1336395716"", ""Science!M:N""), 2, FALSE)"),"(LU006786.002); Default - Understand")</f>
        <v>(LU006786.002); Default - Understand</v>
      </c>
      <c r="N14" s="1" t="str">
        <f t="shared" si="2"/>
        <v>LU006786.003</v>
      </c>
      <c r="O14" s="1" t="str">
        <f ca="1">IFERROR(__xludf.dummyfunction("VLOOKUP(N14, IMPORTRANGE(""https://docs.google.com/spreadsheets/d/1yDAaXNsi4Mr5FtRQL4tbmSdIzhx6_m4wkOD7IG-k_eo/edit#gid=1336395716"", ""Science!M:N""), 2, FALSE)"),"(LU006786.003); Default - Apply")</f>
        <v>(LU006786.003); Default - Apply</v>
      </c>
      <c r="P14" s="1" t="str">
        <f t="shared" si="3"/>
        <v>LU006786.004</v>
      </c>
      <c r="Q14" s="15" t="str">
        <f ca="1">IFERROR(__xludf.dummyfunction("VLOOKUP(P14, IMPORTRANGE(""https://docs.google.com/spreadsheets/d/1yDAaXNsi4Mr5FtRQL4tbmSdIzhx6_m4wkOD7IG-k_eo/edit#gid=1336395716"", ""Science!M:N""), 2, FALSE)"),"(LU006786.004); Default - Analyse")</f>
        <v>(LU006786.004); Default - Analyse</v>
      </c>
      <c r="R14" s="1" t="str">
        <f t="shared" si="4"/>
        <v>LU006786.005</v>
      </c>
      <c r="S14" s="15" t="str">
        <f ca="1">IFERROR(__xludf.dummyfunction("VLOOKUP(R14, IMPORTRANGE(""https://docs.google.com/spreadsheets/d/1yDAaXNsi4Mr5FtRQL4tbmSdIzhx6_m4wkOD7IG-k_eo/edit#gid=1336395716"", ""Science!M:N""), 2, FALSE)"),"(LU006786.005); Default - Evaluate")</f>
        <v>(LU006786.005); Default - Evaluate</v>
      </c>
      <c r="T14" s="1" t="str">
        <f t="shared" si="5"/>
        <v>LU006786.006</v>
      </c>
      <c r="U14" s="15" t="str">
        <f ca="1">IFERROR(__xludf.dummyfunction("VLOOKUP(T14, IMPORTRANGE(""https://docs.google.com/spreadsheets/d/1yDAaXNsi4Mr5FtRQL4tbmSdIzhx6_m4wkOD7IG-k_eo/edit#gid=1336395716"", ""Science!M:N""), 2, FALSE)"),"(LU006786.006); Default - Create")</f>
        <v>(LU006786.006); Default - Create</v>
      </c>
    </row>
    <row r="15" spans="1:33" ht="82.8">
      <c r="A15" s="1"/>
      <c r="B15" s="1" t="s">
        <v>29</v>
      </c>
      <c r="C15" s="1" t="s">
        <v>30</v>
      </c>
      <c r="D15" s="13">
        <v>6</v>
      </c>
      <c r="E15" s="1" t="s">
        <v>40</v>
      </c>
      <c r="F15" s="2" t="s">
        <v>49</v>
      </c>
      <c r="G15" s="1" t="s">
        <v>51</v>
      </c>
      <c r="H15" s="2" t="str">
        <f ca="1">IFERROR(__xludf.dummyfunction("IFERROR(
  VLOOKUP(G15, IMPORTRANGE(""https://docs.google.com/spreadsheets/d/14deopnvwcrKtEGCKuYXdUHJbeLDZlkiSSWWT0g7x2pM/edit#gid=849066331"", ""LU List Maths (Filter)!A:B""), 2, FALSE),
  IFERROR(
    VLOOKUP(G15, IMPORTRANGE(""https://docs.google.com/s"&amp;"preadsheets/d/14deopnvwcrKtEGCKuYXdUHJbeLDZlkiSSWWT0g7x2pM/edit#gid=849066331"", ""LU List Science (Filter)!A:B""), 2, FALSE),
    ""Not Found""
  )
)
"),"Units of Time")</f>
        <v>Units of Time</v>
      </c>
      <c r="J15" s="1" t="str">
        <f t="shared" si="0"/>
        <v>LU005384.001</v>
      </c>
      <c r="K15" s="1" t="str">
        <f ca="1">IFERROR(__xludf.dummyfunction("VLOOKUP(J15, IMPORTRANGE(""https://docs.google.com/spreadsheets/d/1yDAaXNsi4Mr5FtRQL4tbmSdIzhx6_m4wkOD7IG-k_eo/edit#gid=1336395716"", ""Science!M:N""), 2, FALSE)"),"Identify and list the basic units of time from smallest (e.g., seconds) to largest (e.g., decades).")</f>
        <v>Identify and list the basic units of time from smallest (e.g., seconds) to largest (e.g., decades).</v>
      </c>
      <c r="L15" s="1" t="str">
        <f t="shared" si="1"/>
        <v>LU005384.002</v>
      </c>
      <c r="M15" s="1" t="str">
        <f ca="1">IFERROR(__xludf.dummyfunction("VLOOKUP(L15, IMPORTRANGE(""https://docs.google.com/spreadsheets/d/1yDAaXNsi4Mr5FtRQL4tbmSdIzhx6_m4wkOD7IG-k_eo/edit#gid=1336395716"", ""Science!M:N""), 2, FALSE)"),"Describe the relationships between seconds, minutes, hours, days, weeks, months, and years in terms of their conversions.")</f>
        <v>Describe the relationships between seconds, minutes, hours, days, weeks, months, and years in terms of their conversions.</v>
      </c>
      <c r="N15" s="1" t="str">
        <f t="shared" si="2"/>
        <v>LU005384.003</v>
      </c>
      <c r="O15" s="1" t="str">
        <f ca="1">IFERROR(__xludf.dummyfunction("VLOOKUP(N15, IMPORTRANGE(""https://docs.google.com/spreadsheets/d/1yDAaXNsi4Mr5FtRQL4tbmSdIzhx6_m4wkOD7IG-k_eo/edit#gid=1336395716"", ""Science!M:N""), 2, FALSE)"),"Convert between different units of time, such as changing hours into minutes or days into hours.")</f>
        <v>Convert between different units of time, such as changing hours into minutes or days into hours.</v>
      </c>
      <c r="P15" s="1" t="str">
        <f t="shared" si="3"/>
        <v>LU005384.004</v>
      </c>
      <c r="Q15" s="15" t="str">
        <f ca="1">IFERROR(__xludf.dummyfunction("VLOOKUP(P15, IMPORTRANGE(""https://docs.google.com/spreadsheets/d/1yDAaXNsi4Mr5FtRQL4tbmSdIzhx6_m4wkOD7IG-k_eo/edit#gid=1336395716"", ""Science!M:N""), 2, FALSE)"),"Compare and contrast the usefulness of different time units in various real-life scenarios (e.g., measuring the duration of a car journey vs. the age of a historical artifact).")</f>
        <v>Compare and contrast the usefulness of different time units in various real-life scenarios (e.g., measuring the duration of a car journey vs. the age of a historical artifact).</v>
      </c>
      <c r="R15" s="1" t="str">
        <f t="shared" si="4"/>
        <v>LU005384.005</v>
      </c>
      <c r="S15" s="15" t="str">
        <f ca="1">IFERROR(__xludf.dummyfunction("VLOOKUP(R15, IMPORTRANGE(""https://docs.google.com/spreadsheets/d/1yDAaXNsi4Mr5FtRQL4tbmSdIzhx6_m4wkOD7IG-k_eo/edit#gid=1336395716"", ""Science!M:N""), 2, FALSE)"),"Assess the accuracy and appropriateness of using specific units of time for different types of motion events")</f>
        <v>Assess the accuracy and appropriateness of using specific units of time for different types of motion events</v>
      </c>
      <c r="T15" s="1" t="str">
        <f t="shared" si="5"/>
        <v>LU005384.006</v>
      </c>
      <c r="U15" s="15" t="str">
        <f ca="1">IFERROR(__xludf.dummyfunction("VLOOKUP(T15, IMPORTRANGE(""https://docs.google.com/spreadsheets/d/1yDAaXNsi4Mr5FtRQL4tbmSdIzhx6_m4wkOD7IG-k_eo/edit#gid=1336395716"", ""Science!M:N""), 2, FALSE)"),"#N/A")</f>
        <v>#N/A</v>
      </c>
    </row>
    <row r="16" spans="1:33" ht="82.8">
      <c r="A16" s="1"/>
      <c r="B16" s="1" t="s">
        <v>29</v>
      </c>
      <c r="C16" s="1" t="s">
        <v>30</v>
      </c>
      <c r="D16" s="13">
        <v>6</v>
      </c>
      <c r="E16" s="1" t="s">
        <v>40</v>
      </c>
      <c r="F16" s="1" t="s">
        <v>52</v>
      </c>
      <c r="G16" s="2" t="s">
        <v>53</v>
      </c>
      <c r="H16" s="2" t="str">
        <f ca="1">IFERROR(__xludf.dummyfunction("IFERROR(
  VLOOKUP(G16, IMPORTRANGE(""https://docs.google.com/spreadsheets/d/14deopnvwcrKtEGCKuYXdUHJbeLDZlkiSSWWT0g7x2pM/edit#gid=849066331"", ""LU List Maths (Filter)!A:B""), 2, FALSE),
  IFERROR(
    VLOOKUP(G16, IMPORTRANGE(""https://docs.google.com/s"&amp;"preadsheets/d/14deopnvwcrKtEGCKuYXdUHJbeLDZlkiSSWWT0g7x2pM/edit#gid=849066331"", ""LU List Science (Filter)!A:B""), 2, FALSE),
    ""Not Found""
  )
)
"),"Sense of touch as temperature sensor")</f>
        <v>Sense of touch as temperature sensor</v>
      </c>
      <c r="J16" s="1" t="str">
        <f t="shared" si="0"/>
        <v>LU005361.001</v>
      </c>
      <c r="K16" s="1" t="str">
        <f ca="1">IFERROR(__xludf.dummyfunction("VLOOKUP(J16, IMPORTRANGE(""https://docs.google.com/spreadsheets/d/1yDAaXNsi4Mr5FtRQL4tbmSdIzhx6_m4wkOD7IG-k_eo/edit#gid=1336395716"", ""Science!M:N""), 2, FALSE)"),"Recall basic safety practices related to temperature, such as not touching extremely hot or cold objects to prevent skin damage.")</f>
        <v>Recall basic safety practices related to temperature, such as not touching extremely hot or cold objects to prevent skin damage.</v>
      </c>
      <c r="L16" s="1" t="str">
        <f t="shared" si="1"/>
        <v>LU005361.002</v>
      </c>
      <c r="M16" s="1" t="str">
        <f ca="1">IFERROR(__xludf.dummyfunction("VLOOKUP(L16, IMPORTRANGE(""https://docs.google.com/spreadsheets/d/1yDAaXNsi4Mr5FtRQL4tbmSdIzhx6_m4wkOD7IG-k_eo/edit#gid=1336395716"", ""Science!M:N""), 2, FALSE)"),"Categorise the objects in the surroundings as hot and cold.")</f>
        <v>Categorise the objects in the surroundings as hot and cold.</v>
      </c>
      <c r="N16" s="1" t="str">
        <f t="shared" si="2"/>
        <v>LU005361.003</v>
      </c>
      <c r="O16" s="1" t="str">
        <f ca="1">IFERROR(__xludf.dummyfunction("VLOOKUP(N16, IMPORTRANGE(""https://docs.google.com/spreadsheets/d/1yDAaXNsi4Mr5FtRQL4tbmSdIzhx6_m4wkOD7IG-k_eo/edit#gid=1336395716"", ""Science!M:N""), 2, FALSE)"),"Demonstrate that touch is not an accurate measure to find the degree of hotness or coldness.")</f>
        <v>Demonstrate that touch is not an accurate measure to find the degree of hotness or coldness.</v>
      </c>
      <c r="P16" s="1" t="str">
        <f t="shared" si="3"/>
        <v>LU005361.004</v>
      </c>
      <c r="Q16" s="15" t="str">
        <f ca="1">IFERROR(__xludf.dummyfunction("VLOOKUP(P16, IMPORTRANGE(""https://docs.google.com/spreadsheets/d/1yDAaXNsi4Mr5FtRQL4tbmSdIzhx6_m4wkOD7IG-k_eo/edit#gid=1336395716"", ""Science!M:N""), 2, FALSE)"),"#N/A")</f>
        <v>#N/A</v>
      </c>
      <c r="R16" s="1" t="str">
        <f t="shared" si="4"/>
        <v>LU005361.005</v>
      </c>
      <c r="S16" s="15" t="str">
        <f ca="1">IFERROR(__xludf.dummyfunction("VLOOKUP(R16, IMPORTRANGE(""https://docs.google.com/spreadsheets/d/1yDAaXNsi4Mr5FtRQL4tbmSdIzhx6_m4wkOD7IG-k_eo/edit#gid=1336395716"", ""Science!M:N""), 2, FALSE)"),"Evaluate the limitations of solely relying on our sense of touch to determine the temperature of objects . ")</f>
        <v xml:space="preserve">Evaluate the limitations of solely relying on our sense of touch to determine the temperature of objects . </v>
      </c>
      <c r="T16" s="1" t="str">
        <f t="shared" si="5"/>
        <v>LU005361.006</v>
      </c>
      <c r="U16" s="15" t="str">
        <f ca="1">IFERROR(__xludf.dummyfunction("VLOOKUP(T16, IMPORTRANGE(""https://docs.google.com/spreadsheets/d/1yDAaXNsi4Mr5FtRQL4tbmSdIzhx6_m4wkOD7IG-k_eo/edit#gid=1336395716"", ""Science!M:N""), 2, FALSE)"),"Design a simple experiment to test the accuracy of human touch in gauging temperatures of different substances.")</f>
        <v>Design a simple experiment to test the accuracy of human touch in gauging temperatures of different substances.</v>
      </c>
    </row>
    <row r="17" spans="1:21" ht="69">
      <c r="A17" s="1"/>
      <c r="B17" s="1" t="s">
        <v>29</v>
      </c>
      <c r="C17" s="1" t="s">
        <v>30</v>
      </c>
      <c r="D17" s="13">
        <v>6</v>
      </c>
      <c r="E17" s="1" t="s">
        <v>40</v>
      </c>
      <c r="F17" s="1" t="s">
        <v>52</v>
      </c>
      <c r="G17" s="2" t="s">
        <v>54</v>
      </c>
      <c r="H17" s="2" t="str">
        <f ca="1">IFERROR(__xludf.dummyfunction("IFERROR(
  VLOOKUP(G17, IMPORTRANGE(""https://docs.google.com/spreadsheets/d/14deopnvwcrKtEGCKuYXdUHJbeLDZlkiSSWWT0g7x2pM/edit#gid=849066331"", ""LU List Maths (Filter)!A:B""), 2, FALSE),
  IFERROR(
    VLOOKUP(G17, IMPORTRANGE(""https://docs.google.com/s"&amp;"preadsheets/d/14deopnvwcrKtEGCKuYXdUHJbeLDZlkiSSWWT0g7x2pM/edit#gid=849066331"", ""LU List Science (Filter)!A:B""), 2, FALSE),
    ""Not Found""
  )
)
"),"Temperature, Its Measurement Scales, and Conversion Methods")</f>
        <v>Temperature, Its Measurement Scales, and Conversion Methods</v>
      </c>
      <c r="J17" s="1" t="str">
        <f t="shared" si="0"/>
        <v>LU006422.001</v>
      </c>
      <c r="K17" s="1" t="str">
        <f ca="1">IFERROR(__xludf.dummyfunction("VLOOKUP(J17, IMPORTRANGE(""https://docs.google.com/spreadsheets/d/1yDAaXNsi4Mr5FtRQL4tbmSdIzhx6_m4wkOD7IG-k_eo/edit#gid=1336395716"", ""Science!M:N""), 2, FALSE)"),"Recall the common temperature scales. ")</f>
        <v xml:space="preserve">Recall the common temperature scales. </v>
      </c>
      <c r="L17" s="1" t="str">
        <f t="shared" si="1"/>
        <v>LU006422.002</v>
      </c>
      <c r="M17" s="1" t="str">
        <f ca="1">IFERROR(__xludf.dummyfunction("VLOOKUP(L17, IMPORTRANGE(""https://docs.google.com/spreadsheets/d/1yDAaXNsi4Mr5FtRQL4tbmSdIzhx6_m4wkOD7IG-k_eo/edit#gid=1336395716"", ""Science!M:N""), 2, FALSE)"),"Explain how temperature is measured using different scales and why it is important.")</f>
        <v>Explain how temperature is measured using different scales and why it is important.</v>
      </c>
      <c r="N17" s="1" t="str">
        <f t="shared" si="2"/>
        <v>LU006422.003</v>
      </c>
      <c r="O17" s="1" t="str">
        <f ca="1">IFERROR(__xludf.dummyfunction("VLOOKUP(N17, IMPORTRANGE(""https://docs.google.com/spreadsheets/d/1yDAaXNsi4Mr5FtRQL4tbmSdIzhx6_m4wkOD7IG-k_eo/edit#gid=1336395716"", ""Science!M:N""), 2, FALSE)"),"Convert temperatures between different temperature scales using a simple formula.")</f>
        <v>Convert temperatures between different temperature scales using a simple formula.</v>
      </c>
      <c r="P17" s="1" t="str">
        <f t="shared" si="3"/>
        <v>LU006422.004</v>
      </c>
      <c r="Q17" s="15" t="str">
        <f ca="1">IFERROR(__xludf.dummyfunction("VLOOKUP(P17, IMPORTRANGE(""https://docs.google.com/spreadsheets/d/1yDAaXNsi4Mr5FtRQL4tbmSdIzhx6_m4wkOD7IG-k_eo/edit#gid=1336395716"", ""Science!M:N""), 2, FALSE)"),"Compare temperature readings on different scales and discuss their relationships.")</f>
        <v>Compare temperature readings on different scales and discuss their relationships.</v>
      </c>
      <c r="R17" s="1" t="str">
        <f t="shared" si="4"/>
        <v>LU006422.005</v>
      </c>
      <c r="S17" s="15" t="str">
        <f ca="1">IFERROR(__xludf.dummyfunction("VLOOKUP(R17, IMPORTRANGE(""https://docs.google.com/spreadsheets/d/1yDAaXNsi4Mr5FtRQL4tbmSdIzhx6_m4wkOD7IG-k_eo/edit#gid=1336395716"", ""Science!M:N""), 2, FALSE)"),"Critique the effectiveness of using one scale over another in different contexts (e.g., scientific vs. daily life).")</f>
        <v>Critique the effectiveness of using one scale over another in different contexts (e.g., scientific vs. daily life).</v>
      </c>
      <c r="T17" s="1" t="str">
        <f t="shared" si="5"/>
        <v>LU006422.006</v>
      </c>
      <c r="U17" s="15" t="str">
        <f ca="1">IFERROR(__xludf.dummyfunction("VLOOKUP(T17, IMPORTRANGE(""https://docs.google.com/spreadsheets/d/1yDAaXNsi4Mr5FtRQL4tbmSdIzhx6_m4wkOD7IG-k_eo/edit#gid=1336395716"", ""Science!M:N""), 2, FALSE)"),"Develop a simple guide or chart that helps peers understand how to convert temperatures between different scales. ")</f>
        <v xml:space="preserve">Develop a simple guide or chart that helps peers understand how to convert temperatures between different scales. </v>
      </c>
    </row>
    <row r="18" spans="1:21" ht="69">
      <c r="A18" s="1"/>
      <c r="B18" s="1" t="s">
        <v>29</v>
      </c>
      <c r="C18" s="1" t="s">
        <v>30</v>
      </c>
      <c r="D18" s="13">
        <v>6</v>
      </c>
      <c r="E18" s="1" t="s">
        <v>40</v>
      </c>
      <c r="F18" s="2" t="s">
        <v>55</v>
      </c>
      <c r="G18" s="18" t="s">
        <v>56</v>
      </c>
      <c r="H18" s="2" t="str">
        <f ca="1">IFERROR(__xludf.dummyfunction("IFERROR(
  VLOOKUP(G18, IMPORTRANGE(""https://docs.google.com/spreadsheets/d/14deopnvwcrKtEGCKuYXdUHJbeLDZlkiSSWWT0g7x2pM/edit#gid=849066331"", ""LU List Maths (Filter)!A:B""), 2, FALSE),
  IFERROR(
    VLOOKUP(G18, IMPORTRANGE(""https://docs.google.com/s"&amp;"preadsheets/d/14deopnvwcrKtEGCKuYXdUHJbeLDZlkiSSWWT0g7x2pM/edit#gid=849066331"", ""LU List Science (Filter)!A:B""), 2, FALSE),
    ""Not Found""
  )
)
"),"Temperature Measurement of Human Body using clinical thermometer")</f>
        <v>Temperature Measurement of Human Body using clinical thermometer</v>
      </c>
      <c r="J18" s="1" t="str">
        <f t="shared" si="0"/>
        <v>LU005925.001</v>
      </c>
      <c r="K18" s="1" t="str">
        <f ca="1">IFERROR(__xludf.dummyfunction("VLOOKUP(J18, IMPORTRANGE(""https://docs.google.com/spreadsheets/d/1yDAaXNsi4Mr5FtRQL4tbmSdIzhx6_m4wkOD7IG-k_eo/edit#gid=1336395716"", ""Science!M:N""), 2, FALSE)"),"Recall the correct procedure for measuring body temperature using a clinical thermometer.")</f>
        <v>Recall the correct procedure for measuring body temperature using a clinical thermometer.</v>
      </c>
      <c r="L18" s="1" t="str">
        <f t="shared" si="1"/>
        <v>LU005925.002</v>
      </c>
      <c r="M18" s="1" t="str">
        <f ca="1">IFERROR(__xludf.dummyfunction("VLOOKUP(L18, IMPORTRANGE(""https://docs.google.com/spreadsheets/d/1yDAaXNsi4Mr5FtRQL4tbmSdIzhx6_m4wkOD7IG-k_eo/edit#gid=1336395716"", ""Science!M:N""), 2, FALSE)"),"Explain the steps involved in using a clinical thermometer for temperature measurement.")</f>
        <v>Explain the steps involved in using a clinical thermometer for temperature measurement.</v>
      </c>
      <c r="N18" s="1" t="str">
        <f t="shared" si="2"/>
        <v>LU005925.003</v>
      </c>
      <c r="O18" s="1" t="str">
        <f ca="1">IFERROR(__xludf.dummyfunction("VLOOKUP(N18, IMPORTRANGE(""https://docs.google.com/spreadsheets/d/1yDAaXNsi4Mr5FtRQL4tbmSdIzhx6_m4wkOD7IG-k_eo/edit#gid=1336395716"", ""Science!M:N""), 2, FALSE)"),"Demonstrate the proper technique for obtaining body temperature readings with a clinical thermometer.")</f>
        <v>Demonstrate the proper technique for obtaining body temperature readings with a clinical thermometer.</v>
      </c>
      <c r="P18" s="1" t="str">
        <f t="shared" si="3"/>
        <v>LU005925.004</v>
      </c>
      <c r="Q18" s="15" t="str">
        <f ca="1">IFERROR(__xludf.dummyfunction("VLOOKUP(P18, IMPORTRANGE(""https://docs.google.com/spreadsheets/d/1yDAaXNsi4Mr5FtRQL4tbmSdIzhx6_m4wkOD7IG-k_eo/edit#gid=1336395716"", ""Science!M:N""), 2, FALSE)"),"Analyze the factors that can affect the accuracy of body temperature measurements using clinical thermometers.")</f>
        <v>Analyze the factors that can affect the accuracy of body temperature measurements using clinical thermometers.</v>
      </c>
      <c r="R18" s="1" t="str">
        <f t="shared" si="4"/>
        <v>LU005925.005</v>
      </c>
      <c r="S18" s="15" t="str">
        <f ca="1">IFERROR(__xludf.dummyfunction("VLOOKUP(R18, IMPORTRANGE(""https://docs.google.com/spreadsheets/d/1yDAaXNsi4Mr5FtRQL4tbmSdIzhx6_m4wkOD7IG-k_eo/edit#gid=1336395716"", ""Science!M:N""), 2, FALSE)"),"Assess the importance of following the correct procedure and technique in obtaining reliable body temperature measurements.")</f>
        <v>Assess the importance of following the correct procedure and technique in obtaining reliable body temperature measurements.</v>
      </c>
      <c r="T18" s="1" t="str">
        <f t="shared" si="5"/>
        <v>LU005925.006</v>
      </c>
      <c r="U18" s="15" t="str">
        <f ca="1">IFERROR(__xludf.dummyfunction("VLOOKUP(T18, IMPORTRANGE(""https://docs.google.com/spreadsheets/d/1yDAaXNsi4Mr5FtRQL4tbmSdIzhx6_m4wkOD7IG-k_eo/edit#gid=1336395716"", ""Science!M:N""), 2, FALSE)"),"#N/A")</f>
        <v>#N/A</v>
      </c>
    </row>
    <row r="19" spans="1:21" ht="55.2">
      <c r="A19" s="1"/>
      <c r="B19" s="1" t="s">
        <v>29</v>
      </c>
      <c r="C19" s="1" t="s">
        <v>30</v>
      </c>
      <c r="D19" s="13">
        <v>6</v>
      </c>
      <c r="E19" s="1" t="s">
        <v>40</v>
      </c>
      <c r="F19" s="2" t="s">
        <v>55</v>
      </c>
      <c r="G19" s="2" t="s">
        <v>57</v>
      </c>
      <c r="H19" s="2" t="str">
        <f ca="1">IFERROR(__xludf.dummyfunction("IFERROR(
  VLOOKUP(G19, IMPORTRANGE(""https://docs.google.com/spreadsheets/d/14deopnvwcrKtEGCKuYXdUHJbeLDZlkiSSWWT0g7x2pM/edit#gid=849066331"", ""LU List Maths (Filter)!A:B""), 2, FALSE),
  IFERROR(
    VLOOKUP(G19, IMPORTRANGE(""https://docs.google.com/s"&amp;"preadsheets/d/14deopnvwcrKtEGCKuYXdUHJbeLDZlkiSSWWT0g7x2pM/edit#gid=849066331"", ""LU List Science (Filter)!A:B""), 2, FALSE),
    ""Not Found""
  )
)
"),"Temperature Measurement of Human Body using digital clinical thermometer")</f>
        <v>Temperature Measurement of Human Body using digital clinical thermometer</v>
      </c>
      <c r="J19" s="1" t="str">
        <f t="shared" si="0"/>
        <v>LU006424.001</v>
      </c>
      <c r="K19" s="1" t="str">
        <f ca="1">IFERROR(__xludf.dummyfunction("VLOOKUP(J19, IMPORTRANGE(""https://docs.google.com/spreadsheets/d/1yDAaXNsi4Mr5FtRQL4tbmSdIzhx6_m4wkOD7IG-k_eo/edit#gid=1336395716"", ""Science!M:N""), 2, FALSE)"),"Identify the normal range of human body temperature.")</f>
        <v>Identify the normal range of human body temperature.</v>
      </c>
      <c r="L19" s="1" t="str">
        <f t="shared" si="1"/>
        <v>LU006424.002</v>
      </c>
      <c r="M19" s="1" t="str">
        <f ca="1">IFERROR(__xludf.dummyfunction("VLOOKUP(L19, IMPORTRANGE(""https://docs.google.com/spreadsheets/d/1yDAaXNsi4Mr5FtRQL4tbmSdIzhx6_m4wkOD7IG-k_eo/edit#gid=1336395716"", ""Science!M:N""), 2, FALSE)"),"Describe the steps to accurately measure body temperature using a digital thermometer.")</f>
        <v>Describe the steps to accurately measure body temperature using a digital thermometer.</v>
      </c>
      <c r="N19" s="1" t="str">
        <f t="shared" si="2"/>
        <v>LU006424.003</v>
      </c>
      <c r="O19" s="1" t="str">
        <f ca="1">IFERROR(__xludf.dummyfunction("VLOOKUP(N19, IMPORTRANGE(""https://docs.google.com/spreadsheets/d/1yDAaXNsi4Mr5FtRQL4tbmSdIzhx6_m4wkOD7IG-k_eo/edit#gid=1336395716"", ""Science!M:N""), 2, FALSE)"),"Practice taking a temperature reading using a digital thermometer on a peer or yourself.")</f>
        <v>Practice taking a temperature reading using a digital thermometer on a peer or yourself.</v>
      </c>
      <c r="P19" s="1" t="str">
        <f t="shared" si="3"/>
        <v>LU006424.004</v>
      </c>
      <c r="Q19" s="15" t="str">
        <f ca="1">IFERROR(__xludf.dummyfunction("VLOOKUP(P19, IMPORTRANGE(""https://docs.google.com/spreadsheets/d/1yDAaXNsi4Mr5FtRQL4tbmSdIzhx6_m4wkOD7IG-k_eo/edit#gid=1336395716"", ""Science!M:N""), 2, FALSE)"),"Analyze how body temperature might vary depending on the time of day or physical activity.")</f>
        <v>Analyze how body temperature might vary depending on the time of day or physical activity.</v>
      </c>
      <c r="R19" s="1" t="str">
        <f t="shared" si="4"/>
        <v>LU006424.005</v>
      </c>
      <c r="S19" s="15" t="str">
        <f ca="1">IFERROR(__xludf.dummyfunction("VLOOKUP(R19, IMPORTRANGE(""https://docs.google.com/spreadsheets/d/1yDAaXNsi4Mr5FtRQL4tbmSdIzhx6_m4wkOD7IG-k_eo/edit#gid=1336395716"", ""Science!M:N""), 2, FALSE)"),"Discuss the importance of accurate temperature measurement in diagnosing illnesses.")</f>
        <v>Discuss the importance of accurate temperature measurement in diagnosing illnesses.</v>
      </c>
      <c r="T19" s="1" t="str">
        <f t="shared" si="5"/>
        <v>LU006424.006</v>
      </c>
      <c r="U19" s="15" t="str">
        <f ca="1">IFERROR(__xludf.dummyfunction("VLOOKUP(T19, IMPORTRANGE(""https://docs.google.com/spreadsheets/d/1yDAaXNsi4Mr5FtRQL4tbmSdIzhx6_m4wkOD7IG-k_eo/edit#gid=1336395716"", ""Science!M:N""), 2, FALSE)"),"Create an instructional video or guide showing how to use a digital thermometer correctly.")</f>
        <v>Create an instructional video or guide showing how to use a digital thermometer correctly.</v>
      </c>
    </row>
    <row r="20" spans="1:21" ht="69">
      <c r="A20" s="1"/>
      <c r="B20" s="1" t="s">
        <v>29</v>
      </c>
      <c r="C20" s="1" t="s">
        <v>30</v>
      </c>
      <c r="D20" s="13">
        <v>6</v>
      </c>
      <c r="E20" s="1" t="s">
        <v>40</v>
      </c>
      <c r="F20" s="2" t="s">
        <v>55</v>
      </c>
      <c r="G20" s="2" t="s">
        <v>58</v>
      </c>
      <c r="H20" s="2" t="str">
        <f ca="1">IFERROR(__xludf.dummyfunction("IFERROR(
  VLOOKUP(G20, IMPORTRANGE(""https://docs.google.com/spreadsheets/d/14deopnvwcrKtEGCKuYXdUHJbeLDZlkiSSWWT0g7x2pM/edit#gid=849066331"", ""LU List Maths (Filter)!A:B""), 2, FALSE),
  IFERROR(
    VLOOKUP(G20, IMPORTRANGE(""https://docs.google.com/s"&amp;"preadsheets/d/14deopnvwcrKtEGCKuYXdUHJbeLDZlkiSSWWT0g7x2pM/edit#gid=849066331"", ""LU List Science (Filter)!A:B""), 2, FALSE),
    ""Not Found""
  )
)
"),"Correct Way of using Laboratory thermometer")</f>
        <v>Correct Way of using Laboratory thermometer</v>
      </c>
      <c r="J20" s="1" t="str">
        <f t="shared" si="0"/>
        <v>LU005927.001</v>
      </c>
      <c r="K20" s="1" t="str">
        <f ca="1">IFERROR(__xludf.dummyfunction("VLOOKUP(J20, IMPORTRANGE(""https://docs.google.com/spreadsheets/d/1yDAaXNsi4Mr5FtRQL4tbmSdIzhx6_m4wkOD7IG-k_eo/edit#gid=1336395716"", ""Science!M:N""), 2, FALSE)"),"Recall the proper steps for using a laboratory thermometer to measure temperature accurately.")</f>
        <v>Recall the proper steps for using a laboratory thermometer to measure temperature accurately.</v>
      </c>
      <c r="L20" s="1" t="str">
        <f t="shared" si="1"/>
        <v>LU005927.002</v>
      </c>
      <c r="M20" s="1" t="str">
        <f ca="1">IFERROR(__xludf.dummyfunction("VLOOKUP(L20, IMPORTRANGE(""https://docs.google.com/spreadsheets/d/1yDAaXNsi4Mr5FtRQL4tbmSdIzhx6_m4wkOD7IG-k_eo/edit#gid=1336395716"", ""Science!M:N""), 2, FALSE)"),"Explain the techniques and precautions required when using a laboratory thermometer in scientific experiments.")</f>
        <v>Explain the techniques and precautions required when using a laboratory thermometer in scientific experiments.</v>
      </c>
      <c r="N20" s="1" t="str">
        <f t="shared" si="2"/>
        <v>LU005927.003</v>
      </c>
      <c r="O20" s="1" t="str">
        <f ca="1">IFERROR(__xludf.dummyfunction("VLOOKUP(N20, IMPORTRANGE(""https://docs.google.com/spreadsheets/d/1yDAaXNsi4Mr5FtRQL4tbmSdIzhx6_m4wkOD7IG-k_eo/edit#gid=1336395716"", ""Science!M:N""), 2, FALSE)"),"Demonstrate the correct procedures for using a laboratory thermometer to measure temperature in laboratory experiments.")</f>
        <v>Demonstrate the correct procedures for using a laboratory thermometer to measure temperature in laboratory experiments.</v>
      </c>
      <c r="P20" s="1" t="str">
        <f t="shared" si="3"/>
        <v>LU005927.004</v>
      </c>
      <c r="Q20" s="15" t="str">
        <f ca="1">IFERROR(__xludf.dummyfunction("VLOOKUP(P20, IMPORTRANGE(""https://docs.google.com/spreadsheets/d/1yDAaXNsi4Mr5FtRQL4tbmSdIzhx6_m4wkOD7IG-k_eo/edit#gid=1336395716"", ""Science!M:N""), 2, FALSE)"),"Identify potential sources of error when using laboratory thermometers and suggest ways to minimize them.")</f>
        <v>Identify potential sources of error when using laboratory thermometers and suggest ways to minimize them.</v>
      </c>
      <c r="R20" s="1" t="str">
        <f t="shared" si="4"/>
        <v>LU005927.005</v>
      </c>
      <c r="S20" s="15" t="str">
        <f ca="1">IFERROR(__xludf.dummyfunction("VLOOKUP(R20, IMPORTRANGE(""https://docs.google.com/spreadsheets/d/1yDAaXNsi4Mr5FtRQL4tbmSdIzhx6_m4wkOD7IG-k_eo/edit#gid=1336395716"", ""Science!M:N""), 2, FALSE)"),"Assess the importance of adhering to standardized procedures in laboratory temperature measurements for scientific accuracy.")</f>
        <v>Assess the importance of adhering to standardized procedures in laboratory temperature measurements for scientific accuracy.</v>
      </c>
      <c r="T20" s="1" t="str">
        <f t="shared" si="5"/>
        <v>LU005927.006</v>
      </c>
      <c r="U20" s="15" t="str">
        <f ca="1">IFERROR(__xludf.dummyfunction("VLOOKUP(T20, IMPORTRANGE(""https://docs.google.com/spreadsheets/d/1yDAaXNsi4Mr5FtRQL4tbmSdIzhx6_m4wkOD7IG-k_eo/edit#gid=1336395716"", ""Science!M:N""), 2, FALSE)"),"#N/A")</f>
        <v>#N/A</v>
      </c>
    </row>
    <row r="21" spans="1:21" ht="27.6">
      <c r="A21" s="1"/>
      <c r="B21" s="1" t="s">
        <v>29</v>
      </c>
      <c r="C21" s="1" t="s">
        <v>30</v>
      </c>
      <c r="D21" s="13">
        <v>6</v>
      </c>
      <c r="E21" s="1" t="s">
        <v>40</v>
      </c>
      <c r="F21" s="2" t="s">
        <v>59</v>
      </c>
      <c r="G21" s="14" t="s">
        <v>60</v>
      </c>
      <c r="H21" s="2" t="str">
        <f ca="1">IFERROR(__xludf.dummyfunction("IFERROR(
  VLOOKUP(G21, IMPORTRANGE(""https://docs.google.com/spreadsheets/d/14deopnvwcrKtEGCKuYXdUHJbeLDZlkiSSWWT0g7x2pM/edit#gid=849066331"", ""LU List Maths (Filter)!A:B""), 2, FALSE),
  IFERROR(
    VLOOKUP(G21, IMPORTRANGE(""https://docs.google.com/s"&amp;"preadsheets/d/14deopnvwcrKtEGCKuYXdUHJbeLDZlkiSSWWT0g7x2pM/edit#gid=849066331"", ""LU List Science (Filter)!A:B""), 2, FALSE),
    ""Not Found""
  )
)
"),"Concept of area and its units")</f>
        <v>Concept of area and its units</v>
      </c>
      <c r="J21" s="1" t="str">
        <f t="shared" si="0"/>
        <v>LU006787.001</v>
      </c>
      <c r="K21" s="1" t="str">
        <f ca="1">IFERROR(__xludf.dummyfunction("VLOOKUP(J21, IMPORTRANGE(""https://docs.google.com/spreadsheets/d/1yDAaXNsi4Mr5FtRQL4tbmSdIzhx6_m4wkOD7IG-k_eo/edit#gid=1336395716"", ""Science!M:N""), 2, FALSE)"),"(LU006787.001); Default - Remember")</f>
        <v>(LU006787.001); Default - Remember</v>
      </c>
      <c r="L21" s="1" t="str">
        <f t="shared" si="1"/>
        <v>LU006787.002</v>
      </c>
      <c r="M21" s="1" t="str">
        <f ca="1">IFERROR(__xludf.dummyfunction("VLOOKUP(L21, IMPORTRANGE(""https://docs.google.com/spreadsheets/d/1yDAaXNsi4Mr5FtRQL4tbmSdIzhx6_m4wkOD7IG-k_eo/edit#gid=1336395716"", ""Science!M:N""), 2, FALSE)"),"(LU006787.002); Default - Understand")</f>
        <v>(LU006787.002); Default - Understand</v>
      </c>
      <c r="N21" s="1" t="str">
        <f t="shared" si="2"/>
        <v>LU006787.003</v>
      </c>
      <c r="O21" s="1" t="str">
        <f ca="1">IFERROR(__xludf.dummyfunction("VLOOKUP(N21, IMPORTRANGE(""https://docs.google.com/spreadsheets/d/1yDAaXNsi4Mr5FtRQL4tbmSdIzhx6_m4wkOD7IG-k_eo/edit#gid=1336395716"", ""Science!M:N""), 2, FALSE)"),"(LU006787.003); Default - Apply")</f>
        <v>(LU006787.003); Default - Apply</v>
      </c>
      <c r="P21" s="1" t="str">
        <f t="shared" si="3"/>
        <v>LU006787.004</v>
      </c>
      <c r="Q21" s="15" t="str">
        <f ca="1">IFERROR(__xludf.dummyfunction("VLOOKUP(P21, IMPORTRANGE(""https://docs.google.com/spreadsheets/d/1yDAaXNsi4Mr5FtRQL4tbmSdIzhx6_m4wkOD7IG-k_eo/edit#gid=1336395716"", ""Science!M:N""), 2, FALSE)"),"(LU006787.004); Default - Analyse")</f>
        <v>(LU006787.004); Default - Analyse</v>
      </c>
      <c r="R21" s="1" t="str">
        <f t="shared" si="4"/>
        <v>LU006787.005</v>
      </c>
      <c r="S21" s="15" t="str">
        <f ca="1">IFERROR(__xludf.dummyfunction("VLOOKUP(R21, IMPORTRANGE(""https://docs.google.com/spreadsheets/d/1yDAaXNsi4Mr5FtRQL4tbmSdIzhx6_m4wkOD7IG-k_eo/edit#gid=1336395716"", ""Science!M:N""), 2, FALSE)"),"(LU006787.005); Default - Evaluate")</f>
        <v>(LU006787.005); Default - Evaluate</v>
      </c>
      <c r="T21" s="1" t="str">
        <f t="shared" si="5"/>
        <v>LU006787.006</v>
      </c>
      <c r="U21" s="15" t="str">
        <f ca="1">IFERROR(__xludf.dummyfunction("VLOOKUP(T21, IMPORTRANGE(""https://docs.google.com/spreadsheets/d/1yDAaXNsi4Mr5FtRQL4tbmSdIzhx6_m4wkOD7IG-k_eo/edit#gid=1336395716"", ""Science!M:N""), 2, FALSE)"),"(LU006787.006); Default - Create")</f>
        <v>(LU006787.006); Default - Create</v>
      </c>
    </row>
    <row r="22" spans="1:21" ht="27.6">
      <c r="A22" s="1"/>
      <c r="B22" s="1" t="s">
        <v>29</v>
      </c>
      <c r="C22" s="1" t="s">
        <v>30</v>
      </c>
      <c r="D22" s="13">
        <v>6</v>
      </c>
      <c r="E22" s="1" t="s">
        <v>40</v>
      </c>
      <c r="F22" s="2" t="s">
        <v>59</v>
      </c>
      <c r="G22" s="14" t="s">
        <v>61</v>
      </c>
      <c r="H22" s="2" t="str">
        <f ca="1">IFERROR(__xludf.dummyfunction("IFERROR(
  VLOOKUP(G22, IMPORTRANGE(""https://docs.google.com/spreadsheets/d/14deopnvwcrKtEGCKuYXdUHJbeLDZlkiSSWWT0g7x2pM/edit#gid=849066331"", ""LU List Maths (Filter)!A:B""), 2, FALSE),
  IFERROR(
    VLOOKUP(G22, IMPORTRANGE(""https://docs.google.com/s"&amp;"preadsheets/d/14deopnvwcrKtEGCKuYXdUHJbeLDZlkiSSWWT0g7x2pM/edit#gid=849066331"", ""LU List Science (Filter)!A:B""), 2, FALSE),
    ""Not Found""
  )
)
"),"Measurement of area of objects of regular shapes")</f>
        <v>Measurement of area of objects of regular shapes</v>
      </c>
      <c r="J22" s="1" t="str">
        <f t="shared" si="0"/>
        <v>LU006788.001</v>
      </c>
      <c r="K22" s="1" t="str">
        <f ca="1">IFERROR(__xludf.dummyfunction("VLOOKUP(J22, IMPORTRANGE(""https://docs.google.com/spreadsheets/d/1yDAaXNsi4Mr5FtRQL4tbmSdIzhx6_m4wkOD7IG-k_eo/edit#gid=1336395716"", ""Science!M:N""), 2, FALSE)"),"(LU006788.001); Default - Remember")</f>
        <v>(LU006788.001); Default - Remember</v>
      </c>
      <c r="L22" s="1" t="str">
        <f t="shared" si="1"/>
        <v>LU006788.002</v>
      </c>
      <c r="M22" s="1" t="str">
        <f ca="1">IFERROR(__xludf.dummyfunction("VLOOKUP(L22, IMPORTRANGE(""https://docs.google.com/spreadsheets/d/1yDAaXNsi4Mr5FtRQL4tbmSdIzhx6_m4wkOD7IG-k_eo/edit#gid=1336395716"", ""Science!M:N""), 2, FALSE)"),"(LU006788.002); Default - Understand")</f>
        <v>(LU006788.002); Default - Understand</v>
      </c>
      <c r="N22" s="1" t="str">
        <f t="shared" si="2"/>
        <v>LU006788.003</v>
      </c>
      <c r="O22" s="1" t="str">
        <f ca="1">IFERROR(__xludf.dummyfunction("VLOOKUP(N22, IMPORTRANGE(""https://docs.google.com/spreadsheets/d/1yDAaXNsi4Mr5FtRQL4tbmSdIzhx6_m4wkOD7IG-k_eo/edit#gid=1336395716"", ""Science!M:N""), 2, FALSE)"),"(LU006788.003); Default - Apply")</f>
        <v>(LU006788.003); Default - Apply</v>
      </c>
      <c r="P22" s="1" t="str">
        <f t="shared" si="3"/>
        <v>LU006788.004</v>
      </c>
      <c r="Q22" s="15" t="str">
        <f ca="1">IFERROR(__xludf.dummyfunction("VLOOKUP(P22, IMPORTRANGE(""https://docs.google.com/spreadsheets/d/1yDAaXNsi4Mr5FtRQL4tbmSdIzhx6_m4wkOD7IG-k_eo/edit#gid=1336395716"", ""Science!M:N""), 2, FALSE)"),"(LU006788.004); Default - Analyse")</f>
        <v>(LU006788.004); Default - Analyse</v>
      </c>
      <c r="R22" s="1" t="str">
        <f t="shared" si="4"/>
        <v>LU006788.005</v>
      </c>
      <c r="S22" s="15" t="str">
        <f ca="1">IFERROR(__xludf.dummyfunction("VLOOKUP(R22, IMPORTRANGE(""https://docs.google.com/spreadsheets/d/1yDAaXNsi4Mr5FtRQL4tbmSdIzhx6_m4wkOD7IG-k_eo/edit#gid=1336395716"", ""Science!M:N""), 2, FALSE)"),"(LU006788.005); Default - Evaluate")</f>
        <v>(LU006788.005); Default - Evaluate</v>
      </c>
      <c r="T22" s="1" t="str">
        <f t="shared" si="5"/>
        <v>LU006788.006</v>
      </c>
      <c r="U22" s="15" t="str">
        <f ca="1">IFERROR(__xludf.dummyfunction("VLOOKUP(T22, IMPORTRANGE(""https://docs.google.com/spreadsheets/d/1yDAaXNsi4Mr5FtRQL4tbmSdIzhx6_m4wkOD7IG-k_eo/edit#gid=1336395716"", ""Science!M:N""), 2, FALSE)"),"(LU006788.006); Default - Create")</f>
        <v>(LU006788.006); Default - Create</v>
      </c>
    </row>
    <row r="23" spans="1:21" ht="69">
      <c r="A23" s="1"/>
      <c r="B23" s="1" t="s">
        <v>29</v>
      </c>
      <c r="C23" s="1" t="s">
        <v>30</v>
      </c>
      <c r="D23" s="13">
        <v>6</v>
      </c>
      <c r="E23" s="1" t="s">
        <v>62</v>
      </c>
      <c r="F23" s="2" t="s">
        <v>63</v>
      </c>
      <c r="G23" s="1" t="s">
        <v>64</v>
      </c>
      <c r="H23" s="2" t="str">
        <f ca="1">IFERROR(__xludf.dummyfunction("IFERROR(
  VLOOKUP(G23, IMPORTRANGE(""https://docs.google.com/spreadsheets/d/14deopnvwcrKtEGCKuYXdUHJbeLDZlkiSSWWT0g7x2pM/edit#gid=849066331"", ""LU List Maths (Filter)!A:B""), 2, FALSE),
  IFERROR(
    VLOOKUP(G23, IMPORTRANGE(""https://docs.google.com/s"&amp;"preadsheets/d/14deopnvwcrKtEGCKuYXdUHJbeLDZlkiSSWWT0g7x2pM/edit#gid=849066331"", ""LU List Science (Filter)!A:B""), 2, FALSE),
    ""Not Found""
  )
)
"),"Force - a push or pull")</f>
        <v>Force - a push or pull</v>
      </c>
      <c r="J23" s="1" t="str">
        <f t="shared" si="0"/>
        <v>LU005179.001</v>
      </c>
      <c r="K23" s="1" t="str">
        <f ca="1">IFERROR(__xludf.dummyfunction("VLOOKUP(J23, IMPORTRANGE(""https://docs.google.com/spreadsheets/d/1yDAaXNsi4Mr5FtRQL4tbmSdIzhx6_m4wkOD7IG-k_eo/edit#gid=1336395716"", ""Science!M:N""), 2, FALSE)"),"Define the concept of force as a push or pull.")</f>
        <v>Define the concept of force as a push or pull.</v>
      </c>
      <c r="L23" s="1" t="str">
        <f t="shared" si="1"/>
        <v>LU005179.002</v>
      </c>
      <c r="M23" s="1" t="str">
        <f ca="1">IFERROR(__xludf.dummyfunction("VLOOKUP(L23, IMPORTRANGE(""https://docs.google.com/spreadsheets/d/1yDAaXNsi4Mr5FtRQL4tbmSdIzhx6_m4wkOD7IG-k_eo/edit#gid=1336395716"", ""Science!M:N""), 2, FALSE)"),"Explain how force is a push or pull that can change the state of motion of an object.")</f>
        <v>Explain how force is a push or pull that can change the state of motion of an object.</v>
      </c>
      <c r="N23" s="1" t="str">
        <f t="shared" si="2"/>
        <v>LU005179.003</v>
      </c>
      <c r="O23" s="1" t="str">
        <f ca="1">IFERROR(__xludf.dummyfunction("VLOOKUP(N23, IMPORTRANGE(""https://docs.google.com/spreadsheets/d/1yDAaXNsi4Mr5FtRQL4tbmSdIzhx6_m4wkOD7IG-k_eo/edit#gid=1336395716"", ""Science!M:N""), 2, FALSE)"),"Apply the concept of force to describe the motion of objects in different scenarios.")</f>
        <v>Apply the concept of force to describe the motion of objects in different scenarios.</v>
      </c>
      <c r="P23" s="1" t="str">
        <f t="shared" si="3"/>
        <v>LU005179.004</v>
      </c>
      <c r="Q23" s="15" t="str">
        <f ca="1">IFERROR(__xludf.dummyfunction("VLOOKUP(P23, IMPORTRANGE(""https://docs.google.com/spreadsheets/d/1yDAaXNsi4Mr5FtRQL4tbmSdIzhx6_m4wkOD7IG-k_eo/edit#gid=1336395716"", ""Science!M:N""), 2, FALSE)"),"Analyze situations to identify whether a force is a push or a pull and its impact on the motion of an object.")</f>
        <v>Analyze situations to identify whether a force is a push or a pull and its impact on the motion of an object.</v>
      </c>
      <c r="R23" s="1" t="str">
        <f t="shared" si="4"/>
        <v>LU005179.005</v>
      </c>
      <c r="S23" s="15" t="str">
        <f ca="1">IFERROR(__xludf.dummyfunction("VLOOKUP(R23, IMPORTRANGE(""https://docs.google.com/spreadsheets/d/1yDAaXNsi4Mr5FtRQL4tbmSdIzhx6_m4wkOD7IG-k_eo/edit#gid=1336395716"", ""Science!M:N""), 2, FALSE)"),"#N/A")</f>
        <v>#N/A</v>
      </c>
      <c r="T23" s="1" t="str">
        <f t="shared" si="5"/>
        <v>LU005179.006</v>
      </c>
      <c r="U23" s="15" t="str">
        <f ca="1">IFERROR(__xludf.dummyfunction("VLOOKUP(T23, IMPORTRANGE(""https://docs.google.com/spreadsheets/d/1yDAaXNsi4Mr5FtRQL4tbmSdIzhx6_m4wkOD7IG-k_eo/edit#gid=1336395716"", ""Science!M:N""), 2, FALSE)"),"Construct a simple experiment that demonstrates the effect of push and pull forces on the motion of an object")</f>
        <v>Construct a simple experiment that demonstrates the effect of push and pull forces on the motion of an object</v>
      </c>
    </row>
    <row r="24" spans="1:21" ht="27.6">
      <c r="A24" s="1"/>
      <c r="B24" s="1" t="s">
        <v>29</v>
      </c>
      <c r="C24" s="1" t="s">
        <v>30</v>
      </c>
      <c r="D24" s="13">
        <v>6</v>
      </c>
      <c r="E24" s="1" t="s">
        <v>62</v>
      </c>
      <c r="F24" s="2" t="s">
        <v>65</v>
      </c>
      <c r="G24" s="14" t="s">
        <v>66</v>
      </c>
      <c r="H24" s="2" t="str">
        <f ca="1">IFERROR(__xludf.dummyfunction("IFERROR(
  VLOOKUP(G24, IMPORTRANGE(""https://docs.google.com/spreadsheets/d/14deopnvwcrKtEGCKuYXdUHJbeLDZlkiSSWWT0g7x2pM/edit#gid=849066331"", ""LU List Maths (Filter)!A:B""), 2, FALSE),
  IFERROR(
    VLOOKUP(G24, IMPORTRANGE(""https://docs.google.com/s"&amp;"preadsheets/d/14deopnvwcrKtEGCKuYXdUHJbeLDZlkiSSWWT0g7x2pM/edit#gid=849066331"", ""LU List Science (Filter)!A:B""), 2, FALSE),
    ""Not Found""
  )
)
"),"Effects of force on mass and speed of object")</f>
        <v>Effects of force on mass and speed of object</v>
      </c>
      <c r="J24" s="1" t="str">
        <f t="shared" si="0"/>
        <v>LU006789.001</v>
      </c>
      <c r="K24" s="1" t="str">
        <f ca="1">IFERROR(__xludf.dummyfunction("VLOOKUP(J24, IMPORTRANGE(""https://docs.google.com/spreadsheets/d/1yDAaXNsi4Mr5FtRQL4tbmSdIzhx6_m4wkOD7IG-k_eo/edit#gid=1336395716"", ""Science!M:N""), 2, FALSE)"),"(LU006789.001); Default - Remember")</f>
        <v>(LU006789.001); Default - Remember</v>
      </c>
      <c r="L24" s="1" t="str">
        <f t="shared" si="1"/>
        <v>LU006789.002</v>
      </c>
      <c r="M24" s="1" t="str">
        <f ca="1">IFERROR(__xludf.dummyfunction("VLOOKUP(L24, IMPORTRANGE(""https://docs.google.com/spreadsheets/d/1yDAaXNsi4Mr5FtRQL4tbmSdIzhx6_m4wkOD7IG-k_eo/edit#gid=1336395716"", ""Science!M:N""), 2, FALSE)"),"(LU006789.002); Default - Understand")</f>
        <v>(LU006789.002); Default - Understand</v>
      </c>
      <c r="N24" s="1" t="str">
        <f t="shared" si="2"/>
        <v>LU006789.003</v>
      </c>
      <c r="O24" s="1" t="str">
        <f ca="1">IFERROR(__xludf.dummyfunction("VLOOKUP(N24, IMPORTRANGE(""https://docs.google.com/spreadsheets/d/1yDAaXNsi4Mr5FtRQL4tbmSdIzhx6_m4wkOD7IG-k_eo/edit#gid=1336395716"", ""Science!M:N""), 2, FALSE)"),"(LU006789.003); Default - Apply")</f>
        <v>(LU006789.003); Default - Apply</v>
      </c>
      <c r="P24" s="1" t="str">
        <f t="shared" si="3"/>
        <v>LU006789.004</v>
      </c>
      <c r="Q24" s="15" t="str">
        <f ca="1">IFERROR(__xludf.dummyfunction("VLOOKUP(P24, IMPORTRANGE(""https://docs.google.com/spreadsheets/d/1yDAaXNsi4Mr5FtRQL4tbmSdIzhx6_m4wkOD7IG-k_eo/edit#gid=1336395716"", ""Science!M:N""), 2, FALSE)"),"(LU006789.004); Default - Analyse")</f>
        <v>(LU006789.004); Default - Analyse</v>
      </c>
      <c r="R24" s="1" t="str">
        <f t="shared" si="4"/>
        <v>LU006789.005</v>
      </c>
      <c r="S24" s="15" t="str">
        <f ca="1">IFERROR(__xludf.dummyfunction("VLOOKUP(R24, IMPORTRANGE(""https://docs.google.com/spreadsheets/d/1yDAaXNsi4Mr5FtRQL4tbmSdIzhx6_m4wkOD7IG-k_eo/edit#gid=1336395716"", ""Science!M:N""), 2, FALSE)"),"(LU006789.005); Default - Evaluate")</f>
        <v>(LU006789.005); Default - Evaluate</v>
      </c>
      <c r="T24" s="1" t="str">
        <f t="shared" si="5"/>
        <v>LU006789.006</v>
      </c>
      <c r="U24" s="15" t="str">
        <f ca="1">IFERROR(__xludf.dummyfunction("VLOOKUP(T24, IMPORTRANGE(""https://docs.google.com/spreadsheets/d/1yDAaXNsi4Mr5FtRQL4tbmSdIzhx6_m4wkOD7IG-k_eo/edit#gid=1336395716"", ""Science!M:N""), 2, FALSE)"),"(LU006789.006); Default - Create")</f>
        <v>(LU006789.006); Default - Create</v>
      </c>
    </row>
    <row r="25" spans="1:21" ht="82.8">
      <c r="A25" s="1"/>
      <c r="B25" s="1" t="s">
        <v>29</v>
      </c>
      <c r="C25" s="1" t="s">
        <v>30</v>
      </c>
      <c r="D25" s="13">
        <v>6</v>
      </c>
      <c r="E25" s="1" t="s">
        <v>62</v>
      </c>
      <c r="F25" s="2" t="s">
        <v>65</v>
      </c>
      <c r="G25" s="1" t="s">
        <v>67</v>
      </c>
      <c r="H25" s="2" t="str">
        <f ca="1">IFERROR(__xludf.dummyfunction("IFERROR(
  VLOOKUP(G25, IMPORTRANGE(""https://docs.google.com/spreadsheets/d/14deopnvwcrKtEGCKuYXdUHJbeLDZlkiSSWWT0g7x2pM/edit#gid=849066331"", ""LU List Maths (Filter)!A:B""), 2, FALSE),
  IFERROR(
    VLOOKUP(G25, IMPORTRANGE(""https://docs.google.com/s"&amp;"preadsheets/d/14deopnvwcrKtEGCKuYXdUHJbeLDZlkiSSWWT0g7x2pM/edit#gid=849066331"", ""LU List Science (Filter)!A:B""), 2, FALSE),
    ""Not Found""
  )
)
"),"Effects of force on the shape, motion and direction of motion of objects")</f>
        <v>Effects of force on the shape, motion and direction of motion of objects</v>
      </c>
      <c r="J25" s="1" t="str">
        <f t="shared" si="0"/>
        <v>LU005540.001</v>
      </c>
      <c r="K25" s="1" t="str">
        <f ca="1">IFERROR(__xludf.dummyfunction("VLOOKUP(J25, IMPORTRANGE(""https://docs.google.com/spreadsheets/d/1yDAaXNsi4Mr5FtRQL4tbmSdIzhx6_m4wkOD7IG-k_eo/edit#gid=1336395716"", ""Science!M:N""), 2, FALSE)"),"Recall the types of changes caused by forces.")</f>
        <v>Recall the types of changes caused by forces.</v>
      </c>
      <c r="L25" s="1" t="str">
        <f t="shared" si="1"/>
        <v>LU005540.002</v>
      </c>
      <c r="M25" s="1" t="str">
        <f ca="1">IFERROR(__xludf.dummyfunction("VLOOKUP(L25, IMPORTRANGE(""https://docs.google.com/spreadsheets/d/1yDAaXNsi4Mr5FtRQL4tbmSdIzhx6_m4wkOD7IG-k_eo/edit#gid=1336395716"", ""Science!M:N""), 2, FALSE)"),"Explain in your own words the effects of force, connecting them to real-life examples.")</f>
        <v>Explain in your own words the effects of force, connecting them to real-life examples.</v>
      </c>
      <c r="N25" s="1" t="str">
        <f t="shared" si="2"/>
        <v>LU005540.003</v>
      </c>
      <c r="O25" s="1" t="str">
        <f ca="1">IFERROR(__xludf.dummyfunction("VLOOKUP(N25, IMPORTRANGE(""https://docs.google.com/spreadsheets/d/1yDAaXNsi4Mr5FtRQL4tbmSdIzhx6_m4wkOD7IG-k_eo/edit#gid=1336395716"", ""Science!M:N""), 2, FALSE)"),"Demonstrate the effects of force by conducting simple experiments to show changes in shape, motion, and direction of motion.")</f>
        <v>Demonstrate the effects of force by conducting simple experiments to show changes in shape, motion, and direction of motion.</v>
      </c>
      <c r="P25" s="1" t="str">
        <f t="shared" si="3"/>
        <v>LU005540.004</v>
      </c>
      <c r="Q25" s="15" t="str">
        <f ca="1">IFERROR(__xludf.dummyfunction("VLOOKUP(P25, IMPORTRANGE(""https://docs.google.com/spreadsheets/d/1yDAaXNsi4Mr5FtRQL4tbmSdIzhx6_m4wkOD7IG-k_eo/edit#gid=1336395716"", ""Science!M:N""), 2, FALSE)"),"#N/A")</f>
        <v>#N/A</v>
      </c>
      <c r="R25" s="1" t="str">
        <f t="shared" si="4"/>
        <v>LU005540.005</v>
      </c>
      <c r="S25" s="15" t="str">
        <f ca="1">IFERROR(__xludf.dummyfunction("VLOOKUP(R25, IMPORTRANGE(""https://docs.google.com/spreadsheets/d/1yDAaXNsi4Mr5FtRQL4tbmSdIzhx6_m4wkOD7IG-k_eo/edit#gid=1336395716"", ""Science!M:N""), 2, FALSE)"),"#N/A")</f>
        <v>#N/A</v>
      </c>
      <c r="T25" s="1" t="str">
        <f t="shared" si="5"/>
        <v>LU005540.006</v>
      </c>
      <c r="U25" s="15" t="str">
        <f ca="1">IFERROR(__xludf.dummyfunction("VLOOKUP(T25, IMPORTRANGE(""https://docs.google.com/spreadsheets/d/1yDAaXNsi4Mr5FtRQL4tbmSdIzhx6_m4wkOD7IG-k_eo/edit#gid=1336395716"", ""Science!M:N""), 2, FALSE)"),"Design an experiment to demonstrate and showcase the effects of force on different objects, effectively explaining the observed changes.")</f>
        <v>Design an experiment to demonstrate and showcase the effects of force on different objects, effectively explaining the observed changes.</v>
      </c>
    </row>
    <row r="26" spans="1:21" ht="55.2">
      <c r="A26" s="1"/>
      <c r="B26" s="1" t="s">
        <v>29</v>
      </c>
      <c r="C26" s="1" t="s">
        <v>30</v>
      </c>
      <c r="D26" s="13">
        <v>6</v>
      </c>
      <c r="E26" s="1" t="s">
        <v>62</v>
      </c>
      <c r="F26" s="2" t="s">
        <v>68</v>
      </c>
      <c r="G26" s="1" t="s">
        <v>69</v>
      </c>
      <c r="H26" s="2" t="str">
        <f ca="1">IFERROR(__xludf.dummyfunction("IFERROR(
  VLOOKUP(G26, IMPORTRANGE(""https://docs.google.com/spreadsheets/d/14deopnvwcrKtEGCKuYXdUHJbeLDZlkiSSWWT0g7x2pM/edit#gid=849066331"", ""LU List Maths (Filter)!A:B""), 2, FALSE),
  IFERROR(
    VLOOKUP(G26, IMPORTRANGE(""https://docs.google.com/s"&amp;"preadsheets/d/14deopnvwcrKtEGCKuYXdUHJbeLDZlkiSSWWT0g7x2pM/edit#gid=849066331"", ""LU List Science (Filter)!A:B""), 2, FALSE),
    ""Not Found""
  )
)
"),"Definition and direction of frictional force")</f>
        <v>Definition and direction of frictional force</v>
      </c>
      <c r="J26" s="1" t="str">
        <f t="shared" si="0"/>
        <v>LU005551.001</v>
      </c>
      <c r="K26" s="1" t="str">
        <f ca="1">IFERROR(__xludf.dummyfunction("VLOOKUP(J26, IMPORTRANGE(""https://docs.google.com/spreadsheets/d/1yDAaXNsi4Mr5FtRQL4tbmSdIzhx6_m4wkOD7IG-k_eo/edit#gid=1336395716"", ""Science!M:N""), 2, FALSE)"),"Define frictional force.")</f>
        <v>Define frictional force.</v>
      </c>
      <c r="L26" s="1" t="str">
        <f t="shared" si="1"/>
        <v>LU005551.002</v>
      </c>
      <c r="M26" s="1" t="str">
        <f ca="1">IFERROR(__xludf.dummyfunction("VLOOKUP(L26, IMPORTRANGE(""https://docs.google.com/spreadsheets/d/1yDAaXNsi4Mr5FtRQL4tbmSdIzhx6_m4wkOD7IG-k_eo/edit#gid=1336395716"", ""Science!M:N""), 2, FALSE)"),"Explain in their own words what frictional force is and how it acts on surfaces.")</f>
        <v>Explain in their own words what frictional force is and how it acts on surfaces.</v>
      </c>
      <c r="N26" s="1" t="str">
        <f t="shared" si="2"/>
        <v>LU005551.003</v>
      </c>
      <c r="O26" s="1" t="str">
        <f ca="1">IFERROR(__xludf.dummyfunction("VLOOKUP(N26, IMPORTRANGE(""https://docs.google.com/spreadsheets/d/1yDAaXNsi4Mr5FtRQL4tbmSdIzhx6_m4wkOD7IG-k_eo/edit#gid=1336395716"", ""Science!M:N""), 2, FALSE)"),"Demonstrate how the direction of the frictional force acts against the direction of motion or intended motion of an object.")</f>
        <v>Demonstrate how the direction of the frictional force acts against the direction of motion or intended motion of an object.</v>
      </c>
      <c r="P26" s="1" t="str">
        <f t="shared" si="3"/>
        <v>LU005551.004</v>
      </c>
      <c r="Q26" s="15" t="str">
        <f ca="1">IFERROR(__xludf.dummyfunction("VLOOKUP(P26, IMPORTRANGE(""https://docs.google.com/spreadsheets/d/1yDAaXNsi4Mr5FtRQL4tbmSdIzhx6_m4wkOD7IG-k_eo/edit#gid=1336395716"", ""Science!M:N""), 2, FALSE)"),"#N/A")</f>
        <v>#N/A</v>
      </c>
      <c r="R26" s="1" t="str">
        <f t="shared" si="4"/>
        <v>LU005551.005</v>
      </c>
      <c r="S26" s="15" t="str">
        <f ca="1">IFERROR(__xludf.dummyfunction("VLOOKUP(R26, IMPORTRANGE(""https://docs.google.com/spreadsheets/d/1yDAaXNsi4Mr5FtRQL4tbmSdIzhx6_m4wkOD7IG-k_eo/edit#gid=1336395716"", ""Science!M:N""), 2, FALSE)"),"Critique a given definition of friction for its clarity and completeness.")</f>
        <v>Critique a given definition of friction for its clarity and completeness.</v>
      </c>
      <c r="T26" s="1" t="str">
        <f t="shared" si="5"/>
        <v>LU005551.006</v>
      </c>
      <c r="U26" s="15" t="str">
        <f ca="1">IFERROR(__xludf.dummyfunction("VLOOKUP(T26, IMPORTRANGE(""https://docs.google.com/spreadsheets/d/1yDAaXNsi4Mr5FtRQL4tbmSdIzhx6_m4wkOD7IG-k_eo/edit#gid=1336395716"", ""Science!M:N""), 2, FALSE)"),"#N/A")</f>
        <v>#N/A</v>
      </c>
    </row>
    <row r="27" spans="1:21" ht="69">
      <c r="A27" s="1"/>
      <c r="B27" s="1" t="s">
        <v>29</v>
      </c>
      <c r="C27" s="1" t="s">
        <v>30</v>
      </c>
      <c r="D27" s="13">
        <v>6</v>
      </c>
      <c r="E27" s="1" t="s">
        <v>62</v>
      </c>
      <c r="F27" s="2" t="s">
        <v>68</v>
      </c>
      <c r="G27" s="1" t="s">
        <v>70</v>
      </c>
      <c r="H27" s="2" t="str">
        <f ca="1">IFERROR(__xludf.dummyfunction("IFERROR(
  VLOOKUP(G27, IMPORTRANGE(""https://docs.google.com/spreadsheets/d/14deopnvwcrKtEGCKuYXdUHJbeLDZlkiSSWWT0g7x2pM/edit#gid=849066331"", ""LU List Maths (Filter)!A:B""), 2, FALSE),
  IFERROR(
    VLOOKUP(G27, IMPORTRANGE(""https://docs.google.com/s"&amp;"preadsheets/d/14deopnvwcrKtEGCKuYXdUHJbeLDZlkiSSWWT0g7x2pM/edit#gid=849066331"", ""LU List Science (Filter)!A:B""), 2, FALSE),
    ""Not Found""
  )
)
"),"Definition of Static and Sliding friction")</f>
        <v>Definition of Static and Sliding friction</v>
      </c>
      <c r="J27" s="1" t="str">
        <f t="shared" si="0"/>
        <v>LU005557.001</v>
      </c>
      <c r="K27" s="1" t="str">
        <f ca="1">IFERROR(__xludf.dummyfunction("VLOOKUP(J27, IMPORTRANGE(""https://docs.google.com/spreadsheets/d/1yDAaXNsi4Mr5FtRQL4tbmSdIzhx6_m4wkOD7IG-k_eo/edit#gid=1336395716"", ""Science!M:N""), 2, FALSE)"),"Define static and sliding friction.")</f>
        <v>Define static and sliding friction.</v>
      </c>
      <c r="L27" s="1" t="str">
        <f t="shared" si="1"/>
        <v>LU005557.002</v>
      </c>
      <c r="M27" s="1" t="str">
        <f ca="1">IFERROR(__xludf.dummyfunction("VLOOKUP(L27, IMPORTRANGE(""https://docs.google.com/spreadsheets/d/1yDAaXNsi4Mr5FtRQL4tbmSdIzhx6_m4wkOD7IG-k_eo/edit#gid=1336395716"", ""Science!M:N""), 2, FALSE)"),"Explain the differences between static, limiting, and sliding friction using appropriate examples")</f>
        <v>Explain the differences between static, limiting, and sliding friction using appropriate examples</v>
      </c>
      <c r="N27" s="1" t="str">
        <f t="shared" si="2"/>
        <v>LU005557.003</v>
      </c>
      <c r="O27" s="1" t="str">
        <f ca="1">IFERROR(__xludf.dummyfunction("VLOOKUP(N27, IMPORTRANGE(""https://docs.google.com/spreadsheets/d/1yDAaXNsi4Mr5FtRQL4tbmSdIzhx6_m4wkOD7IG-k_eo/edit#gid=1336395716"", ""Science!M:N""), 2, FALSE)"),"Demonstrate through a hands-on activity how an object transitions from static to limiting friction before movement occurs.")</f>
        <v>Demonstrate through a hands-on activity how an object transitions from static to limiting friction before movement occurs.</v>
      </c>
      <c r="P27" s="1" t="str">
        <f t="shared" si="3"/>
        <v>LU005557.004</v>
      </c>
      <c r="Q27" s="15" t="str">
        <f ca="1">IFERROR(__xludf.dummyfunction("VLOOKUP(P27, IMPORTRANGE(""https://docs.google.com/spreadsheets/d/1yDAaXNsi4Mr5FtRQL4tbmSdIzhx6_m4wkOD7IG-k_eo/edit#gid=1336395716"", ""Science!M:N""), 2, FALSE)"),"Differentiate between the conditions or factors that cause objects to experience static, limiting, or sliding friction.")</f>
        <v>Differentiate between the conditions or factors that cause objects to experience static, limiting, or sliding friction.</v>
      </c>
      <c r="R27" s="1" t="str">
        <f t="shared" si="4"/>
        <v>LU005557.005</v>
      </c>
      <c r="S27" s="15" t="str">
        <f ca="1">IFERROR(__xludf.dummyfunction("VLOOKUP(R27, IMPORTRANGE(""https://docs.google.com/spreadsheets/d/1yDAaXNsi4Mr5FtRQL4tbmSdIzhx6_m4wkOD7IG-k_eo/edit#gid=1336395716"", ""Science!M:N""), 2, FALSE)"),"#N/A")</f>
        <v>#N/A</v>
      </c>
      <c r="T27" s="1" t="str">
        <f t="shared" si="5"/>
        <v>LU005557.006</v>
      </c>
      <c r="U27" s="15" t="str">
        <f ca="1">IFERROR(__xludf.dummyfunction("VLOOKUP(T27, IMPORTRANGE(""https://docs.google.com/spreadsheets/d/1yDAaXNsi4Mr5FtRQL4tbmSdIzhx6_m4wkOD7IG-k_eo/edit#gid=1336395716"", ""Science!M:N""), 2, FALSE)"),"Design a simple experiment to demonstrate the effects of static, limiting, and sliding friction using everyday materials.")</f>
        <v>Design a simple experiment to demonstrate the effects of static, limiting, and sliding friction using everyday materials.</v>
      </c>
    </row>
    <row r="28" spans="1:21" ht="82.8">
      <c r="A28" s="1"/>
      <c r="B28" s="1" t="s">
        <v>29</v>
      </c>
      <c r="C28" s="1" t="s">
        <v>30</v>
      </c>
      <c r="D28" s="13">
        <v>6</v>
      </c>
      <c r="E28" s="1" t="s">
        <v>62</v>
      </c>
      <c r="F28" s="2" t="s">
        <v>68</v>
      </c>
      <c r="G28" s="1" t="s">
        <v>71</v>
      </c>
      <c r="H28" s="2" t="str">
        <f ca="1">IFERROR(__xludf.dummyfunction("IFERROR(
  VLOOKUP(G28, IMPORTRANGE(""https://docs.google.com/spreadsheets/d/14deopnvwcrKtEGCKuYXdUHJbeLDZlkiSSWWT0g7x2pM/edit#gid=849066331"", ""LU List Maths (Filter)!A:B""), 2, FALSE),
  IFERROR(
    VLOOKUP(G28, IMPORTRANGE(""https://docs.google.com/s"&amp;"preadsheets/d/14deopnvwcrKtEGCKuYXdUHJbeLDZlkiSSWWT0g7x2pM/edit#gid=849066331"", ""LU List Science (Filter)!A:B""), 2, FALSE),
    ""Not Found""
  )
)
"),"Definition and Significance of Rolling Friction")</f>
        <v>Definition and Significance of Rolling Friction</v>
      </c>
      <c r="J28" s="1" t="str">
        <f t="shared" si="0"/>
        <v>LU005558.001</v>
      </c>
      <c r="K28" s="1" t="str">
        <f ca="1">IFERROR(__xludf.dummyfunction("VLOOKUP(J28, IMPORTRANGE(""https://docs.google.com/spreadsheets/d/1yDAaXNsi4Mr5FtRQL4tbmSdIzhx6_m4wkOD7IG-k_eo/edit#gid=1336395716"", ""Science!M:N""), 2, FALSE)"),"Recall the definition of rolling friction.")</f>
        <v>Recall the definition of rolling friction.</v>
      </c>
      <c r="L28" s="1" t="str">
        <f t="shared" si="1"/>
        <v>LU005558.002</v>
      </c>
      <c r="M28" s="1" t="str">
        <f ca="1">IFERROR(__xludf.dummyfunction("VLOOKUP(L28, IMPORTRANGE(""https://docs.google.com/spreadsheets/d/1yDAaXNsi4Mr5FtRQL4tbmSdIzhx6_m4wkOD7IG-k_eo/edit#gid=1336395716"", ""Science!M:N""), 2, FALSE)"),"Paraphrase the concept of rolling friction and its distinguishing features from other forms of friction.")</f>
        <v>Paraphrase the concept of rolling friction and its distinguishing features from other forms of friction.</v>
      </c>
      <c r="N28" s="1" t="str">
        <f t="shared" si="2"/>
        <v>LU005558.003</v>
      </c>
      <c r="O28" s="1" t="str">
        <f ca="1">IFERROR(__xludf.dummyfunction("VLOOKUP(N28, IMPORTRANGE(""https://docs.google.com/spreadsheets/d/1yDAaXNsi4Mr5FtRQL4tbmSdIzhx6_m4wkOD7IG-k_eo/edit#gid=1336395716"", ""Science!M:N""), 2, FALSE)"),"Demonstrate the effect of rolling friction on a moving body. ")</f>
        <v xml:space="preserve">Demonstrate the effect of rolling friction on a moving body. </v>
      </c>
      <c r="P28" s="1" t="str">
        <f t="shared" si="3"/>
        <v>LU005558.004</v>
      </c>
      <c r="Q28" s="15" t="str">
        <f ca="1">IFERROR(__xludf.dummyfunction("VLOOKUP(P28, IMPORTRANGE(""https://docs.google.com/spreadsheets/d/1yDAaXNsi4Mr5FtRQL4tbmSdIzhx6_m4wkOD7IG-k_eo/edit#gid=1336395716"", ""Science!M:N""), 2, FALSE)"),"Compare rolling friction with other types of friction.")</f>
        <v>Compare rolling friction with other types of friction.</v>
      </c>
      <c r="R28" s="1" t="str">
        <f t="shared" si="4"/>
        <v>LU005558.005</v>
      </c>
      <c r="S28" s="15" t="str">
        <f ca="1">IFERROR(__xludf.dummyfunction("VLOOKUP(R28, IMPORTRANGE(""https://docs.google.com/spreadsheets/d/1yDAaXNsi4Mr5FtRQL4tbmSdIzhx6_m4wkOD7IG-k_eo/edit#gid=1336395716"", ""Science!M:N""), 2, FALSE)"),"Justify the evolutionary and engineering importance of using rounded objects, like wheels, in transportation systems based on their interaction with rolling friction.")</f>
        <v>Justify the evolutionary and engineering importance of using rounded objects, like wheels, in transportation systems based on their interaction with rolling friction.</v>
      </c>
      <c r="T28" s="1" t="str">
        <f t="shared" si="5"/>
        <v>LU005558.006</v>
      </c>
      <c r="U28" s="15" t="str">
        <f ca="1">IFERROR(__xludf.dummyfunction("VLOOKUP(T28, IMPORTRANGE(""https://docs.google.com/spreadsheets/d/1yDAaXNsi4Mr5FtRQL4tbmSdIzhx6_m4wkOD7IG-k_eo/edit#gid=1336395716"", ""Science!M:N""), 2, FALSE)"),"#N/A")</f>
        <v>#N/A</v>
      </c>
    </row>
    <row r="29" spans="1:21" ht="82.8">
      <c r="A29" s="1"/>
      <c r="B29" s="1" t="s">
        <v>29</v>
      </c>
      <c r="C29" s="1" t="s">
        <v>30</v>
      </c>
      <c r="D29" s="13">
        <v>6</v>
      </c>
      <c r="E29" s="1" t="s">
        <v>62</v>
      </c>
      <c r="F29" s="2" t="s">
        <v>72</v>
      </c>
      <c r="G29" s="1" t="s">
        <v>73</v>
      </c>
      <c r="H29" s="2" t="str">
        <f ca="1">IFERROR(__xludf.dummyfunction("IFERROR(
  VLOOKUP(G29, IMPORTRANGE(""https://docs.google.com/spreadsheets/d/14deopnvwcrKtEGCKuYXdUHJbeLDZlkiSSWWT0g7x2pM/edit#gid=849066331"", ""LU List Maths (Filter)!A:B""), 2, FALSE),
  IFERROR(
    VLOOKUP(G29, IMPORTRANGE(""https://docs.google.com/s"&amp;"preadsheets/d/14deopnvwcrKtEGCKuYXdUHJbeLDZlkiSSWWT0g7x2pM/edit#gid=849066331"", ""LU List Science (Filter)!A:B""), 2, FALSE),
    ""Not Found""
  )
)
"),"Advantages of Friction in Real World")</f>
        <v>Advantages of Friction in Real World</v>
      </c>
      <c r="J29" s="1" t="str">
        <f t="shared" si="0"/>
        <v>LU005553.001</v>
      </c>
      <c r="K29" s="1" t="str">
        <f ca="1">IFERROR(__xludf.dummyfunction("VLOOKUP(J29, IMPORTRANGE(""https://docs.google.com/spreadsheets/d/1yDAaXNsi4Mr5FtRQL4tbmSdIzhx6_m4wkOD7IG-k_eo/edit#gid=1336395716"", ""Science!M:N""), 2, FALSE)"),"List the advantages of friction encountered in daily life.")</f>
        <v>List the advantages of friction encountered in daily life.</v>
      </c>
      <c r="L29" s="1" t="str">
        <f t="shared" si="1"/>
        <v>LU005553.002</v>
      </c>
      <c r="M29" s="1" t="str">
        <f ca="1">IFERROR(__xludf.dummyfunction("VLOOKUP(L29, IMPORTRANGE(""https://docs.google.com/spreadsheets/d/1yDAaXNsi4Mr5FtRQL4tbmSdIzhx6_m4wkOD7IG-k_eo/edit#gid=1336395716"", ""Science!M:N""), 2, FALSE)"),"Describe in their own words why friction is essential for certain real-world activities, such as walking or driving.")</f>
        <v>Describe in their own words why friction is essential for certain real-world activities, such as walking or driving.</v>
      </c>
      <c r="N29" s="1" t="str">
        <f t="shared" si="2"/>
        <v>LU005553.003</v>
      </c>
      <c r="O29" s="1" t="str">
        <f ca="1">IFERROR(__xludf.dummyfunction("VLOOKUP(N29, IMPORTRANGE(""https://docs.google.com/spreadsheets/d/1yDAaXNsi4Mr5FtRQL4tbmSdIzhx6_m4wkOD7IG-k_eo/edit#gid=1336395716"", ""Science!M:N""), 2, FALSE)"),"Interlocking between two surfaces as a cause of friction")</f>
        <v>Interlocking between two surfaces as a cause of friction</v>
      </c>
      <c r="P29" s="1" t="str">
        <f t="shared" si="3"/>
        <v>LU005553.004</v>
      </c>
      <c r="Q29" s="15" t="str">
        <f ca="1">IFERROR(__xludf.dummyfunction("VLOOKUP(P29, IMPORTRANGE(""https://docs.google.com/spreadsheets/d/1yDAaXNsi4Mr5FtRQL4tbmSdIzhx6_m4wkOD7IG-k_eo/edit#gid=1336395716"", ""Science!M:N""), 2, FALSE)"),"#N/A")</f>
        <v>#N/A</v>
      </c>
      <c r="R29" s="1" t="str">
        <f t="shared" si="4"/>
        <v>LU005553.005</v>
      </c>
      <c r="S29" s="15" t="str">
        <f ca="1">IFERROR(__xludf.dummyfunction("VLOOKUP(R29, IMPORTRANGE(""https://docs.google.com/spreadsheets/d/1yDAaXNsi4Mr5FtRQL4tbmSdIzhx6_m4wkOD7IG-k_eo/edit#gid=1336395716"", ""Science!M:N""), 2, FALSE)"),"Assess the significance of friction in various real-world applications, discussing which activities would be impossible without it.")</f>
        <v>Assess the significance of friction in various real-world applications, discussing which activities would be impossible without it.</v>
      </c>
      <c r="T29" s="1" t="str">
        <f t="shared" si="5"/>
        <v>LU005553.006</v>
      </c>
      <c r="U29" s="15" t="str">
        <f ca="1">IFERROR(__xludf.dummyfunction("VLOOKUP(T29, IMPORTRANGE(""https://docs.google.com/spreadsheets/d/1yDAaXNsi4Mr5FtRQL4tbmSdIzhx6_m4wkOD7IG-k_eo/edit#gid=1336395716"", ""Science!M:N""), 2, FALSE)"),"Design a simple experiment or model that showcases the advantages of friction in a particular real-world context.")</f>
        <v>Design a simple experiment or model that showcases the advantages of friction in a particular real-world context.</v>
      </c>
    </row>
    <row r="30" spans="1:21" ht="82.8">
      <c r="A30" s="1"/>
      <c r="B30" s="1" t="s">
        <v>29</v>
      </c>
      <c r="C30" s="1" t="s">
        <v>30</v>
      </c>
      <c r="D30" s="13">
        <v>6</v>
      </c>
      <c r="E30" s="1" t="s">
        <v>62</v>
      </c>
      <c r="F30" s="2" t="s">
        <v>72</v>
      </c>
      <c r="G30" s="1" t="s">
        <v>74</v>
      </c>
      <c r="H30" s="2" t="str">
        <f ca="1">IFERROR(__xludf.dummyfunction("IFERROR(
  VLOOKUP(G30, IMPORTRANGE(""https://docs.google.com/spreadsheets/d/14deopnvwcrKtEGCKuYXdUHJbeLDZlkiSSWWT0g7x2pM/edit#gid=849066331"", ""LU List Maths (Filter)!A:B""), 2, FALSE),
  IFERROR(
    VLOOKUP(G30, IMPORTRANGE(""https://docs.google.com/s"&amp;"preadsheets/d/14deopnvwcrKtEGCKuYXdUHJbeLDZlkiSSWWT0g7x2pM/edit#gid=849066331"", ""LU List Science (Filter)!A:B""), 2, FALSE),
    ""Not Found""
  )
)
"),"Disadvantages of Friction")</f>
        <v>Disadvantages of Friction</v>
      </c>
      <c r="J30" s="1" t="str">
        <f t="shared" si="0"/>
        <v>LU005555.001</v>
      </c>
      <c r="K30" s="1" t="str">
        <f ca="1">IFERROR(__xludf.dummyfunction("VLOOKUP(J30, IMPORTRANGE(""https://docs.google.com/spreadsheets/d/1yDAaXNsi4Mr5FtRQL4tbmSdIzhx6_m4wkOD7IG-k_eo/edit#gid=1336395716"", ""Science!M:N""), 2, FALSE)"),"List the disadvantages of friction encountered in daily life.")</f>
        <v>List the disadvantages of friction encountered in daily life.</v>
      </c>
      <c r="L30" s="1" t="str">
        <f t="shared" si="1"/>
        <v>LU005555.002</v>
      </c>
      <c r="M30" s="1" t="str">
        <f ca="1">IFERROR(__xludf.dummyfunction("VLOOKUP(L30, IMPORTRANGE(""https://docs.google.com/spreadsheets/d/1yDAaXNsi4Mr5FtRQL4tbmSdIzhx6_m4wkOD7IG-k_eo/edit#gid=1336395716"", ""Science!M:N""), 2, FALSE)"),"Describe how friction can result in the generation of heat energy or lead to the deterioration of materials.")</f>
        <v>Describe how friction can result in the generation of heat energy or lead to the deterioration of materials.</v>
      </c>
      <c r="N30" s="1" t="str">
        <f t="shared" si="2"/>
        <v>LU005555.003</v>
      </c>
      <c r="O30" s="1" t="str">
        <f ca="1">IFERROR(__xludf.dummyfunction("VLOOKUP(N30, IMPORTRANGE(""https://docs.google.com/spreadsheets/d/1yDAaXNsi4Mr5FtRQL4tbmSdIzhx6_m4wkOD7IG-k_eo/edit#gid=1336395716"", ""Science!M:N""), 2, FALSE)"),"Illustrate real-life scenarios where excessive friction has caused damage or inefficiencies, like the heating up of machinery parts.")</f>
        <v>Illustrate real-life scenarios where excessive friction has caused damage or inefficiencies, like the heating up of machinery parts.</v>
      </c>
      <c r="P30" s="1" t="str">
        <f t="shared" si="3"/>
        <v>LU005555.004</v>
      </c>
      <c r="Q30" s="15" t="str">
        <f ca="1">IFERROR(__xludf.dummyfunction("VLOOKUP(P30, IMPORTRANGE(""https://docs.google.com/spreadsheets/d/1yDAaXNsi4Mr5FtRQL4tbmSdIzhx6_m4wkOD7IG-k_eo/edit#gid=1336395716"", ""Science!M:N""), 2, FALSE)"),"#N/A")</f>
        <v>#N/A</v>
      </c>
      <c r="R30" s="1" t="str">
        <f t="shared" si="4"/>
        <v>LU005555.005</v>
      </c>
      <c r="S30" s="15" t="str">
        <f ca="1">IFERROR(__xludf.dummyfunction("VLOOKUP(R30, IMPORTRANGE(""https://docs.google.com/spreadsheets/d/1yDAaXNsi4Mr5FtRQL4tbmSdIzhx6_m4wkOD7IG-k_eo/edit#gid=1336395716"", ""Science!M:N""), 2, FALSE)"),"Assess the impact of friction-induced heat and wear on the longevity and efficiency of machinery or tools.")</f>
        <v>Assess the impact of friction-induced heat and wear on the longevity and efficiency of machinery or tools.</v>
      </c>
      <c r="T30" s="1" t="str">
        <f t="shared" si="5"/>
        <v>LU005555.006</v>
      </c>
      <c r="U30" s="15" t="str">
        <f ca="1">IFERROR(__xludf.dummyfunction("VLOOKUP(T30, IMPORTRANGE(""https://docs.google.com/spreadsheets/d/1yDAaXNsi4Mr5FtRQL4tbmSdIzhx6_m4wkOD7IG-k_eo/edit#gid=1336395716"", ""Science!M:N""), 2, FALSE)"),"Conceptualize a solution or preventative measure to reduce the negative impacts of friction in a particular setting or use-case scenario.")</f>
        <v>Conceptualize a solution or preventative measure to reduce the negative impacts of friction in a particular setting or use-case scenario.</v>
      </c>
    </row>
    <row r="31" spans="1:21" ht="96.6">
      <c r="A31" s="1"/>
      <c r="B31" s="1" t="s">
        <v>29</v>
      </c>
      <c r="C31" s="1" t="s">
        <v>30</v>
      </c>
      <c r="D31" s="13">
        <v>6</v>
      </c>
      <c r="E31" s="1" t="s">
        <v>75</v>
      </c>
      <c r="F31" s="1" t="s">
        <v>76</v>
      </c>
      <c r="G31" s="19" t="s">
        <v>77</v>
      </c>
      <c r="H31" s="2" t="str">
        <f ca="1">IFERROR(__xludf.dummyfunction("IFERROR(
  VLOOKUP(G31, IMPORTRANGE(""https://docs.google.com/spreadsheets/d/14deopnvwcrKtEGCKuYXdUHJbeLDZlkiSSWWT0g7x2pM/edit#gid=849066331"", ""LU List Maths (Filter)!A:B""), 2, FALSE),
  IFERROR(
    VLOOKUP(G31, IMPORTRANGE(""https://docs.google.com/s"&amp;"preadsheets/d/14deopnvwcrKtEGCKuYXdUHJbeLDZlkiSSWWT0g7x2pM/edit#gid=849066331"", ""LU List Science (Filter)!A:B""), 2, FALSE),
    ""Not Found""
  )
)
"),"Definition and Importance of Simple Machines ")</f>
        <v xml:space="preserve">Definition and Importance of Simple Machines </v>
      </c>
      <c r="J31" s="1" t="str">
        <f t="shared" si="0"/>
        <v>LU006048.001</v>
      </c>
      <c r="K31" s="1" t="str">
        <f ca="1">IFERROR(__xludf.dummyfunction("VLOOKUP(J31, IMPORTRANGE(""https://docs.google.com/spreadsheets/d/1yDAaXNsi4Mr5FtRQL4tbmSdIzhx6_m4wkOD7IG-k_eo/edit#gid=1336395716"", ""Science!M:N""), 2, FALSE)"),"Identify the six types of simple machines and their fundamental mechanical functions.")</f>
        <v>Identify the six types of simple machines and their fundamental mechanical functions.</v>
      </c>
      <c r="L31" s="1" t="str">
        <f t="shared" si="1"/>
        <v>LU006048.002</v>
      </c>
      <c r="M31" s="1" t="str">
        <f ca="1">IFERROR(__xludf.dummyfunction("VLOOKUP(L31, IMPORTRANGE(""https://docs.google.com/spreadsheets/d/1yDAaXNsi4Mr5FtRQL4tbmSdIzhx6_m4wkOD7IG-k_eo/edit#gid=1336395716"", ""Science!M:N""), 2, FALSE)"),"Explain how simple machines reduce effort or change the direction of force, enhancing mechanical advantage.")</f>
        <v>Explain how simple machines reduce effort or change the direction of force, enhancing mechanical advantage.</v>
      </c>
      <c r="N31" s="1" t="str">
        <f t="shared" si="2"/>
        <v>LU006048.003</v>
      </c>
      <c r="O31" s="1" t="str">
        <f ca="1">IFERROR(__xludf.dummyfunction("VLOOKUP(N31, IMPORTRANGE(""https://docs.google.com/spreadsheets/d/1yDAaXNsi4Mr5FtRQL4tbmSdIzhx6_m4wkOD7IG-k_eo/edit#gid=1336395716"", ""Science!M:N""), 2, FALSE)"),"Apply concepts of simple machines to solve problems involving lifting or moving objects with reduced force.")</f>
        <v>Apply concepts of simple machines to solve problems involving lifting or moving objects with reduced force.</v>
      </c>
      <c r="P31" s="1" t="str">
        <f t="shared" si="3"/>
        <v>LU006048.004</v>
      </c>
      <c r="Q31" s="15" t="str">
        <f ca="1">IFERROR(__xludf.dummyfunction("VLOOKUP(P31, IMPORTRANGE(""https://docs.google.com/spreadsheets/d/1yDAaXNsi4Mr5FtRQL4tbmSdIzhx6_m4wkOD7IG-k_eo/edit#gid=1336395716"", ""Science!M:N""), 2, FALSE)"),"Analyze everyday tools and devices to determine which type of simple machine(s) they incorporate and how.")</f>
        <v>Analyze everyday tools and devices to determine which type of simple machine(s) they incorporate and how.</v>
      </c>
      <c r="R31" s="1" t="str">
        <f t="shared" si="4"/>
        <v>LU006048.005</v>
      </c>
      <c r="S31" s="15" t="str">
        <f ca="1">IFERROR(__xludf.dummyfunction("VLOOKUP(R31, IMPORTRANGE(""https://docs.google.com/spreadsheets/d/1yDAaXNsi4Mr5FtRQL4tbmSdIzhx6_m4wkOD7IG-k_eo/edit#gid=1336395716"", ""Science!M:N""), 2, FALSE)"),"Evaluate the impact of simple machines on technological development and their significance in historical and modern engineering.")</f>
        <v>Evaluate the impact of simple machines on technological development and their significance in historical and modern engineering.</v>
      </c>
      <c r="T31" s="1" t="str">
        <f t="shared" si="5"/>
        <v>LU006048.006</v>
      </c>
      <c r="U31" s="15" t="str">
        <f ca="1">IFERROR(__xludf.dummyfunction("VLOOKUP(T31, IMPORTRANGE(""https://docs.google.com/spreadsheets/d/1yDAaXNsi4Mr5FtRQL4tbmSdIzhx6_m4wkOD7IG-k_eo/edit#gid=1336395716"", ""Science!M:N""), 2, FALSE)"),"Design a compound machine using a combination of simple machines to demonstrate the principles of mechanical advantage in a practical application.")</f>
        <v>Design a compound machine using a combination of simple machines to demonstrate the principles of mechanical advantage in a practical application.</v>
      </c>
    </row>
    <row r="32" spans="1:21" ht="27.6">
      <c r="A32" s="1"/>
      <c r="B32" s="1" t="s">
        <v>29</v>
      </c>
      <c r="C32" s="1" t="s">
        <v>30</v>
      </c>
      <c r="D32" s="13">
        <v>6</v>
      </c>
      <c r="E32" s="1" t="s">
        <v>75</v>
      </c>
      <c r="F32" s="1" t="s">
        <v>76</v>
      </c>
      <c r="G32" s="14" t="s">
        <v>78</v>
      </c>
      <c r="H32" s="2" t="str">
        <f ca="1">IFERROR(__xludf.dummyfunction("IFERROR(
  VLOOKUP(G32, IMPORTRANGE(""https://docs.google.com/spreadsheets/d/14deopnvwcrKtEGCKuYXdUHJbeLDZlkiSSWWT0g7x2pM/edit#gid=849066331"", ""LU List Maths (Filter)!A:B""), 2, FALSE),
  IFERROR(
    VLOOKUP(G32, IMPORTRANGE(""https://docs.google.com/s"&amp;"preadsheets/d/14deopnvwcrKtEGCKuYXdUHJbeLDZlkiSSWWT0g7x2pM/edit#gid=849066331"", ""LU List Science (Filter)!A:B""), 2, FALSE),
    ""Not Found""
  )
)
"),"Mechanical advantage of a machine")</f>
        <v>Mechanical advantage of a machine</v>
      </c>
      <c r="I32" s="2" t="s">
        <v>79</v>
      </c>
      <c r="J32" s="1" t="str">
        <f t="shared" si="0"/>
        <v>LU006790.001</v>
      </c>
      <c r="K32" s="1" t="str">
        <f ca="1">IFERROR(__xludf.dummyfunction("VLOOKUP(J32, IMPORTRANGE(""https://docs.google.com/spreadsheets/d/1yDAaXNsi4Mr5FtRQL4tbmSdIzhx6_m4wkOD7IG-k_eo/edit#gid=1336395716"", ""Science!M:N""), 2, FALSE)"),"(LU006790.001); Default - Remember")</f>
        <v>(LU006790.001); Default - Remember</v>
      </c>
      <c r="L32" s="1" t="str">
        <f t="shared" si="1"/>
        <v>LU006790.002</v>
      </c>
      <c r="M32" s="1" t="str">
        <f ca="1">IFERROR(__xludf.dummyfunction("VLOOKUP(L32, IMPORTRANGE(""https://docs.google.com/spreadsheets/d/1yDAaXNsi4Mr5FtRQL4tbmSdIzhx6_m4wkOD7IG-k_eo/edit#gid=1336395716"", ""Science!M:N""), 2, FALSE)"),"(LU006790.002); Default - Understand")</f>
        <v>(LU006790.002); Default - Understand</v>
      </c>
      <c r="N32" s="1" t="str">
        <f t="shared" si="2"/>
        <v>LU006790.003</v>
      </c>
      <c r="O32" s="1" t="str">
        <f ca="1">IFERROR(__xludf.dummyfunction("VLOOKUP(N32, IMPORTRANGE(""https://docs.google.com/spreadsheets/d/1yDAaXNsi4Mr5FtRQL4tbmSdIzhx6_m4wkOD7IG-k_eo/edit#gid=1336395716"", ""Science!M:N""), 2, FALSE)"),"(LU006790.003); Default - Apply")</f>
        <v>(LU006790.003); Default - Apply</v>
      </c>
      <c r="P32" s="1" t="str">
        <f t="shared" si="3"/>
        <v>LU006790.004</v>
      </c>
      <c r="Q32" s="15" t="str">
        <f ca="1">IFERROR(__xludf.dummyfunction("VLOOKUP(P32, IMPORTRANGE(""https://docs.google.com/spreadsheets/d/1yDAaXNsi4Mr5FtRQL4tbmSdIzhx6_m4wkOD7IG-k_eo/edit#gid=1336395716"", ""Science!M:N""), 2, FALSE)"),"(LU006790.004); Default - Analyse")</f>
        <v>(LU006790.004); Default - Analyse</v>
      </c>
      <c r="R32" s="1" t="str">
        <f t="shared" si="4"/>
        <v>LU006790.005</v>
      </c>
      <c r="S32" s="15" t="str">
        <f ca="1">IFERROR(__xludf.dummyfunction("VLOOKUP(R32, IMPORTRANGE(""https://docs.google.com/spreadsheets/d/1yDAaXNsi4Mr5FtRQL4tbmSdIzhx6_m4wkOD7IG-k_eo/edit#gid=1336395716"", ""Science!M:N""), 2, FALSE)"),"(LU006790.005); Default - Evaluate")</f>
        <v>(LU006790.005); Default - Evaluate</v>
      </c>
      <c r="T32" s="1" t="str">
        <f t="shared" si="5"/>
        <v>LU006790.006</v>
      </c>
      <c r="U32" s="15" t="str">
        <f ca="1">IFERROR(__xludf.dummyfunction("VLOOKUP(T32, IMPORTRANGE(""https://docs.google.com/spreadsheets/d/1yDAaXNsi4Mr5FtRQL4tbmSdIzhx6_m4wkOD7IG-k_eo/edit#gid=1336395716"", ""Science!M:N""), 2, FALSE)"),"(LU006790.006); Default - Create")</f>
        <v>(LU006790.006); Default - Create</v>
      </c>
    </row>
    <row r="33" spans="1:21" ht="96.6">
      <c r="A33" s="1"/>
      <c r="B33" s="1" t="s">
        <v>29</v>
      </c>
      <c r="C33" s="1" t="s">
        <v>30</v>
      </c>
      <c r="D33" s="13">
        <v>6</v>
      </c>
      <c r="E33" s="1" t="s">
        <v>75</v>
      </c>
      <c r="F33" s="1" t="s">
        <v>80</v>
      </c>
      <c r="G33" s="19" t="s">
        <v>81</v>
      </c>
      <c r="H33" s="2" t="str">
        <f ca="1">IFERROR(__xludf.dummyfunction("IFERROR(
  VLOOKUP(G33, IMPORTRANGE(""https://docs.google.com/spreadsheets/d/14deopnvwcrKtEGCKuYXdUHJbeLDZlkiSSWWT0g7x2pM/edit#gid=849066331"", ""LU List Maths (Filter)!A:B""), 2, FALSE),
  IFERROR(
    VLOOKUP(G33, IMPORTRANGE(""https://docs.google.com/s"&amp;"preadsheets/d/14deopnvwcrKtEGCKuYXdUHJbeLDZlkiSSWWT0g7x2pM/edit#gid=849066331"", ""LU List Science (Filter)!A:B""), 2, FALSE),
    ""Not Found""
  )
)
"),"Lever as Simple Machine ")</f>
        <v xml:space="preserve">Lever as Simple Machine </v>
      </c>
      <c r="J33" s="1" t="str">
        <f t="shared" si="0"/>
        <v>LU006049.001</v>
      </c>
      <c r="K33" s="1" t="str">
        <f ca="1">IFERROR(__xludf.dummyfunction("VLOOKUP(J33, IMPORTRANGE(""https://docs.google.com/spreadsheets/d/1yDAaXNsi4Mr5FtRQL4tbmSdIzhx6_m4wkOD7IG-k_eo/edit#gid=1336395716"", ""Science!M:N""), 2, FALSE)"),"Identify the components of a lever – fulcrum, effort, and load – and classify it as one of the types of simple machines.")</f>
        <v>Identify the components of a lever – fulcrum, effort, and load – and classify it as one of the types of simple machines.</v>
      </c>
      <c r="L33" s="1" t="str">
        <f t="shared" si="1"/>
        <v>LU006049.002</v>
      </c>
      <c r="M33" s="1" t="str">
        <f ca="1">IFERROR(__xludf.dummyfunction("VLOOKUP(L33, IMPORTRANGE(""https://docs.google.com/spreadsheets/d/1yDAaXNsi4Mr5FtRQL4tbmSdIzhx6_m4wkOD7IG-k_eo/edit#gid=1336395716"", ""Science!M:N""), 2, FALSE)"),"Describe how a lever amplifies force or changes its direction.")</f>
        <v>Describe how a lever amplifies force or changes its direction.</v>
      </c>
      <c r="N33" s="1" t="str">
        <f t="shared" si="2"/>
        <v>LU006049.003</v>
      </c>
      <c r="O33" s="1" t="str">
        <f ca="1">IFERROR(__xludf.dummyfunction("VLOOKUP(N33, IMPORTRANGE(""https://docs.google.com/spreadsheets/d/1yDAaXNsi4Mr5FtRQL4tbmSdIzhx6_m4wkOD7IG-k_eo/edit#gid=1336395716"", ""Science!M:N""), 2, FALSE)"),"#N/A")</f>
        <v>#N/A</v>
      </c>
      <c r="P33" s="1" t="str">
        <f t="shared" si="3"/>
        <v>LU006049.004</v>
      </c>
      <c r="Q33" s="15" t="str">
        <f ca="1">IFERROR(__xludf.dummyfunction("VLOOKUP(P33, IMPORTRANGE(""https://docs.google.com/spreadsheets/d/1yDAaXNsi4Mr5FtRQL4tbmSdIzhx6_m4wkOD7IG-k_eo/edit#gid=1336395716"", ""Science!M:N""), 2, FALSE)"),"Analyze the different classes of levers and predict their mechanical advantage based on the positions of the fulcrum, effort, and load.")</f>
        <v>Analyze the different classes of levers and predict their mechanical advantage based on the positions of the fulcrum, effort, and load.</v>
      </c>
      <c r="R33" s="1" t="str">
        <f t="shared" si="4"/>
        <v>LU006049.005</v>
      </c>
      <c r="S33" s="15" t="str">
        <f ca="1">IFERROR(__xludf.dummyfunction("VLOOKUP(R33, IMPORTRANGE(""https://docs.google.com/spreadsheets/d/1yDAaXNsi4Mr5FtRQL4tbmSdIzhx6_m4wkOD7IG-k_eo/edit#gid=1336395716"", ""Science!M:N""), 2, FALSE)"),"Evaluate real-world applications of levers, considering their efficiency and effectiveness in various machines and tools.")</f>
        <v>Evaluate real-world applications of levers, considering their efficiency and effectiveness in various machines and tools.</v>
      </c>
      <c r="T33" s="1" t="str">
        <f t="shared" si="5"/>
        <v>LU006049.006</v>
      </c>
      <c r="U33" s="15" t="str">
        <f ca="1">IFERROR(__xludf.dummyfunction("VLOOKUP(T33, IMPORTRANGE(""https://docs.google.com/spreadsheets/d/1yDAaXNsi4Mr5FtRQL4tbmSdIzhx6_m4wkOD7IG-k_eo/edit#gid=1336395716"", ""Science!M:N""), 2, FALSE)"),"Design a lever-based mechanism for a specific task, such as lifting a heavy object or cutting a material, demonstrating an understanding of leverage principles.")</f>
        <v>Design a lever-based mechanism for a specific task, such as lifting a heavy object or cutting a material, demonstrating an understanding of leverage principles.</v>
      </c>
    </row>
    <row r="34" spans="1:21" ht="82.8">
      <c r="A34" s="1"/>
      <c r="B34" s="1" t="s">
        <v>29</v>
      </c>
      <c r="C34" s="1" t="s">
        <v>30</v>
      </c>
      <c r="D34" s="13">
        <v>6</v>
      </c>
      <c r="E34" s="1" t="s">
        <v>75</v>
      </c>
      <c r="F34" s="1" t="s">
        <v>80</v>
      </c>
      <c r="G34" s="19" t="s">
        <v>82</v>
      </c>
      <c r="H34" s="2" t="str">
        <f ca="1">IFERROR(__xludf.dummyfunction("IFERROR(
  VLOOKUP(G34, IMPORTRANGE(""https://docs.google.com/spreadsheets/d/14deopnvwcrKtEGCKuYXdUHJbeLDZlkiSSWWT0g7x2pM/edit#gid=849066331"", ""LU List Maths (Filter)!A:B""), 2, FALSE),
  IFERROR(
    VLOOKUP(G34, IMPORTRANGE(""https://docs.google.com/s"&amp;"preadsheets/d/14deopnvwcrKtEGCKuYXdUHJbeLDZlkiSSWWT0g7x2pM/edit#gid=849066331"", ""LU List Science (Filter)!A:B""), 2, FALSE),
    ""Not Found""
  )
)
"),"Classification of Lever based on position of Fulcrum, Load and Effort")</f>
        <v>Classification of Lever based on position of Fulcrum, Load and Effort</v>
      </c>
      <c r="J34" s="1" t="str">
        <f t="shared" ref="J34:J66" si="6">G34 &amp; ".001"</f>
        <v>LU006050.001</v>
      </c>
      <c r="K34" s="1" t="str">
        <f ca="1">IFERROR(__xludf.dummyfunction("VLOOKUP(J34, IMPORTRANGE(""https://docs.google.com/spreadsheets/d/1yDAaXNsi4Mr5FtRQL4tbmSdIzhx6_m4wkOD7IG-k_eo/edit#gid=1336395716"", ""Science!M:N""), 2, FALSE)"),"Recognize and list the three classes of levers by identifying the relative positions of the fulcrum, load, and effort.")</f>
        <v>Recognize and list the three classes of levers by identifying the relative positions of the fulcrum, load, and effort.</v>
      </c>
      <c r="L34" s="1" t="str">
        <f t="shared" ref="L34:L66" si="7">G34 &amp; ".002"</f>
        <v>LU006050.002</v>
      </c>
      <c r="M34" s="1" t="str">
        <f ca="1">IFERROR(__xludf.dummyfunction("VLOOKUP(L34, IMPORTRANGE(""https://docs.google.com/spreadsheets/d/1yDAaXNsi4Mr5FtRQL4tbmSdIzhx6_m4wkOD7IG-k_eo/edit#gid=1336395716"", ""Science!M:N""), 2, FALSE)"),"Explain the mechanical advantages and disadvantages of each class of lever based on the fulcrum, load, and effort arrangement.")</f>
        <v>Explain the mechanical advantages and disadvantages of each class of lever based on the fulcrum, load, and effort arrangement.</v>
      </c>
      <c r="N34" s="1" t="str">
        <f t="shared" ref="N34:N66" si="8">G34 &amp; ".003"</f>
        <v>LU006050.003</v>
      </c>
      <c r="O34" s="1" t="str">
        <f ca="1">IFERROR(__xludf.dummyfunction("VLOOKUP(N34, IMPORTRANGE(""https://docs.google.com/spreadsheets/d/1yDAaXNsi4Mr5FtRQL4tbmSdIzhx6_m4wkOD7IG-k_eo/edit#gid=1336395716"", ""Science!M:N""), 2, FALSE)"),"Apply the concept of lever classification to determine the class of a lever in various real-life tools and machines.")</f>
        <v>Apply the concept of lever classification to determine the class of a lever in various real-life tools and machines.</v>
      </c>
      <c r="P34" s="1" t="str">
        <f t="shared" ref="P34:P66" si="9">G34 &amp; ".004"</f>
        <v>LU006050.004</v>
      </c>
      <c r="Q34" s="15" t="str">
        <f ca="1">IFERROR(__xludf.dummyfunction("VLOOKUP(P34, IMPORTRANGE(""https://docs.google.com/spreadsheets/d/1yDAaXNsi4Mr5FtRQL4tbmSdIzhx6_m4wkOD7IG-k_eo/edit#gid=1336395716"", ""Science!M:N""), 2, FALSE)"),"Analyze how the position of the fulcrum, load, and effort affects the force required and the movement of a lever in different scenarios.")</f>
        <v>Analyze how the position of the fulcrum, load, and effort affects the force required and the movement of a lever in different scenarios.</v>
      </c>
      <c r="R34" s="1" t="str">
        <f t="shared" ref="R34:R66" si="10">G34 &amp; ".005"</f>
        <v>LU006050.005</v>
      </c>
      <c r="S34" s="15" t="str">
        <f ca="1">IFERROR(__xludf.dummyfunction("VLOOKUP(R34, IMPORTRANGE(""https://docs.google.com/spreadsheets/d/1yDAaXNsi4Mr5FtRQL4tbmSdIzhx6_m4wkOD7IG-k_eo/edit#gid=1336395716"", ""Science!M:N""), 2, FALSE)"),"Evaluate the effectiveness of each class of lever for specific tasks in terms of force amplification and direction of force.")</f>
        <v>Evaluate the effectiveness of each class of lever for specific tasks in terms of force amplification and direction of force.</v>
      </c>
      <c r="T34" s="1" t="str">
        <f t="shared" ref="T34:T66" si="11">G34 &amp; ".006"</f>
        <v>LU006050.006</v>
      </c>
      <c r="U34" s="15" t="str">
        <f ca="1">IFERROR(__xludf.dummyfunction("VLOOKUP(T34, IMPORTRANGE(""https://docs.google.com/spreadsheets/d/1yDAaXNsi4Mr5FtRQL4tbmSdIzhx6_m4wkOD7IG-k_eo/edit#gid=1336395716"", ""Science!M:N""), 2, FALSE)"),"#N/A")</f>
        <v>#N/A</v>
      </c>
    </row>
    <row r="35" spans="1:21" ht="82.8">
      <c r="A35" s="1"/>
      <c r="B35" s="1" t="s">
        <v>29</v>
      </c>
      <c r="C35" s="1" t="s">
        <v>30</v>
      </c>
      <c r="D35" s="13">
        <v>6</v>
      </c>
      <c r="E35" s="1" t="s">
        <v>75</v>
      </c>
      <c r="F35" s="1" t="s">
        <v>83</v>
      </c>
      <c r="G35" s="19" t="s">
        <v>84</v>
      </c>
      <c r="H35" s="2" t="str">
        <f ca="1">IFERROR(__xludf.dummyfunction("IFERROR(
  VLOOKUP(G35, IMPORTRANGE(""https://docs.google.com/spreadsheets/d/14deopnvwcrKtEGCKuYXdUHJbeLDZlkiSSWWT0g7x2pM/edit#gid=849066331"", ""LU List Maths (Filter)!A:B""), 2, FALSE),
  IFERROR(
    VLOOKUP(G35, IMPORTRANGE(""https://docs.google.com/s"&amp;"preadsheets/d/14deopnvwcrKtEGCKuYXdUHJbeLDZlkiSSWWT0g7x2pM/edit#gid=849066331"", ""LU List Science (Filter)!A:B""), 2, FALSE),
    ""Not Found""
  )
)
"),"Pulley as a Simple Machine")</f>
        <v>Pulley as a Simple Machine</v>
      </c>
      <c r="J35" s="1" t="str">
        <f t="shared" si="6"/>
        <v>LU006051.001</v>
      </c>
      <c r="K35" s="1" t="str">
        <f ca="1">IFERROR(__xludf.dummyfunction("VLOOKUP(J35, IMPORTRANGE(""https://docs.google.com/spreadsheets/d/1yDAaXNsi4Mr5FtRQL4tbmSdIzhx6_m4wkOD7IG-k_eo/edit#gid=1336395716"", ""Science!M:N""), 2, FALSE)"),"Identify the pulley as a simple machine and describe its basic components and function.")</f>
        <v>Identify the pulley as a simple machine and describe its basic components and function.</v>
      </c>
      <c r="L35" s="1" t="str">
        <f t="shared" si="7"/>
        <v>LU006051.002</v>
      </c>
      <c r="M35" s="1" t="str">
        <f ca="1">IFERROR(__xludf.dummyfunction("VLOOKUP(L35, IMPORTRANGE(""https://docs.google.com/spreadsheets/d/1yDAaXNsi4Mr5FtRQL4tbmSdIzhx6_m4wkOD7IG-k_eo/edit#gid=1336395716"", ""Science!M:N""), 2, FALSE)"),"Explain how pulleys can change the direction of a force and potentially reduce the amount of force needed to lift a weight.")</f>
        <v>Explain how pulleys can change the direction of a force and potentially reduce the amount of force needed to lift a weight.</v>
      </c>
      <c r="N35" s="1" t="str">
        <f t="shared" si="8"/>
        <v>LU006051.003</v>
      </c>
      <c r="O35" s="1" t="str">
        <f ca="1">IFERROR(__xludf.dummyfunction("VLOOKUP(N35, IMPORTRANGE(""https://docs.google.com/spreadsheets/d/1yDAaXNsi4Mr5FtRQL4tbmSdIzhx6_m4wkOD7IG-k_eo/edit#gid=1336395716"", ""Science!M:N""), 2, FALSE)"),"Apply the concept of pulleys to determine the effort needed for lifting objects in different pulley system arrangements.")</f>
        <v>Apply the concept of pulleys to determine the effort needed for lifting objects in different pulley system arrangements.</v>
      </c>
      <c r="P35" s="1" t="str">
        <f t="shared" si="9"/>
        <v>LU006051.004</v>
      </c>
      <c r="Q35" s="15" t="str">
        <f ca="1">IFERROR(__xludf.dummyfunction("VLOOKUP(P35, IMPORTRANGE(""https://docs.google.com/spreadsheets/d/1yDAaXNsi4Mr5FtRQL4tbmSdIzhx6_m4wkOD7IG-k_eo/edit#gid=1336395716"", ""Science!M:N""), 2, FALSE)"),"Analyze the mechanical advantage provided by fixed, movable, and compound pulley systems.")</f>
        <v>Analyze the mechanical advantage provided by fixed, movable, and compound pulley systems.</v>
      </c>
      <c r="R35" s="1" t="str">
        <f t="shared" si="10"/>
        <v>LU006051.005</v>
      </c>
      <c r="S35" s="15" t="str">
        <f ca="1">IFERROR(__xludf.dummyfunction("VLOOKUP(R35, IMPORTRANGE(""https://docs.google.com/spreadsheets/d/1yDAaXNsi4Mr5FtRQL4tbmSdIzhx6_m4wkOD7IG-k_eo/edit#gid=1336395716"", ""Science!M:N""), 2, FALSE)"),"Evaluate the effectiveness of pulley systems in various real-world applications such as construction and sailing.")</f>
        <v>Evaluate the effectiveness of pulley systems in various real-world applications such as construction and sailing.</v>
      </c>
      <c r="T35" s="1" t="str">
        <f t="shared" si="11"/>
        <v>LU006051.006</v>
      </c>
      <c r="U35" s="15" t="str">
        <f ca="1">IFERROR(__xludf.dummyfunction("VLOOKUP(T35, IMPORTRANGE(""https://docs.google.com/spreadsheets/d/1yDAaXNsi4Mr5FtRQL4tbmSdIzhx6_m4wkOD7IG-k_eo/edit#gid=1336395716"", ""Science!M:N""), 2, FALSE)"),"Design a pulley system for a specific application, demonstrating an understanding of how pulleys can create a mechanical advantage.")</f>
        <v>Design a pulley system for a specific application, demonstrating an understanding of how pulleys can create a mechanical advantage.</v>
      </c>
    </row>
    <row r="36" spans="1:21" ht="96.6">
      <c r="A36" s="1"/>
      <c r="B36" s="1" t="s">
        <v>29</v>
      </c>
      <c r="C36" s="1" t="s">
        <v>30</v>
      </c>
      <c r="D36" s="13">
        <v>6</v>
      </c>
      <c r="E36" s="1" t="s">
        <v>75</v>
      </c>
      <c r="F36" s="1" t="s">
        <v>83</v>
      </c>
      <c r="G36" s="19" t="s">
        <v>85</v>
      </c>
      <c r="H36" s="2" t="str">
        <f ca="1">IFERROR(__xludf.dummyfunction("IFERROR(
  VLOOKUP(G36, IMPORTRANGE(""https://docs.google.com/spreadsheets/d/14deopnvwcrKtEGCKuYXdUHJbeLDZlkiSSWWT0g7x2pM/edit#gid=849066331"", ""LU List Maths (Filter)!A:B""), 2, FALSE),
  IFERROR(
    VLOOKUP(G36, IMPORTRANGE(""https://docs.google.com/s"&amp;"preadsheets/d/14deopnvwcrKtEGCKuYXdUHJbeLDZlkiSSWWT0g7x2pM/edit#gid=849066331"", ""LU List Science (Filter)!A:B""), 2, FALSE),
    ""Not Found""
  )
)
"),"Screw as a Simple Machine ")</f>
        <v xml:space="preserve">Screw as a Simple Machine </v>
      </c>
      <c r="J36" s="1" t="str">
        <f t="shared" si="6"/>
        <v>LU006054.001</v>
      </c>
      <c r="K36" s="1" t="str">
        <f ca="1">IFERROR(__xludf.dummyfunction("VLOOKUP(J36, IMPORTRANGE(""https://docs.google.com/spreadsheets/d/1yDAaXNsi4Mr5FtRQL4tbmSdIzhx6_m4wkOD7IG-k_eo/edit#gid=1336395716"", ""Science!M:N""), 2, FALSE)"),"Identify a screw as a simple machine that is essentially an inclined plane wrapped around a cylinder.")</f>
        <v>Identify a screw as a simple machine that is essentially an inclined plane wrapped around a cylinder.</v>
      </c>
      <c r="L36" s="1" t="str">
        <f t="shared" si="7"/>
        <v>LU006054.002</v>
      </c>
      <c r="M36" s="1" t="str">
        <f ca="1">IFERROR(__xludf.dummyfunction("VLOOKUP(L36, IMPORTRANGE(""https://docs.google.com/spreadsheets/d/1yDAaXNsi4Mr5FtRQL4tbmSdIzhx6_m4wkOD7IG-k_eo/edit#gid=1336395716"", ""Science!M:N""), 2, FALSE)"),"Describe the function of the threads or grooves of a screw in holding objects together and converting rotational force to linear motion.")</f>
        <v>Describe the function of the threads or grooves of a screw in holding objects together and converting rotational force to linear motion.</v>
      </c>
      <c r="N36" s="1" t="str">
        <f t="shared" si="8"/>
        <v>LU006054.003</v>
      </c>
      <c r="O36" s="1" t="str">
        <f ca="1">IFERROR(__xludf.dummyfunction("VLOOKUP(N36, IMPORTRANGE(""https://docs.google.com/spreadsheets/d/1yDAaXNsi4Mr5FtRQL4tbmSdIzhx6_m4wkOD7IG-k_eo/edit#gid=1336395716"", ""Science!M:N""), 2, FALSE)"),"Apply the concept of the screw to understand how turning movements can exert large linear forces, useful in devices like screw caps and screw jacks.")</f>
        <v>Apply the concept of the screw to understand how turning movements can exert large linear forces, useful in devices like screw caps and screw jacks.</v>
      </c>
      <c r="P36" s="1" t="str">
        <f t="shared" si="9"/>
        <v>LU006054.004</v>
      </c>
      <c r="Q36" s="15" t="str">
        <f ca="1">IFERROR(__xludf.dummyfunction("VLOOKUP(P36, IMPORTRANGE(""https://docs.google.com/spreadsheets/d/1yDAaXNsi4Mr5FtRQL4tbmSdIzhx6_m4wkOD7IG-k_eo/edit#gid=1336395716"", ""Science!M:N""), 2, FALSE)"),"Analyze the design of different screw types to understand how their thread pitch and diameter affect their mechanical advantage.")</f>
        <v>Analyze the design of different screw types to understand how their thread pitch and diameter affect their mechanical advantage.</v>
      </c>
      <c r="R36" s="1" t="str">
        <f t="shared" si="10"/>
        <v>LU006054.005</v>
      </c>
      <c r="S36" s="15" t="str">
        <f ca="1">IFERROR(__xludf.dummyfunction("VLOOKUP(R36, IMPORTRANGE(""https://docs.google.com/spreadsheets/d/1yDAaXNsi4Mr5FtRQL4tbmSdIzhx6_m4wkOD7IG-k_eo/edit#gid=1336395716"", ""Science!M:N""), 2, FALSE)"),"Evaluate the effectiveness of screw-based mechanisms in everyday tools and machinery, such as in holding, lifting, or applying pressure.")</f>
        <v>Evaluate the effectiveness of screw-based mechanisms in everyday tools and machinery, such as in holding, lifting, or applying pressure.</v>
      </c>
      <c r="T36" s="1" t="str">
        <f t="shared" si="11"/>
        <v>LU006054.006</v>
      </c>
      <c r="U36" s="15" t="str">
        <f ca="1">IFERROR(__xludf.dummyfunction("VLOOKUP(T36, IMPORTRANGE(""https://docs.google.com/spreadsheets/d/1yDAaXNsi4Mr5FtRQL4tbmSdIzhx6_m4wkOD7IG-k_eo/edit#gid=1336395716"", ""Science!M:N""), 2, FALSE)"),"Design a simple application that demonstrates the mechanical advantage of a screw, such as a model screw jack that can lift a small weight.")</f>
        <v>Design a simple application that demonstrates the mechanical advantage of a screw, such as a model screw jack that can lift a small weight.</v>
      </c>
    </row>
    <row r="37" spans="1:21" ht="96.6">
      <c r="A37" s="1"/>
      <c r="B37" s="1" t="s">
        <v>29</v>
      </c>
      <c r="C37" s="1" t="s">
        <v>30</v>
      </c>
      <c r="D37" s="13">
        <v>6</v>
      </c>
      <c r="E37" s="1" t="s">
        <v>75</v>
      </c>
      <c r="F37" s="1" t="s">
        <v>83</v>
      </c>
      <c r="G37" s="19" t="s">
        <v>86</v>
      </c>
      <c r="H37" s="2" t="str">
        <f ca="1">IFERROR(__xludf.dummyfunction("IFERROR(
  VLOOKUP(G37, IMPORTRANGE(""https://docs.google.com/spreadsheets/d/14deopnvwcrKtEGCKuYXdUHJbeLDZlkiSSWWT0g7x2pM/edit#gid=849066331"", ""LU List Maths (Filter)!A:B""), 2, FALSE),
  IFERROR(
    VLOOKUP(G37, IMPORTRANGE(""https://docs.google.com/s"&amp;"preadsheets/d/14deopnvwcrKtEGCKuYXdUHJbeLDZlkiSSWWT0g7x2pM/edit#gid=849066331"", ""LU List Science (Filter)!A:B""), 2, FALSE),
    ""Not Found""
  )
)
"),"Wheel and axle as a Simple Machine ")</f>
        <v xml:space="preserve">Wheel and axle as a Simple Machine </v>
      </c>
      <c r="J37" s="1" t="str">
        <f t="shared" si="6"/>
        <v>LU006055.001</v>
      </c>
      <c r="K37" s="1" t="str">
        <f ca="1">IFERROR(__xludf.dummyfunction("VLOOKUP(J37, IMPORTRANGE(""https://docs.google.com/spreadsheets/d/1yDAaXNsi4Mr5FtRQL4tbmSdIzhx6_m4wkOD7IG-k_eo/edit#gid=1336395716"", ""Science!M:N""), 2, FALSE)"),"Identify the wheel and axle as a simple machine that consists of a wheel attached to a rod called an axle, which rotates together.")</f>
        <v>Identify the wheel and axle as a simple machine that consists of a wheel attached to a rod called an axle, which rotates together.</v>
      </c>
      <c r="L37" s="1" t="str">
        <f t="shared" si="7"/>
        <v>LU006055.002</v>
      </c>
      <c r="M37" s="1" t="str">
        <f ca="1">IFERROR(__xludf.dummyfunction("VLOOKUP(L37, IMPORTRANGE(""https://docs.google.com/spreadsheets/d/1yDAaXNsi4Mr5FtRQL4tbmSdIzhx6_m4wkOD7IG-k_eo/edit#gid=1336395716"", ""Science!M:N""), 2, FALSE)"),"Describe how the size of the wheel relative to the axle determines the mechanical advantage, allowing for easier movement or force application.")</f>
        <v>Describe how the size of the wheel relative to the axle determines the mechanical advantage, allowing for easier movement or force application.</v>
      </c>
      <c r="N37" s="1" t="str">
        <f t="shared" si="8"/>
        <v>LU006055.003</v>
      </c>
      <c r="O37" s="1" t="str">
        <f ca="1">IFERROR(__xludf.dummyfunction("VLOOKUP(N37, IMPORTRANGE(""https://docs.google.com/spreadsheets/d/1yDAaXNsi4Mr5FtRQL4tbmSdIzhx6_m4wkOD7IG-k_eo/edit#gid=1336395716"", ""Science!M:N""), 2, FALSE)"),"Apply the concept of the wheel and axle to various tools and devices, such as screwdrivers, doorknobs, and vehicle steering mechanisms.")</f>
        <v>Apply the concept of the wheel and axle to various tools and devices, such as screwdrivers, doorknobs, and vehicle steering mechanisms.</v>
      </c>
      <c r="P37" s="1" t="str">
        <f t="shared" si="9"/>
        <v>LU006055.004</v>
      </c>
      <c r="Q37" s="15" t="str">
        <f ca="1">IFERROR(__xludf.dummyfunction("VLOOKUP(P37, IMPORTRANGE(""https://docs.google.com/spreadsheets/d/1yDAaXNsi4Mr5FtRQL4tbmSdIzhx6_m4wkOD7IG-k_eo/edit#gid=1336395716"", ""Science!M:N""), 2, FALSE)"),"Analyze the role of the wheel and axle in different applications by considering the length of the axle and the diameter of the wheel.")</f>
        <v>Analyze the role of the wheel and axle in different applications by considering the length of the axle and the diameter of the wheel.</v>
      </c>
      <c r="R37" s="1" t="str">
        <f t="shared" si="10"/>
        <v>LU006055.005</v>
      </c>
      <c r="S37" s="15" t="str">
        <f ca="1">IFERROR(__xludf.dummyfunction("VLOOKUP(R37, IMPORTRANGE(""https://docs.google.com/spreadsheets/d/1yDAaXNsi4Mr5FtRQL4tbmSdIzhx6_m4wkOD7IG-k_eo/edit#gid=1336395716"", ""Science!M:N""), 2, FALSE)"),"#N/A")</f>
        <v>#N/A</v>
      </c>
      <c r="T37" s="1" t="str">
        <f t="shared" si="11"/>
        <v>LU006055.006</v>
      </c>
      <c r="U37" s="15" t="str">
        <f ca="1">IFERROR(__xludf.dummyfunction("VLOOKUP(T37, IMPORTRANGE(""https://docs.google.com/spreadsheets/d/1yDAaXNsi4Mr5FtRQL4tbmSdIzhx6_m4wkOD7IG-k_eo/edit#gid=1336395716"", ""Science!M:N""), 2, FALSE)"),"Design a prototype that utilizes the wheel and axle concept to optimize force exertion or movement, such as a custom handcart or a unique rotational tool.")</f>
        <v>Design a prototype that utilizes the wheel and axle concept to optimize force exertion or movement, such as a custom handcart or a unique rotational tool.</v>
      </c>
    </row>
    <row r="38" spans="1:21" ht="69">
      <c r="A38" s="1"/>
      <c r="B38" s="1" t="s">
        <v>29</v>
      </c>
      <c r="C38" s="1" t="s">
        <v>30</v>
      </c>
      <c r="D38" s="13">
        <v>6</v>
      </c>
      <c r="E38" s="1" t="s">
        <v>75</v>
      </c>
      <c r="F38" s="1" t="s">
        <v>87</v>
      </c>
      <c r="G38" s="19" t="s">
        <v>88</v>
      </c>
      <c r="H38" s="2" t="str">
        <f ca="1">IFERROR(__xludf.dummyfunction("IFERROR(
  VLOOKUP(G38, IMPORTRANGE(""https://docs.google.com/spreadsheets/d/14deopnvwcrKtEGCKuYXdUHJbeLDZlkiSSWWT0g7x2pM/edit#gid=849066331"", ""LU List Maths (Filter)!A:B""), 2, FALSE),
  IFERROR(
    VLOOKUP(G38, IMPORTRANGE(""https://docs.google.com/s"&amp;"preadsheets/d/14deopnvwcrKtEGCKuYXdUHJbeLDZlkiSSWWT0g7x2pM/edit#gid=849066331"", ""LU List Science (Filter)!A:B""), 2, FALSE),
    ""Not Found""
  )
)
"),"Wedge as a Simple Machine")</f>
        <v>Wedge as a Simple Machine</v>
      </c>
      <c r="J38" s="1" t="str">
        <f t="shared" si="6"/>
        <v>LU006052.001</v>
      </c>
      <c r="K38" s="1" t="str">
        <f ca="1">IFERROR(__xludf.dummyfunction("VLOOKUP(J38, IMPORTRANGE(""https://docs.google.com/spreadsheets/d/1yDAaXNsi4Mr5FtRQL4tbmSdIzhx6_m4wkOD7IG-k_eo/edit#gid=1336395716"", ""Science!M:N""), 2, FALSE)"),"Recognize a wedge as a compound of two inclined planes and its use in cutting or splitting objects.")</f>
        <v>Recognize a wedge as a compound of two inclined planes and its use in cutting or splitting objects.</v>
      </c>
      <c r="L38" s="1" t="str">
        <f t="shared" si="7"/>
        <v>LU006052.002</v>
      </c>
      <c r="M38" s="1" t="str">
        <f ca="1">IFERROR(__xludf.dummyfunction("VLOOKUP(L38, IMPORTRANGE(""https://docs.google.com/spreadsheets/d/1yDAaXNsi4Mr5FtRQL4tbmSdIzhx6_m4wkOD7IG-k_eo/edit#gid=1336395716"", ""Science!M:N""), 2, FALSE)"),"Describe how a wedge transforms force applied on its length into a splitting force along its width.")</f>
        <v>Describe how a wedge transforms force applied on its length into a splitting force along its width.</v>
      </c>
      <c r="N38" s="1" t="str">
        <f t="shared" si="8"/>
        <v>LU006052.003</v>
      </c>
      <c r="O38" s="1" t="str">
        <f ca="1">IFERROR(__xludf.dummyfunction("VLOOKUP(N38, IMPORTRANGE(""https://docs.google.com/spreadsheets/d/1yDAaXNsi4Mr5FtRQL4tbmSdIzhx6_m4wkOD7IG-k_eo/edit#gid=1336395716"", ""Science!M:N""), 2, FALSE)"),"Apply the principle of the wedge to determine the force needed to perform tasks like cutting or splitting, considering the wedge's angle and sharpness.")</f>
        <v>Apply the principle of the wedge to determine the force needed to perform tasks like cutting or splitting, considering the wedge's angle and sharpness.</v>
      </c>
      <c r="P38" s="1" t="str">
        <f t="shared" si="9"/>
        <v>LU006052.004</v>
      </c>
      <c r="Q38" s="15" t="str">
        <f ca="1">IFERROR(__xludf.dummyfunction("VLOOKUP(P38, IMPORTRANGE(""https://docs.google.com/spreadsheets/d/1yDAaXNsi4Mr5FtRQL4tbmSdIzhx6_m4wkOD7IG-k_eo/edit#gid=1336395716"", ""Science!M:N""), 2, FALSE)"),"Analyze the efficiency of various wedge shapes and materials for different splitting or cutting tasks.")</f>
        <v>Analyze the efficiency of various wedge shapes and materials for different splitting or cutting tasks.</v>
      </c>
      <c r="R38" s="1" t="str">
        <f t="shared" si="10"/>
        <v>LU006052.005</v>
      </c>
      <c r="S38" s="15" t="str">
        <f ca="1">IFERROR(__xludf.dummyfunction("VLOOKUP(R38, IMPORTRANGE(""https://docs.google.com/spreadsheets/d/1yDAaXNsi4Mr5FtRQL4tbmSdIzhx6_m4wkOD7IG-k_eo/edit#gid=1336395716"", ""Science!M:N""), 2, FALSE)"),"Evaluate the design of cutting tools such as knives or axes for their effectiveness based on wedge principles.")</f>
        <v>Evaluate the design of cutting tools such as knives or axes for their effectiveness based on wedge principles.</v>
      </c>
      <c r="T38" s="1" t="str">
        <f t="shared" si="11"/>
        <v>LU006052.006</v>
      </c>
      <c r="U38" s="15" t="str">
        <f ca="1">IFERROR(__xludf.dummyfunction("VLOOKUP(T38, IMPORTRANGE(""https://docs.google.com/spreadsheets/d/1yDAaXNsi4Mr5FtRQL4tbmSdIzhx6_m4wkOD7IG-k_eo/edit#gid=1336395716"", ""Science!M:N""), 2, FALSE)"),"Design a new tool that utilizes the concept of the wedge to perform an innovative function or improve an existing one.")</f>
        <v>Design a new tool that utilizes the concept of the wedge to perform an innovative function or improve an existing one.</v>
      </c>
    </row>
    <row r="39" spans="1:21" ht="110.4">
      <c r="A39" s="1"/>
      <c r="B39" s="1" t="s">
        <v>29</v>
      </c>
      <c r="C39" s="1" t="s">
        <v>30</v>
      </c>
      <c r="D39" s="13">
        <v>6</v>
      </c>
      <c r="E39" s="1" t="s">
        <v>75</v>
      </c>
      <c r="F39" s="1" t="s">
        <v>87</v>
      </c>
      <c r="G39" s="19" t="s">
        <v>89</v>
      </c>
      <c r="H39" s="2" t="str">
        <f ca="1">IFERROR(__xludf.dummyfunction("IFERROR(
  VLOOKUP(G39, IMPORTRANGE(""https://docs.google.com/spreadsheets/d/14deopnvwcrKtEGCKuYXdUHJbeLDZlkiSSWWT0g7x2pM/edit#gid=849066331"", ""LU List Maths (Filter)!A:B""), 2, FALSE),
  IFERROR(
    VLOOKUP(G39, IMPORTRANGE(""https://docs.google.com/s"&amp;"preadsheets/d/14deopnvwcrKtEGCKuYXdUHJbeLDZlkiSSWWT0g7x2pM/edit#gid=849066331"", ""LU List Science (Filter)!A:B""), 2, FALSE),
    ""Not Found""
  )
)
"),"Inclined Plane as a Simple Machine ")</f>
        <v xml:space="preserve">Inclined Plane as a Simple Machine </v>
      </c>
      <c r="J39" s="1" t="str">
        <f t="shared" si="6"/>
        <v>LU006053.001</v>
      </c>
      <c r="K39" s="1" t="str">
        <f ca="1">IFERROR(__xludf.dummyfunction("VLOOKUP(J39, IMPORTRANGE(""https://docs.google.com/spreadsheets/d/1yDAaXNsi4Mr5FtRQL4tbmSdIzhx6_m4wkOD7IG-k_eo/edit#gid=1336395716"", ""Science!M:N""), 2, FALSE)"),"Identify an inclined plane as a sloping surface that facilitates the movement of objects from one level to another, serving as a simple machine.")</f>
        <v>Identify an inclined plane as a sloping surface that facilitates the movement of objects from one level to another, serving as a simple machine.</v>
      </c>
      <c r="L39" s="1" t="str">
        <f t="shared" si="7"/>
        <v>LU006053.002</v>
      </c>
      <c r="M39" s="1" t="str">
        <f ca="1">IFERROR(__xludf.dummyfunction("VLOOKUP(L39, IMPORTRANGE(""https://docs.google.com/spreadsheets/d/1yDAaXNsi4Mr5FtRQL4tbmSdIzhx6_m4wkOD7IG-k_eo/edit#gid=1336395716"", ""Science!M:N""), 2, FALSE)"),"Describe how an inclined plane allows for a reduction in the effort needed to elevate objects by increasing the distance over which the force is applied.")</f>
        <v>Describe how an inclined plane allows for a reduction in the effort needed to elevate objects by increasing the distance over which the force is applied.</v>
      </c>
      <c r="N39" s="1" t="str">
        <f t="shared" si="8"/>
        <v>LU006053.003</v>
      </c>
      <c r="O39" s="1" t="str">
        <f ca="1">IFERROR(__xludf.dummyfunction("VLOOKUP(N39, IMPORTRANGE(""https://docs.google.com/spreadsheets/d/1yDAaXNsi4Mr5FtRQL4tbmSdIzhx6_m4wkOD7IG-k_eo/edit#gid=1336395716"", ""Science!M:N""), 2, FALSE)"),"Apply the concept of inclined planes to calculate the force necessary to move an object up or down a slope, using the plane's angle and length.")</f>
        <v>Apply the concept of inclined planes to calculate the force necessary to move an object up or down a slope, using the plane's angle and length.</v>
      </c>
      <c r="P39" s="1" t="str">
        <f t="shared" si="9"/>
        <v>LU006053.004</v>
      </c>
      <c r="Q39" s="15" t="str">
        <f ca="1">IFERROR(__xludf.dummyfunction("VLOOKUP(P39, IMPORTRANGE(""https://docs.google.com/spreadsheets/d/1yDAaXNsi4Mr5FtRQL4tbmSdIzhx6_m4wkOD7IG-k_eo/edit#gid=1336395716"", ""Science!M:N""), 2, FALSE)"),"Analyze the mechanical advantage gained by using inclined planes in different scenarios, such as ramps or slides.")</f>
        <v>Analyze the mechanical advantage gained by using inclined planes in different scenarios, such as ramps or slides.</v>
      </c>
      <c r="R39" s="1" t="str">
        <f t="shared" si="10"/>
        <v>LU006053.005</v>
      </c>
      <c r="S39" s="15" t="str">
        <f ca="1">IFERROR(__xludf.dummyfunction("VLOOKUP(R39, IMPORTRANGE(""https://docs.google.com/spreadsheets/d/1yDAaXNsi4Mr5FtRQL4tbmSdIzhx6_m4wkOD7IG-k_eo/edit#gid=1336395716"", ""Science!M:N""), 2, FALSE)"),"Evaluate the benefits and limitations of using inclined planes in various contexts, such as accessibility and material handling.")</f>
        <v>Evaluate the benefits and limitations of using inclined planes in various contexts, such as accessibility and material handling.</v>
      </c>
      <c r="T39" s="1" t="str">
        <f t="shared" si="11"/>
        <v>LU006053.006</v>
      </c>
      <c r="U39" s="15" t="str">
        <f ca="1">IFERROR(__xludf.dummyfunction("VLOOKUP(T39, IMPORTRANGE(""https://docs.google.com/spreadsheets/d/1yDAaXNsi4Mr5FtRQL4tbmSdIzhx6_m4wkOD7IG-k_eo/edit#gid=1336395716"", ""Science!M:N""), 2, FALSE)"),"Design an innovative application of inclined planes that optimizes effort for a specific task, like a new type of loading ramp or an accessible walkway for mobility challenges.")</f>
        <v>Design an innovative application of inclined planes that optimizes effort for a specific task, like a new type of loading ramp or an accessible walkway for mobility challenges.</v>
      </c>
    </row>
    <row r="40" spans="1:21" ht="69">
      <c r="A40" s="1"/>
      <c r="B40" s="1" t="s">
        <v>29</v>
      </c>
      <c r="C40" s="1" t="s">
        <v>30</v>
      </c>
      <c r="D40" s="13">
        <v>6</v>
      </c>
      <c r="E40" s="1" t="s">
        <v>90</v>
      </c>
      <c r="F40" s="1" t="s">
        <v>91</v>
      </c>
      <c r="G40" s="1" t="s">
        <v>92</v>
      </c>
      <c r="H40" s="2" t="str">
        <f ca="1">IFERROR(__xludf.dummyfunction("IFERROR(
  VLOOKUP(G40, IMPORTRANGE(""https://docs.google.com/spreadsheets/d/14deopnvwcrKtEGCKuYXdUHJbeLDZlkiSSWWT0g7x2pM/edit#gid=849066331"", ""LU List Maths (Filter)!A:B""), 2, FALSE),
  IFERROR(
    VLOOKUP(G40, IMPORTRANGE(""https://docs.google.com/s"&amp;"preadsheets/d/14deopnvwcrKtEGCKuYXdUHJbeLDZlkiSSWWT0g7x2pM/edit#gid=849066331"", ""LU List Science (Filter)!A:B""), 2, FALSE),
    ""Not Found""
  )
)
"),"Light travels in straight line")</f>
        <v>Light travels in straight line</v>
      </c>
      <c r="J40" s="1" t="str">
        <f t="shared" si="6"/>
        <v>LU005166.001</v>
      </c>
      <c r="K40" s="1" t="str">
        <f ca="1">IFERROR(__xludf.dummyfunction("VLOOKUP(J40, IMPORTRANGE(""https://docs.google.com/spreadsheets/d/1yDAaXNsi4Mr5FtRQL4tbmSdIzhx6_m4wkOD7IG-k_eo/edit#gid=1336395716"", ""Science!M:N""), 2, FALSE)"),"Recall the principle that light travels in straight lines.")</f>
        <v>Recall the principle that light travels in straight lines.</v>
      </c>
      <c r="L40" s="1" t="str">
        <f t="shared" si="7"/>
        <v>LU005166.002</v>
      </c>
      <c r="M40" s="1" t="str">
        <f ca="1">IFERROR(__xludf.dummyfunction("VLOOKUP(L40, IMPORTRANGE(""https://docs.google.com/spreadsheets/d/1yDAaXNsi4Mr5FtRQL4tbmSdIzhx6_m4wkOD7IG-k_eo/edit#gid=1336395716"", ""Science!M:N""), 2, FALSE)"),"Explain how the straight-line propagation of light results in the formation of shadows")</f>
        <v>Explain how the straight-line propagation of light results in the formation of shadows</v>
      </c>
      <c r="N40" s="1" t="str">
        <f t="shared" si="8"/>
        <v>LU005166.003</v>
      </c>
      <c r="O40" s="1" t="str">
        <f ca="1">IFERROR(__xludf.dummyfunction("VLOOKUP(N40, IMPORTRANGE(""https://docs.google.com/spreadsheets/d/1yDAaXNsi4Mr5FtRQL4tbmSdIzhx6_m4wkOD7IG-k_eo/edit#gid=1336395716"", ""Science!M:N""), 2, FALSE)"),"Demonstrate the principle of light travelling in a straight line using a simple experiment involving a torch and straight-edged objects.")</f>
        <v>Demonstrate the principle of light travelling in a straight line using a simple experiment involving a torch and straight-edged objects.</v>
      </c>
      <c r="P40" s="1" t="str">
        <f t="shared" si="9"/>
        <v>LU005166.004</v>
      </c>
      <c r="Q40" s="15" t="str">
        <f ca="1">IFERROR(__xludf.dummyfunction("VLOOKUP(P40, IMPORTRANGE(""https://docs.google.com/spreadsheets/d/1yDAaXNsi4Mr5FtRQL4tbmSdIzhx6_m4wkOD7IG-k_eo/edit#gid=1336395716"", ""Science!M:N""), 2, FALSE)"),"Interpret how the principle of light travelling in straight lines can be used to explain the occurrence of solar and lunar eclipses")</f>
        <v>Interpret how the principle of light travelling in straight lines can be used to explain the occurrence of solar and lunar eclipses</v>
      </c>
      <c r="R40" s="1" t="str">
        <f t="shared" si="10"/>
        <v>LU005166.005</v>
      </c>
      <c r="S40" s="15" t="str">
        <f ca="1">IFERROR(__xludf.dummyfunction("VLOOKUP(R40, IMPORTRANGE(""https://docs.google.com/spreadsheets/d/1yDAaXNsi4Mr5FtRQL4tbmSdIzhx6_m4wkOD7IG-k_eo/edit#gid=1336395716"", ""Science!M:N""), 2, FALSE)"),"#N/A")</f>
        <v>#N/A</v>
      </c>
      <c r="T40" s="1" t="str">
        <f t="shared" si="11"/>
        <v>LU005166.006</v>
      </c>
      <c r="U40" s="15" t="str">
        <f ca="1">IFERROR(__xludf.dummyfunction("VLOOKUP(T40, IMPORTRANGE(""https://docs.google.com/spreadsheets/d/1yDAaXNsi4Mr5FtRQL4tbmSdIzhx6_m4wkOD7IG-k_eo/edit#gid=1336395716"", ""Science!M:N""), 2, FALSE)"),"#N/A")</f>
        <v>#N/A</v>
      </c>
    </row>
    <row r="41" spans="1:21" ht="27.6">
      <c r="A41" s="1"/>
      <c r="B41" s="1" t="s">
        <v>29</v>
      </c>
      <c r="C41" s="1" t="s">
        <v>30</v>
      </c>
      <c r="D41" s="13">
        <v>6</v>
      </c>
      <c r="E41" s="1" t="s">
        <v>90</v>
      </c>
      <c r="F41" s="1" t="s">
        <v>91</v>
      </c>
      <c r="G41" s="14" t="s">
        <v>93</v>
      </c>
      <c r="H41" s="2" t="str">
        <f ca="1">IFERROR(__xludf.dummyfunction("IFERROR(
  VLOOKUP(G41, IMPORTRANGE(""https://docs.google.com/spreadsheets/d/14deopnvwcrKtEGCKuYXdUHJbeLDZlkiSSWWT0g7x2pM/edit#gid=849066331"", ""LU List Maths (Filter)!A:B""), 2, FALSE),
  IFERROR(
    VLOOKUP(G41, IMPORTRANGE(""https://docs.google.com/s"&amp;"preadsheets/d/14deopnvwcrKtEGCKuYXdUHJbeLDZlkiSSWWT0g7x2pM/edit#gid=849066331"", ""LU List Science (Filter)!A:B""), 2, FALSE),
    ""Not Found""
  )
)
"),"Application of rectilinear propagation of light")</f>
        <v>Application of rectilinear propagation of light</v>
      </c>
      <c r="J41" s="1" t="str">
        <f t="shared" si="6"/>
        <v>LU006791.001</v>
      </c>
      <c r="K41" s="1" t="str">
        <f ca="1">IFERROR(__xludf.dummyfunction("VLOOKUP(J41, IMPORTRANGE(""https://docs.google.com/spreadsheets/d/1yDAaXNsi4Mr5FtRQL4tbmSdIzhx6_m4wkOD7IG-k_eo/edit#gid=1336395716"", ""Science!M:N""), 2, FALSE)"),"(LU006791.001); Default - Remember")</f>
        <v>(LU006791.001); Default - Remember</v>
      </c>
      <c r="L41" s="1" t="str">
        <f t="shared" si="7"/>
        <v>LU006791.002</v>
      </c>
      <c r="M41" s="1" t="str">
        <f ca="1">IFERROR(__xludf.dummyfunction("VLOOKUP(L41, IMPORTRANGE(""https://docs.google.com/spreadsheets/d/1yDAaXNsi4Mr5FtRQL4tbmSdIzhx6_m4wkOD7IG-k_eo/edit#gid=1336395716"", ""Science!M:N""), 2, FALSE)"),"(LU006791.002); Default - Understand")</f>
        <v>(LU006791.002); Default - Understand</v>
      </c>
      <c r="N41" s="1" t="str">
        <f t="shared" si="8"/>
        <v>LU006791.003</v>
      </c>
      <c r="O41" s="1" t="str">
        <f ca="1">IFERROR(__xludf.dummyfunction("VLOOKUP(N41, IMPORTRANGE(""https://docs.google.com/spreadsheets/d/1yDAaXNsi4Mr5FtRQL4tbmSdIzhx6_m4wkOD7IG-k_eo/edit#gid=1336395716"", ""Science!M:N""), 2, FALSE)"),"(LU006791.003); Default - Apply")</f>
        <v>(LU006791.003); Default - Apply</v>
      </c>
      <c r="P41" s="1" t="str">
        <f t="shared" si="9"/>
        <v>LU006791.004</v>
      </c>
      <c r="Q41" s="15" t="str">
        <f ca="1">IFERROR(__xludf.dummyfunction("VLOOKUP(P41, IMPORTRANGE(""https://docs.google.com/spreadsheets/d/1yDAaXNsi4Mr5FtRQL4tbmSdIzhx6_m4wkOD7IG-k_eo/edit#gid=1336395716"", ""Science!M:N""), 2, FALSE)"),"(LU006791.004); Default - Analyse")</f>
        <v>(LU006791.004); Default - Analyse</v>
      </c>
      <c r="R41" s="1" t="str">
        <f t="shared" si="10"/>
        <v>LU006791.005</v>
      </c>
      <c r="S41" s="15" t="str">
        <f ca="1">IFERROR(__xludf.dummyfunction("VLOOKUP(R41, IMPORTRANGE(""https://docs.google.com/spreadsheets/d/1yDAaXNsi4Mr5FtRQL4tbmSdIzhx6_m4wkOD7IG-k_eo/edit#gid=1336395716"", ""Science!M:N""), 2, FALSE)"),"(LU006791.005); Default - Evaluate")</f>
        <v>(LU006791.005); Default - Evaluate</v>
      </c>
      <c r="T41" s="1" t="str">
        <f t="shared" si="11"/>
        <v>LU006791.006</v>
      </c>
      <c r="U41" s="15" t="str">
        <f ca="1">IFERROR(__xludf.dummyfunction("VLOOKUP(T41, IMPORTRANGE(""https://docs.google.com/spreadsheets/d/1yDAaXNsi4Mr5FtRQL4tbmSdIzhx6_m4wkOD7IG-k_eo/edit#gid=1336395716"", ""Science!M:N""), 2, FALSE)"),"(LU006791.006); Default - Create")</f>
        <v>(LU006791.006); Default - Create</v>
      </c>
    </row>
    <row r="42" spans="1:21" ht="55.2">
      <c r="A42" s="1"/>
      <c r="B42" s="1" t="s">
        <v>29</v>
      </c>
      <c r="C42" s="1" t="s">
        <v>30</v>
      </c>
      <c r="D42" s="13">
        <v>6</v>
      </c>
      <c r="E42" s="1" t="s">
        <v>90</v>
      </c>
      <c r="F42" s="2" t="s">
        <v>94</v>
      </c>
      <c r="G42" s="2" t="s">
        <v>95</v>
      </c>
      <c r="H42" s="2" t="str">
        <f ca="1">IFERROR(__xludf.dummyfunction("IFERROR(
  VLOOKUP(G42, IMPORTRANGE(""https://docs.google.com/spreadsheets/d/14deopnvwcrKtEGCKuYXdUHJbeLDZlkiSSWWT0g7x2pM/edit#gid=849066331"", ""LU List Maths (Filter)!A:B""), 2, FALSE),
  IFERROR(
    VLOOKUP(G42, IMPORTRANGE(""https://docs.google.com/s"&amp;"preadsheets/d/14deopnvwcrKtEGCKuYXdUHJbeLDZlkiSSWWT0g7x2pM/edit#gid=849066331"", ""LU List Science (Filter)!A:B""), 2, FALSE),
    ""Not Found""
  )
)
"),"Construction of Pinhole camera")</f>
        <v>Construction of Pinhole camera</v>
      </c>
      <c r="J42" s="1" t="str">
        <f t="shared" si="6"/>
        <v>LU005167.001</v>
      </c>
      <c r="K42" s="1" t="str">
        <f ca="1">IFERROR(__xludf.dummyfunction("VLOOKUP(J42, IMPORTRANGE(""https://docs.google.com/spreadsheets/d/1yDAaXNsi4Mr5FtRQL4tbmSdIzhx6_m4wkOD7IG-k_eo/edit#gid=1336395716"", ""Science!M:N""), 2, FALSE)"),"Define what a pinhole camera is.")</f>
        <v>Define what a pinhole camera is.</v>
      </c>
      <c r="L42" s="1" t="str">
        <f t="shared" si="7"/>
        <v>LU005167.002</v>
      </c>
      <c r="M42" s="1" t="str">
        <f ca="1">IFERROR(__xludf.dummyfunction("VLOOKUP(L42, IMPORTRANGE(""https://docs.google.com/spreadsheets/d/1yDAaXNsi4Mr5FtRQL4tbmSdIzhx6_m4wkOD7IG-k_eo/edit#gid=1336395716"", ""Science!M:N""), 2, FALSE)"),"Describe the working of a pinhole camera.")</f>
        <v>Describe the working of a pinhole camera.</v>
      </c>
      <c r="N42" s="1" t="str">
        <f t="shared" si="8"/>
        <v>LU005167.003</v>
      </c>
      <c r="O42" s="1" t="str">
        <f ca="1">IFERROR(__xludf.dummyfunction("VLOOKUP(N42, IMPORTRANGE(""https://docs.google.com/spreadsheets/d/1yDAaXNsi4Mr5FtRQL4tbmSdIzhx6_m4wkOD7IG-k_eo/edit#gid=1336395716"", ""Science!M:N""), 2, FALSE)"),"Construct a basic pinhole camera using household materials.")</f>
        <v>Construct a basic pinhole camera using household materials.</v>
      </c>
      <c r="P42" s="1" t="str">
        <f t="shared" si="9"/>
        <v>LU005167.004</v>
      </c>
      <c r="Q42" s="15" t="str">
        <f ca="1">IFERROR(__xludf.dummyfunction("VLOOKUP(P42, IMPORTRANGE(""https://docs.google.com/spreadsheets/d/1yDAaXNsi4Mr5FtRQL4tbmSdIzhx6_m4wkOD7IG-k_eo/edit#gid=1336395716"", ""Science!M:N""), 2, FALSE)"),"Dissect the key components of a pinhole camera and explain how each part contributes to the image formation process")</f>
        <v>Dissect the key components of a pinhole camera and explain how each part contributes to the image formation process</v>
      </c>
      <c r="R42" s="1" t="str">
        <f t="shared" si="10"/>
        <v>LU005167.005</v>
      </c>
      <c r="S42" s="15" t="str">
        <f ca="1">IFERROR(__xludf.dummyfunction("VLOOKUP(R42, IMPORTRANGE(""https://docs.google.com/spreadsheets/d/1yDAaXNsi4Mr5FtRQL4tbmSdIzhx6_m4wkOD7IG-k_eo/edit#gid=1336395716"", ""Science!M:N""), 2, FALSE)"),"Evaluate the effectiveness of pinhole cameras in capturing detailed images.")</f>
        <v>Evaluate the effectiveness of pinhole cameras in capturing detailed images.</v>
      </c>
      <c r="T42" s="1" t="str">
        <f t="shared" si="11"/>
        <v>LU005167.006</v>
      </c>
      <c r="U42" s="15" t="str">
        <f ca="1">IFERROR(__xludf.dummyfunction("VLOOKUP(T42, IMPORTRANGE(""https://docs.google.com/spreadsheets/d/1yDAaXNsi4Mr5FtRQL4tbmSdIzhx6_m4wkOD7IG-k_eo/edit#gid=1336395716"", ""Science!M:N""), 2, FALSE)"),"Design an improved pinhole camera model incorporating lenses or multiple pinholes.")</f>
        <v>Design an improved pinhole camera model incorporating lenses or multiple pinholes.</v>
      </c>
    </row>
    <row r="43" spans="1:21" ht="41.4">
      <c r="A43" s="1"/>
      <c r="B43" s="1" t="s">
        <v>29</v>
      </c>
      <c r="C43" s="1" t="s">
        <v>30</v>
      </c>
      <c r="D43" s="13">
        <v>6</v>
      </c>
      <c r="E43" s="1" t="s">
        <v>90</v>
      </c>
      <c r="F43" s="2" t="s">
        <v>94</v>
      </c>
      <c r="G43" s="2" t="s">
        <v>96</v>
      </c>
      <c r="H43" s="2" t="str">
        <f ca="1">IFERROR(__xludf.dummyfunction("IFERROR(
  VLOOKUP(G43, IMPORTRANGE(""https://docs.google.com/spreadsheets/d/14deopnvwcrKtEGCKuYXdUHJbeLDZlkiSSWWT0g7x2pM/edit#gid=849066331"", ""LU List Maths (Filter)!A:B""), 2, FALSE),
  IFERROR(
    VLOOKUP(G43, IMPORTRANGE(""https://docs.google.com/s"&amp;"preadsheets/d/14deopnvwcrKtEGCKuYXdUHJbeLDZlkiSSWWT0g7x2pM/edit#gid=849066331"", ""LU List Science (Filter)!A:B""), 2, FALSE),
    ""Not Found""
  )
)
"),"Characteristics of Pinhole Images")</f>
        <v>Characteristics of Pinhole Images</v>
      </c>
      <c r="J43" s="1" t="str">
        <f t="shared" si="6"/>
        <v>LU005834.001</v>
      </c>
      <c r="K43" s="1" t="str">
        <f ca="1">IFERROR(__xludf.dummyfunction("VLOOKUP(J43, IMPORTRANGE(""https://docs.google.com/spreadsheets/d/1yDAaXNsi4Mr5FtRQL4tbmSdIzhx6_m4wkOD7IG-k_eo/edit#gid=1336395716"", ""Science!M:N""), 2, FALSE)"),"Describe the nature of images formed by a pinhole camera.")</f>
        <v>Describe the nature of images formed by a pinhole camera.</v>
      </c>
      <c r="L43" s="1" t="str">
        <f t="shared" si="7"/>
        <v>LU005834.002</v>
      </c>
      <c r="M43" s="1" t="str">
        <f ca="1">IFERROR(__xludf.dummyfunction("VLOOKUP(L43, IMPORTRANGE(""https://docs.google.com/spreadsheets/d/1yDAaXNsi4Mr5FtRQL4tbmSdIzhx6_m4wkOD7IG-k_eo/edit#gid=1336395716"", ""Science!M:N""), 2, FALSE)"),"Explain why pinhole camera images are inverted.")</f>
        <v>Explain why pinhole camera images are inverted.</v>
      </c>
      <c r="N43" s="1" t="str">
        <f t="shared" si="8"/>
        <v>LU005834.003</v>
      </c>
      <c r="O43" s="1" t="str">
        <f ca="1">IFERROR(__xludf.dummyfunction("VLOOKUP(N43, IMPORTRANGE(""https://docs.google.com/spreadsheets/d/1yDAaXNsi4Mr5FtRQL4tbmSdIzhx6_m4wkOD7IG-k_eo/edit#gid=1336395716"", ""Science!M:N""), 2, FALSE)"),"Differentiate pinhole images from regular camera images.")</f>
        <v>Differentiate pinhole images from regular camera images.</v>
      </c>
      <c r="P43" s="1" t="str">
        <f t="shared" si="9"/>
        <v>LU005834.004</v>
      </c>
      <c r="Q43" s="15" t="str">
        <f ca="1">IFERROR(__xludf.dummyfunction("VLOOKUP(P43, IMPORTRANGE(""https://docs.google.com/spreadsheets/d/1yDAaXNsi4Mr5FtRQL4tbmSdIzhx6_m4wkOD7IG-k_eo/edit#gid=1336395716"", ""Science!M:N""), 2, FALSE)"),"Analyze the factors affecting the clarity and size of pinhole images.")</f>
        <v>Analyze the factors affecting the clarity and size of pinhole images.</v>
      </c>
      <c r="R43" s="1" t="str">
        <f t="shared" si="10"/>
        <v>LU005834.005</v>
      </c>
      <c r="S43" s="15" t="str">
        <f ca="1">IFERROR(__xludf.dummyfunction("VLOOKUP(R43, IMPORTRANGE(""https://docs.google.com/spreadsheets/d/1yDAaXNsi4Mr5FtRQL4tbmSdIzhx6_m4wkOD7IG-k_eo/edit#gid=1336395716"", ""Science!M:N""), 2, FALSE)"),"Judge the fidelity of pinhole images in representing real-world objects.")</f>
        <v>Judge the fidelity of pinhole images in representing real-world objects.</v>
      </c>
      <c r="T43" s="1" t="str">
        <f t="shared" si="11"/>
        <v>LU005834.006</v>
      </c>
      <c r="U43" s="15" t="str">
        <f ca="1">IFERROR(__xludf.dummyfunction("VLOOKUP(T43, IMPORTRANGE(""https://docs.google.com/spreadsheets/d/1yDAaXNsi4Mr5FtRQL4tbmSdIzhx6_m4wkOD7IG-k_eo/edit#gid=1336395716"", ""Science!M:N""), 2, FALSE)"),"Devise methods to enhance the resolution of pinhole camera images")</f>
        <v>Devise methods to enhance the resolution of pinhole camera images</v>
      </c>
    </row>
    <row r="44" spans="1:21" ht="55.2">
      <c r="A44" s="1"/>
      <c r="B44" s="1" t="s">
        <v>29</v>
      </c>
      <c r="C44" s="1" t="s">
        <v>30</v>
      </c>
      <c r="D44" s="13">
        <v>6</v>
      </c>
      <c r="E44" s="1" t="s">
        <v>90</v>
      </c>
      <c r="F44" s="2" t="s">
        <v>97</v>
      </c>
      <c r="G44" s="1" t="s">
        <v>98</v>
      </c>
      <c r="H44" s="2" t="str">
        <f ca="1">IFERROR(__xludf.dummyfunction("IFERROR(
  VLOOKUP(G44, IMPORTRANGE(""https://docs.google.com/spreadsheets/d/14deopnvwcrKtEGCKuYXdUHJbeLDZlkiSSWWT0g7x2pM/edit#gid=849066331"", ""LU List Maths (Filter)!A:B""), 2, FALSE),
  IFERROR(
    VLOOKUP(G44, IMPORTRANGE(""https://docs.google.com/s"&amp;"preadsheets/d/14deopnvwcrKtEGCKuYXdUHJbeLDZlkiSSWWT0g7x2pM/edit#gid=849066331"", ""LU List Science (Filter)!A:B""), 2, FALSE),
    ""Not Found""
  )
)
"),"Characteristics of Shadows")</f>
        <v>Characteristics of Shadows</v>
      </c>
      <c r="J44" s="1" t="str">
        <f t="shared" si="6"/>
        <v>LU005837.001</v>
      </c>
      <c r="K44" s="1" t="str">
        <f ca="1">IFERROR(__xludf.dummyfunction("VLOOKUP(J44, IMPORTRANGE(""https://docs.google.com/spreadsheets/d/1yDAaXNsi4Mr5FtRQL4tbmSdIzhx6_m4wkOD7IG-k_eo/edit#gid=1336395716"", ""Science!M:N""), 2, FALSE)"),"Define the characteristics that can be observed in shadows.")</f>
        <v>Define the characteristics that can be observed in shadows.</v>
      </c>
      <c r="L44" s="1" t="str">
        <f t="shared" si="7"/>
        <v>LU005837.002</v>
      </c>
      <c r="M44" s="1" t="str">
        <f ca="1">IFERROR(__xludf.dummyfunction("VLOOKUP(L44, IMPORTRANGE(""https://docs.google.com/spreadsheets/d/1yDAaXNsi4Mr5FtRQL4tbmSdIzhx6_m4wkOD7IG-k_eo/edit#gid=1336395716"", ""Science!M:N""), 2, FALSE)"),"Describe how the position of the light source, screen and object affect the characteristics of shadows.")</f>
        <v>Describe how the position of the light source, screen and object affect the characteristics of shadows.</v>
      </c>
      <c r="N44" s="1" t="str">
        <f t="shared" si="8"/>
        <v>LU005837.003</v>
      </c>
      <c r="O44" s="1" t="str">
        <f ca="1">IFERROR(__xludf.dummyfunction("VLOOKUP(N44, IMPORTRANGE(""https://docs.google.com/spreadsheets/d/1yDAaXNsi4Mr5FtRQL4tbmSdIzhx6_m4wkOD7IG-k_eo/edit#gid=1336395716"", ""Science!M:N""), 2, FALSE)"),"Observe and document different shadows based on varying position and angle of light source and object .")</f>
        <v>Observe and document different shadows based on varying position and angle of light source and object .</v>
      </c>
      <c r="P44" s="1" t="str">
        <f t="shared" si="9"/>
        <v>LU005837.004</v>
      </c>
      <c r="Q44" s="15" t="str">
        <f ca="1">IFERROR(__xludf.dummyfunction("VLOOKUP(P44, IMPORTRANGE(""https://docs.google.com/spreadsheets/d/1yDAaXNsi4Mr5FtRQL4tbmSdIzhx6_m4wkOD7IG-k_eo/edit#gid=1336395716"", ""Science!M:N""), 2, FALSE)"),"Analyze the factors that lead to sharp or blurry shadow boundaries.")</f>
        <v>Analyze the factors that lead to sharp or blurry shadow boundaries.</v>
      </c>
      <c r="R44" s="1" t="str">
        <f t="shared" si="10"/>
        <v>LU005837.005</v>
      </c>
      <c r="S44" s="15" t="str">
        <f ca="1">IFERROR(__xludf.dummyfunction("VLOOKUP(R44, IMPORTRANGE(""https://docs.google.com/spreadsheets/d/1yDAaXNsi4Mr5FtRQL4tbmSdIzhx6_m4wkOD7IG-k_eo/edit#gid=1336395716"", ""Science!M:N""), 2, FALSE)"),"Evaluate how different surfaces or backdrops affect shadow clarity and definition.")</f>
        <v>Evaluate how different surfaces or backdrops affect shadow clarity and definition.</v>
      </c>
      <c r="T44" s="1" t="str">
        <f t="shared" si="11"/>
        <v>LU005837.006</v>
      </c>
      <c r="U44" s="15" t="str">
        <f ca="1">IFERROR(__xludf.dummyfunction("VLOOKUP(T44, IMPORTRANGE(""https://docs.google.com/spreadsheets/d/1yDAaXNsi4Mr5FtRQL4tbmSdIzhx6_m4wkOD7IG-k_eo/edit#gid=1336395716"", ""Science!M:N""), 2, FALSE)"),"#N/A")</f>
        <v>#N/A</v>
      </c>
    </row>
    <row r="45" spans="1:21" ht="27.6">
      <c r="A45" s="1"/>
      <c r="B45" s="1" t="s">
        <v>29</v>
      </c>
      <c r="C45" s="1" t="s">
        <v>30</v>
      </c>
      <c r="D45" s="13">
        <v>6</v>
      </c>
      <c r="E45" s="1" t="s">
        <v>90</v>
      </c>
      <c r="F45" s="2" t="s">
        <v>97</v>
      </c>
      <c r="G45" s="14" t="s">
        <v>99</v>
      </c>
      <c r="H45" s="2" t="str">
        <f ca="1">IFERROR(__xludf.dummyfunction("IFERROR(
  VLOOKUP(G45, IMPORTRANGE(""https://docs.google.com/spreadsheets/d/14deopnvwcrKtEGCKuYXdUHJbeLDZlkiSSWWT0g7x2pM/edit#gid=849066331"", ""LU List Maths (Filter)!A:B""), 2, FALSE),
  IFERROR(
    VLOOKUP(G45, IMPORTRANGE(""https://docs.google.com/s"&amp;"preadsheets/d/14deopnvwcrKtEGCKuYXdUHJbeLDZlkiSSWWT0g7x2pM/edit#gid=849066331"", ""LU List Science (Filter)!A:B""), 2, FALSE),
    ""Not Found""
  )
)
"),"Regions of shadow- Umbra and Penumbra")</f>
        <v>Regions of shadow- Umbra and Penumbra</v>
      </c>
      <c r="J45" s="1" t="str">
        <f t="shared" si="6"/>
        <v>LU006792.001</v>
      </c>
      <c r="K45" s="1" t="str">
        <f ca="1">IFERROR(__xludf.dummyfunction("VLOOKUP(J45, IMPORTRANGE(""https://docs.google.com/spreadsheets/d/1yDAaXNsi4Mr5FtRQL4tbmSdIzhx6_m4wkOD7IG-k_eo/edit#gid=1336395716"", ""Science!M:N""), 2, FALSE)"),"(LU006792.001); Default - Remember")</f>
        <v>(LU006792.001); Default - Remember</v>
      </c>
      <c r="L45" s="1" t="str">
        <f t="shared" si="7"/>
        <v>LU006792.002</v>
      </c>
      <c r="M45" s="1" t="str">
        <f ca="1">IFERROR(__xludf.dummyfunction("VLOOKUP(L45, IMPORTRANGE(""https://docs.google.com/spreadsheets/d/1yDAaXNsi4Mr5FtRQL4tbmSdIzhx6_m4wkOD7IG-k_eo/edit#gid=1336395716"", ""Science!M:N""), 2, FALSE)"),"(LU006792.002); Default - Understand")</f>
        <v>(LU006792.002); Default - Understand</v>
      </c>
      <c r="N45" s="1" t="str">
        <f t="shared" si="8"/>
        <v>LU006792.003</v>
      </c>
      <c r="O45" s="1" t="str">
        <f ca="1">IFERROR(__xludf.dummyfunction("VLOOKUP(N45, IMPORTRANGE(""https://docs.google.com/spreadsheets/d/1yDAaXNsi4Mr5FtRQL4tbmSdIzhx6_m4wkOD7IG-k_eo/edit#gid=1336395716"", ""Science!M:N""), 2, FALSE)"),"(LU006792.003); Default - Apply")</f>
        <v>(LU006792.003); Default - Apply</v>
      </c>
      <c r="P45" s="1" t="str">
        <f t="shared" si="9"/>
        <v>LU006792.004</v>
      </c>
      <c r="Q45" s="15" t="str">
        <f ca="1">IFERROR(__xludf.dummyfunction("VLOOKUP(P45, IMPORTRANGE(""https://docs.google.com/spreadsheets/d/1yDAaXNsi4Mr5FtRQL4tbmSdIzhx6_m4wkOD7IG-k_eo/edit#gid=1336395716"", ""Science!M:N""), 2, FALSE)"),"(LU006792.004); Default - Analyse")</f>
        <v>(LU006792.004); Default - Analyse</v>
      </c>
      <c r="R45" s="1" t="str">
        <f t="shared" si="10"/>
        <v>LU006792.005</v>
      </c>
      <c r="S45" s="15" t="str">
        <f ca="1">IFERROR(__xludf.dummyfunction("VLOOKUP(R45, IMPORTRANGE(""https://docs.google.com/spreadsheets/d/1yDAaXNsi4Mr5FtRQL4tbmSdIzhx6_m4wkOD7IG-k_eo/edit#gid=1336395716"", ""Science!M:N""), 2, FALSE)"),"(LU006792.005); Default - Evaluate")</f>
        <v>(LU006792.005); Default - Evaluate</v>
      </c>
      <c r="T45" s="1" t="str">
        <f t="shared" si="11"/>
        <v>LU006792.006</v>
      </c>
      <c r="U45" s="15" t="str">
        <f ca="1">IFERROR(__xludf.dummyfunction("VLOOKUP(T45, IMPORTRANGE(""https://docs.google.com/spreadsheets/d/1yDAaXNsi4Mr5FtRQL4tbmSdIzhx6_m4wkOD7IG-k_eo/edit#gid=1336395716"", ""Science!M:N""), 2, FALSE)"),"(LU006792.006); Default - Create")</f>
        <v>(LU006792.006); Default - Create</v>
      </c>
    </row>
    <row r="46" spans="1:21" ht="82.8">
      <c r="A46" s="1"/>
      <c r="B46" s="1" t="s">
        <v>29</v>
      </c>
      <c r="C46" s="1" t="s">
        <v>30</v>
      </c>
      <c r="D46" s="13">
        <v>6</v>
      </c>
      <c r="E46" s="1" t="s">
        <v>90</v>
      </c>
      <c r="F46" s="2" t="s">
        <v>97</v>
      </c>
      <c r="G46" s="19" t="s">
        <v>100</v>
      </c>
      <c r="H46" s="2" t="str">
        <f ca="1">IFERROR(__xludf.dummyfunction("IFERROR(
  VLOOKUP(G46, IMPORTRANGE(""https://docs.google.com/spreadsheets/d/14deopnvwcrKtEGCKuYXdUHJbeLDZlkiSSWWT0g7x2pM/edit#gid=849066331"", ""LU List Maths (Filter)!A:B""), 2, FALSE),
  IFERROR(
    VLOOKUP(G46, IMPORTRANGE(""https://docs.google.com/s"&amp;"preadsheets/d/14deopnvwcrKtEGCKuYXdUHJbeLDZlkiSSWWT0g7x2pM/edit#gid=849066331"", ""LU List Science (Filter)!A:B""), 2, FALSE),
    ""Not Found""
  )
)
"),"Understanding the occurrences of solar and lunar eclipse ")</f>
        <v xml:space="preserve">Understanding the occurrences of solar and lunar eclipse </v>
      </c>
      <c r="J46" s="1" t="str">
        <f t="shared" si="6"/>
        <v>LU006006.001</v>
      </c>
      <c r="K46" s="1" t="str">
        <f ca="1">IFERROR(__xludf.dummyfunction("VLOOKUP(J46, IMPORTRANGE(""https://docs.google.com/spreadsheets/d/1yDAaXNsi4Mr5FtRQL4tbmSdIzhx6_m4wkOD7IG-k_eo/edit#gid=1336395716"", ""Science!M:N""), 2, FALSE)"),"Recall the key factors contributing to solar and lunar eclipses, such as the alignment of the Earth, Moon, and Sun.")</f>
        <v>Recall the key factors contributing to solar and lunar eclipses, such as the alignment of the Earth, Moon, and Sun.</v>
      </c>
      <c r="L46" s="1" t="str">
        <f t="shared" si="7"/>
        <v>LU006006.002</v>
      </c>
      <c r="M46" s="1" t="str">
        <f ca="1">IFERROR(__xludf.dummyfunction("VLOOKUP(L46, IMPORTRANGE(""https://docs.google.com/spreadsheets/d/1yDAaXNsi4Mr5FtRQL4tbmSdIzhx6_m4wkOD7IG-k_eo/edit#gid=1336395716"", ""Science!M:N""), 2, FALSE)"),"Explain the differences between solar and lunar eclipses in terms of their occurrences, visibility, and celestial alignments.")</f>
        <v>Explain the differences between solar and lunar eclipses in terms of their occurrences, visibility, and celestial alignments.</v>
      </c>
      <c r="N46" s="1" t="str">
        <f t="shared" si="8"/>
        <v>LU006006.003</v>
      </c>
      <c r="O46" s="1" t="str">
        <f ca="1">IFERROR(__xludf.dummyfunction("VLOOKUP(N46, IMPORTRANGE(""https://docs.google.com/spreadsheets/d/1yDAaXNsi4Mr5FtRQL4tbmSdIzhx6_m4wkOD7IG-k_eo/edit#gid=1336395716"", ""Science!M:N""), 2, FALSE)"),"Demonstrate how the relative positions of the Earth, Moon, and Sun lead to different types of eclipses.")</f>
        <v>Demonstrate how the relative positions of the Earth, Moon, and Sun lead to different types of eclipses.</v>
      </c>
      <c r="P46" s="1" t="str">
        <f t="shared" si="9"/>
        <v>LU006006.004</v>
      </c>
      <c r="Q46" s="15" t="str">
        <f ca="1">IFERROR(__xludf.dummyfunction("VLOOKUP(P46, IMPORTRANGE(""https://docs.google.com/spreadsheets/d/1yDAaXNsi4Mr5FtRQL4tbmSdIzhx6_m4wkOD7IG-k_eo/edit#gid=1336395716"", ""Science!M:N""), 2, FALSE)"),"Analyze the conditions required for a solar and lunar eclipse to occur, including the role of the Earth's shadow and the alignment of celestial bodies.")</f>
        <v>Analyze the conditions required for a solar and lunar eclipse to occur, including the role of the Earth's shadow and the alignment of celestial bodies.</v>
      </c>
      <c r="R46" s="1" t="str">
        <f t="shared" si="10"/>
        <v>LU006006.005</v>
      </c>
      <c r="S46" s="15" t="str">
        <f ca="1">IFERROR(__xludf.dummyfunction("VLOOKUP(R46, IMPORTRANGE(""https://docs.google.com/spreadsheets/d/1yDAaXNsi4Mr5FtRQL4tbmSdIzhx6_m4wkOD7IG-k_eo/edit#gid=1336395716"", ""Science!M:N""), 2, FALSE)"),"Assess the cultural and scientific significance of solar and lunar eclipses throughout history.")</f>
        <v>Assess the cultural and scientific significance of solar and lunar eclipses throughout history.</v>
      </c>
      <c r="T46" s="1" t="str">
        <f t="shared" si="11"/>
        <v>LU006006.006</v>
      </c>
      <c r="U46" s="15" t="str">
        <f ca="1">IFERROR(__xludf.dummyfunction("VLOOKUP(T46, IMPORTRANGE(""https://docs.google.com/spreadsheets/d/1yDAaXNsi4Mr5FtRQL4tbmSdIzhx6_m4wkOD7IG-k_eo/edit#gid=1336395716"", ""Science!M:N""), 2, FALSE)"),"#N/A")</f>
        <v>#N/A</v>
      </c>
    </row>
    <row r="47" spans="1:21" ht="27.6">
      <c r="A47" s="1"/>
      <c r="B47" s="1" t="s">
        <v>29</v>
      </c>
      <c r="C47" s="1" t="s">
        <v>30</v>
      </c>
      <c r="D47" s="13">
        <v>6</v>
      </c>
      <c r="E47" s="2" t="s">
        <v>101</v>
      </c>
      <c r="F47" s="2" t="s">
        <v>102</v>
      </c>
      <c r="G47" s="14" t="s">
        <v>103</v>
      </c>
      <c r="H47" s="2" t="str">
        <f ca="1">IFERROR(__xludf.dummyfunction("IFERROR(
  VLOOKUP(G47, IMPORTRANGE(""https://docs.google.com/spreadsheets/d/14deopnvwcrKtEGCKuYXdUHJbeLDZlkiSSWWT0g7x2pM/edit#gid=849066331"", ""LU List Maths (Filter)!A:B""), 2, FALSE),
  IFERROR(
    VLOOKUP(G47, IMPORTRANGE(""https://docs.google.com/s"&amp;"preadsheets/d/14deopnvwcrKtEGCKuYXdUHJbeLDZlkiSSWWT0g7x2pM/edit#gid=849066331"", ""LU List Science (Filter)!A:B""), 2, FALSE),
    ""Not Found""
  )
)
"),"Characteristics of a magnet")</f>
        <v>Characteristics of a magnet</v>
      </c>
      <c r="J47" s="1" t="str">
        <f t="shared" si="6"/>
        <v>LU006793.001</v>
      </c>
      <c r="K47" s="1" t="str">
        <f ca="1">IFERROR(__xludf.dummyfunction("VLOOKUP(J47, IMPORTRANGE(""https://docs.google.com/spreadsheets/d/1yDAaXNsi4Mr5FtRQL4tbmSdIzhx6_m4wkOD7IG-k_eo/edit#gid=1336395716"", ""Science!M:N""), 2, FALSE)"),"(LU006793.001); Default - Remember")</f>
        <v>(LU006793.001); Default - Remember</v>
      </c>
      <c r="L47" s="1" t="str">
        <f t="shared" si="7"/>
        <v>LU006793.002</v>
      </c>
      <c r="M47" s="1" t="str">
        <f ca="1">IFERROR(__xludf.dummyfunction("VLOOKUP(L47, IMPORTRANGE(""https://docs.google.com/spreadsheets/d/1yDAaXNsi4Mr5FtRQL4tbmSdIzhx6_m4wkOD7IG-k_eo/edit#gid=1336395716"", ""Science!M:N""), 2, FALSE)"),"(LU006793.002); Default - Understand")</f>
        <v>(LU006793.002); Default - Understand</v>
      </c>
      <c r="N47" s="1" t="str">
        <f t="shared" si="8"/>
        <v>LU006793.003</v>
      </c>
      <c r="O47" s="1" t="str">
        <f ca="1">IFERROR(__xludf.dummyfunction("VLOOKUP(N47, IMPORTRANGE(""https://docs.google.com/spreadsheets/d/1yDAaXNsi4Mr5FtRQL4tbmSdIzhx6_m4wkOD7IG-k_eo/edit#gid=1336395716"", ""Science!M:N""), 2, FALSE)"),"(LU006793.003); Default - Apply")</f>
        <v>(LU006793.003); Default - Apply</v>
      </c>
      <c r="P47" s="1" t="str">
        <f t="shared" si="9"/>
        <v>LU006793.004</v>
      </c>
      <c r="Q47" s="15" t="str">
        <f ca="1">IFERROR(__xludf.dummyfunction("VLOOKUP(P47, IMPORTRANGE(""https://docs.google.com/spreadsheets/d/1yDAaXNsi4Mr5FtRQL4tbmSdIzhx6_m4wkOD7IG-k_eo/edit#gid=1336395716"", ""Science!M:N""), 2, FALSE)"),"(LU006793.004); Default - Analyse")</f>
        <v>(LU006793.004); Default - Analyse</v>
      </c>
      <c r="R47" s="1" t="str">
        <f t="shared" si="10"/>
        <v>LU006793.005</v>
      </c>
      <c r="S47" s="15" t="str">
        <f ca="1">IFERROR(__xludf.dummyfunction("VLOOKUP(R47, IMPORTRANGE(""https://docs.google.com/spreadsheets/d/1yDAaXNsi4Mr5FtRQL4tbmSdIzhx6_m4wkOD7IG-k_eo/edit#gid=1336395716"", ""Science!M:N""), 2, FALSE)"),"(LU006793.005); Default - Evaluate")</f>
        <v>(LU006793.005); Default - Evaluate</v>
      </c>
      <c r="T47" s="1" t="str">
        <f t="shared" si="11"/>
        <v>LU006793.006</v>
      </c>
      <c r="U47" s="15" t="str">
        <f ca="1">IFERROR(__xludf.dummyfunction("VLOOKUP(T47, IMPORTRANGE(""https://docs.google.com/spreadsheets/d/1yDAaXNsi4Mr5FtRQL4tbmSdIzhx6_m4wkOD7IG-k_eo/edit#gid=1336395716"", ""Science!M:N""), 2, FALSE)"),"(LU006793.006); Default - Create")</f>
        <v>(LU006793.006); Default - Create</v>
      </c>
    </row>
    <row r="48" spans="1:21" ht="27.6">
      <c r="A48" s="1"/>
      <c r="B48" s="1" t="s">
        <v>29</v>
      </c>
      <c r="C48" s="1" t="s">
        <v>30</v>
      </c>
      <c r="D48" s="13">
        <v>6</v>
      </c>
      <c r="E48" s="2" t="s">
        <v>101</v>
      </c>
      <c r="F48" s="2" t="s">
        <v>102</v>
      </c>
      <c r="G48" s="14" t="s">
        <v>104</v>
      </c>
      <c r="H48" s="2" t="str">
        <f ca="1">IFERROR(__xludf.dummyfunction("IFERROR(
  VLOOKUP(G48, IMPORTRANGE(""https://docs.google.com/spreadsheets/d/14deopnvwcrKtEGCKuYXdUHJbeLDZlkiSSWWT0g7x2pM/edit#gid=849066331"", ""LU List Maths (Filter)!A:B""), 2, FALSE),
  IFERROR(
    VLOOKUP(G48, IMPORTRANGE(""https://docs.google.com/s"&amp;"preadsheets/d/14deopnvwcrKtEGCKuYXdUHJbeLDZlkiSSWWT0g7x2pM/edit#gid=849066331"", ""LU List Science (Filter)!A:B""), 2, FALSE),
    ""Not Found""
  )
)
"),"Properties of magnets")</f>
        <v>Properties of magnets</v>
      </c>
      <c r="J48" s="1" t="str">
        <f t="shared" si="6"/>
        <v>LU006794.001</v>
      </c>
      <c r="K48" s="1" t="str">
        <f ca="1">IFERROR(__xludf.dummyfunction("VLOOKUP(J48, IMPORTRANGE(""https://docs.google.com/spreadsheets/d/1yDAaXNsi4Mr5FtRQL4tbmSdIzhx6_m4wkOD7IG-k_eo/edit#gid=1336395716"", ""Science!M:N""), 2, FALSE)"),"(LU006794.001); Default - Remember")</f>
        <v>(LU006794.001); Default - Remember</v>
      </c>
      <c r="L48" s="1" t="str">
        <f t="shared" si="7"/>
        <v>LU006794.002</v>
      </c>
      <c r="M48" s="1" t="str">
        <f ca="1">IFERROR(__xludf.dummyfunction("VLOOKUP(L48, IMPORTRANGE(""https://docs.google.com/spreadsheets/d/1yDAaXNsi4Mr5FtRQL4tbmSdIzhx6_m4wkOD7IG-k_eo/edit#gid=1336395716"", ""Science!M:N""), 2, FALSE)"),"(LU006794.002); Default - Understand")</f>
        <v>(LU006794.002); Default - Understand</v>
      </c>
      <c r="N48" s="1" t="str">
        <f t="shared" si="8"/>
        <v>LU006794.003</v>
      </c>
      <c r="O48" s="1" t="str">
        <f ca="1">IFERROR(__xludf.dummyfunction("VLOOKUP(N48, IMPORTRANGE(""https://docs.google.com/spreadsheets/d/1yDAaXNsi4Mr5FtRQL4tbmSdIzhx6_m4wkOD7IG-k_eo/edit#gid=1336395716"", ""Science!M:N""), 2, FALSE)"),"(LU006794.003); Default - Apply")</f>
        <v>(LU006794.003); Default - Apply</v>
      </c>
      <c r="P48" s="1" t="str">
        <f t="shared" si="9"/>
        <v>LU006794.004</v>
      </c>
      <c r="Q48" s="15" t="str">
        <f ca="1">IFERROR(__xludf.dummyfunction("VLOOKUP(P48, IMPORTRANGE(""https://docs.google.com/spreadsheets/d/1yDAaXNsi4Mr5FtRQL4tbmSdIzhx6_m4wkOD7IG-k_eo/edit#gid=1336395716"", ""Science!M:N""), 2, FALSE)"),"(LU006794.004); Default - Analyse")</f>
        <v>(LU006794.004); Default - Analyse</v>
      </c>
      <c r="R48" s="1" t="str">
        <f t="shared" si="10"/>
        <v>LU006794.005</v>
      </c>
      <c r="S48" s="15" t="str">
        <f ca="1">IFERROR(__xludf.dummyfunction("VLOOKUP(R48, IMPORTRANGE(""https://docs.google.com/spreadsheets/d/1yDAaXNsi4Mr5FtRQL4tbmSdIzhx6_m4wkOD7IG-k_eo/edit#gid=1336395716"", ""Science!M:N""), 2, FALSE)"),"(LU006794.005); Default - Evaluate")</f>
        <v>(LU006794.005); Default - Evaluate</v>
      </c>
      <c r="T48" s="1" t="str">
        <f t="shared" si="11"/>
        <v>LU006794.006</v>
      </c>
      <c r="U48" s="15" t="str">
        <f ca="1">IFERROR(__xludf.dummyfunction("VLOOKUP(T48, IMPORTRANGE(""https://docs.google.com/spreadsheets/d/1yDAaXNsi4Mr5FtRQL4tbmSdIzhx6_m4wkOD7IG-k_eo/edit#gid=1336395716"", ""Science!M:N""), 2, FALSE)"),"(LU006794.006); Default - Create")</f>
        <v>(LU006794.006); Default - Create</v>
      </c>
    </row>
    <row r="49" spans="1:21" ht="55.2">
      <c r="A49" s="1"/>
      <c r="B49" s="1" t="s">
        <v>29</v>
      </c>
      <c r="C49" s="1" t="s">
        <v>30</v>
      </c>
      <c r="D49" s="13">
        <v>6</v>
      </c>
      <c r="E49" s="2" t="s">
        <v>101</v>
      </c>
      <c r="F49" s="2" t="s">
        <v>105</v>
      </c>
      <c r="G49" s="2" t="s">
        <v>106</v>
      </c>
      <c r="H49" s="2" t="str">
        <f ca="1">IFERROR(__xludf.dummyfunction("IFERROR(
  VLOOKUP(G49, IMPORTRANGE(""https://docs.google.com/spreadsheets/d/14deopnvwcrKtEGCKuYXdUHJbeLDZlkiSSWWT0g7x2pM/edit#gid=849066331"", ""LU List Maths (Filter)!A:B""), 2, FALSE),
  IFERROR(
    VLOOKUP(G49, IMPORTRANGE(""https://docs.google.com/s"&amp;"preadsheets/d/14deopnvwcrKtEGCKuYXdUHJbeLDZlkiSSWWT0g7x2pM/edit#gid=849066331"", ""LU List Science (Filter)!A:B""), 2, FALSE),
    ""Not Found""
  )
)
"),"Magnetic and Non-magnetic material")</f>
        <v>Magnetic and Non-magnetic material</v>
      </c>
      <c r="J49" s="1" t="str">
        <f t="shared" si="6"/>
        <v>LU005161.001</v>
      </c>
      <c r="K49" s="1" t="str">
        <f ca="1">IFERROR(__xludf.dummyfunction("VLOOKUP(J49, IMPORTRANGE(""https://docs.google.com/spreadsheets/d/1yDAaXNsi4Mr5FtRQL4tbmSdIzhx6_m4wkOD7IG-k_eo/edit#gid=1336395716"", ""Science!M:N""), 2, FALSE)"),"Define magnetic and non magnetic materials with examples. ")</f>
        <v xml:space="preserve">Define magnetic and non magnetic materials with examples. </v>
      </c>
      <c r="L49" s="1" t="str">
        <f t="shared" si="7"/>
        <v>LU005161.002</v>
      </c>
      <c r="M49" s="1" t="str">
        <f ca="1">IFERROR(__xludf.dummyfunction("VLOOKUP(L49, IMPORTRANGE(""https://docs.google.com/spreadsheets/d/1yDAaXNsi4Mr5FtRQL4tbmSdIzhx6_m4wkOD7IG-k_eo/edit#gid=1336395716"", ""Science!M:N""), 2, FALSE)"),"Explain the reasons why some materials are magnetic and others are not.")</f>
        <v>Explain the reasons why some materials are magnetic and others are not.</v>
      </c>
      <c r="N49" s="1" t="str">
        <f t="shared" si="8"/>
        <v>LU005161.003</v>
      </c>
      <c r="O49" s="1" t="str">
        <f ca="1">IFERROR(__xludf.dummyfunction("VLOOKUP(N49, IMPORTRANGE(""https://docs.google.com/spreadsheets/d/1yDAaXNsi4Mr5FtRQL4tbmSdIzhx6_m4wkOD7IG-k_eo/edit#gid=1336395716"", ""Science!M:N""), 2, FALSE)"),"Classify the given materials as magnetic and non magnetic materials based on their ability to be attracted by magnet.")</f>
        <v>Classify the given materials as magnetic and non magnetic materials based on their ability to be attracted by magnet.</v>
      </c>
      <c r="P49" s="1" t="str">
        <f t="shared" si="9"/>
        <v>LU005161.004</v>
      </c>
      <c r="Q49" s="15" t="str">
        <f ca="1">IFERROR(__xludf.dummyfunction("VLOOKUP(P49, IMPORTRANGE(""https://docs.google.com/spreadsheets/d/1yDAaXNsi4Mr5FtRQL4tbmSdIzhx6_m4wkOD7IG-k_eo/edit#gid=1336395716"", ""Science!M:N""), 2, FALSE)"),"Compare and contrast various magnetic materials based on their strength of attraction to a magnet.")</f>
        <v>Compare and contrast various magnetic materials based on their strength of attraction to a magnet.</v>
      </c>
      <c r="R49" s="1" t="str">
        <f t="shared" si="10"/>
        <v>LU005161.005</v>
      </c>
      <c r="S49" s="15" t="str">
        <f ca="1">IFERROR(__xludf.dummyfunction("VLOOKUP(R49, IMPORTRANGE(""https://docs.google.com/spreadsheets/d/1yDAaXNsi4Mr5FtRQL4tbmSdIzhx6_m4wkOD7IG-k_eo/edit#gid=1336395716"", ""Science!M:N""), 2, FALSE)"),"#N/A")</f>
        <v>#N/A</v>
      </c>
      <c r="T49" s="1" t="str">
        <f t="shared" si="11"/>
        <v>LU005161.006</v>
      </c>
      <c r="U49" s="15" t="str">
        <f ca="1">IFERROR(__xludf.dummyfunction("VLOOKUP(T49, IMPORTRANGE(""https://docs.google.com/spreadsheets/d/1yDAaXNsi4Mr5FtRQL4tbmSdIzhx6_m4wkOD7IG-k_eo/edit#gid=1336395716"", ""Science!M:N""), 2, FALSE)"),"#N/A")</f>
        <v>#N/A</v>
      </c>
    </row>
    <row r="50" spans="1:21" ht="27.6">
      <c r="A50" s="1"/>
      <c r="B50" s="1" t="s">
        <v>29</v>
      </c>
      <c r="C50" s="1" t="s">
        <v>30</v>
      </c>
      <c r="D50" s="13">
        <v>6</v>
      </c>
      <c r="E50" s="2" t="s">
        <v>101</v>
      </c>
      <c r="F50" s="2" t="s">
        <v>107</v>
      </c>
      <c r="G50" s="19" t="s">
        <v>108</v>
      </c>
      <c r="H50" s="2" t="str">
        <f ca="1">IFERROR(__xludf.dummyfunction("IFERROR(
  VLOOKUP(G50, IMPORTRANGE(""https://docs.google.com/spreadsheets/d/14deopnvwcrKtEGCKuYXdUHJbeLDZlkiSSWWT0g7x2pM/edit#gid=849066331"", ""LU List Maths (Filter)!A:B""), 2, FALSE),
  IFERROR(
    VLOOKUP(G50, IMPORTRANGE(""https://docs.google.com/s"&amp;"preadsheets/d/14deopnvwcrKtEGCKuYXdUHJbeLDZlkiSSWWT0g7x2pM/edit#gid=849066331"", ""LU List Science (Filter)!A:B""), 2, FALSE),
    ""Not Found""
  )
)
"),"Definition and properties of magnetic field lines")</f>
        <v>Definition and properties of magnetic field lines</v>
      </c>
      <c r="J50" s="1" t="str">
        <f t="shared" si="6"/>
        <v>LU006518.001</v>
      </c>
      <c r="K50" s="1" t="str">
        <f ca="1">IFERROR(__xludf.dummyfunction("VLOOKUP(J50, IMPORTRANGE(""https://docs.google.com/spreadsheets/d/1yDAaXNsi4Mr5FtRQL4tbmSdIzhx6_m4wkOD7IG-k_eo/edit#gid=1336395716"", ""Science!M:N""), 2, FALSE)"),"(LU006518.001); Default - Remember")</f>
        <v>(LU006518.001); Default - Remember</v>
      </c>
      <c r="L50" s="1" t="str">
        <f t="shared" si="7"/>
        <v>LU006518.002</v>
      </c>
      <c r="M50" s="1" t="str">
        <f ca="1">IFERROR(__xludf.dummyfunction("VLOOKUP(L50, IMPORTRANGE(""https://docs.google.com/spreadsheets/d/1yDAaXNsi4Mr5FtRQL4tbmSdIzhx6_m4wkOD7IG-k_eo/edit#gid=1336395716"", ""Science!M:N""), 2, FALSE)"),"(LU006518.002); Default - Understand")</f>
        <v>(LU006518.002); Default - Understand</v>
      </c>
      <c r="N50" s="1" t="str">
        <f t="shared" si="8"/>
        <v>LU006518.003</v>
      </c>
      <c r="O50" s="1" t="str">
        <f ca="1">IFERROR(__xludf.dummyfunction("VLOOKUP(N50, IMPORTRANGE(""https://docs.google.com/spreadsheets/d/1yDAaXNsi4Mr5FtRQL4tbmSdIzhx6_m4wkOD7IG-k_eo/edit#gid=1336395716"", ""Science!M:N""), 2, FALSE)"),"(LU006518.003); Default - Apply")</f>
        <v>(LU006518.003); Default - Apply</v>
      </c>
      <c r="P50" s="1" t="str">
        <f t="shared" si="9"/>
        <v>LU006518.004</v>
      </c>
      <c r="Q50" s="15" t="str">
        <f ca="1">IFERROR(__xludf.dummyfunction("VLOOKUP(P50, IMPORTRANGE(""https://docs.google.com/spreadsheets/d/1yDAaXNsi4Mr5FtRQL4tbmSdIzhx6_m4wkOD7IG-k_eo/edit#gid=1336395716"", ""Science!M:N""), 2, FALSE)"),"(LU006518.004); Default - Analyse")</f>
        <v>(LU006518.004); Default - Analyse</v>
      </c>
      <c r="R50" s="1" t="str">
        <f t="shared" si="10"/>
        <v>LU006518.005</v>
      </c>
      <c r="S50" s="15" t="str">
        <f ca="1">IFERROR(__xludf.dummyfunction("VLOOKUP(R50, IMPORTRANGE(""https://docs.google.com/spreadsheets/d/1yDAaXNsi4Mr5FtRQL4tbmSdIzhx6_m4wkOD7IG-k_eo/edit#gid=1336395716"", ""Science!M:N""), 2, FALSE)"),"(LU006518.005); Default - Evaluate")</f>
        <v>(LU006518.005); Default - Evaluate</v>
      </c>
      <c r="T50" s="1" t="str">
        <f t="shared" si="11"/>
        <v>LU006518.006</v>
      </c>
      <c r="U50" s="15" t="str">
        <f ca="1">IFERROR(__xludf.dummyfunction("VLOOKUP(T50, IMPORTRANGE(""https://docs.google.com/spreadsheets/d/1yDAaXNsi4Mr5FtRQL4tbmSdIzhx6_m4wkOD7IG-k_eo/edit#gid=1336395716"", ""Science!M:N""), 2, FALSE)"),"(LU006518.006); Default - Create")</f>
        <v>(LU006518.006); Default - Create</v>
      </c>
    </row>
    <row r="51" spans="1:21" ht="82.8">
      <c r="A51" s="1"/>
      <c r="B51" s="1" t="s">
        <v>29</v>
      </c>
      <c r="C51" s="1" t="s">
        <v>30</v>
      </c>
      <c r="D51" s="13">
        <v>6</v>
      </c>
      <c r="E51" s="2" t="s">
        <v>101</v>
      </c>
      <c r="F51" s="2" t="s">
        <v>107</v>
      </c>
      <c r="G51" s="19" t="s">
        <v>109</v>
      </c>
      <c r="H51" s="2" t="str">
        <f ca="1">IFERROR(__xludf.dummyfunction("IFERROR(
  VLOOKUP(G51, IMPORTRANGE(""https://docs.google.com/spreadsheets/d/14deopnvwcrKtEGCKuYXdUHJbeLDZlkiSSWWT0g7x2pM/edit#gid=849066331"", ""LU List Maths (Filter)!A:B""), 2, FALSE),
  IFERROR(
    VLOOKUP(G51, IMPORTRANGE(""https://docs.google.com/s"&amp;"preadsheets/d/14deopnvwcrKtEGCKuYXdUHJbeLDZlkiSSWWT0g7x2pM/edit#gid=849066331"", ""LU List Science (Filter)!A:B""), 2, FALSE),
    ""Not Found""
  )
)
"),"Earth as magnet ")</f>
        <v xml:space="preserve">Earth as magnet </v>
      </c>
      <c r="J51" s="1" t="str">
        <f t="shared" si="6"/>
        <v>LU005972.001</v>
      </c>
      <c r="K51" s="1" t="str">
        <f ca="1">IFERROR(__xludf.dummyfunction("VLOOKUP(J51, IMPORTRANGE(""https://docs.google.com/spreadsheets/d/1yDAaXNsi4Mr5FtRQL4tbmSdIzhx6_m4wkOD7IG-k_eo/edit#gid=1336395716"", ""Science!M:N""), 2, FALSE)"),"Recall that Earth's magnetic north is located at the geographic south pole, and the magnetic south is at the geographic north pole.")</f>
        <v>Recall that Earth's magnetic north is located at the geographic south pole, and the magnetic south is at the geographic north pole.</v>
      </c>
      <c r="L51" s="1" t="str">
        <f t="shared" si="7"/>
        <v>LU005972.002</v>
      </c>
      <c r="M51" s="1" t="str">
        <f ca="1">IFERROR(__xludf.dummyfunction("VLOOKUP(L51, IMPORTRANGE(""https://docs.google.com/spreadsheets/d/1yDAaXNsi4Mr5FtRQL4tbmSdIzhx6_m4wkOD7IG-k_eo/edit#gid=1336395716"", ""Science!M:N""), 2, FALSE)"),"Summarize how Earth behaves like a magnet, causing compasses to align in the north-south direction.")</f>
        <v>Summarize how Earth behaves like a magnet, causing compasses to align in the north-south direction.</v>
      </c>
      <c r="N51" s="1" t="str">
        <f t="shared" si="8"/>
        <v>LU005972.003</v>
      </c>
      <c r="O51" s="1" t="str">
        <f ca="1">IFERROR(__xludf.dummyfunction("VLOOKUP(N51, IMPORTRANGE(""https://docs.google.com/spreadsheets/d/1yDAaXNsi4Mr5FtRQL4tbmSdIzhx6_m4wkOD7IG-k_eo/edit#gid=1336395716"", ""Science!M:N""), 2, FALSE)"),"Demonstrate how a compass needle aligns with Earth's magnetic behavior by using a magnet and a compass.")</f>
        <v>Demonstrate how a compass needle aligns with Earth's magnetic behavior by using a magnet and a compass.</v>
      </c>
      <c r="P51" s="1" t="str">
        <f t="shared" si="9"/>
        <v>LU005972.004</v>
      </c>
      <c r="Q51" s="15" t="str">
        <f ca="1">IFERROR(__xludf.dummyfunction("VLOOKUP(P51, IMPORTRANGE(""https://docs.google.com/spreadsheets/d/1yDAaXNsi4Mr5FtRQL4tbmSdIzhx6_m4wkOD7IG-k_eo/edit#gid=1336395716"", ""Science!M:N""), 2, FALSE)"),"Distinguish between Earth's geographic and magnetic poles and how they attract the opposite poles of a suspended magnet.")</f>
        <v>Distinguish between Earth's geographic and magnetic poles and how they attract the opposite poles of a suspended magnet.</v>
      </c>
      <c r="R51" s="1" t="str">
        <f t="shared" si="10"/>
        <v>LU005972.005</v>
      </c>
      <c r="S51" s="15" t="str">
        <f ca="1">IFERROR(__xludf.dummyfunction("VLOOKUP(R51, IMPORTRANGE(""https://docs.google.com/spreadsheets/d/1yDAaXNsi4Mr5FtRQL4tbmSdIzhx6_m4wkOD7IG-k_eo/edit#gid=1336395716"", ""Science!M:N""), 2, FALSE)"),"Discuss the role of the Earth's magnetic properties in compass alignment and navigation.")</f>
        <v>Discuss the role of the Earth's magnetic properties in compass alignment and navigation.</v>
      </c>
      <c r="T51" s="1" t="str">
        <f t="shared" si="11"/>
        <v>LU005972.006</v>
      </c>
      <c r="U51" s="15" t="str">
        <f ca="1">IFERROR(__xludf.dummyfunction("VLOOKUP(T51, IMPORTRANGE(""https://docs.google.com/spreadsheets/d/1yDAaXNsi4Mr5FtRQL4tbmSdIzhx6_m4wkOD7IG-k_eo/edit#gid=1336395716"", ""Science!M:N""), 2, FALSE)"),"#N/A")</f>
        <v>#N/A</v>
      </c>
    </row>
    <row r="52" spans="1:21" ht="27.6">
      <c r="A52" s="1"/>
      <c r="B52" s="1" t="s">
        <v>29</v>
      </c>
      <c r="C52" s="1" t="s">
        <v>30</v>
      </c>
      <c r="D52" s="13">
        <v>6</v>
      </c>
      <c r="E52" s="2" t="s">
        <v>101</v>
      </c>
      <c r="F52" s="2" t="s">
        <v>110</v>
      </c>
      <c r="G52" s="14" t="s">
        <v>111</v>
      </c>
      <c r="H52" s="2" t="str">
        <f ca="1">IFERROR(__xludf.dummyfunction("IFERROR(
  VLOOKUP(G52, IMPORTRANGE(""https://docs.google.com/spreadsheets/d/14deopnvwcrKtEGCKuYXdUHJbeLDZlkiSSWWT0g7x2pM/edit#gid=849066331"", ""LU List Maths (Filter)!A:B""), 2, FALSE),
  IFERROR(
    VLOOKUP(G52, IMPORTRANGE(""https://docs.google.com/s"&amp;"preadsheets/d/14deopnvwcrKtEGCKuYXdUHJbeLDZlkiSSWWT0g7x2pM/edit#gid=849066331"", ""LU List Science (Filter)!A:B""), 2, FALSE),
    ""Not Found""
  )
)
"),"Different ways to make a magnet")</f>
        <v>Different ways to make a magnet</v>
      </c>
      <c r="J52" s="1" t="str">
        <f t="shared" si="6"/>
        <v>LU006795.001</v>
      </c>
      <c r="K52" s="1" t="str">
        <f ca="1">IFERROR(__xludf.dummyfunction("VLOOKUP(J52, IMPORTRANGE(""https://docs.google.com/spreadsheets/d/1yDAaXNsi4Mr5FtRQL4tbmSdIzhx6_m4wkOD7IG-k_eo/edit#gid=1336395716"", ""Science!M:N""), 2, FALSE)"),"(LU006795.001); Default - Remember")</f>
        <v>(LU006795.001); Default - Remember</v>
      </c>
      <c r="L52" s="1" t="str">
        <f t="shared" si="7"/>
        <v>LU006795.002</v>
      </c>
      <c r="M52" s="1" t="str">
        <f ca="1">IFERROR(__xludf.dummyfunction("VLOOKUP(L52, IMPORTRANGE(""https://docs.google.com/spreadsheets/d/1yDAaXNsi4Mr5FtRQL4tbmSdIzhx6_m4wkOD7IG-k_eo/edit#gid=1336395716"", ""Science!M:N""), 2, FALSE)"),"(LU006795.002); Default - Understand")</f>
        <v>(LU006795.002); Default - Understand</v>
      </c>
      <c r="N52" s="1" t="str">
        <f t="shared" si="8"/>
        <v>LU006795.003</v>
      </c>
      <c r="O52" s="1" t="str">
        <f ca="1">IFERROR(__xludf.dummyfunction("VLOOKUP(N52, IMPORTRANGE(""https://docs.google.com/spreadsheets/d/1yDAaXNsi4Mr5FtRQL4tbmSdIzhx6_m4wkOD7IG-k_eo/edit#gid=1336395716"", ""Science!M:N""), 2, FALSE)"),"(LU006795.003); Default - Apply")</f>
        <v>(LU006795.003); Default - Apply</v>
      </c>
      <c r="P52" s="1" t="str">
        <f t="shared" si="9"/>
        <v>LU006795.004</v>
      </c>
      <c r="Q52" s="15" t="str">
        <f ca="1">IFERROR(__xludf.dummyfunction("VLOOKUP(P52, IMPORTRANGE(""https://docs.google.com/spreadsheets/d/1yDAaXNsi4Mr5FtRQL4tbmSdIzhx6_m4wkOD7IG-k_eo/edit#gid=1336395716"", ""Science!M:N""), 2, FALSE)"),"(LU006795.004); Default - Analyse")</f>
        <v>(LU006795.004); Default - Analyse</v>
      </c>
      <c r="R52" s="1" t="str">
        <f t="shared" si="10"/>
        <v>LU006795.005</v>
      </c>
      <c r="S52" s="15" t="str">
        <f ca="1">IFERROR(__xludf.dummyfunction("VLOOKUP(R52, IMPORTRANGE(""https://docs.google.com/spreadsheets/d/1yDAaXNsi4Mr5FtRQL4tbmSdIzhx6_m4wkOD7IG-k_eo/edit#gid=1336395716"", ""Science!M:N""), 2, FALSE)"),"(LU006795.005); Default - Evaluate")</f>
        <v>(LU006795.005); Default - Evaluate</v>
      </c>
      <c r="T52" s="1" t="str">
        <f t="shared" si="11"/>
        <v>LU006795.006</v>
      </c>
      <c r="U52" s="15" t="str">
        <f ca="1">IFERROR(__xludf.dummyfunction("VLOOKUP(T52, IMPORTRANGE(""https://docs.google.com/spreadsheets/d/1yDAaXNsi4Mr5FtRQL4tbmSdIzhx6_m4wkOD7IG-k_eo/edit#gid=1336395716"", ""Science!M:N""), 2, FALSE)"),"(LU006795.006); Default - Create")</f>
        <v>(LU006795.006); Default - Create</v>
      </c>
    </row>
    <row r="53" spans="1:21" ht="27.6">
      <c r="A53" s="1"/>
      <c r="B53" s="1" t="s">
        <v>29</v>
      </c>
      <c r="C53" s="1" t="s">
        <v>30</v>
      </c>
      <c r="D53" s="13">
        <v>6</v>
      </c>
      <c r="E53" s="2" t="s">
        <v>101</v>
      </c>
      <c r="F53" s="2" t="s">
        <v>110</v>
      </c>
      <c r="G53" s="14" t="s">
        <v>112</v>
      </c>
      <c r="H53" s="2" t="str">
        <f ca="1">IFERROR(__xludf.dummyfunction("IFERROR(
  VLOOKUP(G53, IMPORTRANGE(""https://docs.google.com/spreadsheets/d/14deopnvwcrKtEGCKuYXdUHJbeLDZlkiSSWWT0g7x2pM/edit#gid=849066331"", ""LU List Maths (Filter)!A:B""), 2, FALSE),
  IFERROR(
    VLOOKUP(G53, IMPORTRANGE(""https://docs.google.com/s"&amp;"preadsheets/d/14deopnvwcrKtEGCKuYXdUHJbeLDZlkiSSWWT0g7x2pM/edit#gid=849066331"", ""LU List Science (Filter)!A:B""), 2, FALSE),
    ""Not Found""
  )
)
"),"Permanent &amp; temporary magnets and their uses")</f>
        <v>Permanent &amp; temporary magnets and their uses</v>
      </c>
      <c r="J53" s="1" t="str">
        <f t="shared" si="6"/>
        <v>LU006796.001</v>
      </c>
      <c r="K53" s="1" t="str">
        <f ca="1">IFERROR(__xludf.dummyfunction("VLOOKUP(J53, IMPORTRANGE(""https://docs.google.com/spreadsheets/d/1yDAaXNsi4Mr5FtRQL4tbmSdIzhx6_m4wkOD7IG-k_eo/edit#gid=1336395716"", ""Science!M:N""), 2, FALSE)"),"(LU006796.001); Default - Remember")</f>
        <v>(LU006796.001); Default - Remember</v>
      </c>
      <c r="L53" s="1" t="str">
        <f t="shared" si="7"/>
        <v>LU006796.002</v>
      </c>
      <c r="M53" s="1" t="str">
        <f ca="1">IFERROR(__xludf.dummyfunction("VLOOKUP(L53, IMPORTRANGE(""https://docs.google.com/spreadsheets/d/1yDAaXNsi4Mr5FtRQL4tbmSdIzhx6_m4wkOD7IG-k_eo/edit#gid=1336395716"", ""Science!M:N""), 2, FALSE)"),"(LU006796.002); Default - Understand")</f>
        <v>(LU006796.002); Default - Understand</v>
      </c>
      <c r="N53" s="1" t="str">
        <f t="shared" si="8"/>
        <v>LU006796.003</v>
      </c>
      <c r="O53" s="1" t="str">
        <f ca="1">IFERROR(__xludf.dummyfunction("VLOOKUP(N53, IMPORTRANGE(""https://docs.google.com/spreadsheets/d/1yDAaXNsi4Mr5FtRQL4tbmSdIzhx6_m4wkOD7IG-k_eo/edit#gid=1336395716"", ""Science!M:N""), 2, FALSE)"),"(LU006796.003); Default - Apply")</f>
        <v>(LU006796.003); Default - Apply</v>
      </c>
      <c r="P53" s="1" t="str">
        <f t="shared" si="9"/>
        <v>LU006796.004</v>
      </c>
      <c r="Q53" s="15" t="str">
        <f ca="1">IFERROR(__xludf.dummyfunction("VLOOKUP(P53, IMPORTRANGE(""https://docs.google.com/spreadsheets/d/1yDAaXNsi4Mr5FtRQL4tbmSdIzhx6_m4wkOD7IG-k_eo/edit#gid=1336395716"", ""Science!M:N""), 2, FALSE)"),"(LU006796.004); Default - Analyse")</f>
        <v>(LU006796.004); Default - Analyse</v>
      </c>
      <c r="R53" s="1" t="str">
        <f t="shared" si="10"/>
        <v>LU006796.005</v>
      </c>
      <c r="S53" s="15" t="str">
        <f ca="1">IFERROR(__xludf.dummyfunction("VLOOKUP(R53, IMPORTRANGE(""https://docs.google.com/spreadsheets/d/1yDAaXNsi4Mr5FtRQL4tbmSdIzhx6_m4wkOD7IG-k_eo/edit#gid=1336395716"", ""Science!M:N""), 2, FALSE)"),"(LU006796.005); Default - Evaluate")</f>
        <v>(LU006796.005); Default - Evaluate</v>
      </c>
      <c r="T53" s="1" t="str">
        <f t="shared" si="11"/>
        <v>LU006796.006</v>
      </c>
      <c r="U53" s="15" t="str">
        <f ca="1">IFERROR(__xludf.dummyfunction("VLOOKUP(T53, IMPORTRANGE(""https://docs.google.com/spreadsheets/d/1yDAaXNsi4Mr5FtRQL4tbmSdIzhx6_m4wkOD7IG-k_eo/edit#gid=1336395716"", ""Science!M:N""), 2, FALSE)"),"(LU006796.006); Default - Create")</f>
        <v>(LU006796.006); Default - Create</v>
      </c>
    </row>
    <row r="54" spans="1:21" ht="55.2">
      <c r="A54" s="1"/>
      <c r="B54" s="1" t="s">
        <v>29</v>
      </c>
      <c r="C54" s="1" t="s">
        <v>30</v>
      </c>
      <c r="D54" s="13">
        <v>6</v>
      </c>
      <c r="E54" s="2" t="s">
        <v>101</v>
      </c>
      <c r="F54" s="2" t="s">
        <v>113</v>
      </c>
      <c r="G54" s="1" t="s">
        <v>114</v>
      </c>
      <c r="H54" s="2" t="str">
        <f ca="1">IFERROR(__xludf.dummyfunction("IFERROR(
  VLOOKUP(G54, IMPORTRANGE(""https://docs.google.com/spreadsheets/d/14deopnvwcrKtEGCKuYXdUHJbeLDZlkiSSWWT0g7x2pM/edit#gid=849066331"", ""LU List Maths (Filter)!A:B""), 2, FALSE),
  IFERROR(
    VLOOKUP(G54, IMPORTRANGE(""https://docs.google.com/s"&amp;"preadsheets/d/14deopnvwcrKtEGCKuYXdUHJbeLDZlkiSSWWT0g7x2pM/edit#gid=849066331"", ""LU List Science (Filter)!A:B""), 2, FALSE),
    ""Not Found""
  )
)
"),"Making an electromagnet")</f>
        <v>Making an electromagnet</v>
      </c>
      <c r="J54" s="1" t="str">
        <f t="shared" si="6"/>
        <v>LU005347.001</v>
      </c>
      <c r="K54" s="1" t="str">
        <f ca="1">IFERROR(__xludf.dummyfunction("VLOOKUP(J54, IMPORTRANGE(""https://docs.google.com/spreadsheets/d/1yDAaXNsi4Mr5FtRQL4tbmSdIzhx6_m4wkOD7IG-k_eo/edit#gid=1336395716"", ""Science!M:N""), 2, FALSE)"),"Define an electromagnet. ")</f>
        <v xml:space="preserve">Define an electromagnet. </v>
      </c>
      <c r="L54" s="1" t="str">
        <f t="shared" si="7"/>
        <v>LU005347.002</v>
      </c>
      <c r="M54" s="1" t="str">
        <f ca="1">IFERROR(__xludf.dummyfunction("VLOOKUP(L54, IMPORTRANGE(""https://docs.google.com/spreadsheets/d/1yDAaXNsi4Mr5FtRQL4tbmSdIzhx6_m4wkOD7IG-k_eo/edit#gid=1336395716"", ""Science!M:N""), 2, FALSE)"),"Explain the difference between an electromagnet and a permanent magnet")</f>
        <v>Explain the difference between an electromagnet and a permanent magnet</v>
      </c>
      <c r="N54" s="1" t="str">
        <f t="shared" si="8"/>
        <v>LU005347.003</v>
      </c>
      <c r="O54" s="1" t="str">
        <f ca="1">IFERROR(__xludf.dummyfunction("VLOOKUP(N54, IMPORTRANGE(""https://docs.google.com/spreadsheets/d/1yDAaXNsi4Mr5FtRQL4tbmSdIzhx6_m4wkOD7IG-k_eo/edit#gid=1336395716"", ""Science!M:N""), 2, FALSE)"),"Make a working electromagnet.")</f>
        <v>Make a working electromagnet.</v>
      </c>
      <c r="P54" s="1" t="str">
        <f t="shared" si="9"/>
        <v>LU005347.004</v>
      </c>
      <c r="Q54" s="15" t="str">
        <f ca="1">IFERROR(__xludf.dummyfunction("VLOOKUP(P54, IMPORTRANGE(""https://docs.google.com/spreadsheets/d/1yDAaXNsi4Mr5FtRQL4tbmSdIzhx6_m4wkOD7IG-k_eo/edit#gid=1336395716"", ""Science!M:N""), 2, FALSE)"),"Analyse the factors affecting the strength of an electromagnet.")</f>
        <v>Analyse the factors affecting the strength of an electromagnet.</v>
      </c>
      <c r="R54" s="1" t="str">
        <f t="shared" si="10"/>
        <v>LU005347.005</v>
      </c>
      <c r="S54" s="15" t="str">
        <f ca="1">IFERROR(__xludf.dummyfunction("VLOOKUP(R54, IMPORTRANGE(""https://docs.google.com/spreadsheets/d/1yDAaXNsi4Mr5FtRQL4tbmSdIzhx6_m4wkOD7IG-k_eo/edit#gid=1336395716"", ""Science!M:N""), 2, FALSE)"),"#N/A")</f>
        <v>#N/A</v>
      </c>
      <c r="T54" s="1" t="str">
        <f t="shared" si="11"/>
        <v>LU005347.006</v>
      </c>
      <c r="U54" s="15" t="str">
        <f ca="1">IFERROR(__xludf.dummyfunction("VLOOKUP(T54, IMPORTRANGE(""https://docs.google.com/spreadsheets/d/1yDAaXNsi4Mr5FtRQL4tbmSdIzhx6_m4wkOD7IG-k_eo/edit#gid=1336395716"", ""Science!M:N""), 2, FALSE)"),"Design an experiment to investigate the factors that affect the strength of an electromagnet.")</f>
        <v>Design an experiment to investigate the factors that affect the strength of an electromagnet.</v>
      </c>
    </row>
    <row r="55" spans="1:21" ht="27.6">
      <c r="A55" s="1"/>
      <c r="B55" s="1" t="s">
        <v>29</v>
      </c>
      <c r="C55" s="1" t="s">
        <v>30</v>
      </c>
      <c r="D55" s="13">
        <v>6</v>
      </c>
      <c r="E55" s="2" t="s">
        <v>101</v>
      </c>
      <c r="F55" s="2" t="s">
        <v>113</v>
      </c>
      <c r="G55" s="14" t="s">
        <v>115</v>
      </c>
      <c r="H55" s="2" t="str">
        <f ca="1">IFERROR(__xludf.dummyfunction("IFERROR(
  VLOOKUP(G55, IMPORTRANGE(""https://docs.google.com/spreadsheets/d/14deopnvwcrKtEGCKuYXdUHJbeLDZlkiSSWWT0g7x2pM/edit#gid=849066331"", ""LU List Maths (Filter)!A:B""), 2, FALSE),
  IFERROR(
    VLOOKUP(G55, IMPORTRANGE(""https://docs.google.com/s"&amp;"preadsheets/d/14deopnvwcrKtEGCKuYXdUHJbeLDZlkiSSWWT0g7x2pM/edit#gid=849066331"", ""LU List Science (Filter)!A:B""), 2, FALSE),
    ""Not Found""
  )
)
"),"Choice of material for the core of an electromagnet")</f>
        <v>Choice of material for the core of an electromagnet</v>
      </c>
      <c r="J55" s="1" t="str">
        <f t="shared" si="6"/>
        <v>LU006797.001</v>
      </c>
      <c r="K55" s="1" t="str">
        <f ca="1">IFERROR(__xludf.dummyfunction("VLOOKUP(J55, IMPORTRANGE(""https://docs.google.com/spreadsheets/d/1yDAaXNsi4Mr5FtRQL4tbmSdIzhx6_m4wkOD7IG-k_eo/edit#gid=1336395716"", ""Science!M:N""), 2, FALSE)"),"(LU006797.001); Default - Remember")</f>
        <v>(LU006797.001); Default - Remember</v>
      </c>
      <c r="L55" s="1" t="str">
        <f t="shared" si="7"/>
        <v>LU006797.002</v>
      </c>
      <c r="M55" s="1" t="str">
        <f ca="1">IFERROR(__xludf.dummyfunction("VLOOKUP(L55, IMPORTRANGE(""https://docs.google.com/spreadsheets/d/1yDAaXNsi4Mr5FtRQL4tbmSdIzhx6_m4wkOD7IG-k_eo/edit#gid=1336395716"", ""Science!M:N""), 2, FALSE)"),"(LU006797.002); Default - Understand")</f>
        <v>(LU006797.002); Default - Understand</v>
      </c>
      <c r="N55" s="1" t="str">
        <f t="shared" si="8"/>
        <v>LU006797.003</v>
      </c>
      <c r="O55" s="1" t="str">
        <f ca="1">IFERROR(__xludf.dummyfunction("VLOOKUP(N55, IMPORTRANGE(""https://docs.google.com/spreadsheets/d/1yDAaXNsi4Mr5FtRQL4tbmSdIzhx6_m4wkOD7IG-k_eo/edit#gid=1336395716"", ""Science!M:N""), 2, FALSE)"),"(LU006797.003); Default - Apply")</f>
        <v>(LU006797.003); Default - Apply</v>
      </c>
      <c r="P55" s="1" t="str">
        <f t="shared" si="9"/>
        <v>LU006797.004</v>
      </c>
      <c r="Q55" s="15" t="str">
        <f ca="1">IFERROR(__xludf.dummyfunction("VLOOKUP(P55, IMPORTRANGE(""https://docs.google.com/spreadsheets/d/1yDAaXNsi4Mr5FtRQL4tbmSdIzhx6_m4wkOD7IG-k_eo/edit#gid=1336395716"", ""Science!M:N""), 2, FALSE)"),"(LU006797.004); Default - Analyse")</f>
        <v>(LU006797.004); Default - Analyse</v>
      </c>
      <c r="R55" s="1" t="str">
        <f t="shared" si="10"/>
        <v>LU006797.005</v>
      </c>
      <c r="S55" s="15" t="str">
        <f ca="1">IFERROR(__xludf.dummyfunction("VLOOKUP(R55, IMPORTRANGE(""https://docs.google.com/spreadsheets/d/1yDAaXNsi4Mr5FtRQL4tbmSdIzhx6_m4wkOD7IG-k_eo/edit#gid=1336395716"", ""Science!M:N""), 2, FALSE)"),"(LU006797.005); Default - Evaluate")</f>
        <v>(LU006797.005); Default - Evaluate</v>
      </c>
      <c r="T55" s="1" t="str">
        <f t="shared" si="11"/>
        <v>LU006797.006</v>
      </c>
      <c r="U55" s="15" t="str">
        <f ca="1">IFERROR(__xludf.dummyfunction("VLOOKUP(T55, IMPORTRANGE(""https://docs.google.com/spreadsheets/d/1yDAaXNsi4Mr5FtRQL4tbmSdIzhx6_m4wkOD7IG-k_eo/edit#gid=1336395716"", ""Science!M:N""), 2, FALSE)"),"(LU006797.006); Default - Create")</f>
        <v>(LU006797.006); Default - Create</v>
      </c>
    </row>
    <row r="56" spans="1:21" ht="69">
      <c r="A56" s="1"/>
      <c r="B56" s="1" t="s">
        <v>29</v>
      </c>
      <c r="C56" s="1" t="s">
        <v>30</v>
      </c>
      <c r="D56" s="13">
        <v>6</v>
      </c>
      <c r="E56" s="2" t="s">
        <v>101</v>
      </c>
      <c r="F56" s="2" t="s">
        <v>116</v>
      </c>
      <c r="G56" s="2" t="s">
        <v>117</v>
      </c>
      <c r="H56" s="2" t="str">
        <f ca="1">IFERROR(__xludf.dummyfunction("IFERROR(
  VLOOKUP(G56, IMPORTRANGE(""https://docs.google.com/spreadsheets/d/14deopnvwcrKtEGCKuYXdUHJbeLDZlkiSSWWT0g7x2pM/edit#gid=849066331"", ""LU List Maths (Filter)!A:B""), 2, FALSE),
  IFERROR(
    VLOOKUP(G56, IMPORTRANGE(""https://docs.google.com/s"&amp;"preadsheets/d/14deopnvwcrKtEGCKuYXdUHJbeLDZlkiSSWWT0g7x2pM/edit#gid=849066331"", ""LU List Science (Filter)!A:B""), 2, FALSE),
    ""Not Found""
  )
)
"),"Correct way of storing and handling magnets")</f>
        <v>Correct way of storing and handling magnets</v>
      </c>
      <c r="J56" s="1" t="str">
        <f t="shared" si="6"/>
        <v>LU005157.001</v>
      </c>
      <c r="K56" s="1" t="str">
        <f ca="1">IFERROR(__xludf.dummyfunction("VLOOKUP(J56, IMPORTRANGE(""https://docs.google.com/spreadsheets/d/1yDAaXNsi4Mr5FtRQL4tbmSdIzhx6_m4wkOD7IG-k_eo/edit#gid=1336395716"", ""Science!M:N""), 2, FALSE)"),"Identify the correct ways to store magnets.")</f>
        <v>Identify the correct ways to store magnets.</v>
      </c>
      <c r="L56" s="1" t="str">
        <f t="shared" si="7"/>
        <v>LU005157.002</v>
      </c>
      <c r="M56" s="1" t="str">
        <f ca="1">IFERROR(__xludf.dummyfunction("VLOOKUP(L56, IMPORTRANGE(""https://docs.google.com/spreadsheets/d/1yDAaXNsi4Mr5FtRQL4tbmSdIzhx6_m4wkOD7IG-k_eo/edit#gid=1336395716"", ""Science!M:N""), 2, FALSE)"),"Explain the factors that can cause a magnet to lose its magnetic properties.")</f>
        <v>Explain the factors that can cause a magnet to lose its magnetic properties.</v>
      </c>
      <c r="N56" s="1" t="str">
        <f t="shared" si="8"/>
        <v>LU005157.003</v>
      </c>
      <c r="O56" s="1" t="str">
        <f ca="1">IFERROR(__xludf.dummyfunction("VLOOKUP(N56, IMPORTRANGE(""https://docs.google.com/spreadsheets/d/1yDAaXNsi4Mr5FtRQL4tbmSdIzhx6_m4wkOD7IG-k_eo/edit#gid=1336395716"", ""Science!M:N""), 2, FALSE)"),"Implement proper storage techniques for different types of magnets.")</f>
        <v>Implement proper storage techniques for different types of magnets.</v>
      </c>
      <c r="P56" s="1" t="str">
        <f t="shared" si="9"/>
        <v>LU005157.004</v>
      </c>
      <c r="Q56" s="15" t="str">
        <f ca="1">IFERROR(__xludf.dummyfunction("VLOOKUP(P56, IMPORTRANGE(""https://docs.google.com/spreadsheets/d/1yDAaXNsi4Mr5FtRQL4tbmSdIzhx6_m4wkOD7IG-k_eo/edit#gid=1336395716"", ""Science!M:N""), 2, FALSE)"),"Compare and contrast the effects of different storage conditions on a magnet's strength and longevity.")</f>
        <v>Compare and contrast the effects of different storage conditions on a magnet's strength and longevity.</v>
      </c>
      <c r="R56" s="1" t="str">
        <f t="shared" si="10"/>
        <v>LU005157.005</v>
      </c>
      <c r="S56" s="15" t="str">
        <f ca="1">IFERROR(__xludf.dummyfunction("VLOOKUP(R56, IMPORTRANGE(""https://docs.google.com/spreadsheets/d/1yDAaXNsi4Mr5FtRQL4tbmSdIzhx6_m4wkOD7IG-k_eo/edit#gid=1336395716"", ""Science!M:N""), 2, FALSE)"),"#N/A")</f>
        <v>#N/A</v>
      </c>
      <c r="T56" s="1" t="str">
        <f t="shared" si="11"/>
        <v>LU005157.006</v>
      </c>
      <c r="U56" s="15" t="str">
        <f ca="1">IFERROR(__xludf.dummyfunction("VLOOKUP(T56, IMPORTRANGE(""https://docs.google.com/spreadsheets/d/1yDAaXNsi4Mr5FtRQL4tbmSdIzhx6_m4wkOD7IG-k_eo/edit#gid=1336395716"", ""Science!M:N""), 2, FALSE)"),"Design a safety protocol for handling and storing magnets so that they do not lose their magnetic properties.")</f>
        <v>Design a safety protocol for handling and storing magnets so that they do not lose their magnetic properties.</v>
      </c>
    </row>
    <row r="57" spans="1:21" ht="27.6">
      <c r="A57" s="1"/>
      <c r="B57" s="1" t="s">
        <v>29</v>
      </c>
      <c r="C57" s="1" t="s">
        <v>30</v>
      </c>
      <c r="D57" s="13">
        <v>6</v>
      </c>
      <c r="E57" s="2" t="s">
        <v>101</v>
      </c>
      <c r="F57" s="2" t="s">
        <v>118</v>
      </c>
      <c r="G57" s="14" t="s">
        <v>119</v>
      </c>
      <c r="H57" s="2" t="str">
        <f ca="1">IFERROR(__xludf.dummyfunction("IFERROR(
  VLOOKUP(G57, IMPORTRANGE(""https://docs.google.com/spreadsheets/d/14deopnvwcrKtEGCKuYXdUHJbeLDZlkiSSWWT0g7x2pM/edit#gid=849066331"", ""LU List Maths (Filter)!A:B""), 2, FALSE),
  IFERROR(
    VLOOKUP(G57, IMPORTRANGE(""https://docs.google.com/s"&amp;"preadsheets/d/14deopnvwcrKtEGCKuYXdUHJbeLDZlkiSSWWT0g7x2pM/edit#gid=849066331"", ""LU List Science (Filter)!A:B""), 2, FALSE),
    ""Not Found""
  )
)
"),"Demagnetization by heating, hammering and electricity")</f>
        <v>Demagnetization by heating, hammering and electricity</v>
      </c>
      <c r="J57" s="1" t="str">
        <f t="shared" si="6"/>
        <v>LU006798.001</v>
      </c>
      <c r="K57" s="1" t="str">
        <f ca="1">IFERROR(__xludf.dummyfunction("VLOOKUP(J57, IMPORTRANGE(""https://docs.google.com/spreadsheets/d/1yDAaXNsi4Mr5FtRQL4tbmSdIzhx6_m4wkOD7IG-k_eo/edit#gid=1336395716"", ""Science!M:N""), 2, FALSE)"),"(LU006798.001); Default - Remember")</f>
        <v>(LU006798.001); Default - Remember</v>
      </c>
      <c r="L57" s="1" t="str">
        <f t="shared" si="7"/>
        <v>LU006798.002</v>
      </c>
      <c r="M57" s="1" t="str">
        <f ca="1">IFERROR(__xludf.dummyfunction("VLOOKUP(L57, IMPORTRANGE(""https://docs.google.com/spreadsheets/d/1yDAaXNsi4Mr5FtRQL4tbmSdIzhx6_m4wkOD7IG-k_eo/edit#gid=1336395716"", ""Science!M:N""), 2, FALSE)"),"(LU006798.002); Default - Understand")</f>
        <v>(LU006798.002); Default - Understand</v>
      </c>
      <c r="N57" s="1" t="str">
        <f t="shared" si="8"/>
        <v>LU006798.003</v>
      </c>
      <c r="O57" s="1" t="str">
        <f ca="1">IFERROR(__xludf.dummyfunction("VLOOKUP(N57, IMPORTRANGE(""https://docs.google.com/spreadsheets/d/1yDAaXNsi4Mr5FtRQL4tbmSdIzhx6_m4wkOD7IG-k_eo/edit#gid=1336395716"", ""Science!M:N""), 2, FALSE)"),"(LU006798.003); Default - Apply")</f>
        <v>(LU006798.003); Default - Apply</v>
      </c>
      <c r="P57" s="1" t="str">
        <f t="shared" si="9"/>
        <v>LU006798.004</v>
      </c>
      <c r="Q57" s="15" t="str">
        <f ca="1">IFERROR(__xludf.dummyfunction("VLOOKUP(P57, IMPORTRANGE(""https://docs.google.com/spreadsheets/d/1yDAaXNsi4Mr5FtRQL4tbmSdIzhx6_m4wkOD7IG-k_eo/edit#gid=1336395716"", ""Science!M:N""), 2, FALSE)"),"(LU006798.004); Default - Analyse")</f>
        <v>(LU006798.004); Default - Analyse</v>
      </c>
      <c r="R57" s="1" t="str">
        <f t="shared" si="10"/>
        <v>LU006798.005</v>
      </c>
      <c r="S57" s="15" t="str">
        <f ca="1">IFERROR(__xludf.dummyfunction("VLOOKUP(R57, IMPORTRANGE(""https://docs.google.com/spreadsheets/d/1yDAaXNsi4Mr5FtRQL4tbmSdIzhx6_m4wkOD7IG-k_eo/edit#gid=1336395716"", ""Science!M:N""), 2, FALSE)"),"(LU006798.005); Default - Evaluate")</f>
        <v>(LU006798.005); Default - Evaluate</v>
      </c>
      <c r="T57" s="1" t="str">
        <f t="shared" si="11"/>
        <v>LU006798.006</v>
      </c>
      <c r="U57" s="15" t="str">
        <f ca="1">IFERROR(__xludf.dummyfunction("VLOOKUP(T57, IMPORTRANGE(""https://docs.google.com/spreadsheets/d/1yDAaXNsi4Mr5FtRQL4tbmSdIzhx6_m4wkOD7IG-k_eo/edit#gid=1336395716"", ""Science!M:N""), 2, FALSE)"),"(LU006798.006); Default - Create")</f>
        <v>(LU006798.006); Default - Create</v>
      </c>
    </row>
    <row r="58" spans="1:21" ht="13.8">
      <c r="J58" s="1" t="str">
        <f t="shared" si="6"/>
        <v>.001</v>
      </c>
      <c r="K58" s="1" t="str">
        <f ca="1">IFERROR(__xludf.dummyfunction("VLOOKUP(J58, IMPORTRANGE(""https://docs.google.com/spreadsheets/d/1yDAaXNsi4Mr5FtRQL4tbmSdIzhx6_m4wkOD7IG-k_eo/edit#gid=1336395716"", ""Science!M:N""), 2, FALSE)"),"#N/A")</f>
        <v>#N/A</v>
      </c>
      <c r="L58" s="1" t="str">
        <f t="shared" si="7"/>
        <v>.002</v>
      </c>
      <c r="M58" s="1" t="str">
        <f ca="1">IFERROR(__xludf.dummyfunction("VLOOKUP(L58, IMPORTRANGE(""https://docs.google.com/spreadsheets/d/1yDAaXNsi4Mr5FtRQL4tbmSdIzhx6_m4wkOD7IG-k_eo/edit#gid=1336395716"", ""Science!M:N""), 2, FALSE)"),"#N/A")</f>
        <v>#N/A</v>
      </c>
      <c r="N58" s="1" t="str">
        <f t="shared" si="8"/>
        <v>.003</v>
      </c>
      <c r="O58" s="1" t="str">
        <f ca="1">IFERROR(__xludf.dummyfunction("VLOOKUP(N58, IMPORTRANGE(""https://docs.google.com/spreadsheets/d/1yDAaXNsi4Mr5FtRQL4tbmSdIzhx6_m4wkOD7IG-k_eo/edit#gid=1336395716"", ""Science!M:N""), 2, FALSE)"),"#N/A")</f>
        <v>#N/A</v>
      </c>
      <c r="P58" s="1" t="str">
        <f t="shared" si="9"/>
        <v>.004</v>
      </c>
      <c r="Q58" s="15" t="str">
        <f ca="1">IFERROR(__xludf.dummyfunction("VLOOKUP(P58, IMPORTRANGE(""https://docs.google.com/spreadsheets/d/1yDAaXNsi4Mr5FtRQL4tbmSdIzhx6_m4wkOD7IG-k_eo/edit#gid=1336395716"", ""Science!M:N""), 2, FALSE)"),"#N/A")</f>
        <v>#N/A</v>
      </c>
      <c r="R58" s="1" t="str">
        <f t="shared" si="10"/>
        <v>.005</v>
      </c>
      <c r="S58" s="15" t="str">
        <f ca="1">IFERROR(__xludf.dummyfunction("VLOOKUP(R58, IMPORTRANGE(""https://docs.google.com/spreadsheets/d/1yDAaXNsi4Mr5FtRQL4tbmSdIzhx6_m4wkOD7IG-k_eo/edit#gid=1336395716"", ""Science!M:N""), 2, FALSE)"),"#N/A")</f>
        <v>#N/A</v>
      </c>
      <c r="T58" s="1" t="str">
        <f t="shared" si="11"/>
        <v>.006</v>
      </c>
      <c r="U58" s="15" t="str">
        <f ca="1">IFERROR(__xludf.dummyfunction("VLOOKUP(T58, IMPORTRANGE(""https://docs.google.com/spreadsheets/d/1yDAaXNsi4Mr5FtRQL4tbmSdIzhx6_m4wkOD7IG-k_eo/edit#gid=1336395716"", ""Science!M:N""), 2, FALSE)"),"#N/A")</f>
        <v>#N/A</v>
      </c>
    </row>
    <row r="59" spans="1:21" ht="13.8">
      <c r="J59" s="1" t="str">
        <f t="shared" si="6"/>
        <v>.001</v>
      </c>
      <c r="K59" s="1" t="str">
        <f ca="1">IFERROR(__xludf.dummyfunction("VLOOKUP(J59, IMPORTRANGE(""https://docs.google.com/spreadsheets/d/1yDAaXNsi4Mr5FtRQL4tbmSdIzhx6_m4wkOD7IG-k_eo/edit#gid=1336395716"", ""Science!M:N""), 2, FALSE)"),"#N/A")</f>
        <v>#N/A</v>
      </c>
      <c r="L59" s="1" t="str">
        <f t="shared" si="7"/>
        <v>.002</v>
      </c>
      <c r="M59" s="1" t="str">
        <f ca="1">IFERROR(__xludf.dummyfunction("VLOOKUP(L59, IMPORTRANGE(""https://docs.google.com/spreadsheets/d/1yDAaXNsi4Mr5FtRQL4tbmSdIzhx6_m4wkOD7IG-k_eo/edit#gid=1336395716"", ""Science!M:N""), 2, FALSE)"),"#N/A")</f>
        <v>#N/A</v>
      </c>
      <c r="N59" s="1" t="str">
        <f t="shared" si="8"/>
        <v>.003</v>
      </c>
      <c r="O59" s="1" t="str">
        <f ca="1">IFERROR(__xludf.dummyfunction("VLOOKUP(N59, IMPORTRANGE(""https://docs.google.com/spreadsheets/d/1yDAaXNsi4Mr5FtRQL4tbmSdIzhx6_m4wkOD7IG-k_eo/edit#gid=1336395716"", ""Science!M:N""), 2, FALSE)"),"#N/A")</f>
        <v>#N/A</v>
      </c>
      <c r="P59" s="1" t="str">
        <f t="shared" si="9"/>
        <v>.004</v>
      </c>
      <c r="Q59" s="15" t="str">
        <f ca="1">IFERROR(__xludf.dummyfunction("VLOOKUP(P59, IMPORTRANGE(""https://docs.google.com/spreadsheets/d/1yDAaXNsi4Mr5FtRQL4tbmSdIzhx6_m4wkOD7IG-k_eo/edit#gid=1336395716"", ""Science!M:N""), 2, FALSE)"),"#N/A")</f>
        <v>#N/A</v>
      </c>
      <c r="R59" s="1" t="str">
        <f t="shared" si="10"/>
        <v>.005</v>
      </c>
      <c r="S59" s="15" t="str">
        <f ca="1">IFERROR(__xludf.dummyfunction("VLOOKUP(R59, IMPORTRANGE(""https://docs.google.com/spreadsheets/d/1yDAaXNsi4Mr5FtRQL4tbmSdIzhx6_m4wkOD7IG-k_eo/edit#gid=1336395716"", ""Science!M:N""), 2, FALSE)"),"#N/A")</f>
        <v>#N/A</v>
      </c>
      <c r="T59" s="1" t="str">
        <f t="shared" si="11"/>
        <v>.006</v>
      </c>
      <c r="U59" s="15" t="str">
        <f ca="1">IFERROR(__xludf.dummyfunction("VLOOKUP(T59, IMPORTRANGE(""https://docs.google.com/spreadsheets/d/1yDAaXNsi4Mr5FtRQL4tbmSdIzhx6_m4wkOD7IG-k_eo/edit#gid=1336395716"", ""Science!M:N""), 2, FALSE)"),"#N/A")</f>
        <v>#N/A</v>
      </c>
    </row>
    <row r="60" spans="1:21" ht="13.8">
      <c r="J60" s="1" t="str">
        <f t="shared" si="6"/>
        <v>.001</v>
      </c>
      <c r="K60" s="1" t="str">
        <f ca="1">IFERROR(__xludf.dummyfunction("VLOOKUP(J60, IMPORTRANGE(""https://docs.google.com/spreadsheets/d/1yDAaXNsi4Mr5FtRQL4tbmSdIzhx6_m4wkOD7IG-k_eo/edit#gid=1336395716"", ""Science!M:N""), 2, FALSE)"),"#N/A")</f>
        <v>#N/A</v>
      </c>
      <c r="L60" s="1" t="str">
        <f t="shared" si="7"/>
        <v>.002</v>
      </c>
      <c r="M60" s="1" t="str">
        <f ca="1">IFERROR(__xludf.dummyfunction("VLOOKUP(L60, IMPORTRANGE(""https://docs.google.com/spreadsheets/d/1yDAaXNsi4Mr5FtRQL4tbmSdIzhx6_m4wkOD7IG-k_eo/edit#gid=1336395716"", ""Science!M:N""), 2, FALSE)"),"#N/A")</f>
        <v>#N/A</v>
      </c>
      <c r="N60" s="1" t="str">
        <f t="shared" si="8"/>
        <v>.003</v>
      </c>
      <c r="O60" s="1" t="str">
        <f ca="1">IFERROR(__xludf.dummyfunction("VLOOKUP(N60, IMPORTRANGE(""https://docs.google.com/spreadsheets/d/1yDAaXNsi4Mr5FtRQL4tbmSdIzhx6_m4wkOD7IG-k_eo/edit#gid=1336395716"", ""Science!M:N""), 2, FALSE)"),"#N/A")</f>
        <v>#N/A</v>
      </c>
      <c r="P60" s="1" t="str">
        <f t="shared" si="9"/>
        <v>.004</v>
      </c>
      <c r="Q60" s="15" t="str">
        <f ca="1">IFERROR(__xludf.dummyfunction("VLOOKUP(P60, IMPORTRANGE(""https://docs.google.com/spreadsheets/d/1yDAaXNsi4Mr5FtRQL4tbmSdIzhx6_m4wkOD7IG-k_eo/edit#gid=1336395716"", ""Science!M:N""), 2, FALSE)"),"#N/A")</f>
        <v>#N/A</v>
      </c>
      <c r="R60" s="1" t="str">
        <f t="shared" si="10"/>
        <v>.005</v>
      </c>
      <c r="S60" s="15" t="str">
        <f ca="1">IFERROR(__xludf.dummyfunction("VLOOKUP(R60, IMPORTRANGE(""https://docs.google.com/spreadsheets/d/1yDAaXNsi4Mr5FtRQL4tbmSdIzhx6_m4wkOD7IG-k_eo/edit#gid=1336395716"", ""Science!M:N""), 2, FALSE)"),"#N/A")</f>
        <v>#N/A</v>
      </c>
      <c r="T60" s="1" t="str">
        <f t="shared" si="11"/>
        <v>.006</v>
      </c>
      <c r="U60" s="15" t="str">
        <f ca="1">IFERROR(__xludf.dummyfunction("VLOOKUP(T60, IMPORTRANGE(""https://docs.google.com/spreadsheets/d/1yDAaXNsi4Mr5FtRQL4tbmSdIzhx6_m4wkOD7IG-k_eo/edit#gid=1336395716"", ""Science!M:N""), 2, FALSE)"),"#N/A")</f>
        <v>#N/A</v>
      </c>
    </row>
    <row r="61" spans="1:21" ht="13.8">
      <c r="J61" s="1" t="str">
        <f t="shared" si="6"/>
        <v>.001</v>
      </c>
      <c r="K61" s="1" t="str">
        <f ca="1">IFERROR(__xludf.dummyfunction("VLOOKUP(J61, IMPORTRANGE(""https://docs.google.com/spreadsheets/d/1yDAaXNsi4Mr5FtRQL4tbmSdIzhx6_m4wkOD7IG-k_eo/edit#gid=1336395716"", ""Science!M:N""), 2, FALSE)"),"#N/A")</f>
        <v>#N/A</v>
      </c>
      <c r="L61" s="1" t="str">
        <f t="shared" si="7"/>
        <v>.002</v>
      </c>
      <c r="M61" s="1" t="str">
        <f ca="1">IFERROR(__xludf.dummyfunction("VLOOKUP(L61, IMPORTRANGE(""https://docs.google.com/spreadsheets/d/1yDAaXNsi4Mr5FtRQL4tbmSdIzhx6_m4wkOD7IG-k_eo/edit#gid=1336395716"", ""Science!M:N""), 2, FALSE)"),"#N/A")</f>
        <v>#N/A</v>
      </c>
      <c r="N61" s="1" t="str">
        <f t="shared" si="8"/>
        <v>.003</v>
      </c>
      <c r="O61" s="1" t="str">
        <f ca="1">IFERROR(__xludf.dummyfunction("VLOOKUP(N61, IMPORTRANGE(""https://docs.google.com/spreadsheets/d/1yDAaXNsi4Mr5FtRQL4tbmSdIzhx6_m4wkOD7IG-k_eo/edit#gid=1336395716"", ""Science!M:N""), 2, FALSE)"),"#N/A")</f>
        <v>#N/A</v>
      </c>
      <c r="P61" s="1" t="str">
        <f t="shared" si="9"/>
        <v>.004</v>
      </c>
      <c r="Q61" s="15" t="str">
        <f ca="1">IFERROR(__xludf.dummyfunction("VLOOKUP(P61, IMPORTRANGE(""https://docs.google.com/spreadsheets/d/1yDAaXNsi4Mr5FtRQL4tbmSdIzhx6_m4wkOD7IG-k_eo/edit#gid=1336395716"", ""Science!M:N""), 2, FALSE)"),"#N/A")</f>
        <v>#N/A</v>
      </c>
      <c r="R61" s="1" t="str">
        <f t="shared" si="10"/>
        <v>.005</v>
      </c>
      <c r="S61" s="15" t="str">
        <f ca="1">IFERROR(__xludf.dummyfunction("VLOOKUP(R61, IMPORTRANGE(""https://docs.google.com/spreadsheets/d/1yDAaXNsi4Mr5FtRQL4tbmSdIzhx6_m4wkOD7IG-k_eo/edit#gid=1336395716"", ""Science!M:N""), 2, FALSE)"),"#N/A")</f>
        <v>#N/A</v>
      </c>
      <c r="T61" s="1" t="str">
        <f t="shared" si="11"/>
        <v>.006</v>
      </c>
      <c r="U61" s="15" t="str">
        <f ca="1">IFERROR(__xludf.dummyfunction("VLOOKUP(T61, IMPORTRANGE(""https://docs.google.com/spreadsheets/d/1yDAaXNsi4Mr5FtRQL4tbmSdIzhx6_m4wkOD7IG-k_eo/edit#gid=1336395716"", ""Science!M:N""), 2, FALSE)"),"#N/A")</f>
        <v>#N/A</v>
      </c>
    </row>
    <row r="62" spans="1:21" ht="13.8">
      <c r="J62" s="1" t="str">
        <f t="shared" si="6"/>
        <v>.001</v>
      </c>
      <c r="K62" s="1" t="str">
        <f ca="1">IFERROR(__xludf.dummyfunction("VLOOKUP(J62, IMPORTRANGE(""https://docs.google.com/spreadsheets/d/1yDAaXNsi4Mr5FtRQL4tbmSdIzhx6_m4wkOD7IG-k_eo/edit#gid=1336395716"", ""Science!M:N""), 2, FALSE)"),"#N/A")</f>
        <v>#N/A</v>
      </c>
      <c r="L62" s="1" t="str">
        <f t="shared" si="7"/>
        <v>.002</v>
      </c>
      <c r="M62" s="1" t="str">
        <f ca="1">IFERROR(__xludf.dummyfunction("VLOOKUP(L62, IMPORTRANGE(""https://docs.google.com/spreadsheets/d/1yDAaXNsi4Mr5FtRQL4tbmSdIzhx6_m4wkOD7IG-k_eo/edit#gid=1336395716"", ""Science!M:N""), 2, FALSE)"),"#N/A")</f>
        <v>#N/A</v>
      </c>
      <c r="N62" s="1" t="str">
        <f t="shared" si="8"/>
        <v>.003</v>
      </c>
      <c r="O62" s="1" t="str">
        <f ca="1">IFERROR(__xludf.dummyfunction("VLOOKUP(N62, IMPORTRANGE(""https://docs.google.com/spreadsheets/d/1yDAaXNsi4Mr5FtRQL4tbmSdIzhx6_m4wkOD7IG-k_eo/edit#gid=1336395716"", ""Science!M:N""), 2, FALSE)"),"#N/A")</f>
        <v>#N/A</v>
      </c>
      <c r="P62" s="1" t="str">
        <f t="shared" si="9"/>
        <v>.004</v>
      </c>
      <c r="Q62" s="15" t="str">
        <f ca="1">IFERROR(__xludf.dummyfunction("VLOOKUP(P62, IMPORTRANGE(""https://docs.google.com/spreadsheets/d/1yDAaXNsi4Mr5FtRQL4tbmSdIzhx6_m4wkOD7IG-k_eo/edit#gid=1336395716"", ""Science!M:N""), 2, FALSE)"),"#N/A")</f>
        <v>#N/A</v>
      </c>
      <c r="R62" s="1" t="str">
        <f t="shared" si="10"/>
        <v>.005</v>
      </c>
      <c r="S62" s="15" t="str">
        <f ca="1">IFERROR(__xludf.dummyfunction("VLOOKUP(R62, IMPORTRANGE(""https://docs.google.com/spreadsheets/d/1yDAaXNsi4Mr5FtRQL4tbmSdIzhx6_m4wkOD7IG-k_eo/edit#gid=1336395716"", ""Science!M:N""), 2, FALSE)"),"#N/A")</f>
        <v>#N/A</v>
      </c>
      <c r="T62" s="1" t="str">
        <f t="shared" si="11"/>
        <v>.006</v>
      </c>
      <c r="U62" s="15" t="str">
        <f ca="1">IFERROR(__xludf.dummyfunction("VLOOKUP(T62, IMPORTRANGE(""https://docs.google.com/spreadsheets/d/1yDAaXNsi4Mr5FtRQL4tbmSdIzhx6_m4wkOD7IG-k_eo/edit#gid=1336395716"", ""Science!M:N""), 2, FALSE)"),"#N/A")</f>
        <v>#N/A</v>
      </c>
    </row>
    <row r="63" spans="1:21" ht="13.8">
      <c r="J63" s="1" t="str">
        <f t="shared" si="6"/>
        <v>.001</v>
      </c>
      <c r="K63" s="1" t="str">
        <f ca="1">IFERROR(__xludf.dummyfunction("VLOOKUP(J63, IMPORTRANGE(""https://docs.google.com/spreadsheets/d/1yDAaXNsi4Mr5FtRQL4tbmSdIzhx6_m4wkOD7IG-k_eo/edit#gid=1336395716"", ""Science!M:N""), 2, FALSE)"),"#N/A")</f>
        <v>#N/A</v>
      </c>
      <c r="L63" s="1" t="str">
        <f t="shared" si="7"/>
        <v>.002</v>
      </c>
      <c r="M63" s="1" t="str">
        <f ca="1">IFERROR(__xludf.dummyfunction("VLOOKUP(L63, IMPORTRANGE(""https://docs.google.com/spreadsheets/d/1yDAaXNsi4Mr5FtRQL4tbmSdIzhx6_m4wkOD7IG-k_eo/edit#gid=1336395716"", ""Science!M:N""), 2, FALSE)"),"#N/A")</f>
        <v>#N/A</v>
      </c>
      <c r="N63" s="1" t="str">
        <f t="shared" si="8"/>
        <v>.003</v>
      </c>
      <c r="O63" s="1" t="str">
        <f ca="1">IFERROR(__xludf.dummyfunction("VLOOKUP(N63, IMPORTRANGE(""https://docs.google.com/spreadsheets/d/1yDAaXNsi4Mr5FtRQL4tbmSdIzhx6_m4wkOD7IG-k_eo/edit#gid=1336395716"", ""Science!M:N""), 2, FALSE)"),"#N/A")</f>
        <v>#N/A</v>
      </c>
      <c r="P63" s="1" t="str">
        <f t="shared" si="9"/>
        <v>.004</v>
      </c>
      <c r="Q63" s="15" t="str">
        <f ca="1">IFERROR(__xludf.dummyfunction("VLOOKUP(P63, IMPORTRANGE(""https://docs.google.com/spreadsheets/d/1yDAaXNsi4Mr5FtRQL4tbmSdIzhx6_m4wkOD7IG-k_eo/edit#gid=1336395716"", ""Science!M:N""), 2, FALSE)"),"#N/A")</f>
        <v>#N/A</v>
      </c>
      <c r="R63" s="1" t="str">
        <f t="shared" si="10"/>
        <v>.005</v>
      </c>
      <c r="S63" s="15" t="str">
        <f ca="1">IFERROR(__xludf.dummyfunction("VLOOKUP(R63, IMPORTRANGE(""https://docs.google.com/spreadsheets/d/1yDAaXNsi4Mr5FtRQL4tbmSdIzhx6_m4wkOD7IG-k_eo/edit#gid=1336395716"", ""Science!M:N""), 2, FALSE)"),"#N/A")</f>
        <v>#N/A</v>
      </c>
      <c r="T63" s="1" t="str">
        <f t="shared" si="11"/>
        <v>.006</v>
      </c>
      <c r="U63" s="15" t="str">
        <f ca="1">IFERROR(__xludf.dummyfunction("VLOOKUP(T63, IMPORTRANGE(""https://docs.google.com/spreadsheets/d/1yDAaXNsi4Mr5FtRQL4tbmSdIzhx6_m4wkOD7IG-k_eo/edit#gid=1336395716"", ""Science!M:N""), 2, FALSE)"),"#N/A")</f>
        <v>#N/A</v>
      </c>
    </row>
    <row r="64" spans="1:21" ht="13.8">
      <c r="E64" s="1"/>
      <c r="H64" s="1"/>
      <c r="J64" s="1" t="str">
        <f t="shared" si="6"/>
        <v>.001</v>
      </c>
      <c r="K64" s="1" t="str">
        <f ca="1">IFERROR(__xludf.dummyfunction("VLOOKUP(J64, IMPORTRANGE(""https://docs.google.com/spreadsheets/d/1yDAaXNsi4Mr5FtRQL4tbmSdIzhx6_m4wkOD7IG-k_eo/edit#gid=1336395716"", ""Science!M:N""), 2, FALSE)"),"#N/A")</f>
        <v>#N/A</v>
      </c>
      <c r="L64" s="1" t="str">
        <f t="shared" si="7"/>
        <v>.002</v>
      </c>
      <c r="M64" s="1" t="str">
        <f ca="1">IFERROR(__xludf.dummyfunction("VLOOKUP(L64, IMPORTRANGE(""https://docs.google.com/spreadsheets/d/1yDAaXNsi4Mr5FtRQL4tbmSdIzhx6_m4wkOD7IG-k_eo/edit#gid=1336395716"", ""Science!M:N""), 2, FALSE)"),"#N/A")</f>
        <v>#N/A</v>
      </c>
      <c r="N64" s="1" t="str">
        <f t="shared" si="8"/>
        <v>.003</v>
      </c>
      <c r="O64" s="1" t="str">
        <f ca="1">IFERROR(__xludf.dummyfunction("VLOOKUP(N64, IMPORTRANGE(""https://docs.google.com/spreadsheets/d/1yDAaXNsi4Mr5FtRQL4tbmSdIzhx6_m4wkOD7IG-k_eo/edit#gid=1336395716"", ""Science!M:N""), 2, FALSE)"),"#N/A")</f>
        <v>#N/A</v>
      </c>
      <c r="P64" s="1" t="str">
        <f t="shared" si="9"/>
        <v>.004</v>
      </c>
      <c r="Q64" s="15" t="str">
        <f ca="1">IFERROR(__xludf.dummyfunction("VLOOKUP(P64, IMPORTRANGE(""https://docs.google.com/spreadsheets/d/1yDAaXNsi4Mr5FtRQL4tbmSdIzhx6_m4wkOD7IG-k_eo/edit#gid=1336395716"", ""Science!M:N""), 2, FALSE)"),"#N/A")</f>
        <v>#N/A</v>
      </c>
      <c r="R64" s="1" t="str">
        <f t="shared" si="10"/>
        <v>.005</v>
      </c>
      <c r="S64" s="15" t="str">
        <f ca="1">IFERROR(__xludf.dummyfunction("VLOOKUP(R64, IMPORTRANGE(""https://docs.google.com/spreadsheets/d/1yDAaXNsi4Mr5FtRQL4tbmSdIzhx6_m4wkOD7IG-k_eo/edit#gid=1336395716"", ""Science!M:N""), 2, FALSE)"),"#N/A")</f>
        <v>#N/A</v>
      </c>
      <c r="T64" s="1" t="str">
        <f t="shared" si="11"/>
        <v>.006</v>
      </c>
      <c r="U64" s="15" t="str">
        <f ca="1">IFERROR(__xludf.dummyfunction("VLOOKUP(T64, IMPORTRANGE(""https://docs.google.com/spreadsheets/d/1yDAaXNsi4Mr5FtRQL4tbmSdIzhx6_m4wkOD7IG-k_eo/edit#gid=1336395716"", ""Science!M:N""), 2, FALSE)"),"#N/A")</f>
        <v>#N/A</v>
      </c>
    </row>
    <row r="65" spans="5:21" ht="13.8">
      <c r="E65" s="1"/>
      <c r="H65" s="1"/>
      <c r="J65" s="1" t="str">
        <f t="shared" si="6"/>
        <v>.001</v>
      </c>
      <c r="K65" s="1" t="str">
        <f ca="1">IFERROR(__xludf.dummyfunction("VLOOKUP(J65, IMPORTRANGE(""https://docs.google.com/spreadsheets/d/1yDAaXNsi4Mr5FtRQL4tbmSdIzhx6_m4wkOD7IG-k_eo/edit#gid=1336395716"", ""Science!M:N""), 2, FALSE)"),"#N/A")</f>
        <v>#N/A</v>
      </c>
      <c r="L65" s="1" t="str">
        <f t="shared" si="7"/>
        <v>.002</v>
      </c>
      <c r="M65" s="1" t="str">
        <f ca="1">IFERROR(__xludf.dummyfunction("VLOOKUP(L65, IMPORTRANGE(""https://docs.google.com/spreadsheets/d/1yDAaXNsi4Mr5FtRQL4tbmSdIzhx6_m4wkOD7IG-k_eo/edit#gid=1336395716"", ""Science!M:N""), 2, FALSE)"),"#N/A")</f>
        <v>#N/A</v>
      </c>
      <c r="N65" s="1" t="str">
        <f t="shared" si="8"/>
        <v>.003</v>
      </c>
      <c r="O65" s="1" t="str">
        <f ca="1">IFERROR(__xludf.dummyfunction("VLOOKUP(N65, IMPORTRANGE(""https://docs.google.com/spreadsheets/d/1yDAaXNsi4Mr5FtRQL4tbmSdIzhx6_m4wkOD7IG-k_eo/edit#gid=1336395716"", ""Science!M:N""), 2, FALSE)"),"#N/A")</f>
        <v>#N/A</v>
      </c>
      <c r="P65" s="1" t="str">
        <f t="shared" si="9"/>
        <v>.004</v>
      </c>
      <c r="Q65" s="15" t="str">
        <f ca="1">IFERROR(__xludf.dummyfunction("VLOOKUP(P65, IMPORTRANGE(""https://docs.google.com/spreadsheets/d/1yDAaXNsi4Mr5FtRQL4tbmSdIzhx6_m4wkOD7IG-k_eo/edit#gid=1336395716"", ""Science!M:N""), 2, FALSE)"),"#N/A")</f>
        <v>#N/A</v>
      </c>
      <c r="R65" s="1" t="str">
        <f t="shared" si="10"/>
        <v>.005</v>
      </c>
      <c r="S65" s="15" t="str">
        <f ca="1">IFERROR(__xludf.dummyfunction("VLOOKUP(R65, IMPORTRANGE(""https://docs.google.com/spreadsheets/d/1yDAaXNsi4Mr5FtRQL4tbmSdIzhx6_m4wkOD7IG-k_eo/edit#gid=1336395716"", ""Science!M:N""), 2, FALSE)"),"#N/A")</f>
        <v>#N/A</v>
      </c>
      <c r="T65" s="1" t="str">
        <f t="shared" si="11"/>
        <v>.006</v>
      </c>
      <c r="U65" s="15" t="str">
        <f ca="1">IFERROR(__xludf.dummyfunction("VLOOKUP(T65, IMPORTRANGE(""https://docs.google.com/spreadsheets/d/1yDAaXNsi4Mr5FtRQL4tbmSdIzhx6_m4wkOD7IG-k_eo/edit#gid=1336395716"", ""Science!M:N""), 2, FALSE)"),"#N/A")</f>
        <v>#N/A</v>
      </c>
    </row>
    <row r="66" spans="5:21" ht="13.8">
      <c r="E66" s="1"/>
      <c r="H66" s="1"/>
      <c r="J66" s="1" t="str">
        <f t="shared" si="6"/>
        <v>.001</v>
      </c>
      <c r="K66" s="1" t="str">
        <f ca="1">IFERROR(__xludf.dummyfunction("VLOOKUP(J66, IMPORTRANGE(""https://docs.google.com/spreadsheets/d/1yDAaXNsi4Mr5FtRQL4tbmSdIzhx6_m4wkOD7IG-k_eo/edit#gid=1336395716"", ""Science!M:N""), 2, FALSE)"),"#N/A")</f>
        <v>#N/A</v>
      </c>
      <c r="L66" s="1" t="str">
        <f t="shared" si="7"/>
        <v>.002</v>
      </c>
      <c r="M66" s="1" t="str">
        <f ca="1">IFERROR(__xludf.dummyfunction("VLOOKUP(L66, IMPORTRANGE(""https://docs.google.com/spreadsheets/d/1yDAaXNsi4Mr5FtRQL4tbmSdIzhx6_m4wkOD7IG-k_eo/edit#gid=1336395716"", ""Science!M:N""), 2, FALSE)"),"#N/A")</f>
        <v>#N/A</v>
      </c>
      <c r="N66" s="1" t="str">
        <f t="shared" si="8"/>
        <v>.003</v>
      </c>
      <c r="O66" s="1" t="str">
        <f ca="1">IFERROR(__xludf.dummyfunction("VLOOKUP(N66, IMPORTRANGE(""https://docs.google.com/spreadsheets/d/1yDAaXNsi4Mr5FtRQL4tbmSdIzhx6_m4wkOD7IG-k_eo/edit#gid=1336395716"", ""Science!M:N""), 2, FALSE)"),"#N/A")</f>
        <v>#N/A</v>
      </c>
      <c r="P66" s="1" t="str">
        <f t="shared" si="9"/>
        <v>.004</v>
      </c>
      <c r="Q66" s="15" t="str">
        <f ca="1">IFERROR(__xludf.dummyfunction("VLOOKUP(P66, IMPORTRANGE(""https://docs.google.com/spreadsheets/d/1yDAaXNsi4Mr5FtRQL4tbmSdIzhx6_m4wkOD7IG-k_eo/edit#gid=1336395716"", ""Science!M:N""), 2, FALSE)"),"#N/A")</f>
        <v>#N/A</v>
      </c>
      <c r="R66" s="1" t="str">
        <f t="shared" si="10"/>
        <v>.005</v>
      </c>
      <c r="S66" s="15" t="str">
        <f ca="1">IFERROR(__xludf.dummyfunction("VLOOKUP(R66, IMPORTRANGE(""https://docs.google.com/spreadsheets/d/1yDAaXNsi4Mr5FtRQL4tbmSdIzhx6_m4wkOD7IG-k_eo/edit#gid=1336395716"", ""Science!M:N""), 2, FALSE)"),"#N/A")</f>
        <v>#N/A</v>
      </c>
      <c r="T66" s="1" t="str">
        <f t="shared" si="11"/>
        <v>.006</v>
      </c>
      <c r="U66" s="15" t="str">
        <f ca="1">IFERROR(__xludf.dummyfunction("VLOOKUP(T66, IMPORTRANGE(""https://docs.google.com/spreadsheets/d/1yDAaXNsi4Mr5FtRQL4tbmSdIzhx6_m4wkOD7IG-k_eo/edit#gid=1336395716"", ""Science!M:N""), 2, FALSE)"),"#N/A")</f>
        <v>#N/A</v>
      </c>
    </row>
    <row r="67" spans="5:21" ht="13.8">
      <c r="E67" s="1"/>
      <c r="H67" s="1"/>
    </row>
    <row r="68" spans="5:21" ht="13.8">
      <c r="E68" s="1"/>
      <c r="H68" s="1"/>
    </row>
    <row r="69" spans="5:21" ht="13.8">
      <c r="E69" s="1"/>
      <c r="H69" s="1"/>
    </row>
    <row r="70" spans="5:21" ht="13.8">
      <c r="E70" s="1"/>
      <c r="H70" s="1"/>
    </row>
    <row r="71" spans="5:21" ht="13.8">
      <c r="E71" s="1"/>
      <c r="H71" s="1"/>
    </row>
    <row r="72" spans="5:21" ht="13.8">
      <c r="E72" s="1"/>
      <c r="H72" s="1"/>
    </row>
    <row r="73" spans="5:21" ht="13.8">
      <c r="E73" s="1"/>
      <c r="H73" s="1"/>
    </row>
    <row r="74" spans="5:21" ht="13.8">
      <c r="E74" s="1"/>
      <c r="H74" s="1"/>
    </row>
    <row r="75" spans="5:21" ht="13.8">
      <c r="E75" s="1"/>
      <c r="H75" s="1"/>
    </row>
    <row r="76" spans="5:21" ht="13.8">
      <c r="E76" s="1"/>
      <c r="H76" s="1"/>
    </row>
    <row r="77" spans="5:21" ht="13.8">
      <c r="E77" s="1"/>
      <c r="H77" s="1"/>
    </row>
    <row r="78" spans="5:21" ht="13.8">
      <c r="E78" s="1"/>
      <c r="H78" s="1"/>
    </row>
    <row r="79" spans="5:21" ht="13.8">
      <c r="E79" s="1"/>
      <c r="H79" s="1"/>
    </row>
    <row r="80" spans="5:21" ht="13.8">
      <c r="E80" s="1"/>
      <c r="H80" s="1"/>
    </row>
    <row r="81" spans="5:8" ht="13.8">
      <c r="E81" s="1"/>
      <c r="H81" s="1"/>
    </row>
    <row r="82" spans="5:8" ht="13.8">
      <c r="E82" s="1"/>
      <c r="H82" s="1"/>
    </row>
    <row r="83" spans="5:8" ht="13.8">
      <c r="E83" s="1"/>
      <c r="H83" s="1"/>
    </row>
    <row r="84" spans="5:8" ht="13.8">
      <c r="E84" s="1"/>
      <c r="H84" s="1"/>
    </row>
    <row r="85" spans="5:8" ht="13.8">
      <c r="E85" s="1"/>
      <c r="H85" s="1"/>
    </row>
    <row r="86" spans="5:8" ht="13.8">
      <c r="E86" s="1"/>
      <c r="H86" s="1"/>
    </row>
    <row r="87" spans="5:8" ht="13.8">
      <c r="E87" s="1"/>
      <c r="H87" s="1"/>
    </row>
    <row r="88" spans="5:8" ht="13.8">
      <c r="E88" s="1"/>
      <c r="H88" s="1"/>
    </row>
    <row r="89" spans="5:8" ht="13.8">
      <c r="E89" s="1"/>
      <c r="H89" s="1"/>
    </row>
    <row r="90" spans="5:8" ht="13.8">
      <c r="E90" s="1"/>
      <c r="H90" s="1"/>
    </row>
    <row r="91" spans="5:8" ht="13.8">
      <c r="E91" s="1"/>
      <c r="H91" s="1"/>
    </row>
    <row r="92" spans="5:8" ht="13.8">
      <c r="E92" s="1"/>
      <c r="H92" s="1"/>
    </row>
    <row r="93" spans="5:8" ht="13.8">
      <c r="E93" s="1"/>
      <c r="H93" s="1"/>
    </row>
    <row r="94" spans="5:8" ht="13.8">
      <c r="E94" s="1"/>
      <c r="H94" s="1"/>
    </row>
    <row r="95" spans="5:8" ht="13.8">
      <c r="E95" s="1"/>
      <c r="H95" s="1"/>
    </row>
    <row r="96" spans="5:8" ht="13.8">
      <c r="E96" s="1"/>
      <c r="H96" s="1"/>
    </row>
    <row r="97" spans="5:8" ht="13.8">
      <c r="E97" s="1"/>
      <c r="H97" s="1"/>
    </row>
    <row r="98" spans="5:8" ht="13.8">
      <c r="E98" s="1"/>
      <c r="H98" s="1"/>
    </row>
    <row r="99" spans="5:8" ht="13.8">
      <c r="E99" s="1"/>
      <c r="H99" s="1"/>
    </row>
    <row r="100" spans="5:8" ht="13.8">
      <c r="E100" s="1"/>
      <c r="H100" s="1"/>
    </row>
    <row r="101" spans="5:8" ht="13.8">
      <c r="E101" s="1"/>
      <c r="H101" s="1"/>
    </row>
    <row r="102" spans="5:8" ht="13.8">
      <c r="E102" s="1"/>
      <c r="H102" s="1"/>
    </row>
    <row r="103" spans="5:8" ht="13.8">
      <c r="E103" s="1"/>
      <c r="H103" s="1"/>
    </row>
    <row r="104" spans="5:8" ht="13.8">
      <c r="E104" s="1"/>
      <c r="H104" s="1"/>
    </row>
    <row r="105" spans="5:8" ht="13.8">
      <c r="E105" s="1"/>
      <c r="H105" s="1"/>
    </row>
    <row r="106" spans="5:8" ht="13.8">
      <c r="E106" s="1"/>
      <c r="H106" s="1"/>
    </row>
    <row r="107" spans="5:8" ht="13.8">
      <c r="E107" s="1"/>
      <c r="H107" s="1"/>
    </row>
    <row r="108" spans="5:8" ht="13.8">
      <c r="E108" s="1"/>
      <c r="H108" s="1"/>
    </row>
    <row r="109" spans="5:8" ht="13.8">
      <c r="E109" s="1"/>
      <c r="H109" s="1"/>
    </row>
    <row r="110" spans="5:8" ht="13.8">
      <c r="E110" s="1"/>
      <c r="H110" s="1"/>
    </row>
    <row r="111" spans="5:8" ht="13.8">
      <c r="E111" s="1"/>
      <c r="H111" s="1"/>
    </row>
    <row r="112" spans="5:8" ht="13.8">
      <c r="E112" s="1"/>
      <c r="H112" s="1"/>
    </row>
    <row r="113" spans="5:8" ht="13.8">
      <c r="E113" s="1"/>
      <c r="H113" s="1"/>
    </row>
    <row r="114" spans="5:8" ht="13.8">
      <c r="E114" s="1"/>
      <c r="H114" s="1"/>
    </row>
    <row r="115" spans="5:8" ht="13.8">
      <c r="E115" s="1"/>
      <c r="H115" s="1"/>
    </row>
    <row r="116" spans="5:8" ht="13.8">
      <c r="E116" s="1"/>
      <c r="H116" s="1"/>
    </row>
    <row r="117" spans="5:8" ht="13.8">
      <c r="E117" s="1"/>
      <c r="H117" s="1"/>
    </row>
    <row r="118" spans="5:8" ht="13.8">
      <c r="E118" s="1"/>
      <c r="H118" s="1"/>
    </row>
    <row r="119" spans="5:8" ht="13.8">
      <c r="E119" s="1"/>
      <c r="H119" s="1"/>
    </row>
    <row r="120" spans="5:8" ht="13.8">
      <c r="E120" s="1"/>
      <c r="H120" s="1"/>
    </row>
    <row r="121" spans="5:8" ht="13.8">
      <c r="E121" s="1"/>
      <c r="H121" s="1"/>
    </row>
    <row r="122" spans="5:8" ht="13.8">
      <c r="E122" s="1"/>
      <c r="H122" s="1"/>
    </row>
    <row r="123" spans="5:8" ht="13.8">
      <c r="E123" s="1"/>
      <c r="H123" s="1"/>
    </row>
    <row r="124" spans="5:8" ht="13.8">
      <c r="E124" s="1"/>
      <c r="H124" s="1"/>
    </row>
    <row r="125" spans="5:8" ht="13.8">
      <c r="E125" s="1"/>
      <c r="H125" s="1"/>
    </row>
    <row r="126" spans="5:8" ht="13.8">
      <c r="E126" s="1"/>
      <c r="H126" s="1"/>
    </row>
    <row r="127" spans="5:8" ht="13.8">
      <c r="E127" s="1"/>
      <c r="H127" s="1"/>
    </row>
    <row r="128" spans="5:8" ht="13.8">
      <c r="E128" s="1"/>
      <c r="H128" s="1"/>
    </row>
    <row r="129" spans="5:8" ht="13.8">
      <c r="E129" s="1"/>
      <c r="H129" s="1"/>
    </row>
    <row r="130" spans="5:8" ht="13.8">
      <c r="E130" s="1"/>
      <c r="H130" s="1"/>
    </row>
    <row r="131" spans="5:8" ht="13.8">
      <c r="E131" s="1"/>
      <c r="H131" s="1"/>
    </row>
    <row r="132" spans="5:8" ht="13.8">
      <c r="E132" s="1"/>
      <c r="H132" s="1"/>
    </row>
    <row r="133" spans="5:8" ht="13.8">
      <c r="E133" s="1"/>
      <c r="H133" s="1"/>
    </row>
    <row r="134" spans="5:8" ht="13.8">
      <c r="E134" s="1"/>
      <c r="H134" s="1"/>
    </row>
    <row r="135" spans="5:8" ht="13.8">
      <c r="E135" s="1"/>
      <c r="H135" s="1"/>
    </row>
    <row r="136" spans="5:8" ht="13.8">
      <c r="E136" s="1"/>
      <c r="H136" s="1"/>
    </row>
    <row r="137" spans="5:8" ht="13.8">
      <c r="E137" s="1"/>
      <c r="H137" s="1"/>
    </row>
    <row r="138" spans="5:8" ht="13.8">
      <c r="E138" s="1"/>
      <c r="H138" s="1"/>
    </row>
    <row r="139" spans="5:8" ht="13.8">
      <c r="E139" s="1"/>
      <c r="H139" s="1"/>
    </row>
    <row r="140" spans="5:8" ht="13.8">
      <c r="E140" s="1"/>
      <c r="H140" s="1"/>
    </row>
    <row r="141" spans="5:8" ht="13.8">
      <c r="E141" s="1"/>
      <c r="H141" s="1"/>
    </row>
    <row r="142" spans="5:8" ht="13.8">
      <c r="E142" s="1"/>
      <c r="H142" s="1"/>
    </row>
    <row r="143" spans="5:8" ht="13.8">
      <c r="E143" s="1"/>
      <c r="H143" s="1"/>
    </row>
    <row r="144" spans="5:8" ht="13.8">
      <c r="E144" s="1"/>
      <c r="H144" s="1"/>
    </row>
    <row r="145" spans="5:8" ht="13.8">
      <c r="E145" s="1"/>
      <c r="H145" s="1"/>
    </row>
    <row r="146" spans="5:8" ht="13.8">
      <c r="E146" s="1"/>
      <c r="H146" s="1"/>
    </row>
    <row r="147" spans="5:8" ht="13.8">
      <c r="E147" s="1"/>
      <c r="H147" s="1"/>
    </row>
    <row r="148" spans="5:8" ht="13.8">
      <c r="E148" s="1"/>
      <c r="H148" s="1"/>
    </row>
    <row r="149" spans="5:8" ht="13.8">
      <c r="E149" s="1"/>
      <c r="H149" s="1"/>
    </row>
    <row r="150" spans="5:8" ht="13.8">
      <c r="E150" s="1"/>
      <c r="H150" s="1"/>
    </row>
    <row r="151" spans="5:8" ht="13.8">
      <c r="E151" s="1"/>
      <c r="H151" s="1"/>
    </row>
    <row r="152" spans="5:8" ht="13.8">
      <c r="E152" s="1"/>
      <c r="H152" s="1"/>
    </row>
    <row r="153" spans="5:8" ht="13.8">
      <c r="E153" s="1"/>
      <c r="H153" s="1"/>
    </row>
    <row r="154" spans="5:8" ht="13.8">
      <c r="E154" s="1"/>
      <c r="H154" s="1"/>
    </row>
    <row r="155" spans="5:8" ht="13.8">
      <c r="E155" s="1"/>
      <c r="H155" s="1"/>
    </row>
    <row r="156" spans="5:8" ht="13.8">
      <c r="E156" s="1"/>
      <c r="H156" s="1"/>
    </row>
    <row r="157" spans="5:8" ht="13.8">
      <c r="E157" s="1"/>
      <c r="H157" s="1"/>
    </row>
    <row r="158" spans="5:8" ht="13.8">
      <c r="E158" s="1"/>
      <c r="H158" s="1"/>
    </row>
    <row r="159" spans="5:8" ht="13.8">
      <c r="E159" s="1"/>
      <c r="H159" s="1"/>
    </row>
    <row r="160" spans="5:8" ht="13.8">
      <c r="E160" s="1"/>
      <c r="H160" s="1"/>
    </row>
    <row r="161" spans="5:8" ht="13.8">
      <c r="E161" s="1"/>
      <c r="H161" s="1"/>
    </row>
    <row r="162" spans="5:8" ht="13.8">
      <c r="E162" s="1"/>
      <c r="H162" s="1"/>
    </row>
    <row r="163" spans="5:8" ht="13.8">
      <c r="E163" s="1"/>
      <c r="H163" s="1"/>
    </row>
    <row r="164" spans="5:8" ht="13.8">
      <c r="E164" s="1"/>
      <c r="H164" s="1"/>
    </row>
    <row r="165" spans="5:8" ht="13.8">
      <c r="E165" s="1"/>
      <c r="H165" s="1"/>
    </row>
    <row r="166" spans="5:8" ht="13.8">
      <c r="E166" s="1"/>
      <c r="H166" s="1"/>
    </row>
    <row r="167" spans="5:8" ht="13.8">
      <c r="E167" s="1"/>
      <c r="H167" s="1"/>
    </row>
    <row r="168" spans="5:8" ht="13.8">
      <c r="E168" s="1"/>
      <c r="H168" s="1"/>
    </row>
    <row r="169" spans="5:8" ht="13.8">
      <c r="E169" s="1"/>
      <c r="H169" s="1"/>
    </row>
    <row r="170" spans="5:8" ht="13.8">
      <c r="E170" s="1"/>
      <c r="H170" s="1"/>
    </row>
    <row r="171" spans="5:8" ht="13.8">
      <c r="E171" s="1"/>
      <c r="H171" s="1"/>
    </row>
    <row r="172" spans="5:8" ht="13.8">
      <c r="E172" s="1"/>
      <c r="H172" s="1"/>
    </row>
    <row r="173" spans="5:8" ht="13.8">
      <c r="E173" s="1"/>
      <c r="H173" s="1"/>
    </row>
    <row r="174" spans="5:8" ht="13.8">
      <c r="E174" s="1"/>
      <c r="H174" s="1"/>
    </row>
    <row r="175" spans="5:8" ht="13.8">
      <c r="E175" s="1"/>
      <c r="H175" s="1"/>
    </row>
    <row r="176" spans="5:8" ht="13.8">
      <c r="E176" s="1"/>
      <c r="H176" s="1"/>
    </row>
    <row r="177" spans="5:8" ht="13.8">
      <c r="E177" s="1"/>
      <c r="H177" s="1"/>
    </row>
    <row r="178" spans="5:8" ht="13.8">
      <c r="E178" s="1"/>
      <c r="H178" s="1"/>
    </row>
    <row r="179" spans="5:8" ht="13.8">
      <c r="E179" s="1"/>
      <c r="H179" s="1"/>
    </row>
    <row r="180" spans="5:8" ht="13.8">
      <c r="E180" s="1"/>
      <c r="H180" s="1"/>
    </row>
    <row r="181" spans="5:8" ht="13.8">
      <c r="E181" s="1"/>
      <c r="H181" s="1"/>
    </row>
    <row r="182" spans="5:8" ht="13.8">
      <c r="E182" s="1"/>
      <c r="H182" s="1"/>
    </row>
    <row r="183" spans="5:8" ht="13.8">
      <c r="E183" s="1"/>
      <c r="H183" s="1"/>
    </row>
    <row r="184" spans="5:8" ht="13.8">
      <c r="E184" s="1"/>
      <c r="H184" s="1"/>
    </row>
    <row r="185" spans="5:8" ht="13.8">
      <c r="E185" s="1"/>
      <c r="H185" s="1"/>
    </row>
    <row r="186" spans="5:8" ht="13.8">
      <c r="E186" s="1"/>
      <c r="H186" s="1"/>
    </row>
    <row r="187" spans="5:8" ht="13.8">
      <c r="E187" s="1"/>
      <c r="H187" s="1"/>
    </row>
    <row r="188" spans="5:8" ht="13.8">
      <c r="E188" s="1"/>
      <c r="H188" s="1"/>
    </row>
    <row r="189" spans="5:8" ht="13.8">
      <c r="E189" s="1"/>
      <c r="H189" s="1"/>
    </row>
    <row r="190" spans="5:8" ht="13.8">
      <c r="E190" s="1"/>
      <c r="H190" s="1"/>
    </row>
    <row r="191" spans="5:8" ht="13.8">
      <c r="E191" s="1"/>
      <c r="H191" s="1"/>
    </row>
    <row r="192" spans="5:8" ht="13.8">
      <c r="E192" s="1"/>
      <c r="H192" s="1"/>
    </row>
    <row r="193" spans="5:8" ht="13.8">
      <c r="E193" s="1"/>
      <c r="H193" s="1"/>
    </row>
    <row r="194" spans="5:8" ht="13.8">
      <c r="E194" s="1"/>
      <c r="H194" s="1"/>
    </row>
    <row r="195" spans="5:8" ht="13.8">
      <c r="E195" s="1"/>
      <c r="H195" s="1"/>
    </row>
    <row r="196" spans="5:8" ht="13.8">
      <c r="E196" s="1"/>
      <c r="H196" s="1"/>
    </row>
    <row r="197" spans="5:8" ht="13.8">
      <c r="E197" s="1"/>
      <c r="H197" s="1"/>
    </row>
    <row r="198" spans="5:8" ht="13.8">
      <c r="E198" s="1"/>
      <c r="H198" s="1"/>
    </row>
    <row r="199" spans="5:8" ht="13.8">
      <c r="E199" s="1"/>
      <c r="H199" s="1"/>
    </row>
    <row r="200" spans="5:8" ht="13.8">
      <c r="E200" s="1"/>
      <c r="H200" s="1"/>
    </row>
    <row r="201" spans="5:8" ht="13.8">
      <c r="E201" s="1"/>
      <c r="H201" s="1"/>
    </row>
    <row r="202" spans="5:8" ht="13.8">
      <c r="E202" s="1"/>
      <c r="H202" s="1"/>
    </row>
    <row r="203" spans="5:8" ht="13.8">
      <c r="E203" s="1"/>
      <c r="H203" s="1"/>
    </row>
    <row r="204" spans="5:8" ht="13.8">
      <c r="E204" s="1"/>
      <c r="H204" s="1"/>
    </row>
    <row r="205" spans="5:8" ht="13.8">
      <c r="E205" s="1"/>
      <c r="H205" s="1"/>
    </row>
    <row r="206" spans="5:8" ht="13.8">
      <c r="E206" s="1"/>
      <c r="H206" s="1"/>
    </row>
    <row r="207" spans="5:8" ht="13.8">
      <c r="E207" s="1"/>
      <c r="H207" s="1"/>
    </row>
    <row r="208" spans="5:8" ht="13.8">
      <c r="E208" s="1"/>
      <c r="H208" s="1"/>
    </row>
    <row r="209" spans="5:8" ht="13.8">
      <c r="E209" s="1"/>
      <c r="H209" s="1"/>
    </row>
    <row r="210" spans="5:8" ht="13.8">
      <c r="E210" s="1"/>
      <c r="H210" s="1"/>
    </row>
    <row r="211" spans="5:8" ht="13.8">
      <c r="E211" s="1"/>
      <c r="H211" s="1"/>
    </row>
    <row r="212" spans="5:8" ht="13.8">
      <c r="E212" s="1"/>
      <c r="H212" s="1"/>
    </row>
    <row r="213" spans="5:8" ht="13.8">
      <c r="E213" s="1"/>
      <c r="H213" s="1"/>
    </row>
    <row r="214" spans="5:8" ht="13.8">
      <c r="E214" s="1"/>
      <c r="H214" s="1"/>
    </row>
    <row r="215" spans="5:8" ht="13.8">
      <c r="E215" s="1"/>
      <c r="H215" s="1"/>
    </row>
    <row r="216" spans="5:8" ht="13.8">
      <c r="E216" s="1"/>
      <c r="H216" s="1"/>
    </row>
    <row r="217" spans="5:8" ht="13.8">
      <c r="E217" s="1"/>
      <c r="H217" s="1"/>
    </row>
    <row r="218" spans="5:8" ht="13.8">
      <c r="E218" s="1"/>
      <c r="H218" s="1"/>
    </row>
    <row r="219" spans="5:8" ht="13.8">
      <c r="E219" s="1"/>
      <c r="H219" s="1"/>
    </row>
    <row r="220" spans="5:8" ht="13.8">
      <c r="E220" s="1"/>
      <c r="H220" s="1"/>
    </row>
    <row r="221" spans="5:8" ht="13.8">
      <c r="E221" s="1"/>
      <c r="H221" s="1"/>
    </row>
    <row r="222" spans="5:8" ht="13.8">
      <c r="E222" s="1"/>
      <c r="H222" s="1"/>
    </row>
    <row r="223" spans="5:8" ht="13.8">
      <c r="E223" s="1"/>
      <c r="H223" s="1"/>
    </row>
    <row r="224" spans="5:8" ht="13.8">
      <c r="E224" s="1"/>
      <c r="H224" s="1"/>
    </row>
    <row r="225" spans="5:8" ht="13.8">
      <c r="E225" s="1"/>
      <c r="H225" s="1"/>
    </row>
    <row r="226" spans="5:8" ht="13.8">
      <c r="E226" s="1"/>
      <c r="H226" s="1"/>
    </row>
    <row r="227" spans="5:8" ht="13.8">
      <c r="E227" s="1"/>
      <c r="H227" s="1"/>
    </row>
    <row r="228" spans="5:8" ht="13.8">
      <c r="E228" s="1"/>
      <c r="H228" s="1"/>
    </row>
    <row r="229" spans="5:8" ht="13.8">
      <c r="E229" s="1"/>
      <c r="H229" s="1"/>
    </row>
    <row r="230" spans="5:8" ht="13.8">
      <c r="E230" s="1"/>
      <c r="H230" s="1"/>
    </row>
    <row r="231" spans="5:8" ht="13.8">
      <c r="E231" s="1"/>
      <c r="H231" s="1"/>
    </row>
    <row r="232" spans="5:8" ht="13.8">
      <c r="E232" s="1"/>
      <c r="H232" s="1"/>
    </row>
    <row r="233" spans="5:8" ht="13.8">
      <c r="E233" s="1"/>
      <c r="H233" s="1"/>
    </row>
    <row r="234" spans="5:8" ht="13.8">
      <c r="E234" s="1"/>
      <c r="H234" s="1"/>
    </row>
    <row r="235" spans="5:8" ht="13.8">
      <c r="E235" s="1"/>
      <c r="H235" s="1"/>
    </row>
    <row r="236" spans="5:8" ht="13.8">
      <c r="E236" s="1"/>
      <c r="H236" s="1"/>
    </row>
    <row r="237" spans="5:8" ht="13.8">
      <c r="E237" s="1"/>
      <c r="H237" s="1"/>
    </row>
    <row r="238" spans="5:8" ht="13.8">
      <c r="E238" s="1"/>
      <c r="H238" s="1"/>
    </row>
    <row r="239" spans="5:8" ht="13.8">
      <c r="E239" s="1"/>
      <c r="H239" s="1"/>
    </row>
    <row r="240" spans="5:8" ht="13.8">
      <c r="E240" s="1"/>
      <c r="H240" s="1"/>
    </row>
    <row r="241" spans="5:8" ht="13.8">
      <c r="E241" s="1"/>
      <c r="H241" s="1"/>
    </row>
    <row r="242" spans="5:8" ht="13.8">
      <c r="E242" s="1"/>
      <c r="H242" s="1"/>
    </row>
    <row r="243" spans="5:8" ht="13.8">
      <c r="E243" s="1"/>
      <c r="H243" s="1"/>
    </row>
    <row r="244" spans="5:8" ht="13.8">
      <c r="E244" s="1"/>
      <c r="H244" s="1"/>
    </row>
    <row r="245" spans="5:8" ht="13.8">
      <c r="E245" s="1"/>
      <c r="H245" s="1"/>
    </row>
    <row r="246" spans="5:8" ht="13.8">
      <c r="E246" s="1"/>
      <c r="H246" s="1"/>
    </row>
    <row r="247" spans="5:8" ht="13.8">
      <c r="E247" s="1"/>
      <c r="H247" s="1"/>
    </row>
    <row r="248" spans="5:8" ht="13.8">
      <c r="E248" s="1"/>
      <c r="H248" s="1"/>
    </row>
    <row r="249" spans="5:8" ht="13.8">
      <c r="E249" s="1"/>
      <c r="H249" s="1"/>
    </row>
    <row r="250" spans="5:8" ht="13.8">
      <c r="E250" s="1"/>
      <c r="H250" s="1"/>
    </row>
    <row r="251" spans="5:8" ht="13.8">
      <c r="E251" s="1"/>
      <c r="H251" s="1"/>
    </row>
    <row r="252" spans="5:8" ht="13.8">
      <c r="E252" s="1"/>
      <c r="H252" s="1"/>
    </row>
    <row r="253" spans="5:8" ht="13.8">
      <c r="E253" s="1"/>
      <c r="H253" s="1"/>
    </row>
    <row r="254" spans="5:8" ht="13.8">
      <c r="E254" s="1"/>
      <c r="H254" s="1"/>
    </row>
    <row r="255" spans="5:8" ht="13.8">
      <c r="E255" s="1"/>
      <c r="H255" s="1"/>
    </row>
    <row r="256" spans="5:8" ht="13.8">
      <c r="E256" s="1"/>
      <c r="H256" s="1"/>
    </row>
    <row r="257" spans="5:8" ht="13.8">
      <c r="E257" s="1"/>
      <c r="H257" s="1"/>
    </row>
    <row r="258" spans="5:8" ht="13.8">
      <c r="E258" s="1"/>
      <c r="H258" s="1"/>
    </row>
    <row r="259" spans="5:8" ht="13.8">
      <c r="E259" s="1"/>
      <c r="H259" s="1"/>
    </row>
    <row r="260" spans="5:8" ht="13.8">
      <c r="E260" s="1"/>
      <c r="H260" s="1"/>
    </row>
    <row r="261" spans="5:8" ht="13.8">
      <c r="E261" s="1"/>
      <c r="H261" s="1"/>
    </row>
    <row r="262" spans="5:8" ht="13.8">
      <c r="E262" s="1"/>
      <c r="H262" s="1"/>
    </row>
    <row r="263" spans="5:8" ht="13.8">
      <c r="E263" s="1"/>
      <c r="H263" s="1"/>
    </row>
    <row r="264" spans="5:8" ht="13.8">
      <c r="E264" s="1"/>
      <c r="H264" s="1"/>
    </row>
    <row r="265" spans="5:8" ht="13.8">
      <c r="E265" s="1"/>
      <c r="H265" s="1"/>
    </row>
    <row r="266" spans="5:8" ht="13.8">
      <c r="E266" s="1"/>
      <c r="H266" s="1"/>
    </row>
    <row r="267" spans="5:8" ht="13.8">
      <c r="E267" s="1"/>
      <c r="H267" s="1"/>
    </row>
    <row r="268" spans="5:8" ht="13.8">
      <c r="E268" s="1"/>
      <c r="H268" s="1"/>
    </row>
    <row r="269" spans="5:8" ht="13.8">
      <c r="E269" s="1"/>
      <c r="H269" s="1"/>
    </row>
    <row r="270" spans="5:8" ht="13.8">
      <c r="E270" s="1"/>
      <c r="H270" s="1"/>
    </row>
    <row r="271" spans="5:8" ht="13.8">
      <c r="E271" s="1"/>
      <c r="H271" s="1"/>
    </row>
    <row r="272" spans="5:8" ht="13.8">
      <c r="E272" s="1"/>
      <c r="H272" s="1"/>
    </row>
    <row r="273" spans="5:8" ht="13.8">
      <c r="E273" s="1"/>
      <c r="H273" s="1"/>
    </row>
    <row r="274" spans="5:8" ht="13.8">
      <c r="E274" s="1"/>
      <c r="H274" s="1"/>
    </row>
    <row r="275" spans="5:8" ht="13.8">
      <c r="E275" s="1"/>
      <c r="H275" s="1"/>
    </row>
    <row r="276" spans="5:8" ht="13.8">
      <c r="E276" s="1"/>
      <c r="H276" s="1"/>
    </row>
    <row r="277" spans="5:8" ht="13.8">
      <c r="E277" s="1"/>
      <c r="H277" s="1"/>
    </row>
    <row r="278" spans="5:8" ht="13.8">
      <c r="E278" s="1"/>
      <c r="H278" s="1"/>
    </row>
    <row r="279" spans="5:8" ht="13.8">
      <c r="E279" s="1"/>
      <c r="H279" s="1"/>
    </row>
    <row r="280" spans="5:8" ht="13.8">
      <c r="E280" s="1"/>
      <c r="H280" s="1"/>
    </row>
    <row r="281" spans="5:8" ht="13.8">
      <c r="E281" s="1"/>
      <c r="H281" s="1"/>
    </row>
    <row r="282" spans="5:8" ht="13.8">
      <c r="E282" s="1"/>
      <c r="H282" s="1"/>
    </row>
    <row r="283" spans="5:8" ht="13.8">
      <c r="E283" s="1"/>
      <c r="H283" s="1"/>
    </row>
    <row r="284" spans="5:8" ht="13.8">
      <c r="E284" s="1"/>
      <c r="H284" s="1"/>
    </row>
    <row r="285" spans="5:8" ht="13.8">
      <c r="E285" s="1"/>
      <c r="H285" s="1"/>
    </row>
    <row r="286" spans="5:8" ht="13.8">
      <c r="E286" s="1"/>
      <c r="H286" s="1"/>
    </row>
    <row r="287" spans="5:8" ht="13.8">
      <c r="E287" s="1"/>
      <c r="H287" s="1"/>
    </row>
    <row r="288" spans="5:8" ht="13.8">
      <c r="E288" s="1"/>
      <c r="H288" s="1"/>
    </row>
    <row r="289" spans="5:8" ht="13.8">
      <c r="E289" s="1"/>
      <c r="H289" s="1"/>
    </row>
    <row r="290" spans="5:8" ht="13.8">
      <c r="E290" s="1"/>
      <c r="H290" s="1"/>
    </row>
    <row r="291" spans="5:8" ht="13.8">
      <c r="E291" s="1"/>
      <c r="H291" s="1"/>
    </row>
    <row r="292" spans="5:8" ht="13.8">
      <c r="E292" s="1"/>
      <c r="H292" s="1"/>
    </row>
    <row r="293" spans="5:8" ht="13.8">
      <c r="E293" s="1"/>
      <c r="H293" s="1"/>
    </row>
    <row r="294" spans="5:8" ht="13.8">
      <c r="E294" s="1"/>
      <c r="H294" s="1"/>
    </row>
    <row r="295" spans="5:8" ht="13.8">
      <c r="E295" s="1"/>
      <c r="H295" s="1"/>
    </row>
    <row r="296" spans="5:8" ht="13.8">
      <c r="E296" s="1"/>
      <c r="H296" s="1"/>
    </row>
    <row r="297" spans="5:8" ht="13.8">
      <c r="E297" s="1"/>
      <c r="H297" s="1"/>
    </row>
    <row r="298" spans="5:8" ht="13.8">
      <c r="E298" s="1"/>
      <c r="H298" s="1"/>
    </row>
    <row r="299" spans="5:8" ht="13.8">
      <c r="E299" s="1"/>
      <c r="H299" s="1"/>
    </row>
    <row r="300" spans="5:8" ht="13.8">
      <c r="E300" s="1"/>
      <c r="H300" s="1"/>
    </row>
    <row r="301" spans="5:8" ht="13.8">
      <c r="E301" s="1"/>
      <c r="H301" s="1"/>
    </row>
    <row r="302" spans="5:8" ht="13.8">
      <c r="E302" s="1"/>
      <c r="H302" s="1"/>
    </row>
    <row r="303" spans="5:8" ht="13.8">
      <c r="E303" s="1"/>
      <c r="H303" s="1"/>
    </row>
    <row r="304" spans="5:8" ht="13.8">
      <c r="E304" s="1"/>
      <c r="H304" s="1"/>
    </row>
    <row r="305" spans="5:8" ht="13.8">
      <c r="E305" s="1"/>
      <c r="H305" s="1"/>
    </row>
    <row r="306" spans="5:8" ht="13.8">
      <c r="E306" s="1"/>
      <c r="H306" s="1"/>
    </row>
    <row r="307" spans="5:8" ht="13.8">
      <c r="E307" s="1"/>
      <c r="H307" s="1"/>
    </row>
    <row r="308" spans="5:8" ht="13.8">
      <c r="E308" s="1"/>
      <c r="H308" s="1"/>
    </row>
    <row r="309" spans="5:8" ht="13.8">
      <c r="E309" s="1"/>
      <c r="H309" s="1"/>
    </row>
    <row r="310" spans="5:8" ht="13.8">
      <c r="E310" s="1"/>
      <c r="H310" s="1"/>
    </row>
    <row r="311" spans="5:8" ht="13.8">
      <c r="E311" s="1"/>
      <c r="H311" s="1"/>
    </row>
    <row r="312" spans="5:8" ht="13.8">
      <c r="E312" s="1"/>
      <c r="H312" s="1"/>
    </row>
    <row r="313" spans="5:8" ht="13.8">
      <c r="E313" s="1"/>
      <c r="H313" s="1"/>
    </row>
    <row r="314" spans="5:8" ht="13.8">
      <c r="E314" s="1"/>
      <c r="H314" s="1"/>
    </row>
    <row r="315" spans="5:8" ht="13.8">
      <c r="E315" s="1"/>
      <c r="H315" s="1"/>
    </row>
    <row r="316" spans="5:8" ht="13.8">
      <c r="E316" s="1"/>
      <c r="H316" s="1"/>
    </row>
    <row r="317" spans="5:8" ht="13.8">
      <c r="E317" s="1"/>
      <c r="H317" s="1"/>
    </row>
    <row r="318" spans="5:8" ht="13.8">
      <c r="E318" s="1"/>
      <c r="H318" s="1"/>
    </row>
    <row r="319" spans="5:8" ht="13.8">
      <c r="E319" s="1"/>
      <c r="H319" s="1"/>
    </row>
    <row r="320" spans="5:8" ht="13.8">
      <c r="E320" s="1"/>
      <c r="H320" s="1"/>
    </row>
    <row r="321" spans="5:8" ht="13.8">
      <c r="E321" s="1"/>
      <c r="H321" s="1"/>
    </row>
    <row r="322" spans="5:8" ht="13.8">
      <c r="E322" s="1"/>
      <c r="H322" s="1"/>
    </row>
    <row r="323" spans="5:8" ht="13.8">
      <c r="E323" s="1"/>
      <c r="H323" s="1"/>
    </row>
    <row r="324" spans="5:8" ht="13.8">
      <c r="E324" s="1"/>
      <c r="H324" s="1"/>
    </row>
    <row r="325" spans="5:8" ht="13.8">
      <c r="E325" s="1"/>
      <c r="H325" s="1"/>
    </row>
    <row r="326" spans="5:8" ht="13.8">
      <c r="E326" s="1"/>
      <c r="H326" s="1"/>
    </row>
    <row r="327" spans="5:8" ht="13.8">
      <c r="E327" s="1"/>
      <c r="H327" s="1"/>
    </row>
    <row r="328" spans="5:8" ht="13.8">
      <c r="E328" s="1"/>
      <c r="H328" s="1"/>
    </row>
    <row r="329" spans="5:8" ht="13.8">
      <c r="E329" s="1"/>
      <c r="H329" s="1"/>
    </row>
    <row r="330" spans="5:8" ht="13.8">
      <c r="E330" s="1"/>
      <c r="H330" s="1"/>
    </row>
    <row r="331" spans="5:8" ht="13.8">
      <c r="E331" s="1"/>
      <c r="H331" s="1"/>
    </row>
    <row r="332" spans="5:8" ht="13.8">
      <c r="E332" s="1"/>
      <c r="H332" s="1"/>
    </row>
    <row r="333" spans="5:8" ht="13.8">
      <c r="E333" s="1"/>
      <c r="H333" s="1"/>
    </row>
    <row r="334" spans="5:8" ht="13.8">
      <c r="E334" s="1"/>
      <c r="H334" s="1"/>
    </row>
    <row r="335" spans="5:8" ht="13.8">
      <c r="E335" s="1"/>
      <c r="H335" s="1"/>
    </row>
    <row r="336" spans="5:8" ht="13.8">
      <c r="E336" s="1"/>
      <c r="H336" s="1"/>
    </row>
    <row r="337" spans="5:8" ht="13.8">
      <c r="E337" s="1"/>
      <c r="H337" s="1"/>
    </row>
    <row r="338" spans="5:8" ht="13.8">
      <c r="E338" s="1"/>
      <c r="H338" s="1"/>
    </row>
    <row r="339" spans="5:8" ht="13.8">
      <c r="E339" s="1"/>
      <c r="H339" s="1"/>
    </row>
    <row r="340" spans="5:8" ht="13.8">
      <c r="E340" s="1"/>
      <c r="H340" s="1"/>
    </row>
    <row r="341" spans="5:8" ht="13.8">
      <c r="E341" s="1"/>
      <c r="H341" s="1"/>
    </row>
    <row r="342" spans="5:8" ht="13.8">
      <c r="E342" s="1"/>
      <c r="H342" s="1"/>
    </row>
    <row r="343" spans="5:8" ht="13.8">
      <c r="E343" s="1"/>
      <c r="H343" s="1"/>
    </row>
    <row r="344" spans="5:8" ht="13.8">
      <c r="E344" s="1"/>
      <c r="H344" s="1"/>
    </row>
    <row r="345" spans="5:8" ht="13.8">
      <c r="E345" s="1"/>
      <c r="H345" s="1"/>
    </row>
    <row r="346" spans="5:8" ht="13.8">
      <c r="E346" s="1"/>
      <c r="H346" s="1"/>
    </row>
    <row r="347" spans="5:8" ht="13.8">
      <c r="E347" s="1"/>
      <c r="H347" s="1"/>
    </row>
    <row r="348" spans="5:8" ht="13.8">
      <c r="E348" s="1"/>
      <c r="H348" s="1"/>
    </row>
    <row r="349" spans="5:8" ht="13.8">
      <c r="E349" s="1"/>
      <c r="H349" s="1"/>
    </row>
    <row r="350" spans="5:8" ht="13.8">
      <c r="E350" s="1"/>
      <c r="H350" s="1"/>
    </row>
    <row r="351" spans="5:8" ht="13.8">
      <c r="E351" s="1"/>
      <c r="H351" s="1"/>
    </row>
    <row r="352" spans="5:8" ht="13.8">
      <c r="E352" s="1"/>
      <c r="H352" s="1"/>
    </row>
    <row r="353" spans="5:8" ht="13.8">
      <c r="E353" s="1"/>
      <c r="H353" s="1"/>
    </row>
    <row r="354" spans="5:8" ht="13.8">
      <c r="E354" s="1"/>
      <c r="H354" s="1"/>
    </row>
    <row r="355" spans="5:8" ht="13.8">
      <c r="E355" s="1"/>
      <c r="H355" s="1"/>
    </row>
    <row r="356" spans="5:8" ht="13.8">
      <c r="E356" s="1"/>
      <c r="H356" s="1"/>
    </row>
    <row r="357" spans="5:8" ht="13.8">
      <c r="E357" s="1"/>
      <c r="H357" s="1"/>
    </row>
    <row r="358" spans="5:8" ht="13.8">
      <c r="E358" s="1"/>
      <c r="H358" s="1"/>
    </row>
    <row r="359" spans="5:8" ht="13.8">
      <c r="E359" s="1"/>
      <c r="H359" s="1"/>
    </row>
    <row r="360" spans="5:8" ht="13.8">
      <c r="E360" s="1"/>
      <c r="H360" s="1"/>
    </row>
    <row r="361" spans="5:8" ht="13.8">
      <c r="E361" s="1"/>
      <c r="H361" s="1"/>
    </row>
    <row r="362" spans="5:8" ht="13.8">
      <c r="E362" s="1"/>
      <c r="H362" s="1"/>
    </row>
    <row r="363" spans="5:8" ht="13.8">
      <c r="E363" s="1"/>
      <c r="H363" s="1"/>
    </row>
    <row r="364" spans="5:8" ht="13.8">
      <c r="E364" s="1"/>
      <c r="H364" s="1"/>
    </row>
    <row r="365" spans="5:8" ht="13.8">
      <c r="E365" s="1"/>
      <c r="H365" s="1"/>
    </row>
    <row r="366" spans="5:8" ht="13.8">
      <c r="E366" s="1"/>
      <c r="H366" s="1"/>
    </row>
    <row r="367" spans="5:8" ht="13.8">
      <c r="E367" s="1"/>
      <c r="H367" s="1"/>
    </row>
    <row r="368" spans="5:8" ht="13.8">
      <c r="E368" s="1"/>
      <c r="H368" s="1"/>
    </row>
    <row r="369" spans="5:8" ht="13.8">
      <c r="E369" s="1"/>
      <c r="H369" s="1"/>
    </row>
    <row r="370" spans="5:8" ht="13.8">
      <c r="E370" s="1"/>
      <c r="H370" s="1"/>
    </row>
    <row r="371" spans="5:8" ht="13.8">
      <c r="E371" s="1"/>
      <c r="H371" s="1"/>
    </row>
    <row r="372" spans="5:8" ht="13.8">
      <c r="E372" s="1"/>
      <c r="H372" s="1"/>
    </row>
    <row r="373" spans="5:8" ht="13.8">
      <c r="E373" s="1"/>
      <c r="H373" s="1"/>
    </row>
    <row r="374" spans="5:8" ht="13.8">
      <c r="E374" s="1"/>
      <c r="H374" s="1"/>
    </row>
    <row r="375" spans="5:8" ht="13.8">
      <c r="E375" s="1"/>
      <c r="H375" s="1"/>
    </row>
    <row r="376" spans="5:8" ht="13.8">
      <c r="E376" s="1"/>
      <c r="H376" s="1"/>
    </row>
    <row r="377" spans="5:8" ht="13.8">
      <c r="E377" s="1"/>
      <c r="H377" s="1"/>
    </row>
    <row r="378" spans="5:8" ht="13.8">
      <c r="E378" s="1"/>
      <c r="H378" s="1"/>
    </row>
    <row r="379" spans="5:8" ht="13.8">
      <c r="E379" s="1"/>
      <c r="H379" s="1"/>
    </row>
    <row r="380" spans="5:8" ht="13.8">
      <c r="E380" s="1"/>
      <c r="H380" s="1"/>
    </row>
    <row r="381" spans="5:8" ht="13.8">
      <c r="E381" s="1"/>
      <c r="H381" s="1"/>
    </row>
    <row r="382" spans="5:8" ht="13.8">
      <c r="E382" s="1"/>
      <c r="H382" s="1"/>
    </row>
    <row r="383" spans="5:8" ht="13.8">
      <c r="E383" s="1"/>
      <c r="H383" s="1"/>
    </row>
    <row r="384" spans="5:8" ht="13.8">
      <c r="E384" s="1"/>
      <c r="H384" s="1"/>
    </row>
    <row r="385" spans="5:8" ht="13.8">
      <c r="E385" s="1"/>
      <c r="H385" s="1"/>
    </row>
    <row r="386" spans="5:8" ht="13.8">
      <c r="E386" s="1"/>
      <c r="H386" s="1"/>
    </row>
    <row r="387" spans="5:8" ht="13.8">
      <c r="E387" s="1"/>
      <c r="H387" s="1"/>
    </row>
    <row r="388" spans="5:8" ht="13.8">
      <c r="E388" s="1"/>
      <c r="H388" s="1"/>
    </row>
    <row r="389" spans="5:8" ht="13.8">
      <c r="E389" s="1"/>
      <c r="H389" s="1"/>
    </row>
    <row r="390" spans="5:8" ht="13.8">
      <c r="E390" s="1"/>
      <c r="H390" s="1"/>
    </row>
    <row r="391" spans="5:8" ht="13.8">
      <c r="E391" s="1"/>
      <c r="H391" s="1"/>
    </row>
    <row r="392" spans="5:8" ht="13.8">
      <c r="E392" s="1"/>
      <c r="H392" s="1"/>
    </row>
    <row r="393" spans="5:8" ht="13.8">
      <c r="E393" s="1"/>
      <c r="H393" s="1"/>
    </row>
    <row r="394" spans="5:8" ht="13.8">
      <c r="E394" s="1"/>
      <c r="H394" s="1"/>
    </row>
    <row r="395" spans="5:8" ht="13.8">
      <c r="E395" s="1"/>
      <c r="H395" s="1"/>
    </row>
    <row r="396" spans="5:8" ht="13.8">
      <c r="E396" s="1"/>
      <c r="H396" s="1"/>
    </row>
    <row r="397" spans="5:8" ht="13.8">
      <c r="E397" s="1"/>
      <c r="H397" s="1"/>
    </row>
    <row r="398" spans="5:8" ht="13.8">
      <c r="E398" s="1"/>
      <c r="H398" s="1"/>
    </row>
    <row r="399" spans="5:8" ht="13.8">
      <c r="E399" s="1"/>
      <c r="H399" s="1"/>
    </row>
    <row r="400" spans="5:8" ht="13.8">
      <c r="E400" s="1"/>
      <c r="H400" s="1"/>
    </row>
    <row r="401" spans="5:8" ht="13.8">
      <c r="E401" s="1"/>
      <c r="H401" s="1"/>
    </row>
    <row r="402" spans="5:8" ht="13.8">
      <c r="E402" s="1"/>
      <c r="H402" s="1"/>
    </row>
    <row r="403" spans="5:8" ht="13.8">
      <c r="E403" s="1"/>
      <c r="H403" s="1"/>
    </row>
    <row r="404" spans="5:8" ht="13.8">
      <c r="E404" s="1"/>
      <c r="H404" s="1"/>
    </row>
    <row r="405" spans="5:8" ht="13.8">
      <c r="E405" s="1"/>
      <c r="H405" s="1"/>
    </row>
    <row r="406" spans="5:8" ht="13.8">
      <c r="E406" s="1"/>
      <c r="H406" s="1"/>
    </row>
    <row r="407" spans="5:8" ht="13.8">
      <c r="E407" s="1"/>
      <c r="H407" s="1"/>
    </row>
    <row r="408" spans="5:8" ht="13.8">
      <c r="E408" s="1"/>
      <c r="H408" s="1"/>
    </row>
    <row r="409" spans="5:8" ht="13.8">
      <c r="E409" s="1"/>
      <c r="H409" s="1"/>
    </row>
    <row r="410" spans="5:8" ht="13.8">
      <c r="E410" s="1"/>
      <c r="H410" s="1"/>
    </row>
    <row r="411" spans="5:8" ht="13.8">
      <c r="E411" s="1"/>
      <c r="H411" s="1"/>
    </row>
    <row r="412" spans="5:8" ht="13.8">
      <c r="E412" s="1"/>
      <c r="H412" s="1"/>
    </row>
    <row r="413" spans="5:8" ht="13.8">
      <c r="E413" s="1"/>
      <c r="H413" s="1"/>
    </row>
    <row r="414" spans="5:8" ht="13.8">
      <c r="E414" s="1"/>
      <c r="H414" s="1"/>
    </row>
    <row r="415" spans="5:8" ht="13.8">
      <c r="E415" s="1"/>
      <c r="H415" s="1"/>
    </row>
    <row r="416" spans="5:8" ht="13.8">
      <c r="E416" s="1"/>
      <c r="H416" s="1"/>
    </row>
    <row r="417" spans="5:8" ht="13.8">
      <c r="E417" s="1"/>
      <c r="H417" s="1"/>
    </row>
    <row r="418" spans="5:8" ht="13.8">
      <c r="E418" s="1"/>
      <c r="H418" s="1"/>
    </row>
    <row r="419" spans="5:8" ht="13.8">
      <c r="E419" s="1"/>
      <c r="H419" s="1"/>
    </row>
    <row r="420" spans="5:8" ht="13.8">
      <c r="E420" s="1"/>
      <c r="H420" s="1"/>
    </row>
    <row r="421" spans="5:8" ht="13.8">
      <c r="E421" s="1"/>
      <c r="H421" s="1"/>
    </row>
    <row r="422" spans="5:8" ht="13.8">
      <c r="E422" s="1"/>
      <c r="H422" s="1"/>
    </row>
    <row r="423" spans="5:8" ht="13.8">
      <c r="E423" s="1"/>
      <c r="H423" s="1"/>
    </row>
    <row r="424" spans="5:8" ht="13.8">
      <c r="E424" s="1"/>
      <c r="H424" s="1"/>
    </row>
    <row r="425" spans="5:8" ht="13.8">
      <c r="E425" s="1"/>
      <c r="H425" s="1"/>
    </row>
    <row r="426" spans="5:8" ht="13.8">
      <c r="E426" s="1"/>
      <c r="H426" s="1"/>
    </row>
    <row r="427" spans="5:8" ht="13.8">
      <c r="E427" s="1"/>
      <c r="H427" s="1"/>
    </row>
    <row r="428" spans="5:8" ht="13.8">
      <c r="E428" s="1"/>
      <c r="H428" s="1"/>
    </row>
    <row r="429" spans="5:8" ht="13.8">
      <c r="E429" s="1"/>
      <c r="H429" s="1"/>
    </row>
    <row r="430" spans="5:8" ht="13.8">
      <c r="E430" s="1"/>
      <c r="H430" s="1"/>
    </row>
    <row r="431" spans="5:8" ht="13.8">
      <c r="E431" s="1"/>
      <c r="H431" s="1"/>
    </row>
    <row r="432" spans="5:8" ht="13.8">
      <c r="E432" s="1"/>
      <c r="H432" s="1"/>
    </row>
    <row r="433" spans="5:8" ht="13.8">
      <c r="E433" s="1"/>
      <c r="H433" s="1"/>
    </row>
    <row r="434" spans="5:8" ht="13.8">
      <c r="E434" s="1"/>
      <c r="H434" s="1"/>
    </row>
    <row r="435" spans="5:8" ht="13.8">
      <c r="E435" s="1"/>
      <c r="H435" s="1"/>
    </row>
    <row r="436" spans="5:8" ht="13.8">
      <c r="E436" s="1"/>
      <c r="H436" s="1"/>
    </row>
    <row r="437" spans="5:8" ht="13.8">
      <c r="E437" s="1"/>
      <c r="H437" s="1"/>
    </row>
    <row r="438" spans="5:8" ht="13.8">
      <c r="E438" s="1"/>
      <c r="H438" s="1"/>
    </row>
    <row r="439" spans="5:8" ht="13.8">
      <c r="E439" s="1"/>
      <c r="H439" s="1"/>
    </row>
    <row r="440" spans="5:8" ht="13.8">
      <c r="E440" s="1"/>
      <c r="H440" s="1"/>
    </row>
    <row r="441" spans="5:8" ht="13.8">
      <c r="E441" s="1"/>
      <c r="H441" s="1"/>
    </row>
    <row r="442" spans="5:8" ht="13.8">
      <c r="E442" s="1"/>
      <c r="H442" s="1"/>
    </row>
    <row r="443" spans="5:8" ht="13.8">
      <c r="E443" s="1"/>
      <c r="H443" s="1"/>
    </row>
    <row r="444" spans="5:8" ht="13.8">
      <c r="E444" s="1"/>
      <c r="H444" s="1"/>
    </row>
    <row r="445" spans="5:8" ht="13.8">
      <c r="E445" s="1"/>
      <c r="H445" s="1"/>
    </row>
    <row r="446" spans="5:8" ht="13.8">
      <c r="E446" s="1"/>
      <c r="H446" s="1"/>
    </row>
    <row r="447" spans="5:8" ht="13.8">
      <c r="E447" s="1"/>
      <c r="H447" s="1"/>
    </row>
    <row r="448" spans="5:8" ht="13.8">
      <c r="E448" s="1"/>
      <c r="H448" s="1"/>
    </row>
    <row r="449" spans="5:8" ht="13.8">
      <c r="E449" s="1"/>
      <c r="H449" s="1"/>
    </row>
    <row r="450" spans="5:8" ht="13.8">
      <c r="E450" s="1"/>
      <c r="H450" s="1"/>
    </row>
    <row r="451" spans="5:8" ht="13.8">
      <c r="E451" s="1"/>
      <c r="H451" s="1"/>
    </row>
    <row r="452" spans="5:8" ht="13.8">
      <c r="E452" s="1"/>
      <c r="H452" s="1"/>
    </row>
    <row r="453" spans="5:8" ht="13.8">
      <c r="E453" s="1"/>
      <c r="H453" s="1"/>
    </row>
    <row r="454" spans="5:8" ht="13.8">
      <c r="E454" s="1"/>
      <c r="H454" s="1"/>
    </row>
    <row r="455" spans="5:8" ht="13.8">
      <c r="E455" s="1"/>
      <c r="H455" s="1"/>
    </row>
    <row r="456" spans="5:8" ht="13.8">
      <c r="E456" s="1"/>
      <c r="H456" s="1"/>
    </row>
    <row r="457" spans="5:8" ht="13.8">
      <c r="E457" s="1"/>
      <c r="H457" s="1"/>
    </row>
    <row r="458" spans="5:8" ht="13.8">
      <c r="E458" s="1"/>
      <c r="H458" s="1"/>
    </row>
    <row r="459" spans="5:8" ht="13.8">
      <c r="E459" s="1"/>
      <c r="H459" s="1"/>
    </row>
    <row r="460" spans="5:8" ht="13.8">
      <c r="E460" s="1"/>
      <c r="H460" s="1"/>
    </row>
    <row r="461" spans="5:8" ht="13.8">
      <c r="E461" s="1"/>
      <c r="H461" s="1"/>
    </row>
    <row r="462" spans="5:8" ht="13.8">
      <c r="E462" s="1"/>
      <c r="H462" s="1"/>
    </row>
    <row r="463" spans="5:8" ht="13.8">
      <c r="E463" s="1"/>
      <c r="H463" s="1"/>
    </row>
    <row r="464" spans="5:8" ht="13.8">
      <c r="E464" s="1"/>
      <c r="H464" s="1"/>
    </row>
    <row r="465" spans="5:8" ht="13.8">
      <c r="E465" s="1"/>
      <c r="H465" s="1"/>
    </row>
    <row r="466" spans="5:8" ht="13.8">
      <c r="E466" s="1"/>
      <c r="H466" s="1"/>
    </row>
    <row r="467" spans="5:8" ht="13.8">
      <c r="E467" s="1"/>
      <c r="H467" s="1"/>
    </row>
    <row r="468" spans="5:8" ht="13.8">
      <c r="E468" s="1"/>
      <c r="H468" s="1"/>
    </row>
    <row r="469" spans="5:8" ht="13.8">
      <c r="E469" s="1"/>
      <c r="H469" s="1"/>
    </row>
    <row r="470" spans="5:8" ht="13.8">
      <c r="E470" s="1"/>
      <c r="H470" s="1"/>
    </row>
    <row r="471" spans="5:8" ht="13.8">
      <c r="E471" s="1"/>
      <c r="H471" s="1"/>
    </row>
    <row r="472" spans="5:8" ht="13.8">
      <c r="E472" s="1"/>
      <c r="H472" s="1"/>
    </row>
    <row r="473" spans="5:8" ht="13.8">
      <c r="E473" s="1"/>
      <c r="H473" s="1"/>
    </row>
    <row r="474" spans="5:8" ht="13.8">
      <c r="E474" s="1"/>
      <c r="H474" s="1"/>
    </row>
    <row r="475" spans="5:8" ht="13.8">
      <c r="E475" s="1"/>
      <c r="H475" s="1"/>
    </row>
    <row r="476" spans="5:8" ht="13.8">
      <c r="E476" s="1"/>
      <c r="H476" s="1"/>
    </row>
    <row r="477" spans="5:8" ht="13.8">
      <c r="E477" s="1"/>
      <c r="H477" s="1"/>
    </row>
    <row r="478" spans="5:8" ht="13.8">
      <c r="E478" s="1"/>
      <c r="H478" s="1"/>
    </row>
    <row r="479" spans="5:8" ht="13.8">
      <c r="E479" s="1"/>
      <c r="H479" s="1"/>
    </row>
    <row r="480" spans="5:8" ht="13.8">
      <c r="E480" s="1"/>
      <c r="H480" s="1"/>
    </row>
    <row r="481" spans="5:8" ht="13.8">
      <c r="E481" s="1"/>
      <c r="H481" s="1"/>
    </row>
    <row r="482" spans="5:8" ht="13.8">
      <c r="E482" s="1"/>
      <c r="H482" s="1"/>
    </row>
    <row r="483" spans="5:8" ht="13.8">
      <c r="E483" s="1"/>
      <c r="H483" s="1"/>
    </row>
    <row r="484" spans="5:8" ht="13.8">
      <c r="E484" s="1"/>
      <c r="H484" s="1"/>
    </row>
    <row r="485" spans="5:8" ht="13.8">
      <c r="E485" s="1"/>
      <c r="H485" s="1"/>
    </row>
    <row r="486" spans="5:8" ht="13.8">
      <c r="E486" s="1"/>
      <c r="H486" s="1"/>
    </row>
    <row r="487" spans="5:8" ht="13.8">
      <c r="E487" s="1"/>
      <c r="H487" s="1"/>
    </row>
    <row r="488" spans="5:8" ht="13.8">
      <c r="E488" s="1"/>
      <c r="H488" s="1"/>
    </row>
    <row r="489" spans="5:8" ht="13.8">
      <c r="E489" s="1"/>
      <c r="H489" s="1"/>
    </row>
    <row r="490" spans="5:8" ht="13.8">
      <c r="E490" s="1"/>
      <c r="H490" s="1"/>
    </row>
    <row r="491" spans="5:8" ht="13.8">
      <c r="E491" s="1"/>
      <c r="H491" s="1"/>
    </row>
    <row r="492" spans="5:8" ht="13.8">
      <c r="E492" s="1"/>
      <c r="H492" s="1"/>
    </row>
    <row r="493" spans="5:8" ht="13.8">
      <c r="E493" s="1"/>
      <c r="H493" s="1"/>
    </row>
    <row r="494" spans="5:8" ht="13.8">
      <c r="E494" s="1"/>
      <c r="H494" s="1"/>
    </row>
    <row r="495" spans="5:8" ht="13.8">
      <c r="E495" s="1"/>
      <c r="H495" s="1"/>
    </row>
    <row r="496" spans="5:8" ht="13.8">
      <c r="E496" s="1"/>
      <c r="H496" s="1"/>
    </row>
    <row r="497" spans="5:8" ht="13.8">
      <c r="E497" s="1"/>
      <c r="H497" s="1"/>
    </row>
    <row r="498" spans="5:8" ht="13.8">
      <c r="E498" s="1"/>
      <c r="H498" s="1"/>
    </row>
    <row r="499" spans="5:8" ht="13.8">
      <c r="E499" s="1"/>
      <c r="H499" s="1"/>
    </row>
    <row r="500" spans="5:8" ht="13.8">
      <c r="E500" s="1"/>
      <c r="H500" s="1"/>
    </row>
    <row r="501" spans="5:8" ht="13.8">
      <c r="E501" s="1"/>
      <c r="H501" s="1"/>
    </row>
    <row r="502" spans="5:8" ht="13.8">
      <c r="E502" s="1"/>
      <c r="H502" s="1"/>
    </row>
    <row r="503" spans="5:8" ht="13.8">
      <c r="E503" s="1"/>
      <c r="H503" s="1"/>
    </row>
    <row r="504" spans="5:8" ht="13.8">
      <c r="E504" s="1"/>
      <c r="H504" s="1"/>
    </row>
    <row r="505" spans="5:8" ht="13.8">
      <c r="E505" s="1"/>
      <c r="H505" s="1"/>
    </row>
    <row r="506" spans="5:8" ht="13.8">
      <c r="E506" s="1"/>
      <c r="H506" s="1"/>
    </row>
    <row r="507" spans="5:8" ht="13.8">
      <c r="E507" s="1"/>
      <c r="H507" s="1"/>
    </row>
    <row r="508" spans="5:8" ht="13.8">
      <c r="E508" s="1"/>
      <c r="H508" s="1"/>
    </row>
    <row r="509" spans="5:8" ht="13.8">
      <c r="E509" s="1"/>
      <c r="H509" s="1"/>
    </row>
    <row r="510" spans="5:8" ht="13.8">
      <c r="E510" s="1"/>
      <c r="H510" s="1"/>
    </row>
    <row r="511" spans="5:8" ht="13.8">
      <c r="E511" s="1"/>
      <c r="H511" s="1"/>
    </row>
    <row r="512" spans="5:8" ht="13.8">
      <c r="E512" s="1"/>
      <c r="H512" s="1"/>
    </row>
    <row r="513" spans="5:8" ht="13.8">
      <c r="E513" s="1"/>
      <c r="H513" s="1"/>
    </row>
    <row r="514" spans="5:8" ht="13.8">
      <c r="E514" s="1"/>
      <c r="H514" s="1"/>
    </row>
    <row r="515" spans="5:8" ht="13.8">
      <c r="E515" s="1"/>
      <c r="H515" s="1"/>
    </row>
    <row r="516" spans="5:8" ht="13.8">
      <c r="E516" s="1"/>
      <c r="H516" s="1"/>
    </row>
    <row r="517" spans="5:8" ht="13.8">
      <c r="E517" s="1"/>
      <c r="H517" s="1"/>
    </row>
    <row r="518" spans="5:8" ht="13.8">
      <c r="E518" s="1"/>
      <c r="H518" s="1"/>
    </row>
    <row r="519" spans="5:8" ht="13.8">
      <c r="E519" s="1"/>
      <c r="H519" s="1"/>
    </row>
    <row r="520" spans="5:8" ht="13.8">
      <c r="E520" s="1"/>
      <c r="H520" s="1"/>
    </row>
    <row r="521" spans="5:8" ht="13.8">
      <c r="E521" s="1"/>
      <c r="H521" s="1"/>
    </row>
    <row r="522" spans="5:8" ht="13.8">
      <c r="E522" s="1"/>
      <c r="H522" s="1"/>
    </row>
    <row r="523" spans="5:8" ht="13.8">
      <c r="E523" s="1"/>
      <c r="H523" s="1"/>
    </row>
    <row r="524" spans="5:8" ht="13.8">
      <c r="E524" s="1"/>
      <c r="H524" s="1"/>
    </row>
    <row r="525" spans="5:8" ht="13.8">
      <c r="E525" s="1"/>
      <c r="H525" s="1"/>
    </row>
    <row r="526" spans="5:8" ht="13.8">
      <c r="E526" s="1"/>
      <c r="H526" s="1"/>
    </row>
    <row r="527" spans="5:8" ht="13.8">
      <c r="E527" s="1"/>
      <c r="H527" s="1"/>
    </row>
    <row r="528" spans="5:8" ht="13.8">
      <c r="E528" s="1"/>
      <c r="H528" s="1"/>
    </row>
    <row r="529" spans="5:8" ht="13.8">
      <c r="E529" s="1"/>
      <c r="H529" s="1"/>
    </row>
    <row r="530" spans="5:8" ht="13.8">
      <c r="E530" s="1"/>
      <c r="H530" s="1"/>
    </row>
    <row r="531" spans="5:8" ht="13.8">
      <c r="E531" s="1"/>
      <c r="H531" s="1"/>
    </row>
    <row r="532" spans="5:8" ht="13.8">
      <c r="E532" s="1"/>
      <c r="H532" s="1"/>
    </row>
    <row r="533" spans="5:8" ht="13.8">
      <c r="E533" s="1"/>
      <c r="H533" s="1"/>
    </row>
    <row r="534" spans="5:8" ht="13.8">
      <c r="E534" s="1"/>
      <c r="H534" s="1"/>
    </row>
    <row r="535" spans="5:8" ht="13.8">
      <c r="E535" s="1"/>
      <c r="H535" s="1"/>
    </row>
    <row r="536" spans="5:8" ht="13.8">
      <c r="E536" s="1"/>
      <c r="H536" s="1"/>
    </row>
    <row r="537" spans="5:8" ht="13.8">
      <c r="E537" s="1"/>
      <c r="H537" s="1"/>
    </row>
    <row r="538" spans="5:8" ht="13.8">
      <c r="E538" s="1"/>
      <c r="H538" s="1"/>
    </row>
    <row r="539" spans="5:8" ht="13.8">
      <c r="E539" s="1"/>
      <c r="H539" s="1"/>
    </row>
    <row r="540" spans="5:8" ht="13.8">
      <c r="E540" s="1"/>
      <c r="H540" s="1"/>
    </row>
    <row r="541" spans="5:8" ht="13.8">
      <c r="E541" s="1"/>
      <c r="H541" s="1"/>
    </row>
    <row r="542" spans="5:8" ht="13.8">
      <c r="E542" s="1"/>
      <c r="H542" s="1"/>
    </row>
    <row r="543" spans="5:8" ht="13.8">
      <c r="E543" s="1"/>
      <c r="H543" s="1"/>
    </row>
    <row r="544" spans="5:8" ht="13.8">
      <c r="E544" s="1"/>
      <c r="H544" s="1"/>
    </row>
    <row r="545" spans="5:8" ht="13.8">
      <c r="E545" s="1"/>
      <c r="H545" s="1"/>
    </row>
    <row r="546" spans="5:8" ht="13.8">
      <c r="E546" s="1"/>
      <c r="H546" s="1"/>
    </row>
    <row r="547" spans="5:8" ht="13.8">
      <c r="E547" s="1"/>
      <c r="H547" s="1"/>
    </row>
    <row r="548" spans="5:8" ht="13.8">
      <c r="E548" s="1"/>
      <c r="H548" s="1"/>
    </row>
    <row r="549" spans="5:8" ht="13.8">
      <c r="E549" s="1"/>
      <c r="H549" s="1"/>
    </row>
    <row r="550" spans="5:8" ht="13.8">
      <c r="E550" s="1"/>
      <c r="H550" s="1"/>
    </row>
    <row r="551" spans="5:8" ht="13.8">
      <c r="E551" s="1"/>
      <c r="H551" s="1"/>
    </row>
    <row r="552" spans="5:8" ht="13.8">
      <c r="E552" s="1"/>
      <c r="H552" s="1"/>
    </row>
    <row r="553" spans="5:8" ht="13.8">
      <c r="E553" s="1"/>
      <c r="H553" s="1"/>
    </row>
    <row r="554" spans="5:8" ht="13.8">
      <c r="E554" s="1"/>
      <c r="H554" s="1"/>
    </row>
    <row r="555" spans="5:8" ht="13.8">
      <c r="E555" s="1"/>
      <c r="H555" s="1"/>
    </row>
    <row r="556" spans="5:8" ht="13.8">
      <c r="E556" s="1"/>
      <c r="H556" s="1"/>
    </row>
    <row r="557" spans="5:8" ht="13.8">
      <c r="E557" s="1"/>
      <c r="H557" s="1"/>
    </row>
    <row r="558" spans="5:8" ht="13.8">
      <c r="E558" s="1"/>
      <c r="H558" s="1"/>
    </row>
    <row r="559" spans="5:8" ht="13.8">
      <c r="E559" s="1"/>
      <c r="H559" s="1"/>
    </row>
    <row r="560" spans="5:8" ht="13.8">
      <c r="E560" s="1"/>
      <c r="H560" s="1"/>
    </row>
    <row r="561" spans="5:8" ht="13.8">
      <c r="E561" s="1"/>
      <c r="H561" s="1"/>
    </row>
    <row r="562" spans="5:8" ht="13.8">
      <c r="E562" s="1"/>
      <c r="H562" s="1"/>
    </row>
    <row r="563" spans="5:8" ht="13.8">
      <c r="E563" s="1"/>
      <c r="H563" s="1"/>
    </row>
    <row r="564" spans="5:8" ht="13.8">
      <c r="E564" s="1"/>
      <c r="H564" s="1"/>
    </row>
    <row r="565" spans="5:8" ht="13.8">
      <c r="E565" s="1"/>
      <c r="H565" s="1"/>
    </row>
    <row r="566" spans="5:8" ht="13.8">
      <c r="E566" s="1"/>
      <c r="H566" s="1"/>
    </row>
    <row r="567" spans="5:8" ht="13.8">
      <c r="E567" s="1"/>
      <c r="H567" s="1"/>
    </row>
    <row r="568" spans="5:8" ht="13.8">
      <c r="E568" s="1"/>
      <c r="H568" s="1"/>
    </row>
    <row r="569" spans="5:8" ht="13.8">
      <c r="E569" s="1"/>
      <c r="H569" s="1"/>
    </row>
    <row r="570" spans="5:8" ht="13.8">
      <c r="E570" s="1"/>
      <c r="H570" s="1"/>
    </row>
    <row r="571" spans="5:8" ht="13.8">
      <c r="E571" s="1"/>
      <c r="H571" s="1"/>
    </row>
    <row r="572" spans="5:8" ht="13.8">
      <c r="E572" s="1"/>
      <c r="H572" s="1"/>
    </row>
    <row r="573" spans="5:8" ht="13.8">
      <c r="E573" s="1"/>
      <c r="H573" s="1"/>
    </row>
    <row r="574" spans="5:8" ht="13.8">
      <c r="E574" s="1"/>
      <c r="H574" s="1"/>
    </row>
    <row r="575" spans="5:8" ht="13.8">
      <c r="E575" s="1"/>
      <c r="H575" s="1"/>
    </row>
    <row r="576" spans="5:8" ht="13.8">
      <c r="E576" s="1"/>
      <c r="H576" s="1"/>
    </row>
    <row r="577" spans="5:8" ht="13.8">
      <c r="E577" s="1"/>
      <c r="H577" s="1"/>
    </row>
    <row r="578" spans="5:8" ht="13.8">
      <c r="E578" s="1"/>
      <c r="H578" s="1"/>
    </row>
    <row r="579" spans="5:8" ht="13.8">
      <c r="E579" s="1"/>
      <c r="H579" s="1"/>
    </row>
    <row r="580" spans="5:8" ht="13.8">
      <c r="E580" s="1"/>
      <c r="H580" s="1"/>
    </row>
    <row r="581" spans="5:8" ht="13.8">
      <c r="E581" s="1"/>
      <c r="H581" s="1"/>
    </row>
    <row r="582" spans="5:8" ht="13.8">
      <c r="E582" s="1"/>
      <c r="H582" s="1"/>
    </row>
    <row r="583" spans="5:8" ht="13.8">
      <c r="E583" s="1"/>
      <c r="H583" s="1"/>
    </row>
    <row r="584" spans="5:8" ht="13.8">
      <c r="E584" s="1"/>
      <c r="H584" s="1"/>
    </row>
    <row r="585" spans="5:8" ht="13.8">
      <c r="E585" s="1"/>
      <c r="H585" s="1"/>
    </row>
    <row r="586" spans="5:8" ht="13.8">
      <c r="E586" s="1"/>
      <c r="H586" s="1"/>
    </row>
    <row r="587" spans="5:8" ht="13.8">
      <c r="E587" s="1"/>
      <c r="H587" s="1"/>
    </row>
    <row r="588" spans="5:8" ht="13.8">
      <c r="E588" s="1"/>
      <c r="H588" s="1"/>
    </row>
    <row r="589" spans="5:8" ht="13.8">
      <c r="E589" s="1"/>
      <c r="H589" s="1"/>
    </row>
    <row r="590" spans="5:8" ht="13.8">
      <c r="E590" s="1"/>
      <c r="H590" s="1"/>
    </row>
    <row r="591" spans="5:8" ht="13.8">
      <c r="E591" s="1"/>
      <c r="H591" s="1"/>
    </row>
    <row r="592" spans="5:8" ht="13.8">
      <c r="E592" s="1"/>
      <c r="H592" s="1"/>
    </row>
    <row r="593" spans="5:8" ht="13.8">
      <c r="E593" s="1"/>
      <c r="H593" s="1"/>
    </row>
    <row r="594" spans="5:8" ht="13.8">
      <c r="E594" s="1"/>
      <c r="H594" s="1"/>
    </row>
    <row r="595" spans="5:8" ht="13.8">
      <c r="E595" s="1"/>
      <c r="H595" s="1"/>
    </row>
    <row r="596" spans="5:8" ht="13.8">
      <c r="E596" s="1"/>
      <c r="H596" s="1"/>
    </row>
    <row r="597" spans="5:8" ht="13.8">
      <c r="E597" s="1"/>
      <c r="H597" s="1"/>
    </row>
    <row r="598" spans="5:8" ht="13.8">
      <c r="E598" s="1"/>
      <c r="H598" s="1"/>
    </row>
    <row r="599" spans="5:8" ht="13.8">
      <c r="E599" s="1"/>
      <c r="H599" s="1"/>
    </row>
    <row r="600" spans="5:8" ht="13.8">
      <c r="E600" s="1"/>
      <c r="H600" s="1"/>
    </row>
    <row r="601" spans="5:8" ht="13.8">
      <c r="E601" s="1"/>
      <c r="H601" s="1"/>
    </row>
    <row r="602" spans="5:8" ht="13.8">
      <c r="E602" s="1"/>
      <c r="H602" s="1"/>
    </row>
    <row r="603" spans="5:8" ht="13.8">
      <c r="E603" s="1"/>
      <c r="H603" s="1"/>
    </row>
    <row r="604" spans="5:8" ht="13.8">
      <c r="E604" s="1"/>
      <c r="H604" s="1"/>
    </row>
    <row r="605" spans="5:8" ht="13.8">
      <c r="E605" s="1"/>
      <c r="H605" s="1"/>
    </row>
    <row r="606" spans="5:8" ht="13.8">
      <c r="E606" s="1"/>
      <c r="H606" s="1"/>
    </row>
    <row r="607" spans="5:8" ht="13.8">
      <c r="E607" s="1"/>
      <c r="H607" s="1"/>
    </row>
    <row r="608" spans="5:8" ht="13.8">
      <c r="E608" s="1"/>
      <c r="H608" s="1"/>
    </row>
    <row r="609" spans="5:8" ht="13.8">
      <c r="E609" s="1"/>
      <c r="H609" s="1"/>
    </row>
    <row r="610" spans="5:8" ht="13.8">
      <c r="E610" s="1"/>
      <c r="H610" s="1"/>
    </row>
    <row r="611" spans="5:8" ht="13.8">
      <c r="E611" s="1"/>
      <c r="H611" s="1"/>
    </row>
    <row r="612" spans="5:8" ht="13.8">
      <c r="E612" s="1"/>
      <c r="H612" s="1"/>
    </row>
    <row r="613" spans="5:8" ht="13.8">
      <c r="E613" s="1"/>
      <c r="H613" s="1"/>
    </row>
    <row r="614" spans="5:8" ht="13.8">
      <c r="E614" s="1"/>
      <c r="H614" s="1"/>
    </row>
    <row r="615" spans="5:8" ht="13.8">
      <c r="E615" s="1"/>
      <c r="H615" s="1"/>
    </row>
    <row r="616" spans="5:8" ht="13.8">
      <c r="E616" s="1"/>
      <c r="H616" s="1"/>
    </row>
    <row r="617" spans="5:8" ht="13.8">
      <c r="E617" s="1"/>
      <c r="H617" s="1"/>
    </row>
    <row r="618" spans="5:8" ht="13.8">
      <c r="E618" s="1"/>
      <c r="H618" s="1"/>
    </row>
    <row r="619" spans="5:8" ht="13.8">
      <c r="E619" s="1"/>
      <c r="H619" s="1"/>
    </row>
    <row r="620" spans="5:8" ht="13.8">
      <c r="E620" s="1"/>
      <c r="H620" s="1"/>
    </row>
    <row r="621" spans="5:8" ht="13.8">
      <c r="E621" s="1"/>
      <c r="H621" s="1"/>
    </row>
    <row r="622" spans="5:8" ht="13.8">
      <c r="E622" s="1"/>
      <c r="H622" s="1"/>
    </row>
    <row r="623" spans="5:8" ht="13.8">
      <c r="E623" s="1"/>
      <c r="H623" s="1"/>
    </row>
    <row r="624" spans="5:8" ht="13.8">
      <c r="E624" s="1"/>
      <c r="H624" s="1"/>
    </row>
    <row r="625" spans="5:8" ht="13.8">
      <c r="E625" s="1"/>
      <c r="H625" s="1"/>
    </row>
    <row r="626" spans="5:8" ht="13.8">
      <c r="E626" s="1"/>
      <c r="H626" s="1"/>
    </row>
    <row r="627" spans="5:8" ht="13.8">
      <c r="E627" s="1"/>
      <c r="H627" s="1"/>
    </row>
    <row r="628" spans="5:8" ht="13.8">
      <c r="E628" s="1"/>
      <c r="H628" s="1"/>
    </row>
    <row r="629" spans="5:8" ht="13.8">
      <c r="E629" s="1"/>
      <c r="H629" s="1"/>
    </row>
    <row r="630" spans="5:8" ht="13.8">
      <c r="E630" s="1"/>
      <c r="H630" s="1"/>
    </row>
    <row r="631" spans="5:8" ht="13.8">
      <c r="E631" s="1"/>
      <c r="H631" s="1"/>
    </row>
    <row r="632" spans="5:8" ht="13.8">
      <c r="E632" s="1"/>
      <c r="H632" s="1"/>
    </row>
    <row r="633" spans="5:8" ht="13.8">
      <c r="E633" s="1"/>
      <c r="H633" s="1"/>
    </row>
    <row r="634" spans="5:8" ht="13.8">
      <c r="E634" s="1"/>
      <c r="H634" s="1"/>
    </row>
    <row r="635" spans="5:8" ht="13.8">
      <c r="E635" s="1"/>
      <c r="H635" s="1"/>
    </row>
    <row r="636" spans="5:8" ht="13.8">
      <c r="E636" s="1"/>
      <c r="H636" s="1"/>
    </row>
    <row r="637" spans="5:8" ht="13.8">
      <c r="E637" s="1"/>
      <c r="H637" s="1"/>
    </row>
    <row r="638" spans="5:8" ht="13.8">
      <c r="E638" s="1"/>
      <c r="H638" s="1"/>
    </row>
    <row r="639" spans="5:8" ht="13.8">
      <c r="E639" s="1"/>
      <c r="H639" s="1"/>
    </row>
    <row r="640" spans="5:8" ht="13.8">
      <c r="E640" s="1"/>
      <c r="H640" s="1"/>
    </row>
    <row r="641" spans="5:8" ht="13.8">
      <c r="E641" s="1"/>
      <c r="H641" s="1"/>
    </row>
    <row r="642" spans="5:8" ht="13.8">
      <c r="E642" s="1"/>
      <c r="H642" s="1"/>
    </row>
    <row r="643" spans="5:8" ht="13.8">
      <c r="E643" s="1"/>
      <c r="H643" s="1"/>
    </row>
    <row r="644" spans="5:8" ht="13.8">
      <c r="E644" s="1"/>
      <c r="H644" s="1"/>
    </row>
    <row r="645" spans="5:8" ht="13.8">
      <c r="E645" s="1"/>
      <c r="H645" s="1"/>
    </row>
    <row r="646" spans="5:8" ht="13.8">
      <c r="E646" s="1"/>
      <c r="H646" s="1"/>
    </row>
    <row r="647" spans="5:8" ht="13.8">
      <c r="E647" s="1"/>
      <c r="H647" s="1"/>
    </row>
    <row r="648" spans="5:8" ht="13.8">
      <c r="E648" s="1"/>
      <c r="H648" s="1"/>
    </row>
    <row r="649" spans="5:8" ht="13.8">
      <c r="E649" s="1"/>
      <c r="H649" s="1"/>
    </row>
    <row r="650" spans="5:8" ht="13.8">
      <c r="E650" s="1"/>
      <c r="H650" s="1"/>
    </row>
    <row r="651" spans="5:8" ht="13.8">
      <c r="E651" s="1"/>
      <c r="H651" s="1"/>
    </row>
    <row r="652" spans="5:8" ht="13.8">
      <c r="E652" s="1"/>
      <c r="H652" s="1"/>
    </row>
    <row r="653" spans="5:8" ht="13.8">
      <c r="E653" s="1"/>
      <c r="H653" s="1"/>
    </row>
    <row r="654" spans="5:8" ht="13.8">
      <c r="E654" s="1"/>
      <c r="H654" s="1"/>
    </row>
    <row r="655" spans="5:8" ht="13.8">
      <c r="E655" s="1"/>
      <c r="H655" s="1"/>
    </row>
    <row r="656" spans="5:8" ht="13.8">
      <c r="E656" s="1"/>
      <c r="H656" s="1"/>
    </row>
    <row r="657" spans="5:8" ht="13.8">
      <c r="E657" s="1"/>
      <c r="H657" s="1"/>
    </row>
    <row r="658" spans="5:8" ht="13.8">
      <c r="E658" s="1"/>
      <c r="H658" s="1"/>
    </row>
    <row r="659" spans="5:8" ht="13.8">
      <c r="E659" s="1"/>
      <c r="H659" s="1"/>
    </row>
    <row r="660" spans="5:8" ht="13.8">
      <c r="E660" s="1"/>
      <c r="H660" s="1"/>
    </row>
    <row r="661" spans="5:8" ht="13.8">
      <c r="E661" s="1"/>
      <c r="H661" s="1"/>
    </row>
    <row r="662" spans="5:8" ht="13.8">
      <c r="E662" s="1"/>
      <c r="H662" s="1"/>
    </row>
    <row r="663" spans="5:8" ht="13.8">
      <c r="E663" s="1"/>
      <c r="H663" s="1"/>
    </row>
    <row r="664" spans="5:8" ht="13.8">
      <c r="E664" s="1"/>
      <c r="H664" s="1"/>
    </row>
    <row r="665" spans="5:8" ht="13.8">
      <c r="E665" s="1"/>
      <c r="H665" s="1"/>
    </row>
    <row r="666" spans="5:8" ht="13.8">
      <c r="E666" s="1"/>
      <c r="H666" s="1"/>
    </row>
    <row r="667" spans="5:8" ht="13.8">
      <c r="E667" s="1"/>
      <c r="H667" s="1"/>
    </row>
    <row r="668" spans="5:8" ht="13.8">
      <c r="E668" s="1"/>
      <c r="H668" s="1"/>
    </row>
    <row r="669" spans="5:8" ht="13.8">
      <c r="E669" s="1"/>
      <c r="H669" s="1"/>
    </row>
    <row r="670" spans="5:8" ht="13.8">
      <c r="E670" s="1"/>
      <c r="H670" s="1"/>
    </row>
    <row r="671" spans="5:8" ht="13.8">
      <c r="E671" s="1"/>
      <c r="H671" s="1"/>
    </row>
    <row r="672" spans="5:8" ht="13.8">
      <c r="E672" s="1"/>
      <c r="H672" s="1"/>
    </row>
    <row r="673" spans="5:8" ht="13.8">
      <c r="E673" s="1"/>
      <c r="H673" s="1"/>
    </row>
    <row r="674" spans="5:8" ht="13.8">
      <c r="E674" s="1"/>
      <c r="H674" s="1"/>
    </row>
    <row r="675" spans="5:8" ht="13.8">
      <c r="E675" s="1"/>
      <c r="H675" s="1"/>
    </row>
    <row r="676" spans="5:8" ht="13.8">
      <c r="E676" s="1"/>
      <c r="H676" s="1"/>
    </row>
    <row r="677" spans="5:8" ht="13.8">
      <c r="E677" s="1"/>
      <c r="H677" s="1"/>
    </row>
    <row r="678" spans="5:8" ht="13.8">
      <c r="E678" s="1"/>
      <c r="H678" s="1"/>
    </row>
    <row r="679" spans="5:8" ht="13.8">
      <c r="E679" s="1"/>
      <c r="H679" s="1"/>
    </row>
    <row r="680" spans="5:8" ht="13.8">
      <c r="E680" s="1"/>
      <c r="H680" s="1"/>
    </row>
    <row r="681" spans="5:8" ht="13.8">
      <c r="E681" s="1"/>
      <c r="H681" s="1"/>
    </row>
    <row r="682" spans="5:8" ht="13.8">
      <c r="E682" s="1"/>
      <c r="H682" s="1"/>
    </row>
    <row r="683" spans="5:8" ht="13.8">
      <c r="E683" s="1"/>
      <c r="H683" s="1"/>
    </row>
    <row r="684" spans="5:8" ht="13.8">
      <c r="E684" s="1"/>
      <c r="H684" s="1"/>
    </row>
    <row r="685" spans="5:8" ht="13.8">
      <c r="E685" s="1"/>
      <c r="H685" s="1"/>
    </row>
    <row r="686" spans="5:8" ht="13.8">
      <c r="E686" s="1"/>
      <c r="H686" s="1"/>
    </row>
    <row r="687" spans="5:8" ht="13.8">
      <c r="E687" s="1"/>
      <c r="H687" s="1"/>
    </row>
    <row r="688" spans="5:8" ht="13.8">
      <c r="E688" s="1"/>
      <c r="H688" s="1"/>
    </row>
    <row r="689" spans="5:8" ht="13.8">
      <c r="E689" s="1"/>
      <c r="H689" s="1"/>
    </row>
    <row r="690" spans="5:8" ht="13.8">
      <c r="E690" s="1"/>
      <c r="H690" s="1"/>
    </row>
    <row r="691" spans="5:8" ht="13.8">
      <c r="E691" s="1"/>
      <c r="H691" s="1"/>
    </row>
    <row r="692" spans="5:8" ht="13.8">
      <c r="E692" s="1"/>
      <c r="H692" s="1"/>
    </row>
    <row r="693" spans="5:8" ht="13.8">
      <c r="E693" s="1"/>
      <c r="H693" s="1"/>
    </row>
    <row r="694" spans="5:8" ht="13.8">
      <c r="E694" s="1"/>
      <c r="H694" s="1"/>
    </row>
    <row r="695" spans="5:8" ht="13.8">
      <c r="E695" s="1"/>
      <c r="H695" s="1"/>
    </row>
    <row r="696" spans="5:8" ht="13.8">
      <c r="E696" s="1"/>
      <c r="H696" s="1"/>
    </row>
    <row r="697" spans="5:8" ht="13.8">
      <c r="E697" s="1"/>
      <c r="H697" s="1"/>
    </row>
    <row r="698" spans="5:8" ht="13.8">
      <c r="E698" s="1"/>
      <c r="H698" s="1"/>
    </row>
    <row r="699" spans="5:8" ht="13.8">
      <c r="E699" s="1"/>
      <c r="H699" s="1"/>
    </row>
    <row r="700" spans="5:8" ht="13.8">
      <c r="E700" s="1"/>
      <c r="H700" s="1"/>
    </row>
    <row r="701" spans="5:8" ht="13.8">
      <c r="E701" s="1"/>
      <c r="H701" s="1"/>
    </row>
    <row r="702" spans="5:8" ht="13.8">
      <c r="E702" s="1"/>
      <c r="H702" s="1"/>
    </row>
    <row r="703" spans="5:8" ht="13.8">
      <c r="E703" s="1"/>
      <c r="H703" s="1"/>
    </row>
    <row r="704" spans="5:8" ht="13.8">
      <c r="E704" s="1"/>
      <c r="H704" s="1"/>
    </row>
    <row r="705" spans="5:8" ht="13.8">
      <c r="E705" s="1"/>
      <c r="H705" s="1"/>
    </row>
    <row r="706" spans="5:8" ht="13.8">
      <c r="E706" s="1"/>
      <c r="H706" s="1"/>
    </row>
    <row r="707" spans="5:8" ht="13.8">
      <c r="E707" s="1"/>
      <c r="H707" s="1"/>
    </row>
    <row r="708" spans="5:8" ht="13.8">
      <c r="E708" s="1"/>
      <c r="H708" s="1"/>
    </row>
    <row r="709" spans="5:8" ht="13.8">
      <c r="E709" s="1"/>
      <c r="H709" s="1"/>
    </row>
    <row r="710" spans="5:8" ht="13.8">
      <c r="E710" s="1"/>
      <c r="H710" s="1"/>
    </row>
    <row r="711" spans="5:8" ht="13.8">
      <c r="E711" s="1"/>
      <c r="H711" s="1"/>
    </row>
    <row r="712" spans="5:8" ht="13.8">
      <c r="E712" s="1"/>
      <c r="H712" s="1"/>
    </row>
    <row r="713" spans="5:8" ht="13.8">
      <c r="E713" s="1"/>
      <c r="H713" s="1"/>
    </row>
    <row r="714" spans="5:8" ht="13.8">
      <c r="E714" s="1"/>
      <c r="H714" s="1"/>
    </row>
    <row r="715" spans="5:8" ht="13.8">
      <c r="E715" s="1"/>
      <c r="H715" s="1"/>
    </row>
    <row r="716" spans="5:8" ht="13.8">
      <c r="E716" s="1"/>
      <c r="H716" s="1"/>
    </row>
    <row r="717" spans="5:8" ht="13.8">
      <c r="E717" s="1"/>
      <c r="H717" s="1"/>
    </row>
    <row r="718" spans="5:8" ht="13.8">
      <c r="E718" s="1"/>
      <c r="H718" s="1"/>
    </row>
    <row r="719" spans="5:8" ht="13.8">
      <c r="E719" s="1"/>
      <c r="H719" s="1"/>
    </row>
    <row r="720" spans="5:8" ht="13.8">
      <c r="E720" s="1"/>
      <c r="H720" s="1"/>
    </row>
    <row r="721" spans="5:8" ht="13.8">
      <c r="E721" s="1"/>
      <c r="H721" s="1"/>
    </row>
    <row r="722" spans="5:8" ht="13.8">
      <c r="E722" s="1"/>
      <c r="H722" s="1"/>
    </row>
    <row r="723" spans="5:8" ht="13.8">
      <c r="E723" s="1"/>
      <c r="H723" s="1"/>
    </row>
    <row r="724" spans="5:8" ht="13.8">
      <c r="E724" s="1"/>
      <c r="H724" s="1"/>
    </row>
    <row r="725" spans="5:8" ht="13.8">
      <c r="E725" s="1"/>
      <c r="H725" s="1"/>
    </row>
    <row r="726" spans="5:8" ht="13.8">
      <c r="E726" s="1"/>
      <c r="H726" s="1"/>
    </row>
    <row r="727" spans="5:8" ht="13.8">
      <c r="E727" s="1"/>
      <c r="H727" s="1"/>
    </row>
    <row r="728" spans="5:8" ht="13.8">
      <c r="E728" s="1"/>
      <c r="H728" s="1"/>
    </row>
    <row r="729" spans="5:8" ht="13.8">
      <c r="E729" s="1"/>
      <c r="H729" s="1"/>
    </row>
    <row r="730" spans="5:8" ht="13.8">
      <c r="E730" s="1"/>
      <c r="H730" s="1"/>
    </row>
    <row r="731" spans="5:8" ht="13.8">
      <c r="E731" s="1"/>
      <c r="H731" s="1"/>
    </row>
    <row r="732" spans="5:8" ht="13.8">
      <c r="E732" s="1"/>
      <c r="H732" s="1"/>
    </row>
    <row r="733" spans="5:8" ht="13.8">
      <c r="E733" s="1"/>
      <c r="H733" s="1"/>
    </row>
    <row r="734" spans="5:8" ht="13.8">
      <c r="E734" s="1"/>
      <c r="H734" s="1"/>
    </row>
    <row r="735" spans="5:8" ht="13.8">
      <c r="E735" s="1"/>
      <c r="H735" s="1"/>
    </row>
    <row r="736" spans="5:8" ht="13.8">
      <c r="E736" s="1"/>
      <c r="H736" s="1"/>
    </row>
    <row r="737" spans="5:8" ht="13.8">
      <c r="E737" s="1"/>
      <c r="H737" s="1"/>
    </row>
    <row r="738" spans="5:8" ht="13.8">
      <c r="E738" s="1"/>
      <c r="H738" s="1"/>
    </row>
    <row r="739" spans="5:8" ht="13.8">
      <c r="E739" s="1"/>
      <c r="H739" s="1"/>
    </row>
    <row r="740" spans="5:8" ht="13.8">
      <c r="E740" s="1"/>
      <c r="H740" s="1"/>
    </row>
    <row r="741" spans="5:8" ht="13.8">
      <c r="E741" s="1"/>
      <c r="H741" s="1"/>
    </row>
    <row r="742" spans="5:8" ht="13.8">
      <c r="E742" s="1"/>
      <c r="H742" s="1"/>
    </row>
    <row r="743" spans="5:8" ht="13.8">
      <c r="E743" s="1"/>
      <c r="H743" s="1"/>
    </row>
    <row r="744" spans="5:8" ht="13.8">
      <c r="E744" s="1"/>
      <c r="H744" s="1"/>
    </row>
    <row r="745" spans="5:8" ht="13.8">
      <c r="E745" s="1"/>
      <c r="H745" s="1"/>
    </row>
    <row r="746" spans="5:8" ht="13.8">
      <c r="E746" s="1"/>
      <c r="H746" s="1"/>
    </row>
    <row r="747" spans="5:8" ht="13.8">
      <c r="E747" s="1"/>
      <c r="H747" s="1"/>
    </row>
    <row r="748" spans="5:8" ht="13.8">
      <c r="E748" s="1"/>
      <c r="H748" s="1"/>
    </row>
    <row r="749" spans="5:8" ht="13.8">
      <c r="E749" s="1"/>
      <c r="H749" s="1"/>
    </row>
    <row r="750" spans="5:8" ht="13.8">
      <c r="E750" s="1"/>
      <c r="H750" s="1"/>
    </row>
    <row r="751" spans="5:8" ht="13.8">
      <c r="E751" s="1"/>
      <c r="H751" s="1"/>
    </row>
    <row r="752" spans="5:8" ht="13.8">
      <c r="E752" s="1"/>
      <c r="H752" s="1"/>
    </row>
    <row r="753" spans="5:8" ht="13.8">
      <c r="E753" s="1"/>
      <c r="H753" s="1"/>
    </row>
    <row r="754" spans="5:8" ht="13.8">
      <c r="E754" s="1"/>
      <c r="H754" s="1"/>
    </row>
    <row r="755" spans="5:8" ht="13.8">
      <c r="E755" s="1"/>
      <c r="H755" s="1"/>
    </row>
    <row r="756" spans="5:8" ht="13.8">
      <c r="E756" s="1"/>
      <c r="H756" s="1"/>
    </row>
    <row r="757" spans="5:8" ht="13.8">
      <c r="E757" s="1"/>
      <c r="H757" s="1"/>
    </row>
    <row r="758" spans="5:8" ht="13.8">
      <c r="E758" s="1"/>
      <c r="H758" s="1"/>
    </row>
    <row r="759" spans="5:8" ht="13.8">
      <c r="E759" s="1"/>
      <c r="H759" s="1"/>
    </row>
    <row r="760" spans="5:8" ht="13.8">
      <c r="E760" s="1"/>
      <c r="H760" s="1"/>
    </row>
    <row r="761" spans="5:8" ht="13.8">
      <c r="E761" s="1"/>
      <c r="H761" s="1"/>
    </row>
    <row r="762" spans="5:8" ht="13.8">
      <c r="E762" s="1"/>
      <c r="H762" s="1"/>
    </row>
    <row r="763" spans="5:8" ht="13.8">
      <c r="E763" s="1"/>
      <c r="H763" s="1"/>
    </row>
    <row r="764" spans="5:8" ht="13.8">
      <c r="E764" s="1"/>
      <c r="H764" s="1"/>
    </row>
    <row r="765" spans="5:8" ht="13.8">
      <c r="E765" s="1"/>
      <c r="H765" s="1"/>
    </row>
    <row r="766" spans="5:8" ht="13.8">
      <c r="E766" s="1"/>
      <c r="H766" s="1"/>
    </row>
    <row r="767" spans="5:8" ht="13.8">
      <c r="E767" s="1"/>
      <c r="H767" s="1"/>
    </row>
    <row r="768" spans="5:8" ht="13.8">
      <c r="E768" s="1"/>
      <c r="H768" s="1"/>
    </row>
    <row r="769" spans="5:8" ht="13.8">
      <c r="E769" s="1"/>
      <c r="H769" s="1"/>
    </row>
    <row r="770" spans="5:8" ht="13.8">
      <c r="E770" s="1"/>
      <c r="H770" s="1"/>
    </row>
    <row r="771" spans="5:8" ht="13.8">
      <c r="E771" s="1"/>
      <c r="H771" s="1"/>
    </row>
    <row r="772" spans="5:8" ht="13.8">
      <c r="E772" s="1"/>
      <c r="H772" s="1"/>
    </row>
    <row r="773" spans="5:8" ht="13.8">
      <c r="E773" s="1"/>
      <c r="H773" s="1"/>
    </row>
    <row r="774" spans="5:8" ht="13.8">
      <c r="E774" s="1"/>
      <c r="H774" s="1"/>
    </row>
    <row r="775" spans="5:8" ht="13.8">
      <c r="E775" s="1"/>
      <c r="H775" s="1"/>
    </row>
    <row r="776" spans="5:8" ht="13.8">
      <c r="E776" s="1"/>
      <c r="H776" s="1"/>
    </row>
    <row r="777" spans="5:8" ht="13.8">
      <c r="E777" s="1"/>
      <c r="H777" s="1"/>
    </row>
    <row r="778" spans="5:8" ht="13.8">
      <c r="E778" s="1"/>
      <c r="H778" s="1"/>
    </row>
    <row r="779" spans="5:8" ht="13.8">
      <c r="E779" s="1"/>
      <c r="H779" s="1"/>
    </row>
    <row r="780" spans="5:8" ht="13.8">
      <c r="E780" s="1"/>
      <c r="H780" s="1"/>
    </row>
    <row r="781" spans="5:8" ht="13.8">
      <c r="E781" s="1"/>
      <c r="H781" s="1"/>
    </row>
    <row r="782" spans="5:8" ht="13.8">
      <c r="E782" s="1"/>
      <c r="H782" s="1"/>
    </row>
    <row r="783" spans="5:8" ht="13.8">
      <c r="E783" s="1"/>
      <c r="H783" s="1"/>
    </row>
    <row r="784" spans="5:8" ht="13.8">
      <c r="E784" s="1"/>
      <c r="H784" s="1"/>
    </row>
    <row r="785" spans="5:8" ht="13.8">
      <c r="E785" s="1"/>
      <c r="H785" s="1"/>
    </row>
    <row r="786" spans="5:8" ht="13.8">
      <c r="E786" s="1"/>
      <c r="H786" s="1"/>
    </row>
    <row r="787" spans="5:8" ht="13.8">
      <c r="E787" s="1"/>
      <c r="H787" s="1"/>
    </row>
    <row r="788" spans="5:8" ht="13.8">
      <c r="E788" s="1"/>
      <c r="H788" s="1"/>
    </row>
    <row r="789" spans="5:8" ht="13.8">
      <c r="E789" s="1"/>
      <c r="H789" s="1"/>
    </row>
    <row r="790" spans="5:8" ht="13.8">
      <c r="E790" s="1"/>
      <c r="H790" s="1"/>
    </row>
    <row r="791" spans="5:8" ht="13.8">
      <c r="E791" s="1"/>
      <c r="H791" s="1"/>
    </row>
    <row r="792" spans="5:8" ht="13.8">
      <c r="E792" s="1"/>
      <c r="H792" s="1"/>
    </row>
    <row r="793" spans="5:8" ht="13.8">
      <c r="E793" s="1"/>
      <c r="H793" s="1"/>
    </row>
    <row r="794" spans="5:8" ht="13.8">
      <c r="E794" s="1"/>
      <c r="H794" s="1"/>
    </row>
    <row r="795" spans="5:8" ht="13.8">
      <c r="E795" s="1"/>
      <c r="H795" s="1"/>
    </row>
    <row r="796" spans="5:8" ht="13.8">
      <c r="E796" s="1"/>
      <c r="H796" s="1"/>
    </row>
    <row r="797" spans="5:8" ht="13.8">
      <c r="E797" s="1"/>
      <c r="H797" s="1"/>
    </row>
    <row r="798" spans="5:8" ht="13.8">
      <c r="E798" s="1"/>
      <c r="H798" s="1"/>
    </row>
    <row r="799" spans="5:8" ht="13.8">
      <c r="E799" s="1"/>
      <c r="H799" s="1"/>
    </row>
    <row r="800" spans="5:8" ht="13.8">
      <c r="E800" s="1"/>
      <c r="H800" s="1"/>
    </row>
    <row r="801" spans="5:8" ht="13.8">
      <c r="E801" s="1"/>
      <c r="H801" s="1"/>
    </row>
    <row r="802" spans="5:8" ht="13.8">
      <c r="E802" s="1"/>
      <c r="H802" s="1"/>
    </row>
    <row r="803" spans="5:8" ht="13.8">
      <c r="E803" s="1"/>
      <c r="H803" s="1"/>
    </row>
    <row r="804" spans="5:8" ht="13.8">
      <c r="E804" s="1"/>
      <c r="H804" s="1"/>
    </row>
    <row r="805" spans="5:8" ht="13.8">
      <c r="E805" s="1"/>
      <c r="H805" s="1"/>
    </row>
    <row r="806" spans="5:8" ht="13.8">
      <c r="E806" s="1"/>
      <c r="H806" s="1"/>
    </row>
    <row r="807" spans="5:8" ht="13.8">
      <c r="E807" s="1"/>
      <c r="H807" s="1"/>
    </row>
    <row r="808" spans="5:8" ht="13.8">
      <c r="E808" s="1"/>
      <c r="H808" s="1"/>
    </row>
    <row r="809" spans="5:8" ht="13.8">
      <c r="E809" s="1"/>
      <c r="H809" s="1"/>
    </row>
    <row r="810" spans="5:8" ht="13.8">
      <c r="E810" s="1"/>
      <c r="H810" s="1"/>
    </row>
    <row r="811" spans="5:8" ht="13.8">
      <c r="E811" s="1"/>
      <c r="H811" s="1"/>
    </row>
    <row r="812" spans="5:8" ht="13.8">
      <c r="E812" s="1"/>
      <c r="H812" s="1"/>
    </row>
    <row r="813" spans="5:8" ht="13.8">
      <c r="E813" s="1"/>
      <c r="H813" s="1"/>
    </row>
    <row r="814" spans="5:8" ht="13.8">
      <c r="E814" s="1"/>
      <c r="H814" s="1"/>
    </row>
    <row r="815" spans="5:8" ht="13.8">
      <c r="E815" s="1"/>
      <c r="H815" s="1"/>
    </row>
    <row r="816" spans="5:8" ht="13.8">
      <c r="E816" s="1"/>
      <c r="H816" s="1"/>
    </row>
    <row r="817" spans="5:8" ht="13.8">
      <c r="E817" s="1"/>
      <c r="H817" s="1"/>
    </row>
    <row r="818" spans="5:8" ht="13.8">
      <c r="E818" s="1"/>
      <c r="H818" s="1"/>
    </row>
    <row r="819" spans="5:8" ht="13.8">
      <c r="E819" s="1"/>
      <c r="H819" s="1"/>
    </row>
    <row r="820" spans="5:8" ht="13.8">
      <c r="E820" s="1"/>
      <c r="H820" s="1"/>
    </row>
    <row r="821" spans="5:8" ht="13.8">
      <c r="E821" s="1"/>
      <c r="H821" s="1"/>
    </row>
    <row r="822" spans="5:8" ht="13.8">
      <c r="E822" s="1"/>
      <c r="H822" s="1"/>
    </row>
    <row r="823" spans="5:8" ht="13.8">
      <c r="E823" s="1"/>
      <c r="H823" s="1"/>
    </row>
    <row r="824" spans="5:8" ht="13.8">
      <c r="E824" s="1"/>
      <c r="H824" s="1"/>
    </row>
    <row r="825" spans="5:8" ht="13.8">
      <c r="E825" s="1"/>
      <c r="H825" s="1"/>
    </row>
    <row r="826" spans="5:8" ht="13.8">
      <c r="E826" s="1"/>
      <c r="H826" s="1"/>
    </row>
    <row r="827" spans="5:8" ht="13.8">
      <c r="E827" s="1"/>
      <c r="H827" s="1"/>
    </row>
    <row r="828" spans="5:8" ht="13.8">
      <c r="E828" s="1"/>
      <c r="H828" s="1"/>
    </row>
    <row r="829" spans="5:8" ht="13.8">
      <c r="E829" s="1"/>
      <c r="H829" s="1"/>
    </row>
    <row r="830" spans="5:8" ht="13.8">
      <c r="E830" s="1"/>
      <c r="H830" s="1"/>
    </row>
    <row r="831" spans="5:8" ht="13.8">
      <c r="E831" s="1"/>
      <c r="H831" s="1"/>
    </row>
    <row r="832" spans="5:8" ht="13.8">
      <c r="E832" s="1"/>
      <c r="H832" s="1"/>
    </row>
    <row r="833" spans="5:8" ht="13.8">
      <c r="E833" s="1"/>
      <c r="H833" s="1"/>
    </row>
    <row r="834" spans="5:8" ht="13.8">
      <c r="E834" s="1"/>
      <c r="H834" s="1"/>
    </row>
    <row r="835" spans="5:8" ht="13.8">
      <c r="E835" s="1"/>
      <c r="H835" s="1"/>
    </row>
    <row r="836" spans="5:8" ht="13.8">
      <c r="E836" s="1"/>
      <c r="H836" s="1"/>
    </row>
    <row r="837" spans="5:8" ht="13.8">
      <c r="E837" s="1"/>
      <c r="H837" s="1"/>
    </row>
    <row r="838" spans="5:8" ht="13.8">
      <c r="E838" s="1"/>
      <c r="H838" s="1"/>
    </row>
    <row r="839" spans="5:8" ht="13.8">
      <c r="E839" s="1"/>
      <c r="H839" s="1"/>
    </row>
    <row r="840" spans="5:8" ht="13.8">
      <c r="E840" s="1"/>
      <c r="H840" s="1"/>
    </row>
    <row r="841" spans="5:8" ht="13.8">
      <c r="E841" s="1"/>
      <c r="H841" s="1"/>
    </row>
    <row r="842" spans="5:8" ht="13.8">
      <c r="E842" s="1"/>
      <c r="H842" s="1"/>
    </row>
    <row r="843" spans="5:8" ht="13.8">
      <c r="E843" s="1"/>
      <c r="H843" s="1"/>
    </row>
    <row r="844" spans="5:8" ht="13.8">
      <c r="E844" s="1"/>
      <c r="H844" s="1"/>
    </row>
    <row r="845" spans="5:8" ht="13.8">
      <c r="E845" s="1"/>
      <c r="H845" s="1"/>
    </row>
    <row r="846" spans="5:8" ht="13.8">
      <c r="E846" s="1"/>
      <c r="H846" s="1"/>
    </row>
    <row r="847" spans="5:8" ht="13.8">
      <c r="E847" s="1"/>
      <c r="H847" s="1"/>
    </row>
    <row r="848" spans="5:8" ht="13.8">
      <c r="E848" s="1"/>
      <c r="H848" s="1"/>
    </row>
    <row r="849" spans="5:8" ht="13.8">
      <c r="E849" s="1"/>
      <c r="H849" s="1"/>
    </row>
    <row r="850" spans="5:8" ht="13.8">
      <c r="E850" s="1"/>
      <c r="H850" s="1"/>
    </row>
    <row r="851" spans="5:8" ht="13.8">
      <c r="E851" s="1"/>
      <c r="H851" s="1"/>
    </row>
    <row r="852" spans="5:8" ht="13.8">
      <c r="E852" s="1"/>
      <c r="H852" s="1"/>
    </row>
    <row r="853" spans="5:8" ht="13.8">
      <c r="E853" s="1"/>
      <c r="H853" s="1"/>
    </row>
    <row r="854" spans="5:8" ht="13.8">
      <c r="E854" s="1"/>
      <c r="H854" s="1"/>
    </row>
    <row r="855" spans="5:8" ht="13.8">
      <c r="E855" s="1"/>
      <c r="H855" s="1"/>
    </row>
    <row r="856" spans="5:8" ht="13.8">
      <c r="E856" s="1"/>
      <c r="H856" s="1"/>
    </row>
    <row r="857" spans="5:8" ht="13.8">
      <c r="E857" s="1"/>
      <c r="H857" s="1"/>
    </row>
    <row r="858" spans="5:8" ht="13.8">
      <c r="E858" s="1"/>
      <c r="H858" s="1"/>
    </row>
    <row r="859" spans="5:8" ht="13.8">
      <c r="E859" s="1"/>
      <c r="H859" s="1"/>
    </row>
    <row r="860" spans="5:8" ht="13.8">
      <c r="E860" s="1"/>
      <c r="H860" s="1"/>
    </row>
    <row r="861" spans="5:8" ht="13.8">
      <c r="E861" s="1"/>
      <c r="H861" s="1"/>
    </row>
    <row r="862" spans="5:8" ht="13.8">
      <c r="E862" s="1"/>
      <c r="H862" s="1"/>
    </row>
    <row r="863" spans="5:8" ht="13.8">
      <c r="E863" s="1"/>
      <c r="H863" s="1"/>
    </row>
    <row r="864" spans="5:8" ht="13.8">
      <c r="E864" s="1"/>
      <c r="H864" s="1"/>
    </row>
    <row r="865" spans="5:8" ht="13.8">
      <c r="E865" s="1"/>
      <c r="H865" s="1"/>
    </row>
    <row r="866" spans="5:8" ht="13.8">
      <c r="E866" s="1"/>
      <c r="H866" s="1"/>
    </row>
    <row r="867" spans="5:8" ht="13.8">
      <c r="E867" s="1"/>
      <c r="H867" s="1"/>
    </row>
    <row r="868" spans="5:8" ht="13.8">
      <c r="E868" s="1"/>
      <c r="H868" s="1"/>
    </row>
    <row r="869" spans="5:8" ht="13.8">
      <c r="E869" s="1"/>
      <c r="H869" s="1"/>
    </row>
    <row r="870" spans="5:8" ht="13.8">
      <c r="E870" s="1"/>
      <c r="H870" s="1"/>
    </row>
    <row r="871" spans="5:8" ht="13.8">
      <c r="E871" s="1"/>
      <c r="H871" s="1"/>
    </row>
    <row r="872" spans="5:8" ht="13.8">
      <c r="E872" s="1"/>
      <c r="H872" s="1"/>
    </row>
    <row r="873" spans="5:8" ht="13.8">
      <c r="E873" s="1"/>
      <c r="H873" s="1"/>
    </row>
    <row r="874" spans="5:8" ht="13.8">
      <c r="E874" s="1"/>
      <c r="H874" s="1"/>
    </row>
    <row r="875" spans="5:8" ht="13.8">
      <c r="E875" s="1"/>
      <c r="H875" s="1"/>
    </row>
    <row r="876" spans="5:8" ht="13.8">
      <c r="E876" s="1"/>
      <c r="H876" s="1"/>
    </row>
    <row r="877" spans="5:8" ht="13.8">
      <c r="E877" s="1"/>
      <c r="H877" s="1"/>
    </row>
    <row r="878" spans="5:8" ht="13.8">
      <c r="E878" s="1"/>
      <c r="H878" s="1"/>
    </row>
    <row r="879" spans="5:8" ht="13.8">
      <c r="E879" s="1"/>
      <c r="H879" s="1"/>
    </row>
    <row r="880" spans="5:8" ht="13.8">
      <c r="E880" s="1"/>
      <c r="H880" s="1"/>
    </row>
    <row r="881" spans="5:8" ht="13.8">
      <c r="E881" s="1"/>
      <c r="H881" s="1"/>
    </row>
    <row r="882" spans="5:8" ht="13.8">
      <c r="E882" s="1"/>
      <c r="H882" s="1"/>
    </row>
    <row r="883" spans="5:8" ht="13.8">
      <c r="E883" s="1"/>
      <c r="H883" s="1"/>
    </row>
    <row r="884" spans="5:8" ht="13.8">
      <c r="E884" s="1"/>
      <c r="H884" s="1"/>
    </row>
    <row r="885" spans="5:8" ht="13.8">
      <c r="E885" s="1"/>
      <c r="H885" s="1"/>
    </row>
    <row r="886" spans="5:8" ht="13.8">
      <c r="E886" s="1"/>
      <c r="H886" s="1"/>
    </row>
    <row r="887" spans="5:8" ht="13.8">
      <c r="E887" s="1"/>
      <c r="H887" s="1"/>
    </row>
    <row r="888" spans="5:8" ht="13.8">
      <c r="E888" s="1"/>
      <c r="H888" s="1"/>
    </row>
    <row r="889" spans="5:8" ht="13.8">
      <c r="E889" s="1"/>
      <c r="H889" s="1"/>
    </row>
    <row r="890" spans="5:8" ht="13.8">
      <c r="E890" s="1"/>
      <c r="H890" s="1"/>
    </row>
    <row r="891" spans="5:8" ht="13.8">
      <c r="E891" s="1"/>
      <c r="H891" s="1"/>
    </row>
    <row r="892" spans="5:8" ht="13.8">
      <c r="E892" s="1"/>
      <c r="H892" s="1"/>
    </row>
    <row r="893" spans="5:8" ht="13.8">
      <c r="E893" s="1"/>
      <c r="H893" s="1"/>
    </row>
    <row r="894" spans="5:8" ht="13.8">
      <c r="E894" s="1"/>
      <c r="H894" s="1"/>
    </row>
    <row r="895" spans="5:8" ht="13.8">
      <c r="E895" s="1"/>
      <c r="H895" s="1"/>
    </row>
    <row r="896" spans="5:8" ht="13.8">
      <c r="E896" s="1"/>
      <c r="H896" s="1"/>
    </row>
    <row r="897" spans="5:8" ht="13.8">
      <c r="E897" s="1"/>
      <c r="H897" s="1"/>
    </row>
    <row r="898" spans="5:8" ht="13.8">
      <c r="E898" s="1"/>
      <c r="H898" s="1"/>
    </row>
    <row r="899" spans="5:8" ht="13.8">
      <c r="E899" s="1"/>
      <c r="H899" s="1"/>
    </row>
    <row r="900" spans="5:8" ht="13.8">
      <c r="E900" s="1"/>
      <c r="H900" s="1"/>
    </row>
    <row r="901" spans="5:8" ht="13.8">
      <c r="E901" s="1"/>
      <c r="H901" s="1"/>
    </row>
    <row r="902" spans="5:8" ht="13.8">
      <c r="E902" s="1"/>
      <c r="H902" s="1"/>
    </row>
    <row r="903" spans="5:8" ht="13.8">
      <c r="E903" s="1"/>
      <c r="H903" s="1"/>
    </row>
    <row r="904" spans="5:8" ht="13.8">
      <c r="E904" s="1"/>
      <c r="H904" s="1"/>
    </row>
    <row r="905" spans="5:8" ht="13.8">
      <c r="E905" s="1"/>
      <c r="H905" s="1"/>
    </row>
    <row r="906" spans="5:8" ht="13.8">
      <c r="E906" s="1"/>
      <c r="H906" s="1"/>
    </row>
    <row r="907" spans="5:8" ht="13.8">
      <c r="E907" s="1"/>
      <c r="H907" s="1"/>
    </row>
    <row r="908" spans="5:8" ht="13.8">
      <c r="E908" s="1"/>
      <c r="H908" s="1"/>
    </row>
    <row r="909" spans="5:8" ht="13.8">
      <c r="E909" s="1"/>
      <c r="H909" s="1"/>
    </row>
    <row r="910" spans="5:8" ht="13.8">
      <c r="E910" s="1"/>
      <c r="H910" s="1"/>
    </row>
    <row r="911" spans="5:8" ht="13.8">
      <c r="E911" s="1"/>
      <c r="H911" s="1"/>
    </row>
    <row r="912" spans="5:8" ht="13.8">
      <c r="E912" s="1"/>
      <c r="H912" s="1"/>
    </row>
    <row r="913" spans="5:8" ht="13.8">
      <c r="E913" s="1"/>
      <c r="H913" s="1"/>
    </row>
    <row r="914" spans="5:8" ht="13.8">
      <c r="E914" s="1"/>
      <c r="H914" s="1"/>
    </row>
    <row r="915" spans="5:8" ht="13.8">
      <c r="E915" s="1"/>
      <c r="H915" s="1"/>
    </row>
    <row r="916" spans="5:8" ht="13.8">
      <c r="E916" s="1"/>
      <c r="H916" s="1"/>
    </row>
    <row r="917" spans="5:8" ht="13.8">
      <c r="E917" s="1"/>
      <c r="H917" s="1"/>
    </row>
    <row r="918" spans="5:8" ht="13.8">
      <c r="E918" s="1"/>
      <c r="H918" s="1"/>
    </row>
    <row r="919" spans="5:8" ht="13.8">
      <c r="E919" s="1"/>
      <c r="H919" s="1"/>
    </row>
    <row r="920" spans="5:8" ht="13.8">
      <c r="E920" s="1"/>
      <c r="H920" s="1"/>
    </row>
    <row r="921" spans="5:8" ht="13.8">
      <c r="E921" s="1"/>
      <c r="H921" s="1"/>
    </row>
    <row r="922" spans="5:8" ht="13.8">
      <c r="E922" s="1"/>
      <c r="H922" s="1"/>
    </row>
    <row r="923" spans="5:8" ht="13.8">
      <c r="E923" s="1"/>
      <c r="H923" s="1"/>
    </row>
    <row r="924" spans="5:8" ht="13.8">
      <c r="E924" s="1"/>
      <c r="H924" s="1"/>
    </row>
    <row r="925" spans="5:8" ht="13.8">
      <c r="E925" s="1"/>
      <c r="H925" s="1"/>
    </row>
    <row r="926" spans="5:8" ht="13.8">
      <c r="E926" s="1"/>
      <c r="H926" s="1"/>
    </row>
    <row r="927" spans="5:8" ht="13.8">
      <c r="E927" s="1"/>
      <c r="H927" s="1"/>
    </row>
    <row r="928" spans="5:8" ht="13.8">
      <c r="E928" s="1"/>
      <c r="H928" s="1"/>
    </row>
    <row r="929" spans="5:8" ht="13.8">
      <c r="E929" s="1"/>
      <c r="H929" s="1"/>
    </row>
    <row r="930" spans="5:8" ht="13.8">
      <c r="E930" s="1"/>
      <c r="H930" s="1"/>
    </row>
    <row r="931" spans="5:8" ht="13.8">
      <c r="E931" s="1"/>
      <c r="H931" s="1"/>
    </row>
    <row r="932" spans="5:8" ht="13.8">
      <c r="E932" s="1"/>
      <c r="H932" s="1"/>
    </row>
    <row r="933" spans="5:8" ht="13.8">
      <c r="E933" s="1"/>
      <c r="H933" s="1"/>
    </row>
    <row r="934" spans="5:8" ht="13.8">
      <c r="E934" s="1"/>
      <c r="H934" s="1"/>
    </row>
    <row r="935" spans="5:8" ht="13.8">
      <c r="E935" s="1"/>
      <c r="H935" s="1"/>
    </row>
    <row r="936" spans="5:8" ht="13.8">
      <c r="E936" s="1"/>
      <c r="H936" s="1"/>
    </row>
    <row r="937" spans="5:8" ht="13.8">
      <c r="E937" s="1"/>
      <c r="H937" s="1"/>
    </row>
    <row r="938" spans="5:8" ht="13.8">
      <c r="E938" s="1"/>
      <c r="H938" s="1"/>
    </row>
    <row r="939" spans="5:8" ht="13.8">
      <c r="E939" s="1"/>
      <c r="H939" s="1"/>
    </row>
    <row r="940" spans="5:8" ht="13.8">
      <c r="E940" s="1"/>
      <c r="H940" s="1"/>
    </row>
    <row r="941" spans="5:8" ht="13.8">
      <c r="E941" s="1"/>
      <c r="H941" s="1"/>
    </row>
    <row r="942" spans="5:8" ht="13.8">
      <c r="E942" s="1"/>
      <c r="H942" s="1"/>
    </row>
    <row r="943" spans="5:8" ht="13.8">
      <c r="E943" s="1"/>
      <c r="H943" s="1"/>
    </row>
    <row r="944" spans="5:8" ht="13.8">
      <c r="E944" s="1"/>
      <c r="H944" s="1"/>
    </row>
    <row r="945" spans="5:8" ht="13.8">
      <c r="E945" s="1"/>
      <c r="H945" s="1"/>
    </row>
    <row r="946" spans="5:8" ht="13.8">
      <c r="E946" s="1"/>
      <c r="H946" s="1"/>
    </row>
    <row r="947" spans="5:8" ht="13.8">
      <c r="E947" s="1"/>
      <c r="H947" s="1"/>
    </row>
    <row r="948" spans="5:8" ht="13.8">
      <c r="E948" s="1"/>
      <c r="H948" s="1"/>
    </row>
    <row r="949" spans="5:8" ht="13.8">
      <c r="E949" s="1"/>
      <c r="H949" s="1"/>
    </row>
    <row r="950" spans="5:8" ht="13.8">
      <c r="E950" s="1"/>
      <c r="H950" s="1"/>
    </row>
    <row r="951" spans="5:8" ht="13.8">
      <c r="E951" s="1"/>
      <c r="H951" s="1"/>
    </row>
    <row r="952" spans="5:8" ht="13.8">
      <c r="E952" s="1"/>
      <c r="H952" s="1"/>
    </row>
    <row r="953" spans="5:8" ht="13.8">
      <c r="E953" s="1"/>
      <c r="H953" s="1"/>
    </row>
    <row r="954" spans="5:8" ht="13.8">
      <c r="E954" s="1"/>
      <c r="H954" s="1"/>
    </row>
    <row r="955" spans="5:8" ht="13.8">
      <c r="E955" s="1"/>
      <c r="H955" s="1"/>
    </row>
    <row r="956" spans="5:8" ht="13.8">
      <c r="E956" s="1"/>
      <c r="H956" s="1"/>
    </row>
    <row r="957" spans="5:8" ht="13.8">
      <c r="E957" s="1"/>
      <c r="H957" s="1"/>
    </row>
    <row r="958" spans="5:8" ht="13.8">
      <c r="E958" s="1"/>
      <c r="H958" s="1"/>
    </row>
    <row r="959" spans="5:8" ht="13.8">
      <c r="E959" s="1"/>
      <c r="H959" s="1"/>
    </row>
    <row r="960" spans="5:8" ht="13.8">
      <c r="E960" s="1"/>
      <c r="H960" s="1"/>
    </row>
    <row r="961" spans="5:8" ht="13.8">
      <c r="E961" s="1"/>
      <c r="H961" s="1"/>
    </row>
    <row r="962" spans="5:8" ht="13.8">
      <c r="E962" s="1"/>
      <c r="H962" s="1"/>
    </row>
    <row r="963" spans="5:8" ht="13.8">
      <c r="E963" s="1"/>
      <c r="H963" s="1"/>
    </row>
    <row r="964" spans="5:8" ht="13.8">
      <c r="E964" s="1"/>
      <c r="H964" s="1"/>
    </row>
    <row r="965" spans="5:8" ht="13.8">
      <c r="E965" s="1"/>
      <c r="H965" s="1"/>
    </row>
    <row r="966" spans="5:8" ht="13.8">
      <c r="E966" s="1"/>
      <c r="H966" s="1"/>
    </row>
    <row r="967" spans="5:8" ht="13.8">
      <c r="E967" s="1"/>
      <c r="H967" s="1"/>
    </row>
    <row r="968" spans="5:8" ht="13.8">
      <c r="E968" s="1"/>
      <c r="H968" s="1"/>
    </row>
    <row r="969" spans="5:8" ht="13.8">
      <c r="E969" s="1"/>
      <c r="H969" s="1"/>
    </row>
    <row r="970" spans="5:8" ht="13.8">
      <c r="E970" s="1"/>
      <c r="H970" s="1"/>
    </row>
    <row r="971" spans="5:8" ht="13.8">
      <c r="E971" s="1"/>
      <c r="H971" s="1"/>
    </row>
    <row r="972" spans="5:8" ht="13.8">
      <c r="E972" s="1"/>
      <c r="H972" s="1"/>
    </row>
    <row r="973" spans="5:8" ht="13.8">
      <c r="E973" s="1"/>
      <c r="H973" s="1"/>
    </row>
    <row r="974" spans="5:8" ht="13.8">
      <c r="E974" s="1"/>
      <c r="H974" s="1"/>
    </row>
    <row r="975" spans="5:8" ht="13.8">
      <c r="E975" s="1"/>
      <c r="H975" s="1"/>
    </row>
    <row r="976" spans="5:8" ht="13.8">
      <c r="E976" s="1"/>
      <c r="H976" s="1"/>
    </row>
    <row r="977" spans="5:8" ht="13.8">
      <c r="E977" s="1"/>
      <c r="H977" s="1"/>
    </row>
    <row r="978" spans="5:8" ht="13.8">
      <c r="E978" s="1"/>
      <c r="H978" s="1"/>
    </row>
    <row r="979" spans="5:8" ht="13.8">
      <c r="E979" s="1"/>
      <c r="H979" s="1"/>
    </row>
    <row r="980" spans="5:8" ht="13.8">
      <c r="E980" s="1"/>
      <c r="H980" s="1"/>
    </row>
    <row r="981" spans="5:8" ht="13.8">
      <c r="E981" s="1"/>
      <c r="H981" s="1"/>
    </row>
    <row r="982" spans="5:8" ht="13.8">
      <c r="E982" s="1"/>
      <c r="H982" s="1"/>
    </row>
    <row r="983" spans="5:8" ht="13.8">
      <c r="E983" s="1"/>
      <c r="H983" s="1"/>
    </row>
    <row r="984" spans="5:8" ht="13.8">
      <c r="E984" s="1"/>
      <c r="H984" s="1"/>
    </row>
    <row r="985" spans="5:8" ht="13.8">
      <c r="E985" s="1"/>
      <c r="H985" s="1"/>
    </row>
    <row r="986" spans="5:8" ht="13.8">
      <c r="E986" s="1"/>
      <c r="H986" s="1"/>
    </row>
    <row r="987" spans="5:8" ht="13.8">
      <c r="E987" s="1"/>
      <c r="H987" s="1"/>
    </row>
    <row r="988" spans="5:8" ht="13.8">
      <c r="E988" s="1"/>
      <c r="H988" s="1"/>
    </row>
    <row r="989" spans="5:8" ht="13.8">
      <c r="E989" s="1"/>
      <c r="H989" s="1"/>
    </row>
    <row r="990" spans="5:8" ht="13.8">
      <c r="E990" s="1"/>
      <c r="H990" s="1"/>
    </row>
    <row r="991" spans="5:8" ht="13.8">
      <c r="E991" s="1"/>
      <c r="H991" s="1"/>
    </row>
    <row r="992" spans="5:8" ht="13.8">
      <c r="E992" s="1"/>
      <c r="H992" s="1"/>
    </row>
    <row r="993" spans="5:8" ht="13.8">
      <c r="E993" s="1"/>
      <c r="H993" s="1"/>
    </row>
    <row r="994" spans="5:8" ht="13.8">
      <c r="E994" s="1"/>
      <c r="H994" s="1"/>
    </row>
    <row r="995" spans="5:8" ht="13.8">
      <c r="E995" s="1"/>
      <c r="H995" s="1"/>
    </row>
    <row r="996" spans="5:8" ht="13.8">
      <c r="E996" s="1"/>
      <c r="H996" s="1"/>
    </row>
    <row r="997" spans="5:8" ht="13.8">
      <c r="E997" s="1"/>
      <c r="H997" s="1"/>
    </row>
    <row r="998" spans="5:8" ht="13.8">
      <c r="E998" s="1"/>
      <c r="H998" s="1"/>
    </row>
    <row r="999" spans="5:8" ht="13.8">
      <c r="E999" s="1"/>
      <c r="H999" s="1"/>
    </row>
    <row r="1000" spans="5:8" ht="13.8">
      <c r="E1000" s="1"/>
      <c r="H1000" s="1"/>
    </row>
    <row r="1001" spans="5:8" ht="13.8">
      <c r="E1001" s="1"/>
      <c r="H1001" s="1"/>
    </row>
    <row r="1002" spans="5:8" ht="13.8">
      <c r="E1002" s="1"/>
      <c r="H1002" s="1"/>
    </row>
    <row r="1003" spans="5:8" ht="13.8">
      <c r="E1003" s="1"/>
      <c r="H1003" s="1"/>
    </row>
    <row r="1004" spans="5:8" ht="13.8">
      <c r="E1004" s="1"/>
      <c r="H1004" s="1"/>
    </row>
    <row r="1005" spans="5:8" ht="13.8">
      <c r="E1005" s="1"/>
      <c r="H1005" s="1"/>
    </row>
    <row r="1006" spans="5:8" ht="13.8">
      <c r="E1006" s="1"/>
      <c r="H1006" s="1"/>
    </row>
    <row r="1007" spans="5:8" ht="13.8">
      <c r="E1007" s="1"/>
      <c r="H1007" s="1"/>
    </row>
  </sheetData>
  <dataValidations count="2">
    <dataValidation type="list" allowBlank="1" showErrorMessage="1" sqref="D2:D57" xr:uid="{00000000-0002-0000-0100-000000000000}">
      <formula1>"6,7,8"</formula1>
      <formula2>0</formula2>
    </dataValidation>
    <dataValidation type="list" allowBlank="1" showErrorMessage="1" sqref="C2:C57" xr:uid="{00000000-0002-0000-0100-000001000000}">
      <formula1>"Physics,Biology,Chemistry"</formula1>
      <formula2>0</formula2>
    </dataValidation>
  </dataValidations>
  <pageMargins left="0.74791666666666701" right="0.74791666666666701" top="0.98402777777777795" bottom="0.98402777777777795" header="0.511811023622047" footer="0.511811023622047"/>
  <pageSetup paperSize="9" orientation="portrait" horizontalDpi="300" verticalDpi="300"/>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G1007"/>
  <sheetViews>
    <sheetView topLeftCell="B49" zoomScaleNormal="100" workbookViewId="0">
      <selection activeCell="H1" sqref="H1"/>
    </sheetView>
  </sheetViews>
  <sheetFormatPr defaultColWidth="12.6640625" defaultRowHeight="13.2"/>
  <cols>
    <col min="5" max="5" width="22.77734375" customWidth="1"/>
    <col min="6" max="6" width="21.44140625" customWidth="1"/>
    <col min="8" max="8" width="27.33203125" customWidth="1"/>
    <col min="9" max="9" width="12.6640625" hidden="1"/>
    <col min="11" max="11" width="33.109375" customWidth="1"/>
    <col min="13" max="13" width="34.33203125" customWidth="1"/>
    <col min="15" max="15" width="36.109375" customWidth="1"/>
    <col min="17" max="17" width="36.6640625" customWidth="1"/>
    <col min="19" max="19" width="35" customWidth="1"/>
    <col min="21" max="21" width="39" customWidth="1"/>
  </cols>
  <sheetData>
    <row r="1" spans="1:33" ht="27.6">
      <c r="A1" s="3" t="s">
        <v>0</v>
      </c>
      <c r="B1" s="4" t="s">
        <v>1</v>
      </c>
      <c r="C1" s="4" t="s">
        <v>2</v>
      </c>
      <c r="D1" s="4" t="s">
        <v>3</v>
      </c>
      <c r="E1" s="5" t="s">
        <v>1280</v>
      </c>
      <c r="F1" s="7" t="s">
        <v>4</v>
      </c>
      <c r="G1" s="6" t="s">
        <v>223</v>
      </c>
      <c r="H1" s="7" t="s">
        <v>307</v>
      </c>
      <c r="J1" s="20" t="s">
        <v>5</v>
      </c>
      <c r="K1" s="20" t="s">
        <v>6</v>
      </c>
      <c r="L1" s="20" t="s">
        <v>7</v>
      </c>
      <c r="M1" s="20" t="s">
        <v>8</v>
      </c>
      <c r="N1" s="20" t="s">
        <v>9</v>
      </c>
      <c r="O1" s="20" t="s">
        <v>10</v>
      </c>
      <c r="P1" s="20" t="s">
        <v>11</v>
      </c>
      <c r="Q1" s="20" t="s">
        <v>12</v>
      </c>
      <c r="R1" s="20" t="s">
        <v>13</v>
      </c>
      <c r="S1" s="20" t="s">
        <v>14</v>
      </c>
      <c r="T1" s="20" t="s">
        <v>15</v>
      </c>
      <c r="U1" s="20" t="s">
        <v>16</v>
      </c>
      <c r="V1" s="9" t="s">
        <v>17</v>
      </c>
      <c r="W1" s="9" t="s">
        <v>18</v>
      </c>
      <c r="X1" s="9" t="s">
        <v>19</v>
      </c>
      <c r="Y1" s="9" t="s">
        <v>20</v>
      </c>
      <c r="Z1" s="9" t="s">
        <v>21</v>
      </c>
      <c r="AA1" s="9" t="s">
        <v>22</v>
      </c>
      <c r="AB1" s="9" t="s">
        <v>23</v>
      </c>
      <c r="AC1" s="10" t="s">
        <v>24</v>
      </c>
      <c r="AD1" s="11" t="s">
        <v>25</v>
      </c>
      <c r="AE1" s="11" t="s">
        <v>26</v>
      </c>
      <c r="AF1" s="11" t="s">
        <v>27</v>
      </c>
      <c r="AG1" s="12" t="s">
        <v>28</v>
      </c>
    </row>
    <row r="2" spans="1:33" ht="27.6">
      <c r="A2" s="2"/>
      <c r="B2" s="2" t="s">
        <v>29</v>
      </c>
      <c r="C2" s="1" t="s">
        <v>30</v>
      </c>
      <c r="D2" s="13">
        <v>7</v>
      </c>
      <c r="E2" s="1" t="s">
        <v>40</v>
      </c>
      <c r="F2" s="1" t="s">
        <v>120</v>
      </c>
      <c r="G2" s="1" t="s">
        <v>121</v>
      </c>
      <c r="H2" s="18" t="str">
        <f ca="1">IFERROR(__xludf.dummyfunction("IFERROR(
  VLOOKUP(G2, IMPORTRANGE(""https://docs.google.com/spreadsheets/d/14deopnvwcrKtEGCKuYXdUHJbeLDZlkiSSWWT0g7x2pM/edit#gid=849066331"", ""LU List Maths (Filter)!A:B""), 2, FALSE),
  IFERROR(
    VLOOKUP(G2, IMPORTRANGE(""https://docs.google.com/spr"&amp;"eadsheets/d/14deopnvwcrKtEGCKuYXdUHJbeLDZlkiSSWWT0g7x2pM/edit#gid=849066331"", ""LU List Science (Filter)!A:B""), 2, FALSE),
    ""Not Found""
  )
)
"),"Properties of material- Volume ")</f>
        <v xml:space="preserve">Properties of material- Volume </v>
      </c>
      <c r="J2" s="2" t="str">
        <f t="shared" ref="J2:J33" si="0">G2 &amp; ".001"</f>
        <v>LU006420.001</v>
      </c>
      <c r="K2" s="2" t="str">
        <f ca="1">IFERROR(__xludf.dummyfunction("VLOOKUP(J2, IMPORTRANGE(""https://docs.google.com/spreadsheets/d/1yDAaXNsi4Mr5FtRQL4tbmSdIzhx6_m4wkOD7IG-k_eo/edit#gid=1336395716"", ""Science!M:N""), 2, FALSE)"),"Recall the definition of volume as the amount of space an object occupies.")</f>
        <v>Recall the definition of volume as the amount of space an object occupies.</v>
      </c>
      <c r="L2" s="2" t="str">
        <f t="shared" ref="L2:L33" si="1">G2 &amp; ".002"</f>
        <v>LU006420.002</v>
      </c>
      <c r="M2" s="2" t="str">
        <f ca="1">IFERROR(__xludf.dummyfunction("VLOOKUP(L2, IMPORTRANGE(""https://docs.google.com/spreadsheets/d/1yDAaXNsi4Mr5FtRQL4tbmSdIzhx6_m4wkOD7IG-k_eo/edit#gid=1336395716"", ""Science!M:N""), 2, FALSE)"),"Explain the concept of volume using examples. ")</f>
        <v xml:space="preserve">Explain the concept of volume using examples. </v>
      </c>
      <c r="N2" s="2" t="str">
        <f t="shared" ref="N2:N33" si="2">G2 &amp; ".003"</f>
        <v>LU006420.003</v>
      </c>
      <c r="O2" s="2" t="str">
        <f ca="1">IFERROR(__xludf.dummyfunction("VLOOKUP(N2, IMPORTRANGE(""https://docs.google.com/spreadsheets/d/1yDAaXNsi4Mr5FtRQL4tbmSdIzhx6_m4wkOD7IG-k_eo/edit#gid=1336395716"", ""Science!M:N""), 2, FALSE)"),"Measure the volume of various objects using everyday tools.")</f>
        <v>Measure the volume of various objects using everyday tools.</v>
      </c>
      <c r="P2" s="2" t="str">
        <f t="shared" ref="P2:P33" si="3">G2 &amp; ".004"</f>
        <v>LU006420.004</v>
      </c>
      <c r="Q2" s="17" t="str">
        <f ca="1">IFERROR(__xludf.dummyfunction("VLOOKUP(P2, IMPORTRANGE(""https://docs.google.com/spreadsheets/d/1yDAaXNsi4Mr5FtRQL4tbmSdIzhx6_m4wkOD7IG-k_eo/edit#gid=1336395716"", ""Science!M:N""), 2, FALSE)"),"Compare the volumes of different containers and determine which holds more liquid.")</f>
        <v>Compare the volumes of different containers and determine which holds more liquid.</v>
      </c>
      <c r="R2" s="2" t="str">
        <f t="shared" ref="R2:R33" si="4">G2 &amp; ".005"</f>
        <v>LU006420.005</v>
      </c>
      <c r="S2" s="17" t="str">
        <f ca="1">IFERROR(__xludf.dummyfunction("VLOOKUP(R2, IMPORTRANGE(""https://docs.google.com/spreadsheets/d/1yDAaXNsi4Mr5FtRQL4tbmSdIzhx6_m4wkOD7IG-k_eo/edit#gid=1336395716"", ""Science!M:N""), 2, FALSE)"),"Justify why objects of the same shape but different sizes have different volumes.")</f>
        <v>Justify why objects of the same shape but different sizes have different volumes.</v>
      </c>
      <c r="T2" s="2" t="str">
        <f t="shared" ref="T2:T33" si="5">G2 &amp; ".006"</f>
        <v>LU006420.006</v>
      </c>
      <c r="U2" s="17" t="str">
        <f ca="1">IFERROR(__xludf.dummyfunction("VLOOKUP(T2, IMPORTRANGE(""https://docs.google.com/spreadsheets/d/1yDAaXNsi4Mr5FtRQL4tbmSdIzhx6_m4wkOD7IG-k_eo/edit#gid=1336395716"", ""Science!M:N""), 2, FALSE)"),"Create a model that demonstrates the concept of displacement to measure the volume of an irregularly shaped object.")</f>
        <v>Create a model that demonstrates the concept of displacement to measure the volume of an irregularly shaped object.</v>
      </c>
      <c r="V2" s="16">
        <f ca="1">IFERROR(__xludf.dummyfunction("ArrayFormula(VLOOKUP(G2, IMPORTRANGE(""https://docs.google.com/spreadsheets/d/1p7R4vtkWt5VOBim4ltsDG9KTzSjrtKXsMtQGXPHyND0/edit#gid=795171502"", ""'Filter 30_05_2024'!A1:M2000""), {2, 3, 4, 5,6,7,8,9,10,11,12,13}, 0))"),4)</f>
        <v>4</v>
      </c>
      <c r="W2" s="16">
        <f ca="1">IFERROR(__xludf.dummyfunction("""COMPUTED_VALUE"""),6)</f>
        <v>6</v>
      </c>
      <c r="X2" s="16">
        <f ca="1">IFERROR(__xludf.dummyfunction("""COMPUTED_VALUE"""),2)</f>
        <v>2</v>
      </c>
      <c r="Y2" s="16">
        <f ca="1">IFERROR(__xludf.dummyfunction("""COMPUTED_VALUE"""),12)</f>
        <v>12</v>
      </c>
      <c r="Z2" s="16">
        <f ca="1">IFERROR(__xludf.dummyfunction("""COMPUTED_VALUE"""),4)</f>
        <v>4</v>
      </c>
      <c r="AA2" s="17">
        <f ca="1">IFERROR(__xludf.dummyfunction("""COMPUTED_VALUE"""),3)</f>
        <v>3</v>
      </c>
      <c r="AB2" s="17">
        <f ca="1">IFERROR(__xludf.dummyfunction("""COMPUTED_VALUE"""),1)</f>
        <v>1</v>
      </c>
      <c r="AC2" s="17">
        <f ca="1">IFERROR(__xludf.dummyfunction("""COMPUTED_VALUE"""),8)</f>
        <v>8</v>
      </c>
      <c r="AD2" s="2"/>
      <c r="AE2" s="2"/>
      <c r="AF2" s="2"/>
      <c r="AG2" s="2"/>
    </row>
    <row r="3" spans="1:33" ht="27.6">
      <c r="A3" s="2"/>
      <c r="B3" s="2" t="s">
        <v>29</v>
      </c>
      <c r="C3" s="1" t="s">
        <v>30</v>
      </c>
      <c r="D3" s="13">
        <v>7</v>
      </c>
      <c r="E3" s="1" t="s">
        <v>40</v>
      </c>
      <c r="F3" s="1" t="s">
        <v>120</v>
      </c>
      <c r="G3" s="14" t="s">
        <v>122</v>
      </c>
      <c r="H3" s="18" t="str">
        <f ca="1">IFERROR(__xludf.dummyfunction("IFERROR(
  VLOOKUP(G3, IMPORTRANGE(""https://docs.google.com/spreadsheets/d/14deopnvwcrKtEGCKuYXdUHJbeLDZlkiSSWWT0g7x2pM/edit#gid=849066331"", ""LU List Maths (Filter)!A:B""), 2, FALSE),
  IFERROR(
    VLOOKUP(G3, IMPORTRANGE(""https://docs.google.com/spr"&amp;"eadsheets/d/14deopnvwcrKtEGCKuYXdUHJbeLDZlkiSSWWT0g7x2pM/edit#gid=849066331"", ""LU List Science (Filter)!A:B""), 2, FALSE),
    ""Not Found""
  )
)
"),"Concept of unit volume")</f>
        <v>Concept of unit volume</v>
      </c>
      <c r="J3" s="2" t="str">
        <f t="shared" si="0"/>
        <v>LU006799.001</v>
      </c>
      <c r="K3" s="2" t="str">
        <f ca="1">IFERROR(__xludf.dummyfunction("VLOOKUP(J3, IMPORTRANGE(""https://docs.google.com/spreadsheets/d/1yDAaXNsi4Mr5FtRQL4tbmSdIzhx6_m4wkOD7IG-k_eo/edit#gid=1336395716"", ""Science!M:N""), 2, FALSE)"),"(LU006799.001); Default - Remember")</f>
        <v>(LU006799.001); Default - Remember</v>
      </c>
      <c r="L3" s="2" t="str">
        <f t="shared" si="1"/>
        <v>LU006799.002</v>
      </c>
      <c r="M3" s="2" t="str">
        <f ca="1">IFERROR(__xludf.dummyfunction("VLOOKUP(L3, IMPORTRANGE(""https://docs.google.com/spreadsheets/d/1yDAaXNsi4Mr5FtRQL4tbmSdIzhx6_m4wkOD7IG-k_eo/edit#gid=1336395716"", ""Science!M:N""), 2, FALSE)"),"(LU006799.002); Default - Understand")</f>
        <v>(LU006799.002); Default - Understand</v>
      </c>
      <c r="N3" s="2" t="str">
        <f t="shared" si="2"/>
        <v>LU006799.003</v>
      </c>
      <c r="O3" s="2" t="str">
        <f ca="1">IFERROR(__xludf.dummyfunction("VLOOKUP(N3, IMPORTRANGE(""https://docs.google.com/spreadsheets/d/1yDAaXNsi4Mr5FtRQL4tbmSdIzhx6_m4wkOD7IG-k_eo/edit#gid=1336395716"", ""Science!M:N""), 2, FALSE)"),"(LU006799.003); Default - Apply")</f>
        <v>(LU006799.003); Default - Apply</v>
      </c>
      <c r="P3" s="2" t="str">
        <f t="shared" si="3"/>
        <v>LU006799.004</v>
      </c>
      <c r="Q3" s="17" t="str">
        <f ca="1">IFERROR(__xludf.dummyfunction("VLOOKUP(P3, IMPORTRANGE(""https://docs.google.com/spreadsheets/d/1yDAaXNsi4Mr5FtRQL4tbmSdIzhx6_m4wkOD7IG-k_eo/edit#gid=1336395716"", ""Science!M:N""), 2, FALSE)"),"(LU006799.004); Default - Analyse")</f>
        <v>(LU006799.004); Default - Analyse</v>
      </c>
      <c r="R3" s="2" t="str">
        <f t="shared" si="4"/>
        <v>LU006799.005</v>
      </c>
      <c r="S3" s="17" t="str">
        <f ca="1">IFERROR(__xludf.dummyfunction("VLOOKUP(R3, IMPORTRANGE(""https://docs.google.com/spreadsheets/d/1yDAaXNsi4Mr5FtRQL4tbmSdIzhx6_m4wkOD7IG-k_eo/edit#gid=1336395716"", ""Science!M:N""), 2, FALSE)"),"(LU006799.005); Default - Evaluate")</f>
        <v>(LU006799.005); Default - Evaluate</v>
      </c>
      <c r="T3" s="2" t="str">
        <f t="shared" si="5"/>
        <v>LU006799.006</v>
      </c>
      <c r="U3" s="17" t="str">
        <f ca="1">IFERROR(__xludf.dummyfunction("VLOOKUP(T3, IMPORTRANGE(""https://docs.google.com/spreadsheets/d/1yDAaXNsi4Mr5FtRQL4tbmSdIzhx6_m4wkOD7IG-k_eo/edit#gid=1336395716"", ""Science!M:N""), 2, FALSE)"),"(LU006799.006); Default - Create")</f>
        <v>(LU006799.006); Default - Create</v>
      </c>
    </row>
    <row r="4" spans="1:33" ht="41.4">
      <c r="A4" s="2"/>
      <c r="B4" s="2" t="s">
        <v>29</v>
      </c>
      <c r="C4" s="1" t="s">
        <v>30</v>
      </c>
      <c r="D4" s="13">
        <v>7</v>
      </c>
      <c r="E4" s="1" t="s">
        <v>40</v>
      </c>
      <c r="F4" s="1" t="s">
        <v>120</v>
      </c>
      <c r="G4" s="14" t="s">
        <v>123</v>
      </c>
      <c r="H4" s="18" t="str">
        <f ca="1">IFERROR(__xludf.dummyfunction("IFERROR(
  VLOOKUP(G4, IMPORTRANGE(""https://docs.google.com/spreadsheets/d/14deopnvwcrKtEGCKuYXdUHJbeLDZlkiSSWWT0g7x2pM/edit#gid=849066331"", ""LU List Maths (Filter)!A:B""), 2, FALSE),
  IFERROR(
    VLOOKUP(G4, IMPORTRANGE(""https://docs.google.com/spr"&amp;"eadsheets/d/14deopnvwcrKtEGCKuYXdUHJbeLDZlkiSSWWT0g7x2pM/edit#gid=849066331"", ""LU List Science (Filter)!A:B""), 2, FALSE),
    ""Not Found""
  )
)
"),"Measurement of volume of liquid using graduated cylinder and beaker")</f>
        <v>Measurement of volume of liquid using graduated cylinder and beaker</v>
      </c>
      <c r="J4" s="2" t="str">
        <f t="shared" si="0"/>
        <v>LU006800.001</v>
      </c>
      <c r="K4" s="2" t="str">
        <f ca="1">IFERROR(__xludf.dummyfunction("VLOOKUP(J4, IMPORTRANGE(""https://docs.google.com/spreadsheets/d/1yDAaXNsi4Mr5FtRQL4tbmSdIzhx6_m4wkOD7IG-k_eo/edit#gid=1336395716"", ""Science!M:N""), 2, FALSE)"),"(LU006800.001); Default - Remember")</f>
        <v>(LU006800.001); Default - Remember</v>
      </c>
      <c r="L4" s="2" t="str">
        <f t="shared" si="1"/>
        <v>LU006800.002</v>
      </c>
      <c r="M4" s="2" t="str">
        <f ca="1">IFERROR(__xludf.dummyfunction("VLOOKUP(L4, IMPORTRANGE(""https://docs.google.com/spreadsheets/d/1yDAaXNsi4Mr5FtRQL4tbmSdIzhx6_m4wkOD7IG-k_eo/edit#gid=1336395716"", ""Science!M:N""), 2, FALSE)"),"(LU006800.002); Default - Understand")</f>
        <v>(LU006800.002); Default - Understand</v>
      </c>
      <c r="N4" s="2" t="str">
        <f t="shared" si="2"/>
        <v>LU006800.003</v>
      </c>
      <c r="O4" s="2" t="str">
        <f ca="1">IFERROR(__xludf.dummyfunction("VLOOKUP(N4, IMPORTRANGE(""https://docs.google.com/spreadsheets/d/1yDAaXNsi4Mr5FtRQL4tbmSdIzhx6_m4wkOD7IG-k_eo/edit#gid=1336395716"", ""Science!M:N""), 2, FALSE)"),"(LU006800.003); Default - Apply")</f>
        <v>(LU006800.003); Default - Apply</v>
      </c>
      <c r="P4" s="2" t="str">
        <f t="shared" si="3"/>
        <v>LU006800.004</v>
      </c>
      <c r="Q4" s="17" t="str">
        <f ca="1">IFERROR(__xludf.dummyfunction("VLOOKUP(P4, IMPORTRANGE(""https://docs.google.com/spreadsheets/d/1yDAaXNsi4Mr5FtRQL4tbmSdIzhx6_m4wkOD7IG-k_eo/edit#gid=1336395716"", ""Science!M:N""), 2, FALSE)"),"(LU006800.004); Default - Analyse")</f>
        <v>(LU006800.004); Default - Analyse</v>
      </c>
      <c r="R4" s="2" t="str">
        <f t="shared" si="4"/>
        <v>LU006800.005</v>
      </c>
      <c r="S4" s="17" t="str">
        <f ca="1">IFERROR(__xludf.dummyfunction("VLOOKUP(R4, IMPORTRANGE(""https://docs.google.com/spreadsheets/d/1yDAaXNsi4Mr5FtRQL4tbmSdIzhx6_m4wkOD7IG-k_eo/edit#gid=1336395716"", ""Science!M:N""), 2, FALSE)"),"(LU006800.005); Default - Evaluate")</f>
        <v>(LU006800.005); Default - Evaluate</v>
      </c>
      <c r="T4" s="2" t="str">
        <f t="shared" si="5"/>
        <v>LU006800.006</v>
      </c>
      <c r="U4" s="17" t="str">
        <f ca="1">IFERROR(__xludf.dummyfunction("VLOOKUP(T4, IMPORTRANGE(""https://docs.google.com/spreadsheets/d/1yDAaXNsi4Mr5FtRQL4tbmSdIzhx6_m4wkOD7IG-k_eo/edit#gid=1336395716"", ""Science!M:N""), 2, FALSE)"),"(LU006800.006); Default - Create")</f>
        <v>(LU006800.006); Default - Create</v>
      </c>
    </row>
    <row r="5" spans="1:33" ht="41.4">
      <c r="A5" s="2"/>
      <c r="B5" s="2" t="s">
        <v>29</v>
      </c>
      <c r="C5" s="1" t="s">
        <v>30</v>
      </c>
      <c r="D5" s="13">
        <v>7</v>
      </c>
      <c r="E5" s="1" t="s">
        <v>40</v>
      </c>
      <c r="F5" s="1" t="s">
        <v>124</v>
      </c>
      <c r="G5" s="14" t="s">
        <v>125</v>
      </c>
      <c r="H5" s="18" t="str">
        <f ca="1">IFERROR(__xludf.dummyfunction("IFERROR(
  VLOOKUP(G5, IMPORTRANGE(""https://docs.google.com/spreadsheets/d/14deopnvwcrKtEGCKuYXdUHJbeLDZlkiSSWWT0g7x2pM/edit#gid=849066331"", ""LU List Maths (Filter)!A:B""), 2, FALSE),
  IFERROR(
    VLOOKUP(G5, IMPORTRANGE(""https://docs.google.com/spr"&amp;"eadsheets/d/14deopnvwcrKtEGCKuYXdUHJbeLDZlkiSSWWT0g7x2pM/edit#gid=849066331"", ""LU List Science (Filter)!A:B""), 2, FALSE),
    ""Not Found""
  )
)
"),"Measurement of area of irregular shape using graph paper")</f>
        <v>Measurement of area of irregular shape using graph paper</v>
      </c>
      <c r="J5" s="2" t="str">
        <f t="shared" si="0"/>
        <v>LU006801.001</v>
      </c>
      <c r="K5" s="2" t="str">
        <f ca="1">IFERROR(__xludf.dummyfunction("VLOOKUP(J5, IMPORTRANGE(""https://docs.google.com/spreadsheets/d/1yDAaXNsi4Mr5FtRQL4tbmSdIzhx6_m4wkOD7IG-k_eo/edit#gid=1336395716"", ""Science!M:N""), 2, FALSE)"),"(LU006801.001); Default - Remember")</f>
        <v>(LU006801.001); Default - Remember</v>
      </c>
      <c r="L5" s="2" t="str">
        <f t="shared" si="1"/>
        <v>LU006801.002</v>
      </c>
      <c r="M5" s="2" t="str">
        <f ca="1">IFERROR(__xludf.dummyfunction("VLOOKUP(L5, IMPORTRANGE(""https://docs.google.com/spreadsheets/d/1yDAaXNsi4Mr5FtRQL4tbmSdIzhx6_m4wkOD7IG-k_eo/edit#gid=1336395716"", ""Science!M:N""), 2, FALSE)"),"(LU006801.002); Default - Understand")</f>
        <v>(LU006801.002); Default - Understand</v>
      </c>
      <c r="N5" s="2" t="str">
        <f t="shared" si="2"/>
        <v>LU006801.003</v>
      </c>
      <c r="O5" s="2" t="str">
        <f ca="1">IFERROR(__xludf.dummyfunction("VLOOKUP(N5, IMPORTRANGE(""https://docs.google.com/spreadsheets/d/1yDAaXNsi4Mr5FtRQL4tbmSdIzhx6_m4wkOD7IG-k_eo/edit#gid=1336395716"", ""Science!M:N""), 2, FALSE)"),"(LU006801.003); Default - Apply")</f>
        <v>(LU006801.003); Default - Apply</v>
      </c>
      <c r="P5" s="2" t="str">
        <f t="shared" si="3"/>
        <v>LU006801.004</v>
      </c>
      <c r="Q5" s="17" t="str">
        <f ca="1">IFERROR(__xludf.dummyfunction("VLOOKUP(P5, IMPORTRANGE(""https://docs.google.com/spreadsheets/d/1yDAaXNsi4Mr5FtRQL4tbmSdIzhx6_m4wkOD7IG-k_eo/edit#gid=1336395716"", ""Science!M:N""), 2, FALSE)"),"(LU006801.004); Default - Analyse")</f>
        <v>(LU006801.004); Default - Analyse</v>
      </c>
      <c r="R5" s="2" t="str">
        <f t="shared" si="4"/>
        <v>LU006801.005</v>
      </c>
      <c r="S5" s="17" t="str">
        <f ca="1">IFERROR(__xludf.dummyfunction("VLOOKUP(R5, IMPORTRANGE(""https://docs.google.com/spreadsheets/d/1yDAaXNsi4Mr5FtRQL4tbmSdIzhx6_m4wkOD7IG-k_eo/edit#gid=1336395716"", ""Science!M:N""), 2, FALSE)"),"(LU006801.005); Default - Evaluate")</f>
        <v>(LU006801.005); Default - Evaluate</v>
      </c>
      <c r="T5" s="2" t="str">
        <f t="shared" si="5"/>
        <v>LU006801.006</v>
      </c>
      <c r="U5" s="17" t="str">
        <f ca="1">IFERROR(__xludf.dummyfunction("VLOOKUP(T5, IMPORTRANGE(""https://docs.google.com/spreadsheets/d/1yDAaXNsi4Mr5FtRQL4tbmSdIzhx6_m4wkOD7IG-k_eo/edit#gid=1336395716"", ""Science!M:N""), 2, FALSE)"),"(LU006801.006); Default - Create")</f>
        <v>(LU006801.006); Default - Create</v>
      </c>
    </row>
    <row r="6" spans="1:33" ht="27.6">
      <c r="A6" s="2"/>
      <c r="B6" s="2" t="s">
        <v>29</v>
      </c>
      <c r="C6" s="1" t="s">
        <v>30</v>
      </c>
      <c r="D6" s="13">
        <v>7</v>
      </c>
      <c r="E6" s="1" t="s">
        <v>40</v>
      </c>
      <c r="F6" s="1" t="s">
        <v>126</v>
      </c>
      <c r="G6" s="14" t="s">
        <v>127</v>
      </c>
      <c r="H6" s="18" t="str">
        <f ca="1">IFERROR(__xludf.dummyfunction("IFERROR(
  VLOOKUP(G6, IMPORTRANGE(""https://docs.google.com/spreadsheets/d/14deopnvwcrKtEGCKuYXdUHJbeLDZlkiSSWWT0g7x2pM/edit#gid=849066331"", ""LU List Maths (Filter)!A:B""), 2, FALSE),
  IFERROR(
    VLOOKUP(G6, IMPORTRANGE(""https://docs.google.com/spr"&amp;"eadsheets/d/14deopnvwcrKtEGCKuYXdUHJbeLDZlkiSSWWT0g7x2pM/edit#gid=849066331"", ""LU List Science (Filter)!A:B""), 2, FALSE),
    ""Not Found""
  )
)
"),"Concept of Density- Definition, Unit and Formula")</f>
        <v>Concept of Density- Definition, Unit and Formula</v>
      </c>
      <c r="J6" s="2" t="str">
        <f t="shared" si="0"/>
        <v>LU006802.001</v>
      </c>
      <c r="K6" s="2" t="str">
        <f ca="1">IFERROR(__xludf.dummyfunction("VLOOKUP(J6, IMPORTRANGE(""https://docs.google.com/spreadsheets/d/1yDAaXNsi4Mr5FtRQL4tbmSdIzhx6_m4wkOD7IG-k_eo/edit#gid=1336395716"", ""Science!M:N""), 2, FALSE)"),"(LU006802.001); Default - Remember")</f>
        <v>(LU006802.001); Default - Remember</v>
      </c>
      <c r="L6" s="2" t="str">
        <f t="shared" si="1"/>
        <v>LU006802.002</v>
      </c>
      <c r="M6" s="2" t="str">
        <f ca="1">IFERROR(__xludf.dummyfunction("VLOOKUP(L6, IMPORTRANGE(""https://docs.google.com/spreadsheets/d/1yDAaXNsi4Mr5FtRQL4tbmSdIzhx6_m4wkOD7IG-k_eo/edit#gid=1336395716"", ""Science!M:N""), 2, FALSE)"),"(LU006802.002); Default - Understand")</f>
        <v>(LU006802.002); Default - Understand</v>
      </c>
      <c r="N6" s="2" t="str">
        <f t="shared" si="2"/>
        <v>LU006802.003</v>
      </c>
      <c r="O6" s="2" t="str">
        <f ca="1">IFERROR(__xludf.dummyfunction("VLOOKUP(N6, IMPORTRANGE(""https://docs.google.com/spreadsheets/d/1yDAaXNsi4Mr5FtRQL4tbmSdIzhx6_m4wkOD7IG-k_eo/edit#gid=1336395716"", ""Science!M:N""), 2, FALSE)"),"(LU006802.003); Default - Apply")</f>
        <v>(LU006802.003); Default - Apply</v>
      </c>
      <c r="P6" s="2" t="str">
        <f t="shared" si="3"/>
        <v>LU006802.004</v>
      </c>
      <c r="Q6" s="17" t="str">
        <f ca="1">IFERROR(__xludf.dummyfunction("VLOOKUP(P6, IMPORTRANGE(""https://docs.google.com/spreadsheets/d/1yDAaXNsi4Mr5FtRQL4tbmSdIzhx6_m4wkOD7IG-k_eo/edit#gid=1336395716"", ""Science!M:N""), 2, FALSE)"),"(LU006802.004); Default - Analyse")</f>
        <v>(LU006802.004); Default - Analyse</v>
      </c>
      <c r="R6" s="2" t="str">
        <f t="shared" si="4"/>
        <v>LU006802.005</v>
      </c>
      <c r="S6" s="17" t="str">
        <f ca="1">IFERROR(__xludf.dummyfunction("VLOOKUP(R6, IMPORTRANGE(""https://docs.google.com/spreadsheets/d/1yDAaXNsi4Mr5FtRQL4tbmSdIzhx6_m4wkOD7IG-k_eo/edit#gid=1336395716"", ""Science!M:N""), 2, FALSE)"),"(LU006802.005); Default - Evaluate")</f>
        <v>(LU006802.005); Default - Evaluate</v>
      </c>
      <c r="T6" s="2" t="str">
        <f t="shared" si="5"/>
        <v>LU006802.006</v>
      </c>
      <c r="U6" s="17" t="str">
        <f ca="1">IFERROR(__xludf.dummyfunction("VLOOKUP(T6, IMPORTRANGE(""https://docs.google.com/spreadsheets/d/1yDAaXNsi4Mr5FtRQL4tbmSdIzhx6_m4wkOD7IG-k_eo/edit#gid=1336395716"", ""Science!M:N""), 2, FALSE)"),"(LU006802.006); Default - Create")</f>
        <v>(LU006802.006); Default - Create</v>
      </c>
    </row>
    <row r="7" spans="1:33" ht="27.6">
      <c r="A7" s="2"/>
      <c r="B7" s="2" t="s">
        <v>29</v>
      </c>
      <c r="C7" s="1" t="s">
        <v>30</v>
      </c>
      <c r="D7" s="13">
        <v>7</v>
      </c>
      <c r="E7" s="1" t="s">
        <v>40</v>
      </c>
      <c r="F7" s="1" t="s">
        <v>126</v>
      </c>
      <c r="G7" s="14" t="s">
        <v>128</v>
      </c>
      <c r="H7" s="18" t="str">
        <f ca="1">IFERROR(__xludf.dummyfunction("IFERROR(
  VLOOKUP(G7, IMPORTRANGE(""https://docs.google.com/spreadsheets/d/14deopnvwcrKtEGCKuYXdUHJbeLDZlkiSSWWT0g7x2pM/edit#gid=849066331"", ""LU List Maths (Filter)!A:B""), 2, FALSE),
  IFERROR(
    VLOOKUP(G7, IMPORTRANGE(""https://docs.google.com/spr"&amp;"eadsheets/d/14deopnvwcrKtEGCKuYXdUHJbeLDZlkiSSWWT0g7x2pM/edit#gid=849066331"", ""LU List Science (Filter)!A:B""), 2, FALSE),
    ""Not Found""
  )
)
"),"Measurement of Density of a regular solid")</f>
        <v>Measurement of Density of a regular solid</v>
      </c>
      <c r="J7" s="2" t="str">
        <f t="shared" si="0"/>
        <v>LU006803.001</v>
      </c>
      <c r="K7" s="2" t="str">
        <f ca="1">IFERROR(__xludf.dummyfunction("VLOOKUP(J7, IMPORTRANGE(""https://docs.google.com/spreadsheets/d/1yDAaXNsi4Mr5FtRQL4tbmSdIzhx6_m4wkOD7IG-k_eo/edit#gid=1336395716"", ""Science!M:N""), 2, FALSE)"),"(LU006803.001); Default - Remember")</f>
        <v>(LU006803.001); Default - Remember</v>
      </c>
      <c r="L7" s="2" t="str">
        <f t="shared" si="1"/>
        <v>LU006803.002</v>
      </c>
      <c r="M7" s="2" t="str">
        <f ca="1">IFERROR(__xludf.dummyfunction("VLOOKUP(L7, IMPORTRANGE(""https://docs.google.com/spreadsheets/d/1yDAaXNsi4Mr5FtRQL4tbmSdIzhx6_m4wkOD7IG-k_eo/edit#gid=1336395716"", ""Science!M:N""), 2, FALSE)"),"(LU006803.002); Default - Understand")</f>
        <v>(LU006803.002); Default - Understand</v>
      </c>
      <c r="N7" s="2" t="str">
        <f t="shared" si="2"/>
        <v>LU006803.003</v>
      </c>
      <c r="O7" s="2" t="str">
        <f ca="1">IFERROR(__xludf.dummyfunction("VLOOKUP(N7, IMPORTRANGE(""https://docs.google.com/spreadsheets/d/1yDAaXNsi4Mr5FtRQL4tbmSdIzhx6_m4wkOD7IG-k_eo/edit#gid=1336395716"", ""Science!M:N""), 2, FALSE)"),"(LU006803.003); Default - Apply")</f>
        <v>(LU006803.003); Default - Apply</v>
      </c>
      <c r="P7" s="2" t="str">
        <f t="shared" si="3"/>
        <v>LU006803.004</v>
      </c>
      <c r="Q7" s="17" t="str">
        <f ca="1">IFERROR(__xludf.dummyfunction("VLOOKUP(P7, IMPORTRANGE(""https://docs.google.com/spreadsheets/d/1yDAaXNsi4Mr5FtRQL4tbmSdIzhx6_m4wkOD7IG-k_eo/edit#gid=1336395716"", ""Science!M:N""), 2, FALSE)"),"(LU006803.004); Default - Analyse")</f>
        <v>(LU006803.004); Default - Analyse</v>
      </c>
      <c r="R7" s="2" t="str">
        <f t="shared" si="4"/>
        <v>LU006803.005</v>
      </c>
      <c r="S7" s="17" t="str">
        <f ca="1">IFERROR(__xludf.dummyfunction("VLOOKUP(R7, IMPORTRANGE(""https://docs.google.com/spreadsheets/d/1yDAaXNsi4Mr5FtRQL4tbmSdIzhx6_m4wkOD7IG-k_eo/edit#gid=1336395716"", ""Science!M:N""), 2, FALSE)"),"(LU006803.005); Default - Evaluate")</f>
        <v>(LU006803.005); Default - Evaluate</v>
      </c>
      <c r="T7" s="2" t="str">
        <f t="shared" si="5"/>
        <v>LU006803.006</v>
      </c>
      <c r="U7" s="17" t="str">
        <f ca="1">IFERROR(__xludf.dummyfunction("VLOOKUP(T7, IMPORTRANGE(""https://docs.google.com/spreadsheets/d/1yDAaXNsi4Mr5FtRQL4tbmSdIzhx6_m4wkOD7IG-k_eo/edit#gid=1336395716"", ""Science!M:N""), 2, FALSE)"),"(LU006803.006); Default - Create")</f>
        <v>(LU006803.006); Default - Create</v>
      </c>
    </row>
    <row r="8" spans="1:33" ht="27.6">
      <c r="A8" s="2"/>
      <c r="B8" s="2" t="s">
        <v>29</v>
      </c>
      <c r="C8" s="1" t="s">
        <v>30</v>
      </c>
      <c r="D8" s="13">
        <v>7</v>
      </c>
      <c r="E8" s="1" t="s">
        <v>40</v>
      </c>
      <c r="F8" s="1" t="s">
        <v>129</v>
      </c>
      <c r="G8" s="1" t="s">
        <v>130</v>
      </c>
      <c r="H8" s="18" t="str">
        <f ca="1">IFERROR(__xludf.dummyfunction("IFERROR(
  VLOOKUP(G8, IMPORTRANGE(""https://docs.google.com/spreadsheets/d/14deopnvwcrKtEGCKuYXdUHJbeLDZlkiSSWWT0g7x2pM/edit#gid=849066331"", ""LU List Maths (Filter)!A:B""), 2, FALSE),
  IFERROR(
    VLOOKUP(G8, IMPORTRANGE(""https://docs.google.com/spr"&amp;"eadsheets/d/14deopnvwcrKtEGCKuYXdUHJbeLDZlkiSSWWT0g7x2pM/edit#gid=849066331"", ""LU List Science (Filter)!A:B""), 2, FALSE),
    ""Not Found""
  )
)
"),"Definition of Speed")</f>
        <v>Definition of Speed</v>
      </c>
      <c r="J8" s="2" t="str">
        <f t="shared" si="0"/>
        <v>LU005375.001</v>
      </c>
      <c r="K8" s="2" t="str">
        <f ca="1">IFERROR(__xludf.dummyfunction("VLOOKUP(J8, IMPORTRANGE(""https://docs.google.com/spreadsheets/d/1yDAaXNsi4Mr5FtRQL4tbmSdIzhx6_m4wkOD7IG-k_eo/edit#gid=1336395716"", ""Science!M:N""), 2, FALSE)"),"Define speed and average speed.")</f>
        <v>Define speed and average speed.</v>
      </c>
      <c r="L8" s="2" t="str">
        <f t="shared" si="1"/>
        <v>LU005375.002</v>
      </c>
      <c r="M8" s="2" t="str">
        <f ca="1">IFERROR(__xludf.dummyfunction("VLOOKUP(L8, IMPORTRANGE(""https://docs.google.com/spreadsheets/d/1yDAaXNsi4Mr5FtRQL4tbmSdIzhx6_m4wkOD7IG-k_eo/edit#gid=1336395716"", ""Science!M:N""), 2, FALSE)"),"Explain what speed indicates in terms of motion.")</f>
        <v>Explain what speed indicates in terms of motion.</v>
      </c>
      <c r="N8" s="2" t="str">
        <f t="shared" si="2"/>
        <v>LU005375.003</v>
      </c>
      <c r="O8" s="2" t="str">
        <f ca="1">IFERROR(__xludf.dummyfunction("VLOOKUP(N8, IMPORTRANGE(""https://docs.google.com/spreadsheets/d/1yDAaXNsi4Mr5FtRQL4tbmSdIzhx6_m4wkOD7IG-k_eo/edit#gid=1336395716"", ""Science!M:N""), 2, FALSE)"),"Identify examples in daily life where speed plays a role.")</f>
        <v>Identify examples in daily life where speed plays a role.</v>
      </c>
      <c r="P8" s="2" t="str">
        <f t="shared" si="3"/>
        <v>LU005375.004</v>
      </c>
      <c r="Q8" s="17" t="str">
        <f ca="1">IFERROR(__xludf.dummyfunction("VLOOKUP(P8, IMPORTRANGE(""https://docs.google.com/spreadsheets/d/1yDAaXNsi4Mr5FtRQL4tbmSdIzhx6_m4wkOD7IG-k_eo/edit#gid=1336395716"", ""Science!M:N""), 2, FALSE)"),"#N/A")</f>
        <v>#N/A</v>
      </c>
      <c r="R8" s="2" t="str">
        <f t="shared" si="4"/>
        <v>LU005375.005</v>
      </c>
      <c r="S8" s="17" t="str">
        <f ca="1">IFERROR(__xludf.dummyfunction("VLOOKUP(R8, IMPORTRANGE(""https://docs.google.com/spreadsheets/d/1yDAaXNsi4Mr5FtRQL4tbmSdIzhx6_m4wkOD7IG-k_eo/edit#gid=1336395716"", ""Science!M:N""), 2, FALSE)"),"Compare the importance of understanding speed in different scenarios.")</f>
        <v>Compare the importance of understanding speed in different scenarios.</v>
      </c>
      <c r="T8" s="2" t="str">
        <f t="shared" si="5"/>
        <v>LU005375.006</v>
      </c>
      <c r="U8" s="17" t="str">
        <f ca="1">IFERROR(__xludf.dummyfunction("VLOOKUP(T8, IMPORTRANGE(""https://docs.google.com/spreadsheets/d/1yDAaXNsi4Mr5FtRQL4tbmSdIzhx6_m4wkOD7IG-k_eo/edit#gid=1336395716"", ""Science!M:N""), 2, FALSE)"),"Formulate a scenario to demonstrate speed in action.")</f>
        <v>Formulate a scenario to demonstrate speed in action.</v>
      </c>
    </row>
    <row r="9" spans="1:33" ht="27.6">
      <c r="A9" s="2"/>
      <c r="B9" s="2" t="s">
        <v>29</v>
      </c>
      <c r="C9" s="1" t="s">
        <v>30</v>
      </c>
      <c r="D9" s="13">
        <v>7</v>
      </c>
      <c r="E9" s="1" t="s">
        <v>40</v>
      </c>
      <c r="F9" s="1" t="s">
        <v>129</v>
      </c>
      <c r="G9" s="1" t="s">
        <v>131</v>
      </c>
      <c r="H9" s="18" t="str">
        <f ca="1">IFERROR(__xludf.dummyfunction("IFERROR(
  VLOOKUP(G9, IMPORTRANGE(""https://docs.google.com/spreadsheets/d/14deopnvwcrKtEGCKuYXdUHJbeLDZlkiSSWWT0g7x2pM/edit#gid=849066331"", ""LU List Maths (Filter)!A:B""), 2, FALSE),
  IFERROR(
    VLOOKUP(G9, IMPORTRANGE(""https://docs.google.com/spr"&amp;"eadsheets/d/14deopnvwcrKtEGCKuYXdUHJbeLDZlkiSSWWT0g7x2pM/edit#gid=849066331"", ""LU List Science (Filter)!A:B""), 2, FALSE),
    ""Not Found""
  )
)
"),"Units of Speed")</f>
        <v>Units of Speed</v>
      </c>
      <c r="J9" s="2" t="str">
        <f t="shared" si="0"/>
        <v>LU005376.001</v>
      </c>
      <c r="K9" s="2" t="str">
        <f ca="1">IFERROR(__xludf.dummyfunction("VLOOKUP(J9, IMPORTRANGE(""https://docs.google.com/spreadsheets/d/1yDAaXNsi4Mr5FtRQL4tbmSdIzhx6_m4wkOD7IG-k_eo/edit#gid=1336395716"", ""Science!M:N""), 2, FALSE)"),"Recall the standard units for measuring speed.")</f>
        <v>Recall the standard units for measuring speed.</v>
      </c>
      <c r="L9" s="2" t="str">
        <f t="shared" si="1"/>
        <v>LU005376.002</v>
      </c>
      <c r="M9" s="2" t="str">
        <f ca="1">IFERROR(__xludf.dummyfunction("VLOOKUP(L9, IMPORTRANGE(""https://docs.google.com/spreadsheets/d/1yDAaXNsi4Mr5FtRQL4tbmSdIzhx6_m4wkOD7IG-k_eo/edit#gid=1336395716"", ""Science!M:N""), 2, FALSE)"),"Describe what 'kilometers per hour' means.")</f>
        <v>Describe what 'kilometers per hour' means.</v>
      </c>
      <c r="N9" s="2" t="str">
        <f t="shared" si="2"/>
        <v>LU005376.003</v>
      </c>
      <c r="O9" s="2" t="str">
        <f ca="1">IFERROR(__xludf.dummyfunction("VLOOKUP(N9, IMPORTRANGE(""https://docs.google.com/spreadsheets/d/1yDAaXNsi4Mr5FtRQL4tbmSdIzhx6_m4wkOD7IG-k_eo/edit#gid=1336395716"", ""Science!M:N""), 2, FALSE)"),"Convert speeds from one unit to another.")</f>
        <v>Convert speeds from one unit to another.</v>
      </c>
      <c r="P9" s="2" t="str">
        <f t="shared" si="3"/>
        <v>LU005376.004</v>
      </c>
      <c r="Q9" s="17" t="str">
        <f ca="1">IFERROR(__xludf.dummyfunction("VLOOKUP(P9, IMPORTRANGE(""https://docs.google.com/spreadsheets/d/1yDAaXNsi4Mr5FtRQL4tbmSdIzhx6_m4wkOD7IG-k_eo/edit#gid=1336395716"", ""Science!M:N""), 2, FALSE)"),"Examine the appropriateness of using certain units in specific contexts.")</f>
        <v>Examine the appropriateness of using certain units in specific contexts.</v>
      </c>
      <c r="R9" s="2" t="str">
        <f t="shared" si="4"/>
        <v>LU005376.005</v>
      </c>
      <c r="S9" s="17" t="str">
        <f ca="1">IFERROR(__xludf.dummyfunction("VLOOKUP(R9, IMPORTRANGE(""https://docs.google.com/spreadsheets/d/1yDAaXNsi4Mr5FtRQL4tbmSdIzhx6_m4wkOD7IG-k_eo/edit#gid=1336395716"", ""Science!M:N""), 2, FALSE)"),"Judge the efficiency of using different units for various speeds.")</f>
        <v>Judge the efficiency of using different units for various speeds.</v>
      </c>
      <c r="T9" s="2" t="str">
        <f t="shared" si="5"/>
        <v>LU005376.006</v>
      </c>
      <c r="U9" s="17" t="str">
        <f ca="1">IFERROR(__xludf.dummyfunction("VLOOKUP(T9, IMPORTRANGE(""https://docs.google.com/spreadsheets/d/1yDAaXNsi4Mr5FtRQL4tbmSdIzhx6_m4wkOD7IG-k_eo/edit#gid=1336395716"", ""Science!M:N""), 2, FALSE)"),"#N/A")</f>
        <v>#N/A</v>
      </c>
    </row>
    <row r="10" spans="1:33" ht="27.6">
      <c r="A10" s="2"/>
      <c r="B10" s="2" t="s">
        <v>29</v>
      </c>
      <c r="C10" s="1" t="s">
        <v>30</v>
      </c>
      <c r="D10" s="13">
        <v>7</v>
      </c>
      <c r="E10" s="1" t="s">
        <v>40</v>
      </c>
      <c r="F10" s="1" t="s">
        <v>129</v>
      </c>
      <c r="G10" s="1" t="s">
        <v>132</v>
      </c>
      <c r="H10" s="18" t="str">
        <f ca="1">IFERROR(__xludf.dummyfunction("IFERROR(
  VLOOKUP(G10, IMPORTRANGE(""https://docs.google.com/spreadsheets/d/14deopnvwcrKtEGCKuYXdUHJbeLDZlkiSSWWT0g7x2pM/edit#gid=849066331"", ""LU List Maths (Filter)!A:B""), 2, FALSE),
  IFERROR(
    VLOOKUP(G10, IMPORTRANGE(""https://docs.google.com/s"&amp;"preadsheets/d/14deopnvwcrKtEGCKuYXdUHJbeLDZlkiSSWWT0g7x2pM/edit#gid=849066331"", ""LU List Science (Filter)!A:B""), 2, FALSE),
    ""Not Found""
  )
)
"),"Calculation of Speed Using its Formula")</f>
        <v>Calculation of Speed Using its Formula</v>
      </c>
      <c r="J10" s="2" t="str">
        <f t="shared" si="0"/>
        <v>LU005377.001</v>
      </c>
      <c r="K10" s="2" t="str">
        <f ca="1">IFERROR(__xludf.dummyfunction("VLOOKUP(J10, IMPORTRANGE(""https://docs.google.com/spreadsheets/d/1yDAaXNsi4Mr5FtRQL4tbmSdIzhx6_m4wkOD7IG-k_eo/edit#gid=1336395716"", ""Science!M:N""), 2, FALSE)"),"State the formula for speed.")</f>
        <v>State the formula for speed.</v>
      </c>
      <c r="L10" s="2" t="str">
        <f t="shared" si="1"/>
        <v>LU005377.002</v>
      </c>
      <c r="M10" s="2" t="str">
        <f ca="1">IFERROR(__xludf.dummyfunction("VLOOKUP(L10, IMPORTRANGE(""https://docs.google.com/spreadsheets/d/1yDAaXNsi4Mr5FtRQL4tbmSdIzhx6_m4wkOD7IG-k_eo/edit#gid=1336395716"", ""Science!M:N""), 2, FALSE)"),"Interpret the terms in the formula of speed. ")</f>
        <v xml:space="preserve">Interpret the terms in the formula of speed. </v>
      </c>
      <c r="N10" s="2" t="str">
        <f t="shared" si="2"/>
        <v>LU005377.003</v>
      </c>
      <c r="O10" s="2" t="str">
        <f ca="1">IFERROR(__xludf.dummyfunction("VLOOKUP(N10, IMPORTRANGE(""https://docs.google.com/spreadsheets/d/1yDAaXNsi4Mr5FtRQL4tbmSdIzhx6_m4wkOD7IG-k_eo/edit#gid=1336395716"", ""Science!M:N""), 2, FALSE)"),"Calculate speed and average speed using the formula given time and distance.")</f>
        <v>Calculate speed and average speed using the formula given time and distance.</v>
      </c>
      <c r="P10" s="2" t="str">
        <f t="shared" si="3"/>
        <v>LU005377.004</v>
      </c>
      <c r="Q10" s="17" t="str">
        <f ca="1">IFERROR(__xludf.dummyfunction("VLOOKUP(P10, IMPORTRANGE(""https://docs.google.com/spreadsheets/d/1yDAaXNsi4Mr5FtRQL4tbmSdIzhx6_m4wkOD7IG-k_eo/edit#gid=1336395716"", ""Science!M:N""), 2, FALSE)"),"Dissect a complex motion problem to compute speed.")</f>
        <v>Dissect a complex motion problem to compute speed.</v>
      </c>
      <c r="R10" s="2" t="str">
        <f t="shared" si="4"/>
        <v>LU005377.005</v>
      </c>
      <c r="S10" s="17" t="str">
        <f ca="1">IFERROR(__xludf.dummyfunction("VLOOKUP(R10, IMPORTRANGE(""https://docs.google.com/spreadsheets/d/1yDAaXNsi4Mr5FtRQL4tbmSdIzhx6_m4wkOD7IG-k_eo/edit#gid=1336395716"", ""Science!M:N""), 2, FALSE)"),"#N/A")</f>
        <v>#N/A</v>
      </c>
      <c r="T10" s="2" t="str">
        <f t="shared" si="5"/>
        <v>LU005377.006</v>
      </c>
      <c r="U10" s="17" t="str">
        <f ca="1">IFERROR(__xludf.dummyfunction("VLOOKUP(T10, IMPORTRANGE(""https://docs.google.com/spreadsheets/d/1yDAaXNsi4Mr5FtRQL4tbmSdIzhx6_m4wkOD7IG-k_eo/edit#gid=1336395716"", ""Science!M:N""), 2, FALSE)"),"Design a practical experiment to measure and calculate speed.")</f>
        <v>Design a practical experiment to measure and calculate speed.</v>
      </c>
    </row>
    <row r="11" spans="1:33" ht="41.4">
      <c r="A11" s="2"/>
      <c r="B11" s="2" t="s">
        <v>29</v>
      </c>
      <c r="C11" s="1" t="s">
        <v>30</v>
      </c>
      <c r="D11" s="13">
        <v>7</v>
      </c>
      <c r="E11" s="2" t="s">
        <v>133</v>
      </c>
      <c r="F11" s="1" t="s">
        <v>134</v>
      </c>
      <c r="G11" s="2" t="s">
        <v>135</v>
      </c>
      <c r="H11" s="18" t="str">
        <f ca="1">IFERROR(__xludf.dummyfunction("IFERROR(
  VLOOKUP(G11, IMPORTRANGE(""https://docs.google.com/spreadsheets/d/14deopnvwcrKtEGCKuYXdUHJbeLDZlkiSSWWT0g7x2pM/edit#gid=849066331"", ""LU List Maths (Filter)!A:B""), 2, FALSE),
  IFERROR(
    VLOOKUP(G11, IMPORTRANGE(""https://docs.google.com/s"&amp;"preadsheets/d/14deopnvwcrKtEGCKuYXdUHJbeLDZlkiSSWWT0g7x2pM/edit#gid=849066331"", ""LU List Science (Filter)!A:B""), 2, FALSE),
    ""Not Found""
  )
)
"),"Comparison of object in the State of rest vs State of Motion")</f>
        <v>Comparison of object in the State of rest vs State of Motion</v>
      </c>
      <c r="J11" s="2" t="str">
        <f t="shared" si="0"/>
        <v>LU005177.001</v>
      </c>
      <c r="K11" s="2" t="str">
        <f ca="1">IFERROR(__xludf.dummyfunction("VLOOKUP(J11, IMPORTRANGE(""https://docs.google.com/spreadsheets/d/1yDAaXNsi4Mr5FtRQL4tbmSdIzhx6_m4wkOD7IG-k_eo/edit#gid=1336395716"", ""Science!M:N""), 2, FALSE)"),"Identify objects from daily life that are in motion and those that are at rest.")</f>
        <v>Identify objects from daily life that are in motion and those that are at rest.</v>
      </c>
      <c r="L11" s="2" t="str">
        <f t="shared" si="1"/>
        <v>LU005177.002</v>
      </c>
      <c r="M11" s="2" t="str">
        <f ca="1">IFERROR(__xludf.dummyfunction("VLOOKUP(L11, IMPORTRANGE(""https://docs.google.com/spreadsheets/d/1yDAaXNsi4Mr5FtRQL4tbmSdIzhx6_m4wkOD7IG-k_eo/edit#gid=1336395716"", ""Science!M:N""), 2, FALSE)"),"Describe the basis on which decisions about an object's motion or rest are made.")</f>
        <v>Describe the basis on which decisions about an object's motion or rest are made.</v>
      </c>
      <c r="N11" s="2" t="str">
        <f t="shared" si="2"/>
        <v>LU005177.003</v>
      </c>
      <c r="O11" s="2" t="str">
        <f ca="1">IFERROR(__xludf.dummyfunction("VLOOKUP(N11, IMPORTRANGE(""https://docs.google.com/spreadsheets/d/1yDAaXNsi4Mr5FtRQL4tbmSdIzhx6_m4wkOD7IG-k_eo/edit#gid=1336395716"", ""Science!M:N""), 2, FALSE)"),"Classify observed objects based on their state of motion or rest.")</f>
        <v>Classify observed objects based on their state of motion or rest.</v>
      </c>
      <c r="P11" s="2" t="str">
        <f t="shared" si="3"/>
        <v>LU005177.004</v>
      </c>
      <c r="Q11" s="17" t="str">
        <f ca="1">IFERROR(__xludf.dummyfunction("VLOOKUP(P11, IMPORTRANGE(""https://docs.google.com/spreadsheets/d/1yDAaXNsi4Mr5FtRQL4tbmSdIzhx6_m4wkOD7IG-k_eo/edit#gid=1336395716"", ""Science!M:N""), 2, FALSE)"),"Analyze the characteristics of objects in both states of rest and motion")</f>
        <v>Analyze the characteristics of objects in both states of rest and motion</v>
      </c>
      <c r="R11" s="2" t="str">
        <f t="shared" si="4"/>
        <v>LU005177.005</v>
      </c>
      <c r="S11" s="17" t="str">
        <f ca="1">IFERROR(__xludf.dummyfunction("VLOOKUP(R11, IMPORTRANGE(""https://docs.google.com/spreadsheets/d/1yDAaXNsi4Mr5FtRQL4tbmSdIzhx6_m4wkOD7IG-k_eo/edit#gid=1336395716"", ""Science!M:N""), 2, FALSE)"),"Evaluate the differences between objects in the state of rest and objects in the state of motion")</f>
        <v>Evaluate the differences between objects in the state of rest and objects in the state of motion</v>
      </c>
      <c r="T11" s="2" t="str">
        <f t="shared" si="5"/>
        <v>LU005177.006</v>
      </c>
      <c r="U11" s="17" t="str">
        <f ca="1">IFERROR(__xludf.dummyfunction("VLOOKUP(T11, IMPORTRANGE(""https://docs.google.com/spreadsheets/d/1yDAaXNsi4Mr5FtRQL4tbmSdIzhx6_m4wkOD7IG-k_eo/edit#gid=1336395716"", ""Science!M:N""), 2, FALSE)"),"#N/A")</f>
        <v>#N/A</v>
      </c>
    </row>
    <row r="12" spans="1:33" ht="27.6">
      <c r="A12" s="2"/>
      <c r="B12" s="2" t="s">
        <v>29</v>
      </c>
      <c r="C12" s="1" t="s">
        <v>30</v>
      </c>
      <c r="D12" s="13">
        <v>7</v>
      </c>
      <c r="E12" s="2" t="s">
        <v>133</v>
      </c>
      <c r="F12" s="1" t="s">
        <v>136</v>
      </c>
      <c r="G12" s="14" t="s">
        <v>137</v>
      </c>
      <c r="H12" s="18" t="str">
        <f ca="1">IFERROR(__xludf.dummyfunction("IFERROR(
  VLOOKUP(G12, IMPORTRANGE(""https://docs.google.com/spreadsheets/d/14deopnvwcrKtEGCKuYXdUHJbeLDZlkiSSWWT0g7x2pM/edit#gid=849066331"", ""LU List Maths (Filter)!A:B""), 2, FALSE),
  IFERROR(
    VLOOKUP(G12, IMPORTRANGE(""https://docs.google.com/s"&amp;"preadsheets/d/14deopnvwcrKtEGCKuYXdUHJbeLDZlkiSSWWT0g7x2pM/edit#gid=849066331"", ""LU List Science (Filter)!A:B""), 2, FALSE),
    ""Not Found""
  )
)
"),"Understanding translatory motion")</f>
        <v>Understanding translatory motion</v>
      </c>
      <c r="J12" s="2" t="str">
        <f t="shared" si="0"/>
        <v>LU006804.001</v>
      </c>
      <c r="K12" s="2" t="str">
        <f ca="1">IFERROR(__xludf.dummyfunction("VLOOKUP(J12, IMPORTRANGE(""https://docs.google.com/spreadsheets/d/1yDAaXNsi4Mr5FtRQL4tbmSdIzhx6_m4wkOD7IG-k_eo/edit#gid=1336395716"", ""Science!M:N""), 2, FALSE)"),"(LU006804.001); Default - Remember")</f>
        <v>(LU006804.001); Default - Remember</v>
      </c>
      <c r="L12" s="2" t="str">
        <f t="shared" si="1"/>
        <v>LU006804.002</v>
      </c>
      <c r="M12" s="2" t="str">
        <f ca="1">IFERROR(__xludf.dummyfunction("VLOOKUP(L12, IMPORTRANGE(""https://docs.google.com/spreadsheets/d/1yDAaXNsi4Mr5FtRQL4tbmSdIzhx6_m4wkOD7IG-k_eo/edit#gid=1336395716"", ""Science!M:N""), 2, FALSE)"),"(LU006804.002); Default - Understand")</f>
        <v>(LU006804.002); Default - Understand</v>
      </c>
      <c r="N12" s="2" t="str">
        <f t="shared" si="2"/>
        <v>LU006804.003</v>
      </c>
      <c r="O12" s="2" t="str">
        <f ca="1">IFERROR(__xludf.dummyfunction("VLOOKUP(N12, IMPORTRANGE(""https://docs.google.com/spreadsheets/d/1yDAaXNsi4Mr5FtRQL4tbmSdIzhx6_m4wkOD7IG-k_eo/edit#gid=1336395716"", ""Science!M:N""), 2, FALSE)"),"(LU006804.003); Default - Apply")</f>
        <v>(LU006804.003); Default - Apply</v>
      </c>
      <c r="P12" s="2" t="str">
        <f t="shared" si="3"/>
        <v>LU006804.004</v>
      </c>
      <c r="Q12" s="17" t="str">
        <f ca="1">IFERROR(__xludf.dummyfunction("VLOOKUP(P12, IMPORTRANGE(""https://docs.google.com/spreadsheets/d/1yDAaXNsi4Mr5FtRQL4tbmSdIzhx6_m4wkOD7IG-k_eo/edit#gid=1336395716"", ""Science!M:N""), 2, FALSE)"),"(LU006804.004); Default - Analyse")</f>
        <v>(LU006804.004); Default - Analyse</v>
      </c>
      <c r="R12" s="2" t="str">
        <f t="shared" si="4"/>
        <v>LU006804.005</v>
      </c>
      <c r="S12" s="17" t="str">
        <f ca="1">IFERROR(__xludf.dummyfunction("VLOOKUP(R12, IMPORTRANGE(""https://docs.google.com/spreadsheets/d/1yDAaXNsi4Mr5FtRQL4tbmSdIzhx6_m4wkOD7IG-k_eo/edit#gid=1336395716"", ""Science!M:N""), 2, FALSE)"),"(LU006804.005); Default - Evaluate")</f>
        <v>(LU006804.005); Default - Evaluate</v>
      </c>
      <c r="T12" s="2" t="str">
        <f t="shared" si="5"/>
        <v>LU006804.006</v>
      </c>
      <c r="U12" s="17" t="str">
        <f ca="1">IFERROR(__xludf.dummyfunction("VLOOKUP(T12, IMPORTRANGE(""https://docs.google.com/spreadsheets/d/1yDAaXNsi4Mr5FtRQL4tbmSdIzhx6_m4wkOD7IG-k_eo/edit#gid=1336395716"", ""Science!M:N""), 2, FALSE)"),"(LU006804.006); Default - Create")</f>
        <v>(LU006804.006); Default - Create</v>
      </c>
    </row>
    <row r="13" spans="1:33" ht="27.6">
      <c r="A13" s="2"/>
      <c r="B13" s="2" t="s">
        <v>29</v>
      </c>
      <c r="C13" s="1" t="s">
        <v>30</v>
      </c>
      <c r="D13" s="13">
        <v>7</v>
      </c>
      <c r="E13" s="2" t="s">
        <v>133</v>
      </c>
      <c r="F13" s="1" t="s">
        <v>136</v>
      </c>
      <c r="G13" s="1" t="s">
        <v>138</v>
      </c>
      <c r="H13" s="18" t="str">
        <f ca="1">IFERROR(__xludf.dummyfunction("IFERROR(
  VLOOKUP(G13, IMPORTRANGE(""https://docs.google.com/spreadsheets/d/14deopnvwcrKtEGCKuYXdUHJbeLDZlkiSSWWT0g7x2pM/edit#gid=849066331"", ""LU List Maths (Filter)!A:B""), 2, FALSE),
  IFERROR(
    VLOOKUP(G13, IMPORTRANGE(""https://docs.google.com/s"&amp;"preadsheets/d/14deopnvwcrKtEGCKuYXdUHJbeLDZlkiSSWWT0g7x2pM/edit#gid=849066331"", ""LU List Science (Filter)!A:B""), 2, FALSE),
    ""Not Found""
  )
)
"),"Understanding the Basics of Circular Motion")</f>
        <v>Understanding the Basics of Circular Motion</v>
      </c>
      <c r="J13" s="2" t="str">
        <f t="shared" si="0"/>
        <v>LU005187.001</v>
      </c>
      <c r="K13" s="2" t="str">
        <f ca="1">IFERROR(__xludf.dummyfunction("VLOOKUP(J13, IMPORTRANGE(""https://docs.google.com/spreadsheets/d/1yDAaXNsi4Mr5FtRQL4tbmSdIzhx6_m4wkOD7IG-k_eo/edit#gid=1336395716"", ""Science!M:N""), 2, FALSE)"),"Define what circular motion means.")</f>
        <v>Define what circular motion means.</v>
      </c>
      <c r="L13" s="2" t="str">
        <f t="shared" si="1"/>
        <v>LU005187.002</v>
      </c>
      <c r="M13" s="2" t="str">
        <f ca="1">IFERROR(__xludf.dummyfunction("VLOOKUP(L13, IMPORTRANGE(""https://docs.google.com/spreadsheets/d/1yDAaXNsi4Mr5FtRQL4tbmSdIzhx6_m4wkOD7IG-k_eo/edit#gid=1336395716"", ""Science!M:N""), 2, FALSE)"),"Point out everyday examples of circular motion. ")</f>
        <v xml:space="preserve">Point out everyday examples of circular motion. </v>
      </c>
      <c r="N13" s="2" t="str">
        <f t="shared" si="2"/>
        <v>LU005187.003</v>
      </c>
      <c r="O13" s="2" t="str">
        <f ca="1">IFERROR(__xludf.dummyfunction("VLOOKUP(N13, IMPORTRANGE(""https://docs.google.com/spreadsheets/d/1yDAaXNsi4Mr5FtRQL4tbmSdIzhx6_m4wkOD7IG-k_eo/edit#gid=1336395716"", ""Science!M:N""), 2, FALSE)"),"Compare circular with other types of motion.")</f>
        <v>Compare circular with other types of motion.</v>
      </c>
      <c r="P13" s="2" t="str">
        <f t="shared" si="3"/>
        <v>LU005187.004</v>
      </c>
      <c r="Q13" s="17" t="str">
        <f ca="1">IFERROR(__xludf.dummyfunction("VLOOKUP(P13, IMPORTRANGE(""https://docs.google.com/spreadsheets/d/1yDAaXNsi4Mr5FtRQL4tbmSdIzhx6_m4wkOD7IG-k_eo/edit#gid=1336395716"", ""Science!M:N""), 2, FALSE)"),"Demonstrate circular motion with hands or with toys.")</f>
        <v>Demonstrate circular motion with hands or with toys.</v>
      </c>
      <c r="R13" s="2" t="str">
        <f t="shared" si="4"/>
        <v>LU005187.005</v>
      </c>
      <c r="S13" s="17" t="str">
        <f ca="1">IFERROR(__xludf.dummyfunction("VLOOKUP(R13, IMPORTRANGE(""https://docs.google.com/spreadsheets/d/1yDAaXNsi4Mr5FtRQL4tbmSdIzhx6_m4wkOD7IG-k_eo/edit#gid=1336395716"", ""Science!M:N""), 2, FALSE)"),"Assess how circular motion affects objects and its relevance to activities like amusement park rides.")</f>
        <v>Assess how circular motion affects objects and its relevance to activities like amusement park rides.</v>
      </c>
      <c r="T13" s="2" t="str">
        <f t="shared" si="5"/>
        <v>LU005187.006</v>
      </c>
      <c r="U13" s="17" t="str">
        <f ca="1">IFERROR(__xludf.dummyfunction("VLOOKUP(T13, IMPORTRANGE(""https://docs.google.com/spreadsheets/d/1yDAaXNsi4Mr5FtRQL4tbmSdIzhx6_m4wkOD7IG-k_eo/edit#gid=1336395716"", ""Science!M:N""), 2, FALSE)"),"#N/A")</f>
        <v>#N/A</v>
      </c>
    </row>
    <row r="14" spans="1:33" ht="27.6">
      <c r="A14" s="2"/>
      <c r="B14" s="2" t="s">
        <v>29</v>
      </c>
      <c r="C14" s="1" t="s">
        <v>30</v>
      </c>
      <c r="D14" s="13">
        <v>7</v>
      </c>
      <c r="E14" s="2" t="s">
        <v>133</v>
      </c>
      <c r="F14" s="1" t="s">
        <v>139</v>
      </c>
      <c r="G14" s="1" t="s">
        <v>140</v>
      </c>
      <c r="H14" s="18" t="str">
        <f ca="1">IFERROR(__xludf.dummyfunction("IFERROR(
  VLOOKUP(G14, IMPORTRANGE(""https://docs.google.com/spreadsheets/d/14deopnvwcrKtEGCKuYXdUHJbeLDZlkiSSWWT0g7x2pM/edit#gid=849066331"", ""LU List Maths (Filter)!A:B""), 2, FALSE),
  IFERROR(
    VLOOKUP(G14, IMPORTRANGE(""https://docs.google.com/s"&amp;"preadsheets/d/14deopnvwcrKtEGCKuYXdUHJbeLDZlkiSSWWT0g7x2pM/edit#gid=849066331"", ""LU List Science (Filter)!A:B""), 2, FALSE),
    ""Not Found""
  )
)
"),"Understanding the Basics of Oscillatory Motion")</f>
        <v>Understanding the Basics of Oscillatory Motion</v>
      </c>
      <c r="J14" s="2" t="str">
        <f t="shared" si="0"/>
        <v>LU005190.001</v>
      </c>
      <c r="K14" s="2" t="str">
        <f ca="1">IFERROR(__xludf.dummyfunction("VLOOKUP(J14, IMPORTRANGE(""https://docs.google.com/spreadsheets/d/1yDAaXNsi4Mr5FtRQL4tbmSdIzhx6_m4wkOD7IG-k_eo/edit#gid=1336395716"", ""Science!M:N""), 2, FALSE)"),"Describe oscillatory motion using examples like a swing going back and forth.")</f>
        <v>Describe oscillatory motion using examples like a swing going back and forth.</v>
      </c>
      <c r="L14" s="2" t="str">
        <f t="shared" si="1"/>
        <v>LU005190.002</v>
      </c>
      <c r="M14" s="2" t="str">
        <f ca="1">IFERROR(__xludf.dummyfunction("VLOOKUP(L14, IMPORTRANGE(""https://docs.google.com/spreadsheets/d/1yDAaXNsi4Mr5FtRQL4tbmSdIzhx6_m4wkOD7IG-k_eo/edit#gid=1336395716"", ""Science!M:N""), 2, FALSE)"),"Identify things around that show oscillatory movement.")</f>
        <v>Identify things around that show oscillatory movement.</v>
      </c>
      <c r="N14" s="2" t="str">
        <f t="shared" si="2"/>
        <v>LU005190.003</v>
      </c>
      <c r="O14" s="2" t="str">
        <f ca="1">IFERROR(__xludf.dummyfunction("VLOOKUP(N14, IMPORTRANGE(""https://docs.google.com/spreadsheets/d/1yDAaXNsi4Mr5FtRQL4tbmSdIzhx6_m4wkOD7IG-k_eo/edit#gid=1336395716"", ""Science!M:N""), 2, FALSE)"),"Differentiate between simple movement and oscillatory movement.")</f>
        <v>Differentiate between simple movement and oscillatory movement.</v>
      </c>
      <c r="P14" s="2" t="str">
        <f t="shared" si="3"/>
        <v>LU005190.004</v>
      </c>
      <c r="Q14" s="17" t="str">
        <f ca="1">IFERROR(__xludf.dummyfunction("VLOOKUP(P14, IMPORTRANGE(""https://docs.google.com/spreadsheets/d/1yDAaXNsi4Mr5FtRQL4tbmSdIzhx6_m4wkOD7IG-k_eo/edit#gid=1336395716"", ""Science!M:N""), 2, FALSE)"),"Demonstrate oscillatory motion using hands or everyday objects.")</f>
        <v>Demonstrate oscillatory motion using hands or everyday objects.</v>
      </c>
      <c r="R14" s="2" t="str">
        <f t="shared" si="4"/>
        <v>LU005190.005</v>
      </c>
      <c r="S14" s="17" t="str">
        <f ca="1">IFERROR(__xludf.dummyfunction("VLOOKUP(R14, IMPORTRANGE(""https://docs.google.com/spreadsheets/d/1yDAaXNsi4Mr5FtRQL4tbmSdIzhx6_m4wkOD7IG-k_eo/edit#gid=1336395716"", ""Science!M:N""), 2, FALSE)"),"#N/A")</f>
        <v>#N/A</v>
      </c>
      <c r="T14" s="2" t="str">
        <f t="shared" si="5"/>
        <v>LU005190.006</v>
      </c>
      <c r="U14" s="17" t="str">
        <f ca="1">IFERROR(__xludf.dummyfunction("VLOOKUP(T14, IMPORTRANGE(""https://docs.google.com/spreadsheets/d/1yDAaXNsi4Mr5FtRQL4tbmSdIzhx6_m4wkOD7IG-k_eo/edit#gid=1336395716"", ""Science!M:N""), 2, FALSE)"),"#N/A")</f>
        <v>#N/A</v>
      </c>
    </row>
    <row r="15" spans="1:33" ht="41.4">
      <c r="A15" s="2"/>
      <c r="B15" s="2" t="s">
        <v>29</v>
      </c>
      <c r="C15" s="1" t="s">
        <v>30</v>
      </c>
      <c r="D15" s="13">
        <v>7</v>
      </c>
      <c r="E15" s="2" t="s">
        <v>133</v>
      </c>
      <c r="F15" s="1" t="s">
        <v>139</v>
      </c>
      <c r="G15" s="1" t="s">
        <v>141</v>
      </c>
      <c r="H15" s="18" t="str">
        <f ca="1">IFERROR(__xludf.dummyfunction("IFERROR(
  VLOOKUP(G15, IMPORTRANGE(""https://docs.google.com/spreadsheets/d/14deopnvwcrKtEGCKuYXdUHJbeLDZlkiSSWWT0g7x2pM/edit#gid=849066331"", ""LU List Maths (Filter)!A:B""), 2, FALSE),
  IFERROR(
    VLOOKUP(G15, IMPORTRANGE(""https://docs.google.com/s"&amp;"preadsheets/d/14deopnvwcrKtEGCKuYXdUHJbeLDZlkiSSWWT0g7x2pM/edit#gid=849066331"", ""LU List Science (Filter)!A:B""), 2, FALSE),
    ""Not Found""
  )
)
"),"Understanding the Basics of Periodic and Non-Periodic Motion")</f>
        <v>Understanding the Basics of Periodic and Non-Periodic Motion</v>
      </c>
      <c r="J15" s="2" t="str">
        <f t="shared" si="0"/>
        <v>LU005189.001</v>
      </c>
      <c r="K15" s="2" t="str">
        <f ca="1">IFERROR(__xludf.dummyfunction("VLOOKUP(J15, IMPORTRANGE(""https://docs.google.com/spreadsheets/d/1yDAaXNsi4Mr5FtRQL4tbmSdIzhx6_m4wkOD7IG-k_eo/edit#gid=1336395716"", ""Science!M:N""), 2, FALSE)"),"Define periodic and non-periodic motion in simple terms.")</f>
        <v>Define periodic and non-periodic motion in simple terms.</v>
      </c>
      <c r="L15" s="2" t="str">
        <f t="shared" si="1"/>
        <v>LU005189.002</v>
      </c>
      <c r="M15" s="2" t="str">
        <f ca="1">IFERROR(__xludf.dummyfunction("VLOOKUP(L15, IMPORTRANGE(""https://docs.google.com/spreadsheets/d/1yDAaXNsi4Mr5FtRQL4tbmSdIzhx6_m4wkOD7IG-k_eo/edit#gid=1336395716"", ""Science!M:N""), 2, FALSE)"),"Identify everyday examples of periodic and non-periodic motions.")</f>
        <v>Identify everyday examples of periodic and non-periodic motions.</v>
      </c>
      <c r="N15" s="2" t="str">
        <f t="shared" si="2"/>
        <v>LU005189.003</v>
      </c>
      <c r="O15" s="2" t="str">
        <f ca="1">IFERROR(__xludf.dummyfunction("VLOOKUP(N15, IMPORTRANGE(""https://docs.google.com/spreadsheets/d/1yDAaXNsi4Mr5FtRQL4tbmSdIzhx6_m4wkOD7IG-k_eo/edit#gid=1336395716"", ""Science!M:N""), 2, FALSE)"),"Classify observed movements as periodic or non-periodic.")</f>
        <v>Classify observed movements as periodic or non-periodic.</v>
      </c>
      <c r="P15" s="2" t="str">
        <f t="shared" si="3"/>
        <v>LU005189.004</v>
      </c>
      <c r="Q15" s="17" t="str">
        <f ca="1">IFERROR(__xludf.dummyfunction("VLOOKUP(P15, IMPORTRANGE(""https://docs.google.com/spreadsheets/d/1yDAaXNsi4Mr5FtRQL4tbmSdIzhx6_m4wkOD7IG-k_eo/edit#gid=1336395716"", ""Science!M:N""), 2, FALSE)"),"Demonstrate an example of each type of motion.")</f>
        <v>Demonstrate an example of each type of motion.</v>
      </c>
      <c r="R15" s="2" t="str">
        <f t="shared" si="4"/>
        <v>LU005189.005</v>
      </c>
      <c r="S15" s="17" t="str">
        <f ca="1">IFERROR(__xludf.dummyfunction("VLOOKUP(R15, IMPORTRANGE(""https://docs.google.com/spreadsheets/d/1yDAaXNsi4Mr5FtRQL4tbmSdIzhx6_m4wkOD7IG-k_eo/edit#gid=1336395716"", ""Science!M:N""), 2, FALSE)"),"Compare the differences between periodic and non-periodic motion using examples, and discuss their significance.")</f>
        <v>Compare the differences between periodic and non-periodic motion using examples, and discuss their significance.</v>
      </c>
      <c r="T15" s="2" t="str">
        <f t="shared" si="5"/>
        <v>LU005189.006</v>
      </c>
      <c r="U15" s="17" t="str">
        <f ca="1">IFERROR(__xludf.dummyfunction("VLOOKUP(T15, IMPORTRANGE(""https://docs.google.com/spreadsheets/d/1yDAaXNsi4Mr5FtRQL4tbmSdIzhx6_m4wkOD7IG-k_eo/edit#gid=1336395716"", ""Science!M:N""), 2, FALSE)"),"#N/A")</f>
        <v>#N/A</v>
      </c>
    </row>
    <row r="16" spans="1:33" ht="27.6">
      <c r="A16" s="2"/>
      <c r="B16" s="2" t="s">
        <v>29</v>
      </c>
      <c r="C16" s="1" t="s">
        <v>30</v>
      </c>
      <c r="D16" s="13">
        <v>7</v>
      </c>
      <c r="E16" s="2" t="s">
        <v>133</v>
      </c>
      <c r="F16" s="1" t="s">
        <v>142</v>
      </c>
      <c r="G16" s="1" t="s">
        <v>143</v>
      </c>
      <c r="H16" s="18" t="str">
        <f ca="1">IFERROR(__xludf.dummyfunction("IFERROR(
  VLOOKUP(G16, IMPORTRANGE(""https://docs.google.com/spreadsheets/d/14deopnvwcrKtEGCKuYXdUHJbeLDZlkiSSWWT0g7x2pM/edit#gid=849066331"", ""LU List Maths (Filter)!A:B""), 2, FALSE),
  IFERROR(
    VLOOKUP(G16, IMPORTRANGE(""https://docs.google.com/s"&amp;"preadsheets/d/14deopnvwcrKtEGCKuYXdUHJbeLDZlkiSSWWT0g7x2pM/edit#gid=849066331"", ""LU List Science (Filter)!A:B""), 2, FALSE),
    ""Not Found""
  )
)
"),"Observing Combination of Motion in Everyday Life")</f>
        <v>Observing Combination of Motion in Everyday Life</v>
      </c>
      <c r="J16" s="2" t="str">
        <f t="shared" si="0"/>
        <v>LU005178.001</v>
      </c>
      <c r="K16" s="2" t="str">
        <f ca="1">IFERROR(__xludf.dummyfunction("VLOOKUP(J16, IMPORTRANGE(""https://docs.google.com/spreadsheets/d/1yDAaXNsi4Mr5FtRQL4tbmSdIzhx6_m4wkOD7IG-k_eo/edit#gid=1336395716"", ""Science!M:N""), 2, FALSE)"),"Identify common objects or scenarios in daily life that exhibit a combination of motions.")</f>
        <v>Identify common objects or scenarios in daily life that exhibit a combination of motions.</v>
      </c>
      <c r="L16" s="2" t="str">
        <f t="shared" si="1"/>
        <v>LU005178.002</v>
      </c>
      <c r="M16" s="2" t="str">
        <f ca="1">IFERROR(__xludf.dummyfunction("VLOOKUP(L16, IMPORTRANGE(""https://docs.google.com/spreadsheets/d/1yDAaXNsi4Mr5FtRQL4tbmSdIzhx6_m4wkOD7IG-k_eo/edit#gid=1336395716"", ""Science!M:N""), 2, FALSE)"),"Describe in simple terms what it means for an object to have more than one type of motion at the same time.")</f>
        <v>Describe in simple terms what it means for an object to have more than one type of motion at the same time.</v>
      </c>
      <c r="N16" s="2" t="str">
        <f t="shared" si="2"/>
        <v>LU005178.003</v>
      </c>
      <c r="O16" s="2" t="str">
        <f ca="1">IFERROR(__xludf.dummyfunction("VLOOKUP(N16, IMPORTRANGE(""https://docs.google.com/spreadsheets/d/1yDAaXNsi4Mr5FtRQL4tbmSdIzhx6_m4wkOD7IG-k_eo/edit#gid=1336395716"", ""Science!M:N""), 2, FALSE)"),"Point out specific parts of objects that are moving in different ways, like wheels of a toy car spinning (rotational) as the car moves forward (straight line).")</f>
        <v>Point out specific parts of objects that are moving in different ways, like wheels of a toy car spinning (rotational) as the car moves forward (straight line).</v>
      </c>
      <c r="P16" s="2" t="str">
        <f t="shared" si="3"/>
        <v>LU005178.004</v>
      </c>
      <c r="Q16" s="17" t="str">
        <f ca="1">IFERROR(__xludf.dummyfunction("VLOOKUP(P16, IMPORTRANGE(""https://docs.google.com/spreadsheets/d/1yDAaXNsi4Mr5FtRQL4tbmSdIzhx6_m4wkOD7IG-k_eo/edit#gid=1336395716"", ""Science!M:N""), 2, FALSE)"),"Demonstrate combined motions using hands, toys, or classroom materials.")</f>
        <v>Demonstrate combined motions using hands, toys, or classroom materials.</v>
      </c>
      <c r="R16" s="2" t="str">
        <f t="shared" si="4"/>
        <v>LU005178.005</v>
      </c>
      <c r="S16" s="17" t="str">
        <f ca="1">IFERROR(__xludf.dummyfunction("VLOOKUP(R16, IMPORTRANGE(""https://docs.google.com/spreadsheets/d/1yDAaXNsi4Mr5FtRQL4tbmSdIzhx6_m4wkOD7IG-k_eo/edit#gid=1336395716"", ""Science!M:N""), 2, FALSE)"),"Evaluate how different types of motion combine in activities you observe or participate in daily, providing examples to support your evaluation.")</f>
        <v>Evaluate how different types of motion combine in activities you observe or participate in daily, providing examples to support your evaluation.</v>
      </c>
      <c r="T16" s="2" t="str">
        <f t="shared" si="5"/>
        <v>LU005178.006</v>
      </c>
      <c r="U16" s="17" t="str">
        <f ca="1">IFERROR(__xludf.dummyfunction("VLOOKUP(T16, IMPORTRANGE(""https://docs.google.com/spreadsheets/d/1yDAaXNsi4Mr5FtRQL4tbmSdIzhx6_m4wkOD7IG-k_eo/edit#gid=1336395716"", ""Science!M:N""), 2, FALSE)"),"#N/A")</f>
        <v>#N/A</v>
      </c>
    </row>
    <row r="17" spans="1:21" ht="27.6">
      <c r="A17" s="2"/>
      <c r="B17" s="2" t="s">
        <v>29</v>
      </c>
      <c r="C17" s="1" t="s">
        <v>30</v>
      </c>
      <c r="D17" s="13">
        <v>7</v>
      </c>
      <c r="E17" s="2" t="s">
        <v>133</v>
      </c>
      <c r="F17" s="1" t="s">
        <v>144</v>
      </c>
      <c r="G17" s="2" t="s">
        <v>145</v>
      </c>
      <c r="H17" s="18" t="str">
        <f ca="1">IFERROR(__xludf.dummyfunction("IFERROR(
  VLOOKUP(G17, IMPORTRANGE(""https://docs.google.com/spreadsheets/d/14deopnvwcrKtEGCKuYXdUHJbeLDZlkiSSWWT0g7x2pM/edit#gid=849066331"", ""LU List Maths (Filter)!A:B""), 2, FALSE),
  IFERROR(
    VLOOKUP(G17, IMPORTRANGE(""https://docs.google.com/s"&amp;"preadsheets/d/14deopnvwcrKtEGCKuYXdUHJbeLDZlkiSSWWT0g7x2pM/edit#gid=849066331"", ""LU List Science (Filter)!A:B""), 2, FALSE),
    ""Not Found""
  )
)
"),"Understanding Uniform and Non-Uniform Motion")</f>
        <v>Understanding Uniform and Non-Uniform Motion</v>
      </c>
      <c r="J17" s="2" t="str">
        <f t="shared" si="0"/>
        <v>LU005386.001</v>
      </c>
      <c r="K17" s="2" t="str">
        <f ca="1">IFERROR(__xludf.dummyfunction("VLOOKUP(J17, IMPORTRANGE(""https://docs.google.com/spreadsheets/d/1yDAaXNsi4Mr5FtRQL4tbmSdIzhx6_m4wkOD7IG-k_eo/edit#gid=1336395716"", ""Science!M:N""), 2, FALSE)"),"Define uniform and non-uniform motion.")</f>
        <v>Define uniform and non-uniform motion.</v>
      </c>
      <c r="L17" s="2" t="str">
        <f t="shared" si="1"/>
        <v>LU005386.002</v>
      </c>
      <c r="M17" s="2" t="str">
        <f ca="1">IFERROR(__xludf.dummyfunction("VLOOKUP(L17, IMPORTRANGE(""https://docs.google.com/spreadsheets/d/1yDAaXNsi4Mr5FtRQL4tbmSdIzhx6_m4wkOD7IG-k_eo/edit#gid=1336395716"", ""Science!M:N""), 2, FALSE)"),"Differentiate between uniform and non-uniform motion using examples.")</f>
        <v>Differentiate between uniform and non-uniform motion using examples.</v>
      </c>
      <c r="N17" s="2" t="str">
        <f t="shared" si="2"/>
        <v>LU005386.003</v>
      </c>
      <c r="O17" s="2" t="str">
        <f ca="1">IFERROR(__xludf.dummyfunction("VLOOKUP(N17, IMPORTRANGE(""https://docs.google.com/spreadsheets/d/1yDAaXNsi4Mr5FtRQL4tbmSdIzhx6_m4wkOD7IG-k_eo/edit#gid=1336395716"", ""Science!M:N""), 2, FALSE)"),"Relate real-world scenarios to either uniform or non-uniform motion.")</f>
        <v>Relate real-world scenarios to either uniform or non-uniform motion.</v>
      </c>
      <c r="P17" s="2" t="str">
        <f t="shared" si="3"/>
        <v>LU005386.004</v>
      </c>
      <c r="Q17" s="17" t="str">
        <f ca="1">IFERROR(__xludf.dummyfunction("VLOOKUP(P17, IMPORTRANGE(""https://docs.google.com/spreadsheets/d/1yDAaXNsi4Mr5FtRQL4tbmSdIzhx6_m4wkOD7IG-k_eo/edit#gid=1336395716"", ""Science!M:N""), 2, FALSE)"),"Analyze factors leading to non-uniform motion in practical contexts.")</f>
        <v>Analyze factors leading to non-uniform motion in practical contexts.</v>
      </c>
      <c r="R17" s="2" t="str">
        <f t="shared" si="4"/>
        <v>LU005386.005</v>
      </c>
      <c r="S17" s="17" t="str">
        <f ca="1">IFERROR(__xludf.dummyfunction("VLOOKUP(R17, IMPORTRANGE(""https://docs.google.com/spreadsheets/d/1yDAaXNsi4Mr5FtRQL4tbmSdIzhx6_m4wkOD7IG-k_eo/edit#gid=1336395716"", ""Science!M:N""), 2, FALSE)"),"#N/A")</f>
        <v>#N/A</v>
      </c>
      <c r="T17" s="2" t="str">
        <f t="shared" si="5"/>
        <v>LU005386.006</v>
      </c>
      <c r="U17" s="17" t="str">
        <f ca="1">IFERROR(__xludf.dummyfunction("VLOOKUP(T17, IMPORTRANGE(""https://docs.google.com/spreadsheets/d/1yDAaXNsi4Mr5FtRQL4tbmSdIzhx6_m4wkOD7IG-k_eo/edit#gid=1336395716"", ""Science!M:N""), 2, FALSE)"),"#N/A")</f>
        <v>#N/A</v>
      </c>
    </row>
    <row r="18" spans="1:21" ht="27.6">
      <c r="A18" s="2"/>
      <c r="B18" s="2" t="s">
        <v>29</v>
      </c>
      <c r="C18" s="1" t="s">
        <v>30</v>
      </c>
      <c r="D18" s="13">
        <v>7</v>
      </c>
      <c r="E18" s="2" t="s">
        <v>133</v>
      </c>
      <c r="F18" s="1" t="s">
        <v>144</v>
      </c>
      <c r="G18" s="14" t="s">
        <v>146</v>
      </c>
      <c r="H18" s="18" t="str">
        <f ca="1">IFERROR(__xludf.dummyfunction("IFERROR(
  VLOOKUP(G18, IMPORTRANGE(""https://docs.google.com/spreadsheets/d/14deopnvwcrKtEGCKuYXdUHJbeLDZlkiSSWWT0g7x2pM/edit#gid=849066331"", ""LU List Maths (Filter)!A:B""), 2, FALSE),
  IFERROR(
    VLOOKUP(G18, IMPORTRANGE(""https://docs.google.com/s"&amp;"preadsheets/d/14deopnvwcrKtEGCKuYXdUHJbeLDZlkiSSWWT0g7x2pM/edit#gid=849066331"", ""LU List Science (Filter)!A:B""), 2, FALSE),
    ""Not Found""
  )
)
"),"Calculation of average speed")</f>
        <v>Calculation of average speed</v>
      </c>
      <c r="J18" s="2" t="str">
        <f t="shared" si="0"/>
        <v>LU006805.001</v>
      </c>
      <c r="K18" s="2" t="str">
        <f ca="1">IFERROR(__xludf.dummyfunction("VLOOKUP(J18, IMPORTRANGE(""https://docs.google.com/spreadsheets/d/1yDAaXNsi4Mr5FtRQL4tbmSdIzhx6_m4wkOD7IG-k_eo/edit#gid=1336395716"", ""Science!M:N""), 2, FALSE)"),"(LU006805.001); Default - Remember")</f>
        <v>(LU006805.001); Default - Remember</v>
      </c>
      <c r="L18" s="2" t="str">
        <f t="shared" si="1"/>
        <v>LU006805.002</v>
      </c>
      <c r="M18" s="2" t="str">
        <f ca="1">IFERROR(__xludf.dummyfunction("VLOOKUP(L18, IMPORTRANGE(""https://docs.google.com/spreadsheets/d/1yDAaXNsi4Mr5FtRQL4tbmSdIzhx6_m4wkOD7IG-k_eo/edit#gid=1336395716"", ""Science!M:N""), 2, FALSE)"),"(LU006805.002); Default - Understand")</f>
        <v>(LU006805.002); Default - Understand</v>
      </c>
      <c r="N18" s="2" t="str">
        <f t="shared" si="2"/>
        <v>LU006805.003</v>
      </c>
      <c r="O18" s="2" t="str">
        <f ca="1">IFERROR(__xludf.dummyfunction("VLOOKUP(N18, IMPORTRANGE(""https://docs.google.com/spreadsheets/d/1yDAaXNsi4Mr5FtRQL4tbmSdIzhx6_m4wkOD7IG-k_eo/edit#gid=1336395716"", ""Science!M:N""), 2, FALSE)"),"(LU006805.003); Default - Apply")</f>
        <v>(LU006805.003); Default - Apply</v>
      </c>
      <c r="P18" s="2" t="str">
        <f t="shared" si="3"/>
        <v>LU006805.004</v>
      </c>
      <c r="Q18" s="17" t="str">
        <f ca="1">IFERROR(__xludf.dummyfunction("VLOOKUP(P18, IMPORTRANGE(""https://docs.google.com/spreadsheets/d/1yDAaXNsi4Mr5FtRQL4tbmSdIzhx6_m4wkOD7IG-k_eo/edit#gid=1336395716"", ""Science!M:N""), 2, FALSE)"),"(LU006805.004); Default - Analyse")</f>
        <v>(LU006805.004); Default - Analyse</v>
      </c>
      <c r="R18" s="2" t="str">
        <f t="shared" si="4"/>
        <v>LU006805.005</v>
      </c>
      <c r="S18" s="17" t="str">
        <f ca="1">IFERROR(__xludf.dummyfunction("VLOOKUP(R18, IMPORTRANGE(""https://docs.google.com/spreadsheets/d/1yDAaXNsi4Mr5FtRQL4tbmSdIzhx6_m4wkOD7IG-k_eo/edit#gid=1336395716"", ""Science!M:N""), 2, FALSE)"),"(LU006805.005); Default - Evaluate")</f>
        <v>(LU006805.005); Default - Evaluate</v>
      </c>
      <c r="T18" s="2" t="str">
        <f t="shared" si="5"/>
        <v>LU006805.006</v>
      </c>
      <c r="U18" s="17" t="str">
        <f ca="1">IFERROR(__xludf.dummyfunction("VLOOKUP(T18, IMPORTRANGE(""https://docs.google.com/spreadsheets/d/1yDAaXNsi4Mr5FtRQL4tbmSdIzhx6_m4wkOD7IG-k_eo/edit#gid=1336395716"", ""Science!M:N""), 2, FALSE)"),"(LU006805.006); Default - Create")</f>
        <v>(LU006805.006); Default - Create</v>
      </c>
    </row>
    <row r="19" spans="1:21" ht="27.6">
      <c r="A19" s="2"/>
      <c r="B19" s="2" t="s">
        <v>29</v>
      </c>
      <c r="C19" s="1" t="s">
        <v>30</v>
      </c>
      <c r="D19" s="13">
        <v>7</v>
      </c>
      <c r="E19" s="2" t="s">
        <v>133</v>
      </c>
      <c r="F19" s="1" t="s">
        <v>147</v>
      </c>
      <c r="G19" s="2" t="s">
        <v>148</v>
      </c>
      <c r="H19" s="18" t="str">
        <f ca="1">IFERROR(__xludf.dummyfunction("IFERROR(
  VLOOKUP(G19, IMPORTRANGE(""https://docs.google.com/spreadsheets/d/14deopnvwcrKtEGCKuYXdUHJbeLDZlkiSSWWT0g7x2pM/edit#gid=849066331"", ""LU List Maths (Filter)!A:B""), 2, FALSE),
  IFERROR(
    VLOOKUP(G19, IMPORTRANGE(""https://docs.google.com/s"&amp;"preadsheets/d/14deopnvwcrKtEGCKuYXdUHJbeLDZlkiSSWWT0g7x2pM/edit#gid=849066331"", ""LU List Science (Filter)!A:B""), 2, FALSE),
    ""Not Found""
  )
)
"),"Understanding Weight and Mass")</f>
        <v>Understanding Weight and Mass</v>
      </c>
      <c r="J19" s="2" t="str">
        <f t="shared" si="0"/>
        <v>LU006346.001</v>
      </c>
      <c r="K19" s="2" t="str">
        <f ca="1">IFERROR(__xludf.dummyfunction("VLOOKUP(J19, IMPORTRANGE(""https://docs.google.com/spreadsheets/d/1yDAaXNsi4Mr5FtRQL4tbmSdIzhx6_m4wkOD7IG-k_eo/edit#gid=1336395716"", ""Science!M:N""), 2, FALSE)"),"Define weight and mass and state their units.")</f>
        <v>Define weight and mass and state their units.</v>
      </c>
      <c r="L19" s="2" t="str">
        <f t="shared" si="1"/>
        <v>LU006346.002</v>
      </c>
      <c r="M19" s="2" t="str">
        <f ca="1">IFERROR(__xludf.dummyfunction("VLOOKUP(L19, IMPORTRANGE(""https://docs.google.com/spreadsheets/d/1yDAaXNsi4Mr5FtRQL4tbmSdIzhx6_m4wkOD7IG-k_eo/edit#gid=1336395716"", ""Science!M:N""), 2, FALSE)"),"Explain the difference between weight and mass with examples.")</f>
        <v>Explain the difference between weight and mass with examples.</v>
      </c>
      <c r="N19" s="2" t="str">
        <f t="shared" si="2"/>
        <v>LU006346.003</v>
      </c>
      <c r="O19" s="2" t="str">
        <f ca="1">IFERROR(__xludf.dummyfunction("VLOOKUP(N19, IMPORTRANGE(""https://docs.google.com/spreadsheets/d/1yDAaXNsi4Mr5FtRQL4tbmSdIzhx6_m4wkOD7IG-k_eo/edit#gid=1336395716"", ""Science!M:N""), 2, FALSE)"),"Calculate the weight of an object given its mass and the acceleration due to gravity.")</f>
        <v>Calculate the weight of an object given its mass and the acceleration due to gravity.</v>
      </c>
      <c r="P19" s="2" t="str">
        <f t="shared" si="3"/>
        <v>LU006346.004</v>
      </c>
      <c r="Q19" s="17" t="str">
        <f ca="1">IFERROR(__xludf.dummyfunction("VLOOKUP(P19, IMPORTRANGE(""https://docs.google.com/spreadsheets/d/1yDAaXNsi4Mr5FtRQL4tbmSdIzhx6_m4wkOD7IG-k_eo/edit#gid=1336395716"", ""Science!M:N""), 2, FALSE)"),"Compare the weight and mass of objects in different gravitational fields, such as on Earth and the Moon.")</f>
        <v>Compare the weight and mass of objects in different gravitational fields, such as on Earth and the Moon.</v>
      </c>
      <c r="R19" s="2" t="str">
        <f t="shared" si="4"/>
        <v>LU006346.005</v>
      </c>
      <c r="S19" s="17" t="str">
        <f ca="1">IFERROR(__xludf.dummyfunction("VLOOKUP(R19, IMPORTRANGE(""https://docs.google.com/spreadsheets/d/1yDAaXNsi4Mr5FtRQL4tbmSdIzhx6_m4wkOD7IG-k_eo/edit#gid=1336395716"", ""Science!M:N""), 2, FALSE)"),"Evaluate the importance of distinguishing between weight and mass in scientific measurements and everyday life.")</f>
        <v>Evaluate the importance of distinguishing between weight and mass in scientific measurements and everyday life.</v>
      </c>
      <c r="T19" s="2" t="str">
        <f t="shared" si="5"/>
        <v>LU006346.006</v>
      </c>
      <c r="U19" s="17" t="str">
        <f ca="1">IFERROR(__xludf.dummyfunction("VLOOKUP(T19, IMPORTRANGE(""https://docs.google.com/spreadsheets/d/1yDAaXNsi4Mr5FtRQL4tbmSdIzhx6_m4wkOD7IG-k_eo/edit#gid=1336395716"", ""Science!M:N""), 2, FALSE)"),"Develop a visual aid that clearly illustrates the difference between weight and mass and how they are measured.")</f>
        <v>Develop a visual aid that clearly illustrates the difference between weight and mass and how they are measured.</v>
      </c>
    </row>
    <row r="20" spans="1:21" ht="27.6">
      <c r="A20" s="2"/>
      <c r="B20" s="2" t="s">
        <v>29</v>
      </c>
      <c r="C20" s="1" t="s">
        <v>30</v>
      </c>
      <c r="D20" s="13">
        <v>7</v>
      </c>
      <c r="E20" s="1" t="s">
        <v>75</v>
      </c>
      <c r="F20" s="1" t="s">
        <v>149</v>
      </c>
      <c r="G20" s="2" t="s">
        <v>150</v>
      </c>
      <c r="H20" s="18" t="str">
        <f ca="1">IFERROR(__xludf.dummyfunction("IFERROR(
  VLOOKUP(G20, IMPORTRANGE(""https://docs.google.com/spreadsheets/d/14deopnvwcrKtEGCKuYXdUHJbeLDZlkiSSWWT0g7x2pM/edit#gid=849066331"", ""LU List Maths (Filter)!A:B""), 2, FALSE),
  IFERROR(
    VLOOKUP(G20, IMPORTRANGE(""https://docs.google.com/s"&amp;"preadsheets/d/14deopnvwcrKtEGCKuYXdUHJbeLDZlkiSSWWT0g7x2pM/edit#gid=849066331"", ""LU List Science (Filter)!A:B""), 2, FALSE),
    ""Not Found""
  )
)
"),"Definition and different forms of energy")</f>
        <v>Definition and different forms of energy</v>
      </c>
      <c r="J20" s="2" t="str">
        <f t="shared" si="0"/>
        <v>LU005897.001</v>
      </c>
      <c r="K20" s="2" t="str">
        <f ca="1">IFERROR(__xludf.dummyfunction("VLOOKUP(J20, IMPORTRANGE(""https://docs.google.com/spreadsheets/d/1yDAaXNsi4Mr5FtRQL4tbmSdIzhx6_m4wkOD7IG-k_eo/edit#gid=1336395716"", ""Science!M:N""), 2, FALSE)"),"Define the term 'energy' and list its different forms.")</f>
        <v>Define the term 'energy' and list its different forms.</v>
      </c>
      <c r="L20" s="2" t="str">
        <f t="shared" si="1"/>
        <v>LU005897.002</v>
      </c>
      <c r="M20" s="2" t="str">
        <f ca="1">IFERROR(__xludf.dummyfunction("VLOOKUP(L20, IMPORTRANGE(""https://docs.google.com/spreadsheets/d/1yDAaXNsi4Mr5FtRQL4tbmSdIzhx6_m4wkOD7IG-k_eo/edit#gid=1336395716"", ""Science!M:N""), 2, FALSE)"),"Describe the basic characteristics of each form of energy (mechanical, chemical, heat, light, sound, electrical).")</f>
        <v>Describe the basic characteristics of each form of energy (mechanical, chemical, heat, light, sound, electrical).</v>
      </c>
      <c r="N20" s="2" t="str">
        <f t="shared" si="2"/>
        <v>LU005897.003</v>
      </c>
      <c r="O20" s="2" t="str">
        <f ca="1">IFERROR(__xludf.dummyfunction("VLOOKUP(N20, IMPORTRANGE(""https://docs.google.com/spreadsheets/d/1yDAaXNsi4Mr5FtRQL4tbmSdIzhx6_m4wkOD7IG-k_eo/edit#gid=1336395716"", ""Science!M:N""), 2, FALSE)"),"Identify and classify examples of everyday occurrences or devices into the appropriate forms of energy.")</f>
        <v>Identify and classify examples of everyday occurrences or devices into the appropriate forms of energy.</v>
      </c>
      <c r="P20" s="2" t="str">
        <f t="shared" si="3"/>
        <v>LU005897.004</v>
      </c>
      <c r="Q20" s="17" t="str">
        <f ca="1">IFERROR(__xludf.dummyfunction("VLOOKUP(P20, IMPORTRANGE(""https://docs.google.com/spreadsheets/d/1yDAaXNsi4Mr5FtRQL4tbmSdIzhx6_m4wkOD7IG-k_eo/edit#gid=1336395716"", ""Science!M:N""), 2, FALSE)"),"Compare and contrast the transformations of energy from one form to another in real-world contexts.")</f>
        <v>Compare and contrast the transformations of energy from one form to another in real-world contexts.</v>
      </c>
      <c r="R20" s="2" t="str">
        <f t="shared" si="4"/>
        <v>LU005897.005</v>
      </c>
      <c r="S20" s="17" t="str">
        <f ca="1">IFERROR(__xludf.dummyfunction("VLOOKUP(R20, IMPORTRANGE(""https://docs.google.com/spreadsheets/d/1yDAaXNsi4Mr5FtRQL4tbmSdIzhx6_m4wkOD7IG-k_eo/edit#gid=1336395716"", ""Science!M:N""), 2, FALSE)"),"Evaluate the efficiency of common appliances or tools based on the energy forms they utilize and any energy losses in the form of heat or sound.")</f>
        <v>Evaluate the efficiency of common appliances or tools based on the energy forms they utilize and any energy losses in the form of heat or sound.</v>
      </c>
      <c r="T20" s="2" t="str">
        <f t="shared" si="5"/>
        <v>LU005897.006</v>
      </c>
      <c r="U20" s="17" t="str">
        <f ca="1">IFERROR(__xludf.dummyfunction("VLOOKUP(T20, IMPORTRANGE(""https://docs.google.com/spreadsheets/d/1yDAaXNsi4Mr5FtRQL4tbmSdIzhx6_m4wkOD7IG-k_eo/edit#gid=1336395716"", ""Science!M:N""), 2, FALSE)"),"Design a simple machine or system that uses at least two forms of energy, explaining how one form is converted to another.")</f>
        <v>Design a simple machine or system that uses at least two forms of energy, explaining how one form is converted to another.</v>
      </c>
    </row>
    <row r="21" spans="1:21" ht="27.6">
      <c r="A21" s="2"/>
      <c r="B21" s="2" t="s">
        <v>29</v>
      </c>
      <c r="C21" s="1" t="s">
        <v>30</v>
      </c>
      <c r="D21" s="13">
        <v>7</v>
      </c>
      <c r="E21" s="1" t="s">
        <v>75</v>
      </c>
      <c r="F21" s="1" t="s">
        <v>149</v>
      </c>
      <c r="G21" s="14" t="s">
        <v>151</v>
      </c>
      <c r="H21" s="18" t="str">
        <f ca="1">IFERROR(__xludf.dummyfunction("IFERROR(
  VLOOKUP(G21, IMPORTRANGE(""https://docs.google.com/spreadsheets/d/14deopnvwcrKtEGCKuYXdUHJbeLDZlkiSSWWT0g7x2pM/edit#gid=849066331"", ""LU List Maths (Filter)!A:B""), 2, FALSE),
  IFERROR(
    VLOOKUP(G21, IMPORTRANGE(""https://docs.google.com/s"&amp;"preadsheets/d/14deopnvwcrKtEGCKuYXdUHJbeLDZlkiSSWWT0g7x2pM/edit#gid=849066331"", ""LU List Science (Filter)!A:B""), 2, FALSE),
    ""Not Found""
  )
)
"),"Examples of interconversion of energy from daily life")</f>
        <v>Examples of interconversion of energy from daily life</v>
      </c>
      <c r="J21" s="2" t="str">
        <f t="shared" si="0"/>
        <v>LU006806.001</v>
      </c>
      <c r="K21" s="2" t="str">
        <f ca="1">IFERROR(__xludf.dummyfunction("VLOOKUP(J21, IMPORTRANGE(""https://docs.google.com/spreadsheets/d/1yDAaXNsi4Mr5FtRQL4tbmSdIzhx6_m4wkOD7IG-k_eo/edit#gid=1336395716"", ""Science!M:N""), 2, FALSE)"),"(LU006806.001); Default - Remember")</f>
        <v>(LU006806.001); Default - Remember</v>
      </c>
      <c r="L21" s="2" t="str">
        <f t="shared" si="1"/>
        <v>LU006806.002</v>
      </c>
      <c r="M21" s="2" t="str">
        <f ca="1">IFERROR(__xludf.dummyfunction("VLOOKUP(L21, IMPORTRANGE(""https://docs.google.com/spreadsheets/d/1yDAaXNsi4Mr5FtRQL4tbmSdIzhx6_m4wkOD7IG-k_eo/edit#gid=1336395716"", ""Science!M:N""), 2, FALSE)"),"(LU006806.002); Default - Understand")</f>
        <v>(LU006806.002); Default - Understand</v>
      </c>
      <c r="N21" s="2" t="str">
        <f t="shared" si="2"/>
        <v>LU006806.003</v>
      </c>
      <c r="O21" s="2" t="str">
        <f ca="1">IFERROR(__xludf.dummyfunction("VLOOKUP(N21, IMPORTRANGE(""https://docs.google.com/spreadsheets/d/1yDAaXNsi4Mr5FtRQL4tbmSdIzhx6_m4wkOD7IG-k_eo/edit#gid=1336395716"", ""Science!M:N""), 2, FALSE)"),"(LU006806.003); Default - Apply")</f>
        <v>(LU006806.003); Default - Apply</v>
      </c>
      <c r="P21" s="2" t="str">
        <f t="shared" si="3"/>
        <v>LU006806.004</v>
      </c>
      <c r="Q21" s="17" t="str">
        <f ca="1">IFERROR(__xludf.dummyfunction("VLOOKUP(P21, IMPORTRANGE(""https://docs.google.com/spreadsheets/d/1yDAaXNsi4Mr5FtRQL4tbmSdIzhx6_m4wkOD7IG-k_eo/edit#gid=1336395716"", ""Science!M:N""), 2, FALSE)"),"(LU006806.004); Default - Analyse")</f>
        <v>(LU006806.004); Default - Analyse</v>
      </c>
      <c r="R21" s="2" t="str">
        <f t="shared" si="4"/>
        <v>LU006806.005</v>
      </c>
      <c r="S21" s="17" t="str">
        <f ca="1">IFERROR(__xludf.dummyfunction("VLOOKUP(R21, IMPORTRANGE(""https://docs.google.com/spreadsheets/d/1yDAaXNsi4Mr5FtRQL4tbmSdIzhx6_m4wkOD7IG-k_eo/edit#gid=1336395716"", ""Science!M:N""), 2, FALSE)"),"(LU006806.005); Default - Evaluate")</f>
        <v>(LU006806.005); Default - Evaluate</v>
      </c>
      <c r="T21" s="2" t="str">
        <f t="shared" si="5"/>
        <v>LU006806.006</v>
      </c>
      <c r="U21" s="17" t="str">
        <f ca="1">IFERROR(__xludf.dummyfunction("VLOOKUP(T21, IMPORTRANGE(""https://docs.google.com/spreadsheets/d/1yDAaXNsi4Mr5FtRQL4tbmSdIzhx6_m4wkOD7IG-k_eo/edit#gid=1336395716"", ""Science!M:N""), 2, FALSE)"),"(LU006806.006); Default - Create")</f>
        <v>(LU006806.006); Default - Create</v>
      </c>
    </row>
    <row r="22" spans="1:21" ht="55.2">
      <c r="A22" s="2"/>
      <c r="B22" s="2" t="s">
        <v>29</v>
      </c>
      <c r="C22" s="1" t="s">
        <v>30</v>
      </c>
      <c r="D22" s="13">
        <v>7</v>
      </c>
      <c r="E22" s="1" t="s">
        <v>75</v>
      </c>
      <c r="F22" s="1" t="s">
        <v>152</v>
      </c>
      <c r="G22" s="14" t="s">
        <v>153</v>
      </c>
      <c r="H22" s="18" t="str">
        <f ca="1">IFERROR(__xludf.dummyfunction("IFERROR(
  VLOOKUP(G22, IMPORTRANGE(""https://docs.google.com/spreadsheets/d/14deopnvwcrKtEGCKuYXdUHJbeLDZlkiSSWWT0g7x2pM/edit#gid=849066331"", ""LU List Maths (Filter)!A:B""), 2, FALSE),
  IFERROR(
    VLOOKUP(G22, IMPORTRANGE(""https://docs.google.com/s"&amp;"preadsheets/d/14deopnvwcrKtEGCKuYXdUHJbeLDZlkiSSWWT0g7x2pM/edit#gid=849066331"", ""LU List Science (Filter)!A:B""), 2, FALSE),
    ""Not Found""
  )
)
"),"Examples of conservation of energy ((Roller coaster, production of
hydroelectricity)")</f>
        <v>Examples of conservation of energy ((Roller coaster, production of
hydroelectricity)</v>
      </c>
      <c r="J22" s="2" t="str">
        <f t="shared" si="0"/>
        <v>LU006807.001</v>
      </c>
      <c r="K22" s="2" t="str">
        <f ca="1">IFERROR(__xludf.dummyfunction("VLOOKUP(J22, IMPORTRANGE(""https://docs.google.com/spreadsheets/d/1yDAaXNsi4Mr5FtRQL4tbmSdIzhx6_m4wkOD7IG-k_eo/edit#gid=1336395716"", ""Science!M:N""), 2, FALSE)"),"(LU006807.001); Default - Remember")</f>
        <v>(LU006807.001); Default - Remember</v>
      </c>
      <c r="L22" s="2" t="str">
        <f t="shared" si="1"/>
        <v>LU006807.002</v>
      </c>
      <c r="M22" s="2" t="str">
        <f ca="1">IFERROR(__xludf.dummyfunction("VLOOKUP(L22, IMPORTRANGE(""https://docs.google.com/spreadsheets/d/1yDAaXNsi4Mr5FtRQL4tbmSdIzhx6_m4wkOD7IG-k_eo/edit#gid=1336395716"", ""Science!M:N""), 2, FALSE)"),"(LU006807.002); Default - Understand")</f>
        <v>(LU006807.002); Default - Understand</v>
      </c>
      <c r="N22" s="2" t="str">
        <f t="shared" si="2"/>
        <v>LU006807.003</v>
      </c>
      <c r="O22" s="2" t="str">
        <f ca="1">IFERROR(__xludf.dummyfunction("VLOOKUP(N22, IMPORTRANGE(""https://docs.google.com/spreadsheets/d/1yDAaXNsi4Mr5FtRQL4tbmSdIzhx6_m4wkOD7IG-k_eo/edit#gid=1336395716"", ""Science!M:N""), 2, FALSE)"),"(LU006807.003); Default - Apply")</f>
        <v>(LU006807.003); Default - Apply</v>
      </c>
      <c r="P22" s="2" t="str">
        <f t="shared" si="3"/>
        <v>LU006807.004</v>
      </c>
      <c r="Q22" s="17" t="str">
        <f ca="1">IFERROR(__xludf.dummyfunction("VLOOKUP(P22, IMPORTRANGE(""https://docs.google.com/spreadsheets/d/1yDAaXNsi4Mr5FtRQL4tbmSdIzhx6_m4wkOD7IG-k_eo/edit#gid=1336395716"", ""Science!M:N""), 2, FALSE)"),"(LU006807.004); Default - Analyse")</f>
        <v>(LU006807.004); Default - Analyse</v>
      </c>
      <c r="R22" s="2" t="str">
        <f t="shared" si="4"/>
        <v>LU006807.005</v>
      </c>
      <c r="S22" s="17" t="str">
        <f ca="1">IFERROR(__xludf.dummyfunction("VLOOKUP(R22, IMPORTRANGE(""https://docs.google.com/spreadsheets/d/1yDAaXNsi4Mr5FtRQL4tbmSdIzhx6_m4wkOD7IG-k_eo/edit#gid=1336395716"", ""Science!M:N""), 2, FALSE)"),"(LU006807.005); Default - Evaluate")</f>
        <v>(LU006807.005); Default - Evaluate</v>
      </c>
      <c r="T22" s="2" t="str">
        <f t="shared" si="5"/>
        <v>LU006807.006</v>
      </c>
      <c r="U22" s="17" t="str">
        <f ca="1">IFERROR(__xludf.dummyfunction("VLOOKUP(T22, IMPORTRANGE(""https://docs.google.com/spreadsheets/d/1yDAaXNsi4Mr5FtRQL4tbmSdIzhx6_m4wkOD7IG-k_eo/edit#gid=1336395716"", ""Science!M:N""), 2, FALSE)"),"(LU006807.006); Default - Create")</f>
        <v>(LU006807.006); Default - Create</v>
      </c>
    </row>
    <row r="23" spans="1:21" ht="27.6">
      <c r="A23" s="2"/>
      <c r="B23" s="2" t="s">
        <v>29</v>
      </c>
      <c r="C23" s="1" t="s">
        <v>30</v>
      </c>
      <c r="D23" s="13">
        <v>7</v>
      </c>
      <c r="E23" s="1" t="s">
        <v>154</v>
      </c>
      <c r="F23" s="1" t="s">
        <v>155</v>
      </c>
      <c r="G23" s="2" t="s">
        <v>156</v>
      </c>
      <c r="H23" s="18" t="str">
        <f ca="1">IFERROR(__xludf.dummyfunction("IFERROR(
  VLOOKUP(G23, IMPORTRANGE(""https://docs.google.com/spreadsheets/d/14deopnvwcrKtEGCKuYXdUHJbeLDZlkiSSWWT0g7x2pM/edit#gid=849066331"", ""LU List Maths (Filter)!A:B""), 2, FALSE),
  IFERROR(
    VLOOKUP(G23, IMPORTRANGE(""https://docs.google.com/s"&amp;"preadsheets/d/14deopnvwcrKtEGCKuYXdUHJbeLDZlkiSSWWT0g7x2pM/edit#gid=849066331"", ""LU List Science (Filter)!A:B""), 2, FALSE),
    ""Not Found""
  )
)
"),"Definition of Reflection of Light")</f>
        <v>Definition of Reflection of Light</v>
      </c>
      <c r="J23" s="2" t="str">
        <f t="shared" si="0"/>
        <v>LU005838.001</v>
      </c>
      <c r="K23" s="2" t="str">
        <f ca="1">IFERROR(__xludf.dummyfunction("VLOOKUP(J23, IMPORTRANGE(""https://docs.google.com/spreadsheets/d/1yDAaXNsi4Mr5FtRQL4tbmSdIzhx6_m4wkOD7IG-k_eo/edit#gid=1336395716"", ""Science!M:N""), 2, FALSE)"),"Define the term ""reflection"" in the context of light.")</f>
        <v>Define the term "reflection" in the context of light.</v>
      </c>
      <c r="L23" s="2" t="str">
        <f t="shared" si="1"/>
        <v>LU005838.002</v>
      </c>
      <c r="M23" s="2" t="str">
        <f ca="1">IFERROR(__xludf.dummyfunction("VLOOKUP(L23, IMPORTRANGE(""https://docs.google.com/spreadsheets/d/1yDAaXNsi4Mr5FtRQL4tbmSdIzhx6_m4wkOD7IG-k_eo/edit#gid=1336395716"", ""Science!M:N""), 2, FALSE)"),"Explain the basic principles underlying the reflection of light.")</f>
        <v>Explain the basic principles underlying the reflection of light.</v>
      </c>
      <c r="N23" s="2" t="str">
        <f t="shared" si="2"/>
        <v>LU005838.003</v>
      </c>
      <c r="O23" s="2" t="str">
        <f ca="1">IFERROR(__xludf.dummyfunction("VLOOKUP(N23, IMPORTRANGE(""https://docs.google.com/spreadsheets/d/1yDAaXNsi4Mr5FtRQL4tbmSdIzhx6_m4wkOD7IG-k_eo/edit#gid=1336395716"", ""Science!M:N""), 2, FALSE)"),"Identify examples in everyday life where light reflection is evident.")</f>
        <v>Identify examples in everyday life where light reflection is evident.</v>
      </c>
      <c r="P23" s="2" t="str">
        <f t="shared" si="3"/>
        <v>LU005838.004</v>
      </c>
      <c r="Q23" s="17" t="str">
        <f ca="1">IFERROR(__xludf.dummyfunction("VLOOKUP(P23, IMPORTRANGE(""https://docs.google.com/spreadsheets/d/1yDAaXNsi4Mr5FtRQL4tbmSdIzhx6_m4wkOD7IG-k_eo/edit#gid=1336395716"", ""Science!M:N""), 2, FALSE)"),"Differentiate reflection of light from other optical behaviors, such as absorption or transmission.")</f>
        <v>Differentiate reflection of light from other optical behaviors, such as absorption or transmission.</v>
      </c>
      <c r="R23" s="2" t="str">
        <f t="shared" si="4"/>
        <v>LU005838.005</v>
      </c>
      <c r="S23" s="17" t="str">
        <f ca="1">IFERROR(__xludf.dummyfunction("VLOOKUP(R23, IMPORTRANGE(""https://docs.google.com/spreadsheets/d/1yDAaXNsi4Mr5FtRQL4tbmSdIzhx6_m4wkOD7IG-k_eo/edit#gid=1336395716"", ""Science!M:N""), 2, FALSE)"),"Evaluate the clarity of different definitions of light reflection from various sources.")</f>
        <v>Evaluate the clarity of different definitions of light reflection from various sources.</v>
      </c>
      <c r="T23" s="2" t="str">
        <f t="shared" si="5"/>
        <v>LU005838.006</v>
      </c>
      <c r="U23" s="17" t="str">
        <f ca="1">IFERROR(__xludf.dummyfunction("VLOOKUP(T23, IMPORTRANGE(""https://docs.google.com/spreadsheets/d/1yDAaXNsi4Mr5FtRQL4tbmSdIzhx6_m4wkOD7IG-k_eo/edit#gid=1336395716"", ""Science!M:N""), 2, FALSE)"),"Construct a simple diagram or model illustrating the reflection of light")</f>
        <v>Construct a simple diagram or model illustrating the reflection of light</v>
      </c>
    </row>
    <row r="24" spans="1:21" ht="27.6">
      <c r="A24" s="2"/>
      <c r="B24" s="2" t="s">
        <v>29</v>
      </c>
      <c r="C24" s="1" t="s">
        <v>30</v>
      </c>
      <c r="D24" s="13">
        <v>7</v>
      </c>
      <c r="E24" s="1" t="s">
        <v>154</v>
      </c>
      <c r="F24" s="1" t="s">
        <v>155</v>
      </c>
      <c r="G24" s="1" t="s">
        <v>157</v>
      </c>
      <c r="H24" s="18" t="str">
        <f ca="1">IFERROR(__xludf.dummyfunction("IFERROR(
  VLOOKUP(G24, IMPORTRANGE(""https://docs.google.com/spreadsheets/d/14deopnvwcrKtEGCKuYXdUHJbeLDZlkiSSWWT0g7x2pM/edit#gid=849066331"", ""LU List Maths (Filter)!A:B""), 2, FALSE),
  IFERROR(
    VLOOKUP(G24, IMPORTRANGE(""https://docs.google.com/s"&amp;"preadsheets/d/14deopnvwcrKtEGCKuYXdUHJbeLDZlkiSSWWT0g7x2pM/edit#gid=849066331"", ""LU List Science (Filter)!A:B""), 2, FALSE),
    ""Not Found""
  )
)
"),"Demonstration of reflection of light")</f>
        <v>Demonstration of reflection of light</v>
      </c>
      <c r="J24" s="2" t="str">
        <f t="shared" si="0"/>
        <v>LU005164.001</v>
      </c>
      <c r="K24" s="2" t="str">
        <f ca="1">IFERROR(__xludf.dummyfunction("VLOOKUP(J24, IMPORTRANGE(""https://docs.google.com/spreadsheets/d/1yDAaXNsi4Mr5FtRQL4tbmSdIzhx6_m4wkOD7IG-k_eo/edit#gid=1336395716"", ""Science!M:N""), 2, FALSE)"),"List the materials needed for a basic demonstration of reflection of light.")</f>
        <v>List the materials needed for a basic demonstration of reflection of light.</v>
      </c>
      <c r="L24" s="2" t="str">
        <f t="shared" si="1"/>
        <v>LU005164.002</v>
      </c>
      <c r="M24" s="2" t="str">
        <f ca="1">IFERROR(__xludf.dummyfunction("VLOOKUP(L24, IMPORTRANGE(""https://docs.google.com/spreadsheets/d/1yDAaXNsi4Mr5FtRQL4tbmSdIzhx6_m4wkOD7IG-k_eo/edit#gid=1336395716"", ""Science!M:N""), 2, FALSE)"),"Illustrate how a mirror changes the direction of light.")</f>
        <v>Illustrate how a mirror changes the direction of light.</v>
      </c>
      <c r="N24" s="2" t="str">
        <f t="shared" si="2"/>
        <v>LU005164.003</v>
      </c>
      <c r="O24" s="2" t="str">
        <f ca="1">IFERROR(__xludf.dummyfunction("VLOOKUP(N24, IMPORTRANGE(""https://docs.google.com/spreadsheets/d/1yDAaXNsi4Mr5FtRQL4tbmSdIzhx6_m4wkOD7IG-k_eo/edit#gid=1336395716"", ""Science!M:N""), 2, FALSE)"),"Perform an experiment using a mirror and a flashlight to show how light changes direction after hitting the mirror.")</f>
        <v>Perform an experiment using a mirror and a flashlight to show how light changes direction after hitting the mirror.</v>
      </c>
      <c r="P24" s="2" t="str">
        <f t="shared" si="3"/>
        <v>LU005164.004</v>
      </c>
      <c r="Q24" s="17" t="str">
        <f ca="1">IFERROR(__xludf.dummyfunction("VLOOKUP(P24, IMPORTRANGE(""https://docs.google.com/spreadsheets/d/1yDAaXNsi4Mr5FtRQL4tbmSdIzhx6_m4wkOD7IG-k_eo/edit#gid=1336395716"", ""Science!M:N""), 2, FALSE)"),"Investigate through an activity that a mirror changes the direction of light that falls on it.")</f>
        <v>Investigate through an activity that a mirror changes the direction of light that falls on it.</v>
      </c>
      <c r="R24" s="2" t="str">
        <f t="shared" si="4"/>
        <v>LU005164.005</v>
      </c>
      <c r="S24" s="17" t="str">
        <f ca="1">IFERROR(__xludf.dummyfunction("VLOOKUP(R24, IMPORTRANGE(""https://docs.google.com/spreadsheets/d/1yDAaXNsi4Mr5FtRQL4tbmSdIzhx6_m4wkOD7IG-k_eo/edit#gid=1336395716"", ""Science!M:N""), 2, FALSE)"),"Evaluate the accuracy and reliability of the mirror activity as a method to demonstrate the change in the direction of light, suggesting improvements for more precise results.")</f>
        <v>Evaluate the accuracy and reliability of the mirror activity as a method to demonstrate the change in the direction of light, suggesting improvements for more precise results.</v>
      </c>
      <c r="T24" s="2" t="str">
        <f t="shared" si="5"/>
        <v>LU005164.006</v>
      </c>
      <c r="U24" s="17" t="str">
        <f ca="1">IFERROR(__xludf.dummyfunction("VLOOKUP(T24, IMPORTRANGE(""https://docs.google.com/spreadsheets/d/1yDAaXNsi4Mr5FtRQL4tbmSdIzhx6_m4wkOD7IG-k_eo/edit#gid=1336395716"", ""Science!M:N""), 2, FALSE)"),"#N/A")</f>
        <v>#N/A</v>
      </c>
    </row>
    <row r="25" spans="1:21" ht="41.4">
      <c r="A25" s="2"/>
      <c r="B25" s="2" t="s">
        <v>29</v>
      </c>
      <c r="C25" s="1" t="s">
        <v>30</v>
      </c>
      <c r="D25" s="13">
        <v>7</v>
      </c>
      <c r="E25" s="1" t="s">
        <v>154</v>
      </c>
      <c r="F25" s="1" t="s">
        <v>158</v>
      </c>
      <c r="G25" s="2" t="s">
        <v>159</v>
      </c>
      <c r="H25" s="18" t="str">
        <f ca="1">IFERROR(__xludf.dummyfunction("IFERROR(
  VLOOKUP(G25, IMPORTRANGE(""https://docs.google.com/spreadsheets/d/14deopnvwcrKtEGCKuYXdUHJbeLDZlkiSSWWT0g7x2pM/edit#gid=849066331"", ""LU List Maths (Filter)!A:B""), 2, FALSE),
  IFERROR(
    VLOOKUP(G25, IMPORTRANGE(""https://docs.google.com/s"&amp;"preadsheets/d/14deopnvwcrKtEGCKuYXdUHJbeLDZlkiSSWWT0g7x2pM/edit#gid=849066331"", ""LU List Science (Filter)!A:B""), 2, FALSE),
    ""Not Found""
  )
)
"),"Definition of types of angles and rays used in reflection of light")</f>
        <v>Definition of types of angles and rays used in reflection of light</v>
      </c>
      <c r="J25" s="2" t="str">
        <f t="shared" si="0"/>
        <v>LU005917.001</v>
      </c>
      <c r="K25" s="2" t="str">
        <f ca="1">IFERROR(__xludf.dummyfunction("VLOOKUP(J25, IMPORTRANGE(""https://docs.google.com/spreadsheets/d/1yDAaXNsi4Mr5FtRQL4tbmSdIzhx6_m4wkOD7IG-k_eo/edit#gid=1336395716"", ""Science!M:N""), 2, FALSE)"),"Identify and label angles of incidence, reflection, and the normal in a diagram.")</f>
        <v>Identify and label angles of incidence, reflection, and the normal in a diagram.</v>
      </c>
      <c r="L25" s="2" t="str">
        <f t="shared" si="1"/>
        <v>LU005917.002</v>
      </c>
      <c r="M25" s="2" t="str">
        <f ca="1">IFERROR(__xludf.dummyfunction("VLOOKUP(L25, IMPORTRANGE(""https://docs.google.com/spreadsheets/d/1yDAaXNsi4Mr5FtRQL4tbmSdIzhx6_m4wkOD7IG-k_eo/edit#gid=1336395716"", ""Science!M:N""), 2, FALSE)"),"Explain the relationship between incident, reflected, and normal rays.")</f>
        <v>Explain the relationship between incident, reflected, and normal rays.</v>
      </c>
      <c r="N25" s="2" t="str">
        <f t="shared" si="2"/>
        <v>LU005917.003</v>
      </c>
      <c r="O25" s="2" t="str">
        <f ca="1">IFERROR(__xludf.dummyfunction("VLOOKUP(N25, IMPORTRANGE(""https://docs.google.com/spreadsheets/d/1yDAaXNsi4Mr5FtRQL4tbmSdIzhx6_m4wkOD7IG-k_eo/edit#gid=1336395716"", ""Science!M:N""), 2, FALSE)"),"Apply geometric principles to predict the behavior of light upon reflection.")</f>
        <v>Apply geometric principles to predict the behavior of light upon reflection.</v>
      </c>
      <c r="P25" s="2" t="str">
        <f t="shared" si="3"/>
        <v>LU005917.004</v>
      </c>
      <c r="Q25" s="17" t="str">
        <f ca="1">IFERROR(__xludf.dummyfunction("VLOOKUP(P25, IMPORTRANGE(""https://docs.google.com/spreadsheets/d/1yDAaXNsi4Mr5FtRQL4tbmSdIzhx6_m4wkOD7IG-k_eo/edit#gid=1336395716"", ""Science!M:N""), 2, FALSE)"),"Analyze diagrams to determine the accuracy of angle representations.")</f>
        <v>Analyze diagrams to determine the accuracy of angle representations.</v>
      </c>
      <c r="R25" s="2" t="str">
        <f t="shared" si="4"/>
        <v>LU005917.005</v>
      </c>
      <c r="S25" s="17" t="str">
        <f ca="1">IFERROR(__xludf.dummyfunction("VLOOKUP(R25, IMPORTRANGE(""https://docs.google.com/spreadsheets/d/1yDAaXNsi4Mr5FtRQL4tbmSdIzhx6_m4wkOD7IG-k_eo/edit#gid=1336395716"", ""Science!M:N""), 2, FALSE)"),"Evaluate the significance of these angles in practical applications of reflection.")</f>
        <v>Evaluate the significance of these angles in practical applications of reflection.</v>
      </c>
      <c r="T25" s="2" t="str">
        <f t="shared" si="5"/>
        <v>LU005917.006</v>
      </c>
      <c r="U25" s="17" t="str">
        <f ca="1">IFERROR(__xludf.dummyfunction("VLOOKUP(T25, IMPORTRANGE(""https://docs.google.com/spreadsheets/d/1yDAaXNsi4Mr5FtRQL4tbmSdIzhx6_m4wkOD7IG-k_eo/edit#gid=1336395716"", ""Science!M:N""), 2, FALSE)"),"Construct accurate diagrams to demonstrate the laws governing reflective angles and rays.")</f>
        <v>Construct accurate diagrams to demonstrate the laws governing reflective angles and rays.</v>
      </c>
    </row>
    <row r="26" spans="1:21" ht="13.8">
      <c r="A26" s="2"/>
      <c r="B26" s="2" t="s">
        <v>29</v>
      </c>
      <c r="C26" s="1" t="s">
        <v>30</v>
      </c>
      <c r="D26" s="13">
        <v>7</v>
      </c>
      <c r="E26" s="1" t="s">
        <v>154</v>
      </c>
      <c r="F26" s="1" t="s">
        <v>158</v>
      </c>
      <c r="G26" s="2" t="s">
        <v>160</v>
      </c>
      <c r="H26" s="18" t="str">
        <f ca="1">IFERROR(__xludf.dummyfunction("IFERROR(
  VLOOKUP(G26, IMPORTRANGE(""https://docs.google.com/spreadsheets/d/14deopnvwcrKtEGCKuYXdUHJbeLDZlkiSSWWT0g7x2pM/edit#gid=849066331"", ""LU List Maths (Filter)!A:B""), 2, FALSE),
  IFERROR(
    VLOOKUP(G26, IMPORTRANGE(""https://docs.google.com/s"&amp;"preadsheets/d/14deopnvwcrKtEGCKuYXdUHJbeLDZlkiSSWWT0g7x2pM/edit#gid=849066331"", ""LU List Science (Filter)!A:B""), 2, FALSE),
    ""Not Found""
  )
)
"),"Laws of reflection")</f>
        <v>Laws of reflection</v>
      </c>
      <c r="J26" s="2" t="str">
        <f t="shared" si="0"/>
        <v>LU005372.001</v>
      </c>
      <c r="K26" s="2" t="str">
        <f ca="1">IFERROR(__xludf.dummyfunction("VLOOKUP(J26, IMPORTRANGE(""https://docs.google.com/spreadsheets/d/1yDAaXNsi4Mr5FtRQL4tbmSdIzhx6_m4wkOD7IG-k_eo/edit#gid=1336395716"", ""Science!M:N""), 2, FALSE)"),"List the two laws of reflection")</f>
        <v>List the two laws of reflection</v>
      </c>
      <c r="L26" s="2" t="str">
        <f t="shared" si="1"/>
        <v>LU005372.002</v>
      </c>
      <c r="M26" s="2" t="str">
        <f ca="1">IFERROR(__xludf.dummyfunction("VLOOKUP(L26, IMPORTRANGE(""https://docs.google.com/spreadsheets/d/1yDAaXNsi4Mr5FtRQL4tbmSdIzhx6_m4wkOD7IG-k_eo/edit#gid=1336395716"", ""Science!M:N""), 2, FALSE)"),"Explain  the relationship between the angle of incidence and the angle of reflection. ")</f>
        <v xml:space="preserve">Explain  the relationship between the angle of incidence and the angle of reflection. </v>
      </c>
      <c r="N26" s="2" t="str">
        <f t="shared" si="2"/>
        <v>LU005372.003</v>
      </c>
      <c r="O26" s="2" t="str">
        <f ca="1">IFERROR(__xludf.dummyfunction("VLOOKUP(N26, IMPORTRANGE(""https://docs.google.com/spreadsheets/d/1yDAaXNsi4Mr5FtRQL4tbmSdIzhx6_m4wkOD7IG-k_eo/edit#gid=1336395716"", ""Science!M:N""), 2, FALSE)"),"Demonstrate an activity to show the relationship between angle of incidence and angle of reflection. ")</f>
        <v xml:space="preserve">Demonstrate an activity to show the relationship between angle of incidence and angle of reflection. </v>
      </c>
      <c r="P26" s="2" t="str">
        <f t="shared" si="3"/>
        <v>LU005372.004</v>
      </c>
      <c r="Q26" s="17" t="str">
        <f ca="1">IFERROR(__xludf.dummyfunction("VLOOKUP(P26, IMPORTRANGE(""https://docs.google.com/spreadsheets/d/1yDAaXNsi4Mr5FtRQL4tbmSdIzhx6_m4wkOD7IG-k_eo/edit#gid=1336395716"", ""Science!M:N""), 2, FALSE)"),"Analyze the factors that affect the angle of reflection.")</f>
        <v>Analyze the factors that affect the angle of reflection.</v>
      </c>
      <c r="R26" s="2" t="str">
        <f t="shared" si="4"/>
        <v>LU005372.005</v>
      </c>
      <c r="S26" s="17" t="str">
        <f ca="1">IFERROR(__xludf.dummyfunction("VLOOKUP(R26, IMPORTRANGE(""https://docs.google.com/spreadsheets/d/1yDAaXNsi4Mr5FtRQL4tbmSdIzhx6_m4wkOD7IG-k_eo/edit#gid=1336395716"", ""Science!M:N""), 2, FALSE)"),"(LU005372.005); Default - Evaluate")</f>
        <v>(LU005372.005); Default - Evaluate</v>
      </c>
      <c r="T26" s="2" t="str">
        <f t="shared" si="5"/>
        <v>LU005372.006</v>
      </c>
      <c r="U26" s="17" t="str">
        <f ca="1">IFERROR(__xludf.dummyfunction("VLOOKUP(T26, IMPORTRANGE(""https://docs.google.com/spreadsheets/d/1yDAaXNsi4Mr5FtRQL4tbmSdIzhx6_m4wkOD7IG-k_eo/edit#gid=1336395716"", ""Science!M:N""), 2, FALSE)"),"Design an experiment to verify the two law of reflection. ")</f>
        <v xml:space="preserve">Design an experiment to verify the two law of reflection. </v>
      </c>
    </row>
    <row r="27" spans="1:21" ht="13.8">
      <c r="A27" s="2"/>
      <c r="B27" s="2" t="s">
        <v>29</v>
      </c>
      <c r="C27" s="1" t="s">
        <v>30</v>
      </c>
      <c r="D27" s="13">
        <v>7</v>
      </c>
      <c r="E27" s="1" t="s">
        <v>154</v>
      </c>
      <c r="F27" s="1" t="s">
        <v>161</v>
      </c>
      <c r="G27" s="14" t="s">
        <v>162</v>
      </c>
      <c r="H27" s="18" t="str">
        <f ca="1">IFERROR(__xludf.dummyfunction("IFERROR(
  VLOOKUP(G27, IMPORTRANGE(""https://docs.google.com/spreadsheets/d/14deopnvwcrKtEGCKuYXdUHJbeLDZlkiSSWWT0g7x2pM/edit#gid=849066331"", ""LU List Maths (Filter)!A:B""), 2, FALSE),
  IFERROR(
    VLOOKUP(G27, IMPORTRANGE(""https://docs.google.com/s"&amp;"preadsheets/d/14deopnvwcrKtEGCKuYXdUHJbeLDZlkiSSWWT0g7x2pM/edit#gid=849066331"", ""LU List Science (Filter)!A:B""), 2, FALSE),
    ""Not Found""
  )
)
"),"Uses of Plane Mirror")</f>
        <v>Uses of Plane Mirror</v>
      </c>
      <c r="J27" s="2" t="str">
        <f t="shared" si="0"/>
        <v>LU006808.001</v>
      </c>
      <c r="K27" s="2" t="str">
        <f ca="1">IFERROR(__xludf.dummyfunction("VLOOKUP(J27, IMPORTRANGE(""https://docs.google.com/spreadsheets/d/1yDAaXNsi4Mr5FtRQL4tbmSdIzhx6_m4wkOD7IG-k_eo/edit#gid=1336395716"", ""Science!M:N""), 2, FALSE)"),"(LU006808.001); Default - Remember")</f>
        <v>(LU006808.001); Default - Remember</v>
      </c>
      <c r="L27" s="2" t="str">
        <f t="shared" si="1"/>
        <v>LU006808.002</v>
      </c>
      <c r="M27" s="2" t="str">
        <f ca="1">IFERROR(__xludf.dummyfunction("VLOOKUP(L27, IMPORTRANGE(""https://docs.google.com/spreadsheets/d/1yDAaXNsi4Mr5FtRQL4tbmSdIzhx6_m4wkOD7IG-k_eo/edit#gid=1336395716"", ""Science!M:N""), 2, FALSE)"),"(LU006808.002); Default - Understand")</f>
        <v>(LU006808.002); Default - Understand</v>
      </c>
      <c r="N27" s="2" t="str">
        <f t="shared" si="2"/>
        <v>LU006808.003</v>
      </c>
      <c r="O27" s="2" t="str">
        <f ca="1">IFERROR(__xludf.dummyfunction("VLOOKUP(N27, IMPORTRANGE(""https://docs.google.com/spreadsheets/d/1yDAaXNsi4Mr5FtRQL4tbmSdIzhx6_m4wkOD7IG-k_eo/edit#gid=1336395716"", ""Science!M:N""), 2, FALSE)"),"(LU006808.003); Default - Apply")</f>
        <v>(LU006808.003); Default - Apply</v>
      </c>
      <c r="P27" s="2" t="str">
        <f t="shared" si="3"/>
        <v>LU006808.004</v>
      </c>
      <c r="Q27" s="17" t="str">
        <f ca="1">IFERROR(__xludf.dummyfunction("VLOOKUP(P27, IMPORTRANGE(""https://docs.google.com/spreadsheets/d/1yDAaXNsi4Mr5FtRQL4tbmSdIzhx6_m4wkOD7IG-k_eo/edit#gid=1336395716"", ""Science!M:N""), 2, FALSE)"),"(LU006808.004); Default - Analyse")</f>
        <v>(LU006808.004); Default - Analyse</v>
      </c>
      <c r="R27" s="2" t="str">
        <f t="shared" si="4"/>
        <v>LU006808.005</v>
      </c>
      <c r="S27" s="17" t="str">
        <f ca="1">IFERROR(__xludf.dummyfunction("VLOOKUP(R27, IMPORTRANGE(""https://docs.google.com/spreadsheets/d/1yDAaXNsi4Mr5FtRQL4tbmSdIzhx6_m4wkOD7IG-k_eo/edit#gid=1336395716"", ""Science!M:N""), 2, FALSE)"),"(LU006808.005); Default - Evaluate")</f>
        <v>(LU006808.005); Default - Evaluate</v>
      </c>
      <c r="T27" s="2" t="str">
        <f t="shared" si="5"/>
        <v>LU006808.006</v>
      </c>
      <c r="U27" s="17" t="str">
        <f ca="1">IFERROR(__xludf.dummyfunction("VLOOKUP(T27, IMPORTRANGE(""https://docs.google.com/spreadsheets/d/1yDAaXNsi4Mr5FtRQL4tbmSdIzhx6_m4wkOD7IG-k_eo/edit#gid=1336395716"", ""Science!M:N""), 2, FALSE)"),"(LU006808.006); Default - Create")</f>
        <v>(LU006808.006); Default - Create</v>
      </c>
    </row>
    <row r="28" spans="1:21" ht="27.6">
      <c r="A28" s="2"/>
      <c r="B28" s="2" t="s">
        <v>29</v>
      </c>
      <c r="C28" s="1" t="s">
        <v>30</v>
      </c>
      <c r="D28" s="13">
        <v>7</v>
      </c>
      <c r="E28" s="1" t="s">
        <v>154</v>
      </c>
      <c r="F28" s="1" t="s">
        <v>161</v>
      </c>
      <c r="G28" s="2" t="s">
        <v>163</v>
      </c>
      <c r="H28" s="18" t="str">
        <f ca="1">IFERROR(__xludf.dummyfunction("IFERROR(
  VLOOKUP(G28, IMPORTRANGE(""https://docs.google.com/spreadsheets/d/14deopnvwcrKtEGCKuYXdUHJbeLDZlkiSSWWT0g7x2pM/edit#gid=849066331"", ""LU List Maths (Filter)!A:B""), 2, FALSE),
  IFERROR(
    VLOOKUP(G28, IMPORTRANGE(""https://docs.google.com/s"&amp;"preadsheets/d/14deopnvwcrKtEGCKuYXdUHJbeLDZlkiSSWWT0g7x2pM/edit#gid=849066331"", ""LU List Science (Filter)!A:B""), 2, FALSE),
    ""Not Found""
  )
)
"),"Characteristics of image formed by plane mirror")</f>
        <v>Characteristics of image formed by plane mirror</v>
      </c>
      <c r="J28" s="2" t="str">
        <f t="shared" si="0"/>
        <v>LU005367.001</v>
      </c>
      <c r="K28" s="2" t="str">
        <f ca="1">IFERROR(__xludf.dummyfunction("VLOOKUP(J28, IMPORTRANGE(""https://docs.google.com/spreadsheets/d/1yDAaXNsi4Mr5FtRQL4tbmSdIzhx6_m4wkOD7IG-k_eo/edit#gid=1336395716"", ""Science!M:N""), 2, FALSE)"),"List/Identify the characteristics of plane mirror and image formed by it.")</f>
        <v>List/Identify the characteristics of plane mirror and image formed by it.</v>
      </c>
      <c r="L28" s="2" t="str">
        <f t="shared" si="1"/>
        <v>LU005367.002</v>
      </c>
      <c r="M28" s="2" t="str">
        <f ca="1">IFERROR(__xludf.dummyfunction("VLOOKUP(L28, IMPORTRANGE(""https://docs.google.com/spreadsheets/d/1yDAaXNsi4Mr5FtRQL4tbmSdIzhx6_m4wkOD7IG-k_eo/edit#gid=1336395716"", ""Science!M:N""), 2, FALSE)"),"Illustrate using ray diagram why the image formed by a plane mirror is virtual, upright, and laterally inverted.")</f>
        <v>Illustrate using ray diagram why the image formed by a plane mirror is virtual, upright, and laterally inverted.</v>
      </c>
      <c r="N28" s="2" t="str">
        <f t="shared" si="2"/>
        <v>LU005367.003</v>
      </c>
      <c r="O28" s="2" t="str">
        <f ca="1">IFERROR(__xludf.dummyfunction("VLOOKUP(N28, IMPORTRANGE(""https://docs.google.com/spreadsheets/d/1yDAaXNsi4Mr5FtRQL4tbmSdIzhx6_m4wkOD7IG-k_eo/edit#gid=1336395716"", ""Science!M:N""), 2, FALSE)"),"predict the position and orientation of an image in a plane mirror when given the position of the object.")</f>
        <v>predict the position and orientation of an image in a plane mirror when given the position of the object.</v>
      </c>
      <c r="P28" s="2" t="str">
        <f t="shared" si="3"/>
        <v>LU005367.004</v>
      </c>
      <c r="Q28" s="17" t="str">
        <f ca="1">IFERROR(__xludf.dummyfunction("VLOOKUP(P28, IMPORTRANGE(""https://docs.google.com/spreadsheets/d/1yDAaXNsi4Mr5FtRQL4tbmSdIzhx6_m4wkOD7IG-k_eo/edit#gid=1336395716"", ""Science!M:N""), 2, FALSE)"),"Analyze the concept of lateral inversion in the context of a plane mirror and discuss its implications.")</f>
        <v>Analyze the concept of lateral inversion in the context of a plane mirror and discuss its implications.</v>
      </c>
      <c r="R28" s="2" t="str">
        <f t="shared" si="4"/>
        <v>LU005367.005</v>
      </c>
      <c r="S28" s="17" t="str">
        <f ca="1">IFERROR(__xludf.dummyfunction("VLOOKUP(R28, IMPORTRANGE(""https://docs.google.com/spreadsheets/d/1yDAaXNsi4Mr5FtRQL4tbmSdIzhx6_m4wkOD7IG-k_eo/edit#gid=1336395716"", ""Science!M:N""), 2, FALSE)"),"Evaluate the effect of changing the distance between the object and the mirror on the characteristics of the reflected image.")</f>
        <v>Evaluate the effect of changing the distance between the object and the mirror on the characteristics of the reflected image.</v>
      </c>
      <c r="T28" s="2" t="str">
        <f t="shared" si="5"/>
        <v>LU005367.006</v>
      </c>
      <c r="U28" s="17" t="str">
        <f ca="1">IFERROR(__xludf.dummyfunction("VLOOKUP(T28, IMPORTRANGE(""https://docs.google.com/spreadsheets/d/1yDAaXNsi4Mr5FtRQL4tbmSdIzhx6_m4wkOD7IG-k_eo/edit#gid=1336395716"", ""Science!M:N""), 2, FALSE)"),"Design an experiment to verify the characteristics of the image formed by a plane mirror")</f>
        <v>Design an experiment to verify the characteristics of the image formed by a plane mirror</v>
      </c>
    </row>
    <row r="29" spans="1:21" ht="13.8">
      <c r="A29" s="2"/>
      <c r="B29" s="2" t="s">
        <v>29</v>
      </c>
      <c r="C29" s="1" t="s">
        <v>30</v>
      </c>
      <c r="D29" s="13">
        <v>7</v>
      </c>
      <c r="E29" s="1" t="s">
        <v>154</v>
      </c>
      <c r="F29" s="1" t="s">
        <v>164</v>
      </c>
      <c r="G29" s="19" t="s">
        <v>165</v>
      </c>
      <c r="H29" s="18" t="str">
        <f ca="1">IFERROR(__xludf.dummyfunction("IFERROR(
  VLOOKUP(G29, IMPORTRANGE(""https://docs.google.com/spreadsheets/d/14deopnvwcrKtEGCKuYXdUHJbeLDZlkiSSWWT0g7x2pM/edit#gid=849066331"", ""LU List Maths (Filter)!A:B""), 2, FALSE),
  IFERROR(
    VLOOKUP(G29, IMPORTRANGE(""https://docs.google.com/s"&amp;"preadsheets/d/14deopnvwcrKtEGCKuYXdUHJbeLDZlkiSSWWT0g7x2pM/edit#gid=849066331"", ""LU List Science (Filter)!A:B""), 2, FALSE),
    ""Not Found""
  )
)
"),"Exploring Speed of Light")</f>
        <v>Exploring Speed of Light</v>
      </c>
      <c r="J29" s="2" t="str">
        <f t="shared" si="0"/>
        <v>LU006161.001</v>
      </c>
      <c r="K29" s="2" t="str">
        <f ca="1">IFERROR(__xludf.dummyfunction("VLOOKUP(J29, IMPORTRANGE(""https://docs.google.com/spreadsheets/d/1yDAaXNsi4Mr5FtRQL4tbmSdIzhx6_m4wkOD7IG-k_eo/edit#gid=1336395716"", ""Science!M:N""), 2, FALSE)"),"#N/A")</f>
        <v>#N/A</v>
      </c>
      <c r="L29" s="2" t="str">
        <f t="shared" si="1"/>
        <v>LU006161.002</v>
      </c>
      <c r="M29" s="2" t="str">
        <f ca="1">IFERROR(__xludf.dummyfunction("VLOOKUP(L29, IMPORTRANGE(""https://docs.google.com/spreadsheets/d/1yDAaXNsi4Mr5FtRQL4tbmSdIzhx6_m4wkOD7IG-k_eo/edit#gid=1336395716"", ""Science!M:N""), 2, FALSE)"),"#N/A")</f>
        <v>#N/A</v>
      </c>
      <c r="N29" s="2" t="str">
        <f t="shared" si="2"/>
        <v>LU006161.003</v>
      </c>
      <c r="O29" s="2" t="str">
        <f ca="1">IFERROR(__xludf.dummyfunction("VLOOKUP(N29, IMPORTRANGE(""https://docs.google.com/spreadsheets/d/1yDAaXNsi4Mr5FtRQL4tbmSdIzhx6_m4wkOD7IG-k_eo/edit#gid=1336395716"", ""Science!M:N""), 2, FALSE)"),"#N/A")</f>
        <v>#N/A</v>
      </c>
      <c r="P29" s="2" t="str">
        <f t="shared" si="3"/>
        <v>LU006161.004</v>
      </c>
      <c r="Q29" s="17" t="str">
        <f ca="1">IFERROR(__xludf.dummyfunction("VLOOKUP(P29, IMPORTRANGE(""https://docs.google.com/spreadsheets/d/1yDAaXNsi4Mr5FtRQL4tbmSdIzhx6_m4wkOD7IG-k_eo/edit#gid=1336395716"", ""Science!M:N""), 2, FALSE)"),"#N/A")</f>
        <v>#N/A</v>
      </c>
      <c r="R29" s="2" t="str">
        <f t="shared" si="4"/>
        <v>LU006161.005</v>
      </c>
      <c r="S29" s="17" t="str">
        <f ca="1">IFERROR(__xludf.dummyfunction("VLOOKUP(R29, IMPORTRANGE(""https://docs.google.com/spreadsheets/d/1yDAaXNsi4Mr5FtRQL4tbmSdIzhx6_m4wkOD7IG-k_eo/edit#gid=1336395716"", ""Science!M:N""), 2, FALSE)"),"#N/A")</f>
        <v>#N/A</v>
      </c>
      <c r="T29" s="2" t="str">
        <f t="shared" si="5"/>
        <v>LU006161.006</v>
      </c>
      <c r="U29" s="17" t="str">
        <f ca="1">IFERROR(__xludf.dummyfunction("VLOOKUP(T29, IMPORTRANGE(""https://docs.google.com/spreadsheets/d/1yDAaXNsi4Mr5FtRQL4tbmSdIzhx6_m4wkOD7IG-k_eo/edit#gid=1336395716"", ""Science!M:N""), 2, FALSE)"),"#N/A")</f>
        <v>#N/A</v>
      </c>
    </row>
    <row r="30" spans="1:21" ht="27.6">
      <c r="A30" s="2"/>
      <c r="B30" s="2" t="s">
        <v>29</v>
      </c>
      <c r="C30" s="1" t="s">
        <v>30</v>
      </c>
      <c r="D30" s="13">
        <v>7</v>
      </c>
      <c r="E30" s="1" t="s">
        <v>154</v>
      </c>
      <c r="F30" s="1" t="s">
        <v>166</v>
      </c>
      <c r="G30" s="14" t="s">
        <v>167</v>
      </c>
      <c r="H30" s="18" t="str">
        <f ca="1">IFERROR(__xludf.dummyfunction("IFERROR(
  VLOOKUP(G30, IMPORTRANGE(""https://docs.google.com/spreadsheets/d/14deopnvwcrKtEGCKuYXdUHJbeLDZlkiSSWWT0g7x2pM/edit#gid=849066331"", ""LU List Maths (Filter)!A:B""), 2, FALSE),
  IFERROR(
    VLOOKUP(G30, IMPORTRANGE(""https://docs.google.com/s"&amp;"preadsheets/d/14deopnvwcrKtEGCKuYXdUHJbeLDZlkiSSWWT0g7x2pM/edit#gid=849066331"", ""LU List Science (Filter)!A:B""), 2, FALSE),
    ""Not Found""
  )
)
"),"Exploring primary and secondary colour")</f>
        <v>Exploring primary and secondary colour</v>
      </c>
      <c r="J30" s="2" t="str">
        <f t="shared" si="0"/>
        <v>LU006809.001</v>
      </c>
      <c r="K30" s="2" t="str">
        <f ca="1">IFERROR(__xludf.dummyfunction("VLOOKUP(J30, IMPORTRANGE(""https://docs.google.com/spreadsheets/d/1yDAaXNsi4Mr5FtRQL4tbmSdIzhx6_m4wkOD7IG-k_eo/edit#gid=1336395716"", ""Science!M:N""), 2, FALSE)"),"(LU006809.001); Default - Remember")</f>
        <v>(LU006809.001); Default - Remember</v>
      </c>
      <c r="L30" s="2" t="str">
        <f t="shared" si="1"/>
        <v>LU006809.002</v>
      </c>
      <c r="M30" s="2" t="str">
        <f ca="1">IFERROR(__xludf.dummyfunction("VLOOKUP(L30, IMPORTRANGE(""https://docs.google.com/spreadsheets/d/1yDAaXNsi4Mr5FtRQL4tbmSdIzhx6_m4wkOD7IG-k_eo/edit#gid=1336395716"", ""Science!M:N""), 2, FALSE)"),"(LU006809.002); Default - Understand")</f>
        <v>(LU006809.002); Default - Understand</v>
      </c>
      <c r="N30" s="2" t="str">
        <f t="shared" si="2"/>
        <v>LU006809.003</v>
      </c>
      <c r="O30" s="2" t="str">
        <f ca="1">IFERROR(__xludf.dummyfunction("VLOOKUP(N30, IMPORTRANGE(""https://docs.google.com/spreadsheets/d/1yDAaXNsi4Mr5FtRQL4tbmSdIzhx6_m4wkOD7IG-k_eo/edit#gid=1336395716"", ""Science!M:N""), 2, FALSE)"),"(LU006809.003); Default - Apply")</f>
        <v>(LU006809.003); Default - Apply</v>
      </c>
      <c r="P30" s="2" t="str">
        <f t="shared" si="3"/>
        <v>LU006809.004</v>
      </c>
      <c r="Q30" s="17" t="str">
        <f ca="1">IFERROR(__xludf.dummyfunction("VLOOKUP(P30, IMPORTRANGE(""https://docs.google.com/spreadsheets/d/1yDAaXNsi4Mr5FtRQL4tbmSdIzhx6_m4wkOD7IG-k_eo/edit#gid=1336395716"", ""Science!M:N""), 2, FALSE)"),"(LU006809.004); Default - Analyse")</f>
        <v>(LU006809.004); Default - Analyse</v>
      </c>
      <c r="R30" s="2" t="str">
        <f t="shared" si="4"/>
        <v>LU006809.005</v>
      </c>
      <c r="S30" s="17" t="str">
        <f ca="1">IFERROR(__xludf.dummyfunction("VLOOKUP(R30, IMPORTRANGE(""https://docs.google.com/spreadsheets/d/1yDAaXNsi4Mr5FtRQL4tbmSdIzhx6_m4wkOD7IG-k_eo/edit#gid=1336395716"", ""Science!M:N""), 2, FALSE)"),"(LU006809.005); Default - Evaluate")</f>
        <v>(LU006809.005); Default - Evaluate</v>
      </c>
      <c r="T30" s="2" t="str">
        <f t="shared" si="5"/>
        <v>LU006809.006</v>
      </c>
      <c r="U30" s="17" t="str">
        <f ca="1">IFERROR(__xludf.dummyfunction("VLOOKUP(T30, IMPORTRANGE(""https://docs.google.com/spreadsheets/d/1yDAaXNsi4Mr5FtRQL4tbmSdIzhx6_m4wkOD7IG-k_eo/edit#gid=1336395716"", ""Science!M:N""), 2, FALSE)"),"(LU006809.006); Default - Create")</f>
        <v>(LU006809.006); Default - Create</v>
      </c>
    </row>
    <row r="31" spans="1:21" ht="41.4">
      <c r="A31" s="2"/>
      <c r="B31" s="2" t="s">
        <v>29</v>
      </c>
      <c r="C31" s="1" t="s">
        <v>30</v>
      </c>
      <c r="D31" s="13">
        <v>7</v>
      </c>
      <c r="E31" s="1" t="s">
        <v>154</v>
      </c>
      <c r="F31" s="1" t="s">
        <v>166</v>
      </c>
      <c r="G31" s="14" t="s">
        <v>168</v>
      </c>
      <c r="H31" s="18" t="str">
        <f ca="1">IFERROR(__xludf.dummyfunction("IFERROR(
  VLOOKUP(G31, IMPORTRANGE(""https://docs.google.com/spreadsheets/d/14deopnvwcrKtEGCKuYXdUHJbeLDZlkiSSWWT0g7x2pM/edit#gid=849066331"", ""LU List Maths (Filter)!A:B""), 2, FALSE),
  IFERROR(
    VLOOKUP(G31, IMPORTRANGE(""https://docs.google.com/s"&amp;"preadsheets/d/14deopnvwcrKtEGCKuYXdUHJbeLDZlkiSSWWT0g7x2pM/edit#gid=849066331"", ""LU List Science (Filter)!A:B""), 2, FALSE),
    ""Not Found""
  )
)
"),"Appearance of colour of an object (based on reflection and absorption)")</f>
        <v>Appearance of colour of an object (based on reflection and absorption)</v>
      </c>
      <c r="J31" s="2" t="str">
        <f t="shared" si="0"/>
        <v>LU006810.001</v>
      </c>
      <c r="K31" s="2" t="str">
        <f ca="1">IFERROR(__xludf.dummyfunction("VLOOKUP(J31, IMPORTRANGE(""https://docs.google.com/spreadsheets/d/1yDAaXNsi4Mr5FtRQL4tbmSdIzhx6_m4wkOD7IG-k_eo/edit#gid=1336395716"", ""Science!M:N""), 2, FALSE)"),"(LU006810.001); Default - Remember")</f>
        <v>(LU006810.001); Default - Remember</v>
      </c>
      <c r="L31" s="2" t="str">
        <f t="shared" si="1"/>
        <v>LU006810.002</v>
      </c>
      <c r="M31" s="2" t="str">
        <f ca="1">IFERROR(__xludf.dummyfunction("VLOOKUP(L31, IMPORTRANGE(""https://docs.google.com/spreadsheets/d/1yDAaXNsi4Mr5FtRQL4tbmSdIzhx6_m4wkOD7IG-k_eo/edit#gid=1336395716"", ""Science!M:N""), 2, FALSE)"),"(LU006810.002); Default - Understand")</f>
        <v>(LU006810.002); Default - Understand</v>
      </c>
      <c r="N31" s="2" t="str">
        <f t="shared" si="2"/>
        <v>LU006810.003</v>
      </c>
      <c r="O31" s="2" t="str">
        <f ca="1">IFERROR(__xludf.dummyfunction("VLOOKUP(N31, IMPORTRANGE(""https://docs.google.com/spreadsheets/d/1yDAaXNsi4Mr5FtRQL4tbmSdIzhx6_m4wkOD7IG-k_eo/edit#gid=1336395716"", ""Science!M:N""), 2, FALSE)"),"(LU006810.003); Default - Apply")</f>
        <v>(LU006810.003); Default - Apply</v>
      </c>
      <c r="P31" s="2" t="str">
        <f t="shared" si="3"/>
        <v>LU006810.004</v>
      </c>
      <c r="Q31" s="17" t="str">
        <f ca="1">IFERROR(__xludf.dummyfunction("VLOOKUP(P31, IMPORTRANGE(""https://docs.google.com/spreadsheets/d/1yDAaXNsi4Mr5FtRQL4tbmSdIzhx6_m4wkOD7IG-k_eo/edit#gid=1336395716"", ""Science!M:N""), 2, FALSE)"),"(LU006810.004); Default - Analyse")</f>
        <v>(LU006810.004); Default - Analyse</v>
      </c>
      <c r="R31" s="2" t="str">
        <f t="shared" si="4"/>
        <v>LU006810.005</v>
      </c>
      <c r="S31" s="17" t="str">
        <f ca="1">IFERROR(__xludf.dummyfunction("VLOOKUP(R31, IMPORTRANGE(""https://docs.google.com/spreadsheets/d/1yDAaXNsi4Mr5FtRQL4tbmSdIzhx6_m4wkOD7IG-k_eo/edit#gid=1336395716"", ""Science!M:N""), 2, FALSE)"),"(LU006810.005); Default - Evaluate")</f>
        <v>(LU006810.005); Default - Evaluate</v>
      </c>
      <c r="T31" s="2" t="str">
        <f t="shared" si="5"/>
        <v>LU006810.006</v>
      </c>
      <c r="U31" s="17" t="str">
        <f ca="1">IFERROR(__xludf.dummyfunction("VLOOKUP(T31, IMPORTRANGE(""https://docs.google.com/spreadsheets/d/1yDAaXNsi4Mr5FtRQL4tbmSdIzhx6_m4wkOD7IG-k_eo/edit#gid=1336395716"", ""Science!M:N""), 2, FALSE)"),"(LU006810.006); Default - Create")</f>
        <v>(LU006810.006); Default - Create</v>
      </c>
    </row>
    <row r="32" spans="1:21" ht="13.8">
      <c r="A32" s="2"/>
      <c r="B32" s="2" t="s">
        <v>29</v>
      </c>
      <c r="C32" s="1" t="s">
        <v>30</v>
      </c>
      <c r="D32" s="13">
        <v>7</v>
      </c>
      <c r="E32" s="1" t="s">
        <v>154</v>
      </c>
      <c r="F32" s="1" t="s">
        <v>166</v>
      </c>
      <c r="G32" s="14" t="s">
        <v>169</v>
      </c>
      <c r="H32" s="18" t="str">
        <f ca="1">IFERROR(__xludf.dummyfunction("IFERROR(
  VLOOKUP(G32, IMPORTRANGE(""https://docs.google.com/spreadsheets/d/14deopnvwcrKtEGCKuYXdUHJbeLDZlkiSSWWT0g7x2pM/edit#gid=849066331"", ""LU List Maths (Filter)!A:B""), 2, FALSE),
  IFERROR(
    VLOOKUP(G32, IMPORTRANGE(""https://docs.google.com/s"&amp;"preadsheets/d/14deopnvwcrKtEGCKuYXdUHJbeLDZlkiSSWWT0g7x2pM/edit#gid=849066331"", ""LU List Science (Filter)!A:B""), 2, FALSE),
    ""Not Found""
  )
)
"),"Colour subtraction")</f>
        <v>Colour subtraction</v>
      </c>
      <c r="J32" s="2" t="str">
        <f t="shared" si="0"/>
        <v>LU006811.001</v>
      </c>
      <c r="K32" s="2" t="str">
        <f ca="1">IFERROR(__xludf.dummyfunction("VLOOKUP(J32, IMPORTRANGE(""https://docs.google.com/spreadsheets/d/1yDAaXNsi4Mr5FtRQL4tbmSdIzhx6_m4wkOD7IG-k_eo/edit#gid=1336395716"", ""Science!M:N""), 2, FALSE)"),"(LU006811.001); Default - Remember")</f>
        <v>(LU006811.001); Default - Remember</v>
      </c>
      <c r="L32" s="2" t="str">
        <f t="shared" si="1"/>
        <v>LU006811.002</v>
      </c>
      <c r="M32" s="2" t="str">
        <f ca="1">IFERROR(__xludf.dummyfunction("VLOOKUP(L32, IMPORTRANGE(""https://docs.google.com/spreadsheets/d/1yDAaXNsi4Mr5FtRQL4tbmSdIzhx6_m4wkOD7IG-k_eo/edit#gid=1336395716"", ""Science!M:N""), 2, FALSE)"),"(LU006811.002); Default - Understand")</f>
        <v>(LU006811.002); Default - Understand</v>
      </c>
      <c r="N32" s="2" t="str">
        <f t="shared" si="2"/>
        <v>LU006811.003</v>
      </c>
      <c r="O32" s="2" t="str">
        <f ca="1">IFERROR(__xludf.dummyfunction("VLOOKUP(N32, IMPORTRANGE(""https://docs.google.com/spreadsheets/d/1yDAaXNsi4Mr5FtRQL4tbmSdIzhx6_m4wkOD7IG-k_eo/edit#gid=1336395716"", ""Science!M:N""), 2, FALSE)"),"(LU006811.003); Default - Apply")</f>
        <v>(LU006811.003); Default - Apply</v>
      </c>
      <c r="P32" s="2" t="str">
        <f t="shared" si="3"/>
        <v>LU006811.004</v>
      </c>
      <c r="Q32" s="17" t="str">
        <f ca="1">IFERROR(__xludf.dummyfunction("VLOOKUP(P32, IMPORTRANGE(""https://docs.google.com/spreadsheets/d/1yDAaXNsi4Mr5FtRQL4tbmSdIzhx6_m4wkOD7IG-k_eo/edit#gid=1336395716"", ""Science!M:N""), 2, FALSE)"),"(LU006811.004); Default - Analyse")</f>
        <v>(LU006811.004); Default - Analyse</v>
      </c>
      <c r="R32" s="2" t="str">
        <f t="shared" si="4"/>
        <v>LU006811.005</v>
      </c>
      <c r="S32" s="17" t="str">
        <f ca="1">IFERROR(__xludf.dummyfunction("VLOOKUP(R32, IMPORTRANGE(""https://docs.google.com/spreadsheets/d/1yDAaXNsi4Mr5FtRQL4tbmSdIzhx6_m4wkOD7IG-k_eo/edit#gid=1336395716"", ""Science!M:N""), 2, FALSE)"),"(LU006811.005); Default - Evaluate")</f>
        <v>(LU006811.005); Default - Evaluate</v>
      </c>
      <c r="T32" s="2" t="str">
        <f t="shared" si="5"/>
        <v>LU006811.006</v>
      </c>
      <c r="U32" s="17" t="str">
        <f ca="1">IFERROR(__xludf.dummyfunction("VLOOKUP(T32, IMPORTRANGE(""https://docs.google.com/spreadsheets/d/1yDAaXNsi4Mr5FtRQL4tbmSdIzhx6_m4wkOD7IG-k_eo/edit#gid=1336395716"", ""Science!M:N""), 2, FALSE)"),"(LU006811.006); Default - Create")</f>
        <v>(LU006811.006); Default - Create</v>
      </c>
    </row>
    <row r="33" spans="1:21" ht="27.6">
      <c r="A33" s="2"/>
      <c r="B33" s="2" t="s">
        <v>29</v>
      </c>
      <c r="C33" s="1" t="s">
        <v>30</v>
      </c>
      <c r="D33" s="13">
        <v>7</v>
      </c>
      <c r="E33" s="1" t="s">
        <v>170</v>
      </c>
      <c r="F33" s="1" t="s">
        <v>171</v>
      </c>
      <c r="G33" s="14" t="s">
        <v>172</v>
      </c>
      <c r="H33" s="18" t="str">
        <f ca="1">IFERROR(__xludf.dummyfunction("IFERROR(
  VLOOKUP(G33, IMPORTRANGE(""https://docs.google.com/spreadsheets/d/14deopnvwcrKtEGCKuYXdUHJbeLDZlkiSSWWT0g7x2pM/edit#gid=849066331"", ""LU List Maths (Filter)!A:B""), 2, FALSE),
  IFERROR(
    VLOOKUP(G33, IMPORTRANGE(""https://docs.google.com/s"&amp;"preadsheets/d/14deopnvwcrKtEGCKuYXdUHJbeLDZlkiSSWWT0g7x2pM/edit#gid=849066331"", ""LU List Science (Filter)!A:B""), 2, FALSE),
    ""Not Found""
  )
)
"),"Heat as a form of energy and its units")</f>
        <v>Heat as a form of energy and its units</v>
      </c>
      <c r="J33" s="2" t="str">
        <f t="shared" si="0"/>
        <v>LU006812.001</v>
      </c>
      <c r="K33" s="2" t="str">
        <f ca="1">IFERROR(__xludf.dummyfunction("VLOOKUP(J33, IMPORTRANGE(""https://docs.google.com/spreadsheets/d/1yDAaXNsi4Mr5FtRQL4tbmSdIzhx6_m4wkOD7IG-k_eo/edit#gid=1336395716"", ""Science!M:N""), 2, FALSE)"),"(LU006812.001); Default - Remember")</f>
        <v>(LU006812.001); Default - Remember</v>
      </c>
      <c r="L33" s="2" t="str">
        <f t="shared" si="1"/>
        <v>LU006812.002</v>
      </c>
      <c r="M33" s="2" t="str">
        <f ca="1">IFERROR(__xludf.dummyfunction("VLOOKUP(L33, IMPORTRANGE(""https://docs.google.com/spreadsheets/d/1yDAaXNsi4Mr5FtRQL4tbmSdIzhx6_m4wkOD7IG-k_eo/edit#gid=1336395716"", ""Science!M:N""), 2, FALSE)"),"(LU006812.002); Default - Understand")</f>
        <v>(LU006812.002); Default - Understand</v>
      </c>
      <c r="N33" s="2" t="str">
        <f t="shared" si="2"/>
        <v>LU006812.003</v>
      </c>
      <c r="O33" s="2" t="str">
        <f ca="1">IFERROR(__xludf.dummyfunction("VLOOKUP(N33, IMPORTRANGE(""https://docs.google.com/spreadsheets/d/1yDAaXNsi4Mr5FtRQL4tbmSdIzhx6_m4wkOD7IG-k_eo/edit#gid=1336395716"", ""Science!M:N""), 2, FALSE)"),"(LU006812.003); Default - Apply")</f>
        <v>(LU006812.003); Default - Apply</v>
      </c>
      <c r="P33" s="2" t="str">
        <f t="shared" si="3"/>
        <v>LU006812.004</v>
      </c>
      <c r="Q33" s="17" t="str">
        <f ca="1">IFERROR(__xludf.dummyfunction("VLOOKUP(P33, IMPORTRANGE(""https://docs.google.com/spreadsheets/d/1yDAaXNsi4Mr5FtRQL4tbmSdIzhx6_m4wkOD7IG-k_eo/edit#gid=1336395716"", ""Science!M:N""), 2, FALSE)"),"(LU006812.004); Default - Analyse")</f>
        <v>(LU006812.004); Default - Analyse</v>
      </c>
      <c r="R33" s="2" t="str">
        <f t="shared" si="4"/>
        <v>LU006812.005</v>
      </c>
      <c r="S33" s="17" t="str">
        <f ca="1">IFERROR(__xludf.dummyfunction("VLOOKUP(R33, IMPORTRANGE(""https://docs.google.com/spreadsheets/d/1yDAaXNsi4Mr5FtRQL4tbmSdIzhx6_m4wkOD7IG-k_eo/edit#gid=1336395716"", ""Science!M:N""), 2, FALSE)"),"(LU006812.005); Default - Evaluate")</f>
        <v>(LU006812.005); Default - Evaluate</v>
      </c>
      <c r="T33" s="2" t="str">
        <f t="shared" si="5"/>
        <v>LU006812.006</v>
      </c>
      <c r="U33" s="17" t="str">
        <f ca="1">IFERROR(__xludf.dummyfunction("VLOOKUP(T33, IMPORTRANGE(""https://docs.google.com/spreadsheets/d/1yDAaXNsi4Mr5FtRQL4tbmSdIzhx6_m4wkOD7IG-k_eo/edit#gid=1336395716"", ""Science!M:N""), 2, FALSE)"),"(LU006812.006); Default - Create")</f>
        <v>(LU006812.006); Default - Create</v>
      </c>
    </row>
    <row r="34" spans="1:21" ht="41.4">
      <c r="A34" s="2"/>
      <c r="B34" s="2" t="s">
        <v>29</v>
      </c>
      <c r="C34" s="1" t="s">
        <v>30</v>
      </c>
      <c r="D34" s="13">
        <v>7</v>
      </c>
      <c r="E34" s="1" t="s">
        <v>170</v>
      </c>
      <c r="F34" s="1" t="s">
        <v>173</v>
      </c>
      <c r="G34" s="14" t="s">
        <v>174</v>
      </c>
      <c r="H34" s="18" t="str">
        <f ca="1">IFERROR(__xludf.dummyfunction("IFERROR(
  VLOOKUP(G34, IMPORTRANGE(""https://docs.google.com/spreadsheets/d/14deopnvwcrKtEGCKuYXdUHJbeLDZlkiSSWWT0g7x2pM/edit#gid=849066331"", ""LU List Maths (Filter)!A:B""), 2, FALSE),
  IFERROR(
    VLOOKUP(G34, IMPORTRANGE(""https://docs.google.com/s"&amp;"preadsheets/d/14deopnvwcrKtEGCKuYXdUHJbeLDZlkiSSWWT0g7x2pM/edit#gid=849066331"", ""LU List Science (Filter)!A:B""), 2, FALSE),
    ""Not Found""
  )
)
"),"Effect of Heat on temperature, size and state of object")</f>
        <v>Effect of Heat on temperature, size and state of object</v>
      </c>
      <c r="J34" s="2" t="str">
        <f t="shared" ref="J34:J64" si="6">G34 &amp; ".001"</f>
        <v>LU006813.001</v>
      </c>
      <c r="K34" s="2" t="str">
        <f ca="1">IFERROR(__xludf.dummyfunction("VLOOKUP(J34, IMPORTRANGE(""https://docs.google.com/spreadsheets/d/1yDAaXNsi4Mr5FtRQL4tbmSdIzhx6_m4wkOD7IG-k_eo/edit#gid=1336395716"", ""Science!M:N""), 2, FALSE)"),"(LU006813.001); Default - Remember")</f>
        <v>(LU006813.001); Default - Remember</v>
      </c>
      <c r="L34" s="2" t="str">
        <f t="shared" ref="L34:L64" si="7">G34 &amp; ".002"</f>
        <v>LU006813.002</v>
      </c>
      <c r="M34" s="2" t="str">
        <f ca="1">IFERROR(__xludf.dummyfunction("VLOOKUP(L34, IMPORTRANGE(""https://docs.google.com/spreadsheets/d/1yDAaXNsi4Mr5FtRQL4tbmSdIzhx6_m4wkOD7IG-k_eo/edit#gid=1336395716"", ""Science!M:N""), 2, FALSE)"),"(LU006813.002); Default - Understand")</f>
        <v>(LU006813.002); Default - Understand</v>
      </c>
      <c r="N34" s="2" t="str">
        <f t="shared" ref="N34:N64" si="8">G34 &amp; ".003"</f>
        <v>LU006813.003</v>
      </c>
      <c r="O34" s="2" t="str">
        <f ca="1">IFERROR(__xludf.dummyfunction("VLOOKUP(N34, IMPORTRANGE(""https://docs.google.com/spreadsheets/d/1yDAaXNsi4Mr5FtRQL4tbmSdIzhx6_m4wkOD7IG-k_eo/edit#gid=1336395716"", ""Science!M:N""), 2, FALSE)"),"(LU006813.003); Default - Apply")</f>
        <v>(LU006813.003); Default - Apply</v>
      </c>
      <c r="P34" s="2" t="str">
        <f t="shared" ref="P34:P64" si="9">G34 &amp; ".004"</f>
        <v>LU006813.004</v>
      </c>
      <c r="Q34" s="17" t="str">
        <f ca="1">IFERROR(__xludf.dummyfunction("VLOOKUP(P34, IMPORTRANGE(""https://docs.google.com/spreadsheets/d/1yDAaXNsi4Mr5FtRQL4tbmSdIzhx6_m4wkOD7IG-k_eo/edit#gid=1336395716"", ""Science!M:N""), 2, FALSE)"),"(LU006813.004); Default - Analyse")</f>
        <v>(LU006813.004); Default - Analyse</v>
      </c>
      <c r="R34" s="2" t="str">
        <f t="shared" ref="R34:R64" si="10">G34 &amp; ".005"</f>
        <v>LU006813.005</v>
      </c>
      <c r="S34" s="17" t="str">
        <f ca="1">IFERROR(__xludf.dummyfunction("VLOOKUP(R34, IMPORTRANGE(""https://docs.google.com/spreadsheets/d/1yDAaXNsi4Mr5FtRQL4tbmSdIzhx6_m4wkOD7IG-k_eo/edit#gid=1336395716"", ""Science!M:N""), 2, FALSE)"),"(LU006813.005); Default - Evaluate")</f>
        <v>(LU006813.005); Default - Evaluate</v>
      </c>
      <c r="T34" s="2" t="str">
        <f t="shared" ref="T34:T64" si="11">G34 &amp; ".006"</f>
        <v>LU006813.006</v>
      </c>
      <c r="U34" s="17" t="str">
        <f ca="1">IFERROR(__xludf.dummyfunction("VLOOKUP(T34, IMPORTRANGE(""https://docs.google.com/spreadsheets/d/1yDAaXNsi4Mr5FtRQL4tbmSdIzhx6_m4wkOD7IG-k_eo/edit#gid=1336395716"", ""Science!M:N""), 2, FALSE)"),"(LU006813.006); Default - Create")</f>
        <v>(LU006813.006); Default - Create</v>
      </c>
    </row>
    <row r="35" spans="1:21" ht="55.2">
      <c r="A35" s="2"/>
      <c r="B35" s="2" t="s">
        <v>29</v>
      </c>
      <c r="C35" s="1" t="s">
        <v>30</v>
      </c>
      <c r="D35" s="13">
        <v>7</v>
      </c>
      <c r="E35" s="1" t="s">
        <v>170</v>
      </c>
      <c r="F35" s="1" t="s">
        <v>175</v>
      </c>
      <c r="G35" s="2" t="s">
        <v>176</v>
      </c>
      <c r="H35" s="18" t="str">
        <f ca="1">IFERROR(__xludf.dummyfunction("IFERROR(
  VLOOKUP(G35, IMPORTRANGE(""https://docs.google.com/spreadsheets/d/14deopnvwcrKtEGCKuYXdUHJbeLDZlkiSSWWT0g7x2pM/edit#gid=849066331"", ""LU List Maths (Filter)!A:B""), 2, FALSE),
  IFERROR(
    VLOOKUP(G35, IMPORTRANGE(""https://docs.google.com/s"&amp;"preadsheets/d/14deopnvwcrKtEGCKuYXdUHJbeLDZlkiSSWWT0g7x2pM/edit#gid=849066331"", ""LU List Science (Filter)!A:B""), 2, FALSE),
    ""Not Found""
  )
)
"),"Process of heat conduction")</f>
        <v>Process of heat conduction</v>
      </c>
      <c r="J35" s="2" t="str">
        <f t="shared" si="6"/>
        <v>LU005359.001</v>
      </c>
      <c r="K35" s="2" t="str">
        <f ca="1">IFERROR(__xludf.dummyfunction("VLOOKUP(J35, IMPORTRANGE(""https://docs.google.com/spreadsheets/d/1yDAaXNsi4Mr5FtRQL4tbmSdIzhx6_m4wkOD7IG-k_eo/edit#gid=1336395716"", ""Science!M:N""), 2, FALSE)"),"Define heat conduction with examples.")</f>
        <v>Define heat conduction with examples.</v>
      </c>
      <c r="L35" s="2" t="str">
        <f t="shared" si="7"/>
        <v>LU005359.002</v>
      </c>
      <c r="M35" s="2" t="str">
        <f ca="1">IFERROR(__xludf.dummyfunction("VLOOKUP(L35, IMPORTRANGE(""https://docs.google.com/spreadsheets/d/1yDAaXNsi4Mr5FtRQL4tbmSdIzhx6_m4wkOD7IG-k_eo/edit#gid=1336395716"", ""Science!M:N""), 2, FALSE)"),"Describe how heat moves through solid objects by conduction.")</f>
        <v>Describe how heat moves through solid objects by conduction.</v>
      </c>
      <c r="N35" s="2" t="str">
        <f t="shared" si="8"/>
        <v>LU005359.003</v>
      </c>
      <c r="O35" s="1" t="str">
        <f ca="1">IFERROR(__xludf.dummyfunction("VLOOKUP(N35, IMPORTRANGE(""https://docs.google.com/spreadsheets/d/1yDAaXNsi4Mr5FtRQL4tbmSdIzhx6_m4wkOD7IG-k_eo/edit#gid=1336395716"", ""Science!M:N""), 2, FALSE)"),"Demonstrate the flow of heat in a metal object to conclude the necessary conditions for conduction. 
")</f>
        <v xml:space="preserve">Demonstrate the flow of heat in a metal object to conclude the necessary conditions for conduction. 
</v>
      </c>
      <c r="P35" s="2" t="str">
        <f t="shared" si="9"/>
        <v>LU005359.004</v>
      </c>
      <c r="Q35" s="17" t="str">
        <f ca="1">IFERROR(__xludf.dummyfunction("VLOOKUP(P35, IMPORTRANGE(""https://docs.google.com/spreadsheets/d/1yDAaXNsi4Mr5FtRQL4tbmSdIzhx6_m4wkOD7IG-k_eo/edit#gid=1336395716"", ""Science!M:N""), 2, FALSE)"),"Analyze the factors affecting the rate of heat conduction in same material and different materials.")</f>
        <v>Analyze the factors affecting the rate of heat conduction in same material and different materials.</v>
      </c>
      <c r="R35" s="2" t="str">
        <f t="shared" si="10"/>
        <v>LU005359.005</v>
      </c>
      <c r="S35" s="17" t="str">
        <f ca="1">IFERROR(__xludf.dummyfunction("VLOOKUP(R35, IMPORTRANGE(""https://docs.google.com/spreadsheets/d/1yDAaXNsi4Mr5FtRQL4tbmSdIzhx6_m4wkOD7IG-k_eo/edit#gid=1336395716"", ""Science!M:N""), 2, FALSE)"),"#N/A")</f>
        <v>#N/A</v>
      </c>
      <c r="T35" s="2" t="str">
        <f t="shared" si="11"/>
        <v>LU005359.006</v>
      </c>
      <c r="U35" s="17" t="str">
        <f ca="1">IFERROR(__xludf.dummyfunction("VLOOKUP(T35, IMPORTRANGE(""https://docs.google.com/spreadsheets/d/1yDAaXNsi4Mr5FtRQL4tbmSdIzhx6_m4wkOD7IG-k_eo/edit#gid=1336395716"", ""Science!M:N""), 2, FALSE)"),"#N/A")</f>
        <v>#N/A</v>
      </c>
    </row>
    <row r="36" spans="1:21" ht="27.6">
      <c r="A36" s="2"/>
      <c r="B36" s="2" t="s">
        <v>29</v>
      </c>
      <c r="C36" s="1" t="s">
        <v>30</v>
      </c>
      <c r="D36" s="13">
        <v>7</v>
      </c>
      <c r="E36" s="1" t="s">
        <v>170</v>
      </c>
      <c r="F36" s="1" t="s">
        <v>175</v>
      </c>
      <c r="G36" s="2" t="s">
        <v>177</v>
      </c>
      <c r="H36" s="18" t="str">
        <f ca="1">IFERROR(__xludf.dummyfunction("IFERROR(
  VLOOKUP(G36, IMPORTRANGE(""https://docs.google.com/spreadsheets/d/14deopnvwcrKtEGCKuYXdUHJbeLDZlkiSSWWT0g7x2pM/edit#gid=849066331"", ""LU List Maths (Filter)!A:B""), 2, FALSE),
  IFERROR(
    VLOOKUP(G36, IMPORTRANGE(""https://docs.google.com/s"&amp;"preadsheets/d/14deopnvwcrKtEGCKuYXdUHJbeLDZlkiSSWWT0g7x2pM/edit#gid=849066331"", ""LU List Science (Filter)!A:B""), 2, FALSE),
    ""Not Found""
  )
)
"),"Application of heat conduction")</f>
        <v>Application of heat conduction</v>
      </c>
      <c r="J36" s="2" t="str">
        <f t="shared" si="6"/>
        <v>LU005352.001</v>
      </c>
      <c r="K36" s="2" t="str">
        <f ca="1">IFERROR(__xludf.dummyfunction("VLOOKUP(J36, IMPORTRANGE(""https://docs.google.com/spreadsheets/d/1yDAaXNsi4Mr5FtRQL4tbmSdIzhx6_m4wkOD7IG-k_eo/edit#gid=1336395716"", ""Science!M:N""), 2, FALSE)"),"Define heat conductor and insulator with examples. ")</f>
        <v xml:space="preserve">Define heat conductor and insulator with examples. </v>
      </c>
      <c r="L36" s="2" t="str">
        <f t="shared" si="7"/>
        <v>LU005352.002</v>
      </c>
      <c r="M36" s="2" t="str">
        <f ca="1">IFERROR(__xludf.dummyfunction("VLOOKUP(L36, IMPORTRANGE(""https://docs.google.com/spreadsheets/d/1yDAaXNsi4Mr5FtRQL4tbmSdIzhx6_m4wkOD7IG-k_eo/edit#gid=1336395716"", ""Science!M:N""), 2, FALSE)"),"Explain the difference between heat conductors and insulators")</f>
        <v>Explain the difference between heat conductors and insulators</v>
      </c>
      <c r="N36" s="2" t="str">
        <f t="shared" si="8"/>
        <v>LU005352.003</v>
      </c>
      <c r="O36" s="2" t="str">
        <f ca="1">IFERROR(__xludf.dummyfunction("VLOOKUP(N36, IMPORTRANGE(""https://docs.google.com/spreadsheets/d/1yDAaXNsi4Mr5FtRQL4tbmSdIzhx6_m4wkOD7IG-k_eo/edit#gid=1336395716"", ""Science!M:N""), 2, FALSE)"),"Classify given materials as heat conductors or insulators.")</f>
        <v>Classify given materials as heat conductors or insulators.</v>
      </c>
      <c r="P36" s="2" t="str">
        <f t="shared" si="9"/>
        <v>LU005352.004</v>
      </c>
      <c r="Q36" s="17" t="str">
        <f ca="1">IFERROR(__xludf.dummyfunction("VLOOKUP(P36, IMPORTRANGE(""https://docs.google.com/spreadsheets/d/1yDAaXNsi4Mr5FtRQL4tbmSdIzhx6_m4wkOD7IG-k_eo/edit#gid=1336395716"", ""Science!M:N""), 2, FALSE)"),"Compare and contrast the conduction properties of different materials.")</f>
        <v>Compare and contrast the conduction properties of different materials.</v>
      </c>
      <c r="R36" s="2" t="str">
        <f t="shared" si="10"/>
        <v>LU005352.005</v>
      </c>
      <c r="S36" s="17" t="str">
        <f ca="1">IFERROR(__xludf.dummyfunction("VLOOKUP(R36, IMPORTRANGE(""https://docs.google.com/spreadsheets/d/1yDAaXNsi4Mr5FtRQL4tbmSdIzhx6_m4wkOD7IG-k_eo/edit#gid=1336395716"", ""Science!M:N""), 2, FALSE)"),"Assess real-world applications of heat conduction, such as cooking utensils or building insulation, and justify which materials are best suited for specific purposes based on their heat conduction properties.")</f>
        <v>Assess real-world applications of heat conduction, such as cooking utensils or building insulation, and justify which materials are best suited for specific purposes based on their heat conduction properties.</v>
      </c>
      <c r="T36" s="2" t="str">
        <f t="shared" si="11"/>
        <v>LU005352.006</v>
      </c>
      <c r="U36" s="17" t="str">
        <f ca="1">IFERROR(__xludf.dummyfunction("VLOOKUP(T36, IMPORTRANGE(""https://docs.google.com/spreadsheets/d/1yDAaXNsi4Mr5FtRQL4tbmSdIzhx6_m4wkOD7IG-k_eo/edit#gid=1336395716"", ""Science!M:N""), 2, FALSE)"),"Construct a simple apparatus to test the conductivity of different materials and interpret the results.")</f>
        <v>Construct a simple apparatus to test the conductivity of different materials and interpret the results.</v>
      </c>
    </row>
    <row r="37" spans="1:21" ht="13.8">
      <c r="A37" s="2"/>
      <c r="B37" s="2" t="s">
        <v>29</v>
      </c>
      <c r="C37" s="1" t="s">
        <v>30</v>
      </c>
      <c r="D37" s="13">
        <v>7</v>
      </c>
      <c r="E37" s="1" t="s">
        <v>170</v>
      </c>
      <c r="F37" s="1" t="s">
        <v>178</v>
      </c>
      <c r="G37" s="2" t="s">
        <v>179</v>
      </c>
      <c r="H37" s="18" t="str">
        <f ca="1">IFERROR(__xludf.dummyfunction("IFERROR(
  VLOOKUP(G37, IMPORTRANGE(""https://docs.google.com/spreadsheets/d/14deopnvwcrKtEGCKuYXdUHJbeLDZlkiSSWWT0g7x2pM/edit#gid=849066331"", ""LU List Maths (Filter)!A:B""), 2, FALSE),
  IFERROR(
    VLOOKUP(G37, IMPORTRANGE(""https://docs.google.com/s"&amp;"preadsheets/d/14deopnvwcrKtEGCKuYXdUHJbeLDZlkiSSWWT0g7x2pM/edit#gid=849066331"", ""LU List Science (Filter)!A:B""), 2, FALSE),
    ""Not Found""
  )
)
"),"Process of convection")</f>
        <v>Process of convection</v>
      </c>
      <c r="J37" s="2" t="str">
        <f t="shared" si="6"/>
        <v>LU005358.001</v>
      </c>
      <c r="K37" s="2" t="str">
        <f ca="1">IFERROR(__xludf.dummyfunction("VLOOKUP(J37, IMPORTRANGE(""https://docs.google.com/spreadsheets/d/1yDAaXNsi4Mr5FtRQL4tbmSdIzhx6_m4wkOD7IG-k_eo/edit#gid=1336395716"", ""Science!M:N""), 2, FALSE)"),"Define convection and its role in the movement of heat in fluids.")</f>
        <v>Define convection and its role in the movement of heat in fluids.</v>
      </c>
      <c r="L37" s="2" t="str">
        <f t="shared" si="7"/>
        <v>LU005358.002</v>
      </c>
      <c r="M37" s="2" t="str">
        <f ca="1">IFERROR(__xludf.dummyfunction("VLOOKUP(L37, IMPORTRANGE(""https://docs.google.com/spreadsheets/d/1yDAaXNsi4Mr5FtRQL4tbmSdIzhx6_m4wkOD7IG-k_eo/edit#gid=1336395716"", ""Science!M:N""), 2, FALSE)"),"Summarize the steps involved in the convection cycle.")</f>
        <v>Summarize the steps involved in the convection cycle.</v>
      </c>
      <c r="N37" s="2" t="str">
        <f t="shared" si="8"/>
        <v>LU005358.003</v>
      </c>
      <c r="O37" s="2" t="str">
        <f ca="1">IFERROR(__xludf.dummyfunction("VLOOKUP(N37, IMPORTRANGE(""https://docs.google.com/spreadsheets/d/1yDAaXNsi4Mr5FtRQL4tbmSdIzhx6_m4wkOD7IG-k_eo/edit#gid=1336395716"", ""Science!M:N""), 2, FALSE)"),"Apply the principle of convection by depicting the movement of both hot air and hot water in response to heat application.")</f>
        <v>Apply the principle of convection by depicting the movement of both hot air and hot water in response to heat application.</v>
      </c>
      <c r="P37" s="2" t="str">
        <f t="shared" si="9"/>
        <v>LU005358.004</v>
      </c>
      <c r="Q37" s="17" t="str">
        <f ca="1">IFERROR(__xludf.dummyfunction("VLOOKUP(P37, IMPORTRANGE(""https://docs.google.com/spreadsheets/d/1yDAaXNsi4Mr5FtRQL4tbmSdIzhx6_m4wkOD7IG-k_eo/edit#gid=1336395716"", ""Science!M:N""), 2, FALSE)"),"Compare and contrast convection with other modes of heat transfer.")</f>
        <v>Compare and contrast convection with other modes of heat transfer.</v>
      </c>
      <c r="R37" s="2" t="str">
        <f t="shared" si="10"/>
        <v>LU005358.005</v>
      </c>
      <c r="S37" s="17" t="str">
        <f ca="1">IFERROR(__xludf.dummyfunction("VLOOKUP(R37, IMPORTRANGE(""https://docs.google.com/spreadsheets/d/1yDAaXNsi4Mr5FtRQL4tbmSdIzhx6_m4wkOD7IG-k_eo/edit#gid=1336395716"", ""Science!M:N""), 2, FALSE)"),"#N/A")</f>
        <v>#N/A</v>
      </c>
      <c r="T37" s="2" t="str">
        <f t="shared" si="11"/>
        <v>LU005358.006</v>
      </c>
      <c r="U37" s="17" t="str">
        <f ca="1">IFERROR(__xludf.dummyfunction("VLOOKUP(T37, IMPORTRANGE(""https://docs.google.com/spreadsheets/d/1yDAaXNsi4Mr5FtRQL4tbmSdIzhx6_m4wkOD7IG-k_eo/edit#gid=1336395716"", ""Science!M:N""), 2, FALSE)"),"Devise an experimental setup using household items to visualize the convection currents in water.")</f>
        <v>Devise an experimental setup using household items to visualize the convection currents in water.</v>
      </c>
    </row>
    <row r="38" spans="1:21" ht="13.8">
      <c r="A38" s="2"/>
      <c r="B38" s="2" t="s">
        <v>29</v>
      </c>
      <c r="C38" s="1" t="s">
        <v>30</v>
      </c>
      <c r="D38" s="13">
        <v>7</v>
      </c>
      <c r="E38" s="1" t="s">
        <v>170</v>
      </c>
      <c r="F38" s="1" t="s">
        <v>178</v>
      </c>
      <c r="G38" s="2" t="s">
        <v>180</v>
      </c>
      <c r="H38" s="18" t="str">
        <f ca="1">IFERROR(__xludf.dummyfunction("IFERROR(
  VLOOKUP(G38, IMPORTRANGE(""https://docs.google.com/spreadsheets/d/14deopnvwcrKtEGCKuYXdUHJbeLDZlkiSSWWT0g7x2pM/edit#gid=849066331"", ""LU List Maths (Filter)!A:B""), 2, FALSE),
  IFERROR(
    VLOOKUP(G38, IMPORTRANGE(""https://docs.google.com/s"&amp;"preadsheets/d/14deopnvwcrKtEGCKuYXdUHJbeLDZlkiSSWWT0g7x2pM/edit#gid=849066331"", ""LU List Science (Filter)!A:B""), 2, FALSE),
    ""Not Found""
  )
)
"),"Application of convection")</f>
        <v>Application of convection</v>
      </c>
      <c r="J38" s="2" t="str">
        <f t="shared" si="6"/>
        <v>LU005351.001</v>
      </c>
      <c r="K38" s="2" t="str">
        <f ca="1">IFERROR(__xludf.dummyfunction("VLOOKUP(J38, IMPORTRANGE(""https://docs.google.com/spreadsheets/d/1yDAaXNsi4Mr5FtRQL4tbmSdIzhx6_m4wkOD7IG-k_eo/edit#gid=1336395716"", ""Science!M:N""), 2, FALSE)")," Identify devices and natural phenomena where convection is the primary mode of heat transfer.")</f>
        <v xml:space="preserve"> Identify devices and natural phenomena where convection is the primary mode of heat transfer.</v>
      </c>
      <c r="L38" s="2" t="str">
        <f t="shared" si="7"/>
        <v>LU005351.002</v>
      </c>
      <c r="M38" s="2" t="str">
        <f ca="1">IFERROR(__xludf.dummyfunction("VLOOKUP(L38, IMPORTRANGE(""https://docs.google.com/spreadsheets/d/1yDAaXNsi4Mr5FtRQL4tbmSdIzhx6_m4wkOD7IG-k_eo/edit#gid=1336395716"", ""Science!M:N""), 2, FALSE)"),"Describe how convection drives sea &amp; land breezes")</f>
        <v>Describe how convection drives sea &amp; land breezes</v>
      </c>
      <c r="N38" s="2" t="str">
        <f t="shared" si="8"/>
        <v>LU005351.003</v>
      </c>
      <c r="O38" s="2" t="str">
        <f ca="1">IFERROR(__xludf.dummyfunction("VLOOKUP(N38, IMPORTRANGE(""https://docs.google.com/spreadsheets/d/1yDAaXNsi4Mr5FtRQL4tbmSdIzhx6_m4wkOD7IG-k_eo/edit#gid=1336395716"", ""Science!M:N""), 2, FALSE)"),"Apply the principles of convection to illustrate and explain the mechanisms driving sea and land breezes, and demonstrate how a chimney uses convection to expel smoke.")</f>
        <v>Apply the principles of convection to illustrate and explain the mechanisms driving sea and land breezes, and demonstrate how a chimney uses convection to expel smoke.</v>
      </c>
      <c r="P38" s="2" t="str">
        <f t="shared" si="9"/>
        <v>LU005351.004</v>
      </c>
      <c r="Q38" s="17" t="str">
        <f ca="1">IFERROR(__xludf.dummyfunction("VLOOKUP(P38, IMPORTRANGE(""https://docs.google.com/spreadsheets/d/1yDAaXNsi4Mr5FtRQL4tbmSdIzhx6_m4wkOD7IG-k_eo/edit#gid=1336395716"", ""Science!M:N""), 2, FALSE)"),"#N/A")</f>
        <v>#N/A</v>
      </c>
      <c r="R38" s="2" t="str">
        <f t="shared" si="10"/>
        <v>LU005351.005</v>
      </c>
      <c r="S38" s="17" t="str">
        <f ca="1">IFERROR(__xludf.dummyfunction("VLOOKUP(R38, IMPORTRANGE(""https://docs.google.com/spreadsheets/d/1yDAaXNsi4Mr5FtRQL4tbmSdIzhx6_m4wkOD7IG-k_eo/edit#gid=1336395716"", ""Science!M:N""), 2, FALSE)"),"Critique a given design (like a particular type of chimney) for its efficiency in promoting convection.")</f>
        <v>Critique a given design (like a particular type of chimney) for its efficiency in promoting convection.</v>
      </c>
      <c r="T38" s="2" t="str">
        <f t="shared" si="11"/>
        <v>LU005351.006</v>
      </c>
      <c r="U38" s="17" t="str">
        <f ca="1">IFERROR(__xludf.dummyfunction("VLOOKUP(T38, IMPORTRANGE(""https://docs.google.com/spreadsheets/d/1yDAaXNsi4Mr5FtRQL4tbmSdIzhx6_m4wkOD7IG-k_eo/edit#gid=1336395716"", ""Science!M:N""), 2, FALSE)"),"Design a simple machine or model that uses convection effectively for a specific purpose, drawing inspiration from studied applications.")</f>
        <v>Design a simple machine or model that uses convection effectively for a specific purpose, drawing inspiration from studied applications.</v>
      </c>
    </row>
    <row r="39" spans="1:21" ht="13.8">
      <c r="A39" s="2"/>
      <c r="B39" s="2" t="s">
        <v>29</v>
      </c>
      <c r="C39" s="1" t="s">
        <v>30</v>
      </c>
      <c r="D39" s="13">
        <v>7</v>
      </c>
      <c r="E39" s="1" t="s">
        <v>170</v>
      </c>
      <c r="F39" s="1" t="s">
        <v>181</v>
      </c>
      <c r="G39" s="2" t="s">
        <v>182</v>
      </c>
      <c r="H39" s="18" t="str">
        <f ca="1">IFERROR(__xludf.dummyfunction("IFERROR(
  VLOOKUP(G39, IMPORTRANGE(""https://docs.google.com/spreadsheets/d/14deopnvwcrKtEGCKuYXdUHJbeLDZlkiSSWWT0g7x2pM/edit#gid=849066331"", ""LU List Maths (Filter)!A:B""), 2, FALSE),
  IFERROR(
    VLOOKUP(G39, IMPORTRANGE(""https://docs.google.com/s"&amp;"preadsheets/d/14deopnvwcrKtEGCKuYXdUHJbeLDZlkiSSWWT0g7x2pM/edit#gid=849066331"", ""LU List Science (Filter)!A:B""), 2, FALSE),
    ""Not Found""
  )
)
"),"Process of radiation")</f>
        <v>Process of radiation</v>
      </c>
      <c r="J39" s="2" t="str">
        <f t="shared" si="6"/>
        <v>LU005360.001</v>
      </c>
      <c r="K39" s="2" t="str">
        <f ca="1">IFERROR(__xludf.dummyfunction("VLOOKUP(J39, IMPORTRANGE(""https://docs.google.com/spreadsheets/d/1yDAaXNsi4Mr5FtRQL4tbmSdIzhx6_m4wkOD7IG-k_eo/edit#gid=1336395716"", ""Science!M:N""), 2, FALSE)"),"Define radiation as a method of heat transfer.")</f>
        <v>Define radiation as a method of heat transfer.</v>
      </c>
      <c r="L39" s="2" t="str">
        <f t="shared" si="7"/>
        <v>LU005360.002</v>
      </c>
      <c r="M39" s="2" t="str">
        <f ca="1">IFERROR(__xludf.dummyfunction("VLOOKUP(L39, IMPORTRANGE(""https://docs.google.com/spreadsheets/d/1yDAaXNsi4Mr5FtRQL4tbmSdIzhx6_m4wkOD7IG-k_eo/edit#gid=1336395716"", ""Science!M:N""), 2, FALSE)"),"Explain how radiation transfers energy without the need for a medium.")</f>
        <v>Explain how radiation transfers energy without the need for a medium.</v>
      </c>
      <c r="N39" s="2" t="str">
        <f t="shared" si="8"/>
        <v>LU005360.003</v>
      </c>
      <c r="O39" s="2" t="str">
        <f ca="1">IFERROR(__xludf.dummyfunction("VLOOKUP(N39, IMPORTRANGE(""https://docs.google.com/spreadsheets/d/1yDAaXNsi4Mr5FtRQL4tbmSdIzhx6_m4wkOD7IG-k_eo/edit#gid=1336395716"", ""Science!M:N""), 2, FALSE)"),"Recognize everyday situations that primarily use radiation as a mode of heat transfer.")</f>
        <v>Recognize everyday situations that primarily use radiation as a mode of heat transfer.</v>
      </c>
      <c r="P39" s="2" t="str">
        <f t="shared" si="9"/>
        <v>LU005360.004</v>
      </c>
      <c r="Q39" s="17" t="str">
        <f ca="1">IFERROR(__xludf.dummyfunction("VLOOKUP(P39, IMPORTRANGE(""https://docs.google.com/spreadsheets/d/1yDAaXNsi4Mr5FtRQL4tbmSdIzhx6_m4wkOD7IG-k_eo/edit#gid=1336395716"", ""Science!M:N""), 2, FALSE)"),"Compare and contrast radiation with other modes of heat transfer.")</f>
        <v>Compare and contrast radiation with other modes of heat transfer.</v>
      </c>
      <c r="R39" s="2" t="str">
        <f t="shared" si="10"/>
        <v>LU005360.005</v>
      </c>
      <c r="S39" s="17" t="str">
        <f ca="1">IFERROR(__xludf.dummyfunction("VLOOKUP(R39, IMPORTRANGE(""https://docs.google.com/spreadsheets/d/1yDAaXNsi4Mr5FtRQL4tbmSdIzhx6_m4wkOD7IG-k_eo/edit#gid=1336395716"", ""Science!M:N""), 2, FALSE)"),"Evaluate the significance of radiation in contexts like global warming or the greenhouse effect")</f>
        <v>Evaluate the significance of radiation in contexts like global warming or the greenhouse effect</v>
      </c>
      <c r="T39" s="2" t="str">
        <f t="shared" si="11"/>
        <v>LU005360.006</v>
      </c>
      <c r="U39" s="17" t="str">
        <f ca="1">IFERROR(__xludf.dummyfunction("VLOOKUP(T39, IMPORTRANGE(""https://docs.google.com/spreadsheets/d/1yDAaXNsi4Mr5FtRQL4tbmSdIzhx6_m4wkOD7IG-k_eo/edit#gid=1336395716"", ""Science!M:N""), 2, FALSE)"),"Devise a setup or model that illustrates how radiation transfers heat.")</f>
        <v>Devise a setup or model that illustrates how radiation transfers heat.</v>
      </c>
    </row>
    <row r="40" spans="1:21" ht="13.8">
      <c r="A40" s="2"/>
      <c r="B40" s="2" t="s">
        <v>29</v>
      </c>
      <c r="C40" s="1" t="s">
        <v>30</v>
      </c>
      <c r="D40" s="13">
        <v>7</v>
      </c>
      <c r="E40" s="1" t="s">
        <v>170</v>
      </c>
      <c r="F40" s="1" t="s">
        <v>181</v>
      </c>
      <c r="G40" s="2" t="s">
        <v>183</v>
      </c>
      <c r="H40" s="18" t="str">
        <f ca="1">IFERROR(__xludf.dummyfunction("IFERROR(
  VLOOKUP(G40, IMPORTRANGE(""https://docs.google.com/spreadsheets/d/14deopnvwcrKtEGCKuYXdUHJbeLDZlkiSSWWT0g7x2pM/edit#gid=849066331"", ""LU List Maths (Filter)!A:B""), 2, FALSE),
  IFERROR(
    VLOOKUP(G40, IMPORTRANGE(""https://docs.google.com/s"&amp;"preadsheets/d/14deopnvwcrKtEGCKuYXdUHJbeLDZlkiSSWWT0g7x2pM/edit#gid=849066331"", ""LU List Science (Filter)!A:B""), 2, FALSE),
    ""Not Found""
  )
)
"),"Application of radiation")</f>
        <v>Application of radiation</v>
      </c>
      <c r="J40" s="2" t="str">
        <f t="shared" si="6"/>
        <v>LU005353.001</v>
      </c>
      <c r="K40" s="2" t="str">
        <f ca="1">IFERROR(__xludf.dummyfunction("VLOOKUP(J40, IMPORTRANGE(""https://docs.google.com/spreadsheets/d/1yDAaXNsi4Mr5FtRQL4tbmSdIzhx6_m4wkOD7IG-k_eo/edit#gid=1336395716"", ""Science!M:N""), 2, FALSE)"),"List the colors that are typically good absorbers and reflectors of radiation.")</f>
        <v>List the colors that are typically good absorbers and reflectors of radiation.</v>
      </c>
      <c r="L40" s="2" t="str">
        <f t="shared" si="7"/>
        <v>LU005353.002</v>
      </c>
      <c r="M40" s="2" t="str">
        <f ca="1">IFERROR(__xludf.dummyfunction("VLOOKUP(L40, IMPORTRANGE(""https://docs.google.com/spreadsheets/d/1yDAaXNsi4Mr5FtRQL4tbmSdIzhx6_m4wkOD7IG-k_eo/edit#gid=1336395716"", ""Science!M:N""), 2, FALSE)"),"Explain how different colors absorb or reflect heat and their implications in various real-life situations, including the choice of clothing colors in different seasons.")</f>
        <v>Explain how different colors absorb or reflect heat and their implications in various real-life situations, including the choice of clothing colors in different seasons.</v>
      </c>
      <c r="N40" s="2" t="str">
        <f t="shared" si="8"/>
        <v>LU005353.003</v>
      </c>
      <c r="O40" s="2" t="str">
        <f ca="1">IFERROR(__xludf.dummyfunction("VLOOKUP(N40, IMPORTRANGE(""https://docs.google.com/spreadsheets/d/1yDAaXNsi4Mr5FtRQL4tbmSdIzhx6_m4wkOD7IG-k_eo/edit#gid=1336395716"", ""Science!M:N""), 2, FALSE)"),"Select suitable materials and colors for various environmental conditions, based on an understanding of radiation principles.")</f>
        <v>Select suitable materials and colors for various environmental conditions, based on an understanding of radiation principles.</v>
      </c>
      <c r="P40" s="2" t="str">
        <f t="shared" si="9"/>
        <v>LU005353.004</v>
      </c>
      <c r="Q40" s="17" t="str">
        <f ca="1">IFERROR(__xludf.dummyfunction("VLOOKUP(P40, IMPORTRANGE(""https://docs.google.com/spreadsheets/d/1yDAaXNsi4Mr5FtRQL4tbmSdIzhx6_m4wkOD7IG-k_eo/edit#gid=1336395716"", ""Science!M:N""), 2, FALSE)"),"Investigate the relationship between color and heat absorption using temperature data.")</f>
        <v>Investigate the relationship between color and heat absorption using temperature data.</v>
      </c>
      <c r="R40" s="2" t="str">
        <f t="shared" si="10"/>
        <v>LU005353.005</v>
      </c>
      <c r="S40" s="17" t="str">
        <f ca="1">IFERROR(__xludf.dummyfunction("VLOOKUP(R40, IMPORTRANGE(""https://docs.google.com/spreadsheets/d/1yDAaXNsi4Mr5FtRQL4tbmSdIzhx6_m4wkOD7IG-k_eo/edit#gid=1336395716"", ""Science!M:N""), 2, FALSE)"),"#N/A")</f>
        <v>#N/A</v>
      </c>
      <c r="T40" s="2" t="str">
        <f t="shared" si="11"/>
        <v>LU005353.006</v>
      </c>
      <c r="U40" s="17" t="str">
        <f ca="1">IFERROR(__xludf.dummyfunction("VLOOKUP(T40, IMPORTRANGE(""https://docs.google.com/spreadsheets/d/1yDAaXNsi4Mr5FtRQL4tbmSdIzhx6_m4wkOD7IG-k_eo/edit#gid=1336395716"", ""Science!M:N""), 2, FALSE)"),"Design an experiment or activity to demonstrate the effects of color on radiation absorption")</f>
        <v>Design an experiment or activity to demonstrate the effects of color on radiation absorption</v>
      </c>
    </row>
    <row r="41" spans="1:21" ht="27.6">
      <c r="A41" s="2"/>
      <c r="B41" s="2" t="s">
        <v>29</v>
      </c>
      <c r="C41" s="1" t="s">
        <v>30</v>
      </c>
      <c r="D41" s="13">
        <v>7</v>
      </c>
      <c r="E41" s="1" t="s">
        <v>170</v>
      </c>
      <c r="F41" s="1" t="s">
        <v>184</v>
      </c>
      <c r="G41" s="14" t="s">
        <v>185</v>
      </c>
      <c r="H41" s="18" t="str">
        <f ca="1">IFERROR(__xludf.dummyfunction("IFERROR(
  VLOOKUP(G41, IMPORTRANGE(""https://docs.google.com/spreadsheets/d/14deopnvwcrKtEGCKuYXdUHJbeLDZlkiSSWWT0g7x2pM/edit#gid=849066331"", ""LU List Maths (Filter)!A:B""), 2, FALSE),
  IFERROR(
    VLOOKUP(G41, IMPORTRANGE(""https://docs.google.com/s"&amp;"preadsheets/d/14deopnvwcrKtEGCKuYXdUHJbeLDZlkiSSWWT0g7x2pM/edit#gid=849066331"", ""LU List Science (Filter)!A:B""), 2, FALSE),
    ""Not Found""
  )
)
"),"Working and construction of thermos flask")</f>
        <v>Working and construction of thermos flask</v>
      </c>
      <c r="J41" s="2" t="str">
        <f t="shared" si="6"/>
        <v>LU006814.001</v>
      </c>
      <c r="K41" s="2" t="str">
        <f ca="1">IFERROR(__xludf.dummyfunction("VLOOKUP(J41, IMPORTRANGE(""https://docs.google.com/spreadsheets/d/1yDAaXNsi4Mr5FtRQL4tbmSdIzhx6_m4wkOD7IG-k_eo/edit#gid=1336395716"", ""Science!M:N""), 2, FALSE)"),"(LU006814.001); Default - Remember")</f>
        <v>(LU006814.001); Default - Remember</v>
      </c>
      <c r="L41" s="2" t="str">
        <f t="shared" si="7"/>
        <v>LU006814.002</v>
      </c>
      <c r="M41" s="2" t="str">
        <f ca="1">IFERROR(__xludf.dummyfunction("VLOOKUP(L41, IMPORTRANGE(""https://docs.google.com/spreadsheets/d/1yDAaXNsi4Mr5FtRQL4tbmSdIzhx6_m4wkOD7IG-k_eo/edit#gid=1336395716"", ""Science!M:N""), 2, FALSE)"),"(LU006814.002); Default - Understand")</f>
        <v>(LU006814.002); Default - Understand</v>
      </c>
      <c r="N41" s="2" t="str">
        <f t="shared" si="8"/>
        <v>LU006814.003</v>
      </c>
      <c r="O41" s="2" t="str">
        <f ca="1">IFERROR(__xludf.dummyfunction("VLOOKUP(N41, IMPORTRANGE(""https://docs.google.com/spreadsheets/d/1yDAaXNsi4Mr5FtRQL4tbmSdIzhx6_m4wkOD7IG-k_eo/edit#gid=1336395716"", ""Science!M:N""), 2, FALSE)"),"(LU006814.003); Default - Apply")</f>
        <v>(LU006814.003); Default - Apply</v>
      </c>
      <c r="P41" s="2" t="str">
        <f t="shared" si="9"/>
        <v>LU006814.004</v>
      </c>
      <c r="Q41" s="17" t="str">
        <f ca="1">IFERROR(__xludf.dummyfunction("VLOOKUP(P41, IMPORTRANGE(""https://docs.google.com/spreadsheets/d/1yDAaXNsi4Mr5FtRQL4tbmSdIzhx6_m4wkOD7IG-k_eo/edit#gid=1336395716"", ""Science!M:N""), 2, FALSE)"),"(LU006814.004); Default - Analyse")</f>
        <v>(LU006814.004); Default - Analyse</v>
      </c>
      <c r="R41" s="2" t="str">
        <f t="shared" si="10"/>
        <v>LU006814.005</v>
      </c>
      <c r="S41" s="17" t="str">
        <f ca="1">IFERROR(__xludf.dummyfunction("VLOOKUP(R41, IMPORTRANGE(""https://docs.google.com/spreadsheets/d/1yDAaXNsi4Mr5FtRQL4tbmSdIzhx6_m4wkOD7IG-k_eo/edit#gid=1336395716"", ""Science!M:N""), 2, FALSE)"),"(LU006814.005); Default - Evaluate")</f>
        <v>(LU006814.005); Default - Evaluate</v>
      </c>
      <c r="T41" s="2" t="str">
        <f t="shared" si="11"/>
        <v>LU006814.006</v>
      </c>
      <c r="U41" s="17" t="str">
        <f ca="1">IFERROR(__xludf.dummyfunction("VLOOKUP(T41, IMPORTRANGE(""https://docs.google.com/spreadsheets/d/1yDAaXNsi4Mr5FtRQL4tbmSdIzhx6_m4wkOD7IG-k_eo/edit#gid=1336395716"", ""Science!M:N""), 2, FALSE)"),"(LU006814.006); Default - Create")</f>
        <v>(LU006814.006); Default - Create</v>
      </c>
    </row>
    <row r="42" spans="1:21" ht="13.8">
      <c r="A42" s="2"/>
      <c r="B42" s="2" t="s">
        <v>29</v>
      </c>
      <c r="C42" s="1" t="s">
        <v>30</v>
      </c>
      <c r="D42" s="13">
        <v>7</v>
      </c>
      <c r="E42" s="1" t="s">
        <v>186</v>
      </c>
      <c r="F42" s="1" t="s">
        <v>187</v>
      </c>
      <c r="G42" s="14" t="s">
        <v>188</v>
      </c>
      <c r="H42" s="18" t="str">
        <f ca="1">IFERROR(__xludf.dummyfunction("IFERROR(
  VLOOKUP(G42, IMPORTRANGE(""https://docs.google.com/spreadsheets/d/14deopnvwcrKtEGCKuYXdUHJbeLDZlkiSSWWT0g7x2pM/edit#gid=849066331"", ""LU List Maths (Filter)!A:B""), 2, FALSE),
  IFERROR(
    VLOOKUP(G42, IMPORTRANGE(""https://docs.google.com/s"&amp;"preadsheets/d/14deopnvwcrKtEGCKuYXdUHJbeLDZlkiSSWWT0g7x2pM/edit#gid=849066331"", ""LU List Science (Filter)!A:B""), 2, FALSE),
    ""Not Found""
  )
)
"),"Different sources of sound")</f>
        <v>Different sources of sound</v>
      </c>
      <c r="J42" s="2" t="str">
        <f t="shared" si="6"/>
        <v>LU006815.001</v>
      </c>
      <c r="K42" s="2" t="str">
        <f ca="1">IFERROR(__xludf.dummyfunction("VLOOKUP(J42, IMPORTRANGE(""https://docs.google.com/spreadsheets/d/1yDAaXNsi4Mr5FtRQL4tbmSdIzhx6_m4wkOD7IG-k_eo/edit#gid=1336395716"", ""Science!M:N""), 2, FALSE)"),"(LU006815.001); Default - Remember")</f>
        <v>(LU006815.001); Default - Remember</v>
      </c>
      <c r="L42" s="2" t="str">
        <f t="shared" si="7"/>
        <v>LU006815.002</v>
      </c>
      <c r="M42" s="2" t="str">
        <f ca="1">IFERROR(__xludf.dummyfunction("VLOOKUP(L42, IMPORTRANGE(""https://docs.google.com/spreadsheets/d/1yDAaXNsi4Mr5FtRQL4tbmSdIzhx6_m4wkOD7IG-k_eo/edit#gid=1336395716"", ""Science!M:N""), 2, FALSE)"),"(LU006815.002); Default - Understand")</f>
        <v>(LU006815.002); Default - Understand</v>
      </c>
      <c r="N42" s="2" t="str">
        <f t="shared" si="8"/>
        <v>LU006815.003</v>
      </c>
      <c r="O42" s="2" t="str">
        <f ca="1">IFERROR(__xludf.dummyfunction("VLOOKUP(N42, IMPORTRANGE(""https://docs.google.com/spreadsheets/d/1yDAaXNsi4Mr5FtRQL4tbmSdIzhx6_m4wkOD7IG-k_eo/edit#gid=1336395716"", ""Science!M:N""), 2, FALSE)"),"(LU006815.003); Default - Apply")</f>
        <v>(LU006815.003); Default - Apply</v>
      </c>
      <c r="P42" s="2" t="str">
        <f t="shared" si="9"/>
        <v>LU006815.004</v>
      </c>
      <c r="Q42" s="17" t="str">
        <f ca="1">IFERROR(__xludf.dummyfunction("VLOOKUP(P42, IMPORTRANGE(""https://docs.google.com/spreadsheets/d/1yDAaXNsi4Mr5FtRQL4tbmSdIzhx6_m4wkOD7IG-k_eo/edit#gid=1336395716"", ""Science!M:N""), 2, FALSE)"),"(LU006815.004); Default - Analyse")</f>
        <v>(LU006815.004); Default - Analyse</v>
      </c>
      <c r="R42" s="2" t="str">
        <f t="shared" si="10"/>
        <v>LU006815.005</v>
      </c>
      <c r="S42" s="17" t="str">
        <f ca="1">IFERROR(__xludf.dummyfunction("VLOOKUP(R42, IMPORTRANGE(""https://docs.google.com/spreadsheets/d/1yDAaXNsi4Mr5FtRQL4tbmSdIzhx6_m4wkOD7IG-k_eo/edit#gid=1336395716"", ""Science!M:N""), 2, FALSE)"),"(LU006815.005); Default - Evaluate")</f>
        <v>(LU006815.005); Default - Evaluate</v>
      </c>
      <c r="T42" s="2" t="str">
        <f t="shared" si="11"/>
        <v>LU006815.006</v>
      </c>
      <c r="U42" s="17" t="str">
        <f ca="1">IFERROR(__xludf.dummyfunction("VLOOKUP(T42, IMPORTRANGE(""https://docs.google.com/spreadsheets/d/1yDAaXNsi4Mr5FtRQL4tbmSdIzhx6_m4wkOD7IG-k_eo/edit#gid=1336395716"", ""Science!M:N""), 2, FALSE)"),"(LU006815.006); Default - Create")</f>
        <v>(LU006815.006); Default - Create</v>
      </c>
    </row>
    <row r="43" spans="1:21" ht="27.6">
      <c r="A43" s="2"/>
      <c r="B43" s="2" t="s">
        <v>29</v>
      </c>
      <c r="C43" s="1" t="s">
        <v>30</v>
      </c>
      <c r="D43" s="13">
        <v>7</v>
      </c>
      <c r="E43" s="1" t="s">
        <v>186</v>
      </c>
      <c r="F43" s="1" t="s">
        <v>189</v>
      </c>
      <c r="G43" s="14" t="s">
        <v>190</v>
      </c>
      <c r="H43" s="18" t="str">
        <f ca="1">IFERROR(__xludf.dummyfunction("IFERROR(
  VLOOKUP(G43, IMPORTRANGE(""https://docs.google.com/spreadsheets/d/14deopnvwcrKtEGCKuYXdUHJbeLDZlkiSSWWT0g7x2pM/edit#gid=849066331"", ""LU List Maths (Filter)!A:B""), 2, FALSE),
  IFERROR(
    VLOOKUP(G43, IMPORTRANGE(""https://docs.google.com/s"&amp;"preadsheets/d/14deopnvwcrKtEGCKuYXdUHJbeLDZlkiSSWWT0g7x2pM/edit#gid=849066331"", ""LU List Science (Filter)!A:B""), 2, FALSE),
    ""Not Found""
  )
)
"),"Sound as a longitudinal wave")</f>
        <v>Sound as a longitudinal wave</v>
      </c>
      <c r="J43" s="2" t="str">
        <f t="shared" si="6"/>
        <v>LU006816.001</v>
      </c>
      <c r="K43" s="2" t="str">
        <f ca="1">IFERROR(__xludf.dummyfunction("VLOOKUP(J43, IMPORTRANGE(""https://docs.google.com/spreadsheets/d/1yDAaXNsi4Mr5FtRQL4tbmSdIzhx6_m4wkOD7IG-k_eo/edit#gid=1336395716"", ""Science!M:N""), 2, FALSE)"),"(LU006816.001); Default - Remember")</f>
        <v>(LU006816.001); Default - Remember</v>
      </c>
      <c r="L43" s="2" t="str">
        <f t="shared" si="7"/>
        <v>LU006816.002</v>
      </c>
      <c r="M43" s="2" t="str">
        <f ca="1">IFERROR(__xludf.dummyfunction("VLOOKUP(L43, IMPORTRANGE(""https://docs.google.com/spreadsheets/d/1yDAaXNsi4Mr5FtRQL4tbmSdIzhx6_m4wkOD7IG-k_eo/edit#gid=1336395716"", ""Science!M:N""), 2, FALSE)"),"(LU006816.002); Default - Understand")</f>
        <v>(LU006816.002); Default - Understand</v>
      </c>
      <c r="N43" s="2" t="str">
        <f t="shared" si="8"/>
        <v>LU006816.003</v>
      </c>
      <c r="O43" s="2" t="str">
        <f ca="1">IFERROR(__xludf.dummyfunction("VLOOKUP(N43, IMPORTRANGE(""https://docs.google.com/spreadsheets/d/1yDAaXNsi4Mr5FtRQL4tbmSdIzhx6_m4wkOD7IG-k_eo/edit#gid=1336395716"", ""Science!M:N""), 2, FALSE)"),"(LU006816.003); Default - Apply")</f>
        <v>(LU006816.003); Default - Apply</v>
      </c>
      <c r="P43" s="2" t="str">
        <f t="shared" si="9"/>
        <v>LU006816.004</v>
      </c>
      <c r="Q43" s="17" t="str">
        <f ca="1">IFERROR(__xludf.dummyfunction("VLOOKUP(P43, IMPORTRANGE(""https://docs.google.com/spreadsheets/d/1yDAaXNsi4Mr5FtRQL4tbmSdIzhx6_m4wkOD7IG-k_eo/edit#gid=1336395716"", ""Science!M:N""), 2, FALSE)"),"(LU006816.004); Default - Analyse")</f>
        <v>(LU006816.004); Default - Analyse</v>
      </c>
      <c r="R43" s="2" t="str">
        <f t="shared" si="10"/>
        <v>LU006816.005</v>
      </c>
      <c r="S43" s="17" t="str">
        <f ca="1">IFERROR(__xludf.dummyfunction("VLOOKUP(R43, IMPORTRANGE(""https://docs.google.com/spreadsheets/d/1yDAaXNsi4Mr5FtRQL4tbmSdIzhx6_m4wkOD7IG-k_eo/edit#gid=1336395716"", ""Science!M:N""), 2, FALSE)"),"(LU006816.005); Default - Evaluate")</f>
        <v>(LU006816.005); Default - Evaluate</v>
      </c>
      <c r="T43" s="2" t="str">
        <f t="shared" si="11"/>
        <v>LU006816.006</v>
      </c>
      <c r="U43" s="17" t="str">
        <f ca="1">IFERROR(__xludf.dummyfunction("VLOOKUP(T43, IMPORTRANGE(""https://docs.google.com/spreadsheets/d/1yDAaXNsi4Mr5FtRQL4tbmSdIzhx6_m4wkOD7IG-k_eo/edit#gid=1336395716"", ""Science!M:N""), 2, FALSE)"),"(LU006816.006); Default - Create")</f>
        <v>(LU006816.006); Default - Create</v>
      </c>
    </row>
    <row r="44" spans="1:21" ht="27.6">
      <c r="A44" s="2"/>
      <c r="B44" s="2" t="s">
        <v>29</v>
      </c>
      <c r="C44" s="1" t="s">
        <v>30</v>
      </c>
      <c r="D44" s="13">
        <v>7</v>
      </c>
      <c r="E44" s="1" t="s">
        <v>186</v>
      </c>
      <c r="F44" s="1" t="s">
        <v>189</v>
      </c>
      <c r="G44" s="1" t="s">
        <v>191</v>
      </c>
      <c r="H44" s="18" t="str">
        <f ca="1">IFERROR(__xludf.dummyfunction("IFERROR(
  VLOOKUP(G44, IMPORTRANGE(""https://docs.google.com/spreadsheets/d/14deopnvwcrKtEGCKuYXdUHJbeLDZlkiSSWWT0g7x2pM/edit#gid=849066331"", ""LU List Maths (Filter)!A:B""), 2, FALSE),
  IFERROR(
    VLOOKUP(G44, IMPORTRANGE(""https://docs.google.com/s"&amp;"preadsheets/d/14deopnvwcrKtEGCKuYXdUHJbeLDZlkiSSWWT0g7x2pM/edit#gid=849066331"", ""LU List Science (Filter)!A:B""), 2, FALSE),
    ""Not Found""
  )
)
"),"Definition of Amplitude of Vibration")</f>
        <v>Definition of Amplitude of Vibration</v>
      </c>
      <c r="J44" s="2" t="str">
        <f t="shared" si="6"/>
        <v>LU005577.001</v>
      </c>
      <c r="K44" s="2" t="str">
        <f ca="1">IFERROR(__xludf.dummyfunction("VLOOKUP(J44, IMPORTRANGE(""https://docs.google.com/spreadsheets/d/1yDAaXNsi4Mr5FtRQL4tbmSdIzhx6_m4wkOD7IG-k_eo/edit#gid=1336395716"", ""Science!M:N""), 2, FALSE)"),"Define amplitude, frequency, and time period of vibration. ")</f>
        <v xml:space="preserve">Define amplitude, frequency, and time period of vibration. </v>
      </c>
      <c r="L44" s="2" t="str">
        <f t="shared" si="7"/>
        <v>LU005577.002</v>
      </c>
      <c r="M44" s="2" t="str">
        <f ca="1">IFERROR(__xludf.dummyfunction("VLOOKUP(L44, IMPORTRANGE(""https://docs.google.com/spreadsheets/d/1yDAaXNsi4Mr5FtRQL4tbmSdIzhx6_m4wkOD7IG-k_eo/edit#gid=1336395716"", ""Science!M:N""), 2, FALSE)"),"")</f>
        <v/>
      </c>
      <c r="N44" s="2" t="str">
        <f t="shared" si="8"/>
        <v>LU005577.003</v>
      </c>
      <c r="O44" s="2" t="str">
        <f ca="1">IFERROR(__xludf.dummyfunction("VLOOKUP(N44, IMPORTRANGE(""https://docs.google.com/spreadsheets/d/1yDAaXNsi4Mr5FtRQL4tbmSdIzhx6_m4wkOD7IG-k_eo/edit#gid=1336395716"", ""Science!M:N""), 2, FALSE)"),"Apply knowledge of amplitude and frequency to predict how changes in these properties alter the perception of sound")</f>
        <v>Apply knowledge of amplitude and frequency to predict how changes in these properties alter the perception of sound</v>
      </c>
      <c r="P44" s="2" t="str">
        <f t="shared" si="9"/>
        <v>LU005577.004</v>
      </c>
      <c r="Q44" s="17" t="str">
        <f ca="1">IFERROR(__xludf.dummyfunction("VLOOKUP(P44, IMPORTRANGE(""https://docs.google.com/spreadsheets/d/1yDAaXNsi4Mr5FtRQL4tbmSdIzhx6_m4wkOD7IG-k_eo/edit#gid=1336395716"", ""Science!M:N""), 2, FALSE)"),"Analyze the relationship between frequency and time period of vibration")</f>
        <v>Analyze the relationship between frequency and time period of vibration</v>
      </c>
      <c r="R44" s="2" t="str">
        <f t="shared" si="10"/>
        <v>LU005577.005</v>
      </c>
      <c r="S44" s="17" t="str">
        <f ca="1">IFERROR(__xludf.dummyfunction("VLOOKUP(R44, IMPORTRANGE(""https://docs.google.com/spreadsheets/d/1yDAaXNsi4Mr5FtRQL4tbmSdIzhx6_m4wkOD7IG-k_eo/edit#gid=1336395716"", ""Science!M:N""), 2, FALSE)"),"Assess the impact of varying amplitudes and frequencies on the musical quality of different instruments")</f>
        <v>Assess the impact of varying amplitudes and frequencies on the musical quality of different instruments</v>
      </c>
      <c r="T44" s="2" t="str">
        <f t="shared" si="11"/>
        <v>LU005577.006</v>
      </c>
      <c r="U44" s="17" t="str">
        <f ca="1">IFERROR(__xludf.dummyfunction("VLOOKUP(T44, IMPORTRANGE(""https://docs.google.com/spreadsheets/d/1yDAaXNsi4Mr5FtRQL4tbmSdIzhx6_m4wkOD7IG-k_eo/edit#gid=1336395716"", ""Science!M:N""), 2, FALSE)"),"#N/A")</f>
        <v>#N/A</v>
      </c>
    </row>
    <row r="45" spans="1:21" ht="41.4">
      <c r="A45" s="2"/>
      <c r="B45" s="2" t="s">
        <v>29</v>
      </c>
      <c r="C45" s="1" t="s">
        <v>30</v>
      </c>
      <c r="D45" s="13">
        <v>7</v>
      </c>
      <c r="E45" s="1" t="s">
        <v>186</v>
      </c>
      <c r="F45" s="1" t="s">
        <v>189</v>
      </c>
      <c r="G45" s="1" t="s">
        <v>192</v>
      </c>
      <c r="H45" s="18" t="str">
        <f ca="1">IFERROR(__xludf.dummyfunction("IFERROR(
  VLOOKUP(G45, IMPORTRANGE(""https://docs.google.com/spreadsheets/d/14deopnvwcrKtEGCKuYXdUHJbeLDZlkiSSWWT0g7x2pM/edit#gid=849066331"", ""LU List Maths (Filter)!A:B""), 2, FALSE),
  IFERROR(
    VLOOKUP(G45, IMPORTRANGE(""https://docs.google.com/s"&amp;"preadsheets/d/14deopnvwcrKtEGCKuYXdUHJbeLDZlkiSSWWT0g7x2pM/edit#gid=849066331"", ""LU List Science (Filter)!A:B""), 2, FALSE),
    ""Not Found""
  )
)
"),"Definition of frequency of vibration and its relationship with time period")</f>
        <v>Definition of frequency of vibration and its relationship with time period</v>
      </c>
      <c r="J45" s="2" t="str">
        <f t="shared" si="6"/>
        <v>LU005585.001</v>
      </c>
      <c r="K45" s="2" t="str">
        <f ca="1">IFERROR(__xludf.dummyfunction("VLOOKUP(J45, IMPORTRANGE(""https://docs.google.com/spreadsheets/d/1yDAaXNsi4Mr5FtRQL4tbmSdIzhx6_m4wkOD7IG-k_eo/edit#gid=1336395716"", ""Science!M:N""), 2, FALSE)"),"Memorize the definition of frequency and the formula relating frequency to time period.")</f>
        <v>Memorize the definition of frequency and the formula relating frequency to time period.</v>
      </c>
      <c r="L45" s="2" t="str">
        <f t="shared" si="7"/>
        <v>LU005585.002</v>
      </c>
      <c r="M45" s="2" t="str">
        <f ca="1">IFERROR(__xludf.dummyfunction("VLOOKUP(L45, IMPORTRANGE(""https://docs.google.com/spreadsheets/d/1yDAaXNsi4Mr5FtRQL4tbmSdIzhx6_m4wkOD7IG-k_eo/edit#gid=1336395716"", ""Science!M:N""), 2, FALSE)"),"Paraphrase the concept of frequency of vibration and its inverse relationship with time period.")</f>
        <v>Paraphrase the concept of frequency of vibration and its inverse relationship with time period.</v>
      </c>
      <c r="N45" s="2" t="str">
        <f t="shared" si="8"/>
        <v>LU005585.003</v>
      </c>
      <c r="O45" s="2" t="str">
        <f ca="1">IFERROR(__xludf.dummyfunction("VLOOKUP(N45, IMPORTRANGE(""https://docs.google.com/spreadsheets/d/1yDAaXNsi4Mr5FtRQL4tbmSdIzhx6_m4wkOD7IG-k_eo/edit#gid=1336395716"", ""Science!M:N""), 2, FALSE)"),"Calculate the frequency or time period given one of the two values using the formula.")</f>
        <v>Calculate the frequency or time period given one of the two values using the formula.</v>
      </c>
      <c r="P45" s="2" t="str">
        <f t="shared" si="9"/>
        <v>LU005585.004</v>
      </c>
      <c r="Q45" s="17" t="str">
        <f ca="1">IFERROR(__xludf.dummyfunction("VLOOKUP(P45, IMPORTRANGE(""https://docs.google.com/spreadsheets/d/1yDAaXNsi4Mr5FtRQL4tbmSdIzhx6_m4wkOD7IG-k_eo/edit#gid=1336395716"", ""Science!M:N""), 2, FALSE)"),"#N/A")</f>
        <v>#N/A</v>
      </c>
      <c r="R45" s="2" t="str">
        <f t="shared" si="10"/>
        <v>LU005585.005</v>
      </c>
      <c r="S45" s="17" t="str">
        <f ca="1">IFERROR(__xludf.dummyfunction("VLOOKUP(R45, IMPORTRANGE(""https://docs.google.com/spreadsheets/d/1yDAaXNsi4Mr5FtRQL4tbmSdIzhx6_m4wkOD7IG-k_eo/edit#gid=1336395716"", ""Science!M:N""), 2, FALSE)"),"#N/A")</f>
        <v>#N/A</v>
      </c>
      <c r="T45" s="2" t="str">
        <f t="shared" si="11"/>
        <v>LU005585.006</v>
      </c>
      <c r="U45" s="17" t="str">
        <f ca="1">IFERROR(__xludf.dummyfunction("VLOOKUP(T45, IMPORTRANGE(""https://docs.google.com/spreadsheets/d/1yDAaXNsi4Mr5FtRQL4tbmSdIzhx6_m4wkOD7IG-k_eo/edit#gid=1336395716"", ""Science!M:N""), 2, FALSE)"),"Design a simple experiment to demonstrate the relationship between frequency of vibration and time period.")</f>
        <v>Design a simple experiment to demonstrate the relationship between frequency of vibration and time period.</v>
      </c>
    </row>
    <row r="46" spans="1:21" ht="27.6">
      <c r="A46" s="2"/>
      <c r="B46" s="2" t="s">
        <v>29</v>
      </c>
      <c r="C46" s="1" t="s">
        <v>30</v>
      </c>
      <c r="D46" s="13">
        <v>7</v>
      </c>
      <c r="E46" s="1" t="s">
        <v>186</v>
      </c>
      <c r="F46" s="1" t="s">
        <v>193</v>
      </c>
      <c r="G46" s="1" t="s">
        <v>194</v>
      </c>
      <c r="H46" s="18" t="str">
        <f ca="1">IFERROR(__xludf.dummyfunction("IFERROR(
  VLOOKUP(G46, IMPORTRANGE(""https://docs.google.com/spreadsheets/d/14deopnvwcrKtEGCKuYXdUHJbeLDZlkiSSWWT0g7x2pM/edit#gid=849066331"", ""LU List Maths (Filter)!A:B""), 2, FALSE),
  IFERROR(
    VLOOKUP(G46, IMPORTRANGE(""https://docs.google.com/s"&amp;"preadsheets/d/14deopnvwcrKtEGCKuYXdUHJbeLDZlkiSSWWT0g7x2pM/edit#gid=849066331"", ""LU List Science (Filter)!A:B""), 2, FALSE),
    ""Not Found""
  )
)
"),"Propagation of sound through different mediums")</f>
        <v>Propagation of sound through different mediums</v>
      </c>
      <c r="J46" s="2" t="str">
        <f t="shared" si="6"/>
        <v>LU005575.001</v>
      </c>
      <c r="K46" s="2" t="str">
        <f ca="1">IFERROR(__xludf.dummyfunction("VLOOKUP(J46, IMPORTRANGE(""https://docs.google.com/spreadsheets/d/1yDAaXNsi4Mr5FtRQL4tbmSdIzhx6_m4wkOD7IG-k_eo/edit#gid=1336395716"", ""Science!M:N""), 2, FALSE)"),"Define sound propagation and list different mediums through which sound can travel.")</f>
        <v>Define sound propagation and list different mediums through which sound can travel.</v>
      </c>
      <c r="L46" s="2" t="str">
        <f t="shared" si="7"/>
        <v>LU005575.002</v>
      </c>
      <c r="M46" s="2" t="str">
        <f ca="1">IFERROR(__xludf.dummyfunction("VLOOKUP(L46, IMPORTRANGE(""https://docs.google.com/spreadsheets/d/1yDAaXNsi4Mr5FtRQL4tbmSdIzhx6_m4wkOD7IG-k_eo/edit#gid=1336395716"", ""Science!M:N""), 2, FALSE)"),"Describe how sound propagate differently through various mediums such as solids, liquids, and gases.")</f>
        <v>Describe how sound propagate differently through various mediums such as solids, liquids, and gases.</v>
      </c>
      <c r="N46" s="2" t="str">
        <f t="shared" si="8"/>
        <v>LU005575.003</v>
      </c>
      <c r="O46" s="2" t="str">
        <f ca="1">IFERROR(__xludf.dummyfunction("VLOOKUP(N46, IMPORTRANGE(""https://docs.google.com/spreadsheets/d/1yDAaXNsi4Mr5FtRQL4tbmSdIzhx6_m4wkOD7IG-k_eo/edit#gid=1336395716"", ""Science!M:N""), 2, FALSE)"),"Demonstrate how sound travels through different mediums using simple classroom experiments ")</f>
        <v xml:space="preserve">Demonstrate how sound travels through different mediums using simple classroom experiments </v>
      </c>
      <c r="P46" s="2" t="str">
        <f t="shared" si="9"/>
        <v>LU005575.004</v>
      </c>
      <c r="Q46" s="17" t="str">
        <f ca="1">IFERROR(__xludf.dummyfunction("VLOOKUP(P46, IMPORTRANGE(""https://docs.google.com/spreadsheets/d/1yDAaXNsi4Mr5FtRQL4tbmSdIzhx6_m4wkOD7IG-k_eo/edit#gid=1336395716"", ""Science!M:N""), 2, FALSE)"),"Compare and contrast the speed and clarity of sound propagation in solids, liquids, and gase")</f>
        <v>Compare and contrast the speed and clarity of sound propagation in solids, liquids, and gase</v>
      </c>
      <c r="R46" s="2" t="str">
        <f t="shared" si="10"/>
        <v>LU005575.005</v>
      </c>
      <c r="S46" s="17" t="str">
        <f ca="1">IFERROR(__xludf.dummyfunction("VLOOKUP(R46, IMPORTRANGE(""https://docs.google.com/spreadsheets/d/1yDAaXNsi4Mr5FtRQL4tbmSdIzhx6_m4wkOD7IG-k_eo/edit#gid=1336395716"", ""Science!M:N""), 2, FALSE)"),"Assess the effectiveness of different mediums in transmitting sound under various conditions and predict which medium would be best for specific real-life applications")</f>
        <v>Assess the effectiveness of different mediums in transmitting sound under various conditions and predict which medium would be best for specific real-life applications</v>
      </c>
      <c r="T46" s="2" t="str">
        <f t="shared" si="11"/>
        <v>LU005575.006</v>
      </c>
      <c r="U46" s="17" t="str">
        <f ca="1">IFERROR(__xludf.dummyfunction("VLOOKUP(T46, IMPORTRANGE(""https://docs.google.com/spreadsheets/d/1yDAaXNsi4Mr5FtRQL4tbmSdIzhx6_m4wkOD7IG-k_eo/edit#gid=1336395716"", ""Science!M:N""), 2, FALSE)"),"Design an experiment to demonstrate the impact of a vacuum on sound propagation.")</f>
        <v>Design an experiment to demonstrate the impact of a vacuum on sound propagation.</v>
      </c>
    </row>
    <row r="47" spans="1:21" ht="27.6">
      <c r="A47" s="2"/>
      <c r="B47" s="2" t="s">
        <v>29</v>
      </c>
      <c r="C47" s="1" t="s">
        <v>30</v>
      </c>
      <c r="D47" s="13">
        <v>7</v>
      </c>
      <c r="E47" s="1" t="s">
        <v>186</v>
      </c>
      <c r="F47" s="1" t="s">
        <v>193</v>
      </c>
      <c r="G47" s="19" t="s">
        <v>195</v>
      </c>
      <c r="H47" s="18" t="str">
        <f ca="1">IFERROR(__xludf.dummyfunction("IFERROR(
  VLOOKUP(G47, IMPORTRANGE(""https://docs.google.com/spreadsheets/d/14deopnvwcrKtEGCKuYXdUHJbeLDZlkiSSWWT0g7x2pM/edit#gid=849066331"", ""LU List Maths (Filter)!A:B""), 2, FALSE),
  IFERROR(
    VLOOKUP(G47, IMPORTRANGE(""https://docs.google.com/s"&amp;"preadsheets/d/14deopnvwcrKtEGCKuYXdUHJbeLDZlkiSSWWT0g7x2pM/edit#gid=849066331"", ""LU List Science (Filter)!A:B""), 2, FALSE),
    ""Not Found""
  )
)
"),"Speed of Sound through different mediums ")</f>
        <v xml:space="preserve">Speed of Sound through different mediums </v>
      </c>
      <c r="J47" s="2" t="str">
        <f t="shared" si="6"/>
        <v>LU006106.001</v>
      </c>
      <c r="K47" s="2" t="str">
        <f ca="1">IFERROR(__xludf.dummyfunction("VLOOKUP(J47, IMPORTRANGE(""https://docs.google.com/spreadsheets/d/1yDAaXNsi4Mr5FtRQL4tbmSdIzhx6_m4wkOD7IG-k_eo/edit#gid=1336395716"", ""Science!M:N""), 2, FALSE)"),"List the speeds of sound in different materials, such as air, water, glycerine, iron, and diamond.")</f>
        <v>List the speeds of sound in different materials, such as air, water, glycerine, iron, and diamond.</v>
      </c>
      <c r="L47" s="2" t="str">
        <f t="shared" si="7"/>
        <v>LU006106.002</v>
      </c>
      <c r="M47" s="2" t="str">
        <f ca="1">IFERROR(__xludf.dummyfunction("VLOOKUP(L47, IMPORTRANGE(""https://docs.google.com/spreadsheets/d/1yDAaXNsi4Mr5FtRQL4tbmSdIzhx6_m4wkOD7IG-k_eo/edit#gid=1336395716"", ""Science!M:N""), 2, FALSE)"),"Explain why sound travels at different speeds through various media.")</f>
        <v>Explain why sound travels at different speeds through various media.</v>
      </c>
      <c r="N47" s="2" t="str">
        <f t="shared" si="8"/>
        <v>LU006106.003</v>
      </c>
      <c r="O47" s="2" t="str">
        <f ca="1">IFERROR(__xludf.dummyfunction("VLOOKUP(N47, IMPORTRANGE(""https://docs.google.com/spreadsheets/d/1yDAaXNsi4Mr5FtRQL4tbmSdIzhx6_m4wkOD7IG-k_eo/edit#gid=1336395716"", ""Science!M:N""), 2, FALSE)"),"Calculate the time it would take for sound to travel a specific distance in different materials.")</f>
        <v>Calculate the time it would take for sound to travel a specific distance in different materials.</v>
      </c>
      <c r="P47" s="2" t="str">
        <f t="shared" si="9"/>
        <v>LU006106.004</v>
      </c>
      <c r="Q47" s="17" t="str">
        <f ca="1">IFERROR(__xludf.dummyfunction("VLOOKUP(P47, IMPORTRANGE(""https://docs.google.com/spreadsheets/d/1yDAaXNsi4Mr5FtRQL4tbmSdIzhx6_m4wkOD7IG-k_eo/edit#gid=1336395716"", ""Science!M:N""), 2, FALSE)"),"Compare the speed of sound in solids, liquids, and gases to understand the role of the medium in sound propagation.")</f>
        <v>Compare the speed of sound in solids, liquids, and gases to understand the role of the medium in sound propagation.</v>
      </c>
      <c r="R47" s="2" t="str">
        <f t="shared" si="10"/>
        <v>LU006106.005</v>
      </c>
      <c r="S47" s="17" t="str">
        <f ca="1">IFERROR(__xludf.dummyfunction("VLOOKUP(R47, IMPORTRANGE(""https://docs.google.com/spreadsheets/d/1yDAaXNsi4Mr5FtRQL4tbmSdIzhx6_m4wkOD7IG-k_eo/edit#gid=1336395716"", ""Science!M:N""), 2, FALSE)"),"Evaluate why we see lightning before we hear thunder, using the concept of the speed of sound versus the speed of light.")</f>
        <v>Evaluate why we see lightning before we hear thunder, using the concept of the speed of sound versus the speed of light.</v>
      </c>
      <c r="T47" s="2" t="str">
        <f t="shared" si="11"/>
        <v>LU006106.006</v>
      </c>
      <c r="U47" s="17" t="str">
        <f ca="1">IFERROR(__xludf.dummyfunction("VLOOKUP(T47, IMPORTRANGE(""https://docs.google.com/spreadsheets/d/1yDAaXNsi4Mr5FtRQL4tbmSdIzhx6_m4wkOD7IG-k_eo/edit#gid=1336395716"", ""Science!M:N""), 2, FALSE)"),"#N/A")</f>
        <v>#N/A</v>
      </c>
    </row>
    <row r="48" spans="1:21" ht="27.6">
      <c r="A48" s="2"/>
      <c r="B48" s="2" t="s">
        <v>29</v>
      </c>
      <c r="C48" s="1" t="s">
        <v>30</v>
      </c>
      <c r="D48" s="13">
        <v>7</v>
      </c>
      <c r="E48" s="1" t="s">
        <v>186</v>
      </c>
      <c r="F48" s="1" t="s">
        <v>196</v>
      </c>
      <c r="G48" s="14" t="s">
        <v>197</v>
      </c>
      <c r="H48" s="18" t="str">
        <f ca="1">IFERROR(__xludf.dummyfunction("IFERROR(
  VLOOKUP(G48, IMPORTRANGE(""https://docs.google.com/spreadsheets/d/14deopnvwcrKtEGCKuYXdUHJbeLDZlkiSSWWT0g7x2pM/edit#gid=849066331"", ""LU List Maths (Filter)!A:B""), 2, FALSE),
  IFERROR(
    VLOOKUP(G48, IMPORTRANGE(""https://docs.google.com/s"&amp;"preadsheets/d/14deopnvwcrKtEGCKuYXdUHJbeLDZlkiSSWWT0g7x2pM/edit#gid=849066331"", ""LU List Science (Filter)!A:B""), 2, FALSE),
    ""Not Found""
  )
)
"),"Demonstration of reflection of sound")</f>
        <v>Demonstration of reflection of sound</v>
      </c>
      <c r="J48" s="2" t="str">
        <f t="shared" si="6"/>
        <v>LU006817.001</v>
      </c>
      <c r="K48" s="2" t="str">
        <f ca="1">IFERROR(__xludf.dummyfunction("VLOOKUP(J48, IMPORTRANGE(""https://docs.google.com/spreadsheets/d/1yDAaXNsi4Mr5FtRQL4tbmSdIzhx6_m4wkOD7IG-k_eo/edit#gid=1336395716"", ""Science!M:N""), 2, FALSE)"),"(LU006817.001); Default - Remember")</f>
        <v>(LU006817.001); Default - Remember</v>
      </c>
      <c r="L48" s="2" t="str">
        <f t="shared" si="7"/>
        <v>LU006817.002</v>
      </c>
      <c r="M48" s="2" t="str">
        <f ca="1">IFERROR(__xludf.dummyfunction("VLOOKUP(L48, IMPORTRANGE(""https://docs.google.com/spreadsheets/d/1yDAaXNsi4Mr5FtRQL4tbmSdIzhx6_m4wkOD7IG-k_eo/edit#gid=1336395716"", ""Science!M:N""), 2, FALSE)"),"(LU006817.002); Default - Understand")</f>
        <v>(LU006817.002); Default - Understand</v>
      </c>
      <c r="N48" s="2" t="str">
        <f t="shared" si="8"/>
        <v>LU006817.003</v>
      </c>
      <c r="O48" s="2" t="str">
        <f ca="1">IFERROR(__xludf.dummyfunction("VLOOKUP(N48, IMPORTRANGE(""https://docs.google.com/spreadsheets/d/1yDAaXNsi4Mr5FtRQL4tbmSdIzhx6_m4wkOD7IG-k_eo/edit#gid=1336395716"", ""Science!M:N""), 2, FALSE)"),"(LU006817.003); Default - Apply")</f>
        <v>(LU006817.003); Default - Apply</v>
      </c>
      <c r="P48" s="2" t="str">
        <f t="shared" si="9"/>
        <v>LU006817.004</v>
      </c>
      <c r="Q48" s="17" t="str">
        <f ca="1">IFERROR(__xludf.dummyfunction("VLOOKUP(P48, IMPORTRANGE(""https://docs.google.com/spreadsheets/d/1yDAaXNsi4Mr5FtRQL4tbmSdIzhx6_m4wkOD7IG-k_eo/edit#gid=1336395716"", ""Science!M:N""), 2, FALSE)"),"(LU006817.004); Default - Analyse")</f>
        <v>(LU006817.004); Default - Analyse</v>
      </c>
      <c r="R48" s="2" t="str">
        <f t="shared" si="10"/>
        <v>LU006817.005</v>
      </c>
      <c r="S48" s="17" t="str">
        <f ca="1">IFERROR(__xludf.dummyfunction("VLOOKUP(R48, IMPORTRANGE(""https://docs.google.com/spreadsheets/d/1yDAaXNsi4Mr5FtRQL4tbmSdIzhx6_m4wkOD7IG-k_eo/edit#gid=1336395716"", ""Science!M:N""), 2, FALSE)"),"(LU006817.005); Default - Evaluate")</f>
        <v>(LU006817.005); Default - Evaluate</v>
      </c>
      <c r="T48" s="2" t="str">
        <f t="shared" si="11"/>
        <v>LU006817.006</v>
      </c>
      <c r="U48" s="17" t="str">
        <f ca="1">IFERROR(__xludf.dummyfunction("VLOOKUP(T48, IMPORTRANGE(""https://docs.google.com/spreadsheets/d/1yDAaXNsi4Mr5FtRQL4tbmSdIzhx6_m4wkOD7IG-k_eo/edit#gid=1336395716"", ""Science!M:N""), 2, FALSE)"),"(LU006817.006); Default - Create")</f>
        <v>(LU006817.006); Default - Create</v>
      </c>
    </row>
    <row r="49" spans="1:21" ht="27.6">
      <c r="A49" s="2"/>
      <c r="B49" s="2" t="s">
        <v>29</v>
      </c>
      <c r="C49" s="1" t="s">
        <v>30</v>
      </c>
      <c r="D49" s="13">
        <v>7</v>
      </c>
      <c r="E49" s="1" t="s">
        <v>186</v>
      </c>
      <c r="F49" s="1" t="s">
        <v>196</v>
      </c>
      <c r="G49" s="14" t="s">
        <v>198</v>
      </c>
      <c r="H49" s="18" t="str">
        <f ca="1">IFERROR(__xludf.dummyfunction("IFERROR(
  VLOOKUP(G49, IMPORTRANGE(""https://docs.google.com/spreadsheets/d/14deopnvwcrKtEGCKuYXdUHJbeLDZlkiSSWWT0g7x2pM/edit#gid=849066331"", ""LU List Maths (Filter)!A:B""), 2, FALSE),
  IFERROR(
    VLOOKUP(G49, IMPORTRANGE(""https://docs.google.com/s"&amp;"preadsheets/d/14deopnvwcrKtEGCKuYXdUHJbeLDZlkiSSWWT0g7x2pM/edit#gid=849066331"", ""LU List Science (Filter)!A:B""), 2, FALSE),
    ""Not Found""
  )
)
"),"Demonstration of absorption of sound")</f>
        <v>Demonstration of absorption of sound</v>
      </c>
      <c r="J49" s="2" t="str">
        <f t="shared" si="6"/>
        <v>LU006818.001</v>
      </c>
      <c r="K49" s="2" t="str">
        <f ca="1">IFERROR(__xludf.dummyfunction("VLOOKUP(J49, IMPORTRANGE(""https://docs.google.com/spreadsheets/d/1yDAaXNsi4Mr5FtRQL4tbmSdIzhx6_m4wkOD7IG-k_eo/edit#gid=1336395716"", ""Science!M:N""), 2, FALSE)"),"(LU006818.001); Default - Remember")</f>
        <v>(LU006818.001); Default - Remember</v>
      </c>
      <c r="L49" s="2" t="str">
        <f t="shared" si="7"/>
        <v>LU006818.002</v>
      </c>
      <c r="M49" s="2" t="str">
        <f ca="1">IFERROR(__xludf.dummyfunction("VLOOKUP(L49, IMPORTRANGE(""https://docs.google.com/spreadsheets/d/1yDAaXNsi4Mr5FtRQL4tbmSdIzhx6_m4wkOD7IG-k_eo/edit#gid=1336395716"", ""Science!M:N""), 2, FALSE)"),"(LU006818.002); Default - Understand")</f>
        <v>(LU006818.002); Default - Understand</v>
      </c>
      <c r="N49" s="2" t="str">
        <f t="shared" si="8"/>
        <v>LU006818.003</v>
      </c>
      <c r="O49" s="2" t="str">
        <f ca="1">IFERROR(__xludf.dummyfunction("VLOOKUP(N49, IMPORTRANGE(""https://docs.google.com/spreadsheets/d/1yDAaXNsi4Mr5FtRQL4tbmSdIzhx6_m4wkOD7IG-k_eo/edit#gid=1336395716"", ""Science!M:N""), 2, FALSE)"),"(LU006818.003); Default - Apply")</f>
        <v>(LU006818.003); Default - Apply</v>
      </c>
      <c r="P49" s="2" t="str">
        <f t="shared" si="9"/>
        <v>LU006818.004</v>
      </c>
      <c r="Q49" s="17" t="str">
        <f ca="1">IFERROR(__xludf.dummyfunction("VLOOKUP(P49, IMPORTRANGE(""https://docs.google.com/spreadsheets/d/1yDAaXNsi4Mr5FtRQL4tbmSdIzhx6_m4wkOD7IG-k_eo/edit#gid=1336395716"", ""Science!M:N""), 2, FALSE)"),"(LU006818.004); Default - Analyse")</f>
        <v>(LU006818.004); Default - Analyse</v>
      </c>
      <c r="R49" s="2" t="str">
        <f t="shared" si="10"/>
        <v>LU006818.005</v>
      </c>
      <c r="S49" s="17" t="str">
        <f ca="1">IFERROR(__xludf.dummyfunction("VLOOKUP(R49, IMPORTRANGE(""https://docs.google.com/spreadsheets/d/1yDAaXNsi4Mr5FtRQL4tbmSdIzhx6_m4wkOD7IG-k_eo/edit#gid=1336395716"", ""Science!M:N""), 2, FALSE)"),"(LU006818.005); Default - Evaluate")</f>
        <v>(LU006818.005); Default - Evaluate</v>
      </c>
      <c r="T49" s="2" t="str">
        <f t="shared" si="11"/>
        <v>LU006818.006</v>
      </c>
      <c r="U49" s="17" t="str">
        <f ca="1">IFERROR(__xludf.dummyfunction("VLOOKUP(T49, IMPORTRANGE(""https://docs.google.com/spreadsheets/d/1yDAaXNsi4Mr5FtRQL4tbmSdIzhx6_m4wkOD7IG-k_eo/edit#gid=1336395716"", ""Science!M:N""), 2, FALSE)"),"(LU006818.006); Default - Create")</f>
        <v>(LU006818.006); Default - Create</v>
      </c>
    </row>
    <row r="50" spans="1:21" ht="13.8">
      <c r="A50" s="2"/>
      <c r="B50" s="2" t="s">
        <v>29</v>
      </c>
      <c r="C50" s="1" t="s">
        <v>30</v>
      </c>
      <c r="D50" s="13">
        <v>7</v>
      </c>
      <c r="E50" s="2" t="s">
        <v>199</v>
      </c>
      <c r="F50" s="1" t="s">
        <v>200</v>
      </c>
      <c r="G50" s="14" t="s">
        <v>201</v>
      </c>
      <c r="H50" s="18" t="str">
        <f ca="1">IFERROR(__xludf.dummyfunction("IFERROR(
  VLOOKUP(G50, IMPORTRANGE(""https://docs.google.com/spreadsheets/d/14deopnvwcrKtEGCKuYXdUHJbeLDZlkiSSWWT0g7x2pM/edit#gid=849066331"", ""LU List Maths (Filter)!A:B""), 2, FALSE),
  IFERROR(
    VLOOKUP(G50, IMPORTRANGE(""https://docs.google.com/s"&amp;"preadsheets/d/14deopnvwcrKtEGCKuYXdUHJbeLDZlkiSSWWT0g7x2pM/edit#gid=849066331"", ""LU List Science (Filter)!A:B""), 2, FALSE),
    ""Not Found""
  )
)
"),"Law of Magnetism")</f>
        <v>Law of Magnetism</v>
      </c>
      <c r="J50" s="2" t="str">
        <f t="shared" si="6"/>
        <v>LU006819.001</v>
      </c>
      <c r="K50" s="2" t="str">
        <f ca="1">IFERROR(__xludf.dummyfunction("VLOOKUP(J50, IMPORTRANGE(""https://docs.google.com/spreadsheets/d/1yDAaXNsi4Mr5FtRQL4tbmSdIzhx6_m4wkOD7IG-k_eo/edit#gid=1336395716"", ""Science!M:N""), 2, FALSE)"),"(LU006819.001); Default - Remember")</f>
        <v>(LU006819.001); Default - Remember</v>
      </c>
      <c r="L50" s="2" t="str">
        <f t="shared" si="7"/>
        <v>LU006819.002</v>
      </c>
      <c r="M50" s="2" t="str">
        <f ca="1">IFERROR(__xludf.dummyfunction("VLOOKUP(L50, IMPORTRANGE(""https://docs.google.com/spreadsheets/d/1yDAaXNsi4Mr5FtRQL4tbmSdIzhx6_m4wkOD7IG-k_eo/edit#gid=1336395716"", ""Science!M:N""), 2, FALSE)"),"(LU006819.002); Default - Understand")</f>
        <v>(LU006819.002); Default - Understand</v>
      </c>
      <c r="N50" s="2" t="str">
        <f t="shared" si="8"/>
        <v>LU006819.003</v>
      </c>
      <c r="O50" s="2" t="str">
        <f ca="1">IFERROR(__xludf.dummyfunction("VLOOKUP(N50, IMPORTRANGE(""https://docs.google.com/spreadsheets/d/1yDAaXNsi4Mr5FtRQL4tbmSdIzhx6_m4wkOD7IG-k_eo/edit#gid=1336395716"", ""Science!M:N""), 2, FALSE)"),"(LU006819.003); Default - Apply")</f>
        <v>(LU006819.003); Default - Apply</v>
      </c>
      <c r="P50" s="2" t="str">
        <f t="shared" si="9"/>
        <v>LU006819.004</v>
      </c>
      <c r="Q50" s="17" t="str">
        <f ca="1">IFERROR(__xludf.dummyfunction("VLOOKUP(P50, IMPORTRANGE(""https://docs.google.com/spreadsheets/d/1yDAaXNsi4Mr5FtRQL4tbmSdIzhx6_m4wkOD7IG-k_eo/edit#gid=1336395716"", ""Science!M:N""), 2, FALSE)"),"(LU006819.004); Default - Analyse")</f>
        <v>(LU006819.004); Default - Analyse</v>
      </c>
      <c r="R50" s="2" t="str">
        <f t="shared" si="10"/>
        <v>LU006819.005</v>
      </c>
      <c r="S50" s="17" t="str">
        <f ca="1">IFERROR(__xludf.dummyfunction("VLOOKUP(R50, IMPORTRANGE(""https://docs.google.com/spreadsheets/d/1yDAaXNsi4Mr5FtRQL4tbmSdIzhx6_m4wkOD7IG-k_eo/edit#gid=1336395716"", ""Science!M:N""), 2, FALSE)"),"(LU006819.005); Default - Evaluate")</f>
        <v>(LU006819.005); Default - Evaluate</v>
      </c>
      <c r="T50" s="2" t="str">
        <f t="shared" si="11"/>
        <v>LU006819.006</v>
      </c>
      <c r="U50" s="17" t="str">
        <f ca="1">IFERROR(__xludf.dummyfunction("VLOOKUP(T50, IMPORTRANGE(""https://docs.google.com/spreadsheets/d/1yDAaXNsi4Mr5FtRQL4tbmSdIzhx6_m4wkOD7IG-k_eo/edit#gid=1336395716"", ""Science!M:N""), 2, FALSE)"),"(LU006819.006); Default - Create")</f>
        <v>(LU006819.006); Default - Create</v>
      </c>
    </row>
    <row r="51" spans="1:21" ht="27.6">
      <c r="A51" s="2"/>
      <c r="B51" s="2" t="s">
        <v>29</v>
      </c>
      <c r="C51" s="1" t="s">
        <v>30</v>
      </c>
      <c r="D51" s="13">
        <v>7</v>
      </c>
      <c r="E51" s="2" t="s">
        <v>199</v>
      </c>
      <c r="F51" s="1" t="s">
        <v>200</v>
      </c>
      <c r="G51" s="14" t="s">
        <v>202</v>
      </c>
      <c r="H51" s="18" t="str">
        <f ca="1">IFERROR(__xludf.dummyfunction("IFERROR(
  VLOOKUP(G51, IMPORTRANGE(""https://docs.google.com/spreadsheets/d/14deopnvwcrKtEGCKuYXdUHJbeLDZlkiSSWWT0g7x2pM/edit#gid=849066331"", ""LU List Maths (Filter)!A:B""), 2, FALSE),
  IFERROR(
    VLOOKUP(G51, IMPORTRANGE(""https://docs.google.com/s"&amp;"preadsheets/d/14deopnvwcrKtEGCKuYXdUHJbeLDZlkiSSWWT0g7x2pM/edit#gid=849066331"", ""LU List Science (Filter)!A:B""), 2, FALSE),
    ""Not Found""
  )
)
"),"Test for a magnet (by repulsion)")</f>
        <v>Test for a magnet (by repulsion)</v>
      </c>
      <c r="J51" s="2" t="str">
        <f t="shared" si="6"/>
        <v>LU006820.001</v>
      </c>
      <c r="K51" s="2" t="str">
        <f ca="1">IFERROR(__xludf.dummyfunction("VLOOKUP(J51, IMPORTRANGE(""https://docs.google.com/spreadsheets/d/1yDAaXNsi4Mr5FtRQL4tbmSdIzhx6_m4wkOD7IG-k_eo/edit#gid=1336395716"", ""Science!M:N""), 2, FALSE)"),"(LU006820.001); Default - Remember")</f>
        <v>(LU006820.001); Default - Remember</v>
      </c>
      <c r="L51" s="2" t="str">
        <f t="shared" si="7"/>
        <v>LU006820.002</v>
      </c>
      <c r="M51" s="2" t="str">
        <f ca="1">IFERROR(__xludf.dummyfunction("VLOOKUP(L51, IMPORTRANGE(""https://docs.google.com/spreadsheets/d/1yDAaXNsi4Mr5FtRQL4tbmSdIzhx6_m4wkOD7IG-k_eo/edit#gid=1336395716"", ""Science!M:N""), 2, FALSE)"),"(LU006820.002); Default - Understand")</f>
        <v>(LU006820.002); Default - Understand</v>
      </c>
      <c r="N51" s="2" t="str">
        <f t="shared" si="8"/>
        <v>LU006820.003</v>
      </c>
      <c r="O51" s="2" t="str">
        <f ca="1">IFERROR(__xludf.dummyfunction("VLOOKUP(N51, IMPORTRANGE(""https://docs.google.com/spreadsheets/d/1yDAaXNsi4Mr5FtRQL4tbmSdIzhx6_m4wkOD7IG-k_eo/edit#gid=1336395716"", ""Science!M:N""), 2, FALSE)"),"(LU006820.003); Default - Apply")</f>
        <v>(LU006820.003); Default - Apply</v>
      </c>
      <c r="P51" s="2" t="str">
        <f t="shared" si="9"/>
        <v>LU006820.004</v>
      </c>
      <c r="Q51" s="17" t="str">
        <f ca="1">IFERROR(__xludf.dummyfunction("VLOOKUP(P51, IMPORTRANGE(""https://docs.google.com/spreadsheets/d/1yDAaXNsi4Mr5FtRQL4tbmSdIzhx6_m4wkOD7IG-k_eo/edit#gid=1336395716"", ""Science!M:N""), 2, FALSE)"),"(LU006820.004); Default - Analyse")</f>
        <v>(LU006820.004); Default - Analyse</v>
      </c>
      <c r="R51" s="2" t="str">
        <f t="shared" si="10"/>
        <v>LU006820.005</v>
      </c>
      <c r="S51" s="17" t="str">
        <f ca="1">IFERROR(__xludf.dummyfunction("VLOOKUP(R51, IMPORTRANGE(""https://docs.google.com/spreadsheets/d/1yDAaXNsi4Mr5FtRQL4tbmSdIzhx6_m4wkOD7IG-k_eo/edit#gid=1336395716"", ""Science!M:N""), 2, FALSE)"),"(LU006820.005); Default - Evaluate")</f>
        <v>(LU006820.005); Default - Evaluate</v>
      </c>
      <c r="T51" s="2" t="str">
        <f t="shared" si="11"/>
        <v>LU006820.006</v>
      </c>
      <c r="U51" s="17" t="str">
        <f ca="1">IFERROR(__xludf.dummyfunction("VLOOKUP(T51, IMPORTRANGE(""https://docs.google.com/spreadsheets/d/1yDAaXNsi4Mr5FtRQL4tbmSdIzhx6_m4wkOD7IG-k_eo/edit#gid=1336395716"", ""Science!M:N""), 2, FALSE)"),"(LU006820.006); Default - Create")</f>
        <v>(LU006820.006); Default - Create</v>
      </c>
    </row>
    <row r="52" spans="1:21" ht="27.6">
      <c r="A52" s="2"/>
      <c r="B52" s="2" t="s">
        <v>29</v>
      </c>
      <c r="C52" s="1" t="s">
        <v>30</v>
      </c>
      <c r="D52" s="13">
        <v>7</v>
      </c>
      <c r="E52" s="2" t="s">
        <v>199</v>
      </c>
      <c r="F52" s="1" t="s">
        <v>203</v>
      </c>
      <c r="G52" s="14" t="s">
        <v>204</v>
      </c>
      <c r="H52" s="18" t="str">
        <f ca="1">IFERROR(__xludf.dummyfunction("IFERROR(
  VLOOKUP(G52, IMPORTRANGE(""https://docs.google.com/spreadsheets/d/14deopnvwcrKtEGCKuYXdUHJbeLDZlkiSSWWT0g7x2pM/edit#gid=849066331"", ""LU List Maths (Filter)!A:B""), 2, FALSE),
  IFERROR(
    VLOOKUP(G52, IMPORTRANGE(""https://docs.google.com/s"&amp;"preadsheets/d/14deopnvwcrKtEGCKuYXdUHJbeLDZlkiSSWWT0g7x2pM/edit#gid=849066331"", ""LU List Science (Filter)!A:B""), 2, FALSE),
    ""Not Found""
  )
)
"),"Understanding law of electromagnetism")</f>
        <v>Understanding law of electromagnetism</v>
      </c>
      <c r="J52" s="2" t="str">
        <f t="shared" si="6"/>
        <v>LU006821.001</v>
      </c>
      <c r="K52" s="2" t="str">
        <f ca="1">IFERROR(__xludf.dummyfunction("VLOOKUP(J52, IMPORTRANGE(""https://docs.google.com/spreadsheets/d/1yDAaXNsi4Mr5FtRQL4tbmSdIzhx6_m4wkOD7IG-k_eo/edit#gid=1336395716"", ""Science!M:N""), 2, FALSE)"),"(LU006821.001); Default - Remember")</f>
        <v>(LU006821.001); Default - Remember</v>
      </c>
      <c r="L52" s="2" t="str">
        <f t="shared" si="7"/>
        <v>LU006821.002</v>
      </c>
      <c r="M52" s="2" t="str">
        <f ca="1">IFERROR(__xludf.dummyfunction("VLOOKUP(L52, IMPORTRANGE(""https://docs.google.com/spreadsheets/d/1yDAaXNsi4Mr5FtRQL4tbmSdIzhx6_m4wkOD7IG-k_eo/edit#gid=1336395716"", ""Science!M:N""), 2, FALSE)"),"(LU006821.002); Default - Understand")</f>
        <v>(LU006821.002); Default - Understand</v>
      </c>
      <c r="N52" s="2" t="str">
        <f t="shared" si="8"/>
        <v>LU006821.003</v>
      </c>
      <c r="O52" s="2" t="str">
        <f ca="1">IFERROR(__xludf.dummyfunction("VLOOKUP(N52, IMPORTRANGE(""https://docs.google.com/spreadsheets/d/1yDAaXNsi4Mr5FtRQL4tbmSdIzhx6_m4wkOD7IG-k_eo/edit#gid=1336395716"", ""Science!M:N""), 2, FALSE)"),"(LU006821.003); Default - Apply")</f>
        <v>(LU006821.003); Default - Apply</v>
      </c>
      <c r="P52" s="2" t="str">
        <f t="shared" si="9"/>
        <v>LU006821.004</v>
      </c>
      <c r="Q52" s="17" t="str">
        <f ca="1">IFERROR(__xludf.dummyfunction("VLOOKUP(P52, IMPORTRANGE(""https://docs.google.com/spreadsheets/d/1yDAaXNsi4Mr5FtRQL4tbmSdIzhx6_m4wkOD7IG-k_eo/edit#gid=1336395716"", ""Science!M:N""), 2, FALSE)"),"(LU006821.004); Default - Analyse")</f>
        <v>(LU006821.004); Default - Analyse</v>
      </c>
      <c r="R52" s="2" t="str">
        <f t="shared" si="10"/>
        <v>LU006821.005</v>
      </c>
      <c r="S52" s="17" t="str">
        <f ca="1">IFERROR(__xludf.dummyfunction("VLOOKUP(R52, IMPORTRANGE(""https://docs.google.com/spreadsheets/d/1yDAaXNsi4Mr5FtRQL4tbmSdIzhx6_m4wkOD7IG-k_eo/edit#gid=1336395716"", ""Science!M:N""), 2, FALSE)"),"(LU006821.005); Default - Evaluate")</f>
        <v>(LU006821.005); Default - Evaluate</v>
      </c>
      <c r="T52" s="2" t="str">
        <f t="shared" si="11"/>
        <v>LU006821.006</v>
      </c>
      <c r="U52" s="17" t="str">
        <f ca="1">IFERROR(__xludf.dummyfunction("VLOOKUP(T52, IMPORTRANGE(""https://docs.google.com/spreadsheets/d/1yDAaXNsi4Mr5FtRQL4tbmSdIzhx6_m4wkOD7IG-k_eo/edit#gid=1336395716"", ""Science!M:N""), 2, FALSE)"),"(LU006821.006); Default - Create")</f>
        <v>(LU006821.006); Default - Create</v>
      </c>
    </row>
    <row r="53" spans="1:21" ht="13.8">
      <c r="A53" s="2"/>
      <c r="B53" s="2" t="s">
        <v>29</v>
      </c>
      <c r="C53" s="1" t="s">
        <v>30</v>
      </c>
      <c r="D53" s="13">
        <v>7</v>
      </c>
      <c r="E53" s="2" t="s">
        <v>199</v>
      </c>
      <c r="F53" s="1" t="s">
        <v>203</v>
      </c>
      <c r="G53" s="14" t="s">
        <v>205</v>
      </c>
      <c r="H53" s="18" t="str">
        <f ca="1">IFERROR(__xludf.dummyfunction("IFERROR(
  VLOOKUP(G53, IMPORTRANGE(""https://docs.google.com/spreadsheets/d/14deopnvwcrKtEGCKuYXdUHJbeLDZlkiSSWWT0g7x2pM/edit#gid=849066331"", ""LU List Maths (Filter)!A:B""), 2, FALSE),
  IFERROR(
    VLOOKUP(G53, IMPORTRANGE(""https://docs.google.com/s"&amp;"preadsheets/d/14deopnvwcrKtEGCKuYXdUHJbeLDZlkiSSWWT0g7x2pM/edit#gid=849066331"", ""LU List Science (Filter)!A:B""), 2, FALSE),
    ""Not Found""
  )
)
"),"Working of electromagnets")</f>
        <v>Working of electromagnets</v>
      </c>
      <c r="J53" s="2" t="str">
        <f t="shared" si="6"/>
        <v>LU006822.001</v>
      </c>
      <c r="K53" s="2" t="str">
        <f ca="1">IFERROR(__xludf.dummyfunction("VLOOKUP(J53, IMPORTRANGE(""https://docs.google.com/spreadsheets/d/1yDAaXNsi4Mr5FtRQL4tbmSdIzhx6_m4wkOD7IG-k_eo/edit#gid=1336395716"", ""Science!M:N""), 2, FALSE)"),"(LU006822.001); Default - Remember")</f>
        <v>(LU006822.001); Default - Remember</v>
      </c>
      <c r="L53" s="2" t="str">
        <f t="shared" si="7"/>
        <v>LU006822.002</v>
      </c>
      <c r="M53" s="2" t="str">
        <f ca="1">IFERROR(__xludf.dummyfunction("VLOOKUP(L53, IMPORTRANGE(""https://docs.google.com/spreadsheets/d/1yDAaXNsi4Mr5FtRQL4tbmSdIzhx6_m4wkOD7IG-k_eo/edit#gid=1336395716"", ""Science!M:N""), 2, FALSE)"),"(LU006822.002); Default - Understand")</f>
        <v>(LU006822.002); Default - Understand</v>
      </c>
      <c r="N53" s="2" t="str">
        <f t="shared" si="8"/>
        <v>LU006822.003</v>
      </c>
      <c r="O53" s="2" t="str">
        <f ca="1">IFERROR(__xludf.dummyfunction("VLOOKUP(N53, IMPORTRANGE(""https://docs.google.com/spreadsheets/d/1yDAaXNsi4Mr5FtRQL4tbmSdIzhx6_m4wkOD7IG-k_eo/edit#gid=1336395716"", ""Science!M:N""), 2, FALSE)"),"(LU006822.003); Default - Apply")</f>
        <v>(LU006822.003); Default - Apply</v>
      </c>
      <c r="P53" s="2" t="str">
        <f t="shared" si="9"/>
        <v>LU006822.004</v>
      </c>
      <c r="Q53" s="17" t="str">
        <f ca="1">IFERROR(__xludf.dummyfunction("VLOOKUP(P53, IMPORTRANGE(""https://docs.google.com/spreadsheets/d/1yDAaXNsi4Mr5FtRQL4tbmSdIzhx6_m4wkOD7IG-k_eo/edit#gid=1336395716"", ""Science!M:N""), 2, FALSE)"),"(LU006822.004); Default - Analyse")</f>
        <v>(LU006822.004); Default - Analyse</v>
      </c>
      <c r="R53" s="2" t="str">
        <f t="shared" si="10"/>
        <v>LU006822.005</v>
      </c>
      <c r="S53" s="17" t="str">
        <f ca="1">IFERROR(__xludf.dummyfunction("VLOOKUP(R53, IMPORTRANGE(""https://docs.google.com/spreadsheets/d/1yDAaXNsi4Mr5FtRQL4tbmSdIzhx6_m4wkOD7IG-k_eo/edit#gid=1336395716"", ""Science!M:N""), 2, FALSE)"),"(LU006822.005); Default - Evaluate")</f>
        <v>(LU006822.005); Default - Evaluate</v>
      </c>
      <c r="T53" s="2" t="str">
        <f t="shared" si="11"/>
        <v>LU006822.006</v>
      </c>
      <c r="U53" s="17" t="str">
        <f ca="1">IFERROR(__xludf.dummyfunction("VLOOKUP(T53, IMPORTRANGE(""https://docs.google.com/spreadsheets/d/1yDAaXNsi4Mr5FtRQL4tbmSdIzhx6_m4wkOD7IG-k_eo/edit#gid=1336395716"", ""Science!M:N""), 2, FALSE)"),"(LU006822.006); Default - Create")</f>
        <v>(LU006822.006); Default - Create</v>
      </c>
    </row>
    <row r="54" spans="1:21" ht="13.8">
      <c r="A54" s="2"/>
      <c r="B54" s="2" t="s">
        <v>29</v>
      </c>
      <c r="C54" s="1" t="s">
        <v>30</v>
      </c>
      <c r="D54" s="13">
        <v>7</v>
      </c>
      <c r="E54" s="2" t="s">
        <v>199</v>
      </c>
      <c r="F54" s="1" t="s">
        <v>203</v>
      </c>
      <c r="G54" s="19" t="s">
        <v>206</v>
      </c>
      <c r="H54" s="18" t="str">
        <f ca="1">IFERROR(__xludf.dummyfunction("IFERROR(
  VLOOKUP(G54, IMPORTRANGE(""https://docs.google.com/spreadsheets/d/14deopnvwcrKtEGCKuYXdUHJbeLDZlkiSSWWT0g7x2pM/edit#gid=849066331"", ""LU List Maths (Filter)!A:B""), 2, FALSE),
  IFERROR(
    VLOOKUP(G54, IMPORTRANGE(""https://docs.google.com/s"&amp;"preadsheets/d/14deopnvwcrKtEGCKuYXdUHJbeLDZlkiSSWWT0g7x2pM/edit#gid=849066331"", ""LU List Science (Filter)!A:B""), 2, FALSE),
    ""Not Found""
  )
)
"),"Uses of Electromagnets ")</f>
        <v xml:space="preserve">Uses of Electromagnets </v>
      </c>
      <c r="J54" s="2" t="str">
        <f t="shared" si="6"/>
        <v>LU006088.001</v>
      </c>
      <c r="K54" s="2" t="str">
        <f ca="1">IFERROR(__xludf.dummyfunction("VLOOKUP(J54, IMPORTRANGE(""https://docs.google.com/spreadsheets/d/1yDAaXNsi4Mr5FtRQL4tbmSdIzhx6_m4wkOD7IG-k_eo/edit#gid=1336395716"", ""Science!M:N""), 2, FALSE)"),"Identify the various applications of electromagnets in daily life and industry, such as in separation of materials and in motors.")</f>
        <v>Identify the various applications of electromagnets in daily life and industry, such as in separation of materials and in motors.</v>
      </c>
      <c r="L54" s="2" t="str">
        <f t="shared" si="7"/>
        <v>LU006088.002</v>
      </c>
      <c r="M54" s="2" t="str">
        <f ca="1">IFERROR(__xludf.dummyfunction("VLOOKUP(L54, IMPORTRANGE(""https://docs.google.com/spreadsheets/d/1yDAaXNsi4Mr5FtRQL4tbmSdIzhx6_m4wkOD7IG-k_eo/edit#gid=1336395716"", ""Science!M:N""), 2, FALSE)"),"Describe how electromagnets function in cranes to lift heavy objects.")</f>
        <v>Describe how electromagnets function in cranes to lift heavy objects.</v>
      </c>
      <c r="N54" s="2" t="str">
        <f t="shared" si="8"/>
        <v>LU006088.003</v>
      </c>
      <c r="O54" s="2" t="str">
        <f ca="1">IFERROR(__xludf.dummyfunction("VLOOKUP(N54, IMPORTRANGE(""https://docs.google.com/spreadsheets/d/1yDAaXNsi4Mr5FtRQL4tbmSdIzhx6_m4wkOD7IG-k_eo/edit#gid=1336395716"", ""Science!M:N""), 2, FALSE)"),"Explain the role of electromagnets in medical procedures, like removing metal particles from eyes.")</f>
        <v>Explain the role of electromagnets in medical procedures, like removing metal particles from eyes.</v>
      </c>
      <c r="P54" s="2" t="str">
        <f t="shared" si="9"/>
        <v>LU006088.004</v>
      </c>
      <c r="Q54" s="17" t="str">
        <f ca="1">IFERROR(__xludf.dummyfunction("VLOOKUP(P54, IMPORTRANGE(""https://docs.google.com/spreadsheets/d/1yDAaXNsi4Mr5FtRQL4tbmSdIzhx6_m4wkOD7IG-k_eo/edit#gid=1336395716"", ""Science!M:N""), 2, FALSE)"),"Analyze the advantages of electromagnets in devices with on-demand magnetic requirements.")</f>
        <v>Analyze the advantages of electromagnets in devices with on-demand magnetic requirements.</v>
      </c>
      <c r="R54" s="2" t="str">
        <f t="shared" si="10"/>
        <v>LU006088.005</v>
      </c>
      <c r="S54" s="17" t="str">
        <f ca="1">IFERROR(__xludf.dummyfunction("VLOOKUP(R54, IMPORTRANGE(""https://docs.google.com/spreadsheets/d/1yDAaXNsi4Mr5FtRQL4tbmSdIzhx6_m4wkOD7IG-k_eo/edit#gid=1336395716"", ""Science!M:N""), 2, FALSE)"),"Evaluate the impact of electromagnets on the efficiency of electric devices like bells and measuring instruments.")</f>
        <v>Evaluate the impact of electromagnets on the efficiency of electric devices like bells and measuring instruments.</v>
      </c>
      <c r="T54" s="2" t="str">
        <f t="shared" si="11"/>
        <v>LU006088.006</v>
      </c>
      <c r="U54" s="17" t="str">
        <f ca="1">IFERROR(__xludf.dummyfunction("VLOOKUP(T54, IMPORTRANGE(""https://docs.google.com/spreadsheets/d/1yDAaXNsi4Mr5FtRQL4tbmSdIzhx6_m4wkOD7IG-k_eo/edit#gid=1336395716"", ""Science!M:N""), 2, FALSE)"),"#N/A")</f>
        <v>#N/A</v>
      </c>
    </row>
    <row r="55" spans="1:21" ht="13.8">
      <c r="A55" s="2"/>
      <c r="B55" s="2" t="s">
        <v>29</v>
      </c>
      <c r="C55" s="1" t="s">
        <v>30</v>
      </c>
      <c r="D55" s="13">
        <v>7</v>
      </c>
      <c r="E55" s="2" t="s">
        <v>199</v>
      </c>
      <c r="F55" s="1" t="s">
        <v>207</v>
      </c>
      <c r="G55" s="1" t="s">
        <v>208</v>
      </c>
      <c r="H55" s="18" t="str">
        <f ca="1">IFERROR(__xludf.dummyfunction("IFERROR(
  VLOOKUP(G55, IMPORTRANGE(""https://docs.google.com/spreadsheets/d/14deopnvwcrKtEGCKuYXdUHJbeLDZlkiSSWWT0g7x2pM/edit#gid=849066331"", ""LU List Maths (Filter)!A:B""), 2, FALSE),
  IFERROR(
    VLOOKUP(G55, IMPORTRANGE(""https://docs.google.com/s"&amp;"preadsheets/d/14deopnvwcrKtEGCKuYXdUHJbeLDZlkiSSWWT0g7x2pM/edit#gid=849066331"", ""LU List Science (Filter)!A:B""), 2, FALSE),
    ""Not Found""
  )
)
"),"Working of Electric bell")</f>
        <v>Working of Electric bell</v>
      </c>
      <c r="J55" s="2" t="str">
        <f t="shared" si="6"/>
        <v>LU005349.001</v>
      </c>
      <c r="K55" s="2" t="str">
        <f ca="1">IFERROR(__xludf.dummyfunction("VLOOKUP(J55, IMPORTRANGE(""https://docs.google.com/spreadsheets/d/1yDAaXNsi4Mr5FtRQL4tbmSdIzhx6_m4wkOD7IG-k_eo/edit#gid=1336395716"", ""Science!M:N""), 2, FALSE)"),"List the essential component of electric circuit of electric bell.")</f>
        <v>List the essential component of electric circuit of electric bell.</v>
      </c>
      <c r="L55" s="2" t="str">
        <f t="shared" si="7"/>
        <v>LU005349.002</v>
      </c>
      <c r="M55" s="2" t="str">
        <f ca="1">IFERROR(__xludf.dummyfunction("VLOOKUP(L55, IMPORTRANGE(""https://docs.google.com/spreadsheets/d/1yDAaXNsi4Mr5FtRQL4tbmSdIzhx6_m4wkOD7IG-k_eo/edit#gid=1336395716"", ""Science!M:N""), 2, FALSE)"),"Describe the working principle of an electric bell.")</f>
        <v>Describe the working principle of an electric bell.</v>
      </c>
      <c r="N55" s="2" t="str">
        <f t="shared" si="8"/>
        <v>LU005349.003</v>
      </c>
      <c r="O55" s="2" t="str">
        <f ca="1">IFERROR(__xludf.dummyfunction("VLOOKUP(N55, IMPORTRANGE(""https://docs.google.com/spreadsheets/d/1yDAaXNsi4Mr5FtRQL4tbmSdIzhx6_m4wkOD7IG-k_eo/edit#gid=1336395716"", ""Science!M:N""), 2, FALSE)"),"Build a simple electric bell circuit using electromagnet. ")</f>
        <v xml:space="preserve">Build a simple electric bell circuit using electromagnet. </v>
      </c>
      <c r="P55" s="2" t="str">
        <f t="shared" si="9"/>
        <v>LU005349.004</v>
      </c>
      <c r="Q55" s="17" t="str">
        <f ca="1">IFERROR(__xludf.dummyfunction("VLOOKUP(P55, IMPORTRANGE(""https://docs.google.com/spreadsheets/d/1yDAaXNsi4Mr5FtRQL4tbmSdIzhx6_m4wkOD7IG-k_eo/edit#gid=1336395716"", ""Science!M:N""), 2, FALSE)"),"Analyze the factors that affect the sound of an electric bell.")</f>
        <v>Analyze the factors that affect the sound of an electric bell.</v>
      </c>
      <c r="R55" s="2" t="str">
        <f t="shared" si="10"/>
        <v>LU005349.005</v>
      </c>
      <c r="S55" s="17" t="str">
        <f ca="1">IFERROR(__xludf.dummyfunction("VLOOKUP(R55, IMPORTRANGE(""https://docs.google.com/spreadsheets/d/1yDAaXNsi4Mr5FtRQL4tbmSdIzhx6_m4wkOD7IG-k_eo/edit#gid=1336395716"", ""Science!M:N""), 2, FALSE)"),"Suggest improvements to the design of an electric bell.")</f>
        <v>Suggest improvements to the design of an electric bell.</v>
      </c>
      <c r="T55" s="2" t="str">
        <f t="shared" si="11"/>
        <v>LU005349.006</v>
      </c>
      <c r="U55" s="17" t="str">
        <f ca="1">IFERROR(__xludf.dummyfunction("VLOOKUP(T55, IMPORTRANGE(""https://docs.google.com/spreadsheets/d/1yDAaXNsi4Mr5FtRQL4tbmSdIzhx6_m4wkOD7IG-k_eo/edit#gid=1336395716"", ""Science!M:N""), 2, FALSE)"),"Design a new type of electric bell with improved features.")</f>
        <v>Design a new type of electric bell with improved features.</v>
      </c>
    </row>
    <row r="56" spans="1:21" ht="27.6">
      <c r="A56" s="2"/>
      <c r="B56" s="2" t="s">
        <v>29</v>
      </c>
      <c r="C56" s="1" t="s">
        <v>30</v>
      </c>
      <c r="D56" s="13">
        <v>7</v>
      </c>
      <c r="E56" s="2" t="s">
        <v>199</v>
      </c>
      <c r="F56" s="1" t="s">
        <v>209</v>
      </c>
      <c r="G56" s="14" t="s">
        <v>210</v>
      </c>
      <c r="H56" s="18" t="str">
        <f ca="1">IFERROR(__xludf.dummyfunction("IFERROR(
  VLOOKUP(G56, IMPORTRANGE(""https://docs.google.com/spreadsheets/d/14deopnvwcrKtEGCKuYXdUHJbeLDZlkiSSWWT0g7x2pM/edit#gid=849066331"", ""LU List Maths (Filter)!A:B""), 2, FALSE),
  IFERROR(
    VLOOKUP(G56, IMPORTRANGE(""https://docs.google.com/s"&amp;"preadsheets/d/14deopnvwcrKtEGCKuYXdUHJbeLDZlkiSSWWT0g7x2pM/edit#gid=849066331"", ""LU List Science (Filter)!A:B""), 2, FALSE),
    ""Not Found""
  )
)
"),"Electric current as a flow of charges")</f>
        <v>Electric current as a flow of charges</v>
      </c>
      <c r="J56" s="2" t="str">
        <f t="shared" si="6"/>
        <v>LU006823.001</v>
      </c>
      <c r="K56" s="2" t="str">
        <f ca="1">IFERROR(__xludf.dummyfunction("VLOOKUP(J56, IMPORTRANGE(""https://docs.google.com/spreadsheets/d/1yDAaXNsi4Mr5FtRQL4tbmSdIzhx6_m4wkOD7IG-k_eo/edit#gid=1336395716"", ""Science!M:N""), 2, FALSE)"),"(LU006823.001); Default - Remember")</f>
        <v>(LU006823.001); Default - Remember</v>
      </c>
      <c r="L56" s="2" t="str">
        <f t="shared" si="7"/>
        <v>LU006823.002</v>
      </c>
      <c r="M56" s="2" t="str">
        <f ca="1">IFERROR(__xludf.dummyfunction("VLOOKUP(L56, IMPORTRANGE(""https://docs.google.com/spreadsheets/d/1yDAaXNsi4Mr5FtRQL4tbmSdIzhx6_m4wkOD7IG-k_eo/edit#gid=1336395716"", ""Science!M:N""), 2, FALSE)"),"(LU006823.002); Default - Understand")</f>
        <v>(LU006823.002); Default - Understand</v>
      </c>
      <c r="N56" s="2" t="str">
        <f t="shared" si="8"/>
        <v>LU006823.003</v>
      </c>
      <c r="O56" s="2" t="str">
        <f ca="1">IFERROR(__xludf.dummyfunction("VLOOKUP(N56, IMPORTRANGE(""https://docs.google.com/spreadsheets/d/1yDAaXNsi4Mr5FtRQL4tbmSdIzhx6_m4wkOD7IG-k_eo/edit#gid=1336395716"", ""Science!M:N""), 2, FALSE)"),"(LU006823.003); Default - Apply")</f>
        <v>(LU006823.003); Default - Apply</v>
      </c>
      <c r="P56" s="2" t="str">
        <f t="shared" si="9"/>
        <v>LU006823.004</v>
      </c>
      <c r="Q56" s="17" t="str">
        <f ca="1">IFERROR(__xludf.dummyfunction("VLOOKUP(P56, IMPORTRANGE(""https://docs.google.com/spreadsheets/d/1yDAaXNsi4Mr5FtRQL4tbmSdIzhx6_m4wkOD7IG-k_eo/edit#gid=1336395716"", ""Science!M:N""), 2, FALSE)"),"(LU006823.004); Default - Analyse")</f>
        <v>(LU006823.004); Default - Analyse</v>
      </c>
      <c r="R56" s="2" t="str">
        <f t="shared" si="10"/>
        <v>LU006823.005</v>
      </c>
      <c r="S56" s="17" t="str">
        <f ca="1">IFERROR(__xludf.dummyfunction("VLOOKUP(R56, IMPORTRANGE(""https://docs.google.com/spreadsheets/d/1yDAaXNsi4Mr5FtRQL4tbmSdIzhx6_m4wkOD7IG-k_eo/edit#gid=1336395716"", ""Science!M:N""), 2, FALSE)"),"(LU006823.005); Default - Evaluate")</f>
        <v>(LU006823.005); Default - Evaluate</v>
      </c>
      <c r="T56" s="2" t="str">
        <f t="shared" si="11"/>
        <v>LU006823.006</v>
      </c>
      <c r="U56" s="17" t="str">
        <f ca="1">IFERROR(__xludf.dummyfunction("VLOOKUP(T56, IMPORTRANGE(""https://docs.google.com/spreadsheets/d/1yDAaXNsi4Mr5FtRQL4tbmSdIzhx6_m4wkOD7IG-k_eo/edit#gid=1336395716"", ""Science!M:N""), 2, FALSE)"),"(LU006823.006); Default - Create")</f>
        <v>(LU006823.006); Default - Create</v>
      </c>
    </row>
    <row r="57" spans="1:21" ht="27.6">
      <c r="A57" s="2"/>
      <c r="B57" s="2" t="s">
        <v>29</v>
      </c>
      <c r="C57" s="1" t="s">
        <v>30</v>
      </c>
      <c r="D57" s="13">
        <v>7</v>
      </c>
      <c r="E57" s="2" t="s">
        <v>199</v>
      </c>
      <c r="F57" s="1" t="s">
        <v>209</v>
      </c>
      <c r="G57" s="1" t="s">
        <v>211</v>
      </c>
      <c r="H57" s="18" t="str">
        <f ca="1">IFERROR(__xludf.dummyfunction("IFERROR(
  VLOOKUP(G57, IMPORTRANGE(""https://docs.google.com/spreadsheets/d/14deopnvwcrKtEGCKuYXdUHJbeLDZlkiSSWWT0g7x2pM/edit#gid=849066331"", ""LU List Maths (Filter)!A:B""), 2, FALSE),
  IFERROR(
    VLOOKUP(G57, IMPORTRANGE(""https://docs.google.com/s"&amp;"preadsheets/d/14deopnvwcrKtEGCKuYXdUHJbeLDZlkiSSWWT0g7x2pM/edit#gid=849066331"", ""LU List Science (Filter)!A:B""), 2, FALSE),
    ""Not Found""
  )
)
"),"Structure and function of electric cell")</f>
        <v>Structure and function of electric cell</v>
      </c>
      <c r="J57" s="2" t="str">
        <f t="shared" si="6"/>
        <v>LU005155.001</v>
      </c>
      <c r="K57" s="2" t="str">
        <f ca="1">IFERROR(__xludf.dummyfunction("VLOOKUP(J57, IMPORTRANGE(""https://docs.google.com/spreadsheets/d/1yDAaXNsi4Mr5FtRQL4tbmSdIzhx6_m4wkOD7IG-k_eo/edit#gid=1336395716"", ""Science!M:N""), 2, FALSE)"),"Identify the positive and negative terminals of an electric cell.")</f>
        <v>Identify the positive and negative terminals of an electric cell.</v>
      </c>
      <c r="L57" s="2" t="str">
        <f t="shared" si="7"/>
        <v>LU005155.002</v>
      </c>
      <c r="M57" s="2" t="str">
        <f ca="1">IFERROR(__xludf.dummyfunction("VLOOKUP(L57, IMPORTRANGE(""https://docs.google.com/spreadsheets/d/1yDAaXNsi4Mr5FtRQL4tbmSdIzhx6_m4wkOD7IG-k_eo/edit#gid=1336395716"", ""Science!M:N""), 2, FALSE)"),"""Describe the structure of electric cell and how an electric cell provides power to a circuit.""")</f>
        <v>"Describe the structure of electric cell and how an electric cell provides power to a circuit."</v>
      </c>
      <c r="N57" s="2" t="str">
        <f t="shared" si="8"/>
        <v>LU005155.003</v>
      </c>
      <c r="O57" s="2" t="str">
        <f ca="1">IFERROR(__xludf.dummyfunction("VLOOKUP(N57, IMPORTRANGE(""https://docs.google.com/spreadsheets/d/1yDAaXNsi4Mr5FtRQL4tbmSdIzhx6_m4wkOD7IG-k_eo/edit#gid=1336395716"", ""Science!M:N""), 2, FALSE)"),"#N/A")</f>
        <v>#N/A</v>
      </c>
      <c r="P57" s="2" t="str">
        <f t="shared" si="9"/>
        <v>LU005155.004</v>
      </c>
      <c r="Q57" s="17" t="str">
        <f ca="1">IFERROR(__xludf.dummyfunction("VLOOKUP(P57, IMPORTRANGE(""https://docs.google.com/spreadsheets/d/1yDAaXNsi4Mr5FtRQL4tbmSdIzhx6_m4wkOD7IG-k_eo/edit#gid=1336395716"", ""Science!M:N""), 2, FALSE)"),"#N/A")</f>
        <v>#N/A</v>
      </c>
      <c r="R57" s="2" t="str">
        <f t="shared" si="10"/>
        <v>LU005155.005</v>
      </c>
      <c r="S57" s="17" t="str">
        <f ca="1">IFERROR(__xludf.dummyfunction("VLOOKUP(R57, IMPORTRANGE(""https://docs.google.com/spreadsheets/d/1yDAaXNsi4Mr5FtRQL4tbmSdIzhx6_m4wkOD7IG-k_eo/edit#gid=1336395716"", ""Science!M:N""), 2, FALSE)"),"Judge the efficiency of different types of electric cells based on their structure and function.")</f>
        <v>Judge the efficiency of different types of electric cells based on their structure and function.</v>
      </c>
      <c r="T57" s="2" t="str">
        <f t="shared" si="11"/>
        <v>LU005155.006</v>
      </c>
      <c r="U57" s="17" t="str">
        <f ca="1">IFERROR(__xludf.dummyfunction("VLOOKUP(T57, IMPORTRANGE(""https://docs.google.com/spreadsheets/d/1yDAaXNsi4Mr5FtRQL4tbmSdIzhx6_m4wkOD7IG-k_eo/edit#gid=1336395716"", ""Science!M:N""), 2, FALSE)"),"#N/A")</f>
        <v>#N/A</v>
      </c>
    </row>
    <row r="58" spans="1:21" ht="55.2">
      <c r="A58" s="2"/>
      <c r="B58" s="2" t="s">
        <v>29</v>
      </c>
      <c r="C58" s="1" t="s">
        <v>30</v>
      </c>
      <c r="D58" s="13">
        <v>7</v>
      </c>
      <c r="E58" s="2" t="s">
        <v>199</v>
      </c>
      <c r="F58" s="1" t="s">
        <v>209</v>
      </c>
      <c r="G58" s="14" t="s">
        <v>212</v>
      </c>
      <c r="H58" s="18" t="str">
        <f ca="1">IFERROR(__xludf.dummyfunction("IFERROR(
  VLOOKUP(G58, IMPORTRANGE(""https://docs.google.com/spreadsheets/d/14deopnvwcrKtEGCKuYXdUHJbeLDZlkiSSWWT0g7x2pM/edit#gid=849066331"", ""LU List Maths (Filter)!A:B""), 2, FALSE),
  IFERROR(
    VLOOKUP(G58, IMPORTRANGE(""https://docs.google.com/s"&amp;"preadsheets/d/14deopnvwcrKtEGCKuYXdUHJbeLDZlkiSSWWT0g7x2pM/edit#gid=849066331"", ""LU List Science (Filter)!A:B""), 2, FALSE),
    ""Not Found""
  )
)
"),"Symbols of electrical components (key, battery, bulb, conducting wire, resistor)")</f>
        <v>Symbols of electrical components (key, battery, bulb, conducting wire, resistor)</v>
      </c>
      <c r="J58" s="2" t="str">
        <f t="shared" si="6"/>
        <v>LU006824.001</v>
      </c>
      <c r="K58" s="2" t="str">
        <f ca="1">IFERROR(__xludf.dummyfunction("VLOOKUP(J58, IMPORTRANGE(""https://docs.google.com/spreadsheets/d/1yDAaXNsi4Mr5FtRQL4tbmSdIzhx6_m4wkOD7IG-k_eo/edit#gid=1336395716"", ""Science!M:N""), 2, FALSE)"),"(LU006824.001); Default - Remember")</f>
        <v>(LU006824.001); Default - Remember</v>
      </c>
      <c r="L58" s="2" t="str">
        <f t="shared" si="7"/>
        <v>LU006824.002</v>
      </c>
      <c r="M58" s="2" t="str">
        <f ca="1">IFERROR(__xludf.dummyfunction("VLOOKUP(L58, IMPORTRANGE(""https://docs.google.com/spreadsheets/d/1yDAaXNsi4Mr5FtRQL4tbmSdIzhx6_m4wkOD7IG-k_eo/edit#gid=1336395716"", ""Science!M:N""), 2, FALSE)"),"(LU006824.002); Default - Understand")</f>
        <v>(LU006824.002); Default - Understand</v>
      </c>
      <c r="N58" s="2" t="str">
        <f t="shared" si="8"/>
        <v>LU006824.003</v>
      </c>
      <c r="O58" s="2" t="str">
        <f ca="1">IFERROR(__xludf.dummyfunction("VLOOKUP(N58, IMPORTRANGE(""https://docs.google.com/spreadsheets/d/1yDAaXNsi4Mr5FtRQL4tbmSdIzhx6_m4wkOD7IG-k_eo/edit#gid=1336395716"", ""Science!M:N""), 2, FALSE)"),"(LU006824.003); Default - Apply")</f>
        <v>(LU006824.003); Default - Apply</v>
      </c>
      <c r="P58" s="2" t="str">
        <f t="shared" si="9"/>
        <v>LU006824.004</v>
      </c>
      <c r="Q58" s="17" t="str">
        <f ca="1">IFERROR(__xludf.dummyfunction("VLOOKUP(P58, IMPORTRANGE(""https://docs.google.com/spreadsheets/d/1yDAaXNsi4Mr5FtRQL4tbmSdIzhx6_m4wkOD7IG-k_eo/edit#gid=1336395716"", ""Science!M:N""), 2, FALSE)"),"(LU006824.004); Default - Analyse")</f>
        <v>(LU006824.004); Default - Analyse</v>
      </c>
      <c r="R58" s="2" t="str">
        <f t="shared" si="10"/>
        <v>LU006824.005</v>
      </c>
      <c r="S58" s="17" t="str">
        <f ca="1">IFERROR(__xludf.dummyfunction("VLOOKUP(R58, IMPORTRANGE(""https://docs.google.com/spreadsheets/d/1yDAaXNsi4Mr5FtRQL4tbmSdIzhx6_m4wkOD7IG-k_eo/edit#gid=1336395716"", ""Science!M:N""), 2, FALSE)"),"(LU006824.005); Default - Evaluate")</f>
        <v>(LU006824.005); Default - Evaluate</v>
      </c>
      <c r="T58" s="2" t="str">
        <f t="shared" si="11"/>
        <v>LU006824.006</v>
      </c>
      <c r="U58" s="17" t="str">
        <f ca="1">IFERROR(__xludf.dummyfunction("VLOOKUP(T58, IMPORTRANGE(""https://docs.google.com/spreadsheets/d/1yDAaXNsi4Mr5FtRQL4tbmSdIzhx6_m4wkOD7IG-k_eo/edit#gid=1336395716"", ""Science!M:N""), 2, FALSE)"),"(LU006824.006); Default - Create")</f>
        <v>(LU006824.006); Default - Create</v>
      </c>
    </row>
    <row r="59" spans="1:21" ht="41.4">
      <c r="A59" s="2"/>
      <c r="B59" s="2" t="s">
        <v>29</v>
      </c>
      <c r="C59" s="1" t="s">
        <v>30</v>
      </c>
      <c r="D59" s="13">
        <v>7</v>
      </c>
      <c r="E59" s="2" t="s">
        <v>199</v>
      </c>
      <c r="F59" s="1" t="s">
        <v>213</v>
      </c>
      <c r="G59" s="14" t="s">
        <v>214</v>
      </c>
      <c r="H59" s="18" t="str">
        <f ca="1">IFERROR(__xludf.dummyfunction("IFERROR(
  VLOOKUP(G59, IMPORTRANGE(""https://docs.google.com/spreadsheets/d/14deopnvwcrKtEGCKuYXdUHJbeLDZlkiSSWWT0g7x2pM/edit#gid=849066331"", ""LU List Maths (Filter)!A:B""), 2, FALSE),
  IFERROR(
    VLOOKUP(G59, IMPORTRANGE(""https://docs.google.com/s"&amp;"preadsheets/d/14deopnvwcrKtEGCKuYXdUHJbeLDZlkiSSWWT0g7x2pM/edit#gid=849066331"", ""LU List Science (Filter)!A:B""), 2, FALSE),
    ""Not Found""
  )
)
"),"Resistor and Resistance (Types, Classification and Symbol)")</f>
        <v>Resistor and Resistance (Types, Classification and Symbol)</v>
      </c>
      <c r="J59" s="2" t="str">
        <f t="shared" si="6"/>
        <v>LU006510.001</v>
      </c>
      <c r="K59" s="2" t="str">
        <f ca="1">IFERROR(__xludf.dummyfunction("VLOOKUP(J59, IMPORTRANGE(""https://docs.google.com/spreadsheets/d/1yDAaXNsi4Mr5FtRQL4tbmSdIzhx6_m4wkOD7IG-k_eo/edit#gid=1336395716"", ""Science!M:N""), 2, FALSE)"),"(LU006510.001); Default - Remember")</f>
        <v>(LU006510.001); Default - Remember</v>
      </c>
      <c r="L59" s="2" t="str">
        <f t="shared" si="7"/>
        <v>LU006510.002</v>
      </c>
      <c r="M59" s="2" t="str">
        <f ca="1">IFERROR(__xludf.dummyfunction("VLOOKUP(L59, IMPORTRANGE(""https://docs.google.com/spreadsheets/d/1yDAaXNsi4Mr5FtRQL4tbmSdIzhx6_m4wkOD7IG-k_eo/edit#gid=1336395716"", ""Science!M:N""), 2, FALSE)"),"(LU006510.002); Default - Understand")</f>
        <v>(LU006510.002); Default - Understand</v>
      </c>
      <c r="N59" s="2" t="str">
        <f t="shared" si="8"/>
        <v>LU006510.003</v>
      </c>
      <c r="O59" s="2" t="str">
        <f ca="1">IFERROR(__xludf.dummyfunction("VLOOKUP(N59, IMPORTRANGE(""https://docs.google.com/spreadsheets/d/1yDAaXNsi4Mr5FtRQL4tbmSdIzhx6_m4wkOD7IG-k_eo/edit#gid=1336395716"", ""Science!M:N""), 2, FALSE)"),"(LU006510.003); Default - Apply")</f>
        <v>(LU006510.003); Default - Apply</v>
      </c>
      <c r="P59" s="2" t="str">
        <f t="shared" si="9"/>
        <v>LU006510.004</v>
      </c>
      <c r="Q59" s="17" t="str">
        <f ca="1">IFERROR(__xludf.dummyfunction("VLOOKUP(P59, IMPORTRANGE(""https://docs.google.com/spreadsheets/d/1yDAaXNsi4Mr5FtRQL4tbmSdIzhx6_m4wkOD7IG-k_eo/edit#gid=1336395716"", ""Science!M:N""), 2, FALSE)"),"(LU006510.004); Default - Analyse")</f>
        <v>(LU006510.004); Default - Analyse</v>
      </c>
      <c r="R59" s="2" t="str">
        <f t="shared" si="10"/>
        <v>LU006510.005</v>
      </c>
      <c r="S59" s="17" t="str">
        <f ca="1">IFERROR(__xludf.dummyfunction("VLOOKUP(R59, IMPORTRANGE(""https://docs.google.com/spreadsheets/d/1yDAaXNsi4Mr5FtRQL4tbmSdIzhx6_m4wkOD7IG-k_eo/edit#gid=1336395716"", ""Science!M:N""), 2, FALSE)"),"(LU006510.005); Default - Evaluate")</f>
        <v>(LU006510.005); Default - Evaluate</v>
      </c>
      <c r="T59" s="2" t="str">
        <f t="shared" si="11"/>
        <v>LU006510.006</v>
      </c>
      <c r="U59" s="17" t="str">
        <f ca="1">IFERROR(__xludf.dummyfunction("VLOOKUP(T59, IMPORTRANGE(""https://docs.google.com/spreadsheets/d/1yDAaXNsi4Mr5FtRQL4tbmSdIzhx6_m4wkOD7IG-k_eo/edit#gid=1336395716"", ""Science!M:N""), 2, FALSE)"),"(LU006510.006); Default - Create")</f>
        <v>(LU006510.006); Default - Create</v>
      </c>
    </row>
    <row r="60" spans="1:21" ht="27.6">
      <c r="A60" s="2"/>
      <c r="B60" s="2" t="s">
        <v>29</v>
      </c>
      <c r="C60" s="1" t="s">
        <v>30</v>
      </c>
      <c r="D60" s="13">
        <v>7</v>
      </c>
      <c r="E60" s="2" t="s">
        <v>199</v>
      </c>
      <c r="F60" s="1" t="s">
        <v>215</v>
      </c>
      <c r="G60" s="1" t="s">
        <v>216</v>
      </c>
      <c r="H60" s="18" t="str">
        <f ca="1">IFERROR(__xludf.dummyfunction("IFERROR(
  VLOOKUP(G60, IMPORTRANGE(""https://docs.google.com/spreadsheets/d/14deopnvwcrKtEGCKuYXdUHJbeLDZlkiSSWWT0g7x2pM/edit#gid=849066331"", ""LU List Maths (Filter)!A:B""), 2, FALSE),
  IFERROR(
    VLOOKUP(G60, IMPORTRANGE(""https://docs.google.com/s"&amp;"preadsheets/d/14deopnvwcrKtEGCKuYXdUHJbeLDZlkiSSWWT0g7x2pM/edit#gid=849066331"", ""LU List Science (Filter)!A:B""), 2, FALSE),
    ""Not Found""
  )
)
"),"Description of electric circuit and flow of current through it")</f>
        <v>Description of electric circuit and flow of current through it</v>
      </c>
      <c r="J60" s="2" t="str">
        <f t="shared" si="6"/>
        <v>LU005153.001</v>
      </c>
      <c r="K60" s="2" t="str">
        <f ca="1">IFERROR(__xludf.dummyfunction("VLOOKUP(J60, IMPORTRANGE(""https://docs.google.com/spreadsheets/d/1yDAaXNsi4Mr5FtRQL4tbmSdIzhx6_m4wkOD7IG-k_eo/edit#gid=1336395716"", ""Science!M:N""), 2, FALSE)"),"Identify how the two terminals of an electric cell are connected to the terminals of an electric bulb in a circuit.")</f>
        <v>Identify how the two terminals of an electric cell are connected to the terminals of an electric bulb in a circuit.</v>
      </c>
      <c r="L60" s="2" t="str">
        <f t="shared" si="7"/>
        <v>LU005153.002</v>
      </c>
      <c r="M60" s="2" t="str">
        <f ca="1">IFERROR(__xludf.dummyfunction("VLOOKUP(L60, IMPORTRANGE(""https://docs.google.com/spreadsheets/d/1yDAaXNsi4Mr5FtRQL4tbmSdIzhx6_m4wkOD7IG-k_eo/edit#gid=1336395716"", ""Science!M:N""), 2, FALSE)"),"Illustrate the direction of current in an electric circuit.")</f>
        <v>Illustrate the direction of current in an electric circuit.</v>
      </c>
      <c r="N60" s="2" t="str">
        <f t="shared" si="8"/>
        <v>LU005153.003</v>
      </c>
      <c r="O60" s="2" t="str">
        <f ca="1">IFERROR(__xludf.dummyfunction("VLOOKUP(N60, IMPORTRANGE(""https://docs.google.com/spreadsheets/d/1yDAaXNsi4Mr5FtRQL4tbmSdIzhx6_m4wkOD7IG-k_eo/edit#gid=1336395716"", ""Science!M:N""), 2, FALSE)"),"""Construct a basic electric circuit using given components, while adhering to a list of safety precautions.""")</f>
        <v>"Construct a basic electric circuit using given components, while adhering to a list of safety precautions."</v>
      </c>
      <c r="P60" s="2" t="str">
        <f t="shared" si="9"/>
        <v>LU005153.004</v>
      </c>
      <c r="Q60" s="17" t="str">
        <f ca="1">IFERROR(__xludf.dummyfunction("VLOOKUP(P60, IMPORTRANGE(""https://docs.google.com/spreadsheets/d/1yDAaXNsi4Mr5FtRQL4tbmSdIzhx6_m4wkOD7IG-k_eo/edit#gid=1336395716"", ""Science!M:N""), 2, FALSE)"),"Compare and contrast different types of electric circuits.")</f>
        <v>Compare and contrast different types of electric circuits.</v>
      </c>
      <c r="R60" s="2" t="str">
        <f t="shared" si="10"/>
        <v>LU005153.005</v>
      </c>
      <c r="S60" s="17" t="str">
        <f ca="1">IFERROR(__xludf.dummyfunction("VLOOKUP(R60, IMPORTRANGE(""https://docs.google.com/spreadsheets/d/1yDAaXNsi4Mr5FtRQL4tbmSdIzhx6_m4wkOD7IG-k_eo/edit#gid=1336395716"", ""Science!M:N""), 2, FALSE)"),"Recommend improvements to the design of electric circuits.")</f>
        <v>Recommend improvements to the design of electric circuits.</v>
      </c>
      <c r="T60" s="2" t="str">
        <f t="shared" si="11"/>
        <v>LU005153.006</v>
      </c>
      <c r="U60" s="17" t="str">
        <f ca="1">IFERROR(__xludf.dummyfunction("VLOOKUP(T60, IMPORTRANGE(""https://docs.google.com/spreadsheets/d/1yDAaXNsi4Mr5FtRQL4tbmSdIzhx6_m4wkOD7IG-k_eo/edit#gid=1336395716"", ""Science!M:N""), 2, FALSE)"),"#N/A")</f>
        <v>#N/A</v>
      </c>
    </row>
    <row r="61" spans="1:21" ht="27.6">
      <c r="A61" s="2"/>
      <c r="B61" s="2" t="s">
        <v>29</v>
      </c>
      <c r="C61" s="1" t="s">
        <v>30</v>
      </c>
      <c r="D61" s="13">
        <v>7</v>
      </c>
      <c r="E61" s="2" t="s">
        <v>199</v>
      </c>
      <c r="F61" s="1" t="s">
        <v>215</v>
      </c>
      <c r="G61" s="14" t="s">
        <v>217</v>
      </c>
      <c r="H61" s="18" t="str">
        <f ca="1">IFERROR(__xludf.dummyfunction("IFERROR(
  VLOOKUP(G61, IMPORTRANGE(""https://docs.google.com/spreadsheets/d/14deopnvwcrKtEGCKuYXdUHJbeLDZlkiSSWWT0g7x2pM/edit#gid=849066331"", ""LU List Maths (Filter)!A:B""), 2, FALSE),
  IFERROR(
    VLOOKUP(G61, IMPORTRANGE(""https://docs.google.com/s"&amp;"preadsheets/d/14deopnvwcrKtEGCKuYXdUHJbeLDZlkiSSWWT0g7x2pM/edit#gid=849066331"", ""LU List Science (Filter)!A:B""), 2, FALSE),
    ""Not Found""
  )
)
"),"Combination of resistors in series")</f>
        <v>Combination of resistors in series</v>
      </c>
      <c r="J61" s="2" t="str">
        <f t="shared" si="6"/>
        <v>LU006825.001</v>
      </c>
      <c r="K61" s="2" t="str">
        <f ca="1">IFERROR(__xludf.dummyfunction("VLOOKUP(J61, IMPORTRANGE(""https://docs.google.com/spreadsheets/d/1yDAaXNsi4Mr5FtRQL4tbmSdIzhx6_m4wkOD7IG-k_eo/edit#gid=1336395716"", ""Science!M:N""), 2, FALSE)"),"(LU006825.001); Default - Remember")</f>
        <v>(LU006825.001); Default - Remember</v>
      </c>
      <c r="L61" s="2" t="str">
        <f t="shared" si="7"/>
        <v>LU006825.002</v>
      </c>
      <c r="M61" s="2" t="str">
        <f ca="1">IFERROR(__xludf.dummyfunction("VLOOKUP(L61, IMPORTRANGE(""https://docs.google.com/spreadsheets/d/1yDAaXNsi4Mr5FtRQL4tbmSdIzhx6_m4wkOD7IG-k_eo/edit#gid=1336395716"", ""Science!M:N""), 2, FALSE)"),"(LU006825.002); Default - Understand")</f>
        <v>(LU006825.002); Default - Understand</v>
      </c>
      <c r="N61" s="2" t="str">
        <f t="shared" si="8"/>
        <v>LU006825.003</v>
      </c>
      <c r="O61" s="2" t="str">
        <f ca="1">IFERROR(__xludf.dummyfunction("VLOOKUP(N61, IMPORTRANGE(""https://docs.google.com/spreadsheets/d/1yDAaXNsi4Mr5FtRQL4tbmSdIzhx6_m4wkOD7IG-k_eo/edit#gid=1336395716"", ""Science!M:N""), 2, FALSE)"),"(LU006825.003); Default - Apply")</f>
        <v>(LU006825.003); Default - Apply</v>
      </c>
      <c r="P61" s="2" t="str">
        <f t="shared" si="9"/>
        <v>LU006825.004</v>
      </c>
      <c r="Q61" s="17" t="str">
        <f ca="1">IFERROR(__xludf.dummyfunction("VLOOKUP(P61, IMPORTRANGE(""https://docs.google.com/spreadsheets/d/1yDAaXNsi4Mr5FtRQL4tbmSdIzhx6_m4wkOD7IG-k_eo/edit#gid=1336395716"", ""Science!M:N""), 2, FALSE)"),"(LU006825.004); Default - Analyse")</f>
        <v>(LU006825.004); Default - Analyse</v>
      </c>
      <c r="R61" s="2" t="str">
        <f t="shared" si="10"/>
        <v>LU006825.005</v>
      </c>
      <c r="S61" s="17" t="str">
        <f ca="1">IFERROR(__xludf.dummyfunction("VLOOKUP(R61, IMPORTRANGE(""https://docs.google.com/spreadsheets/d/1yDAaXNsi4Mr5FtRQL4tbmSdIzhx6_m4wkOD7IG-k_eo/edit#gid=1336395716"", ""Science!M:N""), 2, FALSE)"),"(LU006825.005); Default - Evaluate")</f>
        <v>(LU006825.005); Default - Evaluate</v>
      </c>
      <c r="T61" s="2" t="str">
        <f t="shared" si="11"/>
        <v>LU006825.006</v>
      </c>
      <c r="U61" s="17" t="str">
        <f ca="1">IFERROR(__xludf.dummyfunction("VLOOKUP(T61, IMPORTRANGE(""https://docs.google.com/spreadsheets/d/1yDAaXNsi4Mr5FtRQL4tbmSdIzhx6_m4wkOD7IG-k_eo/edit#gid=1336395716"", ""Science!M:N""), 2, FALSE)"),"(LU006825.006); Default - Create")</f>
        <v>(LU006825.006); Default - Create</v>
      </c>
    </row>
    <row r="62" spans="1:21" ht="27.6">
      <c r="A62" s="2"/>
      <c r="B62" s="2" t="s">
        <v>29</v>
      </c>
      <c r="C62" s="1" t="s">
        <v>30</v>
      </c>
      <c r="D62" s="13">
        <v>7</v>
      </c>
      <c r="E62" s="2" t="s">
        <v>199</v>
      </c>
      <c r="F62" s="1" t="s">
        <v>215</v>
      </c>
      <c r="G62" s="14" t="s">
        <v>218</v>
      </c>
      <c r="H62" s="18" t="str">
        <f ca="1">IFERROR(__xludf.dummyfunction("IFERROR(
  VLOOKUP(G62, IMPORTRANGE(""https://docs.google.com/spreadsheets/d/14deopnvwcrKtEGCKuYXdUHJbeLDZlkiSSWWT0g7x2pM/edit#gid=849066331"", ""LU List Maths (Filter)!A:B""), 2, FALSE),
  IFERROR(
    VLOOKUP(G62, IMPORTRANGE(""https://docs.google.com/s"&amp;"preadsheets/d/14deopnvwcrKtEGCKuYXdUHJbeLDZlkiSSWWT0g7x2pM/edit#gid=849066331"", ""LU List Science (Filter)!A:B""), 2, FALSE),
    ""Not Found""
  )
)
"),"Combination of resistors in parallel")</f>
        <v>Combination of resistors in parallel</v>
      </c>
      <c r="J62" s="2" t="str">
        <f t="shared" si="6"/>
        <v>LU006826.001</v>
      </c>
      <c r="K62" s="2" t="str">
        <f ca="1">IFERROR(__xludf.dummyfunction("VLOOKUP(J62, IMPORTRANGE(""https://docs.google.com/spreadsheets/d/1yDAaXNsi4Mr5FtRQL4tbmSdIzhx6_m4wkOD7IG-k_eo/edit#gid=1336395716"", ""Science!M:N""), 2, FALSE)"),"(LU006826.001); Default - Remember")</f>
        <v>(LU006826.001); Default - Remember</v>
      </c>
      <c r="L62" s="2" t="str">
        <f t="shared" si="7"/>
        <v>LU006826.002</v>
      </c>
      <c r="M62" s="2" t="str">
        <f ca="1">IFERROR(__xludf.dummyfunction("VLOOKUP(L62, IMPORTRANGE(""https://docs.google.com/spreadsheets/d/1yDAaXNsi4Mr5FtRQL4tbmSdIzhx6_m4wkOD7IG-k_eo/edit#gid=1336395716"", ""Science!M:N""), 2, FALSE)"),"(LU006826.002); Default - Understand")</f>
        <v>(LU006826.002); Default - Understand</v>
      </c>
      <c r="N62" s="2" t="str">
        <f t="shared" si="8"/>
        <v>LU006826.003</v>
      </c>
      <c r="O62" s="2" t="str">
        <f ca="1">IFERROR(__xludf.dummyfunction("VLOOKUP(N62, IMPORTRANGE(""https://docs.google.com/spreadsheets/d/1yDAaXNsi4Mr5FtRQL4tbmSdIzhx6_m4wkOD7IG-k_eo/edit#gid=1336395716"", ""Science!M:N""), 2, FALSE)"),"(LU006826.003); Default - Apply")</f>
        <v>(LU006826.003); Default - Apply</v>
      </c>
      <c r="P62" s="2" t="str">
        <f t="shared" si="9"/>
        <v>LU006826.004</v>
      </c>
      <c r="Q62" s="17" t="str">
        <f ca="1">IFERROR(__xludf.dummyfunction("VLOOKUP(P62, IMPORTRANGE(""https://docs.google.com/spreadsheets/d/1yDAaXNsi4Mr5FtRQL4tbmSdIzhx6_m4wkOD7IG-k_eo/edit#gid=1336395716"", ""Science!M:N""), 2, FALSE)"),"(LU006826.004); Default - Analyse")</f>
        <v>(LU006826.004); Default - Analyse</v>
      </c>
      <c r="R62" s="2" t="str">
        <f t="shared" si="10"/>
        <v>LU006826.005</v>
      </c>
      <c r="S62" s="17" t="str">
        <f ca="1">IFERROR(__xludf.dummyfunction("VLOOKUP(R62, IMPORTRANGE(""https://docs.google.com/spreadsheets/d/1yDAaXNsi4Mr5FtRQL4tbmSdIzhx6_m4wkOD7IG-k_eo/edit#gid=1336395716"", ""Science!M:N""), 2, FALSE)"),"(LU006826.005); Default - Evaluate")</f>
        <v>(LU006826.005); Default - Evaluate</v>
      </c>
      <c r="T62" s="2" t="str">
        <f t="shared" si="11"/>
        <v>LU006826.006</v>
      </c>
      <c r="U62" s="17" t="str">
        <f ca="1">IFERROR(__xludf.dummyfunction("VLOOKUP(T62, IMPORTRANGE(""https://docs.google.com/spreadsheets/d/1yDAaXNsi4Mr5FtRQL4tbmSdIzhx6_m4wkOD7IG-k_eo/edit#gid=1336395716"", ""Science!M:N""), 2, FALSE)"),"(LU006826.006); Default - Create")</f>
        <v>(LU006826.006); Default - Create</v>
      </c>
    </row>
    <row r="63" spans="1:21" ht="27.6">
      <c r="A63" s="2"/>
      <c r="B63" s="2" t="s">
        <v>29</v>
      </c>
      <c r="C63" s="1" t="s">
        <v>30</v>
      </c>
      <c r="D63" s="13">
        <v>7</v>
      </c>
      <c r="E63" s="2" t="s">
        <v>199</v>
      </c>
      <c r="F63" s="2" t="s">
        <v>219</v>
      </c>
      <c r="G63" s="1" t="s">
        <v>220</v>
      </c>
      <c r="H63" s="18" t="str">
        <f ca="1">IFERROR(__xludf.dummyfunction("IFERROR(
  VLOOKUP(G63, IMPORTRANGE(""https://docs.google.com/spreadsheets/d/14deopnvwcrKtEGCKuYXdUHJbeLDZlkiSSWWT0g7x2pM/edit#gid=849066331"", ""LU List Maths (Filter)!A:B""), 2, FALSE),
  IFERROR(
    VLOOKUP(G63, IMPORTRANGE(""https://docs.google.com/s"&amp;"preadsheets/d/14deopnvwcrKtEGCKuYXdUHJbeLDZlkiSSWWT0g7x2pM/edit#gid=849066331"", ""LU List Science (Filter)!A:B""), 2, FALSE),
    ""Not Found""
  )
)
"),"Construction of battery from two or more cell")</f>
        <v>Construction of battery from two or more cell</v>
      </c>
      <c r="J63" s="2" t="str">
        <f t="shared" si="6"/>
        <v>LU005346.001</v>
      </c>
      <c r="K63" s="2" t="str">
        <f ca="1">IFERROR(__xludf.dummyfunction("VLOOKUP(J63, IMPORTRANGE(""https://docs.google.com/spreadsheets/d/1yDAaXNsi4Mr5FtRQL4tbmSdIzhx6_m4wkOD7IG-k_eo/edit#gid=1336395716"", ""Science!M:N""), 2, FALSE)"),"Define battery.")</f>
        <v>Define battery.</v>
      </c>
      <c r="L63" s="2" t="str">
        <f t="shared" si="7"/>
        <v>LU005346.002</v>
      </c>
      <c r="M63" s="2" t="str">
        <f ca="1">IFERROR(__xludf.dummyfunction("VLOOKUP(L63, IMPORTRANGE(""https://docs.google.com/spreadsheets/d/1yDAaXNsi4Mr5FtRQL4tbmSdIzhx6_m4wkOD7IG-k_eo/edit#gid=1336395716"", ""Science!M:N""), 2, FALSE)"),"Explain how a battery is formed by connecting two or more cells in all possible arrangements. ")</f>
        <v xml:space="preserve">Explain how a battery is formed by connecting two or more cells in all possible arrangements. </v>
      </c>
      <c r="N63" s="2" t="str">
        <f t="shared" si="8"/>
        <v>LU005346.003</v>
      </c>
      <c r="O63" s="2" t="str">
        <f ca="1">IFERROR(__xludf.dummyfunction("VLOOKUP(N63, IMPORTRANGE(""https://docs.google.com/spreadsheets/d/1yDAaXNsi4Mr5FtRQL4tbmSdIzhx6_m4wkOD7IG-k_eo/edit#gid=1336395716"", ""Science!M:N""), 2, FALSE)"),"Demonstrate the correct method of connecting two or more cells to create a functional battery")</f>
        <v>Demonstrate the correct method of connecting two or more cells to create a functional battery</v>
      </c>
      <c r="P63" s="2" t="str">
        <f t="shared" si="9"/>
        <v>LU005346.004</v>
      </c>
      <c r="Q63" s="17" t="str">
        <f ca="1">IFERROR(__xludf.dummyfunction("VLOOKUP(P63, IMPORTRANGE(""https://docs.google.com/spreadsheets/d/1yDAaXNsi4Mr5FtRQL4tbmSdIzhx6_m4wkOD7IG-k_eo/edit#gid=1336395716"", ""Science!M:N""), 2, FALSE)"),"Analyze the advantages and disadvantages of connecting cells in various arrangements when constructing a battery")</f>
        <v>Analyze the advantages and disadvantages of connecting cells in various arrangements when constructing a battery</v>
      </c>
      <c r="R63" s="2" t="str">
        <f t="shared" si="10"/>
        <v>LU005346.005</v>
      </c>
      <c r="S63" s="17" t="str">
        <f ca="1">IFERROR(__xludf.dummyfunction("VLOOKUP(R63, IMPORTRANGE(""https://docs.google.com/spreadsheets/d/1yDAaXNsi4Mr5FtRQL4tbmSdIzhx6_m4wkOD7IG-k_eo/edit#gid=1336395716"", ""Science!M:N""), 2, FALSE)"),"#N/A")</f>
        <v>#N/A</v>
      </c>
      <c r="T63" s="2" t="str">
        <f t="shared" si="11"/>
        <v>LU005346.006</v>
      </c>
      <c r="U63" s="17" t="str">
        <f ca="1">IFERROR(__xludf.dummyfunction("VLOOKUP(T63, IMPORTRANGE(""https://docs.google.com/spreadsheets/d/1yDAaXNsi4Mr5FtRQL4tbmSdIzhx6_m4wkOD7IG-k_eo/edit#gid=1336395716"", ""Science!M:N""), 2, FALSE)"),"#N/A")</f>
        <v>#N/A</v>
      </c>
    </row>
    <row r="64" spans="1:21" ht="41.4">
      <c r="A64" s="2"/>
      <c r="B64" s="2" t="s">
        <v>29</v>
      </c>
      <c r="C64" s="1" t="s">
        <v>30</v>
      </c>
      <c r="D64" s="13">
        <v>7</v>
      </c>
      <c r="E64" s="2" t="s">
        <v>199</v>
      </c>
      <c r="F64" s="1" t="s">
        <v>221</v>
      </c>
      <c r="G64" s="1" t="s">
        <v>222</v>
      </c>
      <c r="H64" s="18" t="str">
        <f ca="1">IFERROR(__xludf.dummyfunction("IFERROR(
  VLOOKUP(G64, IMPORTRANGE(""https://docs.google.com/spreadsheets/d/14deopnvwcrKtEGCKuYXdUHJbeLDZlkiSSWWT0g7x2pM/edit#gid=849066331"", ""LU List Maths (Filter)!A:B""), 2, FALSE),
  IFERROR(
    VLOOKUP(G64, IMPORTRANGE(""https://docs.google.com/s"&amp;"preadsheets/d/14deopnvwcrKtEGCKuYXdUHJbeLDZlkiSSWWT0g7x2pM/edit#gid=849066331"", ""LU List Science (Filter)!A:B""), 2, FALSE),
    ""Not Found""
  )
)
"),"Electric Conductors and Insulators: Definition and Application")</f>
        <v>Electric Conductors and Insulators: Definition and Application</v>
      </c>
      <c r="J64" s="2" t="str">
        <f t="shared" si="6"/>
        <v>LU005152.001</v>
      </c>
      <c r="K64" s="2" t="str">
        <f ca="1">IFERROR(__xludf.dummyfunction("VLOOKUP(J64, IMPORTRANGE(""https://docs.google.com/spreadsheets/d/1yDAaXNsi4Mr5FtRQL4tbmSdIzhx6_m4wkOD7IG-k_eo/edit#gid=1336395716"", ""Science!M:N""), 2, FALSE)"),"Define electrical conductors and insulators with help of examples. ")</f>
        <v xml:space="preserve">Define electrical conductors and insulators with help of examples. </v>
      </c>
      <c r="L64" s="2" t="str">
        <f t="shared" si="7"/>
        <v>LU005152.002</v>
      </c>
      <c r="M64" s="2" t="str">
        <f ca="1">IFERROR(__xludf.dummyfunction("VLOOKUP(L64, IMPORTRANGE(""https://docs.google.com/spreadsheets/d/1yDAaXNsi4Mr5FtRQL4tbmSdIzhx6_m4wkOD7IG-k_eo/edit#gid=1336395716"", ""Science!M:N""), 2, FALSE)"),"Articulate the key differences between conductors and insulators in terms of their ability to conduct electricity.")</f>
        <v>Articulate the key differences between conductors and insulators in terms of their ability to conduct electricity.</v>
      </c>
      <c r="N64" s="2" t="str">
        <f t="shared" si="8"/>
        <v>LU005152.003</v>
      </c>
      <c r="O64" s="2" t="str">
        <f ca="1">IFERROR(__xludf.dummyfunction("VLOOKUP(N64, IMPORTRANGE(""https://docs.google.com/spreadsheets/d/1yDAaXNsi4Mr5FtRQL4tbmSdIzhx6_m4wkOD7IG-k_eo/edit#gid=1336395716"", ""Science!M:N""), 2, FALSE)"),"Classify given materials as conductors or insulators based on their properties.")</f>
        <v>Classify given materials as conductors or insulators based on their properties.</v>
      </c>
      <c r="P64" s="2" t="str">
        <f t="shared" si="9"/>
        <v>LU005152.004</v>
      </c>
      <c r="Q64" s="17" t="str">
        <f ca="1">IFERROR(__xludf.dummyfunction("VLOOKUP(P64, IMPORTRANGE(""https://docs.google.com/spreadsheets/d/1yDAaXNsi4Mr5FtRQL4tbmSdIzhx6_m4wkOD7IG-k_eo/edit#gid=1336395716"", ""Science!M:N""), 2, FALSE)"),"""Analyze the significance of conductors and insulators in everyday situations..""")</f>
        <v>"Analyze the significance of conductors and insulators in everyday situations.."</v>
      </c>
      <c r="R64" s="2" t="str">
        <f t="shared" si="10"/>
        <v>LU005152.005</v>
      </c>
      <c r="S64" s="17" t="str">
        <f ca="1">IFERROR(__xludf.dummyfunction("VLOOKUP(R64, IMPORTRANGE(""https://docs.google.com/spreadsheets/d/1yDAaXNsi4Mr5FtRQL4tbmSdIzhx6_m4wkOD7IG-k_eo/edit#gid=1336395716"", ""Science!M:N""), 2, FALSE)"),"Evaluate electrical systems, such as home wiring or electronic devices, in terms of efficiency and safety, considering the roles and choices of conductors and insulators used.")</f>
        <v>Evaluate electrical systems, such as home wiring or electronic devices, in terms of efficiency and safety, considering the roles and choices of conductors and insulators used.</v>
      </c>
      <c r="T64" s="2" t="str">
        <f t="shared" si="11"/>
        <v>LU005152.006</v>
      </c>
      <c r="U64" s="17" t="str">
        <f ca="1">IFERROR(__xludf.dummyfunction("VLOOKUP(T64, IMPORTRANGE(""https://docs.google.com/spreadsheets/d/1yDAaXNsi4Mr5FtRQL4tbmSdIzhx6_m4wkOD7IG-k_eo/edit#gid=1336395716"", ""Science!M:N""), 2, FALSE)"),"Design an experiment to test the conductivity of various materials.")</f>
        <v>Design an experiment to test the conductivity of various materials.</v>
      </c>
    </row>
    <row r="65" spans="5:8" ht="13.8">
      <c r="E65" s="1"/>
      <c r="F65" s="1"/>
      <c r="H65" s="1"/>
    </row>
    <row r="66" spans="5:8" ht="13.8">
      <c r="E66" s="1"/>
      <c r="F66" s="1"/>
      <c r="H66" s="1"/>
    </row>
    <row r="67" spans="5:8" ht="13.8">
      <c r="E67" s="1"/>
      <c r="F67" s="1"/>
      <c r="H67" s="1"/>
    </row>
    <row r="68" spans="5:8" ht="13.8">
      <c r="E68" s="1"/>
      <c r="F68" s="1"/>
      <c r="H68" s="1"/>
    </row>
    <row r="69" spans="5:8" ht="13.8">
      <c r="E69" s="1"/>
      <c r="F69" s="1"/>
      <c r="H69" s="1"/>
    </row>
    <row r="70" spans="5:8" ht="13.8">
      <c r="E70" s="1"/>
      <c r="F70" s="1"/>
      <c r="H70" s="1"/>
    </row>
    <row r="71" spans="5:8" ht="13.8">
      <c r="E71" s="1"/>
      <c r="F71" s="1"/>
      <c r="H71" s="1"/>
    </row>
    <row r="72" spans="5:8" ht="13.8">
      <c r="E72" s="1"/>
      <c r="F72" s="1"/>
      <c r="H72" s="1"/>
    </row>
    <row r="73" spans="5:8" ht="13.8">
      <c r="E73" s="1"/>
      <c r="F73" s="1"/>
      <c r="H73" s="1"/>
    </row>
    <row r="74" spans="5:8" ht="13.8">
      <c r="E74" s="1"/>
      <c r="F74" s="1"/>
      <c r="H74" s="1"/>
    </row>
    <row r="75" spans="5:8" ht="13.8">
      <c r="E75" s="1"/>
      <c r="F75" s="1"/>
      <c r="H75" s="1"/>
    </row>
    <row r="76" spans="5:8" ht="13.8">
      <c r="E76" s="1"/>
      <c r="F76" s="1"/>
      <c r="H76" s="1"/>
    </row>
    <row r="77" spans="5:8" ht="13.8">
      <c r="E77" s="1"/>
      <c r="F77" s="1"/>
      <c r="H77" s="1"/>
    </row>
    <row r="78" spans="5:8" ht="13.8">
      <c r="E78" s="1"/>
      <c r="F78" s="1"/>
      <c r="H78" s="1"/>
    </row>
    <row r="79" spans="5:8" ht="13.8">
      <c r="E79" s="1"/>
      <c r="F79" s="1"/>
      <c r="H79" s="1"/>
    </row>
    <row r="80" spans="5:8" ht="13.8">
      <c r="E80" s="1"/>
      <c r="F80" s="1"/>
      <c r="H80" s="1"/>
    </row>
    <row r="81" spans="5:8" ht="13.8">
      <c r="E81" s="1"/>
      <c r="F81" s="1"/>
      <c r="H81" s="1"/>
    </row>
    <row r="82" spans="5:8" ht="13.8">
      <c r="E82" s="1"/>
      <c r="F82" s="1"/>
      <c r="H82" s="1"/>
    </row>
    <row r="83" spans="5:8" ht="13.8">
      <c r="E83" s="1"/>
      <c r="F83" s="1"/>
      <c r="H83" s="1"/>
    </row>
    <row r="84" spans="5:8" ht="13.8">
      <c r="E84" s="1"/>
      <c r="F84" s="1"/>
      <c r="H84" s="1"/>
    </row>
    <row r="85" spans="5:8" ht="13.8">
      <c r="E85" s="1"/>
      <c r="F85" s="1"/>
      <c r="H85" s="1"/>
    </row>
    <row r="86" spans="5:8" ht="13.8">
      <c r="E86" s="1"/>
      <c r="F86" s="1"/>
      <c r="H86" s="1"/>
    </row>
    <row r="87" spans="5:8" ht="13.8">
      <c r="E87" s="1"/>
      <c r="F87" s="1"/>
      <c r="H87" s="1"/>
    </row>
    <row r="88" spans="5:8" ht="13.8">
      <c r="E88" s="1"/>
      <c r="F88" s="1"/>
      <c r="H88" s="1"/>
    </row>
    <row r="89" spans="5:8" ht="13.8">
      <c r="E89" s="1"/>
      <c r="F89" s="1"/>
      <c r="H89" s="1"/>
    </row>
    <row r="90" spans="5:8" ht="13.8">
      <c r="E90" s="1"/>
      <c r="F90" s="1"/>
      <c r="H90" s="1"/>
    </row>
    <row r="91" spans="5:8" ht="13.8">
      <c r="E91" s="1"/>
      <c r="F91" s="1"/>
      <c r="H91" s="1"/>
    </row>
    <row r="92" spans="5:8" ht="13.8">
      <c r="E92" s="1"/>
      <c r="F92" s="1"/>
      <c r="H92" s="1"/>
    </row>
    <row r="93" spans="5:8" ht="13.8">
      <c r="E93" s="1"/>
      <c r="F93" s="1"/>
      <c r="H93" s="1"/>
    </row>
    <row r="94" spans="5:8" ht="13.8">
      <c r="E94" s="1"/>
      <c r="F94" s="1"/>
      <c r="H94" s="1"/>
    </row>
    <row r="95" spans="5:8" ht="13.8">
      <c r="E95" s="1"/>
      <c r="F95" s="1"/>
      <c r="H95" s="1"/>
    </row>
    <row r="96" spans="5:8" ht="13.8">
      <c r="E96" s="1"/>
      <c r="F96" s="1"/>
      <c r="H96" s="1"/>
    </row>
    <row r="97" spans="5:8" ht="13.8">
      <c r="E97" s="1"/>
      <c r="F97" s="1"/>
      <c r="H97" s="1"/>
    </row>
    <row r="98" spans="5:8" ht="13.8">
      <c r="E98" s="1"/>
      <c r="F98" s="1"/>
      <c r="H98" s="1"/>
    </row>
    <row r="99" spans="5:8" ht="13.8">
      <c r="E99" s="1"/>
      <c r="F99" s="1"/>
      <c r="H99" s="1"/>
    </row>
    <row r="100" spans="5:8" ht="13.8">
      <c r="E100" s="1"/>
      <c r="F100" s="1"/>
      <c r="H100" s="1"/>
    </row>
    <row r="101" spans="5:8" ht="13.8">
      <c r="E101" s="1"/>
      <c r="F101" s="1"/>
      <c r="H101" s="1"/>
    </row>
    <row r="102" spans="5:8" ht="13.8">
      <c r="E102" s="1"/>
      <c r="F102" s="1"/>
      <c r="H102" s="1"/>
    </row>
    <row r="103" spans="5:8" ht="13.8">
      <c r="E103" s="1"/>
      <c r="F103" s="1"/>
      <c r="H103" s="1"/>
    </row>
    <row r="104" spans="5:8" ht="13.8">
      <c r="E104" s="1"/>
      <c r="F104" s="1"/>
      <c r="H104" s="1"/>
    </row>
    <row r="105" spans="5:8" ht="13.8">
      <c r="E105" s="1"/>
      <c r="F105" s="1"/>
      <c r="H105" s="1"/>
    </row>
    <row r="106" spans="5:8" ht="13.8">
      <c r="E106" s="1"/>
      <c r="F106" s="1"/>
      <c r="H106" s="1"/>
    </row>
    <row r="107" spans="5:8" ht="13.8">
      <c r="E107" s="1"/>
      <c r="F107" s="1"/>
      <c r="H107" s="1"/>
    </row>
    <row r="108" spans="5:8" ht="13.8">
      <c r="E108" s="1"/>
      <c r="F108" s="1"/>
      <c r="H108" s="1"/>
    </row>
    <row r="109" spans="5:8" ht="13.8">
      <c r="E109" s="1"/>
      <c r="F109" s="1"/>
      <c r="H109" s="1"/>
    </row>
    <row r="110" spans="5:8" ht="13.8">
      <c r="E110" s="1"/>
      <c r="F110" s="1"/>
      <c r="H110" s="1"/>
    </row>
    <row r="111" spans="5:8" ht="13.8">
      <c r="E111" s="1"/>
      <c r="F111" s="1"/>
      <c r="H111" s="1"/>
    </row>
    <row r="112" spans="5:8" ht="13.8">
      <c r="E112" s="1"/>
      <c r="F112" s="1"/>
      <c r="H112" s="1"/>
    </row>
    <row r="113" spans="5:8" ht="13.8">
      <c r="E113" s="1"/>
      <c r="F113" s="1"/>
      <c r="H113" s="1"/>
    </row>
    <row r="114" spans="5:8" ht="13.8">
      <c r="E114" s="1"/>
      <c r="F114" s="1"/>
      <c r="H114" s="1"/>
    </row>
    <row r="115" spans="5:8" ht="13.8">
      <c r="E115" s="1"/>
      <c r="F115" s="1"/>
      <c r="H115" s="1"/>
    </row>
    <row r="116" spans="5:8" ht="13.8">
      <c r="E116" s="1"/>
      <c r="F116" s="1"/>
      <c r="H116" s="1"/>
    </row>
    <row r="117" spans="5:8" ht="13.8">
      <c r="E117" s="1"/>
      <c r="F117" s="1"/>
      <c r="H117" s="1"/>
    </row>
    <row r="118" spans="5:8" ht="13.8">
      <c r="E118" s="1"/>
      <c r="F118" s="1"/>
      <c r="H118" s="1"/>
    </row>
    <row r="119" spans="5:8" ht="13.8">
      <c r="E119" s="1"/>
      <c r="F119" s="1"/>
      <c r="H119" s="1"/>
    </row>
    <row r="120" spans="5:8" ht="13.8">
      <c r="E120" s="1"/>
      <c r="F120" s="1"/>
      <c r="H120" s="1"/>
    </row>
    <row r="121" spans="5:8" ht="13.8">
      <c r="E121" s="1"/>
      <c r="F121" s="1"/>
      <c r="H121" s="1"/>
    </row>
    <row r="122" spans="5:8" ht="13.8">
      <c r="E122" s="1"/>
      <c r="F122" s="1"/>
      <c r="H122" s="1"/>
    </row>
    <row r="123" spans="5:8" ht="13.8">
      <c r="E123" s="1"/>
      <c r="F123" s="1"/>
      <c r="H123" s="1"/>
    </row>
    <row r="124" spans="5:8" ht="13.8">
      <c r="E124" s="1"/>
      <c r="F124" s="1"/>
      <c r="H124" s="1"/>
    </row>
    <row r="125" spans="5:8" ht="13.8">
      <c r="E125" s="1"/>
      <c r="F125" s="1"/>
      <c r="H125" s="1"/>
    </row>
    <row r="126" spans="5:8" ht="13.8">
      <c r="E126" s="1"/>
      <c r="F126" s="1"/>
      <c r="H126" s="1"/>
    </row>
    <row r="127" spans="5:8" ht="13.8">
      <c r="E127" s="1"/>
      <c r="F127" s="1"/>
      <c r="H127" s="1"/>
    </row>
    <row r="128" spans="5:8" ht="13.8">
      <c r="E128" s="1"/>
      <c r="F128" s="1"/>
      <c r="H128" s="1"/>
    </row>
    <row r="129" spans="5:8" ht="13.8">
      <c r="E129" s="1"/>
      <c r="F129" s="1"/>
      <c r="H129" s="1"/>
    </row>
    <row r="130" spans="5:8" ht="13.8">
      <c r="E130" s="1"/>
      <c r="F130" s="1"/>
      <c r="H130" s="1"/>
    </row>
    <row r="131" spans="5:8" ht="13.8">
      <c r="E131" s="1"/>
      <c r="F131" s="1"/>
      <c r="H131" s="1"/>
    </row>
    <row r="132" spans="5:8" ht="13.8">
      <c r="E132" s="1"/>
      <c r="F132" s="1"/>
      <c r="H132" s="1"/>
    </row>
    <row r="133" spans="5:8" ht="13.8">
      <c r="E133" s="1"/>
      <c r="F133" s="1"/>
      <c r="H133" s="1"/>
    </row>
    <row r="134" spans="5:8" ht="13.8">
      <c r="E134" s="1"/>
      <c r="F134" s="1"/>
      <c r="H134" s="1"/>
    </row>
    <row r="135" spans="5:8" ht="13.8">
      <c r="E135" s="1"/>
      <c r="F135" s="1"/>
      <c r="H135" s="1"/>
    </row>
    <row r="136" spans="5:8" ht="13.8">
      <c r="E136" s="1"/>
      <c r="F136" s="1"/>
      <c r="H136" s="1"/>
    </row>
    <row r="137" spans="5:8" ht="13.8">
      <c r="E137" s="1"/>
      <c r="F137" s="1"/>
      <c r="H137" s="1"/>
    </row>
    <row r="138" spans="5:8" ht="13.8">
      <c r="E138" s="1"/>
      <c r="F138" s="1"/>
      <c r="H138" s="1"/>
    </row>
    <row r="139" spans="5:8" ht="13.8">
      <c r="E139" s="1"/>
      <c r="F139" s="1"/>
      <c r="H139" s="1"/>
    </row>
    <row r="140" spans="5:8" ht="13.8">
      <c r="E140" s="1"/>
      <c r="F140" s="1"/>
      <c r="H140" s="1"/>
    </row>
    <row r="141" spans="5:8" ht="13.8">
      <c r="E141" s="1"/>
      <c r="F141" s="1"/>
      <c r="H141" s="1"/>
    </row>
    <row r="142" spans="5:8" ht="13.8">
      <c r="E142" s="1"/>
      <c r="F142" s="1"/>
      <c r="H142" s="1"/>
    </row>
    <row r="143" spans="5:8" ht="13.8">
      <c r="E143" s="1"/>
      <c r="F143" s="1"/>
      <c r="H143" s="1"/>
    </row>
    <row r="144" spans="5:8" ht="13.8">
      <c r="E144" s="1"/>
      <c r="F144" s="1"/>
      <c r="H144" s="1"/>
    </row>
    <row r="145" spans="5:8" ht="13.8">
      <c r="E145" s="1"/>
      <c r="F145" s="1"/>
      <c r="H145" s="1"/>
    </row>
    <row r="146" spans="5:8" ht="13.8">
      <c r="E146" s="1"/>
      <c r="F146" s="1"/>
      <c r="H146" s="1"/>
    </row>
    <row r="147" spans="5:8" ht="13.8">
      <c r="E147" s="1"/>
      <c r="F147" s="1"/>
      <c r="H147" s="1"/>
    </row>
    <row r="148" spans="5:8" ht="13.8">
      <c r="E148" s="1"/>
      <c r="F148" s="1"/>
      <c r="H148" s="1"/>
    </row>
    <row r="149" spans="5:8" ht="13.8">
      <c r="E149" s="1"/>
      <c r="F149" s="1"/>
      <c r="H149" s="1"/>
    </row>
    <row r="150" spans="5:8" ht="13.8">
      <c r="E150" s="1"/>
      <c r="F150" s="1"/>
      <c r="H150" s="1"/>
    </row>
    <row r="151" spans="5:8" ht="13.8">
      <c r="E151" s="1"/>
      <c r="F151" s="1"/>
      <c r="H151" s="1"/>
    </row>
    <row r="152" spans="5:8" ht="13.8">
      <c r="E152" s="1"/>
      <c r="F152" s="1"/>
      <c r="H152" s="1"/>
    </row>
    <row r="153" spans="5:8" ht="13.8">
      <c r="E153" s="1"/>
      <c r="F153" s="1"/>
      <c r="H153" s="1"/>
    </row>
    <row r="154" spans="5:8" ht="13.8">
      <c r="E154" s="1"/>
      <c r="F154" s="1"/>
      <c r="H154" s="1"/>
    </row>
    <row r="155" spans="5:8" ht="13.8">
      <c r="E155" s="1"/>
      <c r="F155" s="1"/>
      <c r="H155" s="1"/>
    </row>
    <row r="156" spans="5:8" ht="13.8">
      <c r="E156" s="1"/>
      <c r="F156" s="1"/>
      <c r="H156" s="1"/>
    </row>
    <row r="157" spans="5:8" ht="13.8">
      <c r="E157" s="1"/>
      <c r="F157" s="1"/>
      <c r="H157" s="1"/>
    </row>
    <row r="158" spans="5:8" ht="13.8">
      <c r="E158" s="1"/>
      <c r="F158" s="1"/>
      <c r="H158" s="1"/>
    </row>
    <row r="159" spans="5:8" ht="13.8">
      <c r="E159" s="1"/>
      <c r="F159" s="1"/>
      <c r="H159" s="1"/>
    </row>
    <row r="160" spans="5:8" ht="13.8">
      <c r="E160" s="1"/>
      <c r="F160" s="1"/>
      <c r="H160" s="1"/>
    </row>
    <row r="161" spans="5:8" ht="13.8">
      <c r="E161" s="1"/>
      <c r="F161" s="1"/>
      <c r="H161" s="1"/>
    </row>
    <row r="162" spans="5:8" ht="13.8">
      <c r="E162" s="1"/>
      <c r="F162" s="1"/>
      <c r="H162" s="1"/>
    </row>
    <row r="163" spans="5:8" ht="13.8">
      <c r="E163" s="1"/>
      <c r="F163" s="1"/>
      <c r="H163" s="1"/>
    </row>
    <row r="164" spans="5:8" ht="13.8">
      <c r="E164" s="1"/>
      <c r="F164" s="1"/>
      <c r="H164" s="1"/>
    </row>
    <row r="165" spans="5:8" ht="13.8">
      <c r="E165" s="1"/>
      <c r="F165" s="1"/>
      <c r="H165" s="1"/>
    </row>
    <row r="166" spans="5:8" ht="13.8">
      <c r="E166" s="1"/>
      <c r="F166" s="1"/>
      <c r="H166" s="1"/>
    </row>
    <row r="167" spans="5:8" ht="13.8">
      <c r="E167" s="1"/>
      <c r="F167" s="1"/>
      <c r="H167" s="1"/>
    </row>
    <row r="168" spans="5:8" ht="13.8">
      <c r="E168" s="1"/>
      <c r="F168" s="1"/>
      <c r="H168" s="1"/>
    </row>
    <row r="169" spans="5:8" ht="13.8">
      <c r="E169" s="1"/>
      <c r="F169" s="1"/>
      <c r="H169" s="1"/>
    </row>
    <row r="170" spans="5:8" ht="13.8">
      <c r="E170" s="1"/>
      <c r="F170" s="1"/>
      <c r="H170" s="1"/>
    </row>
    <row r="171" spans="5:8" ht="13.8">
      <c r="E171" s="1"/>
      <c r="F171" s="1"/>
      <c r="H171" s="1"/>
    </row>
    <row r="172" spans="5:8" ht="13.8">
      <c r="E172" s="1"/>
      <c r="F172" s="1"/>
      <c r="H172" s="1"/>
    </row>
    <row r="173" spans="5:8" ht="13.8">
      <c r="E173" s="1"/>
      <c r="F173" s="1"/>
      <c r="H173" s="1"/>
    </row>
    <row r="174" spans="5:8" ht="13.8">
      <c r="E174" s="1"/>
      <c r="F174" s="1"/>
      <c r="H174" s="1"/>
    </row>
    <row r="175" spans="5:8" ht="13.8">
      <c r="E175" s="1"/>
      <c r="F175" s="1"/>
      <c r="H175" s="1"/>
    </row>
    <row r="176" spans="5:8" ht="13.8">
      <c r="E176" s="1"/>
      <c r="F176" s="1"/>
      <c r="H176" s="1"/>
    </row>
    <row r="177" spans="5:8" ht="13.8">
      <c r="E177" s="1"/>
      <c r="F177" s="1"/>
      <c r="H177" s="1"/>
    </row>
    <row r="178" spans="5:8" ht="13.8">
      <c r="E178" s="1"/>
      <c r="F178" s="1"/>
      <c r="H178" s="1"/>
    </row>
    <row r="179" spans="5:8" ht="13.8">
      <c r="E179" s="1"/>
      <c r="F179" s="1"/>
      <c r="H179" s="1"/>
    </row>
    <row r="180" spans="5:8" ht="13.8">
      <c r="E180" s="1"/>
      <c r="F180" s="1"/>
      <c r="H180" s="1"/>
    </row>
    <row r="181" spans="5:8" ht="13.8">
      <c r="E181" s="1"/>
      <c r="F181" s="1"/>
      <c r="H181" s="1"/>
    </row>
    <row r="182" spans="5:8" ht="13.8">
      <c r="E182" s="1"/>
      <c r="F182" s="1"/>
      <c r="H182" s="1"/>
    </row>
    <row r="183" spans="5:8" ht="13.8">
      <c r="E183" s="1"/>
      <c r="F183" s="1"/>
      <c r="H183" s="1"/>
    </row>
    <row r="184" spans="5:8" ht="13.8">
      <c r="E184" s="1"/>
      <c r="F184" s="1"/>
      <c r="H184" s="1"/>
    </row>
    <row r="185" spans="5:8" ht="13.8">
      <c r="E185" s="1"/>
      <c r="F185" s="1"/>
      <c r="H185" s="1"/>
    </row>
    <row r="186" spans="5:8" ht="13.8">
      <c r="E186" s="1"/>
      <c r="F186" s="1"/>
      <c r="H186" s="1"/>
    </row>
    <row r="187" spans="5:8" ht="13.8">
      <c r="E187" s="1"/>
      <c r="F187" s="1"/>
      <c r="H187" s="1"/>
    </row>
    <row r="188" spans="5:8" ht="13.8">
      <c r="E188" s="1"/>
      <c r="F188" s="1"/>
      <c r="H188" s="1"/>
    </row>
    <row r="189" spans="5:8" ht="13.8">
      <c r="E189" s="1"/>
      <c r="F189" s="1"/>
      <c r="H189" s="1"/>
    </row>
    <row r="190" spans="5:8" ht="13.8">
      <c r="E190" s="1"/>
      <c r="F190" s="1"/>
      <c r="H190" s="1"/>
    </row>
    <row r="191" spans="5:8" ht="13.8">
      <c r="E191" s="1"/>
      <c r="F191" s="1"/>
      <c r="H191" s="1"/>
    </row>
    <row r="192" spans="5:8" ht="13.8">
      <c r="E192" s="1"/>
      <c r="F192" s="1"/>
      <c r="H192" s="1"/>
    </row>
    <row r="193" spans="5:8" ht="13.8">
      <c r="E193" s="1"/>
      <c r="F193" s="1"/>
      <c r="H193" s="1"/>
    </row>
    <row r="194" spans="5:8" ht="13.8">
      <c r="E194" s="1"/>
      <c r="F194" s="1"/>
      <c r="H194" s="1"/>
    </row>
    <row r="195" spans="5:8" ht="13.8">
      <c r="E195" s="1"/>
      <c r="F195" s="1"/>
      <c r="H195" s="1"/>
    </row>
    <row r="196" spans="5:8" ht="13.8">
      <c r="E196" s="1"/>
      <c r="F196" s="1"/>
      <c r="H196" s="1"/>
    </row>
    <row r="197" spans="5:8" ht="13.8">
      <c r="E197" s="1"/>
      <c r="F197" s="1"/>
      <c r="H197" s="1"/>
    </row>
    <row r="198" spans="5:8" ht="13.8">
      <c r="E198" s="1"/>
      <c r="F198" s="1"/>
      <c r="H198" s="1"/>
    </row>
    <row r="199" spans="5:8" ht="13.8">
      <c r="E199" s="1"/>
      <c r="F199" s="1"/>
      <c r="H199" s="1"/>
    </row>
    <row r="200" spans="5:8" ht="13.8">
      <c r="E200" s="1"/>
      <c r="F200" s="1"/>
      <c r="H200" s="1"/>
    </row>
    <row r="201" spans="5:8" ht="13.8">
      <c r="E201" s="1"/>
      <c r="F201" s="1"/>
      <c r="H201" s="1"/>
    </row>
    <row r="202" spans="5:8" ht="13.8">
      <c r="E202" s="1"/>
      <c r="F202" s="1"/>
      <c r="H202" s="1"/>
    </row>
    <row r="203" spans="5:8" ht="13.8">
      <c r="E203" s="1"/>
      <c r="F203" s="1"/>
      <c r="H203" s="1"/>
    </row>
    <row r="204" spans="5:8" ht="13.8">
      <c r="E204" s="1"/>
      <c r="F204" s="1"/>
      <c r="H204" s="1"/>
    </row>
    <row r="205" spans="5:8" ht="13.8">
      <c r="E205" s="1"/>
      <c r="F205" s="1"/>
      <c r="H205" s="1"/>
    </row>
    <row r="206" spans="5:8" ht="13.8">
      <c r="E206" s="1"/>
      <c r="F206" s="1"/>
      <c r="H206" s="1"/>
    </row>
    <row r="207" spans="5:8" ht="13.8">
      <c r="E207" s="1"/>
      <c r="F207" s="1"/>
      <c r="H207" s="1"/>
    </row>
    <row r="208" spans="5:8" ht="13.8">
      <c r="E208" s="1"/>
      <c r="F208" s="1"/>
      <c r="H208" s="1"/>
    </row>
    <row r="209" spans="5:8" ht="13.8">
      <c r="E209" s="1"/>
      <c r="F209" s="1"/>
      <c r="H209" s="1"/>
    </row>
    <row r="210" spans="5:8" ht="13.8">
      <c r="E210" s="1"/>
      <c r="F210" s="1"/>
      <c r="H210" s="1"/>
    </row>
    <row r="211" spans="5:8" ht="13.8">
      <c r="E211" s="1"/>
      <c r="F211" s="1"/>
      <c r="H211" s="1"/>
    </row>
    <row r="212" spans="5:8" ht="13.8">
      <c r="E212" s="1"/>
      <c r="F212" s="1"/>
      <c r="H212" s="1"/>
    </row>
    <row r="213" spans="5:8" ht="13.8">
      <c r="E213" s="1"/>
      <c r="F213" s="1"/>
      <c r="H213" s="1"/>
    </row>
    <row r="214" spans="5:8" ht="13.8">
      <c r="E214" s="1"/>
      <c r="F214" s="1"/>
      <c r="H214" s="1"/>
    </row>
    <row r="215" spans="5:8" ht="13.8">
      <c r="E215" s="1"/>
      <c r="F215" s="1"/>
      <c r="H215" s="1"/>
    </row>
    <row r="216" spans="5:8" ht="13.8">
      <c r="E216" s="1"/>
      <c r="F216" s="1"/>
      <c r="H216" s="1"/>
    </row>
    <row r="217" spans="5:8" ht="13.8">
      <c r="E217" s="1"/>
      <c r="F217" s="1"/>
      <c r="H217" s="1"/>
    </row>
    <row r="218" spans="5:8" ht="13.8">
      <c r="E218" s="1"/>
      <c r="F218" s="1"/>
      <c r="H218" s="1"/>
    </row>
    <row r="219" spans="5:8" ht="13.8">
      <c r="E219" s="1"/>
      <c r="F219" s="1"/>
      <c r="H219" s="1"/>
    </row>
    <row r="220" spans="5:8" ht="13.8">
      <c r="E220" s="1"/>
      <c r="F220" s="1"/>
      <c r="H220" s="1"/>
    </row>
    <row r="221" spans="5:8" ht="13.8">
      <c r="E221" s="1"/>
      <c r="F221" s="1"/>
      <c r="H221" s="1"/>
    </row>
    <row r="222" spans="5:8" ht="13.8">
      <c r="E222" s="1"/>
      <c r="F222" s="1"/>
      <c r="H222" s="1"/>
    </row>
    <row r="223" spans="5:8" ht="13.8">
      <c r="E223" s="1"/>
      <c r="F223" s="1"/>
      <c r="H223" s="1"/>
    </row>
    <row r="224" spans="5:8" ht="13.8">
      <c r="E224" s="1"/>
      <c r="F224" s="1"/>
      <c r="H224" s="1"/>
    </row>
    <row r="225" spans="5:8" ht="13.8">
      <c r="E225" s="1"/>
      <c r="F225" s="1"/>
      <c r="H225" s="1"/>
    </row>
    <row r="226" spans="5:8" ht="13.8">
      <c r="E226" s="1"/>
      <c r="F226" s="1"/>
      <c r="H226" s="1"/>
    </row>
    <row r="227" spans="5:8" ht="13.8">
      <c r="E227" s="1"/>
      <c r="F227" s="1"/>
      <c r="H227" s="1"/>
    </row>
    <row r="228" spans="5:8" ht="13.8">
      <c r="E228" s="1"/>
      <c r="F228" s="1"/>
      <c r="H228" s="1"/>
    </row>
    <row r="229" spans="5:8" ht="13.8">
      <c r="E229" s="1"/>
      <c r="F229" s="1"/>
      <c r="H229" s="1"/>
    </row>
    <row r="230" spans="5:8" ht="13.8">
      <c r="E230" s="1"/>
      <c r="F230" s="1"/>
      <c r="H230" s="1"/>
    </row>
    <row r="231" spans="5:8" ht="13.8">
      <c r="E231" s="1"/>
      <c r="F231" s="1"/>
      <c r="H231" s="1"/>
    </row>
    <row r="232" spans="5:8" ht="13.8">
      <c r="E232" s="1"/>
      <c r="F232" s="1"/>
      <c r="H232" s="1"/>
    </row>
    <row r="233" spans="5:8" ht="13.8">
      <c r="E233" s="1"/>
      <c r="F233" s="1"/>
      <c r="H233" s="1"/>
    </row>
    <row r="234" spans="5:8" ht="13.8">
      <c r="E234" s="1"/>
      <c r="F234" s="1"/>
      <c r="H234" s="1"/>
    </row>
    <row r="235" spans="5:8" ht="13.8">
      <c r="E235" s="1"/>
      <c r="F235" s="1"/>
      <c r="H235" s="1"/>
    </row>
    <row r="236" spans="5:8" ht="13.8">
      <c r="E236" s="1"/>
      <c r="F236" s="1"/>
      <c r="H236" s="1"/>
    </row>
    <row r="237" spans="5:8" ht="13.8">
      <c r="E237" s="1"/>
      <c r="F237" s="1"/>
      <c r="H237" s="1"/>
    </row>
    <row r="238" spans="5:8" ht="13.8">
      <c r="E238" s="1"/>
      <c r="F238" s="1"/>
      <c r="H238" s="1"/>
    </row>
    <row r="239" spans="5:8" ht="13.8">
      <c r="E239" s="1"/>
      <c r="F239" s="1"/>
      <c r="H239" s="1"/>
    </row>
    <row r="240" spans="5:8" ht="13.8">
      <c r="E240" s="1"/>
      <c r="F240" s="1"/>
      <c r="H240" s="1"/>
    </row>
    <row r="241" spans="5:8" ht="13.8">
      <c r="E241" s="1"/>
      <c r="F241" s="1"/>
      <c r="H241" s="1"/>
    </row>
    <row r="242" spans="5:8" ht="13.8">
      <c r="E242" s="1"/>
      <c r="F242" s="1"/>
      <c r="H242" s="1"/>
    </row>
    <row r="243" spans="5:8" ht="13.8">
      <c r="E243" s="1"/>
      <c r="F243" s="1"/>
      <c r="H243" s="1"/>
    </row>
    <row r="244" spans="5:8" ht="13.8">
      <c r="E244" s="1"/>
      <c r="F244" s="1"/>
      <c r="H244" s="1"/>
    </row>
    <row r="245" spans="5:8" ht="13.8">
      <c r="E245" s="1"/>
      <c r="F245" s="1"/>
      <c r="H245" s="1"/>
    </row>
    <row r="246" spans="5:8" ht="13.8">
      <c r="E246" s="1"/>
      <c r="F246" s="1"/>
      <c r="H246" s="1"/>
    </row>
    <row r="247" spans="5:8" ht="13.8">
      <c r="E247" s="1"/>
      <c r="F247" s="1"/>
      <c r="H247" s="1"/>
    </row>
    <row r="248" spans="5:8" ht="13.8">
      <c r="E248" s="1"/>
      <c r="F248" s="1"/>
      <c r="H248" s="1"/>
    </row>
    <row r="249" spans="5:8" ht="13.8">
      <c r="E249" s="1"/>
      <c r="F249" s="1"/>
      <c r="H249" s="1"/>
    </row>
    <row r="250" spans="5:8" ht="13.8">
      <c r="E250" s="1"/>
      <c r="F250" s="1"/>
      <c r="H250" s="1"/>
    </row>
    <row r="251" spans="5:8" ht="13.8">
      <c r="E251" s="1"/>
      <c r="F251" s="1"/>
      <c r="H251" s="1"/>
    </row>
    <row r="252" spans="5:8" ht="13.8">
      <c r="E252" s="1"/>
      <c r="F252" s="1"/>
      <c r="H252" s="1"/>
    </row>
    <row r="253" spans="5:8" ht="13.8">
      <c r="E253" s="1"/>
      <c r="F253" s="1"/>
      <c r="H253" s="1"/>
    </row>
    <row r="254" spans="5:8" ht="13.8">
      <c r="E254" s="1"/>
      <c r="F254" s="1"/>
      <c r="H254" s="1"/>
    </row>
    <row r="255" spans="5:8" ht="13.8">
      <c r="E255" s="1"/>
      <c r="F255" s="1"/>
      <c r="H255" s="1"/>
    </row>
    <row r="256" spans="5:8" ht="13.8">
      <c r="E256" s="1"/>
      <c r="F256" s="1"/>
      <c r="H256" s="1"/>
    </row>
    <row r="257" spans="5:8" ht="13.8">
      <c r="E257" s="1"/>
      <c r="F257" s="1"/>
      <c r="H257" s="1"/>
    </row>
    <row r="258" spans="5:8" ht="13.8">
      <c r="E258" s="1"/>
      <c r="F258" s="1"/>
      <c r="H258" s="1"/>
    </row>
    <row r="259" spans="5:8" ht="13.8">
      <c r="E259" s="1"/>
      <c r="F259" s="1"/>
      <c r="H259" s="1"/>
    </row>
    <row r="260" spans="5:8" ht="13.8">
      <c r="E260" s="1"/>
      <c r="F260" s="1"/>
      <c r="H260" s="1"/>
    </row>
    <row r="261" spans="5:8" ht="13.8">
      <c r="E261" s="1"/>
      <c r="F261" s="1"/>
      <c r="H261" s="1"/>
    </row>
    <row r="262" spans="5:8" ht="13.8">
      <c r="E262" s="1"/>
      <c r="F262" s="1"/>
      <c r="H262" s="1"/>
    </row>
    <row r="263" spans="5:8" ht="13.8">
      <c r="E263" s="1"/>
      <c r="F263" s="1"/>
      <c r="H263" s="1"/>
    </row>
    <row r="264" spans="5:8" ht="13.8">
      <c r="E264" s="1"/>
      <c r="F264" s="1"/>
      <c r="H264" s="1"/>
    </row>
    <row r="265" spans="5:8" ht="13.8">
      <c r="E265" s="1"/>
      <c r="F265" s="1"/>
      <c r="H265" s="1"/>
    </row>
    <row r="266" spans="5:8" ht="13.8">
      <c r="E266" s="1"/>
      <c r="F266" s="1"/>
      <c r="H266" s="1"/>
    </row>
    <row r="267" spans="5:8" ht="13.8">
      <c r="E267" s="1"/>
      <c r="F267" s="1"/>
      <c r="H267" s="1"/>
    </row>
    <row r="268" spans="5:8" ht="13.8">
      <c r="E268" s="1"/>
      <c r="F268" s="1"/>
      <c r="H268" s="1"/>
    </row>
    <row r="269" spans="5:8" ht="13.8">
      <c r="E269" s="1"/>
      <c r="F269" s="1"/>
      <c r="H269" s="1"/>
    </row>
    <row r="270" spans="5:8" ht="13.8">
      <c r="E270" s="1"/>
      <c r="F270" s="1"/>
      <c r="H270" s="1"/>
    </row>
    <row r="271" spans="5:8" ht="13.8">
      <c r="E271" s="1"/>
      <c r="F271" s="1"/>
      <c r="H271" s="1"/>
    </row>
    <row r="272" spans="5:8" ht="13.8">
      <c r="E272" s="1"/>
      <c r="F272" s="1"/>
      <c r="H272" s="1"/>
    </row>
    <row r="273" spans="5:8" ht="13.8">
      <c r="E273" s="1"/>
      <c r="F273" s="1"/>
      <c r="H273" s="1"/>
    </row>
    <row r="274" spans="5:8" ht="13.8">
      <c r="E274" s="1"/>
      <c r="F274" s="1"/>
      <c r="H274" s="1"/>
    </row>
    <row r="275" spans="5:8" ht="13.8">
      <c r="E275" s="1"/>
      <c r="F275" s="1"/>
      <c r="H275" s="1"/>
    </row>
    <row r="276" spans="5:8" ht="13.8">
      <c r="E276" s="1"/>
      <c r="F276" s="1"/>
      <c r="H276" s="1"/>
    </row>
    <row r="277" spans="5:8" ht="13.8">
      <c r="E277" s="1"/>
      <c r="F277" s="1"/>
      <c r="H277" s="1"/>
    </row>
    <row r="278" spans="5:8" ht="13.8">
      <c r="E278" s="1"/>
      <c r="F278" s="1"/>
      <c r="H278" s="1"/>
    </row>
    <row r="279" spans="5:8" ht="13.8">
      <c r="E279" s="1"/>
      <c r="F279" s="1"/>
      <c r="H279" s="1"/>
    </row>
    <row r="280" spans="5:8" ht="13.8">
      <c r="E280" s="1"/>
      <c r="F280" s="1"/>
      <c r="H280" s="1"/>
    </row>
    <row r="281" spans="5:8" ht="13.8">
      <c r="E281" s="1"/>
      <c r="F281" s="1"/>
      <c r="H281" s="1"/>
    </row>
    <row r="282" spans="5:8" ht="13.8">
      <c r="E282" s="1"/>
      <c r="F282" s="1"/>
      <c r="H282" s="1"/>
    </row>
    <row r="283" spans="5:8" ht="13.8">
      <c r="E283" s="1"/>
      <c r="F283" s="1"/>
      <c r="H283" s="1"/>
    </row>
    <row r="284" spans="5:8" ht="13.8">
      <c r="E284" s="1"/>
      <c r="F284" s="1"/>
      <c r="H284" s="1"/>
    </row>
    <row r="285" spans="5:8" ht="13.8">
      <c r="E285" s="1"/>
      <c r="F285" s="1"/>
      <c r="H285" s="1"/>
    </row>
    <row r="286" spans="5:8" ht="13.8">
      <c r="E286" s="1"/>
      <c r="F286" s="1"/>
      <c r="H286" s="1"/>
    </row>
    <row r="287" spans="5:8" ht="13.8">
      <c r="E287" s="1"/>
      <c r="F287" s="1"/>
      <c r="H287" s="1"/>
    </row>
    <row r="288" spans="5:8" ht="13.8">
      <c r="E288" s="1"/>
      <c r="F288" s="1"/>
      <c r="H288" s="1"/>
    </row>
    <row r="289" spans="5:8" ht="13.8">
      <c r="E289" s="1"/>
      <c r="F289" s="1"/>
      <c r="H289" s="1"/>
    </row>
    <row r="290" spans="5:8" ht="13.8">
      <c r="E290" s="1"/>
      <c r="F290" s="1"/>
      <c r="H290" s="1"/>
    </row>
    <row r="291" spans="5:8" ht="13.8">
      <c r="E291" s="1"/>
      <c r="F291" s="1"/>
      <c r="H291" s="1"/>
    </row>
    <row r="292" spans="5:8" ht="13.8">
      <c r="E292" s="1"/>
      <c r="F292" s="1"/>
      <c r="H292" s="1"/>
    </row>
    <row r="293" spans="5:8" ht="13.8">
      <c r="E293" s="1"/>
      <c r="F293" s="1"/>
      <c r="H293" s="1"/>
    </row>
    <row r="294" spans="5:8" ht="13.8">
      <c r="E294" s="1"/>
      <c r="F294" s="1"/>
      <c r="H294" s="1"/>
    </row>
    <row r="295" spans="5:8" ht="13.8">
      <c r="E295" s="1"/>
      <c r="F295" s="1"/>
      <c r="H295" s="1"/>
    </row>
    <row r="296" spans="5:8" ht="13.8">
      <c r="E296" s="1"/>
      <c r="F296" s="1"/>
      <c r="H296" s="1"/>
    </row>
    <row r="297" spans="5:8" ht="13.8">
      <c r="E297" s="1"/>
      <c r="F297" s="1"/>
      <c r="H297" s="1"/>
    </row>
    <row r="298" spans="5:8" ht="13.8">
      <c r="E298" s="1"/>
      <c r="F298" s="1"/>
      <c r="H298" s="1"/>
    </row>
    <row r="299" spans="5:8" ht="13.8">
      <c r="E299" s="1"/>
      <c r="F299" s="1"/>
      <c r="H299" s="1"/>
    </row>
    <row r="300" spans="5:8" ht="13.8">
      <c r="E300" s="1"/>
      <c r="F300" s="1"/>
      <c r="H300" s="1"/>
    </row>
    <row r="301" spans="5:8" ht="13.8">
      <c r="E301" s="1"/>
      <c r="F301" s="1"/>
      <c r="H301" s="1"/>
    </row>
    <row r="302" spans="5:8" ht="13.8">
      <c r="E302" s="1"/>
      <c r="F302" s="1"/>
      <c r="H302" s="1"/>
    </row>
    <row r="303" spans="5:8" ht="13.8">
      <c r="E303" s="1"/>
      <c r="F303" s="1"/>
      <c r="H303" s="1"/>
    </row>
    <row r="304" spans="5:8" ht="13.8">
      <c r="E304" s="1"/>
      <c r="F304" s="1"/>
      <c r="H304" s="1"/>
    </row>
    <row r="305" spans="5:8" ht="13.8">
      <c r="E305" s="1"/>
      <c r="F305" s="1"/>
      <c r="H305" s="1"/>
    </row>
    <row r="306" spans="5:8" ht="13.8">
      <c r="E306" s="1"/>
      <c r="F306" s="1"/>
      <c r="H306" s="1"/>
    </row>
    <row r="307" spans="5:8" ht="13.8">
      <c r="E307" s="1"/>
      <c r="F307" s="1"/>
      <c r="H307" s="1"/>
    </row>
    <row r="308" spans="5:8" ht="13.8">
      <c r="E308" s="1"/>
      <c r="F308" s="1"/>
      <c r="H308" s="1"/>
    </row>
    <row r="309" spans="5:8" ht="13.8">
      <c r="E309" s="1"/>
      <c r="F309" s="1"/>
      <c r="H309" s="1"/>
    </row>
    <row r="310" spans="5:8" ht="13.8">
      <c r="E310" s="1"/>
      <c r="F310" s="1"/>
      <c r="H310" s="1"/>
    </row>
    <row r="311" spans="5:8" ht="13.8">
      <c r="E311" s="1"/>
      <c r="F311" s="1"/>
      <c r="H311" s="1"/>
    </row>
    <row r="312" spans="5:8" ht="13.8">
      <c r="E312" s="1"/>
      <c r="F312" s="1"/>
      <c r="H312" s="1"/>
    </row>
    <row r="313" spans="5:8" ht="13.8">
      <c r="E313" s="1"/>
      <c r="F313" s="1"/>
      <c r="H313" s="1"/>
    </row>
    <row r="314" spans="5:8" ht="13.8">
      <c r="E314" s="1"/>
      <c r="F314" s="1"/>
      <c r="H314" s="1"/>
    </row>
    <row r="315" spans="5:8" ht="13.8">
      <c r="E315" s="1"/>
      <c r="F315" s="1"/>
      <c r="H315" s="1"/>
    </row>
    <row r="316" spans="5:8" ht="13.8">
      <c r="E316" s="1"/>
      <c r="F316" s="1"/>
      <c r="H316" s="1"/>
    </row>
    <row r="317" spans="5:8" ht="13.8">
      <c r="E317" s="1"/>
      <c r="F317" s="1"/>
      <c r="H317" s="1"/>
    </row>
    <row r="318" spans="5:8" ht="13.8">
      <c r="E318" s="1"/>
      <c r="F318" s="1"/>
      <c r="H318" s="1"/>
    </row>
    <row r="319" spans="5:8" ht="13.8">
      <c r="E319" s="1"/>
      <c r="F319" s="1"/>
      <c r="H319" s="1"/>
    </row>
    <row r="320" spans="5:8" ht="13.8">
      <c r="E320" s="1"/>
      <c r="F320" s="1"/>
      <c r="H320" s="1"/>
    </row>
    <row r="321" spans="5:8" ht="13.8">
      <c r="E321" s="1"/>
      <c r="F321" s="1"/>
      <c r="H321" s="1"/>
    </row>
    <row r="322" spans="5:8" ht="13.8">
      <c r="E322" s="1"/>
      <c r="F322" s="1"/>
      <c r="H322" s="1"/>
    </row>
    <row r="323" spans="5:8" ht="13.8">
      <c r="E323" s="1"/>
      <c r="F323" s="1"/>
      <c r="H323" s="1"/>
    </row>
    <row r="324" spans="5:8" ht="13.8">
      <c r="E324" s="1"/>
      <c r="F324" s="1"/>
      <c r="H324" s="1"/>
    </row>
    <row r="325" spans="5:8" ht="13.8">
      <c r="E325" s="1"/>
      <c r="F325" s="1"/>
      <c r="H325" s="1"/>
    </row>
    <row r="326" spans="5:8" ht="13.8">
      <c r="E326" s="1"/>
      <c r="F326" s="1"/>
      <c r="H326" s="1"/>
    </row>
    <row r="327" spans="5:8" ht="13.8">
      <c r="E327" s="1"/>
      <c r="F327" s="1"/>
      <c r="H327" s="1"/>
    </row>
    <row r="328" spans="5:8" ht="13.8">
      <c r="E328" s="1"/>
      <c r="F328" s="1"/>
      <c r="H328" s="1"/>
    </row>
    <row r="329" spans="5:8" ht="13.8">
      <c r="E329" s="1"/>
      <c r="F329" s="1"/>
      <c r="H329" s="1"/>
    </row>
    <row r="330" spans="5:8" ht="13.8">
      <c r="E330" s="1"/>
      <c r="F330" s="1"/>
      <c r="H330" s="1"/>
    </row>
    <row r="331" spans="5:8" ht="13.8">
      <c r="E331" s="1"/>
      <c r="F331" s="1"/>
      <c r="H331" s="1"/>
    </row>
    <row r="332" spans="5:8" ht="13.8">
      <c r="E332" s="1"/>
      <c r="F332" s="1"/>
      <c r="H332" s="1"/>
    </row>
    <row r="333" spans="5:8" ht="13.8">
      <c r="E333" s="1"/>
      <c r="F333" s="1"/>
      <c r="H333" s="1"/>
    </row>
    <row r="334" spans="5:8" ht="13.8">
      <c r="E334" s="1"/>
      <c r="F334" s="1"/>
      <c r="H334" s="1"/>
    </row>
    <row r="335" spans="5:8" ht="13.8">
      <c r="E335" s="1"/>
      <c r="F335" s="1"/>
      <c r="H335" s="1"/>
    </row>
    <row r="336" spans="5:8" ht="13.8">
      <c r="E336" s="1"/>
      <c r="F336" s="1"/>
      <c r="H336" s="1"/>
    </row>
    <row r="337" spans="5:8" ht="13.8">
      <c r="E337" s="1"/>
      <c r="F337" s="1"/>
      <c r="H337" s="1"/>
    </row>
    <row r="338" spans="5:8" ht="13.8">
      <c r="E338" s="1"/>
      <c r="F338" s="1"/>
      <c r="H338" s="1"/>
    </row>
    <row r="339" spans="5:8" ht="13.8">
      <c r="E339" s="1"/>
      <c r="F339" s="1"/>
      <c r="H339" s="1"/>
    </row>
    <row r="340" spans="5:8" ht="13.8">
      <c r="E340" s="1"/>
      <c r="F340" s="1"/>
      <c r="H340" s="1"/>
    </row>
    <row r="341" spans="5:8" ht="13.8">
      <c r="E341" s="1"/>
      <c r="F341" s="1"/>
      <c r="H341" s="1"/>
    </row>
    <row r="342" spans="5:8" ht="13.8">
      <c r="E342" s="1"/>
      <c r="F342" s="1"/>
      <c r="H342" s="1"/>
    </row>
    <row r="343" spans="5:8" ht="13.8">
      <c r="E343" s="1"/>
      <c r="F343" s="1"/>
      <c r="H343" s="1"/>
    </row>
    <row r="344" spans="5:8" ht="13.8">
      <c r="E344" s="1"/>
      <c r="F344" s="1"/>
      <c r="H344" s="1"/>
    </row>
    <row r="345" spans="5:8" ht="13.8">
      <c r="E345" s="1"/>
      <c r="F345" s="1"/>
      <c r="H345" s="1"/>
    </row>
    <row r="346" spans="5:8" ht="13.8">
      <c r="E346" s="1"/>
      <c r="F346" s="1"/>
      <c r="H346" s="1"/>
    </row>
    <row r="347" spans="5:8" ht="13.8">
      <c r="E347" s="1"/>
      <c r="F347" s="1"/>
      <c r="H347" s="1"/>
    </row>
    <row r="348" spans="5:8" ht="13.8">
      <c r="E348" s="1"/>
      <c r="F348" s="1"/>
      <c r="H348" s="1"/>
    </row>
    <row r="349" spans="5:8" ht="13.8">
      <c r="E349" s="1"/>
      <c r="F349" s="1"/>
      <c r="H349" s="1"/>
    </row>
    <row r="350" spans="5:8" ht="13.8">
      <c r="E350" s="1"/>
      <c r="F350" s="1"/>
      <c r="H350" s="1"/>
    </row>
    <row r="351" spans="5:8" ht="13.8">
      <c r="E351" s="1"/>
      <c r="F351" s="1"/>
      <c r="H351" s="1"/>
    </row>
    <row r="352" spans="5:8" ht="13.8">
      <c r="E352" s="1"/>
      <c r="F352" s="1"/>
      <c r="H352" s="1"/>
    </row>
    <row r="353" spans="5:8" ht="13.8">
      <c r="E353" s="1"/>
      <c r="F353" s="1"/>
      <c r="H353" s="1"/>
    </row>
    <row r="354" spans="5:8" ht="13.8">
      <c r="E354" s="1"/>
      <c r="F354" s="1"/>
      <c r="H354" s="1"/>
    </row>
    <row r="355" spans="5:8" ht="13.8">
      <c r="E355" s="1"/>
      <c r="F355" s="1"/>
      <c r="H355" s="1"/>
    </row>
    <row r="356" spans="5:8" ht="13.8">
      <c r="E356" s="1"/>
      <c r="F356" s="1"/>
      <c r="H356" s="1"/>
    </row>
    <row r="357" spans="5:8" ht="13.8">
      <c r="E357" s="1"/>
      <c r="F357" s="1"/>
      <c r="H357" s="1"/>
    </row>
    <row r="358" spans="5:8" ht="13.8">
      <c r="E358" s="1"/>
      <c r="F358" s="1"/>
      <c r="H358" s="1"/>
    </row>
    <row r="359" spans="5:8" ht="13.8">
      <c r="E359" s="1"/>
      <c r="F359" s="1"/>
      <c r="H359" s="1"/>
    </row>
    <row r="360" spans="5:8" ht="13.8">
      <c r="E360" s="1"/>
      <c r="F360" s="1"/>
      <c r="H360" s="1"/>
    </row>
    <row r="361" spans="5:8" ht="13.8">
      <c r="E361" s="1"/>
      <c r="F361" s="1"/>
      <c r="H361" s="1"/>
    </row>
    <row r="362" spans="5:8" ht="13.8">
      <c r="E362" s="1"/>
      <c r="F362" s="1"/>
      <c r="H362" s="1"/>
    </row>
    <row r="363" spans="5:8" ht="13.8">
      <c r="E363" s="1"/>
      <c r="F363" s="1"/>
      <c r="H363" s="1"/>
    </row>
    <row r="364" spans="5:8" ht="13.8">
      <c r="E364" s="1"/>
      <c r="F364" s="1"/>
      <c r="H364" s="1"/>
    </row>
    <row r="365" spans="5:8" ht="13.8">
      <c r="E365" s="1"/>
      <c r="F365" s="1"/>
      <c r="H365" s="1"/>
    </row>
    <row r="366" spans="5:8" ht="13.8">
      <c r="E366" s="1"/>
      <c r="F366" s="1"/>
      <c r="H366" s="1"/>
    </row>
    <row r="367" spans="5:8" ht="13.8">
      <c r="E367" s="1"/>
      <c r="F367" s="1"/>
      <c r="H367" s="1"/>
    </row>
    <row r="368" spans="5:8" ht="13.8">
      <c r="E368" s="1"/>
      <c r="F368" s="1"/>
      <c r="H368" s="1"/>
    </row>
    <row r="369" spans="5:8" ht="13.8">
      <c r="E369" s="1"/>
      <c r="F369" s="1"/>
      <c r="H369" s="1"/>
    </row>
    <row r="370" spans="5:8" ht="13.8">
      <c r="E370" s="1"/>
      <c r="F370" s="1"/>
      <c r="H370" s="1"/>
    </row>
    <row r="371" spans="5:8" ht="13.8">
      <c r="E371" s="1"/>
      <c r="F371" s="1"/>
      <c r="H371" s="1"/>
    </row>
    <row r="372" spans="5:8" ht="13.8">
      <c r="E372" s="1"/>
      <c r="F372" s="1"/>
      <c r="H372" s="1"/>
    </row>
    <row r="373" spans="5:8" ht="13.8">
      <c r="E373" s="1"/>
      <c r="F373" s="1"/>
      <c r="H373" s="1"/>
    </row>
    <row r="374" spans="5:8" ht="13.8">
      <c r="E374" s="1"/>
      <c r="F374" s="1"/>
      <c r="H374" s="1"/>
    </row>
    <row r="375" spans="5:8" ht="13.8">
      <c r="E375" s="1"/>
      <c r="F375" s="1"/>
      <c r="H375" s="1"/>
    </row>
    <row r="376" spans="5:8" ht="13.8">
      <c r="E376" s="1"/>
      <c r="F376" s="1"/>
      <c r="H376" s="1"/>
    </row>
    <row r="377" spans="5:8" ht="13.8">
      <c r="E377" s="1"/>
      <c r="F377" s="1"/>
      <c r="H377" s="1"/>
    </row>
    <row r="378" spans="5:8" ht="13.8">
      <c r="E378" s="1"/>
      <c r="F378" s="1"/>
      <c r="H378" s="1"/>
    </row>
    <row r="379" spans="5:8" ht="13.8">
      <c r="E379" s="1"/>
      <c r="F379" s="1"/>
      <c r="H379" s="1"/>
    </row>
    <row r="380" spans="5:8" ht="13.8">
      <c r="E380" s="1"/>
      <c r="F380" s="1"/>
      <c r="H380" s="1"/>
    </row>
    <row r="381" spans="5:8" ht="13.8">
      <c r="E381" s="1"/>
      <c r="F381" s="1"/>
      <c r="H381" s="1"/>
    </row>
    <row r="382" spans="5:8" ht="13.8">
      <c r="E382" s="1"/>
      <c r="F382" s="1"/>
      <c r="H382" s="1"/>
    </row>
    <row r="383" spans="5:8" ht="13.8">
      <c r="E383" s="1"/>
      <c r="F383" s="1"/>
      <c r="H383" s="1"/>
    </row>
    <row r="384" spans="5:8" ht="13.8">
      <c r="E384" s="1"/>
      <c r="F384" s="1"/>
      <c r="H384" s="1"/>
    </row>
    <row r="385" spans="5:8" ht="13.8">
      <c r="E385" s="1"/>
      <c r="F385" s="1"/>
      <c r="H385" s="1"/>
    </row>
    <row r="386" spans="5:8" ht="13.8">
      <c r="E386" s="1"/>
      <c r="F386" s="1"/>
      <c r="H386" s="1"/>
    </row>
    <row r="387" spans="5:8" ht="13.8">
      <c r="E387" s="1"/>
      <c r="F387" s="1"/>
      <c r="H387" s="1"/>
    </row>
    <row r="388" spans="5:8" ht="13.8">
      <c r="E388" s="1"/>
      <c r="F388" s="1"/>
      <c r="H388" s="1"/>
    </row>
    <row r="389" spans="5:8" ht="13.8">
      <c r="E389" s="1"/>
      <c r="F389" s="1"/>
      <c r="H389" s="1"/>
    </row>
    <row r="390" spans="5:8" ht="13.8">
      <c r="E390" s="1"/>
      <c r="F390" s="1"/>
      <c r="H390" s="1"/>
    </row>
    <row r="391" spans="5:8" ht="13.8">
      <c r="E391" s="1"/>
      <c r="F391" s="1"/>
      <c r="H391" s="1"/>
    </row>
    <row r="392" spans="5:8" ht="13.8">
      <c r="E392" s="1"/>
      <c r="F392" s="1"/>
      <c r="H392" s="1"/>
    </row>
    <row r="393" spans="5:8" ht="13.8">
      <c r="E393" s="1"/>
      <c r="F393" s="1"/>
      <c r="H393" s="1"/>
    </row>
    <row r="394" spans="5:8" ht="13.8">
      <c r="E394" s="1"/>
      <c r="F394" s="1"/>
      <c r="H394" s="1"/>
    </row>
    <row r="395" spans="5:8" ht="13.8">
      <c r="E395" s="1"/>
      <c r="F395" s="1"/>
      <c r="H395" s="1"/>
    </row>
    <row r="396" spans="5:8" ht="13.8">
      <c r="E396" s="1"/>
      <c r="F396" s="1"/>
      <c r="H396" s="1"/>
    </row>
    <row r="397" spans="5:8" ht="13.8">
      <c r="E397" s="1"/>
      <c r="F397" s="1"/>
      <c r="H397" s="1"/>
    </row>
    <row r="398" spans="5:8" ht="13.8">
      <c r="E398" s="1"/>
      <c r="F398" s="1"/>
      <c r="H398" s="1"/>
    </row>
    <row r="399" spans="5:8" ht="13.8">
      <c r="E399" s="1"/>
      <c r="F399" s="1"/>
      <c r="H399" s="1"/>
    </row>
    <row r="400" spans="5:8" ht="13.8">
      <c r="E400" s="1"/>
      <c r="F400" s="1"/>
      <c r="H400" s="1"/>
    </row>
    <row r="401" spans="5:8" ht="13.8">
      <c r="E401" s="1"/>
      <c r="F401" s="1"/>
      <c r="H401" s="1"/>
    </row>
    <row r="402" spans="5:8" ht="13.8">
      <c r="E402" s="1"/>
      <c r="F402" s="1"/>
      <c r="H402" s="1"/>
    </row>
    <row r="403" spans="5:8" ht="13.8">
      <c r="E403" s="1"/>
      <c r="F403" s="1"/>
      <c r="H403" s="1"/>
    </row>
    <row r="404" spans="5:8" ht="13.8">
      <c r="E404" s="1"/>
      <c r="F404" s="1"/>
      <c r="H404" s="1"/>
    </row>
    <row r="405" spans="5:8" ht="13.8">
      <c r="E405" s="1"/>
      <c r="F405" s="1"/>
      <c r="H405" s="1"/>
    </row>
    <row r="406" spans="5:8" ht="13.8">
      <c r="E406" s="1"/>
      <c r="F406" s="1"/>
      <c r="H406" s="1"/>
    </row>
    <row r="407" spans="5:8" ht="13.8">
      <c r="E407" s="1"/>
      <c r="F407" s="1"/>
      <c r="H407" s="1"/>
    </row>
    <row r="408" spans="5:8" ht="13.8">
      <c r="E408" s="1"/>
      <c r="F408" s="1"/>
      <c r="H408" s="1"/>
    </row>
    <row r="409" spans="5:8" ht="13.8">
      <c r="E409" s="1"/>
      <c r="F409" s="1"/>
      <c r="H409" s="1"/>
    </row>
    <row r="410" spans="5:8" ht="13.8">
      <c r="E410" s="1"/>
      <c r="F410" s="1"/>
      <c r="H410" s="1"/>
    </row>
    <row r="411" spans="5:8" ht="13.8">
      <c r="E411" s="1"/>
      <c r="F411" s="1"/>
      <c r="H411" s="1"/>
    </row>
    <row r="412" spans="5:8" ht="13.8">
      <c r="E412" s="1"/>
      <c r="F412" s="1"/>
      <c r="H412" s="1"/>
    </row>
    <row r="413" spans="5:8" ht="13.8">
      <c r="E413" s="1"/>
      <c r="F413" s="1"/>
      <c r="H413" s="1"/>
    </row>
    <row r="414" spans="5:8" ht="13.8">
      <c r="E414" s="1"/>
      <c r="F414" s="1"/>
      <c r="H414" s="1"/>
    </row>
    <row r="415" spans="5:8" ht="13.8">
      <c r="E415" s="1"/>
      <c r="F415" s="1"/>
      <c r="H415" s="1"/>
    </row>
    <row r="416" spans="5:8" ht="13.8">
      <c r="E416" s="1"/>
      <c r="F416" s="1"/>
      <c r="H416" s="1"/>
    </row>
    <row r="417" spans="5:8" ht="13.8">
      <c r="E417" s="1"/>
      <c r="F417" s="1"/>
      <c r="H417" s="1"/>
    </row>
    <row r="418" spans="5:8" ht="13.8">
      <c r="E418" s="1"/>
      <c r="F418" s="1"/>
      <c r="H418" s="1"/>
    </row>
    <row r="419" spans="5:8" ht="13.8">
      <c r="E419" s="1"/>
      <c r="F419" s="1"/>
      <c r="H419" s="1"/>
    </row>
    <row r="420" spans="5:8" ht="13.8">
      <c r="E420" s="1"/>
      <c r="F420" s="1"/>
      <c r="H420" s="1"/>
    </row>
    <row r="421" spans="5:8" ht="13.8">
      <c r="E421" s="1"/>
      <c r="F421" s="1"/>
      <c r="H421" s="1"/>
    </row>
    <row r="422" spans="5:8" ht="13.8">
      <c r="E422" s="1"/>
      <c r="F422" s="1"/>
      <c r="H422" s="1"/>
    </row>
    <row r="423" spans="5:8" ht="13.8">
      <c r="E423" s="1"/>
      <c r="F423" s="1"/>
      <c r="H423" s="1"/>
    </row>
    <row r="424" spans="5:8" ht="13.8">
      <c r="E424" s="1"/>
      <c r="F424" s="1"/>
      <c r="H424" s="1"/>
    </row>
    <row r="425" spans="5:8" ht="13.8">
      <c r="E425" s="1"/>
      <c r="F425" s="1"/>
      <c r="H425" s="1"/>
    </row>
    <row r="426" spans="5:8" ht="13.8">
      <c r="E426" s="1"/>
      <c r="F426" s="1"/>
      <c r="H426" s="1"/>
    </row>
    <row r="427" spans="5:8" ht="13.8">
      <c r="E427" s="1"/>
      <c r="F427" s="1"/>
      <c r="H427" s="1"/>
    </row>
    <row r="428" spans="5:8" ht="13.8">
      <c r="E428" s="1"/>
      <c r="F428" s="1"/>
      <c r="H428" s="1"/>
    </row>
    <row r="429" spans="5:8" ht="13.8">
      <c r="E429" s="1"/>
      <c r="F429" s="1"/>
      <c r="H429" s="1"/>
    </row>
    <row r="430" spans="5:8" ht="13.8">
      <c r="E430" s="1"/>
      <c r="F430" s="1"/>
      <c r="H430" s="1"/>
    </row>
    <row r="431" spans="5:8" ht="13.8">
      <c r="E431" s="1"/>
      <c r="F431" s="1"/>
      <c r="H431" s="1"/>
    </row>
    <row r="432" spans="5:8" ht="13.8">
      <c r="E432" s="1"/>
      <c r="F432" s="1"/>
      <c r="H432" s="1"/>
    </row>
    <row r="433" spans="5:8" ht="13.8">
      <c r="E433" s="1"/>
      <c r="F433" s="1"/>
      <c r="H433" s="1"/>
    </row>
    <row r="434" spans="5:8" ht="13.8">
      <c r="E434" s="1"/>
      <c r="F434" s="1"/>
      <c r="H434" s="1"/>
    </row>
    <row r="435" spans="5:8" ht="13.8">
      <c r="E435" s="1"/>
      <c r="F435" s="1"/>
      <c r="H435" s="1"/>
    </row>
    <row r="436" spans="5:8" ht="13.8">
      <c r="E436" s="1"/>
      <c r="F436" s="1"/>
      <c r="H436" s="1"/>
    </row>
    <row r="437" spans="5:8" ht="13.8">
      <c r="E437" s="1"/>
      <c r="F437" s="1"/>
      <c r="H437" s="1"/>
    </row>
    <row r="438" spans="5:8" ht="13.8">
      <c r="E438" s="1"/>
      <c r="F438" s="1"/>
      <c r="H438" s="1"/>
    </row>
    <row r="439" spans="5:8" ht="13.8">
      <c r="E439" s="1"/>
      <c r="F439" s="1"/>
      <c r="H439" s="1"/>
    </row>
    <row r="440" spans="5:8" ht="13.8">
      <c r="E440" s="1"/>
      <c r="F440" s="1"/>
      <c r="H440" s="1"/>
    </row>
    <row r="441" spans="5:8" ht="13.8">
      <c r="E441" s="1"/>
      <c r="F441" s="1"/>
      <c r="H441" s="1"/>
    </row>
    <row r="442" spans="5:8" ht="13.8">
      <c r="E442" s="1"/>
      <c r="F442" s="1"/>
      <c r="H442" s="1"/>
    </row>
    <row r="443" spans="5:8" ht="13.8">
      <c r="E443" s="1"/>
      <c r="F443" s="1"/>
      <c r="H443" s="1"/>
    </row>
    <row r="444" spans="5:8" ht="13.8">
      <c r="E444" s="1"/>
      <c r="F444" s="1"/>
      <c r="H444" s="1"/>
    </row>
    <row r="445" spans="5:8" ht="13.8">
      <c r="E445" s="1"/>
      <c r="F445" s="1"/>
      <c r="H445" s="1"/>
    </row>
    <row r="446" spans="5:8" ht="13.8">
      <c r="E446" s="1"/>
      <c r="F446" s="1"/>
      <c r="H446" s="1"/>
    </row>
    <row r="447" spans="5:8" ht="13.8">
      <c r="E447" s="1"/>
      <c r="F447" s="1"/>
      <c r="H447" s="1"/>
    </row>
    <row r="448" spans="5:8" ht="13.8">
      <c r="E448" s="1"/>
      <c r="F448" s="1"/>
      <c r="H448" s="1"/>
    </row>
    <row r="449" spans="5:8" ht="13.8">
      <c r="E449" s="1"/>
      <c r="F449" s="1"/>
      <c r="H449" s="1"/>
    </row>
    <row r="450" spans="5:8" ht="13.8">
      <c r="E450" s="1"/>
      <c r="F450" s="1"/>
      <c r="H450" s="1"/>
    </row>
    <row r="451" spans="5:8" ht="13.8">
      <c r="E451" s="1"/>
      <c r="F451" s="1"/>
      <c r="H451" s="1"/>
    </row>
    <row r="452" spans="5:8" ht="13.8">
      <c r="E452" s="1"/>
      <c r="F452" s="1"/>
      <c r="H452" s="1"/>
    </row>
    <row r="453" spans="5:8" ht="13.8">
      <c r="E453" s="1"/>
      <c r="F453" s="1"/>
      <c r="H453" s="1"/>
    </row>
    <row r="454" spans="5:8" ht="13.8">
      <c r="E454" s="1"/>
      <c r="F454" s="1"/>
      <c r="H454" s="1"/>
    </row>
    <row r="455" spans="5:8" ht="13.8">
      <c r="E455" s="1"/>
      <c r="F455" s="1"/>
      <c r="H455" s="1"/>
    </row>
    <row r="456" spans="5:8" ht="13.8">
      <c r="E456" s="1"/>
      <c r="F456" s="1"/>
      <c r="H456" s="1"/>
    </row>
    <row r="457" spans="5:8" ht="13.8">
      <c r="E457" s="1"/>
      <c r="F457" s="1"/>
      <c r="H457" s="1"/>
    </row>
    <row r="458" spans="5:8" ht="13.8">
      <c r="E458" s="1"/>
      <c r="F458" s="1"/>
      <c r="H458" s="1"/>
    </row>
    <row r="459" spans="5:8" ht="13.8">
      <c r="E459" s="1"/>
      <c r="F459" s="1"/>
      <c r="H459" s="1"/>
    </row>
    <row r="460" spans="5:8" ht="13.8">
      <c r="E460" s="1"/>
      <c r="F460" s="1"/>
      <c r="H460" s="1"/>
    </row>
    <row r="461" spans="5:8" ht="13.8">
      <c r="E461" s="1"/>
      <c r="F461" s="1"/>
      <c r="H461" s="1"/>
    </row>
    <row r="462" spans="5:8" ht="13.8">
      <c r="E462" s="1"/>
      <c r="F462" s="1"/>
      <c r="H462" s="1"/>
    </row>
    <row r="463" spans="5:8" ht="13.8">
      <c r="E463" s="1"/>
      <c r="F463" s="1"/>
      <c r="H463" s="1"/>
    </row>
    <row r="464" spans="5:8" ht="13.8">
      <c r="E464" s="1"/>
      <c r="F464" s="1"/>
      <c r="H464" s="1"/>
    </row>
    <row r="465" spans="5:8" ht="13.8">
      <c r="E465" s="1"/>
      <c r="F465" s="1"/>
      <c r="H465" s="1"/>
    </row>
    <row r="466" spans="5:8" ht="13.8">
      <c r="E466" s="1"/>
      <c r="F466" s="1"/>
      <c r="H466" s="1"/>
    </row>
    <row r="467" spans="5:8" ht="13.8">
      <c r="E467" s="1"/>
      <c r="F467" s="1"/>
      <c r="H467" s="1"/>
    </row>
    <row r="468" spans="5:8" ht="13.8">
      <c r="E468" s="1"/>
      <c r="F468" s="1"/>
      <c r="H468" s="1"/>
    </row>
    <row r="469" spans="5:8" ht="13.8">
      <c r="E469" s="1"/>
      <c r="F469" s="1"/>
      <c r="H469" s="1"/>
    </row>
    <row r="470" spans="5:8" ht="13.8">
      <c r="E470" s="1"/>
      <c r="F470" s="1"/>
      <c r="H470" s="1"/>
    </row>
    <row r="471" spans="5:8" ht="13.8">
      <c r="E471" s="1"/>
      <c r="F471" s="1"/>
      <c r="H471" s="1"/>
    </row>
    <row r="472" spans="5:8" ht="13.8">
      <c r="E472" s="1"/>
      <c r="F472" s="1"/>
      <c r="H472" s="1"/>
    </row>
    <row r="473" spans="5:8" ht="13.8">
      <c r="E473" s="1"/>
      <c r="F473" s="1"/>
      <c r="H473" s="1"/>
    </row>
    <row r="474" spans="5:8" ht="13.8">
      <c r="E474" s="1"/>
      <c r="F474" s="1"/>
      <c r="H474" s="1"/>
    </row>
    <row r="475" spans="5:8" ht="13.8">
      <c r="E475" s="1"/>
      <c r="F475" s="1"/>
      <c r="H475" s="1"/>
    </row>
    <row r="476" spans="5:8" ht="13.8">
      <c r="E476" s="1"/>
      <c r="F476" s="1"/>
      <c r="H476" s="1"/>
    </row>
    <row r="477" spans="5:8" ht="13.8">
      <c r="E477" s="1"/>
      <c r="F477" s="1"/>
      <c r="H477" s="1"/>
    </row>
    <row r="478" spans="5:8" ht="13.8">
      <c r="E478" s="1"/>
      <c r="F478" s="1"/>
      <c r="H478" s="1"/>
    </row>
    <row r="479" spans="5:8" ht="13.8">
      <c r="E479" s="1"/>
      <c r="F479" s="1"/>
      <c r="H479" s="1"/>
    </row>
    <row r="480" spans="5:8" ht="13.8">
      <c r="E480" s="1"/>
      <c r="F480" s="1"/>
      <c r="H480" s="1"/>
    </row>
    <row r="481" spans="5:8" ht="13.8">
      <c r="E481" s="1"/>
      <c r="F481" s="1"/>
      <c r="H481" s="1"/>
    </row>
    <row r="482" spans="5:8" ht="13.8">
      <c r="E482" s="1"/>
      <c r="F482" s="1"/>
      <c r="H482" s="1"/>
    </row>
    <row r="483" spans="5:8" ht="13.8">
      <c r="E483" s="1"/>
      <c r="F483" s="1"/>
      <c r="H483" s="1"/>
    </row>
    <row r="484" spans="5:8" ht="13.8">
      <c r="E484" s="1"/>
      <c r="F484" s="1"/>
      <c r="H484" s="1"/>
    </row>
    <row r="485" spans="5:8" ht="13.8">
      <c r="E485" s="1"/>
      <c r="F485" s="1"/>
      <c r="H485" s="1"/>
    </row>
    <row r="486" spans="5:8" ht="13.8">
      <c r="E486" s="1"/>
      <c r="F486" s="1"/>
      <c r="H486" s="1"/>
    </row>
    <row r="487" spans="5:8" ht="13.8">
      <c r="E487" s="1"/>
      <c r="F487" s="1"/>
      <c r="H487" s="1"/>
    </row>
    <row r="488" spans="5:8" ht="13.8">
      <c r="E488" s="1"/>
      <c r="F488" s="1"/>
      <c r="H488" s="1"/>
    </row>
    <row r="489" spans="5:8" ht="13.8">
      <c r="E489" s="1"/>
      <c r="F489" s="1"/>
      <c r="H489" s="1"/>
    </row>
    <row r="490" spans="5:8" ht="13.8">
      <c r="E490" s="1"/>
      <c r="F490" s="1"/>
      <c r="H490" s="1"/>
    </row>
    <row r="491" spans="5:8" ht="13.8">
      <c r="E491" s="1"/>
      <c r="F491" s="1"/>
      <c r="H491" s="1"/>
    </row>
    <row r="492" spans="5:8" ht="13.8">
      <c r="E492" s="1"/>
      <c r="F492" s="1"/>
      <c r="H492" s="1"/>
    </row>
    <row r="493" spans="5:8" ht="13.8">
      <c r="E493" s="1"/>
      <c r="F493" s="1"/>
      <c r="H493" s="1"/>
    </row>
    <row r="494" spans="5:8" ht="13.8">
      <c r="E494" s="1"/>
      <c r="F494" s="1"/>
      <c r="H494" s="1"/>
    </row>
    <row r="495" spans="5:8" ht="13.8">
      <c r="E495" s="1"/>
      <c r="F495" s="1"/>
      <c r="H495" s="1"/>
    </row>
    <row r="496" spans="5:8" ht="13.8">
      <c r="E496" s="1"/>
      <c r="F496" s="1"/>
      <c r="H496" s="1"/>
    </row>
    <row r="497" spans="5:8" ht="13.8">
      <c r="E497" s="1"/>
      <c r="F497" s="1"/>
      <c r="H497" s="1"/>
    </row>
    <row r="498" spans="5:8" ht="13.8">
      <c r="E498" s="1"/>
      <c r="F498" s="1"/>
      <c r="H498" s="1"/>
    </row>
    <row r="499" spans="5:8" ht="13.8">
      <c r="E499" s="1"/>
      <c r="F499" s="1"/>
      <c r="H499" s="1"/>
    </row>
    <row r="500" spans="5:8" ht="13.8">
      <c r="E500" s="1"/>
      <c r="F500" s="1"/>
      <c r="H500" s="1"/>
    </row>
    <row r="501" spans="5:8" ht="13.8">
      <c r="E501" s="1"/>
      <c r="F501" s="1"/>
      <c r="H501" s="1"/>
    </row>
    <row r="502" spans="5:8" ht="13.8">
      <c r="E502" s="1"/>
      <c r="F502" s="1"/>
      <c r="H502" s="1"/>
    </row>
    <row r="503" spans="5:8" ht="13.8">
      <c r="E503" s="1"/>
      <c r="F503" s="1"/>
      <c r="H503" s="1"/>
    </row>
    <row r="504" spans="5:8" ht="13.8">
      <c r="E504" s="1"/>
      <c r="F504" s="1"/>
      <c r="H504" s="1"/>
    </row>
    <row r="505" spans="5:8" ht="13.8">
      <c r="E505" s="1"/>
      <c r="F505" s="1"/>
      <c r="H505" s="1"/>
    </row>
    <row r="506" spans="5:8" ht="13.8">
      <c r="E506" s="1"/>
      <c r="F506" s="1"/>
      <c r="H506" s="1"/>
    </row>
    <row r="507" spans="5:8" ht="13.8">
      <c r="E507" s="1"/>
      <c r="F507" s="1"/>
      <c r="H507" s="1"/>
    </row>
    <row r="508" spans="5:8" ht="13.8">
      <c r="E508" s="1"/>
      <c r="F508" s="1"/>
      <c r="H508" s="1"/>
    </row>
    <row r="509" spans="5:8" ht="13.8">
      <c r="E509" s="1"/>
      <c r="F509" s="1"/>
      <c r="H509" s="1"/>
    </row>
    <row r="510" spans="5:8" ht="13.8">
      <c r="E510" s="1"/>
      <c r="F510" s="1"/>
      <c r="H510" s="1"/>
    </row>
    <row r="511" spans="5:8" ht="13.8">
      <c r="E511" s="1"/>
      <c r="F511" s="1"/>
      <c r="H511" s="1"/>
    </row>
    <row r="512" spans="5:8" ht="13.8">
      <c r="E512" s="1"/>
      <c r="F512" s="1"/>
      <c r="H512" s="1"/>
    </row>
    <row r="513" spans="5:8" ht="13.8">
      <c r="E513" s="1"/>
      <c r="F513" s="1"/>
      <c r="H513" s="1"/>
    </row>
    <row r="514" spans="5:8" ht="13.8">
      <c r="E514" s="1"/>
      <c r="F514" s="1"/>
      <c r="H514" s="1"/>
    </row>
    <row r="515" spans="5:8" ht="13.8">
      <c r="E515" s="1"/>
      <c r="F515" s="1"/>
      <c r="H515" s="1"/>
    </row>
    <row r="516" spans="5:8" ht="13.8">
      <c r="E516" s="1"/>
      <c r="F516" s="1"/>
      <c r="H516" s="1"/>
    </row>
    <row r="517" spans="5:8" ht="13.8">
      <c r="E517" s="1"/>
      <c r="F517" s="1"/>
      <c r="H517" s="1"/>
    </row>
    <row r="518" spans="5:8" ht="13.8">
      <c r="E518" s="1"/>
      <c r="F518" s="1"/>
      <c r="H518" s="1"/>
    </row>
    <row r="519" spans="5:8" ht="13.8">
      <c r="E519" s="1"/>
      <c r="F519" s="1"/>
      <c r="H519" s="1"/>
    </row>
    <row r="520" spans="5:8" ht="13.8">
      <c r="E520" s="1"/>
      <c r="F520" s="1"/>
      <c r="H520" s="1"/>
    </row>
    <row r="521" spans="5:8" ht="13.8">
      <c r="E521" s="1"/>
      <c r="F521" s="1"/>
      <c r="H521" s="1"/>
    </row>
    <row r="522" spans="5:8" ht="13.8">
      <c r="E522" s="1"/>
      <c r="F522" s="1"/>
      <c r="H522" s="1"/>
    </row>
    <row r="523" spans="5:8" ht="13.8">
      <c r="E523" s="1"/>
      <c r="F523" s="1"/>
      <c r="H523" s="1"/>
    </row>
    <row r="524" spans="5:8" ht="13.8">
      <c r="E524" s="1"/>
      <c r="F524" s="1"/>
      <c r="H524" s="1"/>
    </row>
    <row r="525" spans="5:8" ht="13.8">
      <c r="E525" s="1"/>
      <c r="F525" s="1"/>
      <c r="H525" s="1"/>
    </row>
    <row r="526" spans="5:8" ht="13.8">
      <c r="E526" s="1"/>
      <c r="F526" s="1"/>
      <c r="H526" s="1"/>
    </row>
    <row r="527" spans="5:8" ht="13.8">
      <c r="E527" s="1"/>
      <c r="F527" s="1"/>
      <c r="H527" s="1"/>
    </row>
    <row r="528" spans="5:8" ht="13.8">
      <c r="E528" s="1"/>
      <c r="F528" s="1"/>
      <c r="H528" s="1"/>
    </row>
    <row r="529" spans="5:8" ht="13.8">
      <c r="E529" s="1"/>
      <c r="F529" s="1"/>
      <c r="H529" s="1"/>
    </row>
    <row r="530" spans="5:8" ht="13.8">
      <c r="E530" s="1"/>
      <c r="F530" s="1"/>
      <c r="H530" s="1"/>
    </row>
    <row r="531" spans="5:8" ht="13.8">
      <c r="E531" s="1"/>
      <c r="F531" s="1"/>
      <c r="H531" s="1"/>
    </row>
    <row r="532" spans="5:8" ht="13.8">
      <c r="E532" s="1"/>
      <c r="F532" s="1"/>
      <c r="H532" s="1"/>
    </row>
    <row r="533" spans="5:8" ht="13.8">
      <c r="E533" s="1"/>
      <c r="F533" s="1"/>
      <c r="H533" s="1"/>
    </row>
    <row r="534" spans="5:8" ht="13.8">
      <c r="E534" s="1"/>
      <c r="F534" s="1"/>
      <c r="H534" s="1"/>
    </row>
    <row r="535" spans="5:8" ht="13.8">
      <c r="E535" s="1"/>
      <c r="F535" s="1"/>
      <c r="H535" s="1"/>
    </row>
    <row r="536" spans="5:8" ht="13.8">
      <c r="E536" s="1"/>
      <c r="F536" s="1"/>
      <c r="H536" s="1"/>
    </row>
    <row r="537" spans="5:8" ht="13.8">
      <c r="E537" s="1"/>
      <c r="F537" s="1"/>
      <c r="H537" s="1"/>
    </row>
    <row r="538" spans="5:8" ht="13.8">
      <c r="E538" s="1"/>
      <c r="F538" s="1"/>
      <c r="H538" s="1"/>
    </row>
    <row r="539" spans="5:8" ht="13.8">
      <c r="E539" s="1"/>
      <c r="F539" s="1"/>
      <c r="H539" s="1"/>
    </row>
    <row r="540" spans="5:8" ht="13.8">
      <c r="E540" s="1"/>
      <c r="F540" s="1"/>
      <c r="H540" s="1"/>
    </row>
    <row r="541" spans="5:8" ht="13.8">
      <c r="E541" s="1"/>
      <c r="F541" s="1"/>
      <c r="H541" s="1"/>
    </row>
    <row r="542" spans="5:8" ht="13.8">
      <c r="E542" s="1"/>
      <c r="F542" s="1"/>
      <c r="H542" s="1"/>
    </row>
    <row r="543" spans="5:8" ht="13.8">
      <c r="E543" s="1"/>
      <c r="F543" s="1"/>
      <c r="H543" s="1"/>
    </row>
    <row r="544" spans="5:8" ht="13.8">
      <c r="E544" s="1"/>
      <c r="F544" s="1"/>
      <c r="H544" s="1"/>
    </row>
    <row r="545" spans="5:8" ht="13.8">
      <c r="E545" s="1"/>
      <c r="F545" s="1"/>
      <c r="H545" s="1"/>
    </row>
    <row r="546" spans="5:8" ht="13.8">
      <c r="E546" s="1"/>
      <c r="F546" s="1"/>
      <c r="H546" s="1"/>
    </row>
    <row r="547" spans="5:8" ht="13.8">
      <c r="E547" s="1"/>
      <c r="F547" s="1"/>
      <c r="H547" s="1"/>
    </row>
    <row r="548" spans="5:8" ht="13.8">
      <c r="E548" s="1"/>
      <c r="F548" s="1"/>
      <c r="H548" s="1"/>
    </row>
    <row r="549" spans="5:8" ht="13.8">
      <c r="E549" s="1"/>
      <c r="F549" s="1"/>
      <c r="H549" s="1"/>
    </row>
    <row r="550" spans="5:8" ht="13.8">
      <c r="E550" s="1"/>
      <c r="F550" s="1"/>
      <c r="H550" s="1"/>
    </row>
    <row r="551" spans="5:8" ht="13.8">
      <c r="E551" s="1"/>
      <c r="F551" s="1"/>
      <c r="H551" s="1"/>
    </row>
    <row r="552" spans="5:8" ht="13.8">
      <c r="E552" s="1"/>
      <c r="F552" s="1"/>
      <c r="H552" s="1"/>
    </row>
    <row r="553" spans="5:8" ht="13.8">
      <c r="E553" s="1"/>
      <c r="F553" s="1"/>
      <c r="H553" s="1"/>
    </row>
    <row r="554" spans="5:8" ht="13.8">
      <c r="E554" s="1"/>
      <c r="F554" s="1"/>
      <c r="H554" s="1"/>
    </row>
    <row r="555" spans="5:8" ht="13.8">
      <c r="E555" s="1"/>
      <c r="F555" s="1"/>
      <c r="H555" s="1"/>
    </row>
    <row r="556" spans="5:8" ht="13.8">
      <c r="E556" s="1"/>
      <c r="F556" s="1"/>
      <c r="H556" s="1"/>
    </row>
    <row r="557" spans="5:8" ht="13.8">
      <c r="E557" s="1"/>
      <c r="F557" s="1"/>
      <c r="H557" s="1"/>
    </row>
    <row r="558" spans="5:8" ht="13.8">
      <c r="E558" s="1"/>
      <c r="F558" s="1"/>
      <c r="H558" s="1"/>
    </row>
    <row r="559" spans="5:8" ht="13.8">
      <c r="E559" s="1"/>
      <c r="F559" s="1"/>
      <c r="H559" s="1"/>
    </row>
    <row r="560" spans="5:8" ht="13.8">
      <c r="E560" s="1"/>
      <c r="F560" s="1"/>
      <c r="H560" s="1"/>
    </row>
    <row r="561" spans="5:8" ht="13.8">
      <c r="E561" s="1"/>
      <c r="F561" s="1"/>
      <c r="H561" s="1"/>
    </row>
    <row r="562" spans="5:8" ht="13.8">
      <c r="E562" s="1"/>
      <c r="F562" s="1"/>
      <c r="H562" s="1"/>
    </row>
    <row r="563" spans="5:8" ht="13.8">
      <c r="E563" s="1"/>
      <c r="F563" s="1"/>
      <c r="H563" s="1"/>
    </row>
    <row r="564" spans="5:8" ht="13.8">
      <c r="E564" s="1"/>
      <c r="F564" s="1"/>
      <c r="H564" s="1"/>
    </row>
    <row r="565" spans="5:8" ht="13.8">
      <c r="E565" s="1"/>
      <c r="F565" s="1"/>
      <c r="H565" s="1"/>
    </row>
    <row r="566" spans="5:8" ht="13.8">
      <c r="E566" s="1"/>
      <c r="F566" s="1"/>
      <c r="H566" s="1"/>
    </row>
    <row r="567" spans="5:8" ht="13.8">
      <c r="E567" s="1"/>
      <c r="F567" s="1"/>
      <c r="H567" s="1"/>
    </row>
    <row r="568" spans="5:8" ht="13.8">
      <c r="E568" s="1"/>
      <c r="F568" s="1"/>
      <c r="H568" s="1"/>
    </row>
    <row r="569" spans="5:8" ht="13.8">
      <c r="E569" s="1"/>
      <c r="F569" s="1"/>
      <c r="H569" s="1"/>
    </row>
    <row r="570" spans="5:8" ht="13.8">
      <c r="E570" s="1"/>
      <c r="F570" s="1"/>
      <c r="H570" s="1"/>
    </row>
    <row r="571" spans="5:8" ht="13.8">
      <c r="E571" s="1"/>
      <c r="F571" s="1"/>
      <c r="H571" s="1"/>
    </row>
    <row r="572" spans="5:8" ht="13.8">
      <c r="E572" s="1"/>
      <c r="F572" s="1"/>
      <c r="H572" s="1"/>
    </row>
    <row r="573" spans="5:8" ht="13.8">
      <c r="E573" s="1"/>
      <c r="F573" s="1"/>
      <c r="H573" s="1"/>
    </row>
    <row r="574" spans="5:8" ht="13.8">
      <c r="E574" s="1"/>
      <c r="F574" s="1"/>
      <c r="H574" s="1"/>
    </row>
    <row r="575" spans="5:8" ht="13.8">
      <c r="E575" s="1"/>
      <c r="F575" s="1"/>
      <c r="H575" s="1"/>
    </row>
    <row r="576" spans="5:8" ht="13.8">
      <c r="E576" s="1"/>
      <c r="F576" s="1"/>
      <c r="H576" s="1"/>
    </row>
    <row r="577" spans="5:8" ht="13.8">
      <c r="E577" s="1"/>
      <c r="F577" s="1"/>
      <c r="H577" s="1"/>
    </row>
    <row r="578" spans="5:8" ht="13.8">
      <c r="E578" s="1"/>
      <c r="F578" s="1"/>
      <c r="H578" s="1"/>
    </row>
    <row r="579" spans="5:8" ht="13.8">
      <c r="E579" s="1"/>
      <c r="F579" s="1"/>
      <c r="H579" s="1"/>
    </row>
    <row r="580" spans="5:8" ht="13.8">
      <c r="E580" s="1"/>
      <c r="F580" s="1"/>
      <c r="H580" s="1"/>
    </row>
    <row r="581" spans="5:8" ht="13.8">
      <c r="E581" s="1"/>
      <c r="F581" s="1"/>
      <c r="H581" s="1"/>
    </row>
    <row r="582" spans="5:8" ht="13.8">
      <c r="E582" s="1"/>
      <c r="F582" s="1"/>
      <c r="H582" s="1"/>
    </row>
    <row r="583" spans="5:8" ht="13.8">
      <c r="E583" s="1"/>
      <c r="F583" s="1"/>
      <c r="H583" s="1"/>
    </row>
    <row r="584" spans="5:8" ht="13.8">
      <c r="E584" s="1"/>
      <c r="F584" s="1"/>
      <c r="H584" s="1"/>
    </row>
    <row r="585" spans="5:8" ht="13.8">
      <c r="E585" s="1"/>
      <c r="F585" s="1"/>
      <c r="H585" s="1"/>
    </row>
    <row r="586" spans="5:8" ht="13.8">
      <c r="E586" s="1"/>
      <c r="F586" s="1"/>
      <c r="H586" s="1"/>
    </row>
    <row r="587" spans="5:8" ht="13.8">
      <c r="E587" s="1"/>
      <c r="F587" s="1"/>
      <c r="H587" s="1"/>
    </row>
    <row r="588" spans="5:8" ht="13.8">
      <c r="E588" s="1"/>
      <c r="F588" s="1"/>
      <c r="H588" s="1"/>
    </row>
    <row r="589" spans="5:8" ht="13.8">
      <c r="E589" s="1"/>
      <c r="F589" s="1"/>
      <c r="H589" s="1"/>
    </row>
    <row r="590" spans="5:8" ht="13.8">
      <c r="E590" s="1"/>
      <c r="F590" s="1"/>
      <c r="H590" s="1"/>
    </row>
    <row r="591" spans="5:8" ht="13.8">
      <c r="E591" s="1"/>
      <c r="F591" s="1"/>
      <c r="H591" s="1"/>
    </row>
    <row r="592" spans="5:8" ht="13.8">
      <c r="E592" s="1"/>
      <c r="F592" s="1"/>
      <c r="H592" s="1"/>
    </row>
    <row r="593" spans="5:8" ht="13.8">
      <c r="E593" s="1"/>
      <c r="F593" s="1"/>
      <c r="H593" s="1"/>
    </row>
    <row r="594" spans="5:8" ht="13.8">
      <c r="E594" s="1"/>
      <c r="F594" s="1"/>
      <c r="H594" s="1"/>
    </row>
    <row r="595" spans="5:8" ht="13.8">
      <c r="E595" s="1"/>
      <c r="F595" s="1"/>
      <c r="H595" s="1"/>
    </row>
    <row r="596" spans="5:8" ht="13.8">
      <c r="E596" s="1"/>
      <c r="F596" s="1"/>
      <c r="H596" s="1"/>
    </row>
    <row r="597" spans="5:8" ht="13.8">
      <c r="E597" s="1"/>
      <c r="F597" s="1"/>
      <c r="H597" s="1"/>
    </row>
    <row r="598" spans="5:8" ht="13.8">
      <c r="E598" s="1"/>
      <c r="F598" s="1"/>
      <c r="H598" s="1"/>
    </row>
    <row r="599" spans="5:8" ht="13.8">
      <c r="E599" s="1"/>
      <c r="F599" s="1"/>
      <c r="H599" s="1"/>
    </row>
    <row r="600" spans="5:8" ht="13.8">
      <c r="E600" s="1"/>
      <c r="F600" s="1"/>
      <c r="H600" s="1"/>
    </row>
    <row r="601" spans="5:8" ht="13.8">
      <c r="E601" s="1"/>
      <c r="F601" s="1"/>
      <c r="H601" s="1"/>
    </row>
    <row r="602" spans="5:8" ht="13.8">
      <c r="E602" s="1"/>
      <c r="F602" s="1"/>
      <c r="H602" s="1"/>
    </row>
    <row r="603" spans="5:8" ht="13.8">
      <c r="E603" s="1"/>
      <c r="F603" s="1"/>
      <c r="H603" s="1"/>
    </row>
    <row r="604" spans="5:8" ht="13.8">
      <c r="E604" s="1"/>
      <c r="F604" s="1"/>
      <c r="H604" s="1"/>
    </row>
    <row r="605" spans="5:8" ht="13.8">
      <c r="E605" s="1"/>
      <c r="F605" s="1"/>
      <c r="H605" s="1"/>
    </row>
    <row r="606" spans="5:8" ht="13.8">
      <c r="E606" s="1"/>
      <c r="F606" s="1"/>
      <c r="H606" s="1"/>
    </row>
    <row r="607" spans="5:8" ht="13.8">
      <c r="E607" s="1"/>
      <c r="F607" s="1"/>
      <c r="H607" s="1"/>
    </row>
    <row r="608" spans="5:8" ht="13.8">
      <c r="E608" s="1"/>
      <c r="F608" s="1"/>
      <c r="H608" s="1"/>
    </row>
    <row r="609" spans="5:8" ht="13.8">
      <c r="E609" s="1"/>
      <c r="F609" s="1"/>
      <c r="H609" s="1"/>
    </row>
    <row r="610" spans="5:8" ht="13.8">
      <c r="E610" s="1"/>
      <c r="F610" s="1"/>
      <c r="H610" s="1"/>
    </row>
    <row r="611" spans="5:8" ht="13.8">
      <c r="E611" s="1"/>
      <c r="F611" s="1"/>
      <c r="H611" s="1"/>
    </row>
    <row r="612" spans="5:8" ht="13.8">
      <c r="E612" s="1"/>
      <c r="F612" s="1"/>
      <c r="H612" s="1"/>
    </row>
    <row r="613" spans="5:8" ht="13.8">
      <c r="E613" s="1"/>
      <c r="F613" s="1"/>
      <c r="H613" s="1"/>
    </row>
    <row r="614" spans="5:8" ht="13.8">
      <c r="E614" s="1"/>
      <c r="F614" s="1"/>
      <c r="H614" s="1"/>
    </row>
    <row r="615" spans="5:8" ht="13.8">
      <c r="E615" s="1"/>
      <c r="F615" s="1"/>
      <c r="H615" s="1"/>
    </row>
    <row r="616" spans="5:8" ht="13.8">
      <c r="E616" s="1"/>
      <c r="F616" s="1"/>
      <c r="H616" s="1"/>
    </row>
    <row r="617" spans="5:8" ht="13.8">
      <c r="E617" s="1"/>
      <c r="F617" s="1"/>
      <c r="H617" s="1"/>
    </row>
    <row r="618" spans="5:8" ht="13.8">
      <c r="E618" s="1"/>
      <c r="F618" s="1"/>
      <c r="H618" s="1"/>
    </row>
    <row r="619" spans="5:8" ht="13.8">
      <c r="E619" s="1"/>
      <c r="F619" s="1"/>
      <c r="H619" s="1"/>
    </row>
    <row r="620" spans="5:8" ht="13.8">
      <c r="E620" s="1"/>
      <c r="F620" s="1"/>
      <c r="H620" s="1"/>
    </row>
    <row r="621" spans="5:8" ht="13.8">
      <c r="E621" s="1"/>
      <c r="F621" s="1"/>
      <c r="H621" s="1"/>
    </row>
    <row r="622" spans="5:8" ht="13.8">
      <c r="E622" s="1"/>
      <c r="F622" s="1"/>
      <c r="H622" s="1"/>
    </row>
    <row r="623" spans="5:8" ht="13.8">
      <c r="E623" s="1"/>
      <c r="F623" s="1"/>
      <c r="H623" s="1"/>
    </row>
    <row r="624" spans="5:8" ht="13.8">
      <c r="E624" s="1"/>
      <c r="F624" s="1"/>
      <c r="H624" s="1"/>
    </row>
    <row r="625" spans="5:8" ht="13.8">
      <c r="E625" s="1"/>
      <c r="F625" s="1"/>
      <c r="H625" s="1"/>
    </row>
    <row r="626" spans="5:8" ht="13.8">
      <c r="E626" s="1"/>
      <c r="F626" s="1"/>
      <c r="H626" s="1"/>
    </row>
    <row r="627" spans="5:8" ht="13.8">
      <c r="E627" s="1"/>
      <c r="F627" s="1"/>
      <c r="H627" s="1"/>
    </row>
    <row r="628" spans="5:8" ht="13.8">
      <c r="E628" s="1"/>
      <c r="F628" s="1"/>
      <c r="H628" s="1"/>
    </row>
    <row r="629" spans="5:8" ht="13.8">
      <c r="E629" s="1"/>
      <c r="F629" s="1"/>
      <c r="H629" s="1"/>
    </row>
    <row r="630" spans="5:8" ht="13.8">
      <c r="E630" s="1"/>
      <c r="F630" s="1"/>
      <c r="H630" s="1"/>
    </row>
    <row r="631" spans="5:8" ht="13.8">
      <c r="E631" s="1"/>
      <c r="F631" s="1"/>
      <c r="H631" s="1"/>
    </row>
    <row r="632" spans="5:8" ht="13.8">
      <c r="E632" s="1"/>
      <c r="F632" s="1"/>
      <c r="H632" s="1"/>
    </row>
    <row r="633" spans="5:8" ht="13.8">
      <c r="E633" s="1"/>
      <c r="F633" s="1"/>
      <c r="H633" s="1"/>
    </row>
    <row r="634" spans="5:8" ht="13.8">
      <c r="E634" s="1"/>
      <c r="F634" s="1"/>
      <c r="H634" s="1"/>
    </row>
    <row r="635" spans="5:8" ht="13.8">
      <c r="E635" s="1"/>
      <c r="F635" s="1"/>
      <c r="H635" s="1"/>
    </row>
    <row r="636" spans="5:8" ht="13.8">
      <c r="E636" s="1"/>
      <c r="F636" s="1"/>
      <c r="H636" s="1"/>
    </row>
    <row r="637" spans="5:8" ht="13.8">
      <c r="E637" s="1"/>
      <c r="F637" s="1"/>
      <c r="H637" s="1"/>
    </row>
    <row r="638" spans="5:8" ht="13.8">
      <c r="E638" s="1"/>
      <c r="F638" s="1"/>
      <c r="H638" s="1"/>
    </row>
    <row r="639" spans="5:8" ht="13.8">
      <c r="E639" s="1"/>
      <c r="F639" s="1"/>
      <c r="H639" s="1"/>
    </row>
    <row r="640" spans="5:8" ht="13.8">
      <c r="E640" s="1"/>
      <c r="F640" s="1"/>
      <c r="H640" s="1"/>
    </row>
    <row r="641" spans="5:8" ht="13.8">
      <c r="E641" s="1"/>
      <c r="F641" s="1"/>
      <c r="H641" s="1"/>
    </row>
    <row r="642" spans="5:8" ht="13.8">
      <c r="E642" s="1"/>
      <c r="F642" s="1"/>
      <c r="H642" s="1"/>
    </row>
    <row r="643" spans="5:8" ht="13.8">
      <c r="E643" s="1"/>
      <c r="F643" s="1"/>
      <c r="H643" s="1"/>
    </row>
    <row r="644" spans="5:8" ht="13.8">
      <c r="E644" s="1"/>
      <c r="F644" s="1"/>
      <c r="H644" s="1"/>
    </row>
    <row r="645" spans="5:8" ht="13.8">
      <c r="E645" s="1"/>
      <c r="F645" s="1"/>
      <c r="H645" s="1"/>
    </row>
    <row r="646" spans="5:8" ht="13.8">
      <c r="E646" s="1"/>
      <c r="F646" s="1"/>
      <c r="H646" s="1"/>
    </row>
    <row r="647" spans="5:8" ht="13.8">
      <c r="E647" s="1"/>
      <c r="F647" s="1"/>
      <c r="H647" s="1"/>
    </row>
    <row r="648" spans="5:8" ht="13.8">
      <c r="E648" s="1"/>
      <c r="F648" s="1"/>
      <c r="H648" s="1"/>
    </row>
    <row r="649" spans="5:8" ht="13.8">
      <c r="E649" s="1"/>
      <c r="F649" s="1"/>
      <c r="H649" s="1"/>
    </row>
    <row r="650" spans="5:8" ht="13.8">
      <c r="E650" s="1"/>
      <c r="F650" s="1"/>
      <c r="H650" s="1"/>
    </row>
    <row r="651" spans="5:8" ht="13.8">
      <c r="E651" s="1"/>
      <c r="F651" s="1"/>
      <c r="H651" s="1"/>
    </row>
    <row r="652" spans="5:8" ht="13.8">
      <c r="E652" s="1"/>
      <c r="F652" s="1"/>
      <c r="H652" s="1"/>
    </row>
    <row r="653" spans="5:8" ht="13.8">
      <c r="E653" s="1"/>
      <c r="F653" s="1"/>
      <c r="H653" s="1"/>
    </row>
    <row r="654" spans="5:8" ht="13.8">
      <c r="E654" s="1"/>
      <c r="F654" s="1"/>
      <c r="H654" s="1"/>
    </row>
    <row r="655" spans="5:8" ht="13.8">
      <c r="E655" s="1"/>
      <c r="F655" s="1"/>
      <c r="H655" s="1"/>
    </row>
    <row r="656" spans="5:8" ht="13.8">
      <c r="E656" s="1"/>
      <c r="F656" s="1"/>
      <c r="H656" s="1"/>
    </row>
    <row r="657" spans="5:8" ht="13.8">
      <c r="E657" s="1"/>
      <c r="F657" s="1"/>
      <c r="H657" s="1"/>
    </row>
    <row r="658" spans="5:8" ht="13.8">
      <c r="E658" s="1"/>
      <c r="F658" s="1"/>
      <c r="H658" s="1"/>
    </row>
    <row r="659" spans="5:8" ht="13.8">
      <c r="E659" s="1"/>
      <c r="F659" s="1"/>
      <c r="H659" s="1"/>
    </row>
    <row r="660" spans="5:8" ht="13.8">
      <c r="E660" s="1"/>
      <c r="F660" s="1"/>
      <c r="H660" s="1"/>
    </row>
    <row r="661" spans="5:8" ht="13.8">
      <c r="E661" s="1"/>
      <c r="F661" s="1"/>
      <c r="H661" s="1"/>
    </row>
    <row r="662" spans="5:8" ht="13.8">
      <c r="E662" s="1"/>
      <c r="F662" s="1"/>
      <c r="H662" s="1"/>
    </row>
    <row r="663" spans="5:8" ht="13.8">
      <c r="E663" s="1"/>
      <c r="F663" s="1"/>
      <c r="H663" s="1"/>
    </row>
    <row r="664" spans="5:8" ht="13.8">
      <c r="E664" s="1"/>
      <c r="F664" s="1"/>
      <c r="H664" s="1"/>
    </row>
    <row r="665" spans="5:8" ht="13.8">
      <c r="E665" s="1"/>
      <c r="F665" s="1"/>
      <c r="H665" s="1"/>
    </row>
    <row r="666" spans="5:8" ht="13.8">
      <c r="E666" s="1"/>
      <c r="F666" s="1"/>
      <c r="H666" s="1"/>
    </row>
    <row r="667" spans="5:8" ht="13.8">
      <c r="E667" s="1"/>
      <c r="F667" s="1"/>
      <c r="H667" s="1"/>
    </row>
    <row r="668" spans="5:8" ht="13.8">
      <c r="E668" s="1"/>
      <c r="F668" s="1"/>
      <c r="H668" s="1"/>
    </row>
    <row r="669" spans="5:8" ht="13.8">
      <c r="E669" s="1"/>
      <c r="F669" s="1"/>
      <c r="H669" s="1"/>
    </row>
    <row r="670" spans="5:8" ht="13.8">
      <c r="E670" s="1"/>
      <c r="F670" s="1"/>
      <c r="H670" s="1"/>
    </row>
    <row r="671" spans="5:8" ht="13.8">
      <c r="E671" s="1"/>
      <c r="F671" s="1"/>
      <c r="H671" s="1"/>
    </row>
    <row r="672" spans="5:8" ht="13.8">
      <c r="E672" s="1"/>
      <c r="F672" s="1"/>
      <c r="H672" s="1"/>
    </row>
    <row r="673" spans="5:8" ht="13.8">
      <c r="E673" s="1"/>
      <c r="F673" s="1"/>
      <c r="H673" s="1"/>
    </row>
    <row r="674" spans="5:8" ht="13.8">
      <c r="E674" s="1"/>
      <c r="F674" s="1"/>
      <c r="H674" s="1"/>
    </row>
    <row r="675" spans="5:8" ht="13.8">
      <c r="E675" s="1"/>
      <c r="F675" s="1"/>
      <c r="H675" s="1"/>
    </row>
    <row r="676" spans="5:8" ht="13.8">
      <c r="E676" s="1"/>
      <c r="F676" s="1"/>
      <c r="H676" s="1"/>
    </row>
    <row r="677" spans="5:8" ht="13.8">
      <c r="E677" s="1"/>
      <c r="F677" s="1"/>
      <c r="H677" s="1"/>
    </row>
    <row r="678" spans="5:8" ht="13.8">
      <c r="E678" s="1"/>
      <c r="F678" s="1"/>
      <c r="H678" s="1"/>
    </row>
    <row r="679" spans="5:8" ht="13.8">
      <c r="E679" s="1"/>
      <c r="F679" s="1"/>
      <c r="H679" s="1"/>
    </row>
    <row r="680" spans="5:8" ht="13.8">
      <c r="E680" s="1"/>
      <c r="F680" s="1"/>
      <c r="H680" s="1"/>
    </row>
    <row r="681" spans="5:8" ht="13.8">
      <c r="E681" s="1"/>
      <c r="F681" s="1"/>
      <c r="H681" s="1"/>
    </row>
    <row r="682" spans="5:8" ht="13.8">
      <c r="E682" s="1"/>
      <c r="F682" s="1"/>
      <c r="H682" s="1"/>
    </row>
    <row r="683" spans="5:8" ht="13.8">
      <c r="E683" s="1"/>
      <c r="F683" s="1"/>
      <c r="H683" s="1"/>
    </row>
    <row r="684" spans="5:8" ht="13.8">
      <c r="E684" s="1"/>
      <c r="F684" s="1"/>
      <c r="H684" s="1"/>
    </row>
    <row r="685" spans="5:8" ht="13.8">
      <c r="E685" s="1"/>
      <c r="F685" s="1"/>
      <c r="H685" s="1"/>
    </row>
    <row r="686" spans="5:8" ht="13.8">
      <c r="E686" s="1"/>
      <c r="F686" s="1"/>
      <c r="H686" s="1"/>
    </row>
    <row r="687" spans="5:8" ht="13.8">
      <c r="E687" s="1"/>
      <c r="F687" s="1"/>
      <c r="H687" s="1"/>
    </row>
    <row r="688" spans="5:8" ht="13.8">
      <c r="E688" s="1"/>
      <c r="F688" s="1"/>
      <c r="H688" s="1"/>
    </row>
    <row r="689" spans="5:8" ht="13.8">
      <c r="E689" s="1"/>
      <c r="F689" s="1"/>
      <c r="H689" s="1"/>
    </row>
    <row r="690" spans="5:8" ht="13.8">
      <c r="E690" s="1"/>
      <c r="F690" s="1"/>
      <c r="H690" s="1"/>
    </row>
    <row r="691" spans="5:8" ht="13.8">
      <c r="E691" s="1"/>
      <c r="F691" s="1"/>
      <c r="H691" s="1"/>
    </row>
    <row r="692" spans="5:8" ht="13.8">
      <c r="E692" s="1"/>
      <c r="F692" s="1"/>
      <c r="H692" s="1"/>
    </row>
    <row r="693" spans="5:8" ht="13.8">
      <c r="E693" s="1"/>
      <c r="F693" s="1"/>
      <c r="H693" s="1"/>
    </row>
    <row r="694" spans="5:8" ht="13.8">
      <c r="E694" s="1"/>
      <c r="F694" s="1"/>
      <c r="H694" s="1"/>
    </row>
    <row r="695" spans="5:8" ht="13.8">
      <c r="E695" s="1"/>
      <c r="F695" s="1"/>
      <c r="H695" s="1"/>
    </row>
    <row r="696" spans="5:8" ht="13.8">
      <c r="E696" s="1"/>
      <c r="F696" s="1"/>
      <c r="H696" s="1"/>
    </row>
    <row r="697" spans="5:8" ht="13.8">
      <c r="E697" s="1"/>
      <c r="F697" s="1"/>
      <c r="H697" s="1"/>
    </row>
    <row r="698" spans="5:8" ht="13.8">
      <c r="E698" s="1"/>
      <c r="F698" s="1"/>
      <c r="H698" s="1"/>
    </row>
    <row r="699" spans="5:8" ht="13.8">
      <c r="E699" s="1"/>
      <c r="F699" s="1"/>
      <c r="H699" s="1"/>
    </row>
    <row r="700" spans="5:8" ht="13.8">
      <c r="E700" s="1"/>
      <c r="F700" s="1"/>
      <c r="H700" s="1"/>
    </row>
    <row r="701" spans="5:8" ht="13.8">
      <c r="E701" s="1"/>
      <c r="F701" s="1"/>
      <c r="H701" s="1"/>
    </row>
    <row r="702" spans="5:8" ht="13.8">
      <c r="E702" s="1"/>
      <c r="F702" s="1"/>
      <c r="H702" s="1"/>
    </row>
    <row r="703" spans="5:8" ht="13.8">
      <c r="E703" s="1"/>
      <c r="F703" s="1"/>
      <c r="H703" s="1"/>
    </row>
    <row r="704" spans="5:8" ht="13.8">
      <c r="E704" s="1"/>
      <c r="F704" s="1"/>
      <c r="H704" s="1"/>
    </row>
    <row r="705" spans="5:8" ht="13.8">
      <c r="E705" s="1"/>
      <c r="F705" s="1"/>
      <c r="H705" s="1"/>
    </row>
    <row r="706" spans="5:8" ht="13.8">
      <c r="E706" s="1"/>
      <c r="F706" s="1"/>
      <c r="H706" s="1"/>
    </row>
    <row r="707" spans="5:8" ht="13.8">
      <c r="E707" s="1"/>
      <c r="F707" s="1"/>
      <c r="H707" s="1"/>
    </row>
    <row r="708" spans="5:8" ht="13.8">
      <c r="E708" s="1"/>
      <c r="F708" s="1"/>
      <c r="H708" s="1"/>
    </row>
    <row r="709" spans="5:8" ht="13.8">
      <c r="E709" s="1"/>
      <c r="F709" s="1"/>
      <c r="H709" s="1"/>
    </row>
    <row r="710" spans="5:8" ht="13.8">
      <c r="E710" s="1"/>
      <c r="F710" s="1"/>
      <c r="H710" s="1"/>
    </row>
    <row r="711" spans="5:8" ht="13.8">
      <c r="E711" s="1"/>
      <c r="F711" s="1"/>
      <c r="H711" s="1"/>
    </row>
    <row r="712" spans="5:8" ht="13.8">
      <c r="E712" s="1"/>
      <c r="F712" s="1"/>
      <c r="H712" s="1"/>
    </row>
    <row r="713" spans="5:8" ht="13.8">
      <c r="E713" s="1"/>
      <c r="F713" s="1"/>
      <c r="H713" s="1"/>
    </row>
    <row r="714" spans="5:8" ht="13.8">
      <c r="E714" s="1"/>
      <c r="F714" s="1"/>
      <c r="H714" s="1"/>
    </row>
    <row r="715" spans="5:8" ht="13.8">
      <c r="E715" s="1"/>
      <c r="F715" s="1"/>
      <c r="H715" s="1"/>
    </row>
    <row r="716" spans="5:8" ht="13.8">
      <c r="E716" s="1"/>
      <c r="F716" s="1"/>
      <c r="H716" s="1"/>
    </row>
    <row r="717" spans="5:8" ht="13.8">
      <c r="E717" s="1"/>
      <c r="F717" s="1"/>
      <c r="H717" s="1"/>
    </row>
    <row r="718" spans="5:8" ht="13.8">
      <c r="E718" s="1"/>
      <c r="F718" s="1"/>
      <c r="H718" s="1"/>
    </row>
    <row r="719" spans="5:8" ht="13.8">
      <c r="E719" s="1"/>
      <c r="F719" s="1"/>
      <c r="H719" s="1"/>
    </row>
    <row r="720" spans="5:8" ht="13.8">
      <c r="E720" s="1"/>
      <c r="F720" s="1"/>
      <c r="H720" s="1"/>
    </row>
    <row r="721" spans="5:8" ht="13.8">
      <c r="E721" s="1"/>
      <c r="F721" s="1"/>
      <c r="H721" s="1"/>
    </row>
    <row r="722" spans="5:8" ht="13.8">
      <c r="E722" s="1"/>
      <c r="F722" s="1"/>
      <c r="H722" s="1"/>
    </row>
    <row r="723" spans="5:8" ht="13.8">
      <c r="E723" s="1"/>
      <c r="F723" s="1"/>
      <c r="H723" s="1"/>
    </row>
    <row r="724" spans="5:8" ht="13.8">
      <c r="E724" s="1"/>
      <c r="F724" s="1"/>
      <c r="H724" s="1"/>
    </row>
    <row r="725" spans="5:8" ht="13.8">
      <c r="E725" s="1"/>
      <c r="F725" s="1"/>
      <c r="H725" s="1"/>
    </row>
    <row r="726" spans="5:8" ht="13.8">
      <c r="E726" s="1"/>
      <c r="F726" s="1"/>
      <c r="H726" s="1"/>
    </row>
    <row r="727" spans="5:8" ht="13.8">
      <c r="E727" s="1"/>
      <c r="F727" s="1"/>
      <c r="H727" s="1"/>
    </row>
    <row r="728" spans="5:8" ht="13.8">
      <c r="E728" s="1"/>
      <c r="F728" s="1"/>
      <c r="H728" s="1"/>
    </row>
    <row r="729" spans="5:8" ht="13.8">
      <c r="E729" s="1"/>
      <c r="F729" s="1"/>
      <c r="H729" s="1"/>
    </row>
    <row r="730" spans="5:8" ht="13.8">
      <c r="E730" s="1"/>
      <c r="F730" s="1"/>
      <c r="H730" s="1"/>
    </row>
    <row r="731" spans="5:8" ht="13.8">
      <c r="E731" s="1"/>
      <c r="F731" s="1"/>
      <c r="H731" s="1"/>
    </row>
    <row r="732" spans="5:8" ht="13.8">
      <c r="E732" s="1"/>
      <c r="F732" s="1"/>
      <c r="H732" s="1"/>
    </row>
    <row r="733" spans="5:8" ht="13.8">
      <c r="E733" s="1"/>
      <c r="F733" s="1"/>
      <c r="H733" s="1"/>
    </row>
    <row r="734" spans="5:8" ht="13.8">
      <c r="E734" s="1"/>
      <c r="F734" s="1"/>
      <c r="H734" s="1"/>
    </row>
    <row r="735" spans="5:8" ht="13.8">
      <c r="E735" s="1"/>
      <c r="F735" s="1"/>
      <c r="H735" s="1"/>
    </row>
    <row r="736" spans="5:8" ht="13.8">
      <c r="E736" s="1"/>
      <c r="F736" s="1"/>
      <c r="H736" s="1"/>
    </row>
    <row r="737" spans="5:8" ht="13.8">
      <c r="E737" s="1"/>
      <c r="F737" s="1"/>
      <c r="H737" s="1"/>
    </row>
    <row r="738" spans="5:8" ht="13.8">
      <c r="E738" s="1"/>
      <c r="F738" s="1"/>
      <c r="H738" s="1"/>
    </row>
    <row r="739" spans="5:8" ht="13.8">
      <c r="E739" s="1"/>
      <c r="F739" s="1"/>
      <c r="H739" s="1"/>
    </row>
    <row r="740" spans="5:8" ht="13.8">
      <c r="E740" s="1"/>
      <c r="F740" s="1"/>
      <c r="H740" s="1"/>
    </row>
    <row r="741" spans="5:8" ht="13.8">
      <c r="E741" s="1"/>
      <c r="F741" s="1"/>
      <c r="H741" s="1"/>
    </row>
    <row r="742" spans="5:8" ht="13.8">
      <c r="E742" s="1"/>
      <c r="F742" s="1"/>
      <c r="H742" s="1"/>
    </row>
    <row r="743" spans="5:8" ht="13.8">
      <c r="E743" s="1"/>
      <c r="F743" s="1"/>
      <c r="H743" s="1"/>
    </row>
    <row r="744" spans="5:8" ht="13.8">
      <c r="E744" s="1"/>
      <c r="F744" s="1"/>
      <c r="H744" s="1"/>
    </row>
    <row r="745" spans="5:8" ht="13.8">
      <c r="E745" s="1"/>
      <c r="F745" s="1"/>
      <c r="H745" s="1"/>
    </row>
    <row r="746" spans="5:8" ht="13.8">
      <c r="E746" s="1"/>
      <c r="F746" s="1"/>
      <c r="H746" s="1"/>
    </row>
    <row r="747" spans="5:8" ht="13.8">
      <c r="E747" s="1"/>
      <c r="F747" s="1"/>
      <c r="H747" s="1"/>
    </row>
    <row r="748" spans="5:8" ht="13.8">
      <c r="E748" s="1"/>
      <c r="F748" s="1"/>
      <c r="H748" s="1"/>
    </row>
    <row r="749" spans="5:8" ht="13.8">
      <c r="E749" s="1"/>
      <c r="F749" s="1"/>
      <c r="H749" s="1"/>
    </row>
    <row r="750" spans="5:8" ht="13.8">
      <c r="E750" s="1"/>
      <c r="F750" s="1"/>
      <c r="H750" s="1"/>
    </row>
    <row r="751" spans="5:8" ht="13.8">
      <c r="E751" s="1"/>
      <c r="F751" s="1"/>
      <c r="H751" s="1"/>
    </row>
    <row r="752" spans="5:8" ht="13.8">
      <c r="E752" s="1"/>
      <c r="F752" s="1"/>
      <c r="H752" s="1"/>
    </row>
    <row r="753" spans="5:8" ht="13.8">
      <c r="E753" s="1"/>
      <c r="F753" s="1"/>
      <c r="H753" s="1"/>
    </row>
    <row r="754" spans="5:8" ht="13.8">
      <c r="E754" s="1"/>
      <c r="F754" s="1"/>
      <c r="H754" s="1"/>
    </row>
    <row r="755" spans="5:8" ht="13.8">
      <c r="E755" s="1"/>
      <c r="F755" s="1"/>
      <c r="H755" s="1"/>
    </row>
    <row r="756" spans="5:8" ht="13.8">
      <c r="E756" s="1"/>
      <c r="F756" s="1"/>
      <c r="H756" s="1"/>
    </row>
    <row r="757" spans="5:8" ht="13.8">
      <c r="E757" s="1"/>
      <c r="F757" s="1"/>
      <c r="H757" s="1"/>
    </row>
    <row r="758" spans="5:8" ht="13.8">
      <c r="E758" s="1"/>
      <c r="F758" s="1"/>
      <c r="H758" s="1"/>
    </row>
    <row r="759" spans="5:8" ht="13.8">
      <c r="E759" s="1"/>
      <c r="F759" s="1"/>
      <c r="H759" s="1"/>
    </row>
    <row r="760" spans="5:8" ht="13.8">
      <c r="E760" s="1"/>
      <c r="F760" s="1"/>
      <c r="H760" s="1"/>
    </row>
    <row r="761" spans="5:8" ht="13.8">
      <c r="E761" s="1"/>
      <c r="F761" s="1"/>
      <c r="H761" s="1"/>
    </row>
    <row r="762" spans="5:8" ht="13.8">
      <c r="E762" s="1"/>
      <c r="F762" s="1"/>
      <c r="H762" s="1"/>
    </row>
    <row r="763" spans="5:8" ht="13.8">
      <c r="E763" s="1"/>
      <c r="F763" s="1"/>
      <c r="H763" s="1"/>
    </row>
    <row r="764" spans="5:8" ht="13.8">
      <c r="E764" s="1"/>
      <c r="F764" s="1"/>
      <c r="H764" s="1"/>
    </row>
    <row r="765" spans="5:8" ht="13.8">
      <c r="E765" s="1"/>
      <c r="F765" s="1"/>
      <c r="H765" s="1"/>
    </row>
    <row r="766" spans="5:8" ht="13.8">
      <c r="E766" s="1"/>
      <c r="F766" s="1"/>
      <c r="H766" s="1"/>
    </row>
    <row r="767" spans="5:8" ht="13.8">
      <c r="E767" s="1"/>
      <c r="F767" s="1"/>
      <c r="H767" s="1"/>
    </row>
    <row r="768" spans="5:8" ht="13.8">
      <c r="E768" s="1"/>
      <c r="F768" s="1"/>
      <c r="H768" s="1"/>
    </row>
    <row r="769" spans="5:8" ht="13.8">
      <c r="E769" s="1"/>
      <c r="F769" s="1"/>
      <c r="H769" s="1"/>
    </row>
    <row r="770" spans="5:8" ht="13.8">
      <c r="E770" s="1"/>
      <c r="F770" s="1"/>
      <c r="H770" s="1"/>
    </row>
    <row r="771" spans="5:8" ht="13.8">
      <c r="E771" s="1"/>
      <c r="F771" s="1"/>
      <c r="H771" s="1"/>
    </row>
    <row r="772" spans="5:8" ht="13.8">
      <c r="E772" s="1"/>
      <c r="F772" s="1"/>
      <c r="H772" s="1"/>
    </row>
    <row r="773" spans="5:8" ht="13.8">
      <c r="E773" s="1"/>
      <c r="F773" s="1"/>
      <c r="H773" s="1"/>
    </row>
    <row r="774" spans="5:8" ht="13.8">
      <c r="E774" s="1"/>
      <c r="F774" s="1"/>
      <c r="H774" s="1"/>
    </row>
    <row r="775" spans="5:8" ht="13.8">
      <c r="E775" s="1"/>
      <c r="F775" s="1"/>
      <c r="H775" s="1"/>
    </row>
    <row r="776" spans="5:8" ht="13.8">
      <c r="E776" s="1"/>
      <c r="F776" s="1"/>
      <c r="H776" s="1"/>
    </row>
    <row r="777" spans="5:8" ht="13.8">
      <c r="E777" s="1"/>
      <c r="F777" s="1"/>
      <c r="H777" s="1"/>
    </row>
    <row r="778" spans="5:8" ht="13.8">
      <c r="E778" s="1"/>
      <c r="F778" s="1"/>
      <c r="H778" s="1"/>
    </row>
    <row r="779" spans="5:8" ht="13.8">
      <c r="E779" s="1"/>
      <c r="F779" s="1"/>
      <c r="H779" s="1"/>
    </row>
    <row r="780" spans="5:8" ht="13.8">
      <c r="E780" s="1"/>
      <c r="F780" s="1"/>
      <c r="H780" s="1"/>
    </row>
    <row r="781" spans="5:8" ht="13.8">
      <c r="E781" s="1"/>
      <c r="F781" s="1"/>
      <c r="H781" s="1"/>
    </row>
    <row r="782" spans="5:8" ht="13.8">
      <c r="E782" s="1"/>
      <c r="F782" s="1"/>
      <c r="H782" s="1"/>
    </row>
    <row r="783" spans="5:8" ht="13.8">
      <c r="E783" s="1"/>
      <c r="F783" s="1"/>
      <c r="H783" s="1"/>
    </row>
    <row r="784" spans="5:8" ht="13.8">
      <c r="E784" s="1"/>
      <c r="F784" s="1"/>
      <c r="H784" s="1"/>
    </row>
    <row r="785" spans="5:8" ht="13.8">
      <c r="E785" s="1"/>
      <c r="F785" s="1"/>
      <c r="H785" s="1"/>
    </row>
    <row r="786" spans="5:8" ht="13.8">
      <c r="E786" s="1"/>
      <c r="F786" s="1"/>
      <c r="H786" s="1"/>
    </row>
    <row r="787" spans="5:8" ht="13.8">
      <c r="E787" s="1"/>
      <c r="F787" s="1"/>
      <c r="H787" s="1"/>
    </row>
    <row r="788" spans="5:8" ht="13.8">
      <c r="E788" s="1"/>
      <c r="F788" s="1"/>
      <c r="H788" s="1"/>
    </row>
    <row r="789" spans="5:8" ht="13.8">
      <c r="E789" s="1"/>
      <c r="F789" s="1"/>
      <c r="H789" s="1"/>
    </row>
    <row r="790" spans="5:8" ht="13.8">
      <c r="E790" s="1"/>
      <c r="F790" s="1"/>
      <c r="H790" s="1"/>
    </row>
    <row r="791" spans="5:8" ht="13.8">
      <c r="E791" s="1"/>
      <c r="F791" s="1"/>
      <c r="H791" s="1"/>
    </row>
    <row r="792" spans="5:8" ht="13.8">
      <c r="E792" s="1"/>
      <c r="F792" s="1"/>
      <c r="H792" s="1"/>
    </row>
    <row r="793" spans="5:8" ht="13.8">
      <c r="E793" s="1"/>
      <c r="F793" s="1"/>
      <c r="H793" s="1"/>
    </row>
    <row r="794" spans="5:8" ht="13.8">
      <c r="E794" s="1"/>
      <c r="F794" s="1"/>
      <c r="H794" s="1"/>
    </row>
    <row r="795" spans="5:8" ht="13.8">
      <c r="E795" s="1"/>
      <c r="F795" s="1"/>
      <c r="H795" s="1"/>
    </row>
    <row r="796" spans="5:8" ht="13.8">
      <c r="E796" s="1"/>
      <c r="F796" s="1"/>
      <c r="H796" s="1"/>
    </row>
    <row r="797" spans="5:8" ht="13.8">
      <c r="E797" s="1"/>
      <c r="F797" s="1"/>
      <c r="H797" s="1"/>
    </row>
    <row r="798" spans="5:8" ht="13.8">
      <c r="E798" s="1"/>
      <c r="F798" s="1"/>
      <c r="H798" s="1"/>
    </row>
    <row r="799" spans="5:8" ht="13.8">
      <c r="E799" s="1"/>
      <c r="F799" s="1"/>
      <c r="H799" s="1"/>
    </row>
    <row r="800" spans="5:8" ht="13.8">
      <c r="E800" s="1"/>
      <c r="F800" s="1"/>
      <c r="H800" s="1"/>
    </row>
    <row r="801" spans="5:8" ht="13.8">
      <c r="E801" s="1"/>
      <c r="F801" s="1"/>
      <c r="H801" s="1"/>
    </row>
    <row r="802" spans="5:8" ht="13.8">
      <c r="E802" s="1"/>
      <c r="F802" s="1"/>
      <c r="H802" s="1"/>
    </row>
    <row r="803" spans="5:8" ht="13.8">
      <c r="E803" s="1"/>
      <c r="F803" s="1"/>
      <c r="H803" s="1"/>
    </row>
    <row r="804" spans="5:8" ht="13.8">
      <c r="E804" s="1"/>
      <c r="F804" s="1"/>
      <c r="H804" s="1"/>
    </row>
    <row r="805" spans="5:8" ht="13.8">
      <c r="E805" s="1"/>
      <c r="F805" s="1"/>
      <c r="H805" s="1"/>
    </row>
    <row r="806" spans="5:8" ht="13.8">
      <c r="E806" s="1"/>
      <c r="F806" s="1"/>
      <c r="H806" s="1"/>
    </row>
    <row r="807" spans="5:8" ht="13.8">
      <c r="E807" s="1"/>
      <c r="F807" s="1"/>
      <c r="H807" s="1"/>
    </row>
    <row r="808" spans="5:8" ht="13.8">
      <c r="E808" s="1"/>
      <c r="F808" s="1"/>
      <c r="H808" s="1"/>
    </row>
    <row r="809" spans="5:8" ht="13.8">
      <c r="E809" s="1"/>
      <c r="F809" s="1"/>
      <c r="H809" s="1"/>
    </row>
    <row r="810" spans="5:8" ht="13.8">
      <c r="E810" s="1"/>
      <c r="F810" s="1"/>
      <c r="H810" s="1"/>
    </row>
    <row r="811" spans="5:8" ht="13.8">
      <c r="E811" s="1"/>
      <c r="F811" s="1"/>
      <c r="H811" s="1"/>
    </row>
    <row r="812" spans="5:8" ht="13.8">
      <c r="E812" s="1"/>
      <c r="F812" s="1"/>
      <c r="H812" s="1"/>
    </row>
    <row r="813" spans="5:8" ht="13.8">
      <c r="E813" s="1"/>
      <c r="F813" s="1"/>
      <c r="H813" s="1"/>
    </row>
    <row r="814" spans="5:8" ht="13.8">
      <c r="E814" s="1"/>
      <c r="F814" s="1"/>
      <c r="H814" s="1"/>
    </row>
    <row r="815" spans="5:8" ht="13.8">
      <c r="E815" s="1"/>
      <c r="F815" s="1"/>
      <c r="H815" s="1"/>
    </row>
    <row r="816" spans="5:8" ht="13.8">
      <c r="E816" s="1"/>
      <c r="F816" s="1"/>
      <c r="H816" s="1"/>
    </row>
    <row r="817" spans="5:8" ht="13.8">
      <c r="E817" s="1"/>
      <c r="F817" s="1"/>
      <c r="H817" s="1"/>
    </row>
    <row r="818" spans="5:8" ht="13.8">
      <c r="E818" s="1"/>
      <c r="F818" s="1"/>
      <c r="H818" s="1"/>
    </row>
    <row r="819" spans="5:8" ht="13.8">
      <c r="E819" s="1"/>
      <c r="F819" s="1"/>
      <c r="H819" s="1"/>
    </row>
    <row r="820" spans="5:8" ht="13.8">
      <c r="E820" s="1"/>
      <c r="F820" s="1"/>
      <c r="H820" s="1"/>
    </row>
    <row r="821" spans="5:8" ht="13.8">
      <c r="E821" s="1"/>
      <c r="F821" s="1"/>
      <c r="H821" s="1"/>
    </row>
    <row r="822" spans="5:8" ht="13.8">
      <c r="E822" s="1"/>
      <c r="F822" s="1"/>
      <c r="H822" s="1"/>
    </row>
    <row r="823" spans="5:8" ht="13.8">
      <c r="E823" s="1"/>
      <c r="F823" s="1"/>
      <c r="H823" s="1"/>
    </row>
    <row r="824" spans="5:8" ht="13.8">
      <c r="E824" s="1"/>
      <c r="F824" s="1"/>
      <c r="H824" s="1"/>
    </row>
    <row r="825" spans="5:8" ht="13.8">
      <c r="E825" s="1"/>
      <c r="F825" s="1"/>
      <c r="H825" s="1"/>
    </row>
    <row r="826" spans="5:8" ht="13.8">
      <c r="E826" s="1"/>
      <c r="F826" s="1"/>
      <c r="H826" s="1"/>
    </row>
    <row r="827" spans="5:8" ht="13.8">
      <c r="E827" s="1"/>
      <c r="F827" s="1"/>
      <c r="H827" s="1"/>
    </row>
    <row r="828" spans="5:8" ht="13.8">
      <c r="E828" s="1"/>
      <c r="F828" s="1"/>
      <c r="H828" s="1"/>
    </row>
    <row r="829" spans="5:8" ht="13.8">
      <c r="E829" s="1"/>
      <c r="F829" s="1"/>
      <c r="H829" s="1"/>
    </row>
    <row r="830" spans="5:8" ht="13.8">
      <c r="E830" s="1"/>
      <c r="F830" s="1"/>
      <c r="H830" s="1"/>
    </row>
    <row r="831" spans="5:8" ht="13.8">
      <c r="E831" s="1"/>
      <c r="F831" s="1"/>
      <c r="H831" s="1"/>
    </row>
    <row r="832" spans="5:8" ht="13.8">
      <c r="E832" s="1"/>
      <c r="F832" s="1"/>
      <c r="H832" s="1"/>
    </row>
    <row r="833" spans="5:8" ht="13.8">
      <c r="E833" s="1"/>
      <c r="F833" s="1"/>
      <c r="H833" s="1"/>
    </row>
    <row r="834" spans="5:8" ht="13.8">
      <c r="E834" s="1"/>
      <c r="F834" s="1"/>
      <c r="H834" s="1"/>
    </row>
    <row r="835" spans="5:8" ht="13.8">
      <c r="E835" s="1"/>
      <c r="F835" s="1"/>
      <c r="H835" s="1"/>
    </row>
    <row r="836" spans="5:8" ht="13.8">
      <c r="E836" s="1"/>
      <c r="F836" s="1"/>
      <c r="H836" s="1"/>
    </row>
    <row r="837" spans="5:8" ht="13.8">
      <c r="E837" s="1"/>
      <c r="F837" s="1"/>
      <c r="H837" s="1"/>
    </row>
    <row r="838" spans="5:8" ht="13.8">
      <c r="E838" s="1"/>
      <c r="F838" s="1"/>
      <c r="H838" s="1"/>
    </row>
    <row r="839" spans="5:8" ht="13.8">
      <c r="E839" s="1"/>
      <c r="F839" s="1"/>
      <c r="H839" s="1"/>
    </row>
    <row r="840" spans="5:8" ht="13.8">
      <c r="E840" s="1"/>
      <c r="F840" s="1"/>
      <c r="H840" s="1"/>
    </row>
    <row r="841" spans="5:8" ht="13.8">
      <c r="E841" s="1"/>
      <c r="F841" s="1"/>
      <c r="H841" s="1"/>
    </row>
    <row r="842" spans="5:8" ht="13.8">
      <c r="E842" s="1"/>
      <c r="F842" s="1"/>
      <c r="H842" s="1"/>
    </row>
    <row r="843" spans="5:8" ht="13.8">
      <c r="E843" s="1"/>
      <c r="F843" s="1"/>
      <c r="H843" s="1"/>
    </row>
    <row r="844" spans="5:8" ht="13.8">
      <c r="E844" s="1"/>
      <c r="F844" s="1"/>
      <c r="H844" s="1"/>
    </row>
    <row r="845" spans="5:8" ht="13.8">
      <c r="E845" s="1"/>
      <c r="F845" s="1"/>
      <c r="H845" s="1"/>
    </row>
    <row r="846" spans="5:8" ht="13.8">
      <c r="E846" s="1"/>
      <c r="F846" s="1"/>
      <c r="H846" s="1"/>
    </row>
    <row r="847" spans="5:8" ht="13.8">
      <c r="E847" s="1"/>
      <c r="F847" s="1"/>
      <c r="H847" s="1"/>
    </row>
    <row r="848" spans="5:8" ht="13.8">
      <c r="E848" s="1"/>
      <c r="F848" s="1"/>
      <c r="H848" s="1"/>
    </row>
    <row r="849" spans="5:8" ht="13.8">
      <c r="E849" s="1"/>
      <c r="F849" s="1"/>
      <c r="H849" s="1"/>
    </row>
    <row r="850" spans="5:8" ht="13.8">
      <c r="E850" s="1"/>
      <c r="F850" s="1"/>
      <c r="H850" s="1"/>
    </row>
    <row r="851" spans="5:8" ht="13.8">
      <c r="E851" s="1"/>
      <c r="F851" s="1"/>
      <c r="H851" s="1"/>
    </row>
    <row r="852" spans="5:8" ht="13.8">
      <c r="E852" s="1"/>
      <c r="F852" s="1"/>
      <c r="H852" s="1"/>
    </row>
    <row r="853" spans="5:8" ht="13.8">
      <c r="E853" s="1"/>
      <c r="F853" s="1"/>
      <c r="H853" s="1"/>
    </row>
    <row r="854" spans="5:8" ht="13.8">
      <c r="E854" s="1"/>
      <c r="F854" s="1"/>
      <c r="H854" s="1"/>
    </row>
    <row r="855" spans="5:8" ht="13.8">
      <c r="E855" s="1"/>
      <c r="F855" s="1"/>
      <c r="H855" s="1"/>
    </row>
    <row r="856" spans="5:8" ht="13.8">
      <c r="E856" s="1"/>
      <c r="F856" s="1"/>
      <c r="H856" s="1"/>
    </row>
    <row r="857" spans="5:8" ht="13.8">
      <c r="E857" s="1"/>
      <c r="F857" s="1"/>
      <c r="H857" s="1"/>
    </row>
    <row r="858" spans="5:8" ht="13.8">
      <c r="E858" s="1"/>
      <c r="F858" s="1"/>
      <c r="H858" s="1"/>
    </row>
    <row r="859" spans="5:8" ht="13.8">
      <c r="E859" s="1"/>
      <c r="F859" s="1"/>
      <c r="H859" s="1"/>
    </row>
    <row r="860" spans="5:8" ht="13.8">
      <c r="E860" s="1"/>
      <c r="F860" s="1"/>
      <c r="H860" s="1"/>
    </row>
    <row r="861" spans="5:8" ht="13.8">
      <c r="E861" s="1"/>
      <c r="F861" s="1"/>
      <c r="H861" s="1"/>
    </row>
    <row r="862" spans="5:8" ht="13.8">
      <c r="E862" s="1"/>
      <c r="F862" s="1"/>
      <c r="H862" s="1"/>
    </row>
    <row r="863" spans="5:8" ht="13.8">
      <c r="E863" s="1"/>
      <c r="F863" s="1"/>
      <c r="H863" s="1"/>
    </row>
    <row r="864" spans="5:8" ht="13.8">
      <c r="E864" s="1"/>
      <c r="F864" s="1"/>
      <c r="H864" s="1"/>
    </row>
    <row r="865" spans="5:8" ht="13.8">
      <c r="E865" s="1"/>
      <c r="F865" s="1"/>
      <c r="H865" s="1"/>
    </row>
    <row r="866" spans="5:8" ht="13.8">
      <c r="E866" s="1"/>
      <c r="F866" s="1"/>
      <c r="H866" s="1"/>
    </row>
    <row r="867" spans="5:8" ht="13.8">
      <c r="E867" s="1"/>
      <c r="F867" s="1"/>
      <c r="H867" s="1"/>
    </row>
    <row r="868" spans="5:8" ht="13.8">
      <c r="E868" s="1"/>
      <c r="F868" s="1"/>
      <c r="H868" s="1"/>
    </row>
    <row r="869" spans="5:8" ht="13.8">
      <c r="E869" s="1"/>
      <c r="F869" s="1"/>
      <c r="H869" s="1"/>
    </row>
    <row r="870" spans="5:8" ht="13.8">
      <c r="E870" s="1"/>
      <c r="F870" s="1"/>
      <c r="H870" s="1"/>
    </row>
    <row r="871" spans="5:8" ht="13.8">
      <c r="E871" s="1"/>
      <c r="F871" s="1"/>
      <c r="H871" s="1"/>
    </row>
    <row r="872" spans="5:8" ht="13.8">
      <c r="E872" s="1"/>
      <c r="F872" s="1"/>
      <c r="H872" s="1"/>
    </row>
    <row r="873" spans="5:8" ht="13.8">
      <c r="E873" s="1"/>
      <c r="F873" s="1"/>
      <c r="H873" s="1"/>
    </row>
    <row r="874" spans="5:8" ht="13.8">
      <c r="E874" s="1"/>
      <c r="F874" s="1"/>
      <c r="H874" s="1"/>
    </row>
    <row r="875" spans="5:8" ht="13.8">
      <c r="E875" s="1"/>
      <c r="F875" s="1"/>
      <c r="H875" s="1"/>
    </row>
    <row r="876" spans="5:8" ht="13.8">
      <c r="E876" s="1"/>
      <c r="F876" s="1"/>
      <c r="H876" s="1"/>
    </row>
    <row r="877" spans="5:8" ht="13.8">
      <c r="E877" s="1"/>
      <c r="F877" s="1"/>
      <c r="H877" s="1"/>
    </row>
    <row r="878" spans="5:8" ht="13.8">
      <c r="E878" s="1"/>
      <c r="F878" s="1"/>
      <c r="H878" s="1"/>
    </row>
    <row r="879" spans="5:8" ht="13.8">
      <c r="E879" s="1"/>
      <c r="F879" s="1"/>
      <c r="H879" s="1"/>
    </row>
    <row r="880" spans="5:8" ht="13.8">
      <c r="E880" s="1"/>
      <c r="F880" s="1"/>
      <c r="H880" s="1"/>
    </row>
    <row r="881" spans="5:8" ht="13.8">
      <c r="E881" s="1"/>
      <c r="F881" s="1"/>
      <c r="H881" s="1"/>
    </row>
    <row r="882" spans="5:8" ht="13.8">
      <c r="E882" s="1"/>
      <c r="F882" s="1"/>
      <c r="H882" s="1"/>
    </row>
    <row r="883" spans="5:8" ht="13.8">
      <c r="E883" s="1"/>
      <c r="F883" s="1"/>
      <c r="H883" s="1"/>
    </row>
    <row r="884" spans="5:8" ht="13.8">
      <c r="E884" s="1"/>
      <c r="F884" s="1"/>
      <c r="H884" s="1"/>
    </row>
    <row r="885" spans="5:8" ht="13.8">
      <c r="E885" s="1"/>
      <c r="F885" s="1"/>
      <c r="H885" s="1"/>
    </row>
    <row r="886" spans="5:8" ht="13.8">
      <c r="E886" s="1"/>
      <c r="F886" s="1"/>
      <c r="H886" s="1"/>
    </row>
    <row r="887" spans="5:8" ht="13.8">
      <c r="E887" s="1"/>
      <c r="F887" s="1"/>
      <c r="H887" s="1"/>
    </row>
    <row r="888" spans="5:8" ht="13.8">
      <c r="E888" s="1"/>
      <c r="F888" s="1"/>
      <c r="H888" s="1"/>
    </row>
    <row r="889" spans="5:8" ht="13.8">
      <c r="E889" s="1"/>
      <c r="F889" s="1"/>
      <c r="H889" s="1"/>
    </row>
    <row r="890" spans="5:8" ht="13.8">
      <c r="E890" s="1"/>
      <c r="F890" s="1"/>
      <c r="H890" s="1"/>
    </row>
    <row r="891" spans="5:8" ht="13.8">
      <c r="E891" s="1"/>
      <c r="F891" s="1"/>
      <c r="H891" s="1"/>
    </row>
    <row r="892" spans="5:8" ht="13.8">
      <c r="E892" s="1"/>
      <c r="F892" s="1"/>
      <c r="H892" s="1"/>
    </row>
    <row r="893" spans="5:8" ht="13.8">
      <c r="E893" s="1"/>
      <c r="F893" s="1"/>
      <c r="H893" s="1"/>
    </row>
    <row r="894" spans="5:8" ht="13.8">
      <c r="E894" s="1"/>
      <c r="F894" s="1"/>
      <c r="H894" s="1"/>
    </row>
    <row r="895" spans="5:8" ht="13.8">
      <c r="E895" s="1"/>
      <c r="F895" s="1"/>
      <c r="H895" s="1"/>
    </row>
    <row r="896" spans="5:8" ht="13.8">
      <c r="E896" s="1"/>
      <c r="F896" s="1"/>
      <c r="H896" s="1"/>
    </row>
    <row r="897" spans="5:8" ht="13.8">
      <c r="E897" s="1"/>
      <c r="F897" s="1"/>
      <c r="H897" s="1"/>
    </row>
    <row r="898" spans="5:8" ht="13.8">
      <c r="E898" s="1"/>
      <c r="F898" s="1"/>
      <c r="H898" s="1"/>
    </row>
    <row r="899" spans="5:8" ht="13.8">
      <c r="E899" s="1"/>
      <c r="F899" s="1"/>
      <c r="H899" s="1"/>
    </row>
    <row r="900" spans="5:8" ht="13.8">
      <c r="E900" s="1"/>
      <c r="F900" s="1"/>
      <c r="H900" s="1"/>
    </row>
    <row r="901" spans="5:8" ht="13.8">
      <c r="E901" s="1"/>
      <c r="F901" s="1"/>
      <c r="H901" s="1"/>
    </row>
    <row r="902" spans="5:8" ht="13.8">
      <c r="E902" s="1"/>
      <c r="F902" s="1"/>
      <c r="H902" s="1"/>
    </row>
    <row r="903" spans="5:8" ht="13.8">
      <c r="E903" s="1"/>
      <c r="F903" s="1"/>
      <c r="H903" s="1"/>
    </row>
    <row r="904" spans="5:8" ht="13.8">
      <c r="E904" s="1"/>
      <c r="F904" s="1"/>
      <c r="H904" s="1"/>
    </row>
    <row r="905" spans="5:8" ht="13.8">
      <c r="E905" s="1"/>
      <c r="F905" s="1"/>
      <c r="H905" s="1"/>
    </row>
    <row r="906" spans="5:8" ht="13.8">
      <c r="E906" s="1"/>
      <c r="F906" s="1"/>
      <c r="H906" s="1"/>
    </row>
    <row r="907" spans="5:8" ht="13.8">
      <c r="E907" s="1"/>
      <c r="F907" s="1"/>
      <c r="H907" s="1"/>
    </row>
    <row r="908" spans="5:8" ht="13.8">
      <c r="E908" s="1"/>
      <c r="F908" s="1"/>
      <c r="H908" s="1"/>
    </row>
    <row r="909" spans="5:8" ht="13.8">
      <c r="E909" s="1"/>
      <c r="F909" s="1"/>
      <c r="H909" s="1"/>
    </row>
    <row r="910" spans="5:8" ht="13.8">
      <c r="E910" s="1"/>
      <c r="F910" s="1"/>
      <c r="H910" s="1"/>
    </row>
    <row r="911" spans="5:8" ht="13.8">
      <c r="E911" s="1"/>
      <c r="F911" s="1"/>
      <c r="H911" s="1"/>
    </row>
    <row r="912" spans="5:8" ht="13.8">
      <c r="E912" s="1"/>
      <c r="F912" s="1"/>
      <c r="H912" s="1"/>
    </row>
    <row r="913" spans="5:8" ht="13.8">
      <c r="E913" s="1"/>
      <c r="F913" s="1"/>
      <c r="H913" s="1"/>
    </row>
    <row r="914" spans="5:8" ht="13.8">
      <c r="E914" s="1"/>
      <c r="F914" s="1"/>
      <c r="H914" s="1"/>
    </row>
    <row r="915" spans="5:8" ht="13.8">
      <c r="E915" s="1"/>
      <c r="F915" s="1"/>
      <c r="H915" s="1"/>
    </row>
    <row r="916" spans="5:8" ht="13.8">
      <c r="E916" s="1"/>
      <c r="F916" s="1"/>
      <c r="H916" s="1"/>
    </row>
    <row r="917" spans="5:8" ht="13.8">
      <c r="E917" s="1"/>
      <c r="F917" s="1"/>
      <c r="H917" s="1"/>
    </row>
    <row r="918" spans="5:8" ht="13.8">
      <c r="E918" s="1"/>
      <c r="F918" s="1"/>
      <c r="H918" s="1"/>
    </row>
    <row r="919" spans="5:8" ht="13.8">
      <c r="E919" s="1"/>
      <c r="F919" s="1"/>
      <c r="H919" s="1"/>
    </row>
    <row r="920" spans="5:8" ht="13.8">
      <c r="E920" s="1"/>
      <c r="F920" s="1"/>
      <c r="H920" s="1"/>
    </row>
    <row r="921" spans="5:8" ht="13.8">
      <c r="E921" s="1"/>
      <c r="F921" s="1"/>
      <c r="H921" s="1"/>
    </row>
    <row r="922" spans="5:8" ht="13.8">
      <c r="E922" s="1"/>
      <c r="F922" s="1"/>
      <c r="H922" s="1"/>
    </row>
    <row r="923" spans="5:8" ht="13.8">
      <c r="E923" s="1"/>
      <c r="F923" s="1"/>
      <c r="H923" s="1"/>
    </row>
    <row r="924" spans="5:8" ht="13.8">
      <c r="E924" s="1"/>
      <c r="F924" s="1"/>
      <c r="H924" s="1"/>
    </row>
    <row r="925" spans="5:8" ht="13.8">
      <c r="E925" s="1"/>
      <c r="F925" s="1"/>
      <c r="H925" s="1"/>
    </row>
    <row r="926" spans="5:8" ht="13.8">
      <c r="E926" s="1"/>
      <c r="F926" s="1"/>
      <c r="H926" s="1"/>
    </row>
    <row r="927" spans="5:8" ht="13.8">
      <c r="E927" s="1"/>
      <c r="F927" s="1"/>
      <c r="H927" s="1"/>
    </row>
    <row r="928" spans="5:8" ht="13.8">
      <c r="E928" s="1"/>
      <c r="F928" s="1"/>
      <c r="H928" s="1"/>
    </row>
    <row r="929" spans="5:8" ht="13.8">
      <c r="E929" s="1"/>
      <c r="F929" s="1"/>
      <c r="H929" s="1"/>
    </row>
    <row r="930" spans="5:8" ht="13.8">
      <c r="E930" s="1"/>
      <c r="F930" s="1"/>
      <c r="H930" s="1"/>
    </row>
    <row r="931" spans="5:8" ht="13.8">
      <c r="E931" s="1"/>
      <c r="F931" s="1"/>
      <c r="H931" s="1"/>
    </row>
    <row r="932" spans="5:8" ht="13.8">
      <c r="E932" s="1"/>
      <c r="F932" s="1"/>
      <c r="H932" s="1"/>
    </row>
    <row r="933" spans="5:8" ht="13.8">
      <c r="E933" s="1"/>
      <c r="F933" s="1"/>
      <c r="H933" s="1"/>
    </row>
    <row r="934" spans="5:8" ht="13.8">
      <c r="E934" s="1"/>
      <c r="F934" s="1"/>
      <c r="H934" s="1"/>
    </row>
    <row r="935" spans="5:8" ht="13.8">
      <c r="E935" s="1"/>
      <c r="F935" s="1"/>
      <c r="H935" s="1"/>
    </row>
    <row r="936" spans="5:8" ht="13.8">
      <c r="E936" s="1"/>
      <c r="F936" s="1"/>
      <c r="H936" s="1"/>
    </row>
    <row r="937" spans="5:8" ht="13.8">
      <c r="E937" s="1"/>
      <c r="F937" s="1"/>
      <c r="H937" s="1"/>
    </row>
    <row r="938" spans="5:8" ht="13.8">
      <c r="E938" s="1"/>
      <c r="F938" s="1"/>
      <c r="H938" s="1"/>
    </row>
    <row r="939" spans="5:8" ht="13.8">
      <c r="E939" s="1"/>
      <c r="F939" s="1"/>
      <c r="H939" s="1"/>
    </row>
    <row r="940" spans="5:8" ht="13.8">
      <c r="E940" s="1"/>
      <c r="F940" s="1"/>
      <c r="H940" s="1"/>
    </row>
    <row r="941" spans="5:8" ht="13.8">
      <c r="E941" s="1"/>
      <c r="F941" s="1"/>
      <c r="H941" s="1"/>
    </row>
    <row r="942" spans="5:8" ht="13.8">
      <c r="E942" s="1"/>
      <c r="F942" s="1"/>
      <c r="H942" s="1"/>
    </row>
    <row r="943" spans="5:8" ht="13.8">
      <c r="E943" s="1"/>
      <c r="F943" s="1"/>
      <c r="H943" s="1"/>
    </row>
    <row r="944" spans="5:8" ht="13.8">
      <c r="E944" s="1"/>
      <c r="F944" s="1"/>
      <c r="H944" s="1"/>
    </row>
    <row r="945" spans="5:8" ht="13.8">
      <c r="E945" s="1"/>
      <c r="F945" s="1"/>
      <c r="H945" s="1"/>
    </row>
    <row r="946" spans="5:8" ht="13.8">
      <c r="E946" s="1"/>
      <c r="F946" s="1"/>
      <c r="H946" s="1"/>
    </row>
    <row r="947" spans="5:8" ht="13.8">
      <c r="E947" s="1"/>
      <c r="F947" s="1"/>
      <c r="H947" s="1"/>
    </row>
    <row r="948" spans="5:8" ht="13.8">
      <c r="E948" s="1"/>
      <c r="F948" s="1"/>
      <c r="H948" s="1"/>
    </row>
    <row r="949" spans="5:8" ht="13.8">
      <c r="E949" s="1"/>
      <c r="F949" s="1"/>
      <c r="H949" s="1"/>
    </row>
    <row r="950" spans="5:8" ht="13.8">
      <c r="E950" s="1"/>
      <c r="F950" s="1"/>
      <c r="H950" s="1"/>
    </row>
    <row r="951" spans="5:8" ht="13.8">
      <c r="E951" s="1"/>
      <c r="F951" s="1"/>
      <c r="H951" s="1"/>
    </row>
    <row r="952" spans="5:8" ht="13.8">
      <c r="E952" s="1"/>
      <c r="F952" s="1"/>
      <c r="H952" s="1"/>
    </row>
    <row r="953" spans="5:8" ht="13.8">
      <c r="E953" s="1"/>
      <c r="F953" s="1"/>
      <c r="H953" s="1"/>
    </row>
    <row r="954" spans="5:8" ht="13.8">
      <c r="E954" s="1"/>
      <c r="F954" s="1"/>
      <c r="H954" s="1"/>
    </row>
    <row r="955" spans="5:8" ht="13.8">
      <c r="E955" s="1"/>
      <c r="F955" s="1"/>
      <c r="H955" s="1"/>
    </row>
    <row r="956" spans="5:8" ht="13.8">
      <c r="E956" s="1"/>
      <c r="F956" s="1"/>
      <c r="H956" s="1"/>
    </row>
    <row r="957" spans="5:8" ht="13.8">
      <c r="E957" s="1"/>
      <c r="F957" s="1"/>
      <c r="H957" s="1"/>
    </row>
    <row r="958" spans="5:8" ht="13.8">
      <c r="E958" s="1"/>
      <c r="F958" s="1"/>
      <c r="H958" s="1"/>
    </row>
    <row r="959" spans="5:8" ht="13.8">
      <c r="E959" s="1"/>
      <c r="F959" s="1"/>
      <c r="H959" s="1"/>
    </row>
    <row r="960" spans="5:8" ht="13.8">
      <c r="E960" s="1"/>
      <c r="F960" s="1"/>
      <c r="H960" s="1"/>
    </row>
    <row r="961" spans="5:8" ht="13.8">
      <c r="E961" s="1"/>
      <c r="F961" s="1"/>
      <c r="H961" s="1"/>
    </row>
    <row r="962" spans="5:8" ht="13.8">
      <c r="E962" s="1"/>
      <c r="F962" s="1"/>
      <c r="H962" s="1"/>
    </row>
    <row r="963" spans="5:8" ht="13.8">
      <c r="E963" s="1"/>
      <c r="F963" s="1"/>
      <c r="H963" s="1"/>
    </row>
    <row r="964" spans="5:8" ht="13.8">
      <c r="E964" s="1"/>
      <c r="F964" s="1"/>
      <c r="H964" s="1"/>
    </row>
    <row r="965" spans="5:8" ht="13.8">
      <c r="E965" s="1"/>
      <c r="F965" s="1"/>
      <c r="H965" s="1"/>
    </row>
    <row r="966" spans="5:8" ht="13.8">
      <c r="E966" s="1"/>
      <c r="F966" s="1"/>
      <c r="H966" s="1"/>
    </row>
    <row r="967" spans="5:8" ht="13.8">
      <c r="E967" s="1"/>
      <c r="F967" s="1"/>
      <c r="H967" s="1"/>
    </row>
    <row r="968" spans="5:8" ht="13.8">
      <c r="E968" s="1"/>
      <c r="F968" s="1"/>
      <c r="H968" s="1"/>
    </row>
    <row r="969" spans="5:8" ht="13.8">
      <c r="E969" s="1"/>
      <c r="F969" s="1"/>
      <c r="H969" s="1"/>
    </row>
    <row r="970" spans="5:8" ht="13.8">
      <c r="E970" s="1"/>
      <c r="F970" s="1"/>
      <c r="H970" s="1"/>
    </row>
    <row r="971" spans="5:8" ht="13.8">
      <c r="E971" s="1"/>
      <c r="F971" s="1"/>
      <c r="H971" s="1"/>
    </row>
    <row r="972" spans="5:8" ht="13.8">
      <c r="E972" s="1"/>
      <c r="F972" s="1"/>
      <c r="H972" s="1"/>
    </row>
    <row r="973" spans="5:8" ht="13.8">
      <c r="E973" s="1"/>
      <c r="F973" s="1"/>
      <c r="H973" s="1"/>
    </row>
    <row r="974" spans="5:8" ht="13.8">
      <c r="E974" s="1"/>
      <c r="F974" s="1"/>
      <c r="H974" s="1"/>
    </row>
    <row r="975" spans="5:8" ht="13.8">
      <c r="E975" s="1"/>
      <c r="F975" s="1"/>
      <c r="H975" s="1"/>
    </row>
    <row r="976" spans="5:8" ht="13.8">
      <c r="E976" s="1"/>
      <c r="F976" s="1"/>
      <c r="H976" s="1"/>
    </row>
    <row r="977" spans="5:8" ht="13.8">
      <c r="E977" s="1"/>
      <c r="F977" s="1"/>
      <c r="H977" s="1"/>
    </row>
    <row r="978" spans="5:8" ht="13.8">
      <c r="E978" s="1"/>
      <c r="F978" s="1"/>
      <c r="H978" s="1"/>
    </row>
    <row r="979" spans="5:8" ht="13.8">
      <c r="E979" s="1"/>
      <c r="F979" s="1"/>
      <c r="H979" s="1"/>
    </row>
    <row r="980" spans="5:8" ht="13.8">
      <c r="E980" s="1"/>
      <c r="F980" s="1"/>
      <c r="H980" s="1"/>
    </row>
    <row r="981" spans="5:8" ht="13.8">
      <c r="E981" s="1"/>
      <c r="F981" s="1"/>
      <c r="H981" s="1"/>
    </row>
    <row r="982" spans="5:8" ht="13.8">
      <c r="E982" s="1"/>
      <c r="F982" s="1"/>
      <c r="H982" s="1"/>
    </row>
    <row r="983" spans="5:8" ht="13.8">
      <c r="E983" s="1"/>
      <c r="F983" s="1"/>
      <c r="H983" s="1"/>
    </row>
    <row r="984" spans="5:8" ht="13.8">
      <c r="E984" s="1"/>
      <c r="F984" s="1"/>
      <c r="H984" s="1"/>
    </row>
    <row r="985" spans="5:8" ht="13.8">
      <c r="E985" s="1"/>
      <c r="F985" s="1"/>
      <c r="H985" s="1"/>
    </row>
    <row r="986" spans="5:8" ht="13.8">
      <c r="E986" s="1"/>
      <c r="F986" s="1"/>
      <c r="H986" s="1"/>
    </row>
    <row r="987" spans="5:8" ht="13.8">
      <c r="E987" s="1"/>
      <c r="F987" s="1"/>
      <c r="H987" s="1"/>
    </row>
    <row r="988" spans="5:8" ht="13.8">
      <c r="E988" s="1"/>
      <c r="F988" s="1"/>
      <c r="H988" s="1"/>
    </row>
    <row r="989" spans="5:8" ht="13.8">
      <c r="E989" s="1"/>
      <c r="F989" s="1"/>
      <c r="H989" s="1"/>
    </row>
    <row r="990" spans="5:8" ht="13.8">
      <c r="E990" s="1"/>
      <c r="F990" s="1"/>
      <c r="H990" s="1"/>
    </row>
    <row r="991" spans="5:8" ht="13.8">
      <c r="E991" s="1"/>
      <c r="F991" s="1"/>
      <c r="H991" s="1"/>
    </row>
    <row r="992" spans="5:8" ht="13.8">
      <c r="E992" s="1"/>
      <c r="F992" s="1"/>
      <c r="H992" s="1"/>
    </row>
    <row r="993" spans="5:8" ht="13.8">
      <c r="E993" s="1"/>
      <c r="F993" s="1"/>
      <c r="H993" s="1"/>
    </row>
    <row r="994" spans="5:8" ht="13.8">
      <c r="E994" s="1"/>
      <c r="F994" s="1"/>
      <c r="H994" s="1"/>
    </row>
    <row r="995" spans="5:8" ht="13.8">
      <c r="E995" s="1"/>
      <c r="F995" s="1"/>
      <c r="H995" s="1"/>
    </row>
    <row r="996" spans="5:8" ht="13.8">
      <c r="E996" s="1"/>
      <c r="F996" s="1"/>
      <c r="H996" s="1"/>
    </row>
    <row r="997" spans="5:8" ht="13.8">
      <c r="E997" s="1"/>
      <c r="F997" s="1"/>
      <c r="H997" s="1"/>
    </row>
    <row r="998" spans="5:8" ht="13.8">
      <c r="E998" s="1"/>
      <c r="F998" s="1"/>
      <c r="H998" s="1"/>
    </row>
    <row r="999" spans="5:8" ht="13.8">
      <c r="E999" s="1"/>
      <c r="F999" s="1"/>
      <c r="H999" s="1"/>
    </row>
    <row r="1000" spans="5:8" ht="13.8">
      <c r="E1000" s="1"/>
      <c r="F1000" s="1"/>
      <c r="H1000" s="1"/>
    </row>
    <row r="1001" spans="5:8" ht="13.8">
      <c r="E1001" s="1"/>
      <c r="F1001" s="1"/>
      <c r="H1001" s="1"/>
    </row>
    <row r="1002" spans="5:8" ht="13.8">
      <c r="E1002" s="1"/>
      <c r="F1002" s="1"/>
      <c r="H1002" s="1"/>
    </row>
    <row r="1003" spans="5:8" ht="13.8">
      <c r="E1003" s="1"/>
      <c r="F1003" s="1"/>
      <c r="H1003" s="1"/>
    </row>
    <row r="1004" spans="5:8" ht="13.8">
      <c r="E1004" s="1"/>
      <c r="F1004" s="1"/>
      <c r="H1004" s="1"/>
    </row>
    <row r="1005" spans="5:8" ht="13.8">
      <c r="E1005" s="1"/>
      <c r="F1005" s="1"/>
      <c r="H1005" s="1"/>
    </row>
    <row r="1006" spans="5:8" ht="13.8">
      <c r="E1006" s="1"/>
      <c r="F1006" s="1"/>
      <c r="H1006" s="1"/>
    </row>
    <row r="1007" spans="5:8" ht="13.8">
      <c r="E1007" s="1"/>
      <c r="F1007" s="1"/>
      <c r="H1007" s="1"/>
    </row>
  </sheetData>
  <dataValidations count="2">
    <dataValidation type="list" allowBlank="1" showErrorMessage="1" sqref="D2:D64" xr:uid="{00000000-0002-0000-0200-000000000000}">
      <formula1>"6,7,8"</formula1>
      <formula2>0</formula2>
    </dataValidation>
    <dataValidation type="list" allowBlank="1" showErrorMessage="1" sqref="C2:C64" xr:uid="{00000000-0002-0000-0200-000001000000}">
      <formula1>"Physics,Biology,Chemistry"</formula1>
      <formula2>0</formula2>
    </dataValidation>
  </dataValidations>
  <pageMargins left="0.74791666666666701" right="0.74791666666666701" top="0.98402777777777795" bottom="0.98402777777777795" header="0.511811023622047" footer="0.511811023622047"/>
  <pageSetup paperSize="9" orientation="portrait" horizontalDpi="300" verticalDpi="300"/>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G1007"/>
  <sheetViews>
    <sheetView zoomScaleNormal="100" workbookViewId="0">
      <selection activeCell="F7" sqref="F7"/>
    </sheetView>
  </sheetViews>
  <sheetFormatPr defaultColWidth="12.6640625" defaultRowHeight="13.2"/>
  <cols>
    <col min="5" max="5" width="24.5546875" customWidth="1"/>
    <col min="6" max="6" width="22.21875" customWidth="1"/>
    <col min="8" max="8" width="28.109375" customWidth="1"/>
    <col min="9" max="9" width="19.21875" hidden="1" customWidth="1"/>
    <col min="10" max="10" width="17.88671875" bestFit="1" customWidth="1"/>
    <col min="11" max="11" width="70.44140625" bestFit="1" customWidth="1"/>
    <col min="12" max="12" width="18.5546875" bestFit="1" customWidth="1"/>
    <col min="13" max="13" width="129.44140625" bestFit="1" customWidth="1"/>
    <col min="14" max="14" width="14.21875" bestFit="1" customWidth="1"/>
    <col min="15" max="15" width="116.109375" bestFit="1" customWidth="1"/>
    <col min="16" max="16" width="15.109375" bestFit="1" customWidth="1"/>
    <col min="17" max="17" width="115" bestFit="1" customWidth="1"/>
    <col min="19" max="19" width="29.33203125" customWidth="1"/>
    <col min="21" max="21" width="27.109375" customWidth="1"/>
  </cols>
  <sheetData>
    <row r="1" spans="1:33" ht="27.6">
      <c r="A1" s="3" t="s">
        <v>0</v>
      </c>
      <c r="B1" s="5" t="s">
        <v>1</v>
      </c>
      <c r="C1" s="5" t="s">
        <v>2</v>
      </c>
      <c r="D1" s="5" t="s">
        <v>3</v>
      </c>
      <c r="E1" s="5" t="s">
        <v>1280</v>
      </c>
      <c r="F1" s="7" t="s">
        <v>4</v>
      </c>
      <c r="G1" s="7" t="s">
        <v>223</v>
      </c>
      <c r="H1" s="7" t="s">
        <v>307</v>
      </c>
      <c r="I1" s="1"/>
      <c r="J1" s="20" t="s">
        <v>5</v>
      </c>
      <c r="K1" s="20" t="s">
        <v>6</v>
      </c>
      <c r="L1" s="20" t="s">
        <v>7</v>
      </c>
      <c r="M1" s="20" t="s">
        <v>8</v>
      </c>
      <c r="N1" s="20" t="s">
        <v>9</v>
      </c>
      <c r="O1" s="20" t="s">
        <v>10</v>
      </c>
      <c r="P1" s="20" t="s">
        <v>11</v>
      </c>
      <c r="Q1" s="20" t="s">
        <v>12</v>
      </c>
      <c r="R1" s="20" t="s">
        <v>13</v>
      </c>
      <c r="S1" s="20" t="s">
        <v>14</v>
      </c>
      <c r="T1" s="20" t="s">
        <v>15</v>
      </c>
      <c r="U1" s="20" t="s">
        <v>16</v>
      </c>
      <c r="V1" s="9" t="s">
        <v>17</v>
      </c>
      <c r="W1" s="9" t="s">
        <v>18</v>
      </c>
      <c r="X1" s="9" t="s">
        <v>19</v>
      </c>
      <c r="Y1" s="9" t="s">
        <v>20</v>
      </c>
      <c r="Z1" s="9" t="s">
        <v>21</v>
      </c>
      <c r="AA1" s="9" t="s">
        <v>22</v>
      </c>
      <c r="AB1" s="9" t="s">
        <v>23</v>
      </c>
      <c r="AC1" s="10" t="s">
        <v>24</v>
      </c>
      <c r="AD1" s="11" t="s">
        <v>25</v>
      </c>
      <c r="AE1" s="11" t="s">
        <v>26</v>
      </c>
      <c r="AF1" s="11" t="s">
        <v>27</v>
      </c>
      <c r="AG1" s="12" t="s">
        <v>28</v>
      </c>
    </row>
    <row r="2" spans="1:33" ht="41.4">
      <c r="A2" s="1"/>
      <c r="B2" s="1" t="s">
        <v>29</v>
      </c>
      <c r="C2" s="1" t="s">
        <v>30</v>
      </c>
      <c r="D2" s="13">
        <v>8</v>
      </c>
      <c r="E2" s="1" t="s">
        <v>40</v>
      </c>
      <c r="F2" s="1" t="s">
        <v>224</v>
      </c>
      <c r="G2" s="14" t="s">
        <v>225</v>
      </c>
      <c r="H2" s="18" t="str">
        <f ca="1">IFERROR(__xludf.dummyfunction("IFERROR(
  VLOOKUP(G2, IMPORTRANGE(""https://docs.google.com/spreadsheets/d/14deopnvwcrKtEGCKuYXdUHJbeLDZlkiSSWWT0g7x2pM/edit#gid=849066331"", ""LU List Maths (Filter)!A:B""), 2, FALSE),
  IFERROR(
    VLOOKUP(G2, IMPORTRANGE(""https://docs.google.com/spr"&amp;"eadsheets/d/14deopnvwcrKtEGCKuYXdUHJbeLDZlkiSSWWT0g7x2pM/edit#gid=849066331"", ""LU List Science (Filter)!A:B""), 2, FALSE),
    ""Not Found""
  )
)
"),"Measurement of Density of irregular solids using Eureka Can")</f>
        <v>Measurement of Density of irregular solids using Eureka Can</v>
      </c>
      <c r="I2" s="1"/>
      <c r="J2" s="2" t="str">
        <f t="shared" ref="J2:J33" si="0">G2 &amp; ".001"</f>
        <v>LU006827.001</v>
      </c>
      <c r="K2" s="2" t="str">
        <f ca="1">IFERROR(__xludf.dummyfunction("VLOOKUP(J2, IMPORTRANGE(""https://docs.google.com/spreadsheets/d/1yDAaXNsi4Mr5FtRQL4tbmSdIzhx6_m4wkOD7IG-k_eo/edit#gid=1336395716"", ""Science!M:N""), 2, FALSE)"),"(LU006827.001); Default - Remember")</f>
        <v>(LU006827.001); Default - Remember</v>
      </c>
      <c r="L2" s="2" t="str">
        <f t="shared" ref="L2:L33" si="1">G2 &amp; ".002"</f>
        <v>LU006827.002</v>
      </c>
      <c r="M2" s="2" t="str">
        <f ca="1">IFERROR(__xludf.dummyfunction("VLOOKUP(L2, IMPORTRANGE(""https://docs.google.com/spreadsheets/d/1yDAaXNsi4Mr5FtRQL4tbmSdIzhx6_m4wkOD7IG-k_eo/edit#gid=1336395716"", ""Science!M:N""), 2, FALSE)"),"(LU006827.002); Default - Understand")</f>
        <v>(LU006827.002); Default - Understand</v>
      </c>
      <c r="N2" s="2" t="str">
        <f t="shared" ref="N2:N33" si="2">G2 &amp; ".003"</f>
        <v>LU006827.003</v>
      </c>
      <c r="O2" s="2" t="str">
        <f ca="1">IFERROR(__xludf.dummyfunction("VLOOKUP(N2, IMPORTRANGE(""https://docs.google.com/spreadsheets/d/1yDAaXNsi4Mr5FtRQL4tbmSdIzhx6_m4wkOD7IG-k_eo/edit#gid=1336395716"", ""Science!M:N""), 2, FALSE)"),"(LU006827.003); Default - Apply")</f>
        <v>(LU006827.003); Default - Apply</v>
      </c>
      <c r="P2" s="2" t="str">
        <f t="shared" ref="P2:P33" si="3">G2 &amp; ".004"</f>
        <v>LU006827.004</v>
      </c>
      <c r="Q2" s="17" t="str">
        <f ca="1">IFERROR(__xludf.dummyfunction("VLOOKUP(P2, IMPORTRANGE(""https://docs.google.com/spreadsheets/d/1yDAaXNsi4Mr5FtRQL4tbmSdIzhx6_m4wkOD7IG-k_eo/edit#gid=1336395716"", ""Science!M:N""), 2, FALSE)"),"(LU006827.004); Default - Analyse")</f>
        <v>(LU006827.004); Default - Analyse</v>
      </c>
      <c r="R2" s="2" t="str">
        <f t="shared" ref="R2:R33" si="4">G2 &amp; ".005"</f>
        <v>LU006827.005</v>
      </c>
      <c r="S2" s="17" t="str">
        <f ca="1">IFERROR(__xludf.dummyfunction("VLOOKUP(R2, IMPORTRANGE(""https://docs.google.com/spreadsheets/d/1yDAaXNsi4Mr5FtRQL4tbmSdIzhx6_m4wkOD7IG-k_eo/edit#gid=1336395716"", ""Science!M:N""), 2, FALSE)"),"(LU006827.005); Default - Evaluate")</f>
        <v>(LU006827.005); Default - Evaluate</v>
      </c>
      <c r="T2" s="2" t="str">
        <f t="shared" ref="T2:T33" si="5">G2 &amp; ".006"</f>
        <v>LU006827.006</v>
      </c>
      <c r="U2" s="17" t="str">
        <f ca="1">IFERROR(__xludf.dummyfunction("VLOOKUP(T2, IMPORTRANGE(""https://docs.google.com/spreadsheets/d/1yDAaXNsi4Mr5FtRQL4tbmSdIzhx6_m4wkOD7IG-k_eo/edit#gid=1336395716"", ""Science!M:N""), 2, FALSE)"),"(LU006827.006); Default - Create")</f>
        <v>(LU006827.006); Default - Create</v>
      </c>
      <c r="V2" s="16" t="str">
        <f ca="1">IFERROR(__xludf.dummyfunction("ArrayFormula(VLOOKUP(G2, IMPORTRANGE(""https://docs.google.com/spreadsheets/d/1p7R4vtkWt5VOBim4ltsDG9KTzSjrtKXsMtQGXPHyND0/edit#gid=795171502"", ""'Filter 30_05_2024'!A1:M2000""), {2, 3, 4, 5,6,7,8,9,10,11,12,13}, 0))"),"#N/A")</f>
        <v>#N/A</v>
      </c>
      <c r="W2" s="16" t="str">
        <f ca="1">IFERROR(__xludf.dummyfunction("""COMPUTED_VALUE"""),"#N/A")</f>
        <v>#N/A</v>
      </c>
      <c r="X2" s="16" t="str">
        <f ca="1">IFERROR(__xludf.dummyfunction("""COMPUTED_VALUE"""),"#N/A")</f>
        <v>#N/A</v>
      </c>
      <c r="Y2" s="16" t="str">
        <f ca="1">IFERROR(__xludf.dummyfunction("""COMPUTED_VALUE"""),"#N/A")</f>
        <v>#N/A</v>
      </c>
      <c r="Z2" s="16" t="str">
        <f ca="1">IFERROR(__xludf.dummyfunction("""COMPUTED_VALUE"""),"#N/A")</f>
        <v>#N/A</v>
      </c>
      <c r="AA2" s="17" t="str">
        <f ca="1">IFERROR(__xludf.dummyfunction("""COMPUTED_VALUE"""),"#N/A")</f>
        <v>#N/A</v>
      </c>
      <c r="AB2" s="17" t="str">
        <f ca="1">IFERROR(__xludf.dummyfunction("""COMPUTED_VALUE"""),"#N/A")</f>
        <v>#N/A</v>
      </c>
      <c r="AC2" s="17" t="str">
        <f ca="1">IFERROR(__xludf.dummyfunction("""COMPUTED_VALUE"""),"#N/A")</f>
        <v>#N/A</v>
      </c>
      <c r="AD2" s="2" t="str">
        <f ca="1">IFERROR(__xludf.dummyfunction("""COMPUTED_VALUE"""),"#N/A")</f>
        <v>#N/A</v>
      </c>
      <c r="AE2" s="2" t="str">
        <f ca="1">IFERROR(__xludf.dummyfunction("""COMPUTED_VALUE"""),"#N/A")</f>
        <v>#N/A</v>
      </c>
      <c r="AF2" s="2" t="str">
        <f ca="1">IFERROR(__xludf.dummyfunction("""COMPUTED_VALUE"""),"#N/A")</f>
        <v>#N/A</v>
      </c>
      <c r="AG2" s="2" t="str">
        <f ca="1">IFERROR(__xludf.dummyfunction("""COMPUTED_VALUE"""),"#N/A")</f>
        <v>#N/A</v>
      </c>
    </row>
    <row r="3" spans="1:33" ht="41.4">
      <c r="A3" s="1"/>
      <c r="B3" s="1" t="s">
        <v>29</v>
      </c>
      <c r="C3" s="1" t="s">
        <v>30</v>
      </c>
      <c r="D3" s="13">
        <v>8</v>
      </c>
      <c r="E3" s="1" t="s">
        <v>40</v>
      </c>
      <c r="F3" s="1" t="s">
        <v>224</v>
      </c>
      <c r="G3" s="14" t="s">
        <v>226</v>
      </c>
      <c r="H3" s="18" t="str">
        <f ca="1">IFERROR(__xludf.dummyfunction("IFERROR(
  VLOOKUP(G3, IMPORTRANGE(""https://docs.google.com/spreadsheets/d/14deopnvwcrKtEGCKuYXdUHJbeLDZlkiSSWWT0g7x2pM/edit#gid=849066331"", ""LU List Maths (Filter)!A:B""), 2, FALSE),
  IFERROR(
    VLOOKUP(G3, IMPORTRANGE(""https://docs.google.com/spr"&amp;"eadsheets/d/14deopnvwcrKtEGCKuYXdUHJbeLDZlkiSSWWT0g7x2pM/edit#gid=849066331"", ""LU List Science (Filter)!A:B""), 2, FALSE),
    ""Not Found""
  )
)
"),"Measurement of Density of irregular solids using Measuring Cylinder")</f>
        <v>Measurement of Density of irregular solids using Measuring Cylinder</v>
      </c>
      <c r="I3" s="1"/>
      <c r="J3" s="2" t="str">
        <f t="shared" si="0"/>
        <v>LU006828.001</v>
      </c>
      <c r="K3" s="2" t="str">
        <f ca="1">IFERROR(__xludf.dummyfunction("VLOOKUP(J3, IMPORTRANGE(""https://docs.google.com/spreadsheets/d/1yDAaXNsi4Mr5FtRQL4tbmSdIzhx6_m4wkOD7IG-k_eo/edit#gid=1336395716"", ""Science!M:N""), 2, FALSE)"),"(LU006828.001); Default - Remember")</f>
        <v>(LU006828.001); Default - Remember</v>
      </c>
      <c r="L3" s="2" t="str">
        <f t="shared" si="1"/>
        <v>LU006828.002</v>
      </c>
      <c r="M3" s="2" t="str">
        <f ca="1">IFERROR(__xludf.dummyfunction("VLOOKUP(L3, IMPORTRANGE(""https://docs.google.com/spreadsheets/d/1yDAaXNsi4Mr5FtRQL4tbmSdIzhx6_m4wkOD7IG-k_eo/edit#gid=1336395716"", ""Science!M:N""), 2, FALSE)"),"(LU006828.002); Default - Understand")</f>
        <v>(LU006828.002); Default - Understand</v>
      </c>
      <c r="N3" s="2" t="str">
        <f t="shared" si="2"/>
        <v>LU006828.003</v>
      </c>
      <c r="O3" s="2" t="str">
        <f ca="1">IFERROR(__xludf.dummyfunction("VLOOKUP(N3, IMPORTRANGE(""https://docs.google.com/spreadsheets/d/1yDAaXNsi4Mr5FtRQL4tbmSdIzhx6_m4wkOD7IG-k_eo/edit#gid=1336395716"", ""Science!M:N""), 2, FALSE)"),"(LU006828.003); Default - Apply")</f>
        <v>(LU006828.003); Default - Apply</v>
      </c>
      <c r="P3" s="2" t="str">
        <f t="shared" si="3"/>
        <v>LU006828.004</v>
      </c>
      <c r="Q3" s="17" t="str">
        <f ca="1">IFERROR(__xludf.dummyfunction("VLOOKUP(P3, IMPORTRANGE(""https://docs.google.com/spreadsheets/d/1yDAaXNsi4Mr5FtRQL4tbmSdIzhx6_m4wkOD7IG-k_eo/edit#gid=1336395716"", ""Science!M:N""), 2, FALSE)"),"(LU006828.004); Default - Analyse")</f>
        <v>(LU006828.004); Default - Analyse</v>
      </c>
      <c r="R3" s="2" t="str">
        <f t="shared" si="4"/>
        <v>LU006828.005</v>
      </c>
      <c r="S3" s="17" t="str">
        <f ca="1">IFERROR(__xludf.dummyfunction("VLOOKUP(R3, IMPORTRANGE(""https://docs.google.com/spreadsheets/d/1yDAaXNsi4Mr5FtRQL4tbmSdIzhx6_m4wkOD7IG-k_eo/edit#gid=1336395716"", ""Science!M:N""), 2, FALSE)"),"(LU006828.005); Default - Evaluate")</f>
        <v>(LU006828.005); Default - Evaluate</v>
      </c>
      <c r="T3" s="2" t="str">
        <f t="shared" si="5"/>
        <v>LU006828.006</v>
      </c>
      <c r="U3" s="17" t="str">
        <f ca="1">IFERROR(__xludf.dummyfunction("VLOOKUP(T3, IMPORTRANGE(""https://docs.google.com/spreadsheets/d/1yDAaXNsi4Mr5FtRQL4tbmSdIzhx6_m4wkOD7IG-k_eo/edit#gid=1336395716"", ""Science!M:N""), 2, FALSE)"),"(LU006828.006); Default - Create")</f>
        <v>(LU006828.006); Default - Create</v>
      </c>
      <c r="V3" s="1"/>
      <c r="W3" s="1"/>
      <c r="X3" s="1"/>
      <c r="Y3" s="1"/>
      <c r="Z3" s="1"/>
      <c r="AA3" s="1"/>
      <c r="AB3" s="1"/>
      <c r="AC3" s="1"/>
      <c r="AD3" s="1"/>
      <c r="AE3" s="1"/>
      <c r="AF3" s="1"/>
      <c r="AG3" s="1"/>
    </row>
    <row r="4" spans="1:33" ht="27.6">
      <c r="A4" s="1"/>
      <c r="B4" s="1" t="s">
        <v>29</v>
      </c>
      <c r="C4" s="1" t="s">
        <v>30</v>
      </c>
      <c r="D4" s="13">
        <v>8</v>
      </c>
      <c r="E4" s="1" t="s">
        <v>40</v>
      </c>
      <c r="F4" s="1" t="s">
        <v>227</v>
      </c>
      <c r="G4" s="14" t="s">
        <v>228</v>
      </c>
      <c r="H4" s="18" t="str">
        <f ca="1">IFERROR(__xludf.dummyfunction("IFERROR(
  VLOOKUP(G4, IMPORTRANGE(""https://docs.google.com/spreadsheets/d/14deopnvwcrKtEGCKuYXdUHJbeLDZlkiSSWWT0g7x2pM/edit#gid=849066331"", ""LU List Maths (Filter)!A:B""), 2, FALSE),
  IFERROR(
    VLOOKUP(G4, IMPORTRANGE(""https://docs.google.com/spr"&amp;"eadsheets/d/14deopnvwcrKtEGCKuYXdUHJbeLDZlkiSSWWT0g7x2pM/edit#gid=849066331"", ""LU List Science (Filter)!A:B""), 2, FALSE),
    ""Not Found""
  )
)
"),"Measurement of density of a liquid")</f>
        <v>Measurement of density of a liquid</v>
      </c>
      <c r="I4" s="1"/>
      <c r="J4" s="2" t="str">
        <f t="shared" si="0"/>
        <v>LU006829.001</v>
      </c>
      <c r="K4" s="2" t="str">
        <f ca="1">IFERROR(__xludf.dummyfunction("VLOOKUP(J4, IMPORTRANGE(""https://docs.google.com/spreadsheets/d/1yDAaXNsi4Mr5FtRQL4tbmSdIzhx6_m4wkOD7IG-k_eo/edit#gid=1336395716"", ""Science!M:N""), 2, FALSE)"),"(LU006829.001); Default - Remember")</f>
        <v>(LU006829.001); Default - Remember</v>
      </c>
      <c r="L4" s="2" t="str">
        <f t="shared" si="1"/>
        <v>LU006829.002</v>
      </c>
      <c r="M4" s="2" t="str">
        <f ca="1">IFERROR(__xludf.dummyfunction("VLOOKUP(L4, IMPORTRANGE(""https://docs.google.com/spreadsheets/d/1yDAaXNsi4Mr5FtRQL4tbmSdIzhx6_m4wkOD7IG-k_eo/edit#gid=1336395716"", ""Science!M:N""), 2, FALSE)"),"(LU006829.002); Default - Understand")</f>
        <v>(LU006829.002); Default - Understand</v>
      </c>
      <c r="N4" s="2" t="str">
        <f t="shared" si="2"/>
        <v>LU006829.003</v>
      </c>
      <c r="O4" s="2" t="str">
        <f ca="1">IFERROR(__xludf.dummyfunction("VLOOKUP(N4, IMPORTRANGE(""https://docs.google.com/spreadsheets/d/1yDAaXNsi4Mr5FtRQL4tbmSdIzhx6_m4wkOD7IG-k_eo/edit#gid=1336395716"", ""Science!M:N""), 2, FALSE)"),"(LU006829.003); Default - Apply")</f>
        <v>(LU006829.003); Default - Apply</v>
      </c>
      <c r="P4" s="2" t="str">
        <f t="shared" si="3"/>
        <v>LU006829.004</v>
      </c>
      <c r="Q4" s="17" t="str">
        <f ca="1">IFERROR(__xludf.dummyfunction("VLOOKUP(P4, IMPORTRANGE(""https://docs.google.com/spreadsheets/d/1yDAaXNsi4Mr5FtRQL4tbmSdIzhx6_m4wkOD7IG-k_eo/edit#gid=1336395716"", ""Science!M:N""), 2, FALSE)"),"(LU006829.004); Default - Analyse")</f>
        <v>(LU006829.004); Default - Analyse</v>
      </c>
      <c r="R4" s="2" t="str">
        <f t="shared" si="4"/>
        <v>LU006829.005</v>
      </c>
      <c r="S4" s="17" t="str">
        <f ca="1">IFERROR(__xludf.dummyfunction("VLOOKUP(R4, IMPORTRANGE(""https://docs.google.com/spreadsheets/d/1yDAaXNsi4Mr5FtRQL4tbmSdIzhx6_m4wkOD7IG-k_eo/edit#gid=1336395716"", ""Science!M:N""), 2, FALSE)"),"(LU006829.005); Default - Evaluate")</f>
        <v>(LU006829.005); Default - Evaluate</v>
      </c>
      <c r="T4" s="2" t="str">
        <f t="shared" si="5"/>
        <v>LU006829.006</v>
      </c>
      <c r="U4" s="17" t="str">
        <f ca="1">IFERROR(__xludf.dummyfunction("VLOOKUP(T4, IMPORTRANGE(""https://docs.google.com/spreadsheets/d/1yDAaXNsi4Mr5FtRQL4tbmSdIzhx6_m4wkOD7IG-k_eo/edit#gid=1336395716"", ""Science!M:N""), 2, FALSE)"),"(LU006829.006); Default - Create")</f>
        <v>(LU006829.006); Default - Create</v>
      </c>
      <c r="V4" s="1"/>
      <c r="W4" s="1"/>
      <c r="X4" s="1"/>
      <c r="Y4" s="1"/>
      <c r="Z4" s="1"/>
      <c r="AA4" s="1"/>
      <c r="AB4" s="1"/>
      <c r="AC4" s="1"/>
      <c r="AD4" s="1"/>
      <c r="AE4" s="1"/>
      <c r="AF4" s="1"/>
      <c r="AG4" s="1"/>
    </row>
    <row r="5" spans="1:33" ht="27.6">
      <c r="A5" s="1"/>
      <c r="B5" s="1" t="s">
        <v>29</v>
      </c>
      <c r="C5" s="1" t="s">
        <v>30</v>
      </c>
      <c r="D5" s="13">
        <v>8</v>
      </c>
      <c r="E5" s="1" t="s">
        <v>40</v>
      </c>
      <c r="F5" s="1" t="s">
        <v>227</v>
      </c>
      <c r="G5" s="14" t="s">
        <v>229</v>
      </c>
      <c r="H5" s="18" t="str">
        <f ca="1">IFERROR(__xludf.dummyfunction("IFERROR(
  VLOOKUP(G5, IMPORTRANGE(""https://docs.google.com/spreadsheets/d/14deopnvwcrKtEGCKuYXdUHJbeLDZlkiSSWWT0g7x2pM/edit#gid=849066331"", ""LU List Maths (Filter)!A:B""), 2, FALSE),
  IFERROR(
    VLOOKUP(G5, IMPORTRANGE(""https://docs.google.com/spr"&amp;"eadsheets/d/14deopnvwcrKtEGCKuYXdUHJbeLDZlkiSSWWT0g7x2pM/edit#gid=849066331"", ""LU List Science (Filter)!A:B""), 2, FALSE),
    ""Not Found""
  )
)
"),"Definition of Relative Density ")</f>
        <v xml:space="preserve">Definition of Relative Density </v>
      </c>
      <c r="I5" s="1"/>
      <c r="J5" s="2" t="str">
        <f t="shared" si="0"/>
        <v>LU006352.001</v>
      </c>
      <c r="K5" s="2" t="str">
        <f ca="1">IFERROR(__xludf.dummyfunction("VLOOKUP(J5, IMPORTRANGE(""https://docs.google.com/spreadsheets/d/1yDAaXNsi4Mr5FtRQL4tbmSdIzhx6_m4wkOD7IG-k_eo/edit#gid=1336395716"", ""Science!M:N""), 2, FALSE)"),"Define the formula for work done by a constant force.")</f>
        <v>Define the formula for work done by a constant force.</v>
      </c>
      <c r="L5" s="2" t="str">
        <f t="shared" si="1"/>
        <v>LU006352.002</v>
      </c>
      <c r="M5" s="2" t="str">
        <f ca="1">IFERROR(__xludf.dummyfunction("VLOOKUP(L5, IMPORTRANGE(""https://docs.google.com/spreadsheets/d/1yDAaXNsi4Mr5FtRQL4tbmSdIzhx6_m4wkOD7IG-k_eo/edit#gid=1336395716"", ""Science!M:N""), 2, FALSE)"),"Explain the units used for measuring work.")</f>
        <v>Explain the units used for measuring work.</v>
      </c>
      <c r="N5" s="2" t="str">
        <f t="shared" si="2"/>
        <v>LU006352.003</v>
      </c>
      <c r="O5" s="2" t="str">
        <f ca="1">IFERROR(__xludf.dummyfunction("VLOOKUP(N5, IMPORTRANGE(""https://docs.google.com/spreadsheets/d/1yDAaXNsi4Mr5FtRQL4tbmSdIzhx6_m4wkOD7IG-k_eo/edit#gid=1336395716"", ""Science!M:N""), 2, FALSE)"),"Calculate the work done when a force is applied to an object over a certain distance.")</f>
        <v>Calculate the work done when a force is applied to an object over a certain distance.</v>
      </c>
      <c r="P5" s="2" t="str">
        <f t="shared" si="3"/>
        <v>LU006352.004</v>
      </c>
      <c r="Q5" s="17" t="str">
        <f ca="1">IFERROR(__xludf.dummyfunction("VLOOKUP(P5, IMPORTRANGE(""https://docs.google.com/spreadsheets/d/1yDAaXNsi4Mr5FtRQL4tbmSdIzhx6_m4wkOD7IG-k_eo/edit#gid=1336395716"", ""Science!M:N""), 2, FALSE)"),"Differentiate between scenarios where work is done versus no work is done.")</f>
        <v>Differentiate between scenarios where work is done versus no work is done.</v>
      </c>
      <c r="R5" s="2" t="str">
        <f t="shared" si="4"/>
        <v>LU006352.005</v>
      </c>
      <c r="S5" s="17" t="str">
        <f ca="1">IFERROR(__xludf.dummyfunction("VLOOKUP(R5, IMPORTRANGE(""https://docs.google.com/spreadsheets/d/1yDAaXNsi4Mr5FtRQL4tbmSdIzhx6_m4wkOD7IG-k_eo/edit#gid=1336395716"", ""Science!M:N""), 2, FALSE)"),"Assess the accuracy of work done calculations in given examples.")</f>
        <v>Assess the accuracy of work done calculations in given examples.</v>
      </c>
      <c r="T5" s="2" t="str">
        <f t="shared" si="5"/>
        <v>LU006352.006</v>
      </c>
      <c r="U5" s="17" t="str">
        <f ca="1">IFERROR(__xludf.dummyfunction("VLOOKUP(T5, IMPORTRANGE(""https://docs.google.com/spreadsheets/d/1yDAaXNsi4Mr5FtRQL4tbmSdIzhx6_m4wkOD7IG-k_eo/edit#gid=1336395716"", ""Science!M:N""), 2, FALSE)"),"Construct a problem involving work done and solve it using the appropriate formula and units.")</f>
        <v>Construct a problem involving work done and solve it using the appropriate formula and units.</v>
      </c>
      <c r="V5" s="1"/>
      <c r="W5" s="1"/>
      <c r="X5" s="1"/>
      <c r="Y5" s="1"/>
      <c r="Z5" s="1"/>
      <c r="AA5" s="1"/>
      <c r="AB5" s="1"/>
      <c r="AC5" s="1"/>
      <c r="AD5" s="1"/>
      <c r="AE5" s="1"/>
      <c r="AF5" s="1"/>
      <c r="AG5" s="1"/>
    </row>
    <row r="6" spans="1:33" ht="69">
      <c r="A6" s="1"/>
      <c r="B6" s="1" t="s">
        <v>29</v>
      </c>
      <c r="C6" s="1" t="s">
        <v>30</v>
      </c>
      <c r="D6" s="13">
        <v>8</v>
      </c>
      <c r="E6" s="1" t="s">
        <v>40</v>
      </c>
      <c r="F6" s="1" t="s">
        <v>227</v>
      </c>
      <c r="G6" s="14" t="s">
        <v>230</v>
      </c>
      <c r="H6" s="18" t="str">
        <f ca="1">IFERROR(__xludf.dummyfunction("IFERROR(
  VLOOKUP(G6, IMPORTRANGE(""https://docs.google.com/spreadsheets/d/14deopnvwcrKtEGCKuYXdUHJbeLDZlkiSSWWT0g7x2pM/edit#gid=849066331"", ""LU List Maths (Filter)!A:B""), 2, FALSE),
  IFERROR(
    VLOOKUP(G6, IMPORTRANGE(""https://docs.google.com/spr"&amp;"eadsheets/d/14deopnvwcrKtEGCKuYXdUHJbeLDZlkiSSWWT0g7x2pM/edit#gid=849066331"", ""LU List Science (Filter)!A:B""), 2, FALSE),
    ""Not Found""
  )
)
"),"Principle of Floatation")</f>
        <v>Principle of Floatation</v>
      </c>
      <c r="I6" s="1" t="s">
        <v>231</v>
      </c>
      <c r="J6" s="2" t="str">
        <f t="shared" si="0"/>
        <v>LU006830.001</v>
      </c>
      <c r="K6" s="2" t="str">
        <f ca="1">IFERROR(__xludf.dummyfunction("VLOOKUP(J6, IMPORTRANGE(""https://docs.google.com/spreadsheets/d/1yDAaXNsi4Mr5FtRQL4tbmSdIzhx6_m4wkOD7IG-k_eo/edit#gid=1336395716"", ""Science!M:N""), 2, FALSE)"),"(LU006830.001); Default - Remember")</f>
        <v>(LU006830.001); Default - Remember</v>
      </c>
      <c r="L6" s="2" t="str">
        <f t="shared" si="1"/>
        <v>LU006830.002</v>
      </c>
      <c r="M6" s="2" t="str">
        <f ca="1">IFERROR(__xludf.dummyfunction("VLOOKUP(L6, IMPORTRANGE(""https://docs.google.com/spreadsheets/d/1yDAaXNsi4Mr5FtRQL4tbmSdIzhx6_m4wkOD7IG-k_eo/edit#gid=1336395716"", ""Science!M:N""), 2, FALSE)"),"(LU006830.002); Default - Understand")</f>
        <v>(LU006830.002); Default - Understand</v>
      </c>
      <c r="N6" s="2" t="str">
        <f t="shared" si="2"/>
        <v>LU006830.003</v>
      </c>
      <c r="O6" s="2" t="str">
        <f ca="1">IFERROR(__xludf.dummyfunction("VLOOKUP(N6, IMPORTRANGE(""https://docs.google.com/spreadsheets/d/1yDAaXNsi4Mr5FtRQL4tbmSdIzhx6_m4wkOD7IG-k_eo/edit#gid=1336395716"", ""Science!M:N""), 2, FALSE)"),"(LU006830.003); Default - Apply")</f>
        <v>(LU006830.003); Default - Apply</v>
      </c>
      <c r="P6" s="2" t="str">
        <f t="shared" si="3"/>
        <v>LU006830.004</v>
      </c>
      <c r="Q6" s="17" t="str">
        <f ca="1">IFERROR(__xludf.dummyfunction("VLOOKUP(P6, IMPORTRANGE(""https://docs.google.com/spreadsheets/d/1yDAaXNsi4Mr5FtRQL4tbmSdIzhx6_m4wkOD7IG-k_eo/edit#gid=1336395716"", ""Science!M:N""), 2, FALSE)"),"(LU006830.004); Default - Analyse")</f>
        <v>(LU006830.004); Default - Analyse</v>
      </c>
      <c r="R6" s="2" t="str">
        <f t="shared" si="4"/>
        <v>LU006830.005</v>
      </c>
      <c r="S6" s="17" t="str">
        <f ca="1">IFERROR(__xludf.dummyfunction("VLOOKUP(R6, IMPORTRANGE(""https://docs.google.com/spreadsheets/d/1yDAaXNsi4Mr5FtRQL4tbmSdIzhx6_m4wkOD7IG-k_eo/edit#gid=1336395716"", ""Science!M:N""), 2, FALSE)"),"(LU006830.005); Default - Evaluate")</f>
        <v>(LU006830.005); Default - Evaluate</v>
      </c>
      <c r="T6" s="2" t="str">
        <f t="shared" si="5"/>
        <v>LU006830.006</v>
      </c>
      <c r="U6" s="17" t="str">
        <f ca="1">IFERROR(__xludf.dummyfunction("VLOOKUP(T6, IMPORTRANGE(""https://docs.google.com/spreadsheets/d/1yDAaXNsi4Mr5FtRQL4tbmSdIzhx6_m4wkOD7IG-k_eo/edit#gid=1336395716"", ""Science!M:N""), 2, FALSE)"),"(LU006830.006); Default - Create")</f>
        <v>(LU006830.006); Default - Create</v>
      </c>
      <c r="V6" s="1"/>
      <c r="W6" s="1"/>
      <c r="X6" s="1"/>
      <c r="Y6" s="1"/>
      <c r="Z6" s="1"/>
      <c r="AA6" s="1"/>
      <c r="AB6" s="1"/>
      <c r="AC6" s="1"/>
      <c r="AD6" s="1"/>
      <c r="AE6" s="1"/>
      <c r="AF6" s="1"/>
      <c r="AG6" s="1"/>
    </row>
    <row r="7" spans="1:33" ht="27.6">
      <c r="A7" s="1"/>
      <c r="B7" s="1" t="s">
        <v>29</v>
      </c>
      <c r="C7" s="1" t="s">
        <v>30</v>
      </c>
      <c r="D7" s="13">
        <v>8</v>
      </c>
      <c r="E7" s="1" t="s">
        <v>40</v>
      </c>
      <c r="F7" s="1" t="s">
        <v>232</v>
      </c>
      <c r="G7" s="14" t="s">
        <v>233</v>
      </c>
      <c r="H7" s="18" t="str">
        <f ca="1">IFERROR(__xludf.dummyfunction("IFERROR(
  VLOOKUP(G7, IMPORTRANGE(""https://docs.google.com/spreadsheets/d/14deopnvwcrKtEGCKuYXdUHJbeLDZlkiSSWWT0g7x2pM/edit#gid=849066331"", ""LU List Maths (Filter)!A:B""), 2, FALSE),
  IFERROR(
    VLOOKUP(G7, IMPORTRANGE(""https://docs.google.com/spr"&amp;"eadsheets/d/14deopnvwcrKtEGCKuYXdUHJbeLDZlkiSSWWT0g7x2pM/edit#gid=849066331"", ""LU List Science (Filter)!A:B""), 2, FALSE),
    ""Not Found""
  )
)
"),"Comparison of densities in the three states of matter.")</f>
        <v>Comparison of densities in the three states of matter.</v>
      </c>
      <c r="I7" s="1"/>
      <c r="J7" s="2" t="str">
        <f t="shared" si="0"/>
        <v>LU006831.001</v>
      </c>
      <c r="K7" s="2" t="str">
        <f ca="1">IFERROR(__xludf.dummyfunction("VLOOKUP(J7, IMPORTRANGE(""https://docs.google.com/spreadsheets/d/1yDAaXNsi4Mr5FtRQL4tbmSdIzhx6_m4wkOD7IG-k_eo/edit#gid=1336395716"", ""Science!M:N""), 2, FALSE)"),"(LU006831.001); Default - Remember")</f>
        <v>(LU006831.001); Default - Remember</v>
      </c>
      <c r="L7" s="2" t="str">
        <f t="shared" si="1"/>
        <v>LU006831.002</v>
      </c>
      <c r="M7" s="2" t="str">
        <f ca="1">IFERROR(__xludf.dummyfunction("VLOOKUP(L7, IMPORTRANGE(""https://docs.google.com/spreadsheets/d/1yDAaXNsi4Mr5FtRQL4tbmSdIzhx6_m4wkOD7IG-k_eo/edit#gid=1336395716"", ""Science!M:N""), 2, FALSE)"),"(LU006831.002); Default - Understand")</f>
        <v>(LU006831.002); Default - Understand</v>
      </c>
      <c r="N7" s="2" t="str">
        <f t="shared" si="2"/>
        <v>LU006831.003</v>
      </c>
      <c r="O7" s="2" t="str">
        <f ca="1">IFERROR(__xludf.dummyfunction("VLOOKUP(N7, IMPORTRANGE(""https://docs.google.com/spreadsheets/d/1yDAaXNsi4Mr5FtRQL4tbmSdIzhx6_m4wkOD7IG-k_eo/edit#gid=1336395716"", ""Science!M:N""), 2, FALSE)"),"(LU006831.003); Default - Apply")</f>
        <v>(LU006831.003); Default - Apply</v>
      </c>
      <c r="P7" s="2" t="str">
        <f t="shared" si="3"/>
        <v>LU006831.004</v>
      </c>
      <c r="Q7" s="17" t="str">
        <f ca="1">IFERROR(__xludf.dummyfunction("VLOOKUP(P7, IMPORTRANGE(""https://docs.google.com/spreadsheets/d/1yDAaXNsi4Mr5FtRQL4tbmSdIzhx6_m4wkOD7IG-k_eo/edit#gid=1336395716"", ""Science!M:N""), 2, FALSE)"),"(LU006831.004); Default - Analyse")</f>
        <v>(LU006831.004); Default - Analyse</v>
      </c>
      <c r="R7" s="2" t="str">
        <f t="shared" si="4"/>
        <v>LU006831.005</v>
      </c>
      <c r="S7" s="17" t="str">
        <f ca="1">IFERROR(__xludf.dummyfunction("VLOOKUP(R7, IMPORTRANGE(""https://docs.google.com/spreadsheets/d/1yDAaXNsi4Mr5FtRQL4tbmSdIzhx6_m4wkOD7IG-k_eo/edit#gid=1336395716"", ""Science!M:N""), 2, FALSE)"),"(LU006831.005); Default - Evaluate")</f>
        <v>(LU006831.005); Default - Evaluate</v>
      </c>
      <c r="T7" s="2" t="str">
        <f t="shared" si="5"/>
        <v>LU006831.006</v>
      </c>
      <c r="U7" s="17" t="str">
        <f ca="1">IFERROR(__xludf.dummyfunction("VLOOKUP(T7, IMPORTRANGE(""https://docs.google.com/spreadsheets/d/1yDAaXNsi4Mr5FtRQL4tbmSdIzhx6_m4wkOD7IG-k_eo/edit#gid=1336395716"", ""Science!M:N""), 2, FALSE)"),"(LU006831.006); Default - Create")</f>
        <v>(LU006831.006); Default - Create</v>
      </c>
      <c r="V7" s="1"/>
      <c r="W7" s="1"/>
      <c r="X7" s="1"/>
      <c r="Y7" s="1"/>
      <c r="Z7" s="1"/>
      <c r="AA7" s="1"/>
      <c r="AB7" s="1"/>
      <c r="AC7" s="1"/>
      <c r="AD7" s="1"/>
      <c r="AE7" s="1"/>
      <c r="AF7" s="1"/>
      <c r="AG7" s="1"/>
    </row>
    <row r="8" spans="1:33" ht="27.6">
      <c r="A8" s="1"/>
      <c r="B8" s="1" t="s">
        <v>29</v>
      </c>
      <c r="C8" s="1" t="s">
        <v>30</v>
      </c>
      <c r="D8" s="13">
        <v>8</v>
      </c>
      <c r="E8" s="1" t="s">
        <v>234</v>
      </c>
      <c r="F8" s="1" t="s">
        <v>235</v>
      </c>
      <c r="G8" s="14" t="s">
        <v>236</v>
      </c>
      <c r="H8" s="18" t="str">
        <f ca="1">IFERROR(__xludf.dummyfunction("IFERROR(
  VLOOKUP(G8, IMPORTRANGE(""https://docs.google.com/spreadsheets/d/14deopnvwcrKtEGCKuYXdUHJbeLDZlkiSSWWT0g7x2pM/edit#gid=849066331"", ""LU List Maths (Filter)!A:B""), 2, FALSE),
  IFERROR(
    VLOOKUP(G8, IMPORTRANGE(""https://docs.google.com/spr"&amp;"eadsheets/d/14deopnvwcrKtEGCKuYXdUHJbeLDZlkiSSWWT0g7x2pM/edit#gid=849066331"", ""LU List Science (Filter)!A:B""), 2, FALSE),
    ""Not Found""
  )
)
"),"Concept and demonstration of turning effect of force")</f>
        <v>Concept and demonstration of turning effect of force</v>
      </c>
      <c r="I8" s="1"/>
      <c r="J8" s="2" t="str">
        <f t="shared" si="0"/>
        <v>LU006832.001</v>
      </c>
      <c r="K8" s="2" t="str">
        <f ca="1">IFERROR(__xludf.dummyfunction("VLOOKUP(J8, IMPORTRANGE(""https://docs.google.com/spreadsheets/d/1yDAaXNsi4Mr5FtRQL4tbmSdIzhx6_m4wkOD7IG-k_eo/edit#gid=1336395716"", ""Science!M:N""), 2, FALSE)"),"(LU006832.001); Default - Remember")</f>
        <v>(LU006832.001); Default - Remember</v>
      </c>
      <c r="L8" s="2" t="str">
        <f t="shared" si="1"/>
        <v>LU006832.002</v>
      </c>
      <c r="M8" s="2" t="str">
        <f ca="1">IFERROR(__xludf.dummyfunction("VLOOKUP(L8, IMPORTRANGE(""https://docs.google.com/spreadsheets/d/1yDAaXNsi4Mr5FtRQL4tbmSdIzhx6_m4wkOD7IG-k_eo/edit#gid=1336395716"", ""Science!M:N""), 2, FALSE)"),"(LU006832.002); Default - Understand")</f>
        <v>(LU006832.002); Default - Understand</v>
      </c>
      <c r="N8" s="2" t="str">
        <f t="shared" si="2"/>
        <v>LU006832.003</v>
      </c>
      <c r="O8" s="2" t="str">
        <f ca="1">IFERROR(__xludf.dummyfunction("VLOOKUP(N8, IMPORTRANGE(""https://docs.google.com/spreadsheets/d/1yDAaXNsi4Mr5FtRQL4tbmSdIzhx6_m4wkOD7IG-k_eo/edit#gid=1336395716"", ""Science!M:N""), 2, FALSE)"),"(LU006832.003); Default - Apply")</f>
        <v>(LU006832.003); Default - Apply</v>
      </c>
      <c r="P8" s="2" t="str">
        <f t="shared" si="3"/>
        <v>LU006832.004</v>
      </c>
      <c r="Q8" s="17" t="str">
        <f ca="1">IFERROR(__xludf.dummyfunction("VLOOKUP(P8, IMPORTRANGE(""https://docs.google.com/spreadsheets/d/1yDAaXNsi4Mr5FtRQL4tbmSdIzhx6_m4wkOD7IG-k_eo/edit#gid=1336395716"", ""Science!M:N""), 2, FALSE)"),"(LU006832.004); Default - Analyse")</f>
        <v>(LU006832.004); Default - Analyse</v>
      </c>
      <c r="R8" s="2" t="str">
        <f t="shared" si="4"/>
        <v>LU006832.005</v>
      </c>
      <c r="S8" s="17" t="str">
        <f ca="1">IFERROR(__xludf.dummyfunction("VLOOKUP(R8, IMPORTRANGE(""https://docs.google.com/spreadsheets/d/1yDAaXNsi4Mr5FtRQL4tbmSdIzhx6_m4wkOD7IG-k_eo/edit#gid=1336395716"", ""Science!M:N""), 2, FALSE)"),"(LU006832.005); Default - Evaluate")</f>
        <v>(LU006832.005); Default - Evaluate</v>
      </c>
      <c r="T8" s="2" t="str">
        <f t="shared" si="5"/>
        <v>LU006832.006</v>
      </c>
      <c r="U8" s="17" t="str">
        <f ca="1">IFERROR(__xludf.dummyfunction("VLOOKUP(T8, IMPORTRANGE(""https://docs.google.com/spreadsheets/d/1yDAaXNsi4Mr5FtRQL4tbmSdIzhx6_m4wkOD7IG-k_eo/edit#gid=1336395716"", ""Science!M:N""), 2, FALSE)"),"(LU006832.006); Default - Create")</f>
        <v>(LU006832.006); Default - Create</v>
      </c>
      <c r="V8" s="1"/>
      <c r="W8" s="1"/>
      <c r="X8" s="1"/>
      <c r="Y8" s="1"/>
      <c r="Z8" s="1"/>
      <c r="AA8" s="1"/>
      <c r="AB8" s="1"/>
      <c r="AC8" s="1"/>
      <c r="AD8" s="1"/>
      <c r="AE8" s="1"/>
      <c r="AF8" s="1"/>
      <c r="AG8" s="1"/>
    </row>
    <row r="9" spans="1:33" ht="27.6">
      <c r="A9" s="1"/>
      <c r="B9" s="1" t="s">
        <v>29</v>
      </c>
      <c r="C9" s="1" t="s">
        <v>30</v>
      </c>
      <c r="D9" s="13">
        <v>8</v>
      </c>
      <c r="E9" s="1" t="s">
        <v>234</v>
      </c>
      <c r="F9" s="1" t="s">
        <v>235</v>
      </c>
      <c r="G9" s="14" t="s">
        <v>237</v>
      </c>
      <c r="H9" s="18" t="str">
        <f ca="1">IFERROR(__xludf.dummyfunction("IFERROR(
  VLOOKUP(G9, IMPORTRANGE(""https://docs.google.com/spreadsheets/d/14deopnvwcrKtEGCKuYXdUHJbeLDZlkiSSWWT0g7x2pM/edit#gid=849066331"", ""LU List Maths (Filter)!A:B""), 2, FALSE),
  IFERROR(
    VLOOKUP(G9, IMPORTRANGE(""https://docs.google.com/spr"&amp;"eadsheets/d/14deopnvwcrKtEGCKuYXdUHJbeLDZlkiSSWWT0g7x2pM/edit#gid=849066331"", ""LU List Science (Filter)!A:B""), 2, FALSE),
    ""Not Found""
  )
)
"),"Factors affect turning effect of force")</f>
        <v>Factors affect turning effect of force</v>
      </c>
      <c r="I9" s="1"/>
      <c r="J9" s="2" t="str">
        <f t="shared" si="0"/>
        <v>LU006833.001</v>
      </c>
      <c r="K9" s="2" t="str">
        <f ca="1">IFERROR(__xludf.dummyfunction("VLOOKUP(J9, IMPORTRANGE(""https://docs.google.com/spreadsheets/d/1yDAaXNsi4Mr5FtRQL4tbmSdIzhx6_m4wkOD7IG-k_eo/edit#gid=1336395716"", ""Science!M:N""), 2, FALSE)"),"(LU006833.001); Default - Remember")</f>
        <v>(LU006833.001); Default - Remember</v>
      </c>
      <c r="L9" s="2" t="str">
        <f t="shared" si="1"/>
        <v>LU006833.002</v>
      </c>
      <c r="M9" s="2" t="str">
        <f ca="1">IFERROR(__xludf.dummyfunction("VLOOKUP(L9, IMPORTRANGE(""https://docs.google.com/spreadsheets/d/1yDAaXNsi4Mr5FtRQL4tbmSdIzhx6_m4wkOD7IG-k_eo/edit#gid=1336395716"", ""Science!M:N""), 2, FALSE)"),"(LU006833.002); Default - Understand")</f>
        <v>(LU006833.002); Default - Understand</v>
      </c>
      <c r="N9" s="2" t="str">
        <f t="shared" si="2"/>
        <v>LU006833.003</v>
      </c>
      <c r="O9" s="2" t="str">
        <f ca="1">IFERROR(__xludf.dummyfunction("VLOOKUP(N9, IMPORTRANGE(""https://docs.google.com/spreadsheets/d/1yDAaXNsi4Mr5FtRQL4tbmSdIzhx6_m4wkOD7IG-k_eo/edit#gid=1336395716"", ""Science!M:N""), 2, FALSE)"),"(LU006833.003); Default - Apply")</f>
        <v>(LU006833.003); Default - Apply</v>
      </c>
      <c r="P9" s="2" t="str">
        <f t="shared" si="3"/>
        <v>LU006833.004</v>
      </c>
      <c r="Q9" s="17" t="str">
        <f ca="1">IFERROR(__xludf.dummyfunction("VLOOKUP(P9, IMPORTRANGE(""https://docs.google.com/spreadsheets/d/1yDAaXNsi4Mr5FtRQL4tbmSdIzhx6_m4wkOD7IG-k_eo/edit#gid=1336395716"", ""Science!M:N""), 2, FALSE)"),"(LU006833.004); Default - Analyse")</f>
        <v>(LU006833.004); Default - Analyse</v>
      </c>
      <c r="R9" s="2" t="str">
        <f t="shared" si="4"/>
        <v>LU006833.005</v>
      </c>
      <c r="S9" s="17" t="str">
        <f ca="1">IFERROR(__xludf.dummyfunction("VLOOKUP(R9, IMPORTRANGE(""https://docs.google.com/spreadsheets/d/1yDAaXNsi4Mr5FtRQL4tbmSdIzhx6_m4wkOD7IG-k_eo/edit#gid=1336395716"", ""Science!M:N""), 2, FALSE)"),"(LU006833.005); Default - Evaluate")</f>
        <v>(LU006833.005); Default - Evaluate</v>
      </c>
      <c r="T9" s="2" t="str">
        <f t="shared" si="5"/>
        <v>LU006833.006</v>
      </c>
      <c r="U9" s="17" t="str">
        <f ca="1">IFERROR(__xludf.dummyfunction("VLOOKUP(T9, IMPORTRANGE(""https://docs.google.com/spreadsheets/d/1yDAaXNsi4Mr5FtRQL4tbmSdIzhx6_m4wkOD7IG-k_eo/edit#gid=1336395716"", ""Science!M:N""), 2, FALSE)"),"(LU006833.006); Default - Create")</f>
        <v>(LU006833.006); Default - Create</v>
      </c>
      <c r="V9" s="1"/>
      <c r="W9" s="1"/>
      <c r="X9" s="1"/>
      <c r="Y9" s="1"/>
      <c r="Z9" s="1"/>
      <c r="AA9" s="1"/>
      <c r="AB9" s="1"/>
      <c r="AC9" s="1"/>
      <c r="AD9" s="1"/>
      <c r="AE9" s="1"/>
      <c r="AF9" s="1"/>
      <c r="AG9" s="1"/>
    </row>
    <row r="10" spans="1:33" ht="27.6">
      <c r="A10" s="1"/>
      <c r="B10" s="1" t="s">
        <v>29</v>
      </c>
      <c r="C10" s="1" t="s">
        <v>30</v>
      </c>
      <c r="D10" s="13">
        <v>8</v>
      </c>
      <c r="E10" s="1" t="s">
        <v>234</v>
      </c>
      <c r="F10" s="1" t="s">
        <v>235</v>
      </c>
      <c r="G10" s="14" t="s">
        <v>238</v>
      </c>
      <c r="H10" s="18" t="str">
        <f ca="1">IFERROR(__xludf.dummyfunction("IFERROR(
  VLOOKUP(G10, IMPORTRANGE(""https://docs.google.com/spreadsheets/d/14deopnvwcrKtEGCKuYXdUHJbeLDZlkiSSWWT0g7x2pM/edit#gid=849066331"", ""LU List Maths (Filter)!A:B""), 2, FALSE),
  IFERROR(
    VLOOKUP(G10, IMPORTRANGE(""https://docs.google.com/s"&amp;"preadsheets/d/14deopnvwcrKtEGCKuYXdUHJbeLDZlkiSSWWT0g7x2pM/edit#gid=849066331"", ""LU List Science (Filter)!A:B""), 2, FALSE),
    ""Not Found""
  )
)
"),"Calculation of turning effect of force")</f>
        <v>Calculation of turning effect of force</v>
      </c>
      <c r="I10" s="1"/>
      <c r="J10" s="2" t="str">
        <f t="shared" si="0"/>
        <v>LU006834.001</v>
      </c>
      <c r="K10" s="2" t="str">
        <f ca="1">IFERROR(__xludf.dummyfunction("VLOOKUP(J10, IMPORTRANGE(""https://docs.google.com/spreadsheets/d/1yDAaXNsi4Mr5FtRQL4tbmSdIzhx6_m4wkOD7IG-k_eo/edit#gid=1336395716"", ""Science!M:N""), 2, FALSE)"),"(LU006834.001); Default - Remember")</f>
        <v>(LU006834.001); Default - Remember</v>
      </c>
      <c r="L10" s="2" t="str">
        <f t="shared" si="1"/>
        <v>LU006834.002</v>
      </c>
      <c r="M10" s="2" t="str">
        <f ca="1">IFERROR(__xludf.dummyfunction("VLOOKUP(L10, IMPORTRANGE(""https://docs.google.com/spreadsheets/d/1yDAaXNsi4Mr5FtRQL4tbmSdIzhx6_m4wkOD7IG-k_eo/edit#gid=1336395716"", ""Science!M:N""), 2, FALSE)"),"(LU006834.002); Default - Understand")</f>
        <v>(LU006834.002); Default - Understand</v>
      </c>
      <c r="N10" s="2" t="str">
        <f t="shared" si="2"/>
        <v>LU006834.003</v>
      </c>
      <c r="O10" s="2" t="str">
        <f ca="1">IFERROR(__xludf.dummyfunction("VLOOKUP(N10, IMPORTRANGE(""https://docs.google.com/spreadsheets/d/1yDAaXNsi4Mr5FtRQL4tbmSdIzhx6_m4wkOD7IG-k_eo/edit#gid=1336395716"", ""Science!M:N""), 2, FALSE)"),"(LU006834.003); Default - Apply")</f>
        <v>(LU006834.003); Default - Apply</v>
      </c>
      <c r="P10" s="2" t="str">
        <f t="shared" si="3"/>
        <v>LU006834.004</v>
      </c>
      <c r="Q10" s="17" t="str">
        <f ca="1">IFERROR(__xludf.dummyfunction("VLOOKUP(P10, IMPORTRANGE(""https://docs.google.com/spreadsheets/d/1yDAaXNsi4Mr5FtRQL4tbmSdIzhx6_m4wkOD7IG-k_eo/edit#gid=1336395716"", ""Science!M:N""), 2, FALSE)"),"(LU006834.004); Default - Analyse")</f>
        <v>(LU006834.004); Default - Analyse</v>
      </c>
      <c r="R10" s="2" t="str">
        <f t="shared" si="4"/>
        <v>LU006834.005</v>
      </c>
      <c r="S10" s="17" t="str">
        <f ca="1">IFERROR(__xludf.dummyfunction("VLOOKUP(R10, IMPORTRANGE(""https://docs.google.com/spreadsheets/d/1yDAaXNsi4Mr5FtRQL4tbmSdIzhx6_m4wkOD7IG-k_eo/edit#gid=1336395716"", ""Science!M:N""), 2, FALSE)"),"(LU006834.005); Default - Evaluate")</f>
        <v>(LU006834.005); Default - Evaluate</v>
      </c>
      <c r="T10" s="2" t="str">
        <f t="shared" si="5"/>
        <v>LU006834.006</v>
      </c>
      <c r="U10" s="17" t="str">
        <f ca="1">IFERROR(__xludf.dummyfunction("VLOOKUP(T10, IMPORTRANGE(""https://docs.google.com/spreadsheets/d/1yDAaXNsi4Mr5FtRQL4tbmSdIzhx6_m4wkOD7IG-k_eo/edit#gid=1336395716"", ""Science!M:N""), 2, FALSE)"),"(LU006834.006); Default - Create")</f>
        <v>(LU006834.006); Default - Create</v>
      </c>
      <c r="V10" s="1"/>
      <c r="W10" s="1"/>
      <c r="X10" s="1"/>
      <c r="Y10" s="1"/>
      <c r="Z10" s="1"/>
      <c r="AA10" s="1"/>
      <c r="AB10" s="1"/>
      <c r="AC10" s="1"/>
      <c r="AD10" s="1"/>
      <c r="AE10" s="1"/>
      <c r="AF10" s="1"/>
      <c r="AG10" s="1"/>
    </row>
    <row r="11" spans="1:33" ht="27.6">
      <c r="A11" s="1"/>
      <c r="B11" s="1" t="s">
        <v>29</v>
      </c>
      <c r="C11" s="1" t="s">
        <v>30</v>
      </c>
      <c r="D11" s="13">
        <v>8</v>
      </c>
      <c r="E11" s="1" t="s">
        <v>234</v>
      </c>
      <c r="F11" s="1" t="s">
        <v>239</v>
      </c>
      <c r="G11" s="1" t="s">
        <v>240</v>
      </c>
      <c r="H11" s="18" t="str">
        <f ca="1">IFERROR(__xludf.dummyfunction("IFERROR(
  VLOOKUP(G11, IMPORTRANGE(""https://docs.google.com/spreadsheets/d/14deopnvwcrKtEGCKuYXdUHJbeLDZlkiSSWWT0g7x2pM/edit#gid=849066331"", ""LU List Maths (Filter)!A:B""), 2, FALSE),
  IFERROR(
    VLOOKUP(G11, IMPORTRANGE(""https://docs.google.com/s"&amp;"preadsheets/d/14deopnvwcrKtEGCKuYXdUHJbeLDZlkiSSWWT0g7x2pM/edit#gid=849066331"", ""LU List Science (Filter)!A:B""), 2, FALSE),
    ""Not Found""
  )
)
"),"Definition of pressure")</f>
        <v>Definition of pressure</v>
      </c>
      <c r="I11" s="1" t="s">
        <v>241</v>
      </c>
      <c r="J11" s="2" t="str">
        <f t="shared" si="0"/>
        <v>LU005543.001</v>
      </c>
      <c r="K11" s="2" t="str">
        <f ca="1">IFERROR(__xludf.dummyfunction("VLOOKUP(J11, IMPORTRANGE(""https://docs.google.com/spreadsheets/d/1yDAaXNsi4Mr5FtRQL4tbmSdIzhx6_m4wkOD7IG-k_eo/edit#gid=1336395716"", ""Science!M:N""), 2, FALSE)"),"Recall the basic definition of pressure.")</f>
        <v>Recall the basic definition of pressure.</v>
      </c>
      <c r="L11" s="2" t="str">
        <f t="shared" si="1"/>
        <v>LU005543.002</v>
      </c>
      <c r="M11" s="2" t="str">
        <f ca="1">IFERROR(__xludf.dummyfunction("VLOOKUP(L11, IMPORTRANGE(""https://docs.google.com/spreadsheets/d/1yDAaXNsi4Mr5FtRQL4tbmSdIzhx6_m4wkOD7IG-k_eo/edit#gid=1336395716"", ""Science!M:N""), 2, FALSE)"),"Explain pressure in terms of force and area.")</f>
        <v>Explain pressure in terms of force and area.</v>
      </c>
      <c r="N11" s="2" t="str">
        <f t="shared" si="2"/>
        <v>LU005543.003</v>
      </c>
      <c r="O11" s="2" t="str">
        <f ca="1">IFERROR(__xludf.dummyfunction("VLOOKUP(N11, IMPORTRANGE(""https://docs.google.com/spreadsheets/d/1yDAaXNsi4Mr5FtRQL4tbmSdIzhx6_m4wkOD7IG-k_eo/edit#gid=1336395716"", ""Science!M:N""), 2, FALSE)"),"Use the formula for pressure to calculate it given force and area values.")</f>
        <v>Use the formula for pressure to calculate it given force and area values.</v>
      </c>
      <c r="P11" s="2" t="str">
        <f t="shared" si="3"/>
        <v>LU005543.004</v>
      </c>
      <c r="Q11" s="17" t="str">
        <f ca="1">IFERROR(__xludf.dummyfunction("VLOOKUP(P11, IMPORTRANGE(""https://docs.google.com/spreadsheets/d/1yDAaXNsi4Mr5FtRQL4tbmSdIzhx6_m4wkOD7IG-k_eo/edit#gid=1336395716"", ""Science!M:N""), 2, FALSE)"),"#N/A")</f>
        <v>#N/A</v>
      </c>
      <c r="R11" s="2" t="str">
        <f t="shared" si="4"/>
        <v>LU005543.005</v>
      </c>
      <c r="S11" s="17" t="str">
        <f ca="1">IFERROR(__xludf.dummyfunction("VLOOKUP(R11, IMPORTRANGE(""https://docs.google.com/spreadsheets/d/1yDAaXNsi4Mr5FtRQL4tbmSdIzhx6_m4wkOD7IG-k_eo/edit#gid=1336395716"", ""Science!M:N""), 2, FALSE)"),"Justify the importance of understanding pressure in everyday activities like inflating a balloon or bicycle tire.")</f>
        <v>Justify the importance of understanding pressure in everyday activities like inflating a balloon or bicycle tire.</v>
      </c>
      <c r="T11" s="2" t="str">
        <f t="shared" si="5"/>
        <v>LU005543.006</v>
      </c>
      <c r="U11" s="17" t="str">
        <f ca="1">IFERROR(__xludf.dummyfunction("VLOOKUP(T11, IMPORTRANGE(""https://docs.google.com/spreadsheets/d/1yDAaXNsi4Mr5FtRQL4tbmSdIzhx6_m4wkOD7IG-k_eo/edit#gid=1336395716"", ""Science!M:N""), 2, FALSE)"),"#N/A")</f>
        <v>#N/A</v>
      </c>
      <c r="V11" s="1"/>
      <c r="W11" s="1"/>
      <c r="X11" s="1"/>
      <c r="Y11" s="1"/>
      <c r="Z11" s="1"/>
      <c r="AA11" s="1"/>
      <c r="AB11" s="1"/>
      <c r="AC11" s="1"/>
      <c r="AD11" s="1"/>
      <c r="AE11" s="1"/>
      <c r="AF11" s="1"/>
      <c r="AG11" s="1"/>
    </row>
    <row r="12" spans="1:33" ht="41.4">
      <c r="A12" s="1"/>
      <c r="B12" s="1" t="s">
        <v>29</v>
      </c>
      <c r="C12" s="1" t="s">
        <v>30</v>
      </c>
      <c r="D12" s="13">
        <v>8</v>
      </c>
      <c r="E12" s="1" t="s">
        <v>234</v>
      </c>
      <c r="F12" s="1" t="s">
        <v>242</v>
      </c>
      <c r="G12" s="1" t="s">
        <v>243</v>
      </c>
      <c r="H12" s="18" t="str">
        <f ca="1">IFERROR(__xludf.dummyfunction("IFERROR(
  VLOOKUP(G12, IMPORTRANGE(""https://docs.google.com/spreadsheets/d/14deopnvwcrKtEGCKuYXdUHJbeLDZlkiSSWWT0g7x2pM/edit#gid=849066331"", ""LU List Maths (Filter)!A:B""), 2, FALSE),
  IFERROR(
    VLOOKUP(G12, IMPORTRANGE(""https://docs.google.com/s"&amp;"preadsheets/d/14deopnvwcrKtEGCKuYXdUHJbeLDZlkiSSWWT0g7x2pM/edit#gid=849066331"", ""LU List Science (Filter)!A:B""), 2, FALSE),
    ""Not Found""
  )
)
"),"Definition of liquid pressure/hydrostatic pressure")</f>
        <v>Definition of liquid pressure/hydrostatic pressure</v>
      </c>
      <c r="I12" s="1"/>
      <c r="J12" s="2" t="str">
        <f t="shared" si="0"/>
        <v>LU005544.001</v>
      </c>
      <c r="K12" s="2" t="str">
        <f ca="1">IFERROR(__xludf.dummyfunction("VLOOKUP(J12, IMPORTRANGE(""https://docs.google.com/spreadsheets/d/1yDAaXNsi4Mr5FtRQL4tbmSdIzhx6_m4wkOD7IG-k_eo/edit#gid=1336395716"", ""Science!M:N""), 2, FALSE)"),"State the definition of liquid pressure/hydrostatic pressure.")</f>
        <v>State the definition of liquid pressure/hydrostatic pressure.</v>
      </c>
      <c r="L12" s="2" t="str">
        <f t="shared" si="1"/>
        <v>LU005544.002</v>
      </c>
      <c r="M12" s="2" t="str">
        <f ca="1">IFERROR(__xludf.dummyfunction("VLOOKUP(L12, IMPORTRANGE(""https://docs.google.com/spreadsheets/d/1yDAaXNsi4Mr5FtRQL4tbmSdIzhx6_m4wkOD7IG-k_eo/edit#gid=1336395716"", ""Science!M:N""), 2, FALSE)"),"Paraphrase the concept of liquid pressure/hydrostatic pressure in your own words.")</f>
        <v>Paraphrase the concept of liquid pressure/hydrostatic pressure in your own words.</v>
      </c>
      <c r="N12" s="2" t="str">
        <f t="shared" si="2"/>
        <v>LU005544.003</v>
      </c>
      <c r="O12" s="2" t="str">
        <f ca="1">IFERROR(__xludf.dummyfunction("VLOOKUP(N12, IMPORTRANGE(""https://docs.google.com/spreadsheets/d/1yDAaXNsi4Mr5FtRQL4tbmSdIzhx6_m4wkOD7IG-k_eo/edit#gid=1336395716"", ""Science!M:N""), 2, FALSE)"),"Use the definition to identify instances of liquid pressure/hydrostatic pressure in everyday scenarios.")</f>
        <v>Use the definition to identify instances of liquid pressure/hydrostatic pressure in everyday scenarios.</v>
      </c>
      <c r="P12" s="2" t="str">
        <f t="shared" si="3"/>
        <v>LU005544.004</v>
      </c>
      <c r="Q12" s="17" t="str">
        <f ca="1">IFERROR(__xludf.dummyfunction("VLOOKUP(P12, IMPORTRANGE(""https://docs.google.com/spreadsheets/d/1yDAaXNsi4Mr5FtRQL4tbmSdIzhx6_m4wkOD7IG-k_eo/edit#gid=1336395716"", ""Science!M:N""), 2, FALSE)"),"#N/A")</f>
        <v>#N/A</v>
      </c>
      <c r="R12" s="2" t="str">
        <f t="shared" si="4"/>
        <v>LU005544.005</v>
      </c>
      <c r="S12" s="17" t="str">
        <f ca="1">IFERROR(__xludf.dummyfunction("VLOOKUP(R12, IMPORTRANGE(""https://docs.google.com/spreadsheets/d/1yDAaXNsi4Mr5FtRQL4tbmSdIzhx6_m4wkOD7IG-k_eo/edit#gid=1336395716"", ""Science!M:N""), 2, FALSE)"),"Critique various definitions or explanations of liquid pressure/hydrostatic pressure from different sources for clarity and comprehensiveness.")</f>
        <v>Critique various definitions or explanations of liquid pressure/hydrostatic pressure from different sources for clarity and comprehensiveness.</v>
      </c>
      <c r="T12" s="2" t="str">
        <f t="shared" si="5"/>
        <v>LU005544.006</v>
      </c>
      <c r="U12" s="17" t="str">
        <f ca="1">IFERROR(__xludf.dummyfunction("VLOOKUP(T12, IMPORTRANGE(""https://docs.google.com/spreadsheets/d/1yDAaXNsi4Mr5FtRQL4tbmSdIzhx6_m4wkOD7IG-k_eo/edit#gid=1336395716"", ""Science!M:N""), 2, FALSE)"),"#N/A")</f>
        <v>#N/A</v>
      </c>
      <c r="V12" s="1"/>
      <c r="W12" s="1"/>
      <c r="X12" s="1"/>
      <c r="Y12" s="1"/>
      <c r="Z12" s="1"/>
      <c r="AA12" s="1"/>
      <c r="AB12" s="1"/>
      <c r="AC12" s="1"/>
      <c r="AD12" s="1"/>
      <c r="AE12" s="1"/>
      <c r="AF12" s="1"/>
      <c r="AG12" s="1"/>
    </row>
    <row r="13" spans="1:33" ht="41.4">
      <c r="A13" s="1"/>
      <c r="B13" s="1" t="s">
        <v>29</v>
      </c>
      <c r="C13" s="1" t="s">
        <v>30</v>
      </c>
      <c r="D13" s="13">
        <v>8</v>
      </c>
      <c r="E13" s="1" t="s">
        <v>234</v>
      </c>
      <c r="F13" s="1" t="s">
        <v>242</v>
      </c>
      <c r="G13" s="1" t="s">
        <v>244</v>
      </c>
      <c r="H13" s="18" t="str">
        <f ca="1">IFERROR(__xludf.dummyfunction("IFERROR(
  VLOOKUP(G13, IMPORTRANGE(""https://docs.google.com/spreadsheets/d/14deopnvwcrKtEGCKuYXdUHJbeLDZlkiSSWWT0g7x2pM/edit#gid=849066331"", ""LU List Maths (Filter)!A:B""), 2, FALSE),
  IFERROR(
    VLOOKUP(G13, IMPORTRANGE(""https://docs.google.com/s"&amp;"preadsheets/d/14deopnvwcrKtEGCKuYXdUHJbeLDZlkiSSWWT0g7x2pM/edit#gid=849066331"", ""LU List Science (Filter)!A:B""), 2, FALSE),
    ""Not Found""
  )
)
"),"Understanding Gaseous Pressure through Real-Life Examples")</f>
        <v>Understanding Gaseous Pressure through Real-Life Examples</v>
      </c>
      <c r="I13" s="1"/>
      <c r="J13" s="2" t="str">
        <f t="shared" si="0"/>
        <v>LU005915.001</v>
      </c>
      <c r="K13" s="2" t="str">
        <f ca="1">IFERROR(__xludf.dummyfunction("VLOOKUP(J13, IMPORTRANGE(""https://docs.google.com/spreadsheets/d/1yDAaXNsi4Mr5FtRQL4tbmSdIzhx6_m4wkOD7IG-k_eo/edit#gid=1336395716"", ""Science!M:N""), 2, FALSE)"),"Define gaseous pressure and identify real-life examples where it is observed.")</f>
        <v>Define gaseous pressure and identify real-life examples where it is observed.</v>
      </c>
      <c r="L13" s="2" t="str">
        <f t="shared" si="1"/>
        <v>LU005915.002</v>
      </c>
      <c r="M13" s="2" t="str">
        <f ca="1">IFERROR(__xludf.dummyfunction("VLOOKUP(L13, IMPORTRANGE(""https://docs.google.com/spreadsheets/d/1yDAaXNsi4Mr5FtRQL4tbmSdIzhx6_m4wkOD7IG-k_eo/edit#gid=1336395716"", ""Science!M:N""), 2, FALSE)"),"Explain how gaseous pressure is generated and its effects in everyday scenarios like inflating a balloon or a bicycle tire.")</f>
        <v>Explain how gaseous pressure is generated and its effects in everyday scenarios like inflating a balloon or a bicycle tire.</v>
      </c>
      <c r="N13" s="2" t="str">
        <f t="shared" si="2"/>
        <v>LU005915.003</v>
      </c>
      <c r="O13" s="2" t="str">
        <f ca="1">IFERROR(__xludf.dummyfunction("VLOOKUP(N13, IMPORTRANGE(""https://docs.google.com/spreadsheets/d/1yDAaXNsi4Mr5FtRQL4tbmSdIzhx6_m4wkOD7IG-k_eo/edit#gid=1336395716"", ""Science!M:N""), 2, FALSE)"),"Use gaseous pressure concepts in real-life examples like inflated balloons and air pumps.")</f>
        <v>Use gaseous pressure concepts in real-life examples like inflated balloons and air pumps.</v>
      </c>
      <c r="P13" s="2" t="str">
        <f t="shared" si="3"/>
        <v>LU005915.004</v>
      </c>
      <c r="Q13" s="17" t="str">
        <f ca="1">IFERROR(__xludf.dummyfunction("VLOOKUP(P13, IMPORTRANGE(""https://docs.google.com/spreadsheets/d/1yDAaXNsi4Mr5FtRQL4tbmSdIzhx6_m4wkOD7IG-k_eo/edit#gid=1336395716"", ""Science!M:N""), 2, FALSE)"),"Dissect roles of gaseous pressure in various scenarios such as weather systems and industrial processes.")</f>
        <v>Dissect roles of gaseous pressure in various scenarios such as weather systems and industrial processes.</v>
      </c>
      <c r="R13" s="2" t="str">
        <f t="shared" si="4"/>
        <v>LU005915.005</v>
      </c>
      <c r="S13" s="17" t="str">
        <f ca="1">IFERROR(__xludf.dummyfunction("VLOOKUP(R13, IMPORTRANGE(""https://docs.google.com/spreadsheets/d/1yDAaXNsi4Mr5FtRQL4tbmSdIzhx6_m4wkOD7IG-k_eo/edit#gid=1336395716"", ""Science!M:N""), 2, FALSE)"),"Assess the impact of gaseous pressure in different practical applications.")</f>
        <v>Assess the impact of gaseous pressure in different practical applications.</v>
      </c>
      <c r="T13" s="2" t="str">
        <f t="shared" si="5"/>
        <v>LU005915.006</v>
      </c>
      <c r="U13" s="17" t="str">
        <f ca="1">IFERROR(__xludf.dummyfunction("VLOOKUP(T13, IMPORTRANGE(""https://docs.google.com/spreadsheets/d/1yDAaXNsi4Mr5FtRQL4tbmSdIzhx6_m4wkOD7IG-k_eo/edit#gid=1336395716"", ""Science!M:N""), 2, FALSE)"),"Develop a simple project or experiment demonstrating gaseous pressure principles.")</f>
        <v>Develop a simple project or experiment demonstrating gaseous pressure principles.</v>
      </c>
      <c r="V13" s="1"/>
      <c r="W13" s="1"/>
      <c r="X13" s="1"/>
      <c r="Y13" s="1"/>
      <c r="Z13" s="1"/>
      <c r="AA13" s="1"/>
      <c r="AB13" s="1"/>
      <c r="AC13" s="1"/>
      <c r="AD13" s="1"/>
      <c r="AE13" s="1"/>
      <c r="AF13" s="1"/>
      <c r="AG13" s="1"/>
    </row>
    <row r="14" spans="1:33" ht="41.4">
      <c r="A14" s="1"/>
      <c r="B14" s="1" t="s">
        <v>29</v>
      </c>
      <c r="C14" s="1" t="s">
        <v>30</v>
      </c>
      <c r="D14" s="13">
        <v>8</v>
      </c>
      <c r="E14" s="1" t="s">
        <v>234</v>
      </c>
      <c r="F14" s="1" t="s">
        <v>242</v>
      </c>
      <c r="G14" s="1" t="s">
        <v>245</v>
      </c>
      <c r="H14" s="18" t="str">
        <f ca="1">IFERROR(__xludf.dummyfunction("IFERROR(
  VLOOKUP(G14, IMPORTRANGE(""https://docs.google.com/spreadsheets/d/14deopnvwcrKtEGCKuYXdUHJbeLDZlkiSSWWT0g7x2pM/edit#gid=849066331"", ""LU List Maths (Filter)!A:B""), 2, FALSE),
  IFERROR(
    VLOOKUP(G14, IMPORTRANGE(""https://docs.google.com/s"&amp;"preadsheets/d/14deopnvwcrKtEGCKuYXdUHJbeLDZlkiSSWWT0g7x2pM/edit#gid=849066331"", ""LU List Science (Filter)!A:B""), 2, FALSE),
    ""Not Found""
  )
)
"),"Definition of atmospheric pressure")</f>
        <v>Definition of atmospheric pressure</v>
      </c>
      <c r="I14" s="1"/>
      <c r="J14" s="2" t="str">
        <f t="shared" si="0"/>
        <v>LU005546.001</v>
      </c>
      <c r="K14" s="2" t="str">
        <f ca="1">IFERROR(__xludf.dummyfunction("VLOOKUP(J14, IMPORTRANGE(""https://docs.google.com/spreadsheets/d/1yDAaXNsi4Mr5FtRQL4tbmSdIzhx6_m4wkOD7IG-k_eo/edit#gid=1336395716"", ""Science!M:N""), 2, FALSE)"),"Recall the definition of atmospheric pressure.")</f>
        <v>Recall the definition of atmospheric pressure.</v>
      </c>
      <c r="L14" s="2" t="str">
        <f t="shared" si="1"/>
        <v>LU005546.002</v>
      </c>
      <c r="M14" s="2" t="str">
        <f ca="1">IFERROR(__xludf.dummyfunction("VLOOKUP(L14, IMPORTRANGE(""https://docs.google.com/spreadsheets/d/1yDAaXNsi4Mr5FtRQL4tbmSdIzhx6_m4wkOD7IG-k_eo/edit#gid=1336395716"", ""Science!M:N""), 2, FALSE)"),"Paraphrase the concept of atmospheric pressure in one's own words.")</f>
        <v>Paraphrase the concept of atmospheric pressure in one's own words.</v>
      </c>
      <c r="N14" s="2" t="str">
        <f t="shared" si="2"/>
        <v>LU005546.003</v>
      </c>
      <c r="O14" s="2" t="str">
        <f ca="1">IFERROR(__xludf.dummyfunction("VLOOKUP(N14, IMPORTRANGE(""https://docs.google.com/spreadsheets/d/1yDAaXNsi4Mr5FtRQL4tbmSdIzhx6_m4wkOD7IG-k_eo/edit#gid=1336395716"", ""Science!M:N""), 2, FALSE)"),"Describe how atmospheric pressure affects our daily lives, using everyday examples.")</f>
        <v>Describe how atmospheric pressure affects our daily lives, using everyday examples.</v>
      </c>
      <c r="P14" s="2" t="str">
        <f t="shared" si="3"/>
        <v>LU005546.004</v>
      </c>
      <c r="Q14" s="17" t="str">
        <f ca="1">IFERROR(__xludf.dummyfunction("VLOOKUP(P14, IMPORTRANGE(""https://docs.google.com/spreadsheets/d/1yDAaXNsi4Mr5FtRQL4tbmSdIzhx6_m4wkOD7IG-k_eo/edit#gid=1336395716"", ""Science!M:N""), 2, FALSE)"),"Differentiate between atmospheric pressure and other types of pressure based on their definitions and causes.")</f>
        <v>Differentiate between atmospheric pressure and other types of pressure based on their definitions and causes.</v>
      </c>
      <c r="R14" s="2" t="str">
        <f t="shared" si="4"/>
        <v>LU005546.005</v>
      </c>
      <c r="S14" s="17" t="str">
        <f ca="1">IFERROR(__xludf.dummyfunction("VLOOKUP(R14, IMPORTRANGE(""https://docs.google.com/spreadsheets/d/1yDAaXNsi4Mr5FtRQL4tbmSdIzhx6_m4wkOD7IG-k_eo/edit#gid=1336395716"", ""Science!M:N""), 2, FALSE)"),"Compare and critique different definitions or explanations of atmospheric pressure from multiple sources.")</f>
        <v>Compare and critique different definitions or explanations of atmospheric pressure from multiple sources.</v>
      </c>
      <c r="T14" s="2" t="str">
        <f t="shared" si="5"/>
        <v>LU005546.006</v>
      </c>
      <c r="U14" s="17" t="str">
        <f ca="1">IFERROR(__xludf.dummyfunction("VLOOKUP(T14, IMPORTRANGE(""https://docs.google.com/spreadsheets/d/1yDAaXNsi4Mr5FtRQL4tbmSdIzhx6_m4wkOD7IG-k_eo/edit#gid=1336395716"", ""Science!M:N""), 2, FALSE)"),"#N/A")</f>
        <v>#N/A</v>
      </c>
      <c r="V14" s="1"/>
      <c r="W14" s="1"/>
      <c r="X14" s="1"/>
      <c r="Y14" s="1"/>
      <c r="Z14" s="1"/>
      <c r="AA14" s="1"/>
      <c r="AB14" s="1"/>
      <c r="AC14" s="1"/>
      <c r="AD14" s="1"/>
      <c r="AE14" s="1"/>
      <c r="AF14" s="1"/>
      <c r="AG14" s="1"/>
    </row>
    <row r="15" spans="1:33" ht="27.6">
      <c r="A15" s="1"/>
      <c r="B15" s="1" t="s">
        <v>29</v>
      </c>
      <c r="C15" s="1" t="s">
        <v>30</v>
      </c>
      <c r="D15" s="13">
        <v>8</v>
      </c>
      <c r="E15" s="1" t="s">
        <v>75</v>
      </c>
      <c r="F15" s="1" t="s">
        <v>246</v>
      </c>
      <c r="G15" s="1" t="s">
        <v>247</v>
      </c>
      <c r="H15" s="18" t="str">
        <f ca="1">IFERROR(__xludf.dummyfunction("IFERROR(
  VLOOKUP(G15, IMPORTRANGE(""https://docs.google.com/spreadsheets/d/14deopnvwcrKtEGCKuYXdUHJbeLDZlkiSSWWT0g7x2pM/edit#gid=849066331"", ""LU List Maths (Filter)!A:B""), 2, FALSE),
  IFERROR(
    VLOOKUP(G15, IMPORTRANGE(""https://docs.google.com/s"&amp;"preadsheets/d/14deopnvwcrKtEGCKuYXdUHJbeLDZlkiSSWWT0g7x2pM/edit#gid=849066331"", ""LU List Science (Filter)!A:B""), 2, FALSE),
    ""Not Found""
  )
)
"),"Quantitative Nature of Work Done (Formula and Unit)")</f>
        <v>Quantitative Nature of Work Done (Formula and Unit)</v>
      </c>
      <c r="I15" s="1"/>
      <c r="J15" s="2" t="str">
        <f t="shared" si="0"/>
        <v>LU006353.001</v>
      </c>
      <c r="K15" s="2" t="str">
        <f ca="1">IFERROR(__xludf.dummyfunction("VLOOKUP(J15, IMPORTRANGE(""https://docs.google.com/spreadsheets/d/1yDAaXNsi4Mr5FtRQL4tbmSdIzhx6_m4wkOD7IG-k_eo/edit#gid=1336395716"", ""Science!M:N""), 2, FALSE)"),"List examples of zero, positive, and negative work.")</f>
        <v>List examples of zero, positive, and negative work.</v>
      </c>
      <c r="L15" s="2" t="str">
        <f t="shared" si="1"/>
        <v>LU006353.002</v>
      </c>
      <c r="M15" s="2" t="str">
        <f ca="1">IFERROR(__xludf.dummyfunction("VLOOKUP(L15, IMPORTRANGE(""https://docs.google.com/spreadsheets/d/1yDAaXNsi4Mr5FtRQL4tbmSdIzhx6_m4wkOD7IG-k_eo/edit#gid=1336395716"", ""Science!M:N""), 2, FALSE)"),"Describe the conditions under which work is considered positive, negative, or zero.")</f>
        <v>Describe the conditions under which work is considered positive, negative, or zero.</v>
      </c>
      <c r="N15" s="2" t="str">
        <f t="shared" si="2"/>
        <v>LU006353.003</v>
      </c>
      <c r="O15" s="2" t="str">
        <f ca="1">IFERROR(__xludf.dummyfunction("VLOOKUP(N15, IMPORTRANGE(""https://docs.google.com/spreadsheets/d/1yDAaXNsi4Mr5FtRQL4tbmSdIzhx6_m4wkOD7IG-k_eo/edit#gid=1336395716"", ""Science!M:N""), 2, FALSE)"),"Identify the type of work done in a given real-life situation.")</f>
        <v>Identify the type of work done in a given real-life situation.</v>
      </c>
      <c r="P15" s="2" t="str">
        <f t="shared" si="3"/>
        <v>LU006353.004</v>
      </c>
      <c r="Q15" s="17" t="str">
        <f ca="1">IFERROR(__xludf.dummyfunction("VLOOKUP(P15, IMPORTRANGE(""https://docs.google.com/spreadsheets/d/1yDAaXNsi4Mr5FtRQL4tbmSdIzhx6_m4wkOD7IG-k_eo/edit#gid=1336395716"", ""Science!M:N""), 2, FALSE)"),"Compare and contrast the concepts of positive and negative work.")</f>
        <v>Compare and contrast the concepts of positive and negative work.</v>
      </c>
      <c r="R15" s="2" t="str">
        <f t="shared" si="4"/>
        <v>LU006353.005</v>
      </c>
      <c r="S15" s="17" t="str">
        <f ca="1">IFERROR(__xludf.dummyfunction("VLOOKUP(R15, IMPORTRANGE(""https://docs.google.com/spreadsheets/d/1yDAaXNsi4Mr5FtRQL4tbmSdIzhx6_m4wkOD7IG-k_eo/edit#gid=1336395716"", ""Science!M:N""), 2, FALSE)"),"Judge the effects of positive and negative work in various physical systems.")</f>
        <v>Judge the effects of positive and negative work in various physical systems.</v>
      </c>
      <c r="T15" s="2" t="str">
        <f t="shared" si="5"/>
        <v>LU006353.006</v>
      </c>
      <c r="U15" s="17" t="str">
        <f ca="1">IFERROR(__xludf.dummyfunction("VLOOKUP(T15, IMPORTRANGE(""https://docs.google.com/spreadsheets/d/1yDAaXNsi4Mr5FtRQL4tbmSdIzhx6_m4wkOD7IG-k_eo/edit#gid=1336395716"", ""Science!M:N""), 2, FALSE)"),"Design an experiment to demonstrate positive, negative, and zero work.")</f>
        <v>Design an experiment to demonstrate positive, negative, and zero work.</v>
      </c>
      <c r="V15" s="1"/>
      <c r="W15" s="1"/>
      <c r="X15" s="1"/>
      <c r="Y15" s="1"/>
      <c r="Z15" s="1"/>
      <c r="AA15" s="1"/>
      <c r="AB15" s="1"/>
      <c r="AC15" s="1"/>
      <c r="AD15" s="1"/>
      <c r="AE15" s="1"/>
      <c r="AF15" s="1"/>
      <c r="AG15" s="1"/>
    </row>
    <row r="16" spans="1:33" ht="27.6">
      <c r="A16" s="1"/>
      <c r="B16" s="1" t="s">
        <v>29</v>
      </c>
      <c r="C16" s="1" t="s">
        <v>30</v>
      </c>
      <c r="D16" s="13">
        <v>8</v>
      </c>
      <c r="E16" s="1" t="s">
        <v>75</v>
      </c>
      <c r="F16" s="1" t="s">
        <v>248</v>
      </c>
      <c r="G16" s="1" t="s">
        <v>249</v>
      </c>
      <c r="H16" s="18" t="str">
        <f ca="1">IFERROR(__xludf.dummyfunction("IFERROR(
  VLOOKUP(G16, IMPORTRANGE(""https://docs.google.com/spreadsheets/d/14deopnvwcrKtEGCKuYXdUHJbeLDZlkiSSWWT0g7x2pM/edit#gid=849066331"", ""LU List Maths (Filter)!A:B""), 2, FALSE),
  IFERROR(
    VLOOKUP(G16, IMPORTRANGE(""https://docs.google.com/s"&amp;"preadsheets/d/14deopnvwcrKtEGCKuYXdUHJbeLDZlkiSSWWT0g7x2pM/edit#gid=849066331"", ""LU List Science (Filter)!A:B""), 2, FALSE),
    ""Not Found""
  )
)
"),"Introduction to Kinetic Energy (Formula and Its Application)")</f>
        <v>Introduction to Kinetic Energy (Formula and Its Application)</v>
      </c>
      <c r="I16" s="1"/>
      <c r="J16" s="2" t="str">
        <f t="shared" si="0"/>
        <v>LU006355.001</v>
      </c>
      <c r="K16" s="2" t="str">
        <f ca="1">IFERROR(__xludf.dummyfunction("VLOOKUP(J16, IMPORTRANGE(""https://docs.google.com/spreadsheets/d/1yDAaXNsi4Mr5FtRQL4tbmSdIzhx6_m4wkOD7IG-k_eo/edit#gid=1336395716"", ""Science!M:N""), 2, FALSE)"),"Recall the formula for kinetic energy.")</f>
        <v>Recall the formula for kinetic energy.</v>
      </c>
      <c r="L16" s="2" t="str">
        <f t="shared" si="1"/>
        <v>LU006355.002</v>
      </c>
      <c r="M16" s="2" t="str">
        <f ca="1">IFERROR(__xludf.dummyfunction("VLOOKUP(L16, IMPORTRANGE(""https://docs.google.com/spreadsheets/d/1yDAaXNsi4Mr5FtRQL4tbmSdIzhx6_m4wkOD7IG-k_eo/edit#gid=1336395716"", ""Science!M:N""), 2, FALSE)"),"Summarize how kinetic energy is affected by mass and velocity.")</f>
        <v>Summarize how kinetic energy is affected by mass and velocity.</v>
      </c>
      <c r="N16" s="2" t="str">
        <f t="shared" si="2"/>
        <v>LU006355.003</v>
      </c>
      <c r="O16" s="2" t="str">
        <f ca="1">IFERROR(__xludf.dummyfunction("VLOOKUP(N16, IMPORTRANGE(""https://docs.google.com/spreadsheets/d/1yDAaXNsi4Mr5FtRQL4tbmSdIzhx6_m4wkOD7IG-k_eo/edit#gid=1336395716"", ""Science!M:N""), 2, FALSE)"),"Calculate the kinetic energy of an object given its mass and speed.")</f>
        <v>Calculate the kinetic energy of an object given its mass and speed.</v>
      </c>
      <c r="P16" s="2" t="str">
        <f t="shared" si="3"/>
        <v>LU006355.004</v>
      </c>
      <c r="Q16" s="17" t="str">
        <f ca="1">IFERROR(__xludf.dummyfunction("VLOOKUP(P16, IMPORTRANGE(""https://docs.google.com/spreadsheets/d/1yDAaXNsi4Mr5FtRQL4tbmSdIzhx6_m4wkOD7IG-k_eo/edit#gid=1336395716"", ""Science!M:N""), 2, FALSE)"),"Examine how changes in velocity impact the kinetic energy of an object.")</f>
        <v>Examine how changes in velocity impact the kinetic energy of an object.</v>
      </c>
      <c r="R16" s="2" t="str">
        <f t="shared" si="4"/>
        <v>LU006355.005</v>
      </c>
      <c r="S16" s="17" t="str">
        <f ca="1">IFERROR(__xludf.dummyfunction("VLOOKUP(R16, IMPORTRANGE(""https://docs.google.com/spreadsheets/d/1yDAaXNsi4Mr5FtRQL4tbmSdIzhx6_m4wkOD7IG-k_eo/edit#gid=1336395716"", ""Science!M:N""), 2, FALSE)"),"Critique a given scenario to determine if the kinetic energy has been calculated correctly.")</f>
        <v>Critique a given scenario to determine if the kinetic energy has been calculated correctly.</v>
      </c>
      <c r="T16" s="2" t="str">
        <f t="shared" si="5"/>
        <v>LU006355.006</v>
      </c>
      <c r="U16" s="17" t="str">
        <f ca="1">IFERROR(__xludf.dummyfunction("VLOOKUP(T16, IMPORTRANGE(""https://docs.google.com/spreadsheets/d/1yDAaXNsi4Mr5FtRQL4tbmSdIzhx6_m4wkOD7IG-k_eo/edit#gid=1336395716"", ""Science!M:N""), 2, FALSE)"),"Formulate a practical problem involving kinetic energy and solve it using the correct formula.")</f>
        <v>Formulate a practical problem involving kinetic energy and solve it using the correct formula.</v>
      </c>
      <c r="V16" s="1"/>
      <c r="W16" s="1"/>
      <c r="X16" s="1"/>
      <c r="Y16" s="1"/>
      <c r="Z16" s="1"/>
      <c r="AA16" s="1"/>
      <c r="AB16" s="1"/>
      <c r="AC16" s="1"/>
      <c r="AD16" s="1"/>
      <c r="AE16" s="1"/>
      <c r="AF16" s="1"/>
      <c r="AG16" s="1"/>
    </row>
    <row r="17" spans="1:33" ht="41.4">
      <c r="A17" s="1"/>
      <c r="B17" s="1" t="s">
        <v>29</v>
      </c>
      <c r="C17" s="1" t="s">
        <v>30</v>
      </c>
      <c r="D17" s="13">
        <v>8</v>
      </c>
      <c r="E17" s="1" t="s">
        <v>75</v>
      </c>
      <c r="F17" s="1" t="s">
        <v>250</v>
      </c>
      <c r="G17" s="1" t="s">
        <v>251</v>
      </c>
      <c r="H17" s="18" t="str">
        <f ca="1">IFERROR(__xludf.dummyfunction("IFERROR(
  VLOOKUP(G17, IMPORTRANGE(""https://docs.google.com/spreadsheets/d/14deopnvwcrKtEGCKuYXdUHJbeLDZlkiSSWWT0g7x2pM/edit#gid=849066331"", ""LU List Maths (Filter)!A:B""), 2, FALSE),
  IFERROR(
    VLOOKUP(G17, IMPORTRANGE(""https://docs.google.com/s"&amp;"preadsheets/d/14deopnvwcrKtEGCKuYXdUHJbeLDZlkiSSWWT0g7x2pM/edit#gid=849066331"", ""LU List Science (Filter)!A:B""), 2, FALSE),
    ""Not Found""
  )
)
"),"Understanding Potential Energy through real life examples")</f>
        <v>Understanding Potential Energy through real life examples</v>
      </c>
      <c r="I17" s="1"/>
      <c r="J17" s="2" t="str">
        <f t="shared" si="0"/>
        <v>LU006356.001</v>
      </c>
      <c r="K17" s="2" t="str">
        <f ca="1">IFERROR(__xludf.dummyfunction("VLOOKUP(J17, IMPORTRANGE(""https://docs.google.com/spreadsheets/d/1yDAaXNsi4Mr5FtRQL4tbmSdIzhx6_m4wkOD7IG-k_eo/edit#gid=1336395716"", ""Science!M:N""), 2, FALSE)"),"Identify real-life examples of potential energy.")</f>
        <v>Identify real-life examples of potential energy.</v>
      </c>
      <c r="L17" s="2" t="str">
        <f t="shared" si="1"/>
        <v>LU006356.002</v>
      </c>
      <c r="M17" s="2" t="str">
        <f ca="1">IFERROR(__xludf.dummyfunction("VLOOKUP(L17, IMPORTRANGE(""https://docs.google.com/spreadsheets/d/1yDAaXNsi4Mr5FtRQL4tbmSdIzhx6_m4wkOD7IG-k_eo/edit#gid=1336395716"", ""Science!M:N""), 2, FALSE)"),"Explain how potential energy is stored in different systems.")</f>
        <v>Explain how potential energy is stored in different systems.</v>
      </c>
      <c r="N17" s="2" t="str">
        <f t="shared" si="2"/>
        <v>LU006356.003</v>
      </c>
      <c r="O17" s="2" t="str">
        <f ca="1">IFERROR(__xludf.dummyfunction("VLOOKUP(N17, IMPORTRANGE(""https://docs.google.com/spreadsheets/d/1yDAaXNsi4Mr5FtRQL4tbmSdIzhx6_m4wkOD7IG-k_eo/edit#gid=1336395716"", ""Science!M:N""), 2, FALSE)"),"Demonstrate the calculation of potential energy in a given scenario.")</f>
        <v>Demonstrate the calculation of potential energy in a given scenario.</v>
      </c>
      <c r="P17" s="2" t="str">
        <f t="shared" si="3"/>
        <v>LU006356.004</v>
      </c>
      <c r="Q17" s="17" t="str">
        <f ca="1">IFERROR(__xludf.dummyfunction("VLOOKUP(P17, IMPORTRANGE(""https://docs.google.com/spreadsheets/d/1yDAaXNsi4Mr5FtRQL4tbmSdIzhx6_m4wkOD7IG-k_eo/edit#gid=1336395716"", ""Science!M:N""), 2, FALSE)"),"Distinguish between different forms of potential energy (gravitational, elastic, chemical).")</f>
        <v>Distinguish between different forms of potential energy (gravitational, elastic, chemical).</v>
      </c>
      <c r="R17" s="2" t="str">
        <f t="shared" si="4"/>
        <v>LU006356.005</v>
      </c>
      <c r="S17" s="17" t="str">
        <f ca="1">IFERROR(__xludf.dummyfunction("VLOOKUP(R17, IMPORTRANGE(""https://docs.google.com/spreadsheets/d/1yDAaXNsi4Mr5FtRQL4tbmSdIzhx6_m4wkOD7IG-k_eo/edit#gid=1336395716"", ""Science!M:N""), 2, FALSE)"),"Assess the potential energy changes in a system over time.")</f>
        <v>Assess the potential energy changes in a system over time.</v>
      </c>
      <c r="T17" s="2" t="str">
        <f t="shared" si="5"/>
        <v>LU006356.006</v>
      </c>
      <c r="U17" s="17" t="str">
        <f ca="1">IFERROR(__xludf.dummyfunction("VLOOKUP(T17, IMPORTRANGE(""https://docs.google.com/spreadsheets/d/1yDAaXNsi4Mr5FtRQL4tbmSdIzhx6_m4wkOD7IG-k_eo/edit#gid=1336395716"", ""Science!M:N""), 2, FALSE)"),"Develop a real-life situation that illustrates the concept of potential energy and solve it.")</f>
        <v>Develop a real-life situation that illustrates the concept of potential energy and solve it.</v>
      </c>
      <c r="V17" s="1"/>
      <c r="W17" s="1"/>
      <c r="X17" s="1"/>
      <c r="Y17" s="1"/>
      <c r="Z17" s="1"/>
      <c r="AA17" s="1"/>
      <c r="AB17" s="1"/>
      <c r="AC17" s="1"/>
      <c r="AD17" s="1"/>
      <c r="AE17" s="1"/>
      <c r="AF17" s="1"/>
      <c r="AG17" s="1"/>
    </row>
    <row r="18" spans="1:33" ht="27.6">
      <c r="A18" s="1"/>
      <c r="B18" s="1" t="s">
        <v>29</v>
      </c>
      <c r="C18" s="1" t="s">
        <v>30</v>
      </c>
      <c r="D18" s="13">
        <v>8</v>
      </c>
      <c r="E18" s="1" t="s">
        <v>75</v>
      </c>
      <c r="F18" s="1" t="s">
        <v>250</v>
      </c>
      <c r="G18" s="14" t="s">
        <v>252</v>
      </c>
      <c r="H18" s="18" t="str">
        <f ca="1">IFERROR(__xludf.dummyfunction("IFERROR(
  VLOOKUP(G18, IMPORTRANGE(""https://docs.google.com/spreadsheets/d/14deopnvwcrKtEGCKuYXdUHJbeLDZlkiSSWWT0g7x2pM/edit#gid=849066331"", ""LU List Maths (Filter)!A:B""), 2, FALSE),
  IFERROR(
    VLOOKUP(G18, IMPORTRANGE(""https://docs.google.com/s"&amp;"preadsheets/d/14deopnvwcrKtEGCKuYXdUHJbeLDZlkiSSWWT0g7x2pM/edit#gid=849066331"", ""LU List Science (Filter)!A:B""), 2, FALSE),
    ""Not Found""
  )
)
"),"Basic concept of gravitational potential energy")</f>
        <v>Basic concept of gravitational potential energy</v>
      </c>
      <c r="I18" s="1"/>
      <c r="J18" s="2" t="str">
        <f t="shared" si="0"/>
        <v>LU006835.001</v>
      </c>
      <c r="K18" s="2" t="str">
        <f ca="1">IFERROR(__xludf.dummyfunction("VLOOKUP(J18, IMPORTRANGE(""https://docs.google.com/spreadsheets/d/1yDAaXNsi4Mr5FtRQL4tbmSdIzhx6_m4wkOD7IG-k_eo/edit#gid=1336395716"", ""Science!M:N""), 2, FALSE)"),"(LU006835.001); Default - Remember")</f>
        <v>(LU006835.001); Default - Remember</v>
      </c>
      <c r="L18" s="2" t="str">
        <f t="shared" si="1"/>
        <v>LU006835.002</v>
      </c>
      <c r="M18" s="2" t="str">
        <f ca="1">IFERROR(__xludf.dummyfunction("VLOOKUP(L18, IMPORTRANGE(""https://docs.google.com/spreadsheets/d/1yDAaXNsi4Mr5FtRQL4tbmSdIzhx6_m4wkOD7IG-k_eo/edit#gid=1336395716"", ""Science!M:N""), 2, FALSE)"),"(LU006835.002); Default - Understand")</f>
        <v>(LU006835.002); Default - Understand</v>
      </c>
      <c r="N18" s="2" t="str">
        <f t="shared" si="2"/>
        <v>LU006835.003</v>
      </c>
      <c r="O18" s="2" t="str">
        <f ca="1">IFERROR(__xludf.dummyfunction("VLOOKUP(N18, IMPORTRANGE(""https://docs.google.com/spreadsheets/d/1yDAaXNsi4Mr5FtRQL4tbmSdIzhx6_m4wkOD7IG-k_eo/edit#gid=1336395716"", ""Science!M:N""), 2, FALSE)"),"(LU006835.003); Default - Apply")</f>
        <v>(LU006835.003); Default - Apply</v>
      </c>
      <c r="P18" s="2" t="str">
        <f t="shared" si="3"/>
        <v>LU006835.004</v>
      </c>
      <c r="Q18" s="17" t="str">
        <f ca="1">IFERROR(__xludf.dummyfunction("VLOOKUP(P18, IMPORTRANGE(""https://docs.google.com/spreadsheets/d/1yDAaXNsi4Mr5FtRQL4tbmSdIzhx6_m4wkOD7IG-k_eo/edit#gid=1336395716"", ""Science!M:N""), 2, FALSE)"),"(LU006835.004); Default - Analyse")</f>
        <v>(LU006835.004); Default - Analyse</v>
      </c>
      <c r="R18" s="2" t="str">
        <f t="shared" si="4"/>
        <v>LU006835.005</v>
      </c>
      <c r="S18" s="17" t="str">
        <f ca="1">IFERROR(__xludf.dummyfunction("VLOOKUP(R18, IMPORTRANGE(""https://docs.google.com/spreadsheets/d/1yDAaXNsi4Mr5FtRQL4tbmSdIzhx6_m4wkOD7IG-k_eo/edit#gid=1336395716"", ""Science!M:N""), 2, FALSE)"),"(LU006835.005); Default - Evaluate")</f>
        <v>(LU006835.005); Default - Evaluate</v>
      </c>
      <c r="T18" s="2" t="str">
        <f t="shared" si="5"/>
        <v>LU006835.006</v>
      </c>
      <c r="U18" s="17" t="str">
        <f ca="1">IFERROR(__xludf.dummyfunction("VLOOKUP(T18, IMPORTRANGE(""https://docs.google.com/spreadsheets/d/1yDAaXNsi4Mr5FtRQL4tbmSdIzhx6_m4wkOD7IG-k_eo/edit#gid=1336395716"", ""Science!M:N""), 2, FALSE)"),"(LU006835.006); Default - Create")</f>
        <v>(LU006835.006); Default - Create</v>
      </c>
      <c r="V18" s="1"/>
      <c r="W18" s="1"/>
      <c r="X18" s="1"/>
      <c r="Y18" s="1"/>
      <c r="Z18" s="1"/>
      <c r="AA18" s="1"/>
      <c r="AB18" s="1"/>
      <c r="AC18" s="1"/>
      <c r="AD18" s="1"/>
      <c r="AE18" s="1"/>
      <c r="AF18" s="1"/>
      <c r="AG18" s="1"/>
    </row>
    <row r="19" spans="1:33" ht="41.4">
      <c r="A19" s="1"/>
      <c r="B19" s="1" t="s">
        <v>29</v>
      </c>
      <c r="C19" s="1" t="s">
        <v>30</v>
      </c>
      <c r="D19" s="13">
        <v>8</v>
      </c>
      <c r="E19" s="1" t="s">
        <v>75</v>
      </c>
      <c r="F19" s="1" t="s">
        <v>253</v>
      </c>
      <c r="G19" s="14" t="s">
        <v>254</v>
      </c>
      <c r="H19" s="18" t="str">
        <f ca="1">IFERROR(__xludf.dummyfunction("IFERROR(
  VLOOKUP(G19, IMPORTRANGE(""https://docs.google.com/spreadsheets/d/14deopnvwcrKtEGCKuYXdUHJbeLDZlkiSSWWT0g7x2pM/edit#gid=849066331"", ""LU List Maths (Filter)!A:B""), 2, FALSE),
  IFERROR(
    VLOOKUP(G19, IMPORTRANGE(""https://docs.google.com/s"&amp;"preadsheets/d/14deopnvwcrKtEGCKuYXdUHJbeLDZlkiSSWWT0g7x2pM/edit#gid=849066331"", ""LU List Science (Filter)!A:B""), 2, FALSE),
    ""Not Found""
  )
)
"),"Examples of Conversion of Potential energy into Kinetic energy")</f>
        <v>Examples of Conversion of Potential energy into Kinetic energy</v>
      </c>
      <c r="I19" s="1"/>
      <c r="J19" s="2" t="str">
        <f t="shared" si="0"/>
        <v>LU006836.001</v>
      </c>
      <c r="K19" s="2" t="str">
        <f ca="1">IFERROR(__xludf.dummyfunction("VLOOKUP(J19, IMPORTRANGE(""https://docs.google.com/spreadsheets/d/1yDAaXNsi4Mr5FtRQL4tbmSdIzhx6_m4wkOD7IG-k_eo/edit#gid=1336395716"", ""Science!M:N""), 2, FALSE)"),"(LU006836.001); Default - Remember")</f>
        <v>(LU006836.001); Default - Remember</v>
      </c>
      <c r="L19" s="2" t="str">
        <f t="shared" si="1"/>
        <v>LU006836.002</v>
      </c>
      <c r="M19" s="2" t="str">
        <f ca="1">IFERROR(__xludf.dummyfunction("VLOOKUP(L19, IMPORTRANGE(""https://docs.google.com/spreadsheets/d/1yDAaXNsi4Mr5FtRQL4tbmSdIzhx6_m4wkOD7IG-k_eo/edit#gid=1336395716"", ""Science!M:N""), 2, FALSE)"),"(LU006836.002); Default - Understand")</f>
        <v>(LU006836.002); Default - Understand</v>
      </c>
      <c r="N19" s="2" t="str">
        <f t="shared" si="2"/>
        <v>LU006836.003</v>
      </c>
      <c r="O19" s="2" t="str">
        <f ca="1">IFERROR(__xludf.dummyfunction("VLOOKUP(N19, IMPORTRANGE(""https://docs.google.com/spreadsheets/d/1yDAaXNsi4Mr5FtRQL4tbmSdIzhx6_m4wkOD7IG-k_eo/edit#gid=1336395716"", ""Science!M:N""), 2, FALSE)"),"(LU006836.003); Default - Apply")</f>
        <v>(LU006836.003); Default - Apply</v>
      </c>
      <c r="P19" s="2" t="str">
        <f t="shared" si="3"/>
        <v>LU006836.004</v>
      </c>
      <c r="Q19" s="17" t="str">
        <f ca="1">IFERROR(__xludf.dummyfunction("VLOOKUP(P19, IMPORTRANGE(""https://docs.google.com/spreadsheets/d/1yDAaXNsi4Mr5FtRQL4tbmSdIzhx6_m4wkOD7IG-k_eo/edit#gid=1336395716"", ""Science!M:N""), 2, FALSE)"),"(LU006836.004); Default - Analyse")</f>
        <v>(LU006836.004); Default - Analyse</v>
      </c>
      <c r="R19" s="2" t="str">
        <f t="shared" si="4"/>
        <v>LU006836.005</v>
      </c>
      <c r="S19" s="17" t="str">
        <f ca="1">IFERROR(__xludf.dummyfunction("VLOOKUP(R19, IMPORTRANGE(""https://docs.google.com/spreadsheets/d/1yDAaXNsi4Mr5FtRQL4tbmSdIzhx6_m4wkOD7IG-k_eo/edit#gid=1336395716"", ""Science!M:N""), 2, FALSE)"),"(LU006836.005); Default - Evaluate")</f>
        <v>(LU006836.005); Default - Evaluate</v>
      </c>
      <c r="T19" s="2" t="str">
        <f t="shared" si="5"/>
        <v>LU006836.006</v>
      </c>
      <c r="U19" s="17" t="str">
        <f ca="1">IFERROR(__xludf.dummyfunction("VLOOKUP(T19, IMPORTRANGE(""https://docs.google.com/spreadsheets/d/1yDAaXNsi4Mr5FtRQL4tbmSdIzhx6_m4wkOD7IG-k_eo/edit#gid=1336395716"", ""Science!M:N""), 2, FALSE)"),"(LU006836.006); Default - Create")</f>
        <v>(LU006836.006); Default - Create</v>
      </c>
      <c r="V19" s="1"/>
      <c r="W19" s="1"/>
      <c r="X19" s="1"/>
      <c r="Y19" s="1"/>
      <c r="Z19" s="1"/>
      <c r="AA19" s="1"/>
      <c r="AB19" s="1"/>
      <c r="AC19" s="1"/>
      <c r="AD19" s="1"/>
      <c r="AE19" s="1"/>
      <c r="AF19" s="1"/>
      <c r="AG19" s="1"/>
    </row>
    <row r="20" spans="1:33" ht="27.6">
      <c r="A20" s="1"/>
      <c r="B20" s="1" t="s">
        <v>29</v>
      </c>
      <c r="C20" s="1" t="s">
        <v>30</v>
      </c>
      <c r="D20" s="13">
        <v>8</v>
      </c>
      <c r="E20" s="1" t="s">
        <v>75</v>
      </c>
      <c r="F20" s="1" t="s">
        <v>255</v>
      </c>
      <c r="G20" s="1" t="s">
        <v>256</v>
      </c>
      <c r="H20" s="18" t="str">
        <f ca="1">IFERROR(__xludf.dummyfunction("IFERROR(
  VLOOKUP(G20, IMPORTRANGE(""https://docs.google.com/spreadsheets/d/14deopnvwcrKtEGCKuYXdUHJbeLDZlkiSSWWT0g7x2pM/edit#gid=849066331"", ""LU List Maths (Filter)!A:B""), 2, FALSE),
  IFERROR(
    VLOOKUP(G20, IMPORTRANGE(""https://docs.google.com/s"&amp;"preadsheets/d/14deopnvwcrKtEGCKuYXdUHJbeLDZlkiSSWWT0g7x2pM/edit#gid=849066331"", ""LU List Science (Filter)!A:B""), 2, FALSE),
    ""Not Found""
  )
)
"),"Definition of Power (Formula and Unit) ")</f>
        <v xml:space="preserve">Definition of Power (Formula and Unit) </v>
      </c>
      <c r="I20" s="1"/>
      <c r="J20" s="2" t="str">
        <f t="shared" si="0"/>
        <v>LU006360.001</v>
      </c>
      <c r="K20" s="2" t="str">
        <f ca="1">IFERROR(__xludf.dummyfunction("VLOOKUP(J20, IMPORTRANGE(""https://docs.google.com/spreadsheets/d/1yDAaXNsi4Mr5FtRQL4tbmSdIzhx6_m4wkOD7IG-k_eo/edit#gid=1336395716"", ""Science!M:N""), 2, FALSE)"),"Recall the formula and unit for power.")</f>
        <v>Recall the formula and unit for power.</v>
      </c>
      <c r="L20" s="2" t="str">
        <f t="shared" si="1"/>
        <v>LU006360.002</v>
      </c>
      <c r="M20" s="2" t="str">
        <f ca="1">IFERROR(__xludf.dummyfunction("VLOOKUP(L20, IMPORTRANGE(""https://docs.google.com/spreadsheets/d/1yDAaXNsi4Mr5FtRQL4tbmSdIzhx6_m4wkOD7IG-k_eo/edit#gid=1336395716"", ""Science!M:N""), 2, FALSE)"),"Explain how power relates to work done over time.")</f>
        <v>Explain how power relates to work done over time.</v>
      </c>
      <c r="N20" s="2" t="str">
        <f t="shared" si="2"/>
        <v>LU006360.003</v>
      </c>
      <c r="O20" s="2" t="str">
        <f ca="1">IFERROR(__xludf.dummyfunction("VLOOKUP(N20, IMPORTRANGE(""https://docs.google.com/spreadsheets/d/1yDAaXNsi4Mr5FtRQL4tbmSdIzhx6_m4wkOD7IG-k_eo/edit#gid=1336395716"", ""Science!M:N""), 2, FALSE)"),"Calculate the power used in a given situation where work and time are provided.")</f>
        <v>Calculate the power used in a given situation where work and time are provided.</v>
      </c>
      <c r="P20" s="2" t="str">
        <f t="shared" si="3"/>
        <v>LU006360.004</v>
      </c>
      <c r="Q20" s="17" t="str">
        <f ca="1">IFERROR(__xludf.dummyfunction("VLOOKUP(P20, IMPORTRANGE(""https://docs.google.com/spreadsheets/d/1yDAaXNsi4Mr5FtRQL4tbmSdIzhx6_m4wkOD7IG-k_eo/edit#gid=1336395716"", ""Science!M:N""), 2, FALSE)"),"Differentiate between high power and low power scenarios.")</f>
        <v>Differentiate between high power and low power scenarios.</v>
      </c>
      <c r="R20" s="2" t="str">
        <f t="shared" si="4"/>
        <v>LU006360.005</v>
      </c>
      <c r="S20" s="17" t="str">
        <f ca="1">IFERROR(__xludf.dummyfunction("VLOOKUP(R20, IMPORTRANGE(""https://docs.google.com/spreadsheets/d/1yDAaXNsi4Mr5FtRQL4tbmSdIzhx6_m4wkOD7IG-k_eo/edit#gid=1336395716"", ""Science!M:N""), 2, FALSE)"),"Assess the power consumption of various devices and systems.")</f>
        <v>Assess the power consumption of various devices and systems.</v>
      </c>
      <c r="T20" s="2" t="str">
        <f t="shared" si="5"/>
        <v>LU006360.006</v>
      </c>
      <c r="U20" s="17" t="str">
        <f ca="1">IFERROR(__xludf.dummyfunction("VLOOKUP(T20, IMPORTRANGE(""https://docs.google.com/spreadsheets/d/1yDAaXNsi4Mr5FtRQL4tbmSdIzhx6_m4wkOD7IG-k_eo/edit#gid=1336395716"", ""Science!M:N""), 2, FALSE)"),"Create a real-life problem involving power calculation and solve it using the appropriate formula and units.")</f>
        <v>Create a real-life problem involving power calculation and solve it using the appropriate formula and units.</v>
      </c>
      <c r="V20" s="1"/>
      <c r="W20" s="1"/>
      <c r="X20" s="1"/>
      <c r="Y20" s="1"/>
      <c r="Z20" s="1"/>
      <c r="AA20" s="1"/>
      <c r="AB20" s="1"/>
      <c r="AC20" s="1"/>
      <c r="AD20" s="1"/>
      <c r="AE20" s="1"/>
      <c r="AF20" s="1"/>
      <c r="AG20" s="1"/>
    </row>
    <row r="21" spans="1:33" ht="27.6">
      <c r="A21" s="1"/>
      <c r="B21" s="1" t="s">
        <v>29</v>
      </c>
      <c r="C21" s="1" t="s">
        <v>30</v>
      </c>
      <c r="D21" s="13">
        <v>8</v>
      </c>
      <c r="E21" s="1" t="s">
        <v>75</v>
      </c>
      <c r="F21" s="1" t="s">
        <v>255</v>
      </c>
      <c r="G21" s="14" t="s">
        <v>257</v>
      </c>
      <c r="H21" s="18" t="str">
        <f ca="1">IFERROR(__xludf.dummyfunction("IFERROR(
  VLOOKUP(G21, IMPORTRANGE(""https://docs.google.com/spreadsheets/d/14deopnvwcrKtEGCKuYXdUHJbeLDZlkiSSWWT0g7x2pM/edit#gid=849066331"", ""LU List Maths (Filter)!A:B""), 2, FALSE),
  IFERROR(
    VLOOKUP(G21, IMPORTRANGE(""https://docs.google.com/s"&amp;"preadsheets/d/14deopnvwcrKtEGCKuYXdUHJbeLDZlkiSSWWT0g7x2pM/edit#gid=849066331"", ""LU List Science (Filter)!A:B""), 2, FALSE),
    ""Not Found""
  )
)
"),"Difference between energy and power")</f>
        <v>Difference between energy and power</v>
      </c>
      <c r="I21" s="1"/>
      <c r="J21" s="2" t="str">
        <f t="shared" si="0"/>
        <v>LU006837.001</v>
      </c>
      <c r="K21" s="2" t="str">
        <f ca="1">IFERROR(__xludf.dummyfunction("VLOOKUP(J21, IMPORTRANGE(""https://docs.google.com/spreadsheets/d/1yDAaXNsi4Mr5FtRQL4tbmSdIzhx6_m4wkOD7IG-k_eo/edit#gid=1336395716"", ""Science!M:N""), 2, FALSE)"),"(LU006837.001); Default - Remember")</f>
        <v>(LU006837.001); Default - Remember</v>
      </c>
      <c r="L21" s="2" t="str">
        <f t="shared" si="1"/>
        <v>LU006837.002</v>
      </c>
      <c r="M21" s="2" t="str">
        <f ca="1">IFERROR(__xludf.dummyfunction("VLOOKUP(L21, IMPORTRANGE(""https://docs.google.com/spreadsheets/d/1yDAaXNsi4Mr5FtRQL4tbmSdIzhx6_m4wkOD7IG-k_eo/edit#gid=1336395716"", ""Science!M:N""), 2, FALSE)"),"(LU006837.002); Default - Understand")</f>
        <v>(LU006837.002); Default - Understand</v>
      </c>
      <c r="N21" s="2" t="str">
        <f t="shared" si="2"/>
        <v>LU006837.003</v>
      </c>
      <c r="O21" s="2" t="str">
        <f ca="1">IFERROR(__xludf.dummyfunction("VLOOKUP(N21, IMPORTRANGE(""https://docs.google.com/spreadsheets/d/1yDAaXNsi4Mr5FtRQL4tbmSdIzhx6_m4wkOD7IG-k_eo/edit#gid=1336395716"", ""Science!M:N""), 2, FALSE)"),"(LU006837.003); Default - Apply")</f>
        <v>(LU006837.003); Default - Apply</v>
      </c>
      <c r="P21" s="2" t="str">
        <f t="shared" si="3"/>
        <v>LU006837.004</v>
      </c>
      <c r="Q21" s="17" t="str">
        <f ca="1">IFERROR(__xludf.dummyfunction("VLOOKUP(P21, IMPORTRANGE(""https://docs.google.com/spreadsheets/d/1yDAaXNsi4Mr5FtRQL4tbmSdIzhx6_m4wkOD7IG-k_eo/edit#gid=1336395716"", ""Science!M:N""), 2, FALSE)"),"(LU006837.004); Default - Analyse")</f>
        <v>(LU006837.004); Default - Analyse</v>
      </c>
      <c r="R21" s="2" t="str">
        <f t="shared" si="4"/>
        <v>LU006837.005</v>
      </c>
      <c r="S21" s="17" t="str">
        <f ca="1">IFERROR(__xludf.dummyfunction("VLOOKUP(R21, IMPORTRANGE(""https://docs.google.com/spreadsheets/d/1yDAaXNsi4Mr5FtRQL4tbmSdIzhx6_m4wkOD7IG-k_eo/edit#gid=1336395716"", ""Science!M:N""), 2, FALSE)"),"(LU006837.005); Default - Evaluate")</f>
        <v>(LU006837.005); Default - Evaluate</v>
      </c>
      <c r="T21" s="2" t="str">
        <f t="shared" si="5"/>
        <v>LU006837.006</v>
      </c>
      <c r="U21" s="17" t="str">
        <f ca="1">IFERROR(__xludf.dummyfunction("VLOOKUP(T21, IMPORTRANGE(""https://docs.google.com/spreadsheets/d/1yDAaXNsi4Mr5FtRQL4tbmSdIzhx6_m4wkOD7IG-k_eo/edit#gid=1336395716"", ""Science!M:N""), 2, FALSE)"),"(LU006837.006); Default - Create")</f>
        <v>(LU006837.006); Default - Create</v>
      </c>
      <c r="V21" s="1"/>
      <c r="W21" s="1"/>
      <c r="X21" s="1"/>
      <c r="Y21" s="1"/>
      <c r="Z21" s="1"/>
      <c r="AA21" s="1"/>
      <c r="AB21" s="1"/>
      <c r="AC21" s="1"/>
      <c r="AD21" s="1"/>
      <c r="AE21" s="1"/>
      <c r="AF21" s="1"/>
      <c r="AG21" s="1"/>
    </row>
    <row r="22" spans="1:33" ht="13.8">
      <c r="A22" s="1"/>
      <c r="B22" s="1" t="s">
        <v>29</v>
      </c>
      <c r="C22" s="1" t="s">
        <v>30</v>
      </c>
      <c r="D22" s="13">
        <v>8</v>
      </c>
      <c r="E22" s="1" t="s">
        <v>258</v>
      </c>
      <c r="F22" s="1" t="s">
        <v>259</v>
      </c>
      <c r="G22" s="14" t="s">
        <v>260</v>
      </c>
      <c r="H22" s="18" t="str">
        <f ca="1">IFERROR(__xludf.dummyfunction("IFERROR(
  VLOOKUP(G22, IMPORTRANGE(""https://docs.google.com/spreadsheets/d/14deopnvwcrKtEGCKuYXdUHJbeLDZlkiSSWWT0g7x2pM/edit#gid=849066331"", ""LU List Maths (Filter)!A:B""), 2, FALSE),
  IFERROR(
    VLOOKUP(G22, IMPORTRANGE(""https://docs.google.com/s"&amp;"preadsheets/d/14deopnvwcrKtEGCKuYXdUHJbeLDZlkiSSWWT0g7x2pM/edit#gid=849066331"", ""LU List Science (Filter)!A:B""), 2, FALSE),
    ""Not Found""
  )
)
"),"Types of curved mirrors")</f>
        <v>Types of curved mirrors</v>
      </c>
      <c r="I22" s="1"/>
      <c r="J22" s="2" t="str">
        <f t="shared" si="0"/>
        <v>LU006838.001</v>
      </c>
      <c r="K22" s="2" t="str">
        <f ca="1">IFERROR(__xludf.dummyfunction("VLOOKUP(J22, IMPORTRANGE(""https://docs.google.com/spreadsheets/d/1yDAaXNsi4Mr5FtRQL4tbmSdIzhx6_m4wkOD7IG-k_eo/edit#gid=1336395716"", ""Science!M:N""), 2, FALSE)"),"(LU006838.001); Default - Remember")</f>
        <v>(LU006838.001); Default - Remember</v>
      </c>
      <c r="L22" s="2" t="str">
        <f t="shared" si="1"/>
        <v>LU006838.002</v>
      </c>
      <c r="M22" s="2" t="str">
        <f ca="1">IFERROR(__xludf.dummyfunction("VLOOKUP(L22, IMPORTRANGE(""https://docs.google.com/spreadsheets/d/1yDAaXNsi4Mr5FtRQL4tbmSdIzhx6_m4wkOD7IG-k_eo/edit#gid=1336395716"", ""Science!M:N""), 2, FALSE)"),"(LU006838.002); Default - Understand")</f>
        <v>(LU006838.002); Default - Understand</v>
      </c>
      <c r="N22" s="2" t="str">
        <f t="shared" si="2"/>
        <v>LU006838.003</v>
      </c>
      <c r="O22" s="2" t="str">
        <f ca="1">IFERROR(__xludf.dummyfunction("VLOOKUP(N22, IMPORTRANGE(""https://docs.google.com/spreadsheets/d/1yDAaXNsi4Mr5FtRQL4tbmSdIzhx6_m4wkOD7IG-k_eo/edit#gid=1336395716"", ""Science!M:N""), 2, FALSE)"),"(LU006838.003); Default - Apply")</f>
        <v>(LU006838.003); Default - Apply</v>
      </c>
      <c r="P22" s="2" t="str">
        <f t="shared" si="3"/>
        <v>LU006838.004</v>
      </c>
      <c r="Q22" s="17" t="str">
        <f ca="1">IFERROR(__xludf.dummyfunction("VLOOKUP(P22, IMPORTRANGE(""https://docs.google.com/spreadsheets/d/1yDAaXNsi4Mr5FtRQL4tbmSdIzhx6_m4wkOD7IG-k_eo/edit#gid=1336395716"", ""Science!M:N""), 2, FALSE)"),"(LU006838.004); Default - Analyse")</f>
        <v>(LU006838.004); Default - Analyse</v>
      </c>
      <c r="R22" s="2" t="str">
        <f t="shared" si="4"/>
        <v>LU006838.005</v>
      </c>
      <c r="S22" s="17" t="str">
        <f ca="1">IFERROR(__xludf.dummyfunction("VLOOKUP(R22, IMPORTRANGE(""https://docs.google.com/spreadsheets/d/1yDAaXNsi4Mr5FtRQL4tbmSdIzhx6_m4wkOD7IG-k_eo/edit#gid=1336395716"", ""Science!M:N""), 2, FALSE)"),"(LU006838.005); Default - Evaluate")</f>
        <v>(LU006838.005); Default - Evaluate</v>
      </c>
      <c r="T22" s="2" t="str">
        <f t="shared" si="5"/>
        <v>LU006838.006</v>
      </c>
      <c r="U22" s="17" t="str">
        <f ca="1">IFERROR(__xludf.dummyfunction("VLOOKUP(T22, IMPORTRANGE(""https://docs.google.com/spreadsheets/d/1yDAaXNsi4Mr5FtRQL4tbmSdIzhx6_m4wkOD7IG-k_eo/edit#gid=1336395716"", ""Science!M:N""), 2, FALSE)"),"(LU006838.006); Default - Create")</f>
        <v>(LU006838.006); Default - Create</v>
      </c>
      <c r="V22" s="1"/>
      <c r="W22" s="1"/>
      <c r="X22" s="1"/>
      <c r="Y22" s="1"/>
      <c r="Z22" s="1"/>
      <c r="AA22" s="1"/>
      <c r="AB22" s="1"/>
      <c r="AC22" s="1"/>
      <c r="AD22" s="1"/>
      <c r="AE22" s="1"/>
      <c r="AF22" s="1"/>
      <c r="AG22" s="1"/>
    </row>
    <row r="23" spans="1:33" ht="13.8">
      <c r="A23" s="1"/>
      <c r="B23" s="1" t="s">
        <v>29</v>
      </c>
      <c r="C23" s="1" t="s">
        <v>30</v>
      </c>
      <c r="D23" s="13">
        <v>8</v>
      </c>
      <c r="E23" s="1" t="s">
        <v>258</v>
      </c>
      <c r="F23" s="1" t="s">
        <v>259</v>
      </c>
      <c r="G23" s="14" t="s">
        <v>261</v>
      </c>
      <c r="H23" s="18" t="str">
        <f ca="1">IFERROR(__xludf.dummyfunction("IFERROR(
  VLOOKUP(G23, IMPORTRANGE(""https://docs.google.com/spreadsheets/d/14deopnvwcrKtEGCKuYXdUHJbeLDZlkiSSWWT0g7x2pM/edit#gid=849066331"", ""LU List Maths (Filter)!A:B""), 2, FALSE),
  IFERROR(
    VLOOKUP(G23, IMPORTRANGE(""https://docs.google.com/s"&amp;"preadsheets/d/14deopnvwcrKtEGCKuYXdUHJbeLDZlkiSSWWT0g7x2pM/edit#gid=849066331"", ""LU List Science (Filter)!A:B""), 2, FALSE),
    ""Not Found""
  )
)
"),"Uses of curved mirrors")</f>
        <v>Uses of curved mirrors</v>
      </c>
      <c r="I23" s="1"/>
      <c r="J23" s="2" t="str">
        <f t="shared" si="0"/>
        <v>LU006839.001</v>
      </c>
      <c r="K23" s="2" t="str">
        <f ca="1">IFERROR(__xludf.dummyfunction("VLOOKUP(J23, IMPORTRANGE(""https://docs.google.com/spreadsheets/d/1yDAaXNsi4Mr5FtRQL4tbmSdIzhx6_m4wkOD7IG-k_eo/edit#gid=1336395716"", ""Science!M:N""), 2, FALSE)"),"(LU006839.001); Default - Remember")</f>
        <v>(LU006839.001); Default - Remember</v>
      </c>
      <c r="L23" s="2" t="str">
        <f t="shared" si="1"/>
        <v>LU006839.002</v>
      </c>
      <c r="M23" s="2" t="str">
        <f ca="1">IFERROR(__xludf.dummyfunction("VLOOKUP(L23, IMPORTRANGE(""https://docs.google.com/spreadsheets/d/1yDAaXNsi4Mr5FtRQL4tbmSdIzhx6_m4wkOD7IG-k_eo/edit#gid=1336395716"", ""Science!M:N""), 2, FALSE)"),"(LU006839.002); Default - Understand")</f>
        <v>(LU006839.002); Default - Understand</v>
      </c>
      <c r="N23" s="2" t="str">
        <f t="shared" si="2"/>
        <v>LU006839.003</v>
      </c>
      <c r="O23" s="2" t="str">
        <f ca="1">IFERROR(__xludf.dummyfunction("VLOOKUP(N23, IMPORTRANGE(""https://docs.google.com/spreadsheets/d/1yDAaXNsi4Mr5FtRQL4tbmSdIzhx6_m4wkOD7IG-k_eo/edit#gid=1336395716"", ""Science!M:N""), 2, FALSE)"),"(LU006839.003); Default - Apply")</f>
        <v>(LU006839.003); Default - Apply</v>
      </c>
      <c r="P23" s="2" t="str">
        <f t="shared" si="3"/>
        <v>LU006839.004</v>
      </c>
      <c r="Q23" s="17" t="str">
        <f ca="1">IFERROR(__xludf.dummyfunction("VLOOKUP(P23, IMPORTRANGE(""https://docs.google.com/spreadsheets/d/1yDAaXNsi4Mr5FtRQL4tbmSdIzhx6_m4wkOD7IG-k_eo/edit#gid=1336395716"", ""Science!M:N""), 2, FALSE)"),"(LU006839.004); Default - Analyse")</f>
        <v>(LU006839.004); Default - Analyse</v>
      </c>
      <c r="R23" s="2" t="str">
        <f t="shared" si="4"/>
        <v>LU006839.005</v>
      </c>
      <c r="S23" s="17" t="str">
        <f ca="1">IFERROR(__xludf.dummyfunction("VLOOKUP(R23, IMPORTRANGE(""https://docs.google.com/spreadsheets/d/1yDAaXNsi4Mr5FtRQL4tbmSdIzhx6_m4wkOD7IG-k_eo/edit#gid=1336395716"", ""Science!M:N""), 2, FALSE)"),"(LU006839.005); Default - Evaluate")</f>
        <v>(LU006839.005); Default - Evaluate</v>
      </c>
      <c r="T23" s="2" t="str">
        <f t="shared" si="5"/>
        <v>LU006839.006</v>
      </c>
      <c r="U23" s="17" t="str">
        <f ca="1">IFERROR(__xludf.dummyfunction("VLOOKUP(T23, IMPORTRANGE(""https://docs.google.com/spreadsheets/d/1yDAaXNsi4Mr5FtRQL4tbmSdIzhx6_m4wkOD7IG-k_eo/edit#gid=1336395716"", ""Science!M:N""), 2, FALSE)"),"(LU006839.006); Default - Create")</f>
        <v>(LU006839.006); Default - Create</v>
      </c>
      <c r="V23" s="1"/>
      <c r="W23" s="1"/>
      <c r="X23" s="1"/>
      <c r="Y23" s="1"/>
      <c r="Z23" s="1"/>
      <c r="AA23" s="1"/>
      <c r="AB23" s="1"/>
      <c r="AC23" s="1"/>
      <c r="AD23" s="1"/>
      <c r="AE23" s="1"/>
      <c r="AF23" s="1"/>
      <c r="AG23" s="1"/>
    </row>
    <row r="24" spans="1:33" ht="41.4">
      <c r="A24" s="1"/>
      <c r="B24" s="1" t="s">
        <v>29</v>
      </c>
      <c r="C24" s="1" t="s">
        <v>30</v>
      </c>
      <c r="D24" s="13">
        <v>8</v>
      </c>
      <c r="E24" s="1" t="s">
        <v>258</v>
      </c>
      <c r="F24" s="1" t="s">
        <v>262</v>
      </c>
      <c r="G24" s="14" t="s">
        <v>263</v>
      </c>
      <c r="H24" s="18" t="str">
        <f ca="1">IFERROR(__xludf.dummyfunction("IFERROR(
  VLOOKUP(G24, IMPORTRANGE(""https://docs.google.com/spreadsheets/d/14deopnvwcrKtEGCKuYXdUHJbeLDZlkiSSWWT0g7x2pM/edit#gid=849066331"", ""LU List Maths (Filter)!A:B""), 2, FALSE),
  IFERROR(
    VLOOKUP(G24, IMPORTRANGE(""https://docs.google.com/s"&amp;"preadsheets/d/14deopnvwcrKtEGCKuYXdUHJbeLDZlkiSSWWT0g7x2pM/edit#gid=849066331"", ""LU List Science (Filter)!A:B""), 2, FALSE),
    ""Not Found""
  )
)
"),"Representation of images formed by spherical mirrors using ray diagram")</f>
        <v>Representation of images formed by spherical mirrors using ray diagram</v>
      </c>
      <c r="I24" s="1"/>
      <c r="J24" s="2" t="str">
        <f t="shared" si="0"/>
        <v>LU006494.001</v>
      </c>
      <c r="K24" s="2" t="str">
        <f ca="1">IFERROR(__xludf.dummyfunction("VLOOKUP(J24, IMPORTRANGE(""https://docs.google.com/spreadsheets/d/1yDAaXNsi4Mr5FtRQL4tbmSdIzhx6_m4wkOD7IG-k_eo/edit#gid=1336395716"", ""Science!M:N""), 2, FALSE)"),"(LU006494.001); Default - Remember")</f>
        <v>(LU006494.001); Default - Remember</v>
      </c>
      <c r="L24" s="2" t="str">
        <f t="shared" si="1"/>
        <v>LU006494.002</v>
      </c>
      <c r="M24" s="2" t="str">
        <f ca="1">IFERROR(__xludf.dummyfunction("VLOOKUP(L24, IMPORTRANGE(""https://docs.google.com/spreadsheets/d/1yDAaXNsi4Mr5FtRQL4tbmSdIzhx6_m4wkOD7IG-k_eo/edit#gid=1336395716"", ""Science!M:N""), 2, FALSE)"),"(LU006494.002); Default - Understand")</f>
        <v>(LU006494.002); Default - Understand</v>
      </c>
      <c r="N24" s="2" t="str">
        <f t="shared" si="2"/>
        <v>LU006494.003</v>
      </c>
      <c r="O24" s="2" t="str">
        <f ca="1">IFERROR(__xludf.dummyfunction("VLOOKUP(N24, IMPORTRANGE(""https://docs.google.com/spreadsheets/d/1yDAaXNsi4Mr5FtRQL4tbmSdIzhx6_m4wkOD7IG-k_eo/edit#gid=1336395716"", ""Science!M:N""), 2, FALSE)"),"(LU006494.003); Default - Apply")</f>
        <v>(LU006494.003); Default - Apply</v>
      </c>
      <c r="P24" s="2" t="str">
        <f t="shared" si="3"/>
        <v>LU006494.004</v>
      </c>
      <c r="Q24" s="17" t="str">
        <f ca="1">IFERROR(__xludf.dummyfunction("VLOOKUP(P24, IMPORTRANGE(""https://docs.google.com/spreadsheets/d/1yDAaXNsi4Mr5FtRQL4tbmSdIzhx6_m4wkOD7IG-k_eo/edit#gid=1336395716"", ""Science!M:N""), 2, FALSE)"),"(LU006494.004); Default - Analyse")</f>
        <v>(LU006494.004); Default - Analyse</v>
      </c>
      <c r="R24" s="2" t="str">
        <f t="shared" si="4"/>
        <v>LU006494.005</v>
      </c>
      <c r="S24" s="17" t="str">
        <f ca="1">IFERROR(__xludf.dummyfunction("VLOOKUP(R24, IMPORTRANGE(""https://docs.google.com/spreadsheets/d/1yDAaXNsi4Mr5FtRQL4tbmSdIzhx6_m4wkOD7IG-k_eo/edit#gid=1336395716"", ""Science!M:N""), 2, FALSE)"),"(LU006494.005); Default - Evaluate")</f>
        <v>(LU006494.005); Default - Evaluate</v>
      </c>
      <c r="T24" s="2" t="str">
        <f t="shared" si="5"/>
        <v>LU006494.006</v>
      </c>
      <c r="U24" s="17" t="str">
        <f ca="1">IFERROR(__xludf.dummyfunction("VLOOKUP(T24, IMPORTRANGE(""https://docs.google.com/spreadsheets/d/1yDAaXNsi4Mr5FtRQL4tbmSdIzhx6_m4wkOD7IG-k_eo/edit#gid=1336395716"", ""Science!M:N""), 2, FALSE)"),"(LU006494.006); Default - Create")</f>
        <v>(LU006494.006); Default - Create</v>
      </c>
      <c r="V24" s="1"/>
      <c r="W24" s="1"/>
      <c r="X24" s="1"/>
      <c r="Y24" s="1"/>
      <c r="Z24" s="1"/>
      <c r="AA24" s="1"/>
      <c r="AB24" s="1"/>
      <c r="AC24" s="1"/>
      <c r="AD24" s="1"/>
      <c r="AE24" s="1"/>
      <c r="AF24" s="1"/>
      <c r="AG24" s="1"/>
    </row>
    <row r="25" spans="1:33" ht="27.6">
      <c r="A25" s="1"/>
      <c r="B25" s="1" t="s">
        <v>29</v>
      </c>
      <c r="C25" s="1" t="s">
        <v>30</v>
      </c>
      <c r="D25" s="13">
        <v>8</v>
      </c>
      <c r="E25" s="1" t="s">
        <v>258</v>
      </c>
      <c r="F25" s="1" t="s">
        <v>262</v>
      </c>
      <c r="G25" s="1" t="s">
        <v>264</v>
      </c>
      <c r="H25" s="18" t="str">
        <f ca="1">IFERROR(__xludf.dummyfunction("IFERROR(
  VLOOKUP(G25, IMPORTRANGE(""https://docs.google.com/spreadsheets/d/14deopnvwcrKtEGCKuYXdUHJbeLDZlkiSSWWT0g7x2pM/edit#gid=849066331"", ""LU List Maths (Filter)!A:B""), 2, FALSE),
  IFERROR(
    VLOOKUP(G25, IMPORTRANGE(""https://docs.google.com/s"&amp;"preadsheets/d/14deopnvwcrKtEGCKuYXdUHJbeLDZlkiSSWWT0g7x2pM/edit#gid=849066331"", ""LU List Science (Filter)!A:B""), 2, FALSE),
    ""Not Found""
  )
)
"),"Types of images")</f>
        <v>Types of images</v>
      </c>
      <c r="I25" s="1"/>
      <c r="J25" s="2" t="str">
        <f t="shared" si="0"/>
        <v>LU005374.001</v>
      </c>
      <c r="K25" s="2" t="str">
        <f ca="1">IFERROR(__xludf.dummyfunction("VLOOKUP(J25, IMPORTRANGE(""https://docs.google.com/spreadsheets/d/1yDAaXNsi4Mr5FtRQL4tbmSdIzhx6_m4wkOD7IG-k_eo/edit#gid=1336395716"", ""Science!M:N""), 2, FALSE)"),"State the definition of real and virtual images. ")</f>
        <v xml:space="preserve">State the definition of real and virtual images. </v>
      </c>
      <c r="L25" s="2" t="str">
        <f t="shared" si="1"/>
        <v>LU005374.002</v>
      </c>
      <c r="M25" s="2" t="str">
        <f ca="1">IFERROR(__xludf.dummyfunction("VLOOKUP(L25, IMPORTRANGE(""https://docs.google.com/spreadsheets/d/1yDAaXNsi4Mr5FtRQL4tbmSdIzhx6_m4wkOD7IG-k_eo/edit#gid=1336395716"", ""Science!M:N""), 2, FALSE)"),"Explain the differences between real and virtual images, as well as the concepts of erect and inverted images.")</f>
        <v>Explain the differences between real and virtual images, as well as the concepts of erect and inverted images.</v>
      </c>
      <c r="N25" s="2" t="str">
        <f t="shared" si="2"/>
        <v>LU005374.003</v>
      </c>
      <c r="O25" s="2" t="str">
        <f ca="1">IFERROR(__xludf.dummyfunction("VLOOKUP(N25, IMPORTRANGE(""https://docs.google.com/spreadsheets/d/1yDAaXNsi4Mr5FtRQL4tbmSdIzhx6_m4wkOD7IG-k_eo/edit#gid=1336395716"", ""Science!M:N""), 2, FALSE)"),"Apply the concepts of real, virtual, erect, and inverted images to identify and classify images formed by different optical devices.")</f>
        <v>Apply the concepts of real, virtual, erect, and inverted images to identify and classify images formed by different optical devices.</v>
      </c>
      <c r="P25" s="2" t="str">
        <f t="shared" si="3"/>
        <v>LU005374.004</v>
      </c>
      <c r="Q25" s="17" t="str">
        <f ca="1">IFERROR(__xludf.dummyfunction("VLOOKUP(P25, IMPORTRANGE(""https://docs.google.com/spreadsheets/d/1yDAaXNsi4Mr5FtRQL4tbmSdIzhx6_m4wkOD7IG-k_eo/edit#gid=1336395716"", ""Science!M:N""), 2, FALSE)"),"Analyze the conditions under which real and virtual images are formed in different optical systems, such as mirrors and lenses.")</f>
        <v>Analyze the conditions under which real and virtual images are formed in different optical systems, such as mirrors and lenses.</v>
      </c>
      <c r="R25" s="2" t="str">
        <f t="shared" si="4"/>
        <v>LU005374.005</v>
      </c>
      <c r="S25" s="17" t="str">
        <f ca="1">IFERROR(__xludf.dummyfunction("VLOOKUP(R25, IMPORTRANGE(""https://docs.google.com/spreadsheets/d/1yDAaXNsi4Mr5FtRQL4tbmSdIzhx6_m4wkOD7IG-k_eo/edit#gid=1336395716"", ""Science!M:N""), 2, FALSE)"),"#N/A")</f>
        <v>#N/A</v>
      </c>
      <c r="T25" s="2" t="str">
        <f t="shared" si="5"/>
        <v>LU005374.006</v>
      </c>
      <c r="U25" s="17" t="str">
        <f ca="1">IFERROR(__xludf.dummyfunction("VLOOKUP(T25, IMPORTRANGE(""https://docs.google.com/spreadsheets/d/1yDAaXNsi4Mr5FtRQL4tbmSdIzhx6_m4wkOD7IG-k_eo/edit#gid=1336395716"", ""Science!M:N""), 2, FALSE)"),"Design an experiment to produce real and virtual images using appropriate optical setups.")</f>
        <v>Design an experiment to produce real and virtual images using appropriate optical setups.</v>
      </c>
      <c r="V25" s="1"/>
      <c r="W25" s="1"/>
      <c r="X25" s="1"/>
      <c r="Y25" s="1"/>
      <c r="Z25" s="1"/>
      <c r="AA25" s="1"/>
      <c r="AB25" s="1"/>
      <c r="AC25" s="1"/>
      <c r="AD25" s="1"/>
      <c r="AE25" s="1"/>
      <c r="AF25" s="1"/>
      <c r="AG25" s="1"/>
    </row>
    <row r="26" spans="1:33" ht="27.6">
      <c r="A26" s="1"/>
      <c r="B26" s="1" t="s">
        <v>29</v>
      </c>
      <c r="C26" s="1" t="s">
        <v>30</v>
      </c>
      <c r="D26" s="13">
        <v>8</v>
      </c>
      <c r="E26" s="1" t="s">
        <v>258</v>
      </c>
      <c r="F26" s="1" t="s">
        <v>265</v>
      </c>
      <c r="G26" s="14" t="s">
        <v>266</v>
      </c>
      <c r="H26" s="18" t="str">
        <f ca="1">IFERROR(__xludf.dummyfunction("IFERROR(
  VLOOKUP(G26, IMPORTRANGE(""https://docs.google.com/spreadsheets/d/14deopnvwcrKtEGCKuYXdUHJbeLDZlkiSSWWT0g7x2pM/edit#gid=849066331"", ""LU List Maths (Filter)!A:B""), 2, FALSE),
  IFERROR(
    VLOOKUP(G26, IMPORTRANGE(""https://docs.google.com/s"&amp;"preadsheets/d/14deopnvwcrKtEGCKuYXdUHJbeLDZlkiSSWWT0g7x2pM/edit#gid=849066331"", ""LU List Science (Filter)!A:B""), 2, FALSE),
    ""Not Found""
  )
)
"),"Image formation by concave mirror using ray diagram ")</f>
        <v xml:space="preserve">Image formation by concave mirror using ray diagram </v>
      </c>
      <c r="I26" s="1"/>
      <c r="J26" s="2" t="str">
        <f t="shared" si="0"/>
        <v>LU005921.001</v>
      </c>
      <c r="K26" s="2" t="str">
        <f ca="1">IFERROR(__xludf.dummyfunction("VLOOKUP(J26, IMPORTRANGE(""https://docs.google.com/spreadsheets/d/1yDAaXNsi4Mr5FtRQL4tbmSdIzhx6_m4wkOD7IG-k_eo/edit#gid=1336395716"", ""Science!M:N""), 2, FALSE)"),"Identify the rules for drawing ray diagrams for concave mirrors.")</f>
        <v>Identify the rules for drawing ray diagrams for concave mirrors.</v>
      </c>
      <c r="L26" s="2" t="str">
        <f t="shared" si="1"/>
        <v>LU005921.002</v>
      </c>
      <c r="M26" s="2" t="str">
        <f ca="1">IFERROR(__xludf.dummyfunction("VLOOKUP(L26, IMPORTRANGE(""https://docs.google.com/spreadsheets/d/1yDAaXNsi4Mr5FtRQL4tbmSdIzhx6_m4wkOD7IG-k_eo/edit#gid=1336395716"", ""Science!M:N""), 2, FALSE)"),"Describe the process of image formation in concave mirrors using ray diagrams.")</f>
        <v>Describe the process of image formation in concave mirrors using ray diagrams.</v>
      </c>
      <c r="N26" s="2" t="str">
        <f t="shared" si="2"/>
        <v>LU005921.003</v>
      </c>
      <c r="O26" s="2" t="str">
        <f ca="1">IFERROR(__xludf.dummyfunction("VLOOKUP(N26, IMPORTRANGE(""https://docs.google.com/spreadsheets/d/1yDAaXNsi4Mr5FtRQL4tbmSdIzhx6_m4wkOD7IG-k_eo/edit#gid=1336395716"", ""Science!M:N""), 2, FALSE)"),"Construct ray diagrams to find image properties for various object positions in concave mirrors.")</f>
        <v>Construct ray diagrams to find image properties for various object positions in concave mirrors.</v>
      </c>
      <c r="P26" s="2" t="str">
        <f t="shared" si="3"/>
        <v>LU005921.004</v>
      </c>
      <c r="Q26" s="17" t="str">
        <f ca="1">IFERROR(__xludf.dummyfunction("VLOOKUP(P26, IMPORTRANGE(""https://docs.google.com/spreadsheets/d/1yDAaXNsi4Mr5FtRQL4tbmSdIzhx6_m4wkOD7IG-k_eo/edit#gid=1336395716"", ""Science!M:N""), 2, FALSE)"),"Examine the correlation between ray diagrams and the mirror equation in determining image characteristics.")</f>
        <v>Examine the correlation between ray diagrams and the mirror equation in determining image characteristics.</v>
      </c>
      <c r="R26" s="2" t="str">
        <f t="shared" si="4"/>
        <v>LU005921.005</v>
      </c>
      <c r="S26" s="17" t="str">
        <f ca="1">IFERROR(__xludf.dummyfunction("VLOOKUP(R26, IMPORTRANGE(""https://docs.google.com/spreadsheets/d/1yDAaXNsi4Mr5FtRQL4tbmSdIzhx6_m4wkOD7IG-k_eo/edit#gid=1336395716"", ""Science!M:N""), 2, FALSE)"),"Critique the effectiveness of ray diagrams in accurately predicting image formation in concave mirrors.")</f>
        <v>Critique the effectiveness of ray diagrams in accurately predicting image formation in concave mirrors.</v>
      </c>
      <c r="T26" s="2" t="str">
        <f t="shared" si="5"/>
        <v>LU005921.006</v>
      </c>
      <c r="U26" s="17" t="str">
        <f ca="1">IFERROR(__xludf.dummyfunction("VLOOKUP(T26, IMPORTRANGE(""https://docs.google.com/spreadsheets/d/1yDAaXNsi4Mr5FtRQL4tbmSdIzhx6_m4wkOD7IG-k_eo/edit#gid=1336395716"", ""Science!M:N""), 2, FALSE)"),"(LU005921.006); Default - Create")</f>
        <v>(LU005921.006); Default - Create</v>
      </c>
      <c r="V26" s="1"/>
      <c r="W26" s="1"/>
      <c r="X26" s="1"/>
      <c r="Y26" s="1"/>
      <c r="Z26" s="1"/>
      <c r="AA26" s="1"/>
      <c r="AB26" s="1"/>
      <c r="AC26" s="1"/>
      <c r="AD26" s="1"/>
      <c r="AE26" s="1"/>
      <c r="AF26" s="1"/>
      <c r="AG26" s="1"/>
    </row>
    <row r="27" spans="1:33" ht="27.6">
      <c r="A27" s="1"/>
      <c r="B27" s="1" t="s">
        <v>29</v>
      </c>
      <c r="C27" s="1" t="s">
        <v>30</v>
      </c>
      <c r="D27" s="13">
        <v>8</v>
      </c>
      <c r="E27" s="1" t="s">
        <v>258</v>
      </c>
      <c r="F27" s="1" t="s">
        <v>265</v>
      </c>
      <c r="G27" s="14" t="s">
        <v>267</v>
      </c>
      <c r="H27" s="18" t="str">
        <f ca="1">IFERROR(__xludf.dummyfunction("IFERROR(
  VLOOKUP(G27, IMPORTRANGE(""https://docs.google.com/spreadsheets/d/14deopnvwcrKtEGCKuYXdUHJbeLDZlkiSSWWT0g7x2pM/edit#gid=849066331"", ""LU List Maths (Filter)!A:B""), 2, FALSE),
  IFERROR(
    VLOOKUP(G27, IMPORTRANGE(""https://docs.google.com/s"&amp;"preadsheets/d/14deopnvwcrKtEGCKuYXdUHJbeLDZlkiSSWWT0g7x2pM/edit#gid=849066331"", ""LU List Science (Filter)!A:B""), 2, FALSE),
    ""Not Found""
  )
)
"),"Image formation by convex mirror using ray diagram ")</f>
        <v xml:space="preserve">Image formation by convex mirror using ray diagram </v>
      </c>
      <c r="I27" s="1"/>
      <c r="J27" s="2" t="str">
        <f t="shared" si="0"/>
        <v>LU005923.001</v>
      </c>
      <c r="K27" s="2" t="str">
        <f ca="1">IFERROR(__xludf.dummyfunction("VLOOKUP(J27, IMPORTRANGE(""https://docs.google.com/spreadsheets/d/1yDAaXNsi4Mr5FtRQL4tbmSdIzhx6_m4wkOD7IG-k_eo/edit#gid=1336395716"", ""Science!M:N""), 2, FALSE)"),"Recognize the basic principles of drawing ray diagrams for convex mirrors.")</f>
        <v>Recognize the basic principles of drawing ray diagrams for convex mirrors.</v>
      </c>
      <c r="L27" s="2" t="str">
        <f t="shared" si="1"/>
        <v>LU005923.002</v>
      </c>
      <c r="M27" s="2" t="str">
        <f ca="1">IFERROR(__xludf.dummyfunction("VLOOKUP(L27, IMPORTRANGE(""https://docs.google.com/spreadsheets/d/1yDAaXNsi4Mr5FtRQL4tbmSdIzhx6_m4wkOD7IG-k_eo/edit#gid=1336395716"", ""Science!M:N""), 2, FALSE)"),"Interpret ray diagrams to explain image formation in convex mirrors.")</f>
        <v>Interpret ray diagrams to explain image formation in convex mirrors.</v>
      </c>
      <c r="N27" s="2" t="str">
        <f t="shared" si="2"/>
        <v>LU005923.003</v>
      </c>
      <c r="O27" s="2" t="str">
        <f ca="1">IFERROR(__xludf.dummyfunction("VLOOKUP(N27, IMPORTRANGE(""https://docs.google.com/spreadsheets/d/1yDAaXNsi4Mr5FtRQL4tbmSdIzhx6_m4wkOD7IG-k_eo/edit#gid=1336395716"", ""Science!M:N""), 2, FALSE)"),"Draw and analyze ray diagrams for convex mirrors in different contexts.")</f>
        <v>Draw and analyze ray diagrams for convex mirrors in different contexts.</v>
      </c>
      <c r="P27" s="2" t="str">
        <f t="shared" si="3"/>
        <v>LU005923.004</v>
      </c>
      <c r="Q27" s="17" t="str">
        <f ca="1">IFERROR(__xludf.dummyfunction("VLOOKUP(P27, IMPORTRANGE(""https://docs.google.com/spreadsheets/d/1yDAaXNsi4Mr5FtRQL4tbmSdIzhx6_m4wkOD7IG-k_eo/edit#gid=1336395716"", ""Science!M:N""), 2, FALSE)"),"Link the outcomes of ray diagrams with theoretical principles for convex mirrors.")</f>
        <v>Link the outcomes of ray diagrams with theoretical principles for convex mirrors.</v>
      </c>
      <c r="R27" s="2" t="str">
        <f t="shared" si="4"/>
        <v>LU005923.005</v>
      </c>
      <c r="S27" s="17" t="str">
        <f ca="1">IFERROR(__xludf.dummyfunction("VLOOKUP(R27, IMPORTRANGE(""https://docs.google.com/spreadsheets/d/1yDAaXNsi4Mr5FtRQL4tbmSdIzhx6_m4wkOD7IG-k_eo/edit#gid=1336395716"", ""Science!M:N""), 2, FALSE)"),"Evaluate the effectiveness of ray diagrams in teaching convex mirror image formation.")</f>
        <v>Evaluate the effectiveness of ray diagrams in teaching convex mirror image formation.</v>
      </c>
      <c r="T27" s="2" t="str">
        <f t="shared" si="5"/>
        <v>LU005923.006</v>
      </c>
      <c r="U27" s="17" t="str">
        <f ca="1">IFERROR(__xludf.dummyfunction("VLOOKUP(T27, IMPORTRANGE(""https://docs.google.com/spreadsheets/d/1yDAaXNsi4Mr5FtRQL4tbmSdIzhx6_m4wkOD7IG-k_eo/edit#gid=1336395716"", ""Science!M:N""), 2, FALSE)"),"(LU005923.006); Default - Create")</f>
        <v>(LU005923.006); Default - Create</v>
      </c>
      <c r="V27" s="1"/>
      <c r="W27" s="1"/>
      <c r="X27" s="1"/>
      <c r="Y27" s="1"/>
      <c r="Z27" s="1"/>
      <c r="AA27" s="1"/>
      <c r="AB27" s="1"/>
      <c r="AC27" s="1"/>
      <c r="AD27" s="1"/>
      <c r="AE27" s="1"/>
      <c r="AF27" s="1"/>
      <c r="AG27" s="1"/>
    </row>
    <row r="28" spans="1:33" ht="13.8">
      <c r="A28" s="1"/>
      <c r="B28" s="1" t="s">
        <v>29</v>
      </c>
      <c r="C28" s="1" t="s">
        <v>30</v>
      </c>
      <c r="D28" s="13">
        <v>8</v>
      </c>
      <c r="E28" s="1" t="s">
        <v>258</v>
      </c>
      <c r="F28" s="1" t="s">
        <v>268</v>
      </c>
      <c r="G28" s="1" t="s">
        <v>269</v>
      </c>
      <c r="H28" s="18" t="str">
        <f ca="1">IFERROR(__xludf.dummyfunction("IFERROR(
  VLOOKUP(G28, IMPORTRANGE(""https://docs.google.com/spreadsheets/d/14deopnvwcrKtEGCKuYXdUHJbeLDZlkiSSWWT0g7x2pM/edit#gid=849066331"", ""LU List Maths (Filter)!A:B""), 2, FALSE),
  IFERROR(
    VLOOKUP(G28, IMPORTRANGE(""https://docs.google.com/s"&amp;"preadsheets/d/14deopnvwcrKtEGCKuYXdUHJbeLDZlkiSSWWT0g7x2pM/edit#gid=849066331"", ""LU List Science (Filter)!A:B""), 2, FALSE),
    ""Not Found""
  )
)
"),"Light and its colours")</f>
        <v>Light and its colours</v>
      </c>
      <c r="I28" s="1"/>
      <c r="J28" s="2" t="str">
        <f t="shared" si="0"/>
        <v>LU005373.001</v>
      </c>
      <c r="K28" s="2" t="str">
        <f ca="1">IFERROR(__xludf.dummyfunction("VLOOKUP(J28, IMPORTRANGE(""https://docs.google.com/spreadsheets/d/1yDAaXNsi4Mr5FtRQL4tbmSdIzhx6_m4wkOD7IG-k_eo/edit#gid=1336395716"", ""Science!M:N""), 2, FALSE)"),"Identify the seven colors obtained by splitting light using a prism.")</f>
        <v>Identify the seven colors obtained by splitting light using a prism.</v>
      </c>
      <c r="L28" s="2" t="str">
        <f t="shared" si="1"/>
        <v>LU005373.002</v>
      </c>
      <c r="M28" s="2" t="str">
        <f ca="1">IFERROR(__xludf.dummyfunction("VLOOKUP(L28, IMPORTRANGE(""https://docs.google.com/spreadsheets/d/1yDAaXNsi4Mr5FtRQL4tbmSdIzhx6_m4wkOD7IG-k_eo/edit#gid=1336395716"", ""Science!M:N""), 2, FALSE)"),"Describe how a glass prism can be used to demonstrate the phenomenon of color dispersion.")</f>
        <v>Describe how a glass prism can be used to demonstrate the phenomenon of color dispersion.</v>
      </c>
      <c r="N28" s="2" t="str">
        <f t="shared" si="2"/>
        <v>LU005373.003</v>
      </c>
      <c r="O28" s="2" t="str">
        <f ca="1">IFERROR(__xludf.dummyfunction("VLOOKUP(N28, IMPORTRANGE(""https://docs.google.com/spreadsheets/d/1yDAaXNsi4Mr5FtRQL4tbmSdIzhx6_m4wkOD7IG-k_eo/edit#gid=1336395716"", ""Science!M:N""), 2, FALSE)"),"Use a Newton's Disc to observe the mixing of colours to obtain white light.")</f>
        <v>Use a Newton's Disc to observe the mixing of colours to obtain white light.</v>
      </c>
      <c r="P28" s="2" t="str">
        <f t="shared" si="3"/>
        <v>LU005373.004</v>
      </c>
      <c r="Q28" s="17" t="str">
        <f ca="1">IFERROR(__xludf.dummyfunction("VLOOKUP(P28, IMPORTRANGE(""https://docs.google.com/spreadsheets/d/1yDAaXNsi4Mr5FtRQL4tbmSdIzhx6_m4wkOD7IG-k_eo/edit#gid=1336395716"", ""Science!M:N""), 2, FALSE)"),"#N/A")</f>
        <v>#N/A</v>
      </c>
      <c r="R28" s="2" t="str">
        <f t="shared" si="4"/>
        <v>LU005373.005</v>
      </c>
      <c r="S28" s="17" t="str">
        <f ca="1">IFERROR(__xludf.dummyfunction("VLOOKUP(R28, IMPORTRANGE(""https://docs.google.com/spreadsheets/d/1yDAaXNsi4Mr5FtRQL4tbmSdIzhx6_m4wkOD7IG-k_eo/edit#gid=1336395716"", ""Science!M:N""), 2, FALSE)"),"Evaluate the significance of Newton's disc experiment in understanding the nature of light and color spectrum.")</f>
        <v>Evaluate the significance of Newton's disc experiment in understanding the nature of light and color spectrum.</v>
      </c>
      <c r="T28" s="2" t="str">
        <f t="shared" si="5"/>
        <v>LU005373.006</v>
      </c>
      <c r="U28" s="17" t="str">
        <f ca="1">IFERROR(__xludf.dummyfunction("VLOOKUP(T28, IMPORTRANGE(""https://docs.google.com/spreadsheets/d/1yDAaXNsi4Mr5FtRQL4tbmSdIzhx6_m4wkOD7IG-k_eo/edit#gid=1336395716"", ""Science!M:N""), 2, FALSE)"),"#N/A")</f>
        <v>#N/A</v>
      </c>
      <c r="V28" s="1"/>
      <c r="W28" s="1"/>
      <c r="X28" s="1"/>
      <c r="Y28" s="1"/>
      <c r="Z28" s="1"/>
      <c r="AA28" s="1"/>
      <c r="AB28" s="1"/>
      <c r="AC28" s="1"/>
      <c r="AD28" s="1"/>
      <c r="AE28" s="1"/>
      <c r="AF28" s="1"/>
      <c r="AG28" s="1"/>
    </row>
    <row r="29" spans="1:33" ht="27.6">
      <c r="A29" s="1"/>
      <c r="B29" s="1" t="s">
        <v>29</v>
      </c>
      <c r="C29" s="1" t="s">
        <v>30</v>
      </c>
      <c r="D29" s="13">
        <v>8</v>
      </c>
      <c r="E29" s="1" t="s">
        <v>258</v>
      </c>
      <c r="F29" s="1" t="s">
        <v>268</v>
      </c>
      <c r="G29" s="1" t="s">
        <v>270</v>
      </c>
      <c r="H29" s="18" t="str">
        <f ca="1">IFERROR(__xludf.dummyfunction("IFERROR(
  VLOOKUP(G29, IMPORTRANGE(""https://docs.google.com/spreadsheets/d/14deopnvwcrKtEGCKuYXdUHJbeLDZlkiSSWWT0g7x2pM/edit#gid=849066331"", ""LU List Maths (Filter)!A:B""), 2, FALSE),
  IFERROR(
    VLOOKUP(G29, IMPORTRANGE(""https://docs.google.com/s"&amp;"preadsheets/d/14deopnvwcrKtEGCKuYXdUHJbeLDZlkiSSWWT0g7x2pM/edit#gid=849066331"", ""LU List Science (Filter)!A:B""), 2, FALSE),
    ""Not Found""
  )
)
"),"Definition of Dispersion of Light")</f>
        <v>Definition of Dispersion of Light</v>
      </c>
      <c r="I29" s="1"/>
      <c r="J29" s="2" t="str">
        <f t="shared" si="0"/>
        <v>LU005565.001</v>
      </c>
      <c r="K29" s="2" t="str">
        <f ca="1">IFERROR(__xludf.dummyfunction("VLOOKUP(J29, IMPORTRANGE(""https://docs.google.com/spreadsheets/d/1yDAaXNsi4Mr5FtRQL4tbmSdIzhx6_m4wkOD7IG-k_eo/edit#gid=1336395716"", ""Science!M:N""), 2, FALSE)"),"Define dispersion of light.")</f>
        <v>Define dispersion of light.</v>
      </c>
      <c r="L29" s="2" t="str">
        <f t="shared" si="1"/>
        <v>LU005565.002</v>
      </c>
      <c r="M29" s="2" t="str">
        <f ca="1">IFERROR(__xludf.dummyfunction("VLOOKUP(L29, IMPORTRANGE(""https://docs.google.com/spreadsheets/d/1yDAaXNsi4Mr5FtRQL4tbmSdIzhx6_m4wkOD7IG-k_eo/edit#gid=1336395716"", ""Science!M:N""), 2, FALSE)"),"Paraphrase the definition of dispersion.")</f>
        <v>Paraphrase the definition of dispersion.</v>
      </c>
      <c r="N29" s="2" t="str">
        <f t="shared" si="2"/>
        <v>LU005565.003</v>
      </c>
      <c r="O29" s="2" t="str">
        <f ca="1">IFERROR(__xludf.dummyfunction("VLOOKUP(N29, IMPORTRANGE(""https://docs.google.com/spreadsheets/d/1yDAaXNsi4Mr5FtRQL4tbmSdIzhx6_m4wkOD7IG-k_eo/edit#gid=1336395716"", ""Science!M:N""), 2, FALSE)"),"Illustrate dispersion of light using a simple diagram.")</f>
        <v>Illustrate dispersion of light using a simple diagram.</v>
      </c>
      <c r="P29" s="2" t="str">
        <f t="shared" si="3"/>
        <v>LU005565.004</v>
      </c>
      <c r="Q29" s="17" t="str">
        <f ca="1">IFERROR(__xludf.dummyfunction("VLOOKUP(P29, IMPORTRANGE(""https://docs.google.com/spreadsheets/d/1yDAaXNsi4Mr5FtRQL4tbmSdIzhx6_m4wkOD7IG-k_eo/edit#gid=1336395716"", ""Science!M:N""), 2, FALSE)"),"#N/A")</f>
        <v>#N/A</v>
      </c>
      <c r="R29" s="2" t="str">
        <f t="shared" si="4"/>
        <v>LU005565.005</v>
      </c>
      <c r="S29" s="17" t="str">
        <f ca="1">IFERROR(__xludf.dummyfunction("VLOOKUP(R29, IMPORTRANGE(""https://docs.google.com/spreadsheets/d/1yDAaXNsi4Mr5FtRQL4tbmSdIzhx6_m4wkOD7IG-k_eo/edit#gid=1336395716"", ""Science!M:N""), 2, FALSE)"),"#N/A")</f>
        <v>#N/A</v>
      </c>
      <c r="T29" s="2" t="str">
        <f t="shared" si="5"/>
        <v>LU005565.006</v>
      </c>
      <c r="U29" s="17" t="str">
        <f ca="1">IFERROR(__xludf.dummyfunction("VLOOKUP(T29, IMPORTRANGE(""https://docs.google.com/spreadsheets/d/1yDAaXNsi4Mr5FtRQL4tbmSdIzhx6_m4wkOD7IG-k_eo/edit#gid=1336395716"", ""Science!M:N""), 2, FALSE)"),"#N/A")</f>
        <v>#N/A</v>
      </c>
      <c r="V29" s="1"/>
      <c r="W29" s="1"/>
      <c r="X29" s="1"/>
      <c r="Y29" s="1"/>
      <c r="Z29" s="1"/>
      <c r="AA29" s="1"/>
      <c r="AB29" s="1"/>
      <c r="AC29" s="1"/>
      <c r="AD29" s="1"/>
      <c r="AE29" s="1"/>
      <c r="AF29" s="1"/>
      <c r="AG29" s="1"/>
    </row>
    <row r="30" spans="1:33" ht="27.6">
      <c r="A30" s="1"/>
      <c r="B30" s="1" t="s">
        <v>29</v>
      </c>
      <c r="C30" s="1" t="s">
        <v>30</v>
      </c>
      <c r="D30" s="13">
        <v>8</v>
      </c>
      <c r="E30" s="1" t="s">
        <v>258</v>
      </c>
      <c r="F30" s="1" t="s">
        <v>271</v>
      </c>
      <c r="G30" s="14" t="s">
        <v>272</v>
      </c>
      <c r="H30" s="18" t="str">
        <f ca="1">IFERROR(__xludf.dummyfunction("IFERROR(
  VLOOKUP(G30, IMPORTRANGE(""https://docs.google.com/spreadsheets/d/14deopnvwcrKtEGCKuYXdUHJbeLDZlkiSSWWT0g7x2pM/edit#gid=849066331"", ""LU List Maths (Filter)!A:B""), 2, FALSE),
  IFERROR(
    VLOOKUP(G30, IMPORTRANGE(""https://docs.google.com/s"&amp;"preadsheets/d/14deopnvwcrKtEGCKuYXdUHJbeLDZlkiSSWWT0g7x2pM/edit#gid=849066331"", ""LU List Science (Filter)!A:B""), 2, FALSE),
    ""Not Found""
  )
)
"),"Definition of Refraction of light")</f>
        <v>Definition of Refraction of light</v>
      </c>
      <c r="I30" s="1"/>
      <c r="J30" s="2" t="str">
        <f t="shared" si="0"/>
        <v>LU005586.001</v>
      </c>
      <c r="K30" s="2" t="str">
        <f ca="1">IFERROR(__xludf.dummyfunction("VLOOKUP(J30, IMPORTRANGE(""https://docs.google.com/spreadsheets/d/1yDAaXNsi4Mr5FtRQL4tbmSdIzhx6_m4wkOD7IG-k_eo/edit#gid=1336395716"", ""Science!M:N""), 2, FALSE)"),"Recall the definition of refraction.")</f>
        <v>Recall the definition of refraction.</v>
      </c>
      <c r="L30" s="2" t="str">
        <f t="shared" si="1"/>
        <v>LU005586.002</v>
      </c>
      <c r="M30" s="2" t="str">
        <f ca="1">IFERROR(__xludf.dummyfunction("VLOOKUP(L30, IMPORTRANGE(""https://docs.google.com/spreadsheets/d/1yDAaXNsi4Mr5FtRQL4tbmSdIzhx6_m4wkOD7IG-k_eo/edit#gid=1336395716"", ""Science!M:N""), 2, FALSE)"),"Paraphrase the concept of refraction, detailing how it pertains to the change in direction of light when transitioning between different mediums.")</f>
        <v>Paraphrase the concept of refraction, detailing how it pertains to the change in direction of light when transitioning between different mediums.</v>
      </c>
      <c r="N30" s="2" t="str">
        <f t="shared" si="2"/>
        <v>LU005586.003</v>
      </c>
      <c r="O30" s="2" t="str">
        <f ca="1">IFERROR(__xludf.dummyfunction("VLOOKUP(N30, IMPORTRANGE(""https://docs.google.com/spreadsheets/d/1yDAaXNsi4Mr5FtRQL4tbmSdIzhx6_m4wkOD7IG-k_eo/edit#gid=1336395716"", ""Science!M:N""), 2, FALSE)"),"Demonstrate the phenomenon of refraction using a simple classroom experiment.")</f>
        <v>Demonstrate the phenomenon of refraction using a simple classroom experiment.</v>
      </c>
      <c r="P30" s="2" t="str">
        <f t="shared" si="3"/>
        <v>LU005586.004</v>
      </c>
      <c r="Q30" s="17" t="str">
        <f ca="1">IFERROR(__xludf.dummyfunction("VLOOKUP(P30, IMPORTRANGE(""https://docs.google.com/spreadsheets/d/1yDAaXNsi4Mr5FtRQL4tbmSdIzhx6_m4wkOD7IG-k_eo/edit#gid=1336395716"", ""Science!M:N""), 2, FALSE)"),"(LU005586.004); Default - Analyse")</f>
        <v>(LU005586.004); Default - Analyse</v>
      </c>
      <c r="R30" s="2" t="str">
        <f t="shared" si="4"/>
        <v>LU005586.005</v>
      </c>
      <c r="S30" s="17" t="str">
        <f ca="1">IFERROR(__xludf.dummyfunction("VLOOKUP(R30, IMPORTRANGE(""https://docs.google.com/spreadsheets/d/1yDAaXNsi4Mr5FtRQL4tbmSdIzhx6_m4wkOD7IG-k_eo/edit#gid=1336395716"", ""Science!M:N""), 2, FALSE)"),"(LU005586.005); Default - Evaluate")</f>
        <v>(LU005586.005); Default - Evaluate</v>
      </c>
      <c r="T30" s="2" t="str">
        <f t="shared" si="5"/>
        <v>LU005586.006</v>
      </c>
      <c r="U30" s="17" t="str">
        <f ca="1">IFERROR(__xludf.dummyfunction("VLOOKUP(T30, IMPORTRANGE(""https://docs.google.com/spreadsheets/d/1yDAaXNsi4Mr5FtRQL4tbmSdIzhx6_m4wkOD7IG-k_eo/edit#gid=1336395716"", ""Science!M:N""), 2, FALSE)"),"(LU005586.006); Default - Create")</f>
        <v>(LU005586.006); Default - Create</v>
      </c>
      <c r="V30" s="1"/>
      <c r="W30" s="1"/>
      <c r="X30" s="1"/>
      <c r="Y30" s="1"/>
      <c r="Z30" s="1"/>
      <c r="AA30" s="1"/>
      <c r="AB30" s="1"/>
      <c r="AC30" s="1"/>
      <c r="AD30" s="1"/>
      <c r="AE30" s="1"/>
      <c r="AF30" s="1"/>
      <c r="AG30" s="1"/>
    </row>
    <row r="31" spans="1:33" ht="27.6">
      <c r="A31" s="1"/>
      <c r="B31" s="1" t="s">
        <v>29</v>
      </c>
      <c r="C31" s="1" t="s">
        <v>30</v>
      </c>
      <c r="D31" s="13">
        <v>8</v>
      </c>
      <c r="E31" s="1" t="s">
        <v>273</v>
      </c>
      <c r="F31" s="1" t="s">
        <v>274</v>
      </c>
      <c r="G31" s="14" t="s">
        <v>275</v>
      </c>
      <c r="H31" s="18" t="str">
        <f ca="1">IFERROR(__xludf.dummyfunction("IFERROR(
  VLOOKUP(G31, IMPORTRANGE(""https://docs.google.com/spreadsheets/d/14deopnvwcrKtEGCKuYXdUHJbeLDZlkiSSWWT0g7x2pM/edit#gid=849066331"", ""LU List Maths (Filter)!A:B""), 2, FALSE),
  IFERROR(
    VLOOKUP(G31, IMPORTRANGE(""https://docs.google.com/s"&amp;"preadsheets/d/14deopnvwcrKtEGCKuYXdUHJbeLDZlkiSSWWT0g7x2pM/edit#gid=849066331"", ""LU List Science (Filter)!A:B""), 2, FALSE),
    ""Not Found""
  )
)
"),"Concept of Boiling and Boiling point")</f>
        <v>Concept of Boiling and Boiling point</v>
      </c>
      <c r="I31" s="1"/>
      <c r="J31" s="2" t="str">
        <f t="shared" si="0"/>
        <v>LU006840.001</v>
      </c>
      <c r="K31" s="2" t="str">
        <f ca="1">IFERROR(__xludf.dummyfunction("VLOOKUP(J31, IMPORTRANGE(""https://docs.google.com/spreadsheets/d/1yDAaXNsi4Mr5FtRQL4tbmSdIzhx6_m4wkOD7IG-k_eo/edit#gid=1336395716"", ""Science!M:N""), 2, FALSE)"),"(LU006840.001); Default - Remember")</f>
        <v>(LU006840.001); Default - Remember</v>
      </c>
      <c r="L31" s="2" t="str">
        <f t="shared" si="1"/>
        <v>LU006840.002</v>
      </c>
      <c r="M31" s="2" t="str">
        <f ca="1">IFERROR(__xludf.dummyfunction("VLOOKUP(L31, IMPORTRANGE(""https://docs.google.com/spreadsheets/d/1yDAaXNsi4Mr5FtRQL4tbmSdIzhx6_m4wkOD7IG-k_eo/edit#gid=1336395716"", ""Science!M:N""), 2, FALSE)"),"(LU006840.002); Default - Understand")</f>
        <v>(LU006840.002); Default - Understand</v>
      </c>
      <c r="N31" s="2" t="str">
        <f t="shared" si="2"/>
        <v>LU006840.003</v>
      </c>
      <c r="O31" s="2" t="str">
        <f ca="1">IFERROR(__xludf.dummyfunction("VLOOKUP(N31, IMPORTRANGE(""https://docs.google.com/spreadsheets/d/1yDAaXNsi4Mr5FtRQL4tbmSdIzhx6_m4wkOD7IG-k_eo/edit#gid=1336395716"", ""Science!M:N""), 2, FALSE)"),"(LU006840.003); Default - Apply")</f>
        <v>(LU006840.003); Default - Apply</v>
      </c>
      <c r="P31" s="2" t="str">
        <f t="shared" si="3"/>
        <v>LU006840.004</v>
      </c>
      <c r="Q31" s="17" t="str">
        <f ca="1">IFERROR(__xludf.dummyfunction("VLOOKUP(P31, IMPORTRANGE(""https://docs.google.com/spreadsheets/d/1yDAaXNsi4Mr5FtRQL4tbmSdIzhx6_m4wkOD7IG-k_eo/edit#gid=1336395716"", ""Science!M:N""), 2, FALSE)"),"(LU006840.004); Default - Analyse")</f>
        <v>(LU006840.004); Default - Analyse</v>
      </c>
      <c r="R31" s="2" t="str">
        <f t="shared" si="4"/>
        <v>LU006840.005</v>
      </c>
      <c r="S31" s="17" t="str">
        <f ca="1">IFERROR(__xludf.dummyfunction("VLOOKUP(R31, IMPORTRANGE(""https://docs.google.com/spreadsheets/d/1yDAaXNsi4Mr5FtRQL4tbmSdIzhx6_m4wkOD7IG-k_eo/edit#gid=1336395716"", ""Science!M:N""), 2, FALSE)"),"(LU006840.005); Default - Evaluate")</f>
        <v>(LU006840.005); Default - Evaluate</v>
      </c>
      <c r="T31" s="2" t="str">
        <f t="shared" si="5"/>
        <v>LU006840.006</v>
      </c>
      <c r="U31" s="17" t="str">
        <f ca="1">IFERROR(__xludf.dummyfunction("VLOOKUP(T31, IMPORTRANGE(""https://docs.google.com/spreadsheets/d/1yDAaXNsi4Mr5FtRQL4tbmSdIzhx6_m4wkOD7IG-k_eo/edit#gid=1336395716"", ""Science!M:N""), 2, FALSE)"),"(LU006840.006); Default - Create")</f>
        <v>(LU006840.006); Default - Create</v>
      </c>
      <c r="V31" s="1"/>
      <c r="W31" s="1"/>
      <c r="X31" s="1"/>
      <c r="Y31" s="1"/>
      <c r="Z31" s="1"/>
      <c r="AA31" s="1"/>
      <c r="AB31" s="1"/>
      <c r="AC31" s="1"/>
      <c r="AD31" s="1"/>
      <c r="AE31" s="1"/>
      <c r="AF31" s="1"/>
      <c r="AG31" s="1"/>
    </row>
    <row r="32" spans="1:33" ht="27.6">
      <c r="A32" s="1"/>
      <c r="B32" s="1" t="s">
        <v>29</v>
      </c>
      <c r="C32" s="1" t="s">
        <v>30</v>
      </c>
      <c r="D32" s="13">
        <v>8</v>
      </c>
      <c r="E32" s="1" t="s">
        <v>273</v>
      </c>
      <c r="F32" s="1" t="s">
        <v>274</v>
      </c>
      <c r="G32" s="14" t="s">
        <v>276</v>
      </c>
      <c r="H32" s="18" t="str">
        <f ca="1">IFERROR(__xludf.dummyfunction("IFERROR(
  VLOOKUP(G32, IMPORTRANGE(""https://docs.google.com/spreadsheets/d/14deopnvwcrKtEGCKuYXdUHJbeLDZlkiSSWWT0g7x2pM/edit#gid=849066331"", ""LU List Maths (Filter)!A:B""), 2, FALSE),
  IFERROR(
    VLOOKUP(G32, IMPORTRANGE(""https://docs.google.com/s"&amp;"preadsheets/d/14deopnvwcrKtEGCKuYXdUHJbeLDZlkiSSWWT0g7x2pM/edit#gid=849066331"", ""LU List Science (Filter)!A:B""), 2, FALSE),
    ""Not Found""
  )
)
"),"Difference between boiling and evaporation")</f>
        <v>Difference between boiling and evaporation</v>
      </c>
      <c r="I32" s="1"/>
      <c r="J32" s="2" t="str">
        <f t="shared" si="0"/>
        <v>LU006841.001</v>
      </c>
      <c r="K32" s="2" t="str">
        <f ca="1">IFERROR(__xludf.dummyfunction("VLOOKUP(J32, IMPORTRANGE(""https://docs.google.com/spreadsheets/d/1yDAaXNsi4Mr5FtRQL4tbmSdIzhx6_m4wkOD7IG-k_eo/edit#gid=1336395716"", ""Science!M:N""), 2, FALSE)"),"(LU006841.001); Default - Remember")</f>
        <v>(LU006841.001); Default - Remember</v>
      </c>
      <c r="L32" s="2" t="str">
        <f t="shared" si="1"/>
        <v>LU006841.002</v>
      </c>
      <c r="M32" s="2" t="str">
        <f ca="1">IFERROR(__xludf.dummyfunction("VLOOKUP(L32, IMPORTRANGE(""https://docs.google.com/spreadsheets/d/1yDAaXNsi4Mr5FtRQL4tbmSdIzhx6_m4wkOD7IG-k_eo/edit#gid=1336395716"", ""Science!M:N""), 2, FALSE)"),"(LU006841.002); Default - Understand")</f>
        <v>(LU006841.002); Default - Understand</v>
      </c>
      <c r="N32" s="2" t="str">
        <f t="shared" si="2"/>
        <v>LU006841.003</v>
      </c>
      <c r="O32" s="2" t="str">
        <f ca="1">IFERROR(__xludf.dummyfunction("VLOOKUP(N32, IMPORTRANGE(""https://docs.google.com/spreadsheets/d/1yDAaXNsi4Mr5FtRQL4tbmSdIzhx6_m4wkOD7IG-k_eo/edit#gid=1336395716"", ""Science!M:N""), 2, FALSE)"),"(LU006841.003); Default - Apply")</f>
        <v>(LU006841.003); Default - Apply</v>
      </c>
      <c r="P32" s="2" t="str">
        <f t="shared" si="3"/>
        <v>LU006841.004</v>
      </c>
      <c r="Q32" s="17" t="str">
        <f ca="1">IFERROR(__xludf.dummyfunction("VLOOKUP(P32, IMPORTRANGE(""https://docs.google.com/spreadsheets/d/1yDAaXNsi4Mr5FtRQL4tbmSdIzhx6_m4wkOD7IG-k_eo/edit#gid=1336395716"", ""Science!M:N""), 2, FALSE)"),"(LU006841.004); Default - Analyse")</f>
        <v>(LU006841.004); Default - Analyse</v>
      </c>
      <c r="R32" s="2" t="str">
        <f t="shared" si="4"/>
        <v>LU006841.005</v>
      </c>
      <c r="S32" s="17" t="str">
        <f ca="1">IFERROR(__xludf.dummyfunction("VLOOKUP(R32, IMPORTRANGE(""https://docs.google.com/spreadsheets/d/1yDAaXNsi4Mr5FtRQL4tbmSdIzhx6_m4wkOD7IG-k_eo/edit#gid=1336395716"", ""Science!M:N""), 2, FALSE)"),"(LU006841.005); Default - Evaluate")</f>
        <v>(LU006841.005); Default - Evaluate</v>
      </c>
      <c r="T32" s="2" t="str">
        <f t="shared" si="5"/>
        <v>LU006841.006</v>
      </c>
      <c r="U32" s="17" t="str">
        <f ca="1">IFERROR(__xludf.dummyfunction("VLOOKUP(T32, IMPORTRANGE(""https://docs.google.com/spreadsheets/d/1yDAaXNsi4Mr5FtRQL4tbmSdIzhx6_m4wkOD7IG-k_eo/edit#gid=1336395716"", ""Science!M:N""), 2, FALSE)"),"(LU006841.006); Default - Create")</f>
        <v>(LU006841.006); Default - Create</v>
      </c>
      <c r="V32" s="1"/>
      <c r="W32" s="1"/>
      <c r="X32" s="1"/>
      <c r="Y32" s="1"/>
      <c r="Z32" s="1"/>
      <c r="AA32" s="1"/>
      <c r="AB32" s="1"/>
      <c r="AC32" s="1"/>
      <c r="AD32" s="1"/>
      <c r="AE32" s="1"/>
      <c r="AF32" s="1"/>
      <c r="AG32" s="1"/>
    </row>
    <row r="33" spans="1:33" ht="27.6">
      <c r="A33" s="1"/>
      <c r="B33" s="1" t="s">
        <v>29</v>
      </c>
      <c r="C33" s="1" t="s">
        <v>30</v>
      </c>
      <c r="D33" s="13">
        <v>8</v>
      </c>
      <c r="E33" s="1" t="s">
        <v>273</v>
      </c>
      <c r="F33" s="1" t="s">
        <v>277</v>
      </c>
      <c r="G33" s="14" t="s">
        <v>278</v>
      </c>
      <c r="H33" s="18" t="str">
        <f ca="1">IFERROR(__xludf.dummyfunction("IFERROR(
  VLOOKUP(G33, IMPORTRANGE(""https://docs.google.com/spreadsheets/d/14deopnvwcrKtEGCKuYXdUHJbeLDZlkiSSWWT0g7x2pM/edit#gid=849066331"", ""LU List Maths (Filter)!A:B""), 2, FALSE),
  IFERROR(
    VLOOKUP(G33, IMPORTRANGE(""https://docs.google.com/s"&amp;"preadsheets/d/14deopnvwcrKtEGCKuYXdUHJbeLDZlkiSSWWT0g7x2pM/edit#gid=849066331"", ""LU List Science (Filter)!A:B""), 2, FALSE),
    ""Not Found""
  )
)
"),"Concept and Examples of Linear Expansion")</f>
        <v>Concept and Examples of Linear Expansion</v>
      </c>
      <c r="I33" s="1"/>
      <c r="J33" s="2" t="str">
        <f t="shared" si="0"/>
        <v>LU006842.001</v>
      </c>
      <c r="K33" s="2" t="str">
        <f ca="1">IFERROR(__xludf.dummyfunction("VLOOKUP(J33, IMPORTRANGE(""https://docs.google.com/spreadsheets/d/1yDAaXNsi4Mr5FtRQL4tbmSdIzhx6_m4wkOD7IG-k_eo/edit#gid=1336395716"", ""Science!M:N""), 2, FALSE)"),"(LU006842.001); Default - Remember")</f>
        <v>(LU006842.001); Default - Remember</v>
      </c>
      <c r="L33" s="2" t="str">
        <f t="shared" si="1"/>
        <v>LU006842.002</v>
      </c>
      <c r="M33" s="2" t="str">
        <f ca="1">IFERROR(__xludf.dummyfunction("VLOOKUP(L33, IMPORTRANGE(""https://docs.google.com/spreadsheets/d/1yDAaXNsi4Mr5FtRQL4tbmSdIzhx6_m4wkOD7IG-k_eo/edit#gid=1336395716"", ""Science!M:N""), 2, FALSE)"),"(LU006842.002); Default - Understand")</f>
        <v>(LU006842.002); Default - Understand</v>
      </c>
      <c r="N33" s="2" t="str">
        <f t="shared" si="2"/>
        <v>LU006842.003</v>
      </c>
      <c r="O33" s="2" t="str">
        <f ca="1">IFERROR(__xludf.dummyfunction("VLOOKUP(N33, IMPORTRANGE(""https://docs.google.com/spreadsheets/d/1yDAaXNsi4Mr5FtRQL4tbmSdIzhx6_m4wkOD7IG-k_eo/edit#gid=1336395716"", ""Science!M:N""), 2, FALSE)"),"(LU006842.003); Default - Apply")</f>
        <v>(LU006842.003); Default - Apply</v>
      </c>
      <c r="P33" s="2" t="str">
        <f t="shared" si="3"/>
        <v>LU006842.004</v>
      </c>
      <c r="Q33" s="17" t="str">
        <f ca="1">IFERROR(__xludf.dummyfunction("VLOOKUP(P33, IMPORTRANGE(""https://docs.google.com/spreadsheets/d/1yDAaXNsi4Mr5FtRQL4tbmSdIzhx6_m4wkOD7IG-k_eo/edit#gid=1336395716"", ""Science!M:N""), 2, FALSE)"),"(LU006842.004); Default - Analyse")</f>
        <v>(LU006842.004); Default - Analyse</v>
      </c>
      <c r="R33" s="2" t="str">
        <f t="shared" si="4"/>
        <v>LU006842.005</v>
      </c>
      <c r="S33" s="17" t="str">
        <f ca="1">IFERROR(__xludf.dummyfunction("VLOOKUP(R33, IMPORTRANGE(""https://docs.google.com/spreadsheets/d/1yDAaXNsi4Mr5FtRQL4tbmSdIzhx6_m4wkOD7IG-k_eo/edit#gid=1336395716"", ""Science!M:N""), 2, FALSE)"),"(LU006842.005); Default - Evaluate")</f>
        <v>(LU006842.005); Default - Evaluate</v>
      </c>
      <c r="T33" s="2" t="str">
        <f t="shared" si="5"/>
        <v>LU006842.006</v>
      </c>
      <c r="U33" s="17" t="str">
        <f ca="1">IFERROR(__xludf.dummyfunction("VLOOKUP(T33, IMPORTRANGE(""https://docs.google.com/spreadsheets/d/1yDAaXNsi4Mr5FtRQL4tbmSdIzhx6_m4wkOD7IG-k_eo/edit#gid=1336395716"", ""Science!M:N""), 2, FALSE)"),"(LU006842.006); Default - Create")</f>
        <v>(LU006842.006); Default - Create</v>
      </c>
      <c r="V33" s="1"/>
      <c r="W33" s="1"/>
      <c r="X33" s="1"/>
      <c r="Y33" s="1"/>
      <c r="Z33" s="1"/>
      <c r="AA33" s="1"/>
      <c r="AB33" s="1"/>
      <c r="AC33" s="1"/>
      <c r="AD33" s="1"/>
      <c r="AE33" s="1"/>
      <c r="AF33" s="1"/>
      <c r="AG33" s="1"/>
    </row>
    <row r="34" spans="1:33" ht="27.6">
      <c r="A34" s="1"/>
      <c r="B34" s="1" t="s">
        <v>29</v>
      </c>
      <c r="C34" s="1" t="s">
        <v>30</v>
      </c>
      <c r="D34" s="13">
        <v>8</v>
      </c>
      <c r="E34" s="1" t="s">
        <v>273</v>
      </c>
      <c r="F34" s="1" t="s">
        <v>277</v>
      </c>
      <c r="G34" s="14" t="s">
        <v>279</v>
      </c>
      <c r="H34" s="18" t="str">
        <f ca="1">IFERROR(__xludf.dummyfunction("IFERROR(
  VLOOKUP(G34, IMPORTRANGE(""https://docs.google.com/spreadsheets/d/14deopnvwcrKtEGCKuYXdUHJbeLDZlkiSSWWT0g7x2pM/edit#gid=849066331"", ""LU List Maths (Filter)!A:B""), 2, FALSE),
  IFERROR(
    VLOOKUP(G34, IMPORTRANGE(""https://docs.google.com/s"&amp;"preadsheets/d/14deopnvwcrKtEGCKuYXdUHJbeLDZlkiSSWWT0g7x2pM/edit#gid=849066331"", ""LU List Science (Filter)!A:B""), 2, FALSE),
    ""Not Found""
  )
)
"),"Concept and Examples of Superficial Expansion")</f>
        <v>Concept and Examples of Superficial Expansion</v>
      </c>
      <c r="I34" s="1"/>
      <c r="J34" s="2" t="str">
        <f t="shared" ref="J34:J51" si="6">G34 &amp; ".001"</f>
        <v>LU006843.001</v>
      </c>
      <c r="K34" s="2" t="str">
        <f ca="1">IFERROR(__xludf.dummyfunction("VLOOKUP(J34, IMPORTRANGE(""https://docs.google.com/spreadsheets/d/1yDAaXNsi4Mr5FtRQL4tbmSdIzhx6_m4wkOD7IG-k_eo/edit#gid=1336395716"", ""Science!M:N""), 2, FALSE)"),"(LU006843.001); Default - Remember")</f>
        <v>(LU006843.001); Default - Remember</v>
      </c>
      <c r="L34" s="2" t="str">
        <f t="shared" ref="L34:L51" si="7">G34 &amp; ".002"</f>
        <v>LU006843.002</v>
      </c>
      <c r="M34" s="2" t="str">
        <f ca="1">IFERROR(__xludf.dummyfunction("VLOOKUP(L34, IMPORTRANGE(""https://docs.google.com/spreadsheets/d/1yDAaXNsi4Mr5FtRQL4tbmSdIzhx6_m4wkOD7IG-k_eo/edit#gid=1336395716"", ""Science!M:N""), 2, FALSE)"),"(LU006843.002); Default - Understand")</f>
        <v>(LU006843.002); Default - Understand</v>
      </c>
      <c r="N34" s="2" t="str">
        <f t="shared" ref="N34:N51" si="8">G34 &amp; ".003"</f>
        <v>LU006843.003</v>
      </c>
      <c r="O34" s="2" t="str">
        <f ca="1">IFERROR(__xludf.dummyfunction("VLOOKUP(N34, IMPORTRANGE(""https://docs.google.com/spreadsheets/d/1yDAaXNsi4Mr5FtRQL4tbmSdIzhx6_m4wkOD7IG-k_eo/edit#gid=1336395716"", ""Science!M:N""), 2, FALSE)"),"(LU006843.003); Default - Apply")</f>
        <v>(LU006843.003); Default - Apply</v>
      </c>
      <c r="P34" s="2" t="str">
        <f t="shared" ref="P34:P51" si="9">G34 &amp; ".004"</f>
        <v>LU006843.004</v>
      </c>
      <c r="Q34" s="17" t="str">
        <f ca="1">IFERROR(__xludf.dummyfunction("VLOOKUP(P34, IMPORTRANGE(""https://docs.google.com/spreadsheets/d/1yDAaXNsi4Mr5FtRQL4tbmSdIzhx6_m4wkOD7IG-k_eo/edit#gid=1336395716"", ""Science!M:N""), 2, FALSE)"),"(LU006843.004); Default - Analyse")</f>
        <v>(LU006843.004); Default - Analyse</v>
      </c>
      <c r="R34" s="2" t="str">
        <f t="shared" ref="R34:R51" si="10">G34 &amp; ".005"</f>
        <v>LU006843.005</v>
      </c>
      <c r="S34" s="17" t="str">
        <f ca="1">IFERROR(__xludf.dummyfunction("VLOOKUP(R34, IMPORTRANGE(""https://docs.google.com/spreadsheets/d/1yDAaXNsi4Mr5FtRQL4tbmSdIzhx6_m4wkOD7IG-k_eo/edit#gid=1336395716"", ""Science!M:N""), 2, FALSE)"),"(LU006843.005); Default - Evaluate")</f>
        <v>(LU006843.005); Default - Evaluate</v>
      </c>
      <c r="T34" s="2" t="str">
        <f t="shared" ref="T34:T51" si="11">G34 &amp; ".006"</f>
        <v>LU006843.006</v>
      </c>
      <c r="U34" s="17" t="str">
        <f ca="1">IFERROR(__xludf.dummyfunction("VLOOKUP(T34, IMPORTRANGE(""https://docs.google.com/spreadsheets/d/1yDAaXNsi4Mr5FtRQL4tbmSdIzhx6_m4wkOD7IG-k_eo/edit#gid=1336395716"", ""Science!M:N""), 2, FALSE)"),"(LU006843.006); Default - Create")</f>
        <v>(LU006843.006); Default - Create</v>
      </c>
      <c r="V34" s="1"/>
      <c r="W34" s="1"/>
      <c r="X34" s="1"/>
      <c r="Y34" s="1"/>
      <c r="Z34" s="1"/>
      <c r="AA34" s="1"/>
      <c r="AB34" s="1"/>
      <c r="AC34" s="1"/>
      <c r="AD34" s="1"/>
      <c r="AE34" s="1"/>
      <c r="AF34" s="1"/>
      <c r="AG34" s="1"/>
    </row>
    <row r="35" spans="1:33" ht="27.6">
      <c r="A35" s="1"/>
      <c r="B35" s="1" t="s">
        <v>29</v>
      </c>
      <c r="C35" s="1" t="s">
        <v>30</v>
      </c>
      <c r="D35" s="13">
        <v>8</v>
      </c>
      <c r="E35" s="1" t="s">
        <v>273</v>
      </c>
      <c r="F35" s="1" t="s">
        <v>277</v>
      </c>
      <c r="G35" s="14" t="s">
        <v>280</v>
      </c>
      <c r="H35" s="18" t="str">
        <f ca="1">IFERROR(__xludf.dummyfunction("IFERROR(
  VLOOKUP(G35, IMPORTRANGE(""https://docs.google.com/spreadsheets/d/14deopnvwcrKtEGCKuYXdUHJbeLDZlkiSSWWT0g7x2pM/edit#gid=849066331"", ""LU List Maths (Filter)!A:B""), 2, FALSE),
  IFERROR(
    VLOOKUP(G35, IMPORTRANGE(""https://docs.google.com/s"&amp;"preadsheets/d/14deopnvwcrKtEGCKuYXdUHJbeLDZlkiSSWWT0g7x2pM/edit#gid=849066331"", ""LU List Science (Filter)!A:B""), 2, FALSE),
    ""Not Found""
  )
)
"),"Concept and Examples of Volume Expansion")</f>
        <v>Concept and Examples of Volume Expansion</v>
      </c>
      <c r="I35" s="1"/>
      <c r="J35" s="2" t="str">
        <f t="shared" si="6"/>
        <v>LU006844.001</v>
      </c>
      <c r="K35" s="2" t="str">
        <f ca="1">IFERROR(__xludf.dummyfunction("VLOOKUP(J35, IMPORTRANGE(""https://docs.google.com/spreadsheets/d/1yDAaXNsi4Mr5FtRQL4tbmSdIzhx6_m4wkOD7IG-k_eo/edit#gid=1336395716"", ""Science!M:N""), 2, FALSE)"),"(LU006844.001); Default - Remember")</f>
        <v>(LU006844.001); Default - Remember</v>
      </c>
      <c r="L35" s="2" t="str">
        <f t="shared" si="7"/>
        <v>LU006844.002</v>
      </c>
      <c r="M35" s="2" t="str">
        <f ca="1">IFERROR(__xludf.dummyfunction("VLOOKUP(L35, IMPORTRANGE(""https://docs.google.com/spreadsheets/d/1yDAaXNsi4Mr5FtRQL4tbmSdIzhx6_m4wkOD7IG-k_eo/edit#gid=1336395716"", ""Science!M:N""), 2, FALSE)"),"(LU006844.002); Default - Understand")</f>
        <v>(LU006844.002); Default - Understand</v>
      </c>
      <c r="N35" s="2" t="str">
        <f t="shared" si="8"/>
        <v>LU006844.003</v>
      </c>
      <c r="O35" s="2" t="str">
        <f ca="1">IFERROR(__xludf.dummyfunction("VLOOKUP(N35, IMPORTRANGE(""https://docs.google.com/spreadsheets/d/1yDAaXNsi4Mr5FtRQL4tbmSdIzhx6_m4wkOD7IG-k_eo/edit#gid=1336395716"", ""Science!M:N""), 2, FALSE)"),"(LU006844.003); Default - Apply")</f>
        <v>(LU006844.003); Default - Apply</v>
      </c>
      <c r="P35" s="2" t="str">
        <f t="shared" si="9"/>
        <v>LU006844.004</v>
      </c>
      <c r="Q35" s="17" t="str">
        <f ca="1">IFERROR(__xludf.dummyfunction("VLOOKUP(P35, IMPORTRANGE(""https://docs.google.com/spreadsheets/d/1yDAaXNsi4Mr5FtRQL4tbmSdIzhx6_m4wkOD7IG-k_eo/edit#gid=1336395716"", ""Science!M:N""), 2, FALSE)"),"(LU006844.004); Default - Analyse")</f>
        <v>(LU006844.004); Default - Analyse</v>
      </c>
      <c r="R35" s="2" t="str">
        <f t="shared" si="10"/>
        <v>LU006844.005</v>
      </c>
      <c r="S35" s="17" t="str">
        <f ca="1">IFERROR(__xludf.dummyfunction("VLOOKUP(R35, IMPORTRANGE(""https://docs.google.com/spreadsheets/d/1yDAaXNsi4Mr5FtRQL4tbmSdIzhx6_m4wkOD7IG-k_eo/edit#gid=1336395716"", ""Science!M:N""), 2, FALSE)"),"(LU006844.005); Default - Evaluate")</f>
        <v>(LU006844.005); Default - Evaluate</v>
      </c>
      <c r="T35" s="2" t="str">
        <f t="shared" si="11"/>
        <v>LU006844.006</v>
      </c>
      <c r="U35" s="17" t="str">
        <f ca="1">IFERROR(__xludf.dummyfunction("VLOOKUP(T35, IMPORTRANGE(""https://docs.google.com/spreadsheets/d/1yDAaXNsi4Mr5FtRQL4tbmSdIzhx6_m4wkOD7IG-k_eo/edit#gid=1336395716"", ""Science!M:N""), 2, FALSE)"),"(LU006844.006); Default - Create")</f>
        <v>(LU006844.006); Default - Create</v>
      </c>
      <c r="V35" s="1"/>
      <c r="W35" s="1"/>
      <c r="X35" s="1"/>
      <c r="Y35" s="1"/>
      <c r="Z35" s="1"/>
      <c r="AA35" s="1"/>
      <c r="AB35" s="1"/>
      <c r="AC35" s="1"/>
      <c r="AD35" s="1"/>
      <c r="AE35" s="1"/>
      <c r="AF35" s="1"/>
      <c r="AG35" s="1"/>
    </row>
    <row r="36" spans="1:33" ht="41.4">
      <c r="A36" s="1"/>
      <c r="B36" s="1" t="s">
        <v>29</v>
      </c>
      <c r="C36" s="1" t="s">
        <v>30</v>
      </c>
      <c r="D36" s="13">
        <v>8</v>
      </c>
      <c r="E36" s="1" t="s">
        <v>273</v>
      </c>
      <c r="F36" s="1" t="s">
        <v>281</v>
      </c>
      <c r="G36" s="14" t="s">
        <v>282</v>
      </c>
      <c r="H36" s="18" t="str">
        <f ca="1">IFERROR(__xludf.dummyfunction("IFERROR(
  VLOOKUP(G36, IMPORTRANGE(""https://docs.google.com/spreadsheets/d/14deopnvwcrKtEGCKuYXdUHJbeLDZlkiSSWWT0g7x2pM/edit#gid=849066331"", ""LU List Maths (Filter)!A:B""), 2, FALSE),
  IFERROR(
    VLOOKUP(G36, IMPORTRANGE(""https://docs.google.com/s"&amp;"preadsheets/d/14deopnvwcrKtEGCKuYXdUHJbeLDZlkiSSWWT0g7x2pM/edit#gid=849066331"", ""LU List Science (Filter)!A:B""), 2, FALSE),
    ""Not Found""
  )
)
"),"Compare expansivity in Solids, Liquids and Gases")</f>
        <v>Compare expansivity in Solids, Liquids and Gases</v>
      </c>
      <c r="I36" s="1"/>
      <c r="J36" s="2" t="str">
        <f t="shared" si="6"/>
        <v>LU006845.001</v>
      </c>
      <c r="K36" s="2" t="str">
        <f ca="1">IFERROR(__xludf.dummyfunction("VLOOKUP(J36, IMPORTRANGE(""https://docs.google.com/spreadsheets/d/1yDAaXNsi4Mr5FtRQL4tbmSdIzhx6_m4wkOD7IG-k_eo/edit#gid=1336395716"", ""Science!M:N""), 2, FALSE)"),"(LU006845.001); Default - Remember")</f>
        <v>(LU006845.001); Default - Remember</v>
      </c>
      <c r="L36" s="2" t="str">
        <f t="shared" si="7"/>
        <v>LU006845.002</v>
      </c>
      <c r="M36" s="2" t="str">
        <f ca="1">IFERROR(__xludf.dummyfunction("VLOOKUP(L36, IMPORTRANGE(""https://docs.google.com/spreadsheets/d/1yDAaXNsi4Mr5FtRQL4tbmSdIzhx6_m4wkOD7IG-k_eo/edit#gid=1336395716"", ""Science!M:N""), 2, FALSE)"),"(LU006845.002); Default - Understand")</f>
        <v>(LU006845.002); Default - Understand</v>
      </c>
      <c r="N36" s="2" t="str">
        <f t="shared" si="8"/>
        <v>LU006845.003</v>
      </c>
      <c r="O36" s="2" t="str">
        <f ca="1">IFERROR(__xludf.dummyfunction("VLOOKUP(N36, IMPORTRANGE(""https://docs.google.com/spreadsheets/d/1yDAaXNsi4Mr5FtRQL4tbmSdIzhx6_m4wkOD7IG-k_eo/edit#gid=1336395716"", ""Science!M:N""), 2, FALSE)"),"(LU006845.003); Default - Apply")</f>
        <v>(LU006845.003); Default - Apply</v>
      </c>
      <c r="P36" s="2" t="str">
        <f t="shared" si="9"/>
        <v>LU006845.004</v>
      </c>
      <c r="Q36" s="17" t="str">
        <f ca="1">IFERROR(__xludf.dummyfunction("VLOOKUP(P36, IMPORTRANGE(""https://docs.google.com/spreadsheets/d/1yDAaXNsi4Mr5FtRQL4tbmSdIzhx6_m4wkOD7IG-k_eo/edit#gid=1336395716"", ""Science!M:N""), 2, FALSE)"),"(LU006845.004); Default - Analyse")</f>
        <v>(LU006845.004); Default - Analyse</v>
      </c>
      <c r="R36" s="2" t="str">
        <f t="shared" si="10"/>
        <v>LU006845.005</v>
      </c>
      <c r="S36" s="17" t="str">
        <f ca="1">IFERROR(__xludf.dummyfunction("VLOOKUP(R36, IMPORTRANGE(""https://docs.google.com/spreadsheets/d/1yDAaXNsi4Mr5FtRQL4tbmSdIzhx6_m4wkOD7IG-k_eo/edit#gid=1336395716"", ""Science!M:N""), 2, FALSE)"),"(LU006845.005); Default - Evaluate")</f>
        <v>(LU006845.005); Default - Evaluate</v>
      </c>
      <c r="T36" s="2" t="str">
        <f t="shared" si="11"/>
        <v>LU006845.006</v>
      </c>
      <c r="U36" s="17" t="str">
        <f ca="1">IFERROR(__xludf.dummyfunction("VLOOKUP(T36, IMPORTRANGE(""https://docs.google.com/spreadsheets/d/1yDAaXNsi4Mr5FtRQL4tbmSdIzhx6_m4wkOD7IG-k_eo/edit#gid=1336395716"", ""Science!M:N""), 2, FALSE)"),"(LU006845.006); Default - Create")</f>
        <v>(LU006845.006); Default - Create</v>
      </c>
      <c r="V36" s="1"/>
      <c r="W36" s="1"/>
      <c r="X36" s="1"/>
      <c r="Y36" s="1"/>
      <c r="Z36" s="1"/>
      <c r="AA36" s="1"/>
      <c r="AB36" s="1"/>
      <c r="AC36" s="1"/>
      <c r="AD36" s="1"/>
      <c r="AE36" s="1"/>
      <c r="AF36" s="1"/>
      <c r="AG36" s="1"/>
    </row>
    <row r="37" spans="1:33" ht="27.6">
      <c r="A37" s="1"/>
      <c r="B37" s="1" t="s">
        <v>29</v>
      </c>
      <c r="C37" s="1" t="s">
        <v>30</v>
      </c>
      <c r="D37" s="13">
        <v>8</v>
      </c>
      <c r="E37" s="1" t="s">
        <v>186</v>
      </c>
      <c r="F37" s="1" t="s">
        <v>283</v>
      </c>
      <c r="G37" s="14" t="s">
        <v>284</v>
      </c>
      <c r="H37" s="18" t="str">
        <f ca="1">IFERROR(__xludf.dummyfunction("IFERROR(
  VLOOKUP(G37, IMPORTRANGE(""https://docs.google.com/spreadsheets/d/14deopnvwcrKtEGCKuYXdUHJbeLDZlkiSSWWT0g7x2pM/edit#gid=849066331"", ""LU List Maths (Filter)!A:B""), 2, FALSE),
  IFERROR(
    VLOOKUP(G37, IMPORTRANGE(""https://docs.google.com/s"&amp;"preadsheets/d/14deopnvwcrKtEGCKuYXdUHJbeLDZlkiSSWWT0g7x2pM/edit#gid=849066331"", ""LU List Science (Filter)!A:B""), 2, FALSE),
    ""Not Found""
  )
)
"),"Understanding Pitch and its relation with frequency")</f>
        <v>Understanding Pitch and its relation with frequency</v>
      </c>
      <c r="I37" s="1"/>
      <c r="J37" s="2" t="str">
        <f t="shared" si="6"/>
        <v>LU006846.001</v>
      </c>
      <c r="K37" s="2" t="str">
        <f ca="1">IFERROR(__xludf.dummyfunction("VLOOKUP(J37, IMPORTRANGE(""https://docs.google.com/spreadsheets/d/1yDAaXNsi4Mr5FtRQL4tbmSdIzhx6_m4wkOD7IG-k_eo/edit#gid=1336395716"", ""Science!M:N""), 2, FALSE)"),"(LU006846.001); Default - Remember")</f>
        <v>(LU006846.001); Default - Remember</v>
      </c>
      <c r="L37" s="2" t="str">
        <f t="shared" si="7"/>
        <v>LU006846.002</v>
      </c>
      <c r="M37" s="2" t="str">
        <f ca="1">IFERROR(__xludf.dummyfunction("VLOOKUP(L37, IMPORTRANGE(""https://docs.google.com/spreadsheets/d/1yDAaXNsi4Mr5FtRQL4tbmSdIzhx6_m4wkOD7IG-k_eo/edit#gid=1336395716"", ""Science!M:N""), 2, FALSE)"),"(LU006846.002); Default - Understand")</f>
        <v>(LU006846.002); Default - Understand</v>
      </c>
      <c r="N37" s="2" t="str">
        <f t="shared" si="8"/>
        <v>LU006846.003</v>
      </c>
      <c r="O37" s="2" t="str">
        <f ca="1">IFERROR(__xludf.dummyfunction("VLOOKUP(N37, IMPORTRANGE(""https://docs.google.com/spreadsheets/d/1yDAaXNsi4Mr5FtRQL4tbmSdIzhx6_m4wkOD7IG-k_eo/edit#gid=1336395716"", ""Science!M:N""), 2, FALSE)"),"(LU006846.003); Default - Apply")</f>
        <v>(LU006846.003); Default - Apply</v>
      </c>
      <c r="P37" s="2" t="str">
        <f t="shared" si="9"/>
        <v>LU006846.004</v>
      </c>
      <c r="Q37" s="17" t="str">
        <f ca="1">IFERROR(__xludf.dummyfunction("VLOOKUP(P37, IMPORTRANGE(""https://docs.google.com/spreadsheets/d/1yDAaXNsi4Mr5FtRQL4tbmSdIzhx6_m4wkOD7IG-k_eo/edit#gid=1336395716"", ""Science!M:N""), 2, FALSE)"),"(LU006846.004); Default - Analyse")</f>
        <v>(LU006846.004); Default - Analyse</v>
      </c>
      <c r="R37" s="2" t="str">
        <f t="shared" si="10"/>
        <v>LU006846.005</v>
      </c>
      <c r="S37" s="17" t="str">
        <f ca="1">IFERROR(__xludf.dummyfunction("VLOOKUP(R37, IMPORTRANGE(""https://docs.google.com/spreadsheets/d/1yDAaXNsi4Mr5FtRQL4tbmSdIzhx6_m4wkOD7IG-k_eo/edit#gid=1336395716"", ""Science!M:N""), 2, FALSE)"),"(LU006846.005); Default - Evaluate")</f>
        <v>(LU006846.005); Default - Evaluate</v>
      </c>
      <c r="T37" s="2" t="str">
        <f t="shared" si="11"/>
        <v>LU006846.006</v>
      </c>
      <c r="U37" s="17" t="str">
        <f ca="1">IFERROR(__xludf.dummyfunction("VLOOKUP(T37, IMPORTRANGE(""https://docs.google.com/spreadsheets/d/1yDAaXNsi4Mr5FtRQL4tbmSdIzhx6_m4wkOD7IG-k_eo/edit#gid=1336395716"", ""Science!M:N""), 2, FALSE)"),"(LU006846.006); Default - Create")</f>
        <v>(LU006846.006); Default - Create</v>
      </c>
      <c r="V37" s="1"/>
      <c r="W37" s="1"/>
      <c r="X37" s="1"/>
      <c r="Y37" s="1"/>
      <c r="Z37" s="1"/>
      <c r="AA37" s="1"/>
      <c r="AB37" s="1"/>
      <c r="AC37" s="1"/>
      <c r="AD37" s="1"/>
      <c r="AE37" s="1"/>
      <c r="AF37" s="1"/>
      <c r="AG37" s="1"/>
    </row>
    <row r="38" spans="1:33" ht="27.6">
      <c r="A38" s="1"/>
      <c r="B38" s="1" t="s">
        <v>29</v>
      </c>
      <c r="C38" s="1" t="s">
        <v>30</v>
      </c>
      <c r="D38" s="13">
        <v>8</v>
      </c>
      <c r="E38" s="1" t="s">
        <v>186</v>
      </c>
      <c r="F38" s="1" t="s">
        <v>283</v>
      </c>
      <c r="G38" s="14" t="s">
        <v>285</v>
      </c>
      <c r="H38" s="18" t="str">
        <f ca="1">IFERROR(__xludf.dummyfunction("IFERROR(
  VLOOKUP(G38, IMPORTRANGE(""https://docs.google.com/spreadsheets/d/14deopnvwcrKtEGCKuYXdUHJbeLDZlkiSSWWT0g7x2pM/edit#gid=849066331"", ""LU List Maths (Filter)!A:B""), 2, FALSE),
  IFERROR(
    VLOOKUP(G38, IMPORTRANGE(""https://docs.google.com/s"&amp;"preadsheets/d/14deopnvwcrKtEGCKuYXdUHJbeLDZlkiSSWWT0g7x2pM/edit#gid=849066331"", ""LU List Science (Filter)!A:B""), 2, FALSE),
    ""Not Found""
  )
)
"),"Working of musical instruments in relation to pitch")</f>
        <v>Working of musical instruments in relation to pitch</v>
      </c>
      <c r="I38" s="1"/>
      <c r="J38" s="2" t="str">
        <f t="shared" si="6"/>
        <v>LU006847.001</v>
      </c>
      <c r="K38" s="2" t="str">
        <f ca="1">IFERROR(__xludf.dummyfunction("VLOOKUP(J38, IMPORTRANGE(""https://docs.google.com/spreadsheets/d/1yDAaXNsi4Mr5FtRQL4tbmSdIzhx6_m4wkOD7IG-k_eo/edit#gid=1336395716"", ""Science!M:N""), 2, FALSE)"),"(LU006847.001); Default - Remember")</f>
        <v>(LU006847.001); Default - Remember</v>
      </c>
      <c r="L38" s="2" t="str">
        <f t="shared" si="7"/>
        <v>LU006847.002</v>
      </c>
      <c r="M38" s="2" t="str">
        <f ca="1">IFERROR(__xludf.dummyfunction("VLOOKUP(L38, IMPORTRANGE(""https://docs.google.com/spreadsheets/d/1yDAaXNsi4Mr5FtRQL4tbmSdIzhx6_m4wkOD7IG-k_eo/edit#gid=1336395716"", ""Science!M:N""), 2, FALSE)"),"(LU006847.002); Default - Understand")</f>
        <v>(LU006847.002); Default - Understand</v>
      </c>
      <c r="N38" s="2" t="str">
        <f t="shared" si="8"/>
        <v>LU006847.003</v>
      </c>
      <c r="O38" s="2" t="str">
        <f ca="1">IFERROR(__xludf.dummyfunction("VLOOKUP(N38, IMPORTRANGE(""https://docs.google.com/spreadsheets/d/1yDAaXNsi4Mr5FtRQL4tbmSdIzhx6_m4wkOD7IG-k_eo/edit#gid=1336395716"", ""Science!M:N""), 2, FALSE)"),"(LU006847.003); Default - Apply")</f>
        <v>(LU006847.003); Default - Apply</v>
      </c>
      <c r="P38" s="2" t="str">
        <f t="shared" si="9"/>
        <v>LU006847.004</v>
      </c>
      <c r="Q38" s="17" t="str">
        <f ca="1">IFERROR(__xludf.dummyfunction("VLOOKUP(P38, IMPORTRANGE(""https://docs.google.com/spreadsheets/d/1yDAaXNsi4Mr5FtRQL4tbmSdIzhx6_m4wkOD7IG-k_eo/edit#gid=1336395716"", ""Science!M:N""), 2, FALSE)"),"(LU006847.004); Default - Analyse")</f>
        <v>(LU006847.004); Default - Analyse</v>
      </c>
      <c r="R38" s="2" t="str">
        <f t="shared" si="10"/>
        <v>LU006847.005</v>
      </c>
      <c r="S38" s="17" t="str">
        <f ca="1">IFERROR(__xludf.dummyfunction("VLOOKUP(R38, IMPORTRANGE(""https://docs.google.com/spreadsheets/d/1yDAaXNsi4Mr5FtRQL4tbmSdIzhx6_m4wkOD7IG-k_eo/edit#gid=1336395716"", ""Science!M:N""), 2, FALSE)"),"(LU006847.005); Default - Evaluate")</f>
        <v>(LU006847.005); Default - Evaluate</v>
      </c>
      <c r="T38" s="2" t="str">
        <f t="shared" si="11"/>
        <v>LU006847.006</v>
      </c>
      <c r="U38" s="17" t="str">
        <f ca="1">IFERROR(__xludf.dummyfunction("VLOOKUP(T38, IMPORTRANGE(""https://docs.google.com/spreadsheets/d/1yDAaXNsi4Mr5FtRQL4tbmSdIzhx6_m4wkOD7IG-k_eo/edit#gid=1336395716"", ""Science!M:N""), 2, FALSE)"),"(LU006847.006); Default - Create")</f>
        <v>(LU006847.006); Default - Create</v>
      </c>
      <c r="V38" s="1"/>
      <c r="W38" s="1"/>
      <c r="X38" s="1"/>
      <c r="Y38" s="1"/>
      <c r="Z38" s="1"/>
      <c r="AA38" s="1"/>
      <c r="AB38" s="1"/>
      <c r="AC38" s="1"/>
      <c r="AD38" s="1"/>
      <c r="AE38" s="1"/>
      <c r="AF38" s="1"/>
      <c r="AG38" s="1"/>
    </row>
    <row r="39" spans="1:33" ht="27.6">
      <c r="A39" s="1"/>
      <c r="B39" s="1" t="s">
        <v>29</v>
      </c>
      <c r="C39" s="1" t="s">
        <v>30</v>
      </c>
      <c r="D39" s="13">
        <v>8</v>
      </c>
      <c r="E39" s="1" t="s">
        <v>186</v>
      </c>
      <c r="F39" s="1" t="s">
        <v>283</v>
      </c>
      <c r="G39" s="14" t="s">
        <v>286</v>
      </c>
      <c r="H39" s="18" t="str">
        <f ca="1">IFERROR(__xludf.dummyfunction("IFERROR(
  VLOOKUP(G39, IMPORTRANGE(""https://docs.google.com/spreadsheets/d/14deopnvwcrKtEGCKuYXdUHJbeLDZlkiSSWWT0g7x2pM/edit#gid=849066331"", ""LU List Maths (Filter)!A:B""), 2, FALSE),
  IFERROR(
    VLOOKUP(G39, IMPORTRANGE(""https://docs.google.com/s"&amp;"preadsheets/d/14deopnvwcrKtEGCKuYXdUHJbeLDZlkiSSWWT0g7x2pM/edit#gid=849066331"", ""LU List Science (Filter)!A:B""), 2, FALSE),
    ""Not Found""
  )
)
"),"Demonstration of Monotone Sound")</f>
        <v>Demonstration of Monotone Sound</v>
      </c>
      <c r="I39" s="1"/>
      <c r="J39" s="2" t="str">
        <f t="shared" si="6"/>
        <v>LU006848.001</v>
      </c>
      <c r="K39" s="2" t="str">
        <f ca="1">IFERROR(__xludf.dummyfunction("VLOOKUP(J39, IMPORTRANGE(""https://docs.google.com/spreadsheets/d/1yDAaXNsi4Mr5FtRQL4tbmSdIzhx6_m4wkOD7IG-k_eo/edit#gid=1336395716"", ""Science!M:N""), 2, FALSE)"),"(LU006848.001); Default - Remember")</f>
        <v>(LU006848.001); Default - Remember</v>
      </c>
      <c r="L39" s="2" t="str">
        <f t="shared" si="7"/>
        <v>LU006848.002</v>
      </c>
      <c r="M39" s="2" t="str">
        <f ca="1">IFERROR(__xludf.dummyfunction("VLOOKUP(L39, IMPORTRANGE(""https://docs.google.com/spreadsheets/d/1yDAaXNsi4Mr5FtRQL4tbmSdIzhx6_m4wkOD7IG-k_eo/edit#gid=1336395716"", ""Science!M:N""), 2, FALSE)"),"(LU006848.002); Default - Understand")</f>
        <v>(LU006848.002); Default - Understand</v>
      </c>
      <c r="N39" s="2" t="str">
        <f t="shared" si="8"/>
        <v>LU006848.003</v>
      </c>
      <c r="O39" s="2" t="str">
        <f ca="1">IFERROR(__xludf.dummyfunction("VLOOKUP(N39, IMPORTRANGE(""https://docs.google.com/spreadsheets/d/1yDAaXNsi4Mr5FtRQL4tbmSdIzhx6_m4wkOD7IG-k_eo/edit#gid=1336395716"", ""Science!M:N""), 2, FALSE)"),"(LU006848.003); Default - Apply")</f>
        <v>(LU006848.003); Default - Apply</v>
      </c>
      <c r="P39" s="2" t="str">
        <f t="shared" si="9"/>
        <v>LU006848.004</v>
      </c>
      <c r="Q39" s="17" t="str">
        <f ca="1">IFERROR(__xludf.dummyfunction("VLOOKUP(P39, IMPORTRANGE(""https://docs.google.com/spreadsheets/d/1yDAaXNsi4Mr5FtRQL4tbmSdIzhx6_m4wkOD7IG-k_eo/edit#gid=1336395716"", ""Science!M:N""), 2, FALSE)"),"(LU006848.004); Default - Analyse")</f>
        <v>(LU006848.004); Default - Analyse</v>
      </c>
      <c r="R39" s="2" t="str">
        <f t="shared" si="10"/>
        <v>LU006848.005</v>
      </c>
      <c r="S39" s="17" t="str">
        <f ca="1">IFERROR(__xludf.dummyfunction("VLOOKUP(R39, IMPORTRANGE(""https://docs.google.com/spreadsheets/d/1yDAaXNsi4Mr5FtRQL4tbmSdIzhx6_m4wkOD7IG-k_eo/edit#gid=1336395716"", ""Science!M:N""), 2, FALSE)"),"(LU006848.005); Default - Evaluate")</f>
        <v>(LU006848.005); Default - Evaluate</v>
      </c>
      <c r="T39" s="2" t="str">
        <f t="shared" si="11"/>
        <v>LU006848.006</v>
      </c>
      <c r="U39" s="17" t="str">
        <f ca="1">IFERROR(__xludf.dummyfunction("VLOOKUP(T39, IMPORTRANGE(""https://docs.google.com/spreadsheets/d/1yDAaXNsi4Mr5FtRQL4tbmSdIzhx6_m4wkOD7IG-k_eo/edit#gid=1336395716"", ""Science!M:N""), 2, FALSE)"),"(LU006848.006); Default - Create")</f>
        <v>(LU006848.006); Default - Create</v>
      </c>
      <c r="V39" s="1"/>
      <c r="W39" s="1"/>
      <c r="X39" s="1"/>
      <c r="Y39" s="1"/>
      <c r="Z39" s="1"/>
      <c r="AA39" s="1"/>
      <c r="AB39" s="1"/>
      <c r="AC39" s="1"/>
      <c r="AD39" s="1"/>
      <c r="AE39" s="1"/>
      <c r="AF39" s="1"/>
      <c r="AG39" s="1"/>
    </row>
    <row r="40" spans="1:33" ht="27.6">
      <c r="A40" s="1"/>
      <c r="B40" s="1" t="s">
        <v>29</v>
      </c>
      <c r="C40" s="1" t="s">
        <v>30</v>
      </c>
      <c r="D40" s="13">
        <v>8</v>
      </c>
      <c r="E40" s="1" t="s">
        <v>186</v>
      </c>
      <c r="F40" s="1" t="s">
        <v>287</v>
      </c>
      <c r="G40" s="14" t="s">
        <v>288</v>
      </c>
      <c r="H40" s="18" t="str">
        <f ca="1">IFERROR(__xludf.dummyfunction("IFERROR(
  VLOOKUP(G40, IMPORTRANGE(""https://docs.google.com/spreadsheets/d/14deopnvwcrKtEGCKuYXdUHJbeLDZlkiSSWWT0g7x2pM/edit#gid=849066331"", ""LU List Maths (Filter)!A:B""), 2, FALSE),
  IFERROR(
    VLOOKUP(G40, IMPORTRANGE(""https://docs.google.com/s"&amp;"preadsheets/d/14deopnvwcrKtEGCKuYXdUHJbeLDZlkiSSWWT0g7x2pM/edit#gid=849066331"", ""LU List Science (Filter)!A:B""), 2, FALSE),
    ""Not Found""
  )
)
"),"Understanding Loudness and its relationship with Amplitude")</f>
        <v>Understanding Loudness and its relationship with Amplitude</v>
      </c>
      <c r="I40" s="1"/>
      <c r="J40" s="2" t="str">
        <f t="shared" si="6"/>
        <v>LU006849.001</v>
      </c>
      <c r="K40" s="2" t="str">
        <f ca="1">IFERROR(__xludf.dummyfunction("VLOOKUP(J40, IMPORTRANGE(""https://docs.google.com/spreadsheets/d/1yDAaXNsi4Mr5FtRQL4tbmSdIzhx6_m4wkOD7IG-k_eo/edit#gid=1336395716"", ""Science!M:N""), 2, FALSE)"),"(LU006849.001); Default - Remember")</f>
        <v>(LU006849.001); Default - Remember</v>
      </c>
      <c r="L40" s="2" t="str">
        <f t="shared" si="7"/>
        <v>LU006849.002</v>
      </c>
      <c r="M40" s="2" t="str">
        <f ca="1">IFERROR(__xludf.dummyfunction("VLOOKUP(L40, IMPORTRANGE(""https://docs.google.com/spreadsheets/d/1yDAaXNsi4Mr5FtRQL4tbmSdIzhx6_m4wkOD7IG-k_eo/edit#gid=1336395716"", ""Science!M:N""), 2, FALSE)"),"(LU006849.002); Default - Understand")</f>
        <v>(LU006849.002); Default - Understand</v>
      </c>
      <c r="N40" s="2" t="str">
        <f t="shared" si="8"/>
        <v>LU006849.003</v>
      </c>
      <c r="O40" s="2" t="str">
        <f ca="1">IFERROR(__xludf.dummyfunction("VLOOKUP(N40, IMPORTRANGE(""https://docs.google.com/spreadsheets/d/1yDAaXNsi4Mr5FtRQL4tbmSdIzhx6_m4wkOD7IG-k_eo/edit#gid=1336395716"", ""Science!M:N""), 2, FALSE)"),"(LU006849.003); Default - Apply")</f>
        <v>(LU006849.003); Default - Apply</v>
      </c>
      <c r="P40" s="2" t="str">
        <f t="shared" si="9"/>
        <v>LU006849.004</v>
      </c>
      <c r="Q40" s="17" t="str">
        <f ca="1">IFERROR(__xludf.dummyfunction("VLOOKUP(P40, IMPORTRANGE(""https://docs.google.com/spreadsheets/d/1yDAaXNsi4Mr5FtRQL4tbmSdIzhx6_m4wkOD7IG-k_eo/edit#gid=1336395716"", ""Science!M:N""), 2, FALSE)"),"(LU006849.004); Default - Analyse")</f>
        <v>(LU006849.004); Default - Analyse</v>
      </c>
      <c r="R40" s="2" t="str">
        <f t="shared" si="10"/>
        <v>LU006849.005</v>
      </c>
      <c r="S40" s="17" t="str">
        <f ca="1">IFERROR(__xludf.dummyfunction("VLOOKUP(R40, IMPORTRANGE(""https://docs.google.com/spreadsheets/d/1yDAaXNsi4Mr5FtRQL4tbmSdIzhx6_m4wkOD7IG-k_eo/edit#gid=1336395716"", ""Science!M:N""), 2, FALSE)"),"(LU006849.005); Default - Evaluate")</f>
        <v>(LU006849.005); Default - Evaluate</v>
      </c>
      <c r="T40" s="2" t="str">
        <f t="shared" si="11"/>
        <v>LU006849.006</v>
      </c>
      <c r="U40" s="17" t="str">
        <f ca="1">IFERROR(__xludf.dummyfunction("VLOOKUP(T40, IMPORTRANGE(""https://docs.google.com/spreadsheets/d/1yDAaXNsi4Mr5FtRQL4tbmSdIzhx6_m4wkOD7IG-k_eo/edit#gid=1336395716"", ""Science!M:N""), 2, FALSE)"),"(LU006849.006); Default - Create")</f>
        <v>(LU006849.006); Default - Create</v>
      </c>
      <c r="V40" s="1"/>
      <c r="W40" s="1"/>
      <c r="X40" s="1"/>
      <c r="Y40" s="1"/>
      <c r="Z40" s="1"/>
      <c r="AA40" s="1"/>
      <c r="AB40" s="1"/>
      <c r="AC40" s="1"/>
      <c r="AD40" s="1"/>
      <c r="AE40" s="1"/>
      <c r="AF40" s="1"/>
      <c r="AG40" s="1"/>
    </row>
    <row r="41" spans="1:33" ht="27.6">
      <c r="A41" s="1"/>
      <c r="B41" s="1" t="s">
        <v>29</v>
      </c>
      <c r="C41" s="1" t="s">
        <v>30</v>
      </c>
      <c r="D41" s="13">
        <v>8</v>
      </c>
      <c r="E41" s="1" t="s">
        <v>186</v>
      </c>
      <c r="F41" s="1" t="s">
        <v>287</v>
      </c>
      <c r="G41" s="14" t="s">
        <v>289</v>
      </c>
      <c r="H41" s="18" t="str">
        <f ca="1">IFERROR(__xludf.dummyfunction("IFERROR(
  VLOOKUP(G41, IMPORTRANGE(""https://docs.google.com/spreadsheets/d/14deopnvwcrKtEGCKuYXdUHJbeLDZlkiSSWWT0g7x2pM/edit#gid=849066331"", ""LU List Maths (Filter)!A:B""), 2, FALSE),
  IFERROR(
    VLOOKUP(G41, IMPORTRANGE(""https://docs.google.com/s"&amp;"preadsheets/d/14deopnvwcrKtEGCKuYXdUHJbeLDZlkiSSWWT0g7x2pM/edit#gid=849066331"", ""LU List Science (Filter)!A:B""), 2, FALSE),
    ""Not Found""
  )
)
"),"Unit of Loudness and Level of Loudness of Various Sound")</f>
        <v>Unit of Loudness and Level of Loudness of Various Sound</v>
      </c>
      <c r="I41" s="1"/>
      <c r="J41" s="2" t="str">
        <f t="shared" si="6"/>
        <v>LU006850.001</v>
      </c>
      <c r="K41" s="2" t="str">
        <f ca="1">IFERROR(__xludf.dummyfunction("VLOOKUP(J41, IMPORTRANGE(""https://docs.google.com/spreadsheets/d/1yDAaXNsi4Mr5FtRQL4tbmSdIzhx6_m4wkOD7IG-k_eo/edit#gid=1336395716"", ""Science!M:N""), 2, FALSE)"),"(LU006850.001); Default - Remember")</f>
        <v>(LU006850.001); Default - Remember</v>
      </c>
      <c r="L41" s="2" t="str">
        <f t="shared" si="7"/>
        <v>LU006850.002</v>
      </c>
      <c r="M41" s="2" t="str">
        <f ca="1">IFERROR(__xludf.dummyfunction("VLOOKUP(L41, IMPORTRANGE(""https://docs.google.com/spreadsheets/d/1yDAaXNsi4Mr5FtRQL4tbmSdIzhx6_m4wkOD7IG-k_eo/edit#gid=1336395716"", ""Science!M:N""), 2, FALSE)"),"(LU006850.002); Default - Understand")</f>
        <v>(LU006850.002); Default - Understand</v>
      </c>
      <c r="N41" s="2" t="str">
        <f t="shared" si="8"/>
        <v>LU006850.003</v>
      </c>
      <c r="O41" s="2" t="str">
        <f ca="1">IFERROR(__xludf.dummyfunction("VLOOKUP(N41, IMPORTRANGE(""https://docs.google.com/spreadsheets/d/1yDAaXNsi4Mr5FtRQL4tbmSdIzhx6_m4wkOD7IG-k_eo/edit#gid=1336395716"", ""Science!M:N""), 2, FALSE)"),"(LU006850.003); Default - Apply")</f>
        <v>(LU006850.003); Default - Apply</v>
      </c>
      <c r="P41" s="2" t="str">
        <f t="shared" si="9"/>
        <v>LU006850.004</v>
      </c>
      <c r="Q41" s="17" t="str">
        <f ca="1">IFERROR(__xludf.dummyfunction("VLOOKUP(P41, IMPORTRANGE(""https://docs.google.com/spreadsheets/d/1yDAaXNsi4Mr5FtRQL4tbmSdIzhx6_m4wkOD7IG-k_eo/edit#gid=1336395716"", ""Science!M:N""), 2, FALSE)"),"(LU006850.004); Default - Analyse")</f>
        <v>(LU006850.004); Default - Analyse</v>
      </c>
      <c r="R41" s="2" t="str">
        <f t="shared" si="10"/>
        <v>LU006850.005</v>
      </c>
      <c r="S41" s="17" t="str">
        <f ca="1">IFERROR(__xludf.dummyfunction("VLOOKUP(R41, IMPORTRANGE(""https://docs.google.com/spreadsheets/d/1yDAaXNsi4Mr5FtRQL4tbmSdIzhx6_m4wkOD7IG-k_eo/edit#gid=1336395716"", ""Science!M:N""), 2, FALSE)"),"(LU006850.005); Default - Evaluate")</f>
        <v>(LU006850.005); Default - Evaluate</v>
      </c>
      <c r="T41" s="2" t="str">
        <f t="shared" si="11"/>
        <v>LU006850.006</v>
      </c>
      <c r="U41" s="17" t="str">
        <f ca="1">IFERROR(__xludf.dummyfunction("VLOOKUP(T41, IMPORTRANGE(""https://docs.google.com/spreadsheets/d/1yDAaXNsi4Mr5FtRQL4tbmSdIzhx6_m4wkOD7IG-k_eo/edit#gid=1336395716"", ""Science!M:N""), 2, FALSE)"),"(LU006850.006); Default - Create")</f>
        <v>(LU006850.006); Default - Create</v>
      </c>
      <c r="V41" s="1"/>
      <c r="W41" s="1"/>
      <c r="X41" s="1"/>
      <c r="Y41" s="1"/>
      <c r="Z41" s="1"/>
      <c r="AA41" s="1"/>
      <c r="AB41" s="1"/>
      <c r="AC41" s="1"/>
      <c r="AD41" s="1"/>
      <c r="AE41" s="1"/>
      <c r="AF41" s="1"/>
      <c r="AG41" s="1"/>
    </row>
    <row r="42" spans="1:33" ht="27.6">
      <c r="A42" s="1"/>
      <c r="B42" s="1" t="s">
        <v>29</v>
      </c>
      <c r="C42" s="1" t="s">
        <v>30</v>
      </c>
      <c r="D42" s="13">
        <v>8</v>
      </c>
      <c r="E42" s="1" t="s">
        <v>290</v>
      </c>
      <c r="F42" s="1" t="s">
        <v>291</v>
      </c>
      <c r="G42" s="14" t="s">
        <v>292</v>
      </c>
      <c r="H42" s="18" t="str">
        <f ca="1">IFERROR(__xludf.dummyfunction("IFERROR(
  VLOOKUP(G42, IMPORTRANGE(""https://docs.google.com/spreadsheets/d/14deopnvwcrKtEGCKuYXdUHJbeLDZlkiSSWWT0g7x2pM/edit#gid=849066331"", ""LU List Maths (Filter)!A:B""), 2, FALSE),
  IFERROR(
    VLOOKUP(G42, IMPORTRANGE(""https://docs.google.com/s"&amp;"preadsheets/d/14deopnvwcrKtEGCKuYXdUHJbeLDZlkiSSWWT0g7x2pM/edit#gid=849066331"", ""LU List Science (Filter)!A:B""), 2, FALSE),
    ""Not Found""
  )
)
"),"Household consumption of electric energy (kilowatt hour)")</f>
        <v>Household consumption of electric energy (kilowatt hour)</v>
      </c>
      <c r="I42" s="1"/>
      <c r="J42" s="2" t="str">
        <f t="shared" si="6"/>
        <v>LU006851.001</v>
      </c>
      <c r="K42" s="2" t="str">
        <f ca="1">IFERROR(__xludf.dummyfunction("VLOOKUP(J42, IMPORTRANGE(""https://docs.google.com/spreadsheets/d/1yDAaXNsi4Mr5FtRQL4tbmSdIzhx6_m4wkOD7IG-k_eo/edit#gid=1336395716"", ""Science!M:N""), 2, FALSE)"),"(LU006851.001); Default - Remember")</f>
        <v>(LU006851.001); Default - Remember</v>
      </c>
      <c r="L42" s="2" t="str">
        <f t="shared" si="7"/>
        <v>LU006851.002</v>
      </c>
      <c r="M42" s="2" t="str">
        <f ca="1">IFERROR(__xludf.dummyfunction("VLOOKUP(L42, IMPORTRANGE(""https://docs.google.com/spreadsheets/d/1yDAaXNsi4Mr5FtRQL4tbmSdIzhx6_m4wkOD7IG-k_eo/edit#gid=1336395716"", ""Science!M:N""), 2, FALSE)"),"(LU006851.002); Default - Understand")</f>
        <v>(LU006851.002); Default - Understand</v>
      </c>
      <c r="N42" s="2" t="str">
        <f t="shared" si="8"/>
        <v>LU006851.003</v>
      </c>
      <c r="O42" s="2" t="str">
        <f ca="1">IFERROR(__xludf.dummyfunction("VLOOKUP(N42, IMPORTRANGE(""https://docs.google.com/spreadsheets/d/1yDAaXNsi4Mr5FtRQL4tbmSdIzhx6_m4wkOD7IG-k_eo/edit#gid=1336395716"", ""Science!M:N""), 2, FALSE)"),"(LU006851.003); Default - Apply")</f>
        <v>(LU006851.003); Default - Apply</v>
      </c>
      <c r="P42" s="2" t="str">
        <f t="shared" si="9"/>
        <v>LU006851.004</v>
      </c>
      <c r="Q42" s="17" t="str">
        <f ca="1">IFERROR(__xludf.dummyfunction("VLOOKUP(P42, IMPORTRANGE(""https://docs.google.com/spreadsheets/d/1yDAaXNsi4Mr5FtRQL4tbmSdIzhx6_m4wkOD7IG-k_eo/edit#gid=1336395716"", ""Science!M:N""), 2, FALSE)"),"(LU006851.004); Default - Analyse")</f>
        <v>(LU006851.004); Default - Analyse</v>
      </c>
      <c r="R42" s="2" t="str">
        <f t="shared" si="10"/>
        <v>LU006851.005</v>
      </c>
      <c r="S42" s="17" t="str">
        <f ca="1">IFERROR(__xludf.dummyfunction("VLOOKUP(R42, IMPORTRANGE(""https://docs.google.com/spreadsheets/d/1yDAaXNsi4Mr5FtRQL4tbmSdIzhx6_m4wkOD7IG-k_eo/edit#gid=1336395716"", ""Science!M:N""), 2, FALSE)"),"(LU006851.005); Default - Evaluate")</f>
        <v>(LU006851.005); Default - Evaluate</v>
      </c>
      <c r="T42" s="2" t="str">
        <f t="shared" si="11"/>
        <v>LU006851.006</v>
      </c>
      <c r="U42" s="17" t="str">
        <f ca="1">IFERROR(__xludf.dummyfunction("VLOOKUP(T42, IMPORTRANGE(""https://docs.google.com/spreadsheets/d/1yDAaXNsi4Mr5FtRQL4tbmSdIzhx6_m4wkOD7IG-k_eo/edit#gid=1336395716"", ""Science!M:N""), 2, FALSE)"),"(LU006851.006); Default - Create")</f>
        <v>(LU006851.006); Default - Create</v>
      </c>
      <c r="V42" s="1"/>
      <c r="W42" s="1"/>
      <c r="X42" s="1"/>
      <c r="Y42" s="1"/>
      <c r="Z42" s="1"/>
      <c r="AA42" s="1"/>
      <c r="AB42" s="1"/>
      <c r="AC42" s="1"/>
      <c r="AD42" s="1"/>
      <c r="AE42" s="1"/>
      <c r="AF42" s="1"/>
      <c r="AG42" s="1"/>
    </row>
    <row r="43" spans="1:33" ht="27.6">
      <c r="A43" s="1"/>
      <c r="B43" s="1" t="s">
        <v>29</v>
      </c>
      <c r="C43" s="1" t="s">
        <v>30</v>
      </c>
      <c r="D43" s="13">
        <v>8</v>
      </c>
      <c r="E43" s="1" t="s">
        <v>290</v>
      </c>
      <c r="F43" s="1" t="s">
        <v>293</v>
      </c>
      <c r="G43" s="14" t="s">
        <v>294</v>
      </c>
      <c r="H43" s="18" t="str">
        <f ca="1">IFERROR(__xludf.dummyfunction("IFERROR(
  VLOOKUP(G43, IMPORTRANGE(""https://docs.google.com/spreadsheets/d/14deopnvwcrKtEGCKuYXdUHJbeLDZlkiSSWWT0g7x2pM/edit#gid=849066331"", ""LU List Maths (Filter)!A:B""), 2, FALSE),
  IFERROR(
    VLOOKUP(G43, IMPORTRANGE(""https://docs.google.com/s"&amp;"preadsheets/d/14deopnvwcrKtEGCKuYXdUHJbeLDZlkiSSWWT0g7x2pM/edit#gid=849066331"", ""LU List Science (Filter)!A:B""), 2, FALSE),
    ""Not Found""
  )
)
"),"Identification of live, neutral and earth wires")</f>
        <v>Identification of live, neutral and earth wires</v>
      </c>
      <c r="I43" s="1"/>
      <c r="J43" s="2" t="str">
        <f t="shared" si="6"/>
        <v>LU006852.001</v>
      </c>
      <c r="K43" s="2" t="str">
        <f ca="1">IFERROR(__xludf.dummyfunction("VLOOKUP(J43, IMPORTRANGE(""https://docs.google.com/spreadsheets/d/1yDAaXNsi4Mr5FtRQL4tbmSdIzhx6_m4wkOD7IG-k_eo/edit#gid=1336395716"", ""Science!M:N""), 2, FALSE)"),"(LU006852.001); Default - Remember")</f>
        <v>(LU006852.001); Default - Remember</v>
      </c>
      <c r="L43" s="2" t="str">
        <f t="shared" si="7"/>
        <v>LU006852.002</v>
      </c>
      <c r="M43" s="2" t="str">
        <f ca="1">IFERROR(__xludf.dummyfunction("VLOOKUP(L43, IMPORTRANGE(""https://docs.google.com/spreadsheets/d/1yDAaXNsi4Mr5FtRQL4tbmSdIzhx6_m4wkOD7IG-k_eo/edit#gid=1336395716"", ""Science!M:N""), 2, FALSE)"),"(LU006852.002); Default - Understand")</f>
        <v>(LU006852.002); Default - Understand</v>
      </c>
      <c r="N43" s="2" t="str">
        <f t="shared" si="8"/>
        <v>LU006852.003</v>
      </c>
      <c r="O43" s="2" t="str">
        <f ca="1">IFERROR(__xludf.dummyfunction("VLOOKUP(N43, IMPORTRANGE(""https://docs.google.com/spreadsheets/d/1yDAaXNsi4Mr5FtRQL4tbmSdIzhx6_m4wkOD7IG-k_eo/edit#gid=1336395716"", ""Science!M:N""), 2, FALSE)"),"(LU006852.003); Default - Apply")</f>
        <v>(LU006852.003); Default - Apply</v>
      </c>
      <c r="P43" s="2" t="str">
        <f t="shared" si="9"/>
        <v>LU006852.004</v>
      </c>
      <c r="Q43" s="17" t="str">
        <f ca="1">IFERROR(__xludf.dummyfunction("VLOOKUP(P43, IMPORTRANGE(""https://docs.google.com/spreadsheets/d/1yDAaXNsi4Mr5FtRQL4tbmSdIzhx6_m4wkOD7IG-k_eo/edit#gid=1336395716"", ""Science!M:N""), 2, FALSE)"),"(LU006852.004); Default - Analyse")</f>
        <v>(LU006852.004); Default - Analyse</v>
      </c>
      <c r="R43" s="2" t="str">
        <f t="shared" si="10"/>
        <v>LU006852.005</v>
      </c>
      <c r="S43" s="17" t="str">
        <f ca="1">IFERROR(__xludf.dummyfunction("VLOOKUP(R43, IMPORTRANGE(""https://docs.google.com/spreadsheets/d/1yDAaXNsi4Mr5FtRQL4tbmSdIzhx6_m4wkOD7IG-k_eo/edit#gid=1336395716"", ""Science!M:N""), 2, FALSE)"),"(LU006852.005); Default - Evaluate")</f>
        <v>(LU006852.005); Default - Evaluate</v>
      </c>
      <c r="T43" s="2" t="str">
        <f t="shared" si="11"/>
        <v>LU006852.006</v>
      </c>
      <c r="U43" s="17" t="str">
        <f ca="1">IFERROR(__xludf.dummyfunction("VLOOKUP(T43, IMPORTRANGE(""https://docs.google.com/spreadsheets/d/1yDAaXNsi4Mr5FtRQL4tbmSdIzhx6_m4wkOD7IG-k_eo/edit#gid=1336395716"", ""Science!M:N""), 2, FALSE)"),"(LU006852.006); Default - Create")</f>
        <v>(LU006852.006); Default - Create</v>
      </c>
      <c r="V43" s="1"/>
      <c r="W43" s="1"/>
      <c r="X43" s="1"/>
      <c r="Y43" s="1"/>
      <c r="Z43" s="1"/>
      <c r="AA43" s="1"/>
      <c r="AB43" s="1"/>
      <c r="AC43" s="1"/>
      <c r="AD43" s="1"/>
      <c r="AE43" s="1"/>
      <c r="AF43" s="1"/>
      <c r="AG43" s="1"/>
    </row>
    <row r="44" spans="1:33" ht="41.4">
      <c r="A44" s="1"/>
      <c r="B44" s="1" t="s">
        <v>29</v>
      </c>
      <c r="C44" s="1" t="s">
        <v>30</v>
      </c>
      <c r="D44" s="13">
        <v>8</v>
      </c>
      <c r="E44" s="1" t="s">
        <v>290</v>
      </c>
      <c r="F44" s="1" t="s">
        <v>295</v>
      </c>
      <c r="G44" s="1" t="s">
        <v>296</v>
      </c>
      <c r="H44" s="18" t="str">
        <f ca="1">IFERROR(__xludf.dummyfunction("IFERROR(
  VLOOKUP(G44, IMPORTRANGE(""https://docs.google.com/spreadsheets/d/14deopnvwcrKtEGCKuYXdUHJbeLDZlkiSSWWT0g7x2pM/edit#gid=849066331"", ""LU List Maths (Filter)!A:B""), 2, FALSE),
  IFERROR(
    VLOOKUP(G44, IMPORTRANGE(""https://docs.google.com/s"&amp;"preadsheets/d/14deopnvwcrKtEGCKuYXdUHJbeLDZlkiSSWWT0g7x2pM/edit#gid=849066331"", ""LU List Science (Filter)!A:B""), 2, FALSE),
    ""Not Found""
  )
)
"),"Working principle and purpose of Electric fuse and MCB")</f>
        <v>Working principle and purpose of Electric fuse and MCB</v>
      </c>
      <c r="I44" s="1"/>
      <c r="J44" s="2" t="str">
        <f t="shared" si="6"/>
        <v>LU005350.001</v>
      </c>
      <c r="K44" s="2" t="str">
        <f ca="1">IFERROR(__xludf.dummyfunction("VLOOKUP(J44, IMPORTRANGE(""https://docs.google.com/spreadsheets/d/1yDAaXNsi4Mr5FtRQL4tbmSdIzhx6_m4wkOD7IG-k_eo/edit#gid=1336395716"", ""Science!M:N""), 2, FALSE)"),"Define an electric fuse and an MCB.")</f>
        <v>Define an electric fuse and an MCB.</v>
      </c>
      <c r="L44" s="2" t="str">
        <f t="shared" si="7"/>
        <v>LU005350.002</v>
      </c>
      <c r="M44" s="2" t="str">
        <f ca="1">IFERROR(__xludf.dummyfunction("VLOOKUP(L44, IMPORTRANGE(""https://docs.google.com/spreadsheets/d/1yDAaXNsi4Mr5FtRQL4tbmSdIzhx6_m4wkOD7IG-k_eo/edit#gid=1336395716"", ""Science!M:N""), 2, FALSE)"),"Explain how an electric fuse and an MCB protect electrical circuits from short circuits/overloading.")</f>
        <v>Explain how an electric fuse and an MCB protect electrical circuits from short circuits/overloading.</v>
      </c>
      <c r="N44" s="2" t="str">
        <f t="shared" si="8"/>
        <v>LU005350.003</v>
      </c>
      <c r="O44" s="2" t="str">
        <f ca="1">IFERROR(__xludf.dummyfunction("VLOOKUP(N44, IMPORTRANGE(""https://docs.google.com/spreadsheets/d/1yDAaXNsi4Mr5FtRQL4tbmSdIzhx6_m4wkOD7IG-k_eo/edit#gid=1336395716"", ""Science!M:N""), 2, FALSE)"),"""Demonstrate how to correctly install an electric fuse and an MCB in a simple electric circuit""")</f>
        <v>"Demonstrate how to correctly install an electric fuse and an MCB in a simple electric circuit"</v>
      </c>
      <c r="P44" s="2" t="str">
        <f t="shared" si="9"/>
        <v>LU005350.004</v>
      </c>
      <c r="Q44" s="17" t="str">
        <f ca="1">IFERROR(__xludf.dummyfunction("VLOOKUP(P44, IMPORTRANGE(""https://docs.google.com/spreadsheets/d/1yDAaXNsi4Mr5FtRQL4tbmSdIzhx6_m4wkOD7IG-k_eo/edit#gid=1336395716"", ""Science!M:N""), 2, FALSE)"),"Analyze the advantages of using MCBs over traditional fuses in terms of safety and convenience.")</f>
        <v>Analyze the advantages of using MCBs over traditional fuses in terms of safety and convenience.</v>
      </c>
      <c r="R44" s="2" t="str">
        <f t="shared" si="10"/>
        <v>LU005350.005</v>
      </c>
      <c r="S44" s="17" t="str">
        <f ca="1">IFERROR(__xludf.dummyfunction("VLOOKUP(R44, IMPORTRANGE(""https://docs.google.com/spreadsheets/d/1yDAaXNsi4Mr5FtRQL4tbmSdIzhx6_m4wkOD7IG-k_eo/edit#gid=1336395716"", ""Science!M:N""), 2, FALSE)"),"Evaluate the significance of having the ISI (Indian Standards Institute) mark on electrical safety devices like fuses and MCBs.")</f>
        <v>Evaluate the significance of having the ISI (Indian Standards Institute) mark on electrical safety devices like fuses and MCBs.</v>
      </c>
      <c r="T44" s="2" t="str">
        <f t="shared" si="11"/>
        <v>LU005350.006</v>
      </c>
      <c r="U44" s="17" t="str">
        <f ca="1">IFERROR(__xludf.dummyfunction("VLOOKUP(T44, IMPORTRANGE(""https://docs.google.com/spreadsheets/d/1yDAaXNsi4Mr5FtRQL4tbmSdIzhx6_m4wkOD7IG-k_eo/edit#gid=1336395716"", ""Science!M:N""), 2, FALSE)"),"Design a circuit to illustrate how a electric fuse works. ")</f>
        <v xml:space="preserve">Design a circuit to illustrate how a electric fuse works. </v>
      </c>
      <c r="V44" s="1"/>
      <c r="W44" s="1"/>
      <c r="X44" s="1"/>
      <c r="Y44" s="1"/>
      <c r="Z44" s="1"/>
      <c r="AA44" s="1"/>
      <c r="AB44" s="1"/>
      <c r="AC44" s="1"/>
      <c r="AD44" s="1"/>
      <c r="AE44" s="1"/>
      <c r="AF44" s="1"/>
      <c r="AG44" s="1"/>
    </row>
    <row r="45" spans="1:33" ht="27.6">
      <c r="A45" s="1"/>
      <c r="B45" s="1" t="s">
        <v>29</v>
      </c>
      <c r="C45" s="1" t="s">
        <v>30</v>
      </c>
      <c r="D45" s="13">
        <v>8</v>
      </c>
      <c r="E45" s="1" t="s">
        <v>290</v>
      </c>
      <c r="F45" s="1" t="s">
        <v>295</v>
      </c>
      <c r="G45" s="1" t="s">
        <v>297</v>
      </c>
      <c r="H45" s="18" t="str">
        <f ca="1">IFERROR(__xludf.dummyfunction("IFERROR(
  VLOOKUP(G45, IMPORTRANGE(""https://docs.google.com/spreadsheets/d/14deopnvwcrKtEGCKuYXdUHJbeLDZlkiSSWWT0g7x2pM/edit#gid=849066331"", ""LU List Maths (Filter)!A:B""), 2, FALSE),
  IFERROR(
    VLOOKUP(G45, IMPORTRANGE(""https://docs.google.com/s"&amp;"preadsheets/d/14deopnvwcrKtEGCKuYXdUHJbeLDZlkiSSWWT0g7x2pM/edit#gid=849066331"", ""LU List Science (Filter)!A:B""), 2, FALSE),
    ""Not Found""
  )
)
"),"Importance of Earthing in Electrical Systems")</f>
        <v>Importance of Earthing in Electrical Systems</v>
      </c>
      <c r="I45" s="1"/>
      <c r="J45" s="2" t="str">
        <f t="shared" si="6"/>
        <v>LU005519.001</v>
      </c>
      <c r="K45" s="2" t="str">
        <f ca="1">IFERROR(__xludf.dummyfunction("VLOOKUP(J45, IMPORTRANGE(""https://docs.google.com/spreadsheets/d/1yDAaXNsi4Mr5FtRQL4tbmSdIzhx6_m4wkOD7IG-k_eo/edit#gid=1336395716"", ""Science!M:N""), 2, FALSE)"),"Define the concept of earthing in electrical systems.")</f>
        <v>Define the concept of earthing in electrical systems.</v>
      </c>
      <c r="L45" s="2" t="str">
        <f t="shared" si="7"/>
        <v>LU005519.002</v>
      </c>
      <c r="M45" s="2" t="str">
        <f ca="1">IFERROR(__xludf.dummyfunction("VLOOKUP(L45, IMPORTRANGE(""https://docs.google.com/spreadsheets/d/1yDAaXNsi4Mr5FtRQL4tbmSdIzhx6_m4wkOD7IG-k_eo/edit#gid=1336395716"", ""Science!M:N""), 2, FALSE)"),"Describe how earthing ensures safety by preventing electrical overloads.")</f>
        <v>Describe how earthing ensures safety by preventing electrical overloads.</v>
      </c>
      <c r="N45" s="2" t="str">
        <f t="shared" si="8"/>
        <v>LU005519.003</v>
      </c>
      <c r="O45" s="2" t="str">
        <f ca="1">IFERROR(__xludf.dummyfunction("VLOOKUP(N45, IMPORTRANGE(""https://docs.google.com/spreadsheets/d/1yDAaXNsi4Mr5FtRQL4tbmSdIzhx6_m4wkOD7IG-k_eo/edit#gid=1336395716"", ""Science!M:N""), 2, FALSE)"),"Apply knowledge of earthing to protect against electrical shocks and fires.")</f>
        <v>Apply knowledge of earthing to protect against electrical shocks and fires.</v>
      </c>
      <c r="P45" s="2" t="str">
        <f t="shared" si="9"/>
        <v>LU005519.004</v>
      </c>
      <c r="Q45" s="17" t="str">
        <f ca="1">IFERROR(__xludf.dummyfunction("VLOOKUP(P45, IMPORTRANGE(""https://docs.google.com/spreadsheets/d/1yDAaXNsi4Mr5FtRQL4tbmSdIzhx6_m4wkOD7IG-k_eo/edit#gid=1336395716"", ""Science!M:N""), 2, FALSE)"),"Analyze the consequences of inadequate or faulty earthing in electrical installations.")</f>
        <v>Analyze the consequences of inadequate or faulty earthing in electrical installations.</v>
      </c>
      <c r="R45" s="2" t="str">
        <f t="shared" si="10"/>
        <v>LU005519.005</v>
      </c>
      <c r="S45" s="17" t="str">
        <f ca="1">IFERROR(__xludf.dummyfunction("VLOOKUP(R45, IMPORTRANGE(""https://docs.google.com/spreadsheets/d/1yDAaXNsi4Mr5FtRQL4tbmSdIzhx6_m4wkOD7IG-k_eo/edit#gid=1336395716"", ""Science!M:N""), 2, FALSE)"),"Evaluate the importance of earthing in residential, industrial, and power distribution systems.")</f>
        <v>Evaluate the importance of earthing in residential, industrial, and power distribution systems.</v>
      </c>
      <c r="T45" s="2" t="str">
        <f t="shared" si="11"/>
        <v>LU005519.006</v>
      </c>
      <c r="U45" s="17" t="str">
        <f ca="1">IFERROR(__xludf.dummyfunction("VLOOKUP(T45, IMPORTRANGE(""https://docs.google.com/spreadsheets/d/1yDAaXNsi4Mr5FtRQL4tbmSdIzhx6_m4wkOD7IG-k_eo/edit#gid=1336395716"", ""Science!M:N""), 2, FALSE)"),"#N/A")</f>
        <v>#N/A</v>
      </c>
      <c r="V45" s="1"/>
      <c r="W45" s="1"/>
      <c r="X45" s="1"/>
      <c r="Y45" s="1"/>
      <c r="Z45" s="1"/>
      <c r="AA45" s="1"/>
      <c r="AB45" s="1"/>
      <c r="AC45" s="1"/>
      <c r="AD45" s="1"/>
      <c r="AE45" s="1"/>
      <c r="AF45" s="1"/>
      <c r="AG45" s="1"/>
    </row>
    <row r="46" spans="1:33" ht="13.8">
      <c r="A46" s="1"/>
      <c r="B46" s="1" t="s">
        <v>29</v>
      </c>
      <c r="C46" s="1" t="s">
        <v>30</v>
      </c>
      <c r="D46" s="13">
        <v>8</v>
      </c>
      <c r="E46" s="1" t="s">
        <v>290</v>
      </c>
      <c r="F46" s="1" t="s">
        <v>298</v>
      </c>
      <c r="G46" s="14" t="s">
        <v>299</v>
      </c>
      <c r="H46" s="18" t="str">
        <f ca="1">IFERROR(__xludf.dummyfunction("IFERROR(
  VLOOKUP(G46, IMPORTRANGE(""https://docs.google.com/spreadsheets/d/14deopnvwcrKtEGCKuYXdUHJbeLDZlkiSSWWT0g7x2pM/edit#gid=849066331"", ""LU List Maths (Filter)!A:B""), 2, FALSE),
  IFERROR(
    VLOOKUP(G46, IMPORTRANGE(""https://docs.google.com/s"&amp;"preadsheets/d/14deopnvwcrKtEGCKuYXdUHJbeLDZlkiSSWWT0g7x2pM/edit#gid=849066331"", ""LU List Science (Filter)!A:B""), 2, FALSE),
    ""Not Found""
  )
)
"),"Conservation of Charges")</f>
        <v>Conservation of Charges</v>
      </c>
      <c r="I46" s="1"/>
      <c r="J46" s="2" t="str">
        <f t="shared" si="6"/>
        <v>LU006853.001</v>
      </c>
      <c r="K46" s="2" t="str">
        <f ca="1">IFERROR(__xludf.dummyfunction("VLOOKUP(J46, IMPORTRANGE(""https://docs.google.com/spreadsheets/d/1yDAaXNsi4Mr5FtRQL4tbmSdIzhx6_m4wkOD7IG-k_eo/edit#gid=1336395716"", ""Science!M:N""), 2, FALSE)"),"(LU006853.001); Default - Remember")</f>
        <v>(LU006853.001); Default - Remember</v>
      </c>
      <c r="L46" s="2" t="str">
        <f t="shared" si="7"/>
        <v>LU006853.002</v>
      </c>
      <c r="M46" s="2" t="str">
        <f ca="1">IFERROR(__xludf.dummyfunction("VLOOKUP(L46, IMPORTRANGE(""https://docs.google.com/spreadsheets/d/1yDAaXNsi4Mr5FtRQL4tbmSdIzhx6_m4wkOD7IG-k_eo/edit#gid=1336395716"", ""Science!M:N""), 2, FALSE)"),"(LU006853.002); Default - Understand")</f>
        <v>(LU006853.002); Default - Understand</v>
      </c>
      <c r="N46" s="2" t="str">
        <f t="shared" si="8"/>
        <v>LU006853.003</v>
      </c>
      <c r="O46" s="2" t="str">
        <f ca="1">IFERROR(__xludf.dummyfunction("VLOOKUP(N46, IMPORTRANGE(""https://docs.google.com/spreadsheets/d/1yDAaXNsi4Mr5FtRQL4tbmSdIzhx6_m4wkOD7IG-k_eo/edit#gid=1336395716"", ""Science!M:N""), 2, FALSE)"),"(LU006853.003); Default - Apply")</f>
        <v>(LU006853.003); Default - Apply</v>
      </c>
      <c r="P46" s="2" t="str">
        <f t="shared" si="9"/>
        <v>LU006853.004</v>
      </c>
      <c r="Q46" s="17" t="str">
        <f ca="1">IFERROR(__xludf.dummyfunction("VLOOKUP(P46, IMPORTRANGE(""https://docs.google.com/spreadsheets/d/1yDAaXNsi4Mr5FtRQL4tbmSdIzhx6_m4wkOD7IG-k_eo/edit#gid=1336395716"", ""Science!M:N""), 2, FALSE)"),"(LU006853.004); Default - Analyse")</f>
        <v>(LU006853.004); Default - Analyse</v>
      </c>
      <c r="R46" s="2" t="str">
        <f t="shared" si="10"/>
        <v>LU006853.005</v>
      </c>
      <c r="S46" s="17" t="str">
        <f ca="1">IFERROR(__xludf.dummyfunction("VLOOKUP(R46, IMPORTRANGE(""https://docs.google.com/spreadsheets/d/1yDAaXNsi4Mr5FtRQL4tbmSdIzhx6_m4wkOD7IG-k_eo/edit#gid=1336395716"", ""Science!M:N""), 2, FALSE)"),"(LU006853.005); Default - Evaluate")</f>
        <v>(LU006853.005); Default - Evaluate</v>
      </c>
      <c r="T46" s="2" t="str">
        <f t="shared" si="11"/>
        <v>LU006853.006</v>
      </c>
      <c r="U46" s="17" t="str">
        <f ca="1">IFERROR(__xludf.dummyfunction("VLOOKUP(T46, IMPORTRANGE(""https://docs.google.com/spreadsheets/d/1yDAaXNsi4Mr5FtRQL4tbmSdIzhx6_m4wkOD7IG-k_eo/edit#gid=1336395716"", ""Science!M:N""), 2, FALSE)"),"(LU006853.006); Default - Create")</f>
        <v>(LU006853.006); Default - Create</v>
      </c>
      <c r="V46" s="1"/>
      <c r="W46" s="1"/>
      <c r="X46" s="1"/>
      <c r="Y46" s="1"/>
      <c r="Z46" s="1"/>
      <c r="AA46" s="1"/>
      <c r="AB46" s="1"/>
      <c r="AC46" s="1"/>
      <c r="AD46" s="1"/>
      <c r="AE46" s="1"/>
      <c r="AF46" s="1"/>
      <c r="AG46" s="1"/>
    </row>
    <row r="47" spans="1:33" ht="27.6">
      <c r="A47" s="1"/>
      <c r="B47" s="1" t="s">
        <v>29</v>
      </c>
      <c r="C47" s="1" t="s">
        <v>30</v>
      </c>
      <c r="D47" s="13">
        <v>8</v>
      </c>
      <c r="E47" s="1" t="s">
        <v>290</v>
      </c>
      <c r="F47" s="1" t="s">
        <v>298</v>
      </c>
      <c r="G47" s="14" t="s">
        <v>300</v>
      </c>
      <c r="H47" s="18" t="str">
        <f ca="1">IFERROR(__xludf.dummyfunction("IFERROR(
  VLOOKUP(G47, IMPORTRANGE(""https://docs.google.com/spreadsheets/d/14deopnvwcrKtEGCKuYXdUHJbeLDZlkiSSWWT0g7x2pM/edit#gid=849066331"", ""LU List Maths (Filter)!A:B""), 2, FALSE),
  IFERROR(
    VLOOKUP(G47, IMPORTRANGE(""https://docs.google.com/s"&amp;"preadsheets/d/14deopnvwcrKtEGCKuYXdUHJbeLDZlkiSSWWT0g7x2pM/edit#gid=849066331"", ""LU List Science (Filter)!A:B""), 2, FALSE),
    ""Not Found""
  )
)
"),"Transfer of charge by induction")</f>
        <v>Transfer of charge by induction</v>
      </c>
      <c r="I47" s="1"/>
      <c r="J47" s="2" t="str">
        <f t="shared" si="6"/>
        <v>LU006854.001</v>
      </c>
      <c r="K47" s="2" t="str">
        <f ca="1">IFERROR(__xludf.dummyfunction("VLOOKUP(J47, IMPORTRANGE(""https://docs.google.com/spreadsheets/d/1yDAaXNsi4Mr5FtRQL4tbmSdIzhx6_m4wkOD7IG-k_eo/edit#gid=1336395716"", ""Science!M:N""), 2, FALSE)"),"(LU006854.001); Default - Remember")</f>
        <v>(LU006854.001); Default - Remember</v>
      </c>
      <c r="L47" s="2" t="str">
        <f t="shared" si="7"/>
        <v>LU006854.002</v>
      </c>
      <c r="M47" s="2" t="str">
        <f ca="1">IFERROR(__xludf.dummyfunction("VLOOKUP(L47, IMPORTRANGE(""https://docs.google.com/spreadsheets/d/1yDAaXNsi4Mr5FtRQL4tbmSdIzhx6_m4wkOD7IG-k_eo/edit#gid=1336395716"", ""Science!M:N""), 2, FALSE)"),"(LU006854.002); Default - Understand")</f>
        <v>(LU006854.002); Default - Understand</v>
      </c>
      <c r="N47" s="2" t="str">
        <f t="shared" si="8"/>
        <v>LU006854.003</v>
      </c>
      <c r="O47" s="2" t="str">
        <f ca="1">IFERROR(__xludf.dummyfunction("VLOOKUP(N47, IMPORTRANGE(""https://docs.google.com/spreadsheets/d/1yDAaXNsi4Mr5FtRQL4tbmSdIzhx6_m4wkOD7IG-k_eo/edit#gid=1336395716"", ""Science!M:N""), 2, FALSE)"),"(LU006854.003); Default - Apply")</f>
        <v>(LU006854.003); Default - Apply</v>
      </c>
      <c r="P47" s="2" t="str">
        <f t="shared" si="9"/>
        <v>LU006854.004</v>
      </c>
      <c r="Q47" s="17" t="str">
        <f ca="1">IFERROR(__xludf.dummyfunction("VLOOKUP(P47, IMPORTRANGE(""https://docs.google.com/spreadsheets/d/1yDAaXNsi4Mr5FtRQL4tbmSdIzhx6_m4wkOD7IG-k_eo/edit#gid=1336395716"", ""Science!M:N""), 2, FALSE)"),"(LU006854.004); Default - Analyse")</f>
        <v>(LU006854.004); Default - Analyse</v>
      </c>
      <c r="R47" s="2" t="str">
        <f t="shared" si="10"/>
        <v>LU006854.005</v>
      </c>
      <c r="S47" s="17" t="str">
        <f ca="1">IFERROR(__xludf.dummyfunction("VLOOKUP(R47, IMPORTRANGE(""https://docs.google.com/spreadsheets/d/1yDAaXNsi4Mr5FtRQL4tbmSdIzhx6_m4wkOD7IG-k_eo/edit#gid=1336395716"", ""Science!M:N""), 2, FALSE)"),"(LU006854.005); Default - Evaluate")</f>
        <v>(LU006854.005); Default - Evaluate</v>
      </c>
      <c r="T47" s="2" t="str">
        <f t="shared" si="11"/>
        <v>LU006854.006</v>
      </c>
      <c r="U47" s="17" t="str">
        <f ca="1">IFERROR(__xludf.dummyfunction("VLOOKUP(T47, IMPORTRANGE(""https://docs.google.com/spreadsheets/d/1yDAaXNsi4Mr5FtRQL4tbmSdIzhx6_m4wkOD7IG-k_eo/edit#gid=1336395716"", ""Science!M:N""), 2, FALSE)"),"(LU006854.006); Default - Create")</f>
        <v>(LU006854.006); Default - Create</v>
      </c>
      <c r="V47" s="1"/>
      <c r="W47" s="1"/>
      <c r="X47" s="1"/>
      <c r="Y47" s="1"/>
      <c r="Z47" s="1"/>
      <c r="AA47" s="1"/>
      <c r="AB47" s="1"/>
      <c r="AC47" s="1"/>
      <c r="AD47" s="1"/>
      <c r="AE47" s="1"/>
      <c r="AF47" s="1"/>
      <c r="AG47" s="1"/>
    </row>
    <row r="48" spans="1:33" ht="27.6">
      <c r="A48" s="1"/>
      <c r="B48" s="1" t="s">
        <v>29</v>
      </c>
      <c r="C48" s="1" t="s">
        <v>30</v>
      </c>
      <c r="D48" s="13">
        <v>8</v>
      </c>
      <c r="E48" s="1" t="s">
        <v>290</v>
      </c>
      <c r="F48" s="1" t="s">
        <v>298</v>
      </c>
      <c r="G48" s="14" t="s">
        <v>301</v>
      </c>
      <c r="H48" s="18" t="str">
        <f ca="1">IFERROR(__xludf.dummyfunction("IFERROR(
  VLOOKUP(G48, IMPORTRANGE(""https://docs.google.com/spreadsheets/d/14deopnvwcrKtEGCKuYXdUHJbeLDZlkiSSWWT0g7x2pM/edit#gid=849066331"", ""LU List Maths (Filter)!A:B""), 2, FALSE),
  IFERROR(
    VLOOKUP(G48, IMPORTRANGE(""https://docs.google.com/s"&amp;"preadsheets/d/14deopnvwcrKtEGCKuYXdUHJbeLDZlkiSSWWT0g7x2pM/edit#gid=849066331"", ""LU List Science (Filter)!A:B""), 2, FALSE),
    ""Not Found""
  )
)
"),"Transfer of charge by conduction")</f>
        <v>Transfer of charge by conduction</v>
      </c>
      <c r="I48" s="1"/>
      <c r="J48" s="2" t="str">
        <f t="shared" si="6"/>
        <v>LU006855.001</v>
      </c>
      <c r="K48" s="2" t="str">
        <f ca="1">IFERROR(__xludf.dummyfunction("VLOOKUP(J48, IMPORTRANGE(""https://docs.google.com/spreadsheets/d/1yDAaXNsi4Mr5FtRQL4tbmSdIzhx6_m4wkOD7IG-k_eo/edit#gid=1336395716"", ""Science!M:N""), 2, FALSE)"),"(LU006855.001); Default - Remember")</f>
        <v>(LU006855.001); Default - Remember</v>
      </c>
      <c r="L48" s="2" t="str">
        <f t="shared" si="7"/>
        <v>LU006855.002</v>
      </c>
      <c r="M48" s="2" t="str">
        <f ca="1">IFERROR(__xludf.dummyfunction("VLOOKUP(L48, IMPORTRANGE(""https://docs.google.com/spreadsheets/d/1yDAaXNsi4Mr5FtRQL4tbmSdIzhx6_m4wkOD7IG-k_eo/edit#gid=1336395716"", ""Science!M:N""), 2, FALSE)"),"(LU006855.002); Default - Understand")</f>
        <v>(LU006855.002); Default - Understand</v>
      </c>
      <c r="N48" s="2" t="str">
        <f t="shared" si="8"/>
        <v>LU006855.003</v>
      </c>
      <c r="O48" s="2" t="str">
        <f ca="1">IFERROR(__xludf.dummyfunction("VLOOKUP(N48, IMPORTRANGE(""https://docs.google.com/spreadsheets/d/1yDAaXNsi4Mr5FtRQL4tbmSdIzhx6_m4wkOD7IG-k_eo/edit#gid=1336395716"", ""Science!M:N""), 2, FALSE)"),"(LU006855.003); Default - Apply")</f>
        <v>(LU006855.003); Default - Apply</v>
      </c>
      <c r="P48" s="2" t="str">
        <f t="shared" si="9"/>
        <v>LU006855.004</v>
      </c>
      <c r="Q48" s="17" t="str">
        <f ca="1">IFERROR(__xludf.dummyfunction("VLOOKUP(P48, IMPORTRANGE(""https://docs.google.com/spreadsheets/d/1yDAaXNsi4Mr5FtRQL4tbmSdIzhx6_m4wkOD7IG-k_eo/edit#gid=1336395716"", ""Science!M:N""), 2, FALSE)"),"(LU006855.004); Default - Analyse")</f>
        <v>(LU006855.004); Default - Analyse</v>
      </c>
      <c r="R48" s="2" t="str">
        <f t="shared" si="10"/>
        <v>LU006855.005</v>
      </c>
      <c r="S48" s="17" t="str">
        <f ca="1">IFERROR(__xludf.dummyfunction("VLOOKUP(R48, IMPORTRANGE(""https://docs.google.com/spreadsheets/d/1yDAaXNsi4Mr5FtRQL4tbmSdIzhx6_m4wkOD7IG-k_eo/edit#gid=1336395716"", ""Science!M:N""), 2, FALSE)"),"(LU006855.005); Default - Evaluate")</f>
        <v>(LU006855.005); Default - Evaluate</v>
      </c>
      <c r="T48" s="2" t="str">
        <f t="shared" si="11"/>
        <v>LU006855.006</v>
      </c>
      <c r="U48" s="17" t="str">
        <f ca="1">IFERROR(__xludf.dummyfunction("VLOOKUP(T48, IMPORTRANGE(""https://docs.google.com/spreadsheets/d/1yDAaXNsi4Mr5FtRQL4tbmSdIzhx6_m4wkOD7IG-k_eo/edit#gid=1336395716"", ""Science!M:N""), 2, FALSE)"),"(LU006855.006); Default - Create")</f>
        <v>(LU006855.006); Default - Create</v>
      </c>
      <c r="V48" s="1"/>
      <c r="W48" s="1"/>
      <c r="X48" s="1"/>
      <c r="Y48" s="1"/>
      <c r="Z48" s="1"/>
      <c r="AA48" s="1"/>
      <c r="AB48" s="1"/>
      <c r="AC48" s="1"/>
      <c r="AD48" s="1"/>
      <c r="AE48" s="1"/>
      <c r="AF48" s="1"/>
      <c r="AG48" s="1"/>
    </row>
    <row r="49" spans="1:33" ht="27.6">
      <c r="A49" s="1"/>
      <c r="B49" s="1" t="s">
        <v>29</v>
      </c>
      <c r="C49" s="1" t="s">
        <v>30</v>
      </c>
      <c r="D49" s="13">
        <v>8</v>
      </c>
      <c r="E49" s="1" t="s">
        <v>290</v>
      </c>
      <c r="F49" s="1" t="s">
        <v>302</v>
      </c>
      <c r="G49" s="14" t="s">
        <v>303</v>
      </c>
      <c r="H49" s="18" t="str">
        <f ca="1">IFERROR(__xludf.dummyfunction("IFERROR(
  VLOOKUP(G49, IMPORTRANGE(""https://docs.google.com/spreadsheets/d/14deopnvwcrKtEGCKuYXdUHJbeLDZlkiSSWWT0g7x2pM/edit#gid=849066331"", ""LU List Maths (Filter)!A:B""), 2, FALSE),
  IFERROR(
    VLOOKUP(G49, IMPORTRANGE(""https://docs.google.com/s"&amp;"preadsheets/d/14deopnvwcrKtEGCKuYXdUHJbeLDZlkiSSWWT0g7x2pM/edit#gid=849066331"", ""LU List Science (Filter)!A:B""), 2, FALSE),
    ""Not Found""
  )
)
"),"Construction and working of Gold leaf electroscope")</f>
        <v>Construction and working of Gold leaf electroscope</v>
      </c>
      <c r="I49" s="1"/>
      <c r="J49" s="2" t="str">
        <f t="shared" si="6"/>
        <v>LU006856.001</v>
      </c>
      <c r="K49" s="2" t="str">
        <f ca="1">IFERROR(__xludf.dummyfunction("VLOOKUP(J49, IMPORTRANGE(""https://docs.google.com/spreadsheets/d/1yDAaXNsi4Mr5FtRQL4tbmSdIzhx6_m4wkOD7IG-k_eo/edit#gid=1336395716"", ""Science!M:N""), 2, FALSE)"),"(LU006856.001); Default - Remember")</f>
        <v>(LU006856.001); Default - Remember</v>
      </c>
      <c r="L49" s="2" t="str">
        <f t="shared" si="7"/>
        <v>LU006856.002</v>
      </c>
      <c r="M49" s="2" t="str">
        <f ca="1">IFERROR(__xludf.dummyfunction("VLOOKUP(L49, IMPORTRANGE(""https://docs.google.com/spreadsheets/d/1yDAaXNsi4Mr5FtRQL4tbmSdIzhx6_m4wkOD7IG-k_eo/edit#gid=1336395716"", ""Science!M:N""), 2, FALSE)"),"(LU006856.002); Default - Understand")</f>
        <v>(LU006856.002); Default - Understand</v>
      </c>
      <c r="N49" s="2" t="str">
        <f t="shared" si="8"/>
        <v>LU006856.003</v>
      </c>
      <c r="O49" s="2" t="str">
        <f ca="1">IFERROR(__xludf.dummyfunction("VLOOKUP(N49, IMPORTRANGE(""https://docs.google.com/spreadsheets/d/1yDAaXNsi4Mr5FtRQL4tbmSdIzhx6_m4wkOD7IG-k_eo/edit#gid=1336395716"", ""Science!M:N""), 2, FALSE)"),"(LU006856.003); Default - Apply")</f>
        <v>(LU006856.003); Default - Apply</v>
      </c>
      <c r="P49" s="2" t="str">
        <f t="shared" si="9"/>
        <v>LU006856.004</v>
      </c>
      <c r="Q49" s="17" t="str">
        <f ca="1">IFERROR(__xludf.dummyfunction("VLOOKUP(P49, IMPORTRANGE(""https://docs.google.com/spreadsheets/d/1yDAaXNsi4Mr5FtRQL4tbmSdIzhx6_m4wkOD7IG-k_eo/edit#gid=1336395716"", ""Science!M:N""), 2, FALSE)"),"(LU006856.004); Default - Analyse")</f>
        <v>(LU006856.004); Default - Analyse</v>
      </c>
      <c r="R49" s="2" t="str">
        <f t="shared" si="10"/>
        <v>LU006856.005</v>
      </c>
      <c r="S49" s="17" t="str">
        <f ca="1">IFERROR(__xludf.dummyfunction("VLOOKUP(R49, IMPORTRANGE(""https://docs.google.com/spreadsheets/d/1yDAaXNsi4Mr5FtRQL4tbmSdIzhx6_m4wkOD7IG-k_eo/edit#gid=1336395716"", ""Science!M:N""), 2, FALSE)"),"(LU006856.005); Default - Evaluate")</f>
        <v>(LU006856.005); Default - Evaluate</v>
      </c>
      <c r="T49" s="2" t="str">
        <f t="shared" si="11"/>
        <v>LU006856.006</v>
      </c>
      <c r="U49" s="17" t="str">
        <f ca="1">IFERROR(__xludf.dummyfunction("VLOOKUP(T49, IMPORTRANGE(""https://docs.google.com/spreadsheets/d/1yDAaXNsi4Mr5FtRQL4tbmSdIzhx6_m4wkOD7IG-k_eo/edit#gid=1336395716"", ""Science!M:N""), 2, FALSE)"),"(LU006856.006); Default - Create")</f>
        <v>(LU006856.006); Default - Create</v>
      </c>
      <c r="V49" s="1"/>
      <c r="W49" s="1"/>
      <c r="X49" s="1"/>
      <c r="Y49" s="1"/>
      <c r="Z49" s="1"/>
      <c r="AA49" s="1"/>
      <c r="AB49" s="1"/>
      <c r="AC49" s="1"/>
      <c r="AD49" s="1"/>
      <c r="AE49" s="1"/>
      <c r="AF49" s="1"/>
      <c r="AG49" s="1"/>
    </row>
    <row r="50" spans="1:33" ht="27.6">
      <c r="A50" s="1"/>
      <c r="B50" s="1" t="s">
        <v>29</v>
      </c>
      <c r="C50" s="1" t="s">
        <v>30</v>
      </c>
      <c r="D50" s="13">
        <v>8</v>
      </c>
      <c r="E50" s="1" t="s">
        <v>290</v>
      </c>
      <c r="F50" s="1" t="s">
        <v>304</v>
      </c>
      <c r="G50" s="1" t="s">
        <v>305</v>
      </c>
      <c r="H50" s="18" t="str">
        <f ca="1">IFERROR(__xludf.dummyfunction("IFERROR(
  VLOOKUP(G50, IMPORTRANGE(""https://docs.google.com/spreadsheets/d/14deopnvwcrKtEGCKuYXdUHJbeLDZlkiSSWWT0g7x2pM/edit#gid=849066331"", ""LU List Maths (Filter)!A:B""), 2, FALSE),
  IFERROR(
    VLOOKUP(G50, IMPORTRANGE(""https://docs.google.com/s"&amp;"preadsheets/d/14deopnvwcrKtEGCKuYXdUHJbeLDZlkiSSWWT0g7x2pM/edit#gid=849066331"", ""LU List Science (Filter)!A:B""), 2, FALSE),
    ""Not Found""
  )
)
"),"Role and Function of Lightning Conductors")</f>
        <v>Role and Function of Lightning Conductors</v>
      </c>
      <c r="I50" s="1"/>
      <c r="J50" s="2" t="str">
        <f t="shared" si="6"/>
        <v>LU005524.001</v>
      </c>
      <c r="K50" s="2" t="str">
        <f ca="1">IFERROR(__xludf.dummyfunction("VLOOKUP(J50, IMPORTRANGE(""https://docs.google.com/spreadsheets/d/1yDAaXNsi4Mr5FtRQL4tbmSdIzhx6_m4wkOD7IG-k_eo/edit#gid=1336395716"", ""Science!M:N""), 2, FALSE)"),"#N/A")</f>
        <v>#N/A</v>
      </c>
      <c r="L50" s="2" t="str">
        <f t="shared" si="7"/>
        <v>LU005524.002</v>
      </c>
      <c r="M50" s="2" t="str">
        <f ca="1">IFERROR(__xludf.dummyfunction("VLOOKUP(L50, IMPORTRANGE(""https://docs.google.com/spreadsheets/d/1yDAaXNsi4Mr5FtRQL4tbmSdIzhx6_m4wkOD7IG-k_eo/edit#gid=1336395716"", ""Science!M:N""), 2, FALSE)"),"Describe the components and design of an effective lightning conductor system.")</f>
        <v>Describe the components and design of an effective lightning conductor system.</v>
      </c>
      <c r="N50" s="2" t="str">
        <f t="shared" si="8"/>
        <v>LU005524.003</v>
      </c>
      <c r="O50" s="2" t="str">
        <f ca="1">IFERROR(__xludf.dummyfunction("VLOOKUP(N50, IMPORTRANGE(""https://docs.google.com/spreadsheets/d/1yDAaXNsi4Mr5FtRQL4tbmSdIzhx6_m4wkOD7IG-k_eo/edit#gid=1336395716"", ""Science!M:N""), 2, FALSE)"),"Apply knowledge of electrical grounding to ensure lightning safety.")</f>
        <v>Apply knowledge of electrical grounding to ensure lightning safety.</v>
      </c>
      <c r="P50" s="2" t="str">
        <f t="shared" si="9"/>
        <v>LU005524.004</v>
      </c>
      <c r="Q50" s="17" t="str">
        <f ca="1">IFERROR(__xludf.dummyfunction("VLOOKUP(P50, IMPORTRANGE(""https://docs.google.com/spreadsheets/d/1yDAaXNsi4Mr5FtRQL4tbmSdIzhx6_m4wkOD7IG-k_eo/edit#gid=1336395716"", ""Science!M:N""), 2, FALSE)"),"Analyze the function of lightning conductors in redirecting lightning strikes.")</f>
        <v>Analyze the function of lightning conductors in redirecting lightning strikes.</v>
      </c>
      <c r="R50" s="2" t="str">
        <f t="shared" si="10"/>
        <v>LU005524.005</v>
      </c>
      <c r="S50" s="17" t="str">
        <f ca="1">IFERROR(__xludf.dummyfunction("VLOOKUP(R50, IMPORTRANGE(""https://docs.google.com/spreadsheets/d/1yDAaXNsi4Mr5FtRQL4tbmSdIzhx6_m4wkOD7IG-k_eo/edit#gid=1336395716"", ""Science!M:N""), 2, FALSE)"),"Evaluate the significance of installing lightning conductors on tall structures and buildings.")</f>
        <v>Evaluate the significance of installing lightning conductors on tall structures and buildings.</v>
      </c>
      <c r="T50" s="2" t="str">
        <f t="shared" si="11"/>
        <v>LU005524.006</v>
      </c>
      <c r="U50" s="17" t="str">
        <f ca="1">IFERROR(__xludf.dummyfunction("VLOOKUP(T50, IMPORTRANGE(""https://docs.google.com/spreadsheets/d/1yDAaXNsi4Mr5FtRQL4tbmSdIzhx6_m4wkOD7IG-k_eo/edit#gid=1336395716"", ""Science!M:N""), 2, FALSE)"),"#N/A")</f>
        <v>#N/A</v>
      </c>
      <c r="V50" s="1"/>
      <c r="W50" s="1"/>
      <c r="X50" s="1"/>
      <c r="Y50" s="1"/>
      <c r="Z50" s="1"/>
      <c r="AA50" s="1"/>
      <c r="AB50" s="1"/>
      <c r="AC50" s="1"/>
      <c r="AD50" s="1"/>
      <c r="AE50" s="1"/>
      <c r="AF50" s="1"/>
      <c r="AG50" s="1"/>
    </row>
    <row r="51" spans="1:33" ht="27.6">
      <c r="A51" s="1"/>
      <c r="B51" s="1" t="s">
        <v>29</v>
      </c>
      <c r="C51" s="1" t="s">
        <v>30</v>
      </c>
      <c r="D51" s="13">
        <v>8</v>
      </c>
      <c r="E51" s="1" t="s">
        <v>290</v>
      </c>
      <c r="F51" s="1" t="s">
        <v>304</v>
      </c>
      <c r="G51" s="18" t="s">
        <v>306</v>
      </c>
      <c r="H51" s="18" t="str">
        <f ca="1">IFERROR(__xludf.dummyfunction("IFERROR(
  VLOOKUP(G51, IMPORTRANGE(""https://docs.google.com/spreadsheets/d/14deopnvwcrKtEGCKuYXdUHJbeLDZlkiSSWWT0g7x2pM/edit#gid=849066331"", ""LU List Maths (Filter)!A:B""), 2, FALSE),
  IFERROR(
    VLOOKUP(G51, IMPORTRANGE(""https://docs.google.com/s"&amp;"preadsheets/d/14deopnvwcrKtEGCKuYXdUHJbeLDZlkiSSWWT0g7x2pM/edit#gid=849066331"", ""LU List Science (Filter)!A:B""), 2, FALSE),
    ""Not Found""
  )
)
"),"Electrical Safety and Hazard Awareness")</f>
        <v>Electrical Safety and Hazard Awareness</v>
      </c>
      <c r="I51" s="1"/>
      <c r="J51" s="2" t="str">
        <f t="shared" si="6"/>
        <v>LU005914.001</v>
      </c>
      <c r="K51" s="2" t="str">
        <f ca="1">IFERROR(__xludf.dummyfunction("VLOOKUP(J51, IMPORTRANGE(""https://docs.google.com/spreadsheets/d/1yDAaXNsi4Mr5FtRQL4tbmSdIzhx6_m4wkOD7IG-k_eo/edit#gid=1336395716"", ""Science!M:N""), 2, FALSE)"),"Identify common electrical hazards in everyday environments.")</f>
        <v>Identify common electrical hazards in everyday environments.</v>
      </c>
      <c r="L51" s="2" t="str">
        <f t="shared" si="7"/>
        <v>LU005914.002</v>
      </c>
      <c r="M51" s="2" t="str">
        <f ca="1">IFERROR(__xludf.dummyfunction("VLOOKUP(L51, IMPORTRANGE(""https://docs.google.com/spreadsheets/d/1yDAaXNsi4Mr5FtRQL4tbmSdIzhx6_m4wkOD7IG-k_eo/edit#gid=1336395716"", ""Science!M:N""), 2, FALSE)"),"Explain the principles of safe electrical handling in a home setting.")</f>
        <v>Explain the principles of safe electrical handling in a home setting.</v>
      </c>
      <c r="N51" s="2" t="str">
        <f t="shared" si="8"/>
        <v>LU005914.003</v>
      </c>
      <c r="O51" s="2" t="str">
        <f ca="1">IFERROR(__xludf.dummyfunction("VLOOKUP(N51, IMPORTRANGE(""https://docs.google.com/spreadsheets/d/1yDAaXNsi4Mr5FtRQL4tbmSdIzhx6_m4wkOD7IG-k_eo/edit#gid=1336395716"", ""Science!M:N""), 2, FALSE)"),"Demonstrate correct procedures for using electrical devices safely.")</f>
        <v>Demonstrate correct procedures for using electrical devices safely.</v>
      </c>
      <c r="P51" s="2" t="str">
        <f t="shared" si="9"/>
        <v>LU005914.004</v>
      </c>
      <c r="Q51" s="17" t="str">
        <f ca="1">IFERROR(__xludf.dummyfunction("VLOOKUP(P51, IMPORTRANGE(""https://docs.google.com/spreadsheets/d/1yDAaXNsi4Mr5FtRQL4tbmSdIzhx6_m4wkOD7IG-k_eo/edit#gid=1336395716"", ""Science!M:N""), 2, FALSE)"),"Compare and contrast the safety features of different electrical appliances.")</f>
        <v>Compare and contrast the safety features of different electrical appliances.</v>
      </c>
      <c r="R51" s="2" t="str">
        <f t="shared" si="10"/>
        <v>LU005914.005</v>
      </c>
      <c r="S51" s="17" t="str">
        <f ca="1">IFERROR(__xludf.dummyfunction("VLOOKUP(R51, IMPORTRANGE(""https://docs.google.com/spreadsheets/d/1yDAaXNsi4Mr5FtRQL4tbmSdIzhx6_m4wkOD7IG-k_eo/edit#gid=1336395716"", ""Science!M:N""), 2, FALSE)"),"Assess the effectiveness of a workplace's electrical safety protocols.")</f>
        <v>Assess the effectiveness of a workplace's electrical safety protocols.</v>
      </c>
      <c r="T51" s="2" t="str">
        <f t="shared" si="11"/>
        <v>LU005914.006</v>
      </c>
      <c r="U51" s="17" t="str">
        <f ca="1">IFERROR(__xludf.dummyfunction("VLOOKUP(T51, IMPORTRANGE(""https://docs.google.com/spreadsheets/d/1yDAaXNsi4Mr5FtRQL4tbmSdIzhx6_m4wkOD7IG-k_eo/edit#gid=1336395716"", ""Science!M:N""), 2, FALSE)"),"Design a safety checklist for handling electrical devices in a school laboratory.")</f>
        <v>Design a safety checklist for handling electrical devices in a school laboratory.</v>
      </c>
      <c r="V51" s="1"/>
      <c r="W51" s="1"/>
      <c r="X51" s="1"/>
      <c r="Y51" s="1"/>
      <c r="Z51" s="1"/>
      <c r="AA51" s="1"/>
      <c r="AB51" s="1"/>
      <c r="AC51" s="1"/>
      <c r="AD51" s="1"/>
      <c r="AE51" s="1"/>
      <c r="AF51" s="1"/>
      <c r="AG51" s="1"/>
    </row>
    <row r="52" spans="1:33" ht="13.8">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row>
    <row r="53" spans="1:33" ht="13.8">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row>
    <row r="54" spans="1:33" ht="13.8">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row>
    <row r="55" spans="1:33" ht="13.8">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row>
    <row r="56" spans="1:33" ht="13.8">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row>
    <row r="57" spans="1:33" ht="13.8">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row>
    <row r="58" spans="1:33" ht="13.8">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row>
    <row r="59" spans="1:33" ht="13.8">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row>
    <row r="60" spans="1:33" ht="13.8">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row>
    <row r="61" spans="1:33" ht="13.8">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row>
    <row r="62" spans="1:33" ht="13.8">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row>
    <row r="63" spans="1:33" ht="13.8">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row>
    <row r="64" spans="1:33" ht="13.8">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row>
    <row r="65" spans="1:33" ht="13.8">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row>
    <row r="66" spans="1:33" ht="13.8">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row>
    <row r="67" spans="1:33" ht="13.8">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row>
    <row r="68" spans="1:33" ht="13.8">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row>
    <row r="69" spans="1:33" ht="13.8">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row>
    <row r="70" spans="1:33" ht="13.8">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row>
    <row r="71" spans="1:33" ht="13.8">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row>
    <row r="72" spans="1:33" ht="13.8">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row>
    <row r="73" spans="1:33" ht="13.8">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row>
    <row r="74" spans="1:33" ht="13.8">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row>
    <row r="75" spans="1:33" ht="13.8">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row>
    <row r="76" spans="1:33" ht="13.8">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row>
    <row r="77" spans="1:33" ht="13.8">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row>
    <row r="78" spans="1:33" ht="13.8">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row>
    <row r="79" spans="1:33" ht="13.8">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row>
    <row r="80" spans="1:33" ht="13.8">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row>
    <row r="81" spans="1:33" ht="13.8">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row>
    <row r="82" spans="1:33" ht="13.8">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row>
    <row r="83" spans="1:33" ht="13.8">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row>
    <row r="84" spans="1:33" ht="13.8">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row>
    <row r="85" spans="1:33" ht="13.8">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row>
    <row r="86" spans="1:33" ht="13.8">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row>
    <row r="87" spans="1:33" ht="13.8">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row>
    <row r="88" spans="1:33" ht="13.8">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row>
    <row r="89" spans="1:33" ht="13.8">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row>
    <row r="90" spans="1:33" ht="13.8">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row>
    <row r="91" spans="1:33" ht="13.8">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row>
    <row r="92" spans="1:33" ht="13.8">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row>
    <row r="93" spans="1:33" ht="13.8">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row>
    <row r="94" spans="1:33" ht="13.8">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row>
    <row r="95" spans="1:33" ht="13.8">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row>
    <row r="96" spans="1:33" ht="13.8">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row>
    <row r="97" spans="1:33" ht="13.8">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row>
    <row r="98" spans="1:33" ht="13.8">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row>
    <row r="99" spans="1:33" ht="13.8">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row>
    <row r="100" spans="1:33" ht="13.8">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row>
    <row r="101" spans="1:33" ht="13.8">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row>
    <row r="102" spans="1:33" ht="13.8">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row>
    <row r="103" spans="1:33" ht="13.8">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row>
    <row r="104" spans="1:33" ht="13.8">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row>
    <row r="105" spans="1:33" ht="13.8">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row>
    <row r="106" spans="1:33" ht="13.8">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row>
    <row r="107" spans="1:33" ht="13.8">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row>
    <row r="108" spans="1:33" ht="13.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row>
    <row r="109" spans="1:33" ht="13.8">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row>
    <row r="110" spans="1:33" ht="13.8">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row>
    <row r="111" spans="1:33" ht="13.8">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row>
    <row r="112" spans="1:33" ht="13.8">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row>
    <row r="113" spans="1:33" ht="13.8">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row>
    <row r="114" spans="1:33" ht="13.8">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row>
    <row r="115" spans="1:33" ht="13.8">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row>
    <row r="116" spans="1:33" ht="13.8">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row>
    <row r="117" spans="1:33" ht="13.8">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row>
    <row r="118" spans="1:33" ht="13.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row>
    <row r="119" spans="1:33" ht="13.8">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row>
    <row r="120" spans="1:33" ht="13.8">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row>
    <row r="121" spans="1:33" ht="13.8">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row>
    <row r="122" spans="1:33" ht="13.8">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row>
    <row r="123" spans="1:33" ht="13.8">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row>
    <row r="124" spans="1:33" ht="13.8">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row>
    <row r="125" spans="1:33" ht="13.8">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row>
    <row r="126" spans="1:33" ht="13.8">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row>
    <row r="127" spans="1:33" ht="13.8">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row>
    <row r="128" spans="1:33" ht="13.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row>
    <row r="129" spans="1:33" ht="13.8">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row>
    <row r="130" spans="1:33" ht="13.8">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row>
    <row r="131" spans="1:33" ht="13.8">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row>
    <row r="132" spans="1:33" ht="13.8">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row>
    <row r="133" spans="1:33" ht="13.8">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row>
    <row r="134" spans="1:33" ht="13.8">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row>
    <row r="135" spans="1:33" ht="13.8">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row>
    <row r="136" spans="1:33" ht="13.8">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row>
    <row r="137" spans="1:33" ht="13.8">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row>
    <row r="138" spans="1:33" ht="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row>
    <row r="139" spans="1:33" ht="13.8">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row>
    <row r="140" spans="1:33" ht="13.8">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row>
    <row r="141" spans="1:33" ht="13.8">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row>
    <row r="142" spans="1:33" ht="13.8">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row>
    <row r="143" spans="1:33" ht="13.8">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row>
    <row r="144" spans="1:33" ht="13.8">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row>
    <row r="145" spans="1:33" ht="13.8">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row>
    <row r="146" spans="1:33" ht="13.8">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row>
    <row r="147" spans="1:33" ht="13.8">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row>
    <row r="148" spans="1:33" ht="13.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row>
    <row r="149" spans="1:33" ht="13.8">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row>
    <row r="150" spans="1:33" ht="13.8">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row>
    <row r="151" spans="1:33" ht="13.8">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row>
    <row r="152" spans="1:33" ht="13.8">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row>
    <row r="153" spans="1:33" ht="13.8">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row>
    <row r="154" spans="1:33" ht="13.8">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row>
    <row r="155" spans="1:33" ht="13.8">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row>
    <row r="156" spans="1:33" ht="13.8">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row>
    <row r="157" spans="1:33" ht="13.8">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row>
    <row r="158" spans="1:33" ht="13.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row>
    <row r="159" spans="1:33" ht="13.8">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row>
    <row r="160" spans="1:33" ht="13.8">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row>
    <row r="161" spans="1:33" ht="13.8">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row>
    <row r="162" spans="1:33" ht="13.8">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row>
    <row r="163" spans="1:33" ht="13.8">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row>
    <row r="164" spans="1:33" ht="13.8">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row>
    <row r="165" spans="1:33" ht="13.8">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row>
    <row r="166" spans="1:33" ht="13.8">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row>
    <row r="167" spans="1:33" ht="13.8">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row>
    <row r="168" spans="1:33" ht="13.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row>
    <row r="169" spans="1:33" ht="13.8">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row>
    <row r="170" spans="1:33" ht="13.8">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row>
    <row r="171" spans="1:33" ht="13.8">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row>
    <row r="172" spans="1:33" ht="13.8">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row>
    <row r="173" spans="1:33" ht="13.8">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row>
    <row r="174" spans="1:33" ht="13.8">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row>
    <row r="175" spans="1:33" ht="13.8">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row>
    <row r="176" spans="1:33" ht="13.8">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row>
    <row r="177" spans="1:33" ht="13.8">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row>
    <row r="178" spans="1:33" ht="13.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row>
    <row r="179" spans="1:33" ht="13.8">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row>
    <row r="180" spans="1:33" ht="13.8">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row>
    <row r="181" spans="1:33" ht="13.8">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row>
    <row r="182" spans="1:33" ht="13.8">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row>
    <row r="183" spans="1:33" ht="13.8">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row>
    <row r="184" spans="1:33" ht="13.8">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row>
    <row r="185" spans="1:33" ht="13.8">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row>
    <row r="186" spans="1:33" ht="13.8">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row>
    <row r="187" spans="1:33" ht="13.8">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row>
    <row r="188" spans="1:33" ht="13.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row>
    <row r="189" spans="1:33" ht="13.8">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row>
    <row r="190" spans="1:33" ht="13.8">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row>
    <row r="191" spans="1:33" ht="13.8">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row>
    <row r="192" spans="1:33" ht="13.8">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row>
    <row r="193" spans="1:33" ht="13.8">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row>
    <row r="194" spans="1:33" ht="13.8">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row>
    <row r="195" spans="1:33" ht="13.8">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row>
    <row r="196" spans="1:33" ht="13.8">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row>
    <row r="197" spans="1:33" ht="13.8">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row>
    <row r="198" spans="1:33" ht="13.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row>
    <row r="199" spans="1:33" ht="13.8">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row>
    <row r="200" spans="1:33" ht="13.8">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row>
    <row r="201" spans="1:33" ht="13.8">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row>
    <row r="202" spans="1:33" ht="13.8">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row>
    <row r="203" spans="1:33" ht="13.8">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row>
    <row r="204" spans="1:33" ht="13.8">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row>
    <row r="205" spans="1:33" ht="13.8">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row>
    <row r="206" spans="1:33" ht="13.8">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row>
    <row r="207" spans="1:33" ht="13.8">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row>
    <row r="208" spans="1:33" ht="13.8">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row>
    <row r="209" spans="1:33" ht="13.8">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row>
    <row r="210" spans="1:33" ht="13.8">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row>
    <row r="211" spans="1:33" ht="13.8">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row>
    <row r="212" spans="1:33" ht="13.8">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row>
    <row r="213" spans="1:33" ht="13.8">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row>
    <row r="214" spans="1:33" ht="13.8">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row>
    <row r="215" spans="1:33" ht="13.8">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row>
    <row r="216" spans="1:33" ht="13.8">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row>
    <row r="217" spans="1:33" ht="13.8">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row>
    <row r="218" spans="1:33" ht="13.8">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row>
    <row r="219" spans="1:33" ht="13.8">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row>
    <row r="220" spans="1:33" ht="13.8">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row>
    <row r="221" spans="1:33" ht="13.8">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row>
    <row r="222" spans="1:33" ht="13.8">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row>
    <row r="223" spans="1:33" ht="13.8">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row>
    <row r="224" spans="1:33" ht="13.8">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row>
    <row r="225" spans="1:33" ht="13.8">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row>
    <row r="226" spans="1:33" ht="13.8">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row>
    <row r="227" spans="1:33" ht="13.8">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row>
    <row r="228" spans="1:33" ht="13.8">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row>
    <row r="229" spans="1:33" ht="13.8">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row>
    <row r="230" spans="1:33" ht="13.8">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row>
    <row r="231" spans="1:33" ht="13.8">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row>
    <row r="232" spans="1:33" ht="13.8">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row>
    <row r="233" spans="1:33" ht="13.8">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row>
    <row r="234" spans="1:33" ht="13.8">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row>
    <row r="235" spans="1:33" ht="13.8">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row>
    <row r="236" spans="1:33" ht="13.8">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row>
    <row r="237" spans="1:33" ht="13.8">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row>
    <row r="238" spans="1:33" ht="13.8">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row>
    <row r="239" spans="1:33" ht="13.8">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row>
    <row r="240" spans="1:33" ht="13.8">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row>
    <row r="241" spans="1:33" ht="13.8">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row>
    <row r="242" spans="1:33" ht="13.8">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row>
    <row r="243" spans="1:33" ht="13.8">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row>
    <row r="244" spans="1:33" ht="13.8">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row>
    <row r="245" spans="1:33" ht="13.8">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row>
    <row r="246" spans="1:33" ht="13.8">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row>
    <row r="247" spans="1:33" ht="13.8">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row>
    <row r="248" spans="1:33" ht="13.8">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row>
    <row r="249" spans="1:33" ht="13.8">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row>
    <row r="250" spans="1:33" ht="13.8">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row>
    <row r="251" spans="1:33" ht="13.8">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row>
    <row r="252" spans="1:33" ht="13.8">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row>
    <row r="253" spans="1:33" ht="13.8">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row>
    <row r="254" spans="1:33" ht="13.8">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row>
    <row r="255" spans="1:33" ht="13.8">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row>
    <row r="256" spans="1:33" ht="13.8">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row>
    <row r="257" spans="1:33" ht="13.8">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row>
    <row r="258" spans="1:33" ht="13.8">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row>
    <row r="259" spans="1:33" ht="13.8">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row>
    <row r="260" spans="1:33" ht="13.8">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row>
    <row r="261" spans="1:33" ht="13.8">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row>
    <row r="262" spans="1:33" ht="13.8">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row>
    <row r="263" spans="1:33" ht="13.8">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row>
    <row r="264" spans="1:33" ht="13.8">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row>
    <row r="265" spans="1:33" ht="13.8">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row>
    <row r="266" spans="1:33" ht="13.8">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row>
    <row r="267" spans="1:33" ht="13.8">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row>
    <row r="268" spans="1:33" ht="13.8">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row>
    <row r="269" spans="1:33" ht="13.8">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row>
    <row r="270" spans="1:33" ht="13.8">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row>
    <row r="271" spans="1:33" ht="13.8">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row>
    <row r="272" spans="1:33" ht="13.8">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row>
    <row r="273" spans="1:33" ht="13.8">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row>
    <row r="274" spans="1:33" ht="13.8">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row>
    <row r="275" spans="1:33" ht="13.8">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row>
    <row r="276" spans="1:33" ht="13.8">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row>
    <row r="277" spans="1:33" ht="13.8">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row>
    <row r="278" spans="1:33" ht="13.8">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row>
    <row r="279" spans="1:33" ht="13.8">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row>
    <row r="280" spans="1:33" ht="13.8">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row>
    <row r="281" spans="1:33" ht="13.8">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row>
    <row r="282" spans="1:33" ht="13.8">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row>
    <row r="283" spans="1:33" ht="13.8">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row>
    <row r="284" spans="1:33" ht="13.8">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row>
    <row r="285" spans="1:33" ht="13.8">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row>
    <row r="286" spans="1:33" ht="13.8">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row>
    <row r="287" spans="1:33" ht="13.8">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row>
    <row r="288" spans="1:33" ht="13.8">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row>
    <row r="289" spans="1:33" ht="13.8">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row>
    <row r="290" spans="1:33" ht="13.8">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row>
    <row r="291" spans="1:33" ht="13.8">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row>
    <row r="292" spans="1:33" ht="13.8">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row>
    <row r="293" spans="1:33" ht="13.8">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row>
    <row r="294" spans="1:33" ht="13.8">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row>
    <row r="295" spans="1:33" ht="13.8">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row>
    <row r="296" spans="1:33" ht="13.8">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row>
    <row r="297" spans="1:33" ht="13.8">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row>
    <row r="298" spans="1:33" ht="13.8">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row>
    <row r="299" spans="1:33" ht="13.8">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row>
    <row r="300" spans="1:33" ht="13.8">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row>
    <row r="301" spans="1:33" ht="13.8">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row>
    <row r="302" spans="1:33" ht="13.8">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row>
    <row r="303" spans="1:33" ht="13.8">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row>
    <row r="304" spans="1:33" ht="13.8">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row>
    <row r="305" spans="1:33" ht="13.8">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row>
    <row r="306" spans="1:33" ht="13.8">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row>
    <row r="307" spans="1:33" ht="13.8">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row>
    <row r="308" spans="1:33" ht="13.8">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row>
    <row r="309" spans="1:33" ht="13.8">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row>
    <row r="310" spans="1:33" ht="13.8">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row>
    <row r="311" spans="1:33" ht="13.8">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row>
    <row r="312" spans="1:33" ht="13.8">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row>
    <row r="313" spans="1:33" ht="13.8">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row>
    <row r="314" spans="1:33" ht="13.8">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row>
    <row r="315" spans="1:33" ht="13.8">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row>
    <row r="316" spans="1:33" ht="13.8">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row>
    <row r="317" spans="1:33" ht="13.8">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row>
    <row r="318" spans="1:33" ht="13.8">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row>
    <row r="319" spans="1:33" ht="13.8">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row>
    <row r="320" spans="1:33" ht="13.8">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row>
    <row r="321" spans="1:33" ht="13.8">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row>
    <row r="322" spans="1:33" ht="13.8">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row>
    <row r="323" spans="1:33" ht="13.8">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row>
    <row r="324" spans="1:33" ht="13.8">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row>
    <row r="325" spans="1:33" ht="13.8">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row>
    <row r="326" spans="1:33" ht="13.8">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row>
    <row r="327" spans="1:33" ht="13.8">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row>
    <row r="328" spans="1:33" ht="13.8">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row>
    <row r="329" spans="1:33" ht="13.8">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row>
    <row r="330" spans="1:33" ht="13.8">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row>
    <row r="331" spans="1:33" ht="13.8">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row>
    <row r="332" spans="1:33" ht="13.8">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row>
    <row r="333" spans="1:33" ht="13.8">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row>
    <row r="334" spans="1:33" ht="13.8">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row>
    <row r="335" spans="1:33" ht="13.8">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row>
    <row r="336" spans="1:33" ht="13.8">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row>
    <row r="337" spans="1:33" ht="13.8">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row>
    <row r="338" spans="1:33" ht="13.8">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row>
    <row r="339" spans="1:33" ht="13.8">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row>
    <row r="340" spans="1:33" ht="13.8">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row>
    <row r="341" spans="1:33" ht="13.8">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row>
    <row r="342" spans="1:33" ht="13.8">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row>
    <row r="343" spans="1:33" ht="13.8">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row>
    <row r="344" spans="1:33" ht="13.8">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row>
    <row r="345" spans="1:33" ht="13.8">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row>
    <row r="346" spans="1:33" ht="13.8">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row>
    <row r="347" spans="1:33" ht="13.8">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row>
    <row r="348" spans="1:33" ht="13.8">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row>
    <row r="349" spans="1:33" ht="13.8">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row>
    <row r="350" spans="1:33" ht="13.8">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row>
    <row r="351" spans="1:33" ht="13.8">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row>
    <row r="352" spans="1:33" ht="13.8">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row>
    <row r="353" spans="1:33" ht="13.8">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row>
    <row r="354" spans="1:33" ht="13.8">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row>
    <row r="355" spans="1:33" ht="13.8">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row>
    <row r="356" spans="1:33" ht="13.8">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row>
    <row r="357" spans="1:33" ht="13.8">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row>
    <row r="358" spans="1:33" ht="13.8">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row>
    <row r="359" spans="1:33" ht="13.8">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row>
    <row r="360" spans="1:33" ht="13.8">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row>
    <row r="361" spans="1:33" ht="13.8">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row>
    <row r="362" spans="1:33" ht="13.8">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row>
    <row r="363" spans="1:33" ht="13.8">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row>
    <row r="364" spans="1:33" ht="13.8">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row>
    <row r="365" spans="1:33" ht="13.8">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row>
    <row r="366" spans="1:33" ht="13.8">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row>
    <row r="367" spans="1:33" ht="13.8">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row>
    <row r="368" spans="1:33" ht="13.8">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row>
    <row r="369" spans="1:33" ht="13.8">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row>
    <row r="370" spans="1:33" ht="13.8">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row>
    <row r="371" spans="1:33" ht="13.8">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row>
    <row r="372" spans="1:33" ht="13.8">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row>
    <row r="373" spans="1:33" ht="13.8">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row>
    <row r="374" spans="1:33" ht="13.8">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row>
    <row r="375" spans="1:33" ht="13.8">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row>
    <row r="376" spans="1:33" ht="13.8">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row>
    <row r="377" spans="1:33" ht="13.8">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row>
    <row r="378" spans="1:33" ht="13.8">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row>
    <row r="379" spans="1:33" ht="13.8">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row>
    <row r="380" spans="1:33" ht="13.8">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row>
    <row r="381" spans="1:33" ht="13.8">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row>
    <row r="382" spans="1:33" ht="13.8">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row>
    <row r="383" spans="1:33" ht="13.8">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row>
    <row r="384" spans="1:33" ht="13.8">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row>
    <row r="385" spans="1:33" ht="13.8">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row>
    <row r="386" spans="1:33" ht="13.8">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row>
    <row r="387" spans="1:33" ht="13.8">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row>
    <row r="388" spans="1:33" ht="13.8">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row>
    <row r="389" spans="1:33" ht="13.8">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row>
    <row r="390" spans="1:33" ht="13.8">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row>
    <row r="391" spans="1:33" ht="13.8">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row>
    <row r="392" spans="1:33" ht="13.8">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row>
    <row r="393" spans="1:33" ht="13.8">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row>
    <row r="394" spans="1:33" ht="13.8">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row>
    <row r="395" spans="1:33" ht="13.8">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row>
    <row r="396" spans="1:33" ht="13.8">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row>
    <row r="397" spans="1:33" ht="13.8">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row>
    <row r="398" spans="1:33" ht="13.8">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row>
    <row r="399" spans="1:33" ht="13.8">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row>
    <row r="400" spans="1:33" ht="13.8">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row>
    <row r="401" spans="1:33" ht="13.8">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row>
    <row r="402" spans="1:33" ht="13.8">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row>
    <row r="403" spans="1:33" ht="13.8">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row>
    <row r="404" spans="1:33" ht="13.8">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row>
    <row r="405" spans="1:33" ht="13.8">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row>
    <row r="406" spans="1:33" ht="13.8">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row>
    <row r="407" spans="1:33" ht="13.8">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row>
    <row r="408" spans="1:33" ht="13.8">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row>
    <row r="409" spans="1:33" ht="13.8">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row>
    <row r="410" spans="1:33" ht="13.8">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row>
    <row r="411" spans="1:33" ht="13.8">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row>
    <row r="412" spans="1:33" ht="13.8">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row>
    <row r="413" spans="1:33" ht="13.8">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row>
    <row r="414" spans="1:33" ht="13.8">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row>
    <row r="415" spans="1:33" ht="13.8">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row>
    <row r="416" spans="1:33" ht="13.8">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row>
    <row r="417" spans="1:33" ht="13.8">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row>
    <row r="418" spans="1:33" ht="13.8">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row>
    <row r="419" spans="1:33" ht="13.8">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row>
    <row r="420" spans="1:33" ht="13.8">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row>
    <row r="421" spans="1:33" ht="13.8">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row>
    <row r="422" spans="1:33" ht="13.8">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row>
    <row r="423" spans="1:33" ht="13.8">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row>
    <row r="424" spans="1:33" ht="13.8">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row>
    <row r="425" spans="1:33" ht="13.8">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row>
    <row r="426" spans="1:33" ht="13.8">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row>
    <row r="427" spans="1:33" ht="13.8">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row>
    <row r="428" spans="1:33" ht="13.8">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row>
    <row r="429" spans="1:33" ht="13.8">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row>
    <row r="430" spans="1:33" ht="13.8">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row>
    <row r="431" spans="1:33" ht="13.8">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row>
    <row r="432" spans="1:33" ht="13.8">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row>
    <row r="433" spans="1:33" ht="13.8">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row>
    <row r="434" spans="1:33" ht="13.8">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row>
    <row r="435" spans="1:33" ht="13.8">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row>
    <row r="436" spans="1:33" ht="13.8">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row>
    <row r="437" spans="1:33" ht="13.8">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row>
    <row r="438" spans="1:33" ht="13.8">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row>
    <row r="439" spans="1:33" ht="13.8">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row>
    <row r="440" spans="1:33" ht="13.8">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row>
    <row r="441" spans="1:33" ht="13.8">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row>
    <row r="442" spans="1:33" ht="13.8">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row>
    <row r="443" spans="1:33" ht="13.8">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row>
    <row r="444" spans="1:33" ht="13.8">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row>
    <row r="445" spans="1:33" ht="13.8">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row>
    <row r="446" spans="1:33" ht="13.8">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row>
    <row r="447" spans="1:33" ht="13.8">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row>
    <row r="448" spans="1:33" ht="13.8">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row>
    <row r="449" spans="1:33" ht="13.8">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row>
    <row r="450" spans="1:33" ht="13.8">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row>
    <row r="451" spans="1:33" ht="13.8">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row>
    <row r="452" spans="1:33" ht="13.8">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row>
    <row r="453" spans="1:33" ht="13.8">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row>
    <row r="454" spans="1:33" ht="13.8">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row>
    <row r="455" spans="1:33" ht="13.8">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row>
    <row r="456" spans="1:33" ht="13.8">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row>
    <row r="457" spans="1:33" ht="13.8">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row>
    <row r="458" spans="1:33" ht="13.8">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row>
    <row r="459" spans="1:33" ht="13.8">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row>
    <row r="460" spans="1:33" ht="13.8">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row>
    <row r="461" spans="1:33" ht="13.8">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row>
    <row r="462" spans="1:33" ht="13.8">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row>
    <row r="463" spans="1:33" ht="13.8">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row>
    <row r="464" spans="1:33" ht="13.8">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row>
    <row r="465" spans="1:33" ht="13.8">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row>
    <row r="466" spans="1:33" ht="13.8">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row>
    <row r="467" spans="1:33" ht="13.8">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row>
    <row r="468" spans="1:33" ht="13.8">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row>
    <row r="469" spans="1:33" ht="13.8">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row>
    <row r="470" spans="1:33" ht="13.8">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row>
    <row r="471" spans="1:33" ht="13.8">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row>
    <row r="472" spans="1:33" ht="13.8">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row>
    <row r="473" spans="1:33" ht="13.8">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row>
    <row r="474" spans="1:33" ht="13.8">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row>
    <row r="475" spans="1:33" ht="13.8">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row>
    <row r="476" spans="1:33" ht="13.8">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row>
    <row r="477" spans="1:33" ht="13.8">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row>
    <row r="478" spans="1:33" ht="13.8">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row>
    <row r="479" spans="1:33" ht="13.8">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row>
    <row r="480" spans="1:33" ht="13.8">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row>
    <row r="481" spans="1:33" ht="13.8">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row>
    <row r="482" spans="1:33" ht="13.8">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row>
    <row r="483" spans="1:33" ht="13.8">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row>
    <row r="484" spans="1:33" ht="13.8">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row>
    <row r="485" spans="1:33" ht="13.8">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row>
    <row r="486" spans="1:33" ht="13.8">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row>
    <row r="487" spans="1:33" ht="13.8">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row>
    <row r="488" spans="1:33" ht="13.8">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row>
    <row r="489" spans="1:33" ht="13.8">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row>
    <row r="490" spans="1:33" ht="13.8">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row>
    <row r="491" spans="1:33" ht="13.8">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row>
    <row r="492" spans="1:33" ht="13.8">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row>
    <row r="493" spans="1:33" ht="13.8">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row>
    <row r="494" spans="1:33" ht="13.8">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row>
    <row r="495" spans="1:33" ht="13.8">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row>
    <row r="496" spans="1:33" ht="13.8">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row>
    <row r="497" spans="1:33" ht="13.8">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row>
    <row r="498" spans="1:33" ht="13.8">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row>
    <row r="499" spans="1:33" ht="13.8">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row>
    <row r="500" spans="1:33" ht="13.8">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row>
    <row r="501" spans="1:33" ht="13.8">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row>
    <row r="502" spans="1:33" ht="13.8">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row>
    <row r="503" spans="1:33" ht="13.8">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row>
    <row r="504" spans="1:33" ht="13.8">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row>
    <row r="505" spans="1:33" ht="13.8">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row>
    <row r="506" spans="1:33" ht="13.8">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row>
    <row r="507" spans="1:33" ht="13.8">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row>
    <row r="508" spans="1:33" ht="13.8">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row>
    <row r="509" spans="1:33" ht="13.8">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row>
    <row r="510" spans="1:33" ht="13.8">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row>
    <row r="511" spans="1:33" ht="13.8">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row>
    <row r="512" spans="1:33" ht="13.8">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row>
    <row r="513" spans="1:33" ht="13.8">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row>
    <row r="514" spans="1:33" ht="13.8">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row>
    <row r="515" spans="1:33" ht="13.8">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row>
    <row r="516" spans="1:33" ht="13.8">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row>
    <row r="517" spans="1:33" ht="13.8">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row>
    <row r="518" spans="1:33" ht="13.8">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row>
    <row r="519" spans="1:33" ht="13.8">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row>
    <row r="520" spans="1:33" ht="13.8">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row>
    <row r="521" spans="1:33" ht="13.8">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row>
    <row r="522" spans="1:33" ht="13.8">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row>
    <row r="523" spans="1:33" ht="13.8">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row>
    <row r="524" spans="1:33" ht="13.8">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row>
    <row r="525" spans="1:33" ht="13.8">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row>
    <row r="526" spans="1:33" ht="13.8">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row>
    <row r="527" spans="1:33" ht="13.8">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row>
    <row r="528" spans="1:33" ht="13.8">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row>
    <row r="529" spans="1:33" ht="13.8">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row>
    <row r="530" spans="1:33" ht="13.8">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row>
    <row r="531" spans="1:33" ht="13.8">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row>
    <row r="532" spans="1:33" ht="13.8">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row>
    <row r="533" spans="1:33" ht="13.8">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row>
    <row r="534" spans="1:33" ht="13.8">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row>
    <row r="535" spans="1:33" ht="13.8">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row>
    <row r="536" spans="1:33" ht="13.8">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row>
    <row r="537" spans="1:33" ht="13.8">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row>
    <row r="538" spans="1:33" ht="13.8">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row>
    <row r="539" spans="1:33" ht="13.8">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row>
    <row r="540" spans="1:33" ht="13.8">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row>
    <row r="541" spans="1:33" ht="13.8">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row>
    <row r="542" spans="1:33" ht="13.8">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row>
    <row r="543" spans="1:33" ht="13.8">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row>
    <row r="544" spans="1:33" ht="13.8">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row>
    <row r="545" spans="1:33" ht="13.8">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row>
    <row r="546" spans="1:33" ht="13.8">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row>
    <row r="547" spans="1:33" ht="13.8">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row>
    <row r="548" spans="1:33" ht="13.8">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row>
    <row r="549" spans="1:33" ht="13.8">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row>
    <row r="550" spans="1:33" ht="13.8">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row>
    <row r="551" spans="1:33" ht="13.8">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row>
    <row r="552" spans="1:33" ht="13.8">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row>
    <row r="553" spans="1:33" ht="13.8">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row>
    <row r="554" spans="1:33" ht="13.8">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row>
    <row r="555" spans="1:33" ht="13.8">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row>
    <row r="556" spans="1:33" ht="13.8">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row>
    <row r="557" spans="1:33" ht="13.8">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row>
    <row r="558" spans="1:33" ht="13.8">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row>
    <row r="559" spans="1:33" ht="13.8">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row>
    <row r="560" spans="1:33" ht="13.8">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row>
    <row r="561" spans="1:33" ht="13.8">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row>
    <row r="562" spans="1:33" ht="13.8">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row>
    <row r="563" spans="1:33" ht="13.8">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row>
    <row r="564" spans="1:33" ht="13.8">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row>
    <row r="565" spans="1:33" ht="13.8">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row>
    <row r="566" spans="1:33" ht="13.8">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row>
    <row r="567" spans="1:33" ht="13.8">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row>
    <row r="568" spans="1:33" ht="13.8">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row>
    <row r="569" spans="1:33" ht="13.8">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row>
    <row r="570" spans="1:33" ht="13.8">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row>
    <row r="571" spans="1:33" ht="13.8">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row>
    <row r="572" spans="1:33" ht="13.8">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row>
    <row r="573" spans="1:33" ht="13.8">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row>
    <row r="574" spans="1:33" ht="13.8">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row>
    <row r="575" spans="1:33" ht="13.8">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row>
    <row r="576" spans="1:33" ht="13.8">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row>
    <row r="577" spans="1:33" ht="13.8">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row>
    <row r="578" spans="1:33" ht="13.8">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row>
    <row r="579" spans="1:33" ht="13.8">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row>
    <row r="580" spans="1:33" ht="13.8">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row>
    <row r="581" spans="1:33" ht="13.8">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row>
    <row r="582" spans="1:33" ht="13.8">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row>
    <row r="583" spans="1:33" ht="13.8">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row>
    <row r="584" spans="1:33" ht="13.8">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row>
    <row r="585" spans="1:33" ht="13.8">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row>
    <row r="586" spans="1:33" ht="13.8">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row>
    <row r="587" spans="1:33" ht="13.8">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row>
    <row r="588" spans="1:33" ht="13.8">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row>
    <row r="589" spans="1:33" ht="13.8">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row>
    <row r="590" spans="1:33" ht="13.8">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row>
    <row r="591" spans="1:33" ht="13.8">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row>
    <row r="592" spans="1:33" ht="13.8">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row>
    <row r="593" spans="1:33" ht="13.8">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row>
    <row r="594" spans="1:33" ht="13.8">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row>
    <row r="595" spans="1:33" ht="13.8">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row>
    <row r="596" spans="1:33" ht="13.8">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row>
    <row r="597" spans="1:33" ht="13.8">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row>
    <row r="598" spans="1:33" ht="13.8">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row>
    <row r="599" spans="1:33" ht="13.8">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row>
    <row r="600" spans="1:33" ht="13.8">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row>
    <row r="601" spans="1:33" ht="13.8">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row>
    <row r="602" spans="1:33" ht="13.8">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row>
    <row r="603" spans="1:33" ht="13.8">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row>
    <row r="604" spans="1:33" ht="13.8">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row>
    <row r="605" spans="1:33" ht="13.8">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row>
    <row r="606" spans="1:33" ht="13.8">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row>
    <row r="607" spans="1:33" ht="13.8">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row>
    <row r="608" spans="1:33" ht="13.8">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row>
    <row r="609" spans="1:33" ht="13.8">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row>
    <row r="610" spans="1:33" ht="13.8">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row>
    <row r="611" spans="1:33" ht="13.8">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row>
    <row r="612" spans="1:33" ht="13.8">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row>
    <row r="613" spans="1:33" ht="13.8">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row>
    <row r="614" spans="1:33" ht="13.8">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row>
    <row r="615" spans="1:33" ht="13.8">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row>
    <row r="616" spans="1:33" ht="13.8">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row>
    <row r="617" spans="1:33" ht="13.8">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row>
    <row r="618" spans="1:33" ht="13.8">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row>
    <row r="619" spans="1:33" ht="13.8">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row>
    <row r="620" spans="1:33" ht="13.8">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row>
    <row r="621" spans="1:33" ht="13.8">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row>
    <row r="622" spans="1:33" ht="13.8">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row>
    <row r="623" spans="1:33" ht="13.8">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row>
    <row r="624" spans="1:33" ht="13.8">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row>
    <row r="625" spans="1:33" ht="13.8">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row>
    <row r="626" spans="1:33" ht="13.8">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row>
    <row r="627" spans="1:33" ht="13.8">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row>
    <row r="628" spans="1:33" ht="13.8">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row>
    <row r="629" spans="1:33" ht="13.8">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row>
    <row r="630" spans="1:33" ht="13.8">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row>
    <row r="631" spans="1:33" ht="13.8">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row>
    <row r="632" spans="1:33" ht="13.8">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row>
    <row r="633" spans="1:33" ht="13.8">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row>
    <row r="634" spans="1:33" ht="13.8">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row>
    <row r="635" spans="1:33" ht="13.8">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row>
    <row r="636" spans="1:33" ht="13.8">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row>
    <row r="637" spans="1:33" ht="13.8">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row>
    <row r="638" spans="1:33" ht="13.8">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row>
    <row r="639" spans="1:33" ht="13.8">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row>
    <row r="640" spans="1:33" ht="13.8">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row>
    <row r="641" spans="1:33" ht="13.8">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row>
    <row r="642" spans="1:33" ht="13.8">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row>
    <row r="643" spans="1:33" ht="13.8">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row>
    <row r="644" spans="1:33" ht="13.8">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row>
    <row r="645" spans="1:33" ht="13.8">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row>
    <row r="646" spans="1:33" ht="13.8">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row>
    <row r="647" spans="1:33" ht="13.8">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row>
    <row r="648" spans="1:33" ht="13.8">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row>
    <row r="649" spans="1:33" ht="13.8">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row>
    <row r="650" spans="1:33" ht="13.8">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row>
    <row r="651" spans="1:33" ht="13.8">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row>
    <row r="652" spans="1:33" ht="13.8">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row>
    <row r="653" spans="1:33" ht="13.8">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row>
    <row r="654" spans="1:33" ht="13.8">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row>
    <row r="655" spans="1:33" ht="13.8">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row>
    <row r="656" spans="1:33" ht="13.8">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row>
    <row r="657" spans="1:33" ht="13.8">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row>
    <row r="658" spans="1:33" ht="13.8">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row>
    <row r="659" spans="1:33" ht="13.8">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row>
    <row r="660" spans="1:33" ht="13.8">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row>
    <row r="661" spans="1:33" ht="13.8">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row>
    <row r="662" spans="1:33" ht="13.8">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row>
    <row r="663" spans="1:33" ht="13.8">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row>
    <row r="664" spans="1:33" ht="13.8">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row>
    <row r="665" spans="1:33" ht="13.8">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row>
    <row r="666" spans="1:33" ht="13.8">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row>
    <row r="667" spans="1:33" ht="13.8">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row>
    <row r="668" spans="1:33" ht="13.8">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row>
    <row r="669" spans="1:33" ht="13.8">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row>
    <row r="670" spans="1:33" ht="13.8">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row>
    <row r="671" spans="1:33" ht="13.8">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row>
    <row r="672" spans="1:33" ht="13.8">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row>
    <row r="673" spans="1:33" ht="13.8">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row>
    <row r="674" spans="1:33" ht="13.8">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row>
    <row r="675" spans="1:33" ht="13.8">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row>
    <row r="676" spans="1:33" ht="13.8">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row>
    <row r="677" spans="1:33" ht="13.8">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row>
    <row r="678" spans="1:33" ht="13.8">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row>
    <row r="679" spans="1:33" ht="13.8">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row>
    <row r="680" spans="1:33" ht="13.8">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row>
    <row r="681" spans="1:33" ht="13.8">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row>
    <row r="682" spans="1:33" ht="13.8">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row>
    <row r="683" spans="1:33" ht="13.8">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row>
    <row r="684" spans="1:33" ht="13.8">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row>
    <row r="685" spans="1:33" ht="13.8">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row>
    <row r="686" spans="1:33" ht="13.8">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row>
    <row r="687" spans="1:33" ht="13.8">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row>
    <row r="688" spans="1:33" ht="13.8">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row>
    <row r="689" spans="1:33" ht="13.8">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row>
    <row r="690" spans="1:33" ht="13.8">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row>
    <row r="691" spans="1:33" ht="13.8">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row>
    <row r="692" spans="1:33" ht="13.8">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row>
    <row r="693" spans="1:33" ht="13.8">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row>
    <row r="694" spans="1:33" ht="13.8">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row>
    <row r="695" spans="1:33" ht="13.8">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row>
    <row r="696" spans="1:33" ht="13.8">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row>
    <row r="697" spans="1:33" ht="13.8">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row>
    <row r="698" spans="1:33" ht="13.8">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row>
    <row r="699" spans="1:33" ht="13.8">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row>
    <row r="700" spans="1:33" ht="13.8">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row>
    <row r="701" spans="1:33" ht="13.8">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row>
    <row r="702" spans="1:33" ht="13.8">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row>
    <row r="703" spans="1:33" ht="13.8">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row>
    <row r="704" spans="1:33" ht="13.8">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row>
    <row r="705" spans="1:33" ht="13.8">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row>
    <row r="706" spans="1:33" ht="13.8">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row>
    <row r="707" spans="1:33" ht="13.8">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row>
    <row r="708" spans="1:33" ht="13.8">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row>
    <row r="709" spans="1:33" ht="13.8">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row>
    <row r="710" spans="1:33" ht="13.8">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row>
    <row r="711" spans="1:33" ht="13.8">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row>
    <row r="712" spans="1:33" ht="13.8">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row>
    <row r="713" spans="1:33" ht="13.8">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row>
    <row r="714" spans="1:33" ht="13.8">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row>
    <row r="715" spans="1:33" ht="13.8">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row>
    <row r="716" spans="1:33" ht="13.8">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row>
    <row r="717" spans="1:33" ht="13.8">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row>
    <row r="718" spans="1:33" ht="13.8">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row>
    <row r="719" spans="1:33" ht="13.8">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row>
    <row r="720" spans="1:33" ht="13.8">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row>
    <row r="721" spans="1:33" ht="13.8">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row>
    <row r="722" spans="1:33" ht="13.8">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row>
    <row r="723" spans="1:33" ht="13.8">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row>
    <row r="724" spans="1:33" ht="13.8">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row>
    <row r="725" spans="1:33" ht="13.8">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row>
    <row r="726" spans="1:33" ht="13.8">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row>
    <row r="727" spans="1:33" ht="13.8">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row>
    <row r="728" spans="1:33" ht="13.8">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row>
    <row r="729" spans="1:33" ht="13.8">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row>
    <row r="730" spans="1:33" ht="13.8">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row>
    <row r="731" spans="1:33" ht="13.8">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row>
    <row r="732" spans="1:33" ht="13.8">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row>
    <row r="733" spans="1:33" ht="13.8">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row>
    <row r="734" spans="1:33" ht="13.8">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row>
    <row r="735" spans="1:33" ht="13.8">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row>
    <row r="736" spans="1:33" ht="13.8">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row>
    <row r="737" spans="1:33" ht="13.8">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row>
    <row r="738" spans="1:33" ht="13.8">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row>
    <row r="739" spans="1:33" ht="13.8">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row>
    <row r="740" spans="1:33" ht="13.8">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row>
    <row r="741" spans="1:33" ht="13.8">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row>
    <row r="742" spans="1:33" ht="13.8">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row>
    <row r="743" spans="1:33" ht="13.8">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row>
    <row r="744" spans="1:33" ht="13.8">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row>
    <row r="745" spans="1:33" ht="13.8">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row>
    <row r="746" spans="1:33" ht="13.8">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row>
    <row r="747" spans="1:33" ht="13.8">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row>
    <row r="748" spans="1:33" ht="13.8">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row>
    <row r="749" spans="1:33" ht="13.8">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row>
    <row r="750" spans="1:33" ht="13.8">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row>
    <row r="751" spans="1:33" ht="13.8">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row>
    <row r="752" spans="1:33" ht="13.8">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row>
    <row r="753" spans="1:33" ht="13.8">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row>
    <row r="754" spans="1:33" ht="13.8">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row>
    <row r="755" spans="1:33" ht="13.8">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row>
    <row r="756" spans="1:33" ht="13.8">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row>
    <row r="757" spans="1:33" ht="13.8">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row>
    <row r="758" spans="1:33" ht="13.8">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row>
    <row r="759" spans="1:33" ht="13.8">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row>
    <row r="760" spans="1:33" ht="13.8">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row>
    <row r="761" spans="1:33" ht="13.8">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row>
    <row r="762" spans="1:33" ht="13.8">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row>
    <row r="763" spans="1:33" ht="13.8">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row>
    <row r="764" spans="1:33" ht="13.8">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row>
    <row r="765" spans="1:33" ht="13.8">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row>
    <row r="766" spans="1:33" ht="13.8">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row>
    <row r="767" spans="1:33" ht="13.8">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row>
    <row r="768" spans="1:33" ht="13.8">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row>
    <row r="769" spans="1:33" ht="13.8">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row>
    <row r="770" spans="1:33" ht="13.8">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row>
    <row r="771" spans="1:33" ht="13.8">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row>
    <row r="772" spans="1:33" ht="13.8">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row>
    <row r="773" spans="1:33" ht="13.8">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row>
    <row r="774" spans="1:33" ht="13.8">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row>
    <row r="775" spans="1:33" ht="13.8">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row>
    <row r="776" spans="1:33" ht="13.8">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row>
    <row r="777" spans="1:33" ht="13.8">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row>
    <row r="778" spans="1:33" ht="13.8">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row>
    <row r="779" spans="1:33" ht="13.8">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row>
    <row r="780" spans="1:33" ht="13.8">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row>
    <row r="781" spans="1:33" ht="13.8">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row>
    <row r="782" spans="1:33" ht="13.8">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row>
    <row r="783" spans="1:33" ht="13.8">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row>
    <row r="784" spans="1:33" ht="13.8">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row>
    <row r="785" spans="1:33" ht="13.8">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row>
    <row r="786" spans="1:33" ht="13.8">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row>
    <row r="787" spans="1:33" ht="13.8">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row>
    <row r="788" spans="1:33" ht="13.8">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row>
    <row r="789" spans="1:33" ht="13.8">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row>
    <row r="790" spans="1:33" ht="13.8">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row>
    <row r="791" spans="1:33" ht="13.8">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row>
    <row r="792" spans="1:33" ht="13.8">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row>
    <row r="793" spans="1:33" ht="13.8">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row>
    <row r="794" spans="1:33" ht="13.8">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row>
    <row r="795" spans="1:33" ht="13.8">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row>
    <row r="796" spans="1:33" ht="13.8">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row>
    <row r="797" spans="1:33" ht="13.8">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row>
    <row r="798" spans="1:33" ht="13.8">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row>
    <row r="799" spans="1:33" ht="13.8">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row>
    <row r="800" spans="1:33" ht="13.8">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row>
    <row r="801" spans="1:33" ht="13.8">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row>
    <row r="802" spans="1:33" ht="13.8">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row>
    <row r="803" spans="1:33" ht="13.8">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row>
    <row r="804" spans="1:33" ht="13.8">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row>
    <row r="805" spans="1:33" ht="13.8">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row>
    <row r="806" spans="1:33" ht="13.8">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row>
    <row r="807" spans="1:33" ht="13.8">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row>
    <row r="808" spans="1:33" ht="13.8">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row>
    <row r="809" spans="1:33" ht="13.8">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row>
    <row r="810" spans="1:33" ht="13.8">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row>
    <row r="811" spans="1:33" ht="13.8">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row>
    <row r="812" spans="1:33" ht="13.8">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row>
    <row r="813" spans="1:33" ht="13.8">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row>
    <row r="814" spans="1:33" ht="13.8">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row>
    <row r="815" spans="1:33" ht="13.8">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row>
    <row r="816" spans="1:33" ht="13.8">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row>
    <row r="817" spans="1:33" ht="13.8">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row>
    <row r="818" spans="1:33" ht="13.8">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row>
    <row r="819" spans="1:33" ht="13.8">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row>
    <row r="820" spans="1:33" ht="13.8">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row>
    <row r="821" spans="1:33" ht="13.8">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row>
    <row r="822" spans="1:33" ht="13.8">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row>
    <row r="823" spans="1:33" ht="13.8">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row>
    <row r="824" spans="1:33" ht="13.8">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row>
    <row r="825" spans="1:33" ht="13.8">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row>
    <row r="826" spans="1:33" ht="13.8">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row>
    <row r="827" spans="1:33" ht="13.8">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row>
    <row r="828" spans="1:33" ht="13.8">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row>
    <row r="829" spans="1:33" ht="13.8">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row>
    <row r="830" spans="1:33" ht="13.8">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row>
    <row r="831" spans="1:33" ht="13.8">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row>
    <row r="832" spans="1:33" ht="13.8">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row>
    <row r="833" spans="1:33" ht="13.8">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row>
    <row r="834" spans="1:33" ht="13.8">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row>
    <row r="835" spans="1:33" ht="13.8">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row>
    <row r="836" spans="1:33" ht="13.8">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row>
    <row r="837" spans="1:33" ht="13.8">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row>
    <row r="838" spans="1:33" ht="13.8">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row>
    <row r="839" spans="1:33" ht="13.8">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row>
    <row r="840" spans="1:33" ht="13.8">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row>
    <row r="841" spans="1:33" ht="13.8">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row>
    <row r="842" spans="1:33" ht="13.8">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row>
    <row r="843" spans="1:33" ht="13.8">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row>
    <row r="844" spans="1:33" ht="13.8">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row>
    <row r="845" spans="1:33" ht="13.8">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row>
    <row r="846" spans="1:33" ht="13.8">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row>
    <row r="847" spans="1:33" ht="13.8">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row>
    <row r="848" spans="1:33" ht="13.8">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row>
    <row r="849" spans="1:33" ht="13.8">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row>
    <row r="850" spans="1:33" ht="13.8">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row>
    <row r="851" spans="1:33" ht="13.8">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row>
    <row r="852" spans="1:33" ht="13.8">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row>
    <row r="853" spans="1:33" ht="13.8">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row>
    <row r="854" spans="1:33" ht="13.8">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row>
    <row r="855" spans="1:33" ht="13.8">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row>
    <row r="856" spans="1:33" ht="13.8">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row>
    <row r="857" spans="1:33" ht="13.8">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row>
    <row r="858" spans="1:33" ht="13.8">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row>
    <row r="859" spans="1:33" ht="13.8">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row>
    <row r="860" spans="1:33" ht="13.8">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row>
    <row r="861" spans="1:33" ht="13.8">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row>
    <row r="862" spans="1:33" ht="13.8">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row>
    <row r="863" spans="1:33" ht="13.8">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row>
    <row r="864" spans="1:33" ht="13.8">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row>
    <row r="865" spans="1:33" ht="13.8">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row>
    <row r="866" spans="1:33" ht="13.8">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row>
    <row r="867" spans="1:33" ht="13.8">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row>
    <row r="868" spans="1:33" ht="13.8">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row>
    <row r="869" spans="1:33" ht="13.8">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row>
    <row r="870" spans="1:33" ht="13.8">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row>
    <row r="871" spans="1:33" ht="13.8">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row>
    <row r="872" spans="1:33" ht="13.8">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row>
    <row r="873" spans="1:33" ht="13.8">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row>
    <row r="874" spans="1:33" ht="13.8">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row>
    <row r="875" spans="1:33" ht="13.8">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row>
    <row r="876" spans="1:33" ht="13.8">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row>
    <row r="877" spans="1:33" ht="13.8">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row>
    <row r="878" spans="1:33" ht="13.8">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row>
    <row r="879" spans="1:33" ht="13.8">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row>
    <row r="880" spans="1:33" ht="13.8">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row>
    <row r="881" spans="1:33" ht="13.8">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row>
    <row r="882" spans="1:33" ht="13.8">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row>
    <row r="883" spans="1:33" ht="13.8">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row>
    <row r="884" spans="1:33" ht="13.8">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row>
    <row r="885" spans="1:33" ht="13.8">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row>
    <row r="886" spans="1:33" ht="13.8">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row>
    <row r="887" spans="1:33" ht="13.8">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row>
    <row r="888" spans="1:33" ht="13.8">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row>
    <row r="889" spans="1:33" ht="13.8">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row>
    <row r="890" spans="1:33" ht="13.8">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row>
    <row r="891" spans="1:33" ht="13.8">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row>
    <row r="892" spans="1:33" ht="13.8">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row>
    <row r="893" spans="1:33" ht="13.8">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row>
    <row r="894" spans="1:33" ht="13.8">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row>
    <row r="895" spans="1:33" ht="13.8">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row>
    <row r="896" spans="1:33" ht="13.8">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row>
    <row r="897" spans="1:33" ht="13.8">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row>
    <row r="898" spans="1:33" ht="13.8">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row>
    <row r="899" spans="1:33" ht="13.8">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row>
    <row r="900" spans="1:33" ht="13.8">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row>
    <row r="901" spans="1:33" ht="13.8">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row>
    <row r="902" spans="1:33" ht="13.8">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row>
    <row r="903" spans="1:33" ht="13.8">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row>
    <row r="904" spans="1:33" ht="13.8">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row>
    <row r="905" spans="1:33" ht="13.8">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row>
    <row r="906" spans="1:33" ht="13.8">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row>
    <row r="907" spans="1:33" ht="13.8">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row>
    <row r="908" spans="1:33" ht="13.8">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row>
    <row r="909" spans="1:33" ht="13.8">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row>
    <row r="910" spans="1:33" ht="13.8">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row>
    <row r="911" spans="1:33" ht="13.8">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row>
    <row r="912" spans="1:33" ht="13.8">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row>
    <row r="913" spans="1:33" ht="13.8">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row>
    <row r="914" spans="1:33" ht="13.8">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row>
    <row r="915" spans="1:33" ht="13.8">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row>
    <row r="916" spans="1:33" ht="13.8">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row>
    <row r="917" spans="1:33" ht="13.8">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row>
    <row r="918" spans="1:33" ht="13.8">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row>
    <row r="919" spans="1:33" ht="13.8">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row>
    <row r="920" spans="1:33" ht="13.8">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row>
    <row r="921" spans="1:33" ht="13.8">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row>
    <row r="922" spans="1:33" ht="13.8">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row>
    <row r="923" spans="1:33" ht="13.8">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row>
    <row r="924" spans="1:33" ht="13.8">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row>
    <row r="925" spans="1:33" ht="13.8">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row>
    <row r="926" spans="1:33" ht="13.8">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row>
    <row r="927" spans="1:33" ht="13.8">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row>
    <row r="928" spans="1:33" ht="13.8">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row>
    <row r="929" spans="1:33" ht="13.8">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row>
    <row r="930" spans="1:33" ht="13.8">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row>
    <row r="931" spans="1:33" ht="13.8">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row>
    <row r="932" spans="1:33" ht="13.8">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row>
    <row r="933" spans="1:33" ht="13.8">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row>
    <row r="934" spans="1:33" ht="13.8">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row>
    <row r="935" spans="1:33" ht="13.8">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row>
    <row r="936" spans="1:33" ht="13.8">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row>
    <row r="937" spans="1:33" ht="13.8">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row>
    <row r="938" spans="1:33" ht="13.8">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row>
    <row r="939" spans="1:33" ht="13.8">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row>
    <row r="940" spans="1:33" ht="13.8">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row>
    <row r="941" spans="1:33" ht="13.8">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row>
    <row r="942" spans="1:33" ht="13.8">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row>
    <row r="943" spans="1:33" ht="13.8">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row>
    <row r="944" spans="1:33" ht="13.8">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row>
    <row r="945" spans="1:33" ht="13.8">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row>
    <row r="946" spans="1:33" ht="13.8">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row>
    <row r="947" spans="1:33" ht="13.8">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row>
    <row r="948" spans="1:33" ht="13.8">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row>
    <row r="949" spans="1:33" ht="13.8">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row>
    <row r="950" spans="1:33" ht="13.8">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row>
    <row r="951" spans="1:33" ht="13.8">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row>
    <row r="952" spans="1:33" ht="13.8">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row>
    <row r="953" spans="1:33" ht="13.8">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row>
    <row r="954" spans="1:33" ht="13.8">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row>
    <row r="955" spans="1:33" ht="13.8">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row>
    <row r="956" spans="1:33" ht="13.8">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row>
    <row r="957" spans="1:33" ht="13.8">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row>
    <row r="958" spans="1:33" ht="13.8">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row>
    <row r="959" spans="1:33" ht="13.8">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row>
    <row r="960" spans="1:33" ht="13.8">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row>
    <row r="961" spans="1:33" ht="13.8">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row>
    <row r="962" spans="1:33" ht="13.8">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row>
    <row r="963" spans="1:33" ht="13.8">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row>
    <row r="964" spans="1:33" ht="13.8">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row>
    <row r="965" spans="1:33" ht="13.8">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row>
    <row r="966" spans="1:33" ht="13.8">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row>
    <row r="967" spans="1:33" ht="13.8">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row>
    <row r="968" spans="1:33" ht="13.8">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row>
    <row r="969" spans="1:33" ht="13.8">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row>
    <row r="970" spans="1:33" ht="13.8">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row>
    <row r="971" spans="1:33" ht="13.8">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row>
    <row r="972" spans="1:33" ht="13.8">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row>
    <row r="973" spans="1:33" ht="13.8">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row>
    <row r="974" spans="1:33" ht="13.8">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row>
    <row r="975" spans="1:33" ht="13.8">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row>
    <row r="976" spans="1:33" ht="13.8">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row>
    <row r="977" spans="1:33" ht="13.8">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row>
    <row r="978" spans="1:33" ht="13.8">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row>
    <row r="979" spans="1:33" ht="13.8">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row>
    <row r="980" spans="1:33" ht="13.8">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row>
    <row r="981" spans="1:33" ht="13.8">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row>
    <row r="982" spans="1:33" ht="13.8">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row>
    <row r="983" spans="1:33" ht="13.8">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row>
    <row r="984" spans="1:33" ht="13.8">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row>
    <row r="985" spans="1:33" ht="13.8">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row>
    <row r="986" spans="1:33" ht="13.8">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row>
    <row r="987" spans="1:33" ht="13.8">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row>
    <row r="988" spans="1:33" ht="13.8">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row>
    <row r="989" spans="1:33" ht="13.8">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row>
    <row r="990" spans="1:33" ht="13.8">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row>
    <row r="991" spans="1:33" ht="13.8">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row>
    <row r="992" spans="1:33" ht="13.8">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row>
    <row r="993" spans="1:33" ht="13.8">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row>
    <row r="994" spans="1:33" ht="13.8">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row>
    <row r="995" spans="1:33" ht="13.8">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row>
    <row r="996" spans="1:33" ht="13.8">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row>
    <row r="997" spans="1:33" ht="13.8">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row>
    <row r="998" spans="1:33" ht="13.8">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row>
    <row r="999" spans="1:33" ht="13.8">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row>
    <row r="1000" spans="1:33" ht="13.8">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c r="AG1000" s="1"/>
    </row>
    <row r="1001" spans="1:33" ht="13.8">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c r="AA1001" s="1"/>
      <c r="AB1001" s="1"/>
      <c r="AC1001" s="1"/>
      <c r="AD1001" s="1"/>
      <c r="AE1001" s="1"/>
      <c r="AF1001" s="1"/>
      <c r="AG1001" s="1"/>
    </row>
    <row r="1002" spans="1:33" ht="13.8">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c r="AA1002" s="1"/>
      <c r="AB1002" s="1"/>
      <c r="AC1002" s="1"/>
      <c r="AD1002" s="1"/>
      <c r="AE1002" s="1"/>
      <c r="AF1002" s="1"/>
      <c r="AG1002" s="1"/>
    </row>
    <row r="1003" spans="1:33" ht="13.8">
      <c r="A1003" s="1"/>
      <c r="B1003" s="1"/>
      <c r="C1003" s="1"/>
      <c r="D1003" s="1"/>
      <c r="E1003" s="1"/>
      <c r="F1003" s="1"/>
      <c r="G1003" s="1"/>
      <c r="H1003" s="1"/>
      <c r="I1003" s="1"/>
      <c r="J1003" s="1"/>
      <c r="K1003" s="1"/>
      <c r="L1003" s="1"/>
      <c r="M1003" s="1"/>
      <c r="N1003" s="1"/>
      <c r="O1003" s="1"/>
      <c r="P1003" s="1"/>
      <c r="Q1003" s="1"/>
      <c r="R1003" s="1"/>
      <c r="S1003" s="1"/>
      <c r="T1003" s="1"/>
      <c r="U1003" s="1"/>
      <c r="V1003" s="1"/>
      <c r="W1003" s="1"/>
      <c r="X1003" s="1"/>
      <c r="Y1003" s="1"/>
      <c r="Z1003" s="1"/>
      <c r="AA1003" s="1"/>
      <c r="AB1003" s="1"/>
      <c r="AC1003" s="1"/>
      <c r="AD1003" s="1"/>
      <c r="AE1003" s="1"/>
      <c r="AF1003" s="1"/>
      <c r="AG1003" s="1"/>
    </row>
    <row r="1004" spans="1:33" ht="13.8">
      <c r="A1004" s="1"/>
      <c r="B1004" s="1"/>
      <c r="C1004" s="1"/>
      <c r="D1004" s="1"/>
      <c r="E1004" s="1"/>
      <c r="F1004" s="1"/>
      <c r="G1004" s="1"/>
      <c r="H1004" s="1"/>
      <c r="I1004" s="1"/>
      <c r="J1004" s="1"/>
      <c r="K1004" s="1"/>
      <c r="L1004" s="1"/>
      <c r="M1004" s="1"/>
      <c r="N1004" s="1"/>
      <c r="O1004" s="1"/>
      <c r="P1004" s="1"/>
      <c r="Q1004" s="1"/>
      <c r="R1004" s="1"/>
      <c r="S1004" s="1"/>
      <c r="T1004" s="1"/>
      <c r="U1004" s="1"/>
      <c r="V1004" s="1"/>
      <c r="W1004" s="1"/>
      <c r="X1004" s="1"/>
      <c r="Y1004" s="1"/>
      <c r="Z1004" s="1"/>
      <c r="AA1004" s="1"/>
      <c r="AB1004" s="1"/>
      <c r="AC1004" s="1"/>
      <c r="AD1004" s="1"/>
      <c r="AE1004" s="1"/>
      <c r="AF1004" s="1"/>
      <c r="AG1004" s="1"/>
    </row>
    <row r="1005" spans="1:33" ht="13.8">
      <c r="A1005" s="1"/>
      <c r="B1005" s="1"/>
      <c r="C1005" s="1"/>
      <c r="D1005" s="1"/>
      <c r="E1005" s="1"/>
      <c r="F1005" s="1"/>
      <c r="G1005" s="1"/>
      <c r="H1005" s="1"/>
      <c r="I1005" s="1"/>
      <c r="J1005" s="1"/>
      <c r="K1005" s="1"/>
      <c r="L1005" s="1"/>
      <c r="M1005" s="1"/>
      <c r="N1005" s="1"/>
      <c r="O1005" s="1"/>
      <c r="P1005" s="1"/>
      <c r="Q1005" s="1"/>
      <c r="R1005" s="1"/>
      <c r="S1005" s="1"/>
      <c r="T1005" s="1"/>
      <c r="U1005" s="1"/>
      <c r="V1005" s="1"/>
      <c r="W1005" s="1"/>
      <c r="X1005" s="1"/>
      <c r="Y1005" s="1"/>
      <c r="Z1005" s="1"/>
      <c r="AA1005" s="1"/>
      <c r="AB1005" s="1"/>
      <c r="AC1005" s="1"/>
      <c r="AD1005" s="1"/>
      <c r="AE1005" s="1"/>
      <c r="AF1005" s="1"/>
      <c r="AG1005" s="1"/>
    </row>
    <row r="1006" spans="1:33" ht="13.8">
      <c r="A1006" s="1"/>
      <c r="B1006" s="1"/>
      <c r="C1006" s="1"/>
      <c r="D1006" s="1"/>
      <c r="E1006" s="1"/>
      <c r="F1006" s="1"/>
      <c r="G1006" s="1"/>
      <c r="H1006" s="1"/>
      <c r="I1006" s="1"/>
      <c r="J1006" s="1"/>
      <c r="K1006" s="1"/>
      <c r="L1006" s="1"/>
      <c r="M1006" s="1"/>
      <c r="N1006" s="1"/>
      <c r="O1006" s="1"/>
      <c r="P1006" s="1"/>
      <c r="Q1006" s="1"/>
      <c r="R1006" s="1"/>
      <c r="S1006" s="1"/>
      <c r="T1006" s="1"/>
      <c r="U1006" s="1"/>
      <c r="V1006" s="1"/>
      <c r="W1006" s="1"/>
      <c r="X1006" s="1"/>
      <c r="Y1006" s="1"/>
      <c r="Z1006" s="1"/>
      <c r="AA1006" s="1"/>
      <c r="AB1006" s="1"/>
      <c r="AC1006" s="1"/>
      <c r="AD1006" s="1"/>
      <c r="AE1006" s="1"/>
      <c r="AF1006" s="1"/>
      <c r="AG1006" s="1"/>
    </row>
    <row r="1007" spans="1:33" ht="13.8">
      <c r="A1007" s="1"/>
      <c r="B1007" s="1"/>
      <c r="C1007" s="1"/>
      <c r="D1007" s="1"/>
      <c r="E1007" s="1"/>
      <c r="F1007" s="1"/>
      <c r="G1007" s="1"/>
      <c r="H1007" s="1"/>
      <c r="I1007" s="1"/>
      <c r="J1007" s="1"/>
      <c r="K1007" s="1"/>
      <c r="L1007" s="1"/>
      <c r="M1007" s="1"/>
      <c r="N1007" s="1"/>
      <c r="O1007" s="1"/>
      <c r="P1007" s="1"/>
      <c r="Q1007" s="1"/>
      <c r="R1007" s="1"/>
      <c r="S1007" s="1"/>
      <c r="T1007" s="1"/>
      <c r="U1007" s="1"/>
      <c r="V1007" s="1"/>
      <c r="W1007" s="1"/>
      <c r="X1007" s="1"/>
      <c r="Y1007" s="1"/>
      <c r="Z1007" s="1"/>
      <c r="AA1007" s="1"/>
      <c r="AB1007" s="1"/>
      <c r="AC1007" s="1"/>
      <c r="AD1007" s="1"/>
      <c r="AE1007" s="1"/>
      <c r="AF1007" s="1"/>
      <c r="AG1007" s="1"/>
    </row>
  </sheetData>
  <dataValidations count="2">
    <dataValidation type="list" allowBlank="1" showErrorMessage="1" sqref="D2:D51" xr:uid="{00000000-0002-0000-0300-000000000000}">
      <formula1>"6,7,8"</formula1>
      <formula2>0</formula2>
    </dataValidation>
    <dataValidation type="list" allowBlank="1" showErrorMessage="1" sqref="C2:C51" xr:uid="{00000000-0002-0000-0300-000001000000}">
      <formula1>"Physics,Biology,Chemistry"</formula1>
      <formula2>0</formula2>
    </dataValidation>
  </dataValidations>
  <pageMargins left="0.74791666666666701" right="0.74791666666666701" top="0.98402777777777795" bottom="0.98402777777777795" header="0.511811023622047" footer="0.511811023622047"/>
  <pageSetup paperSize="9" orientation="portrait" horizontalDpi="300" verticalDpi="300"/>
  <tableParts count="1">
    <tablePart r:id="rId1"/>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G1025"/>
  <sheetViews>
    <sheetView zoomScaleNormal="100" workbookViewId="0">
      <pane ySplit="1" topLeftCell="A2" activePane="bottomLeft" state="frozen"/>
      <selection pane="bottomLeft" activeCell="E1" sqref="E1"/>
    </sheetView>
  </sheetViews>
  <sheetFormatPr defaultColWidth="12.6640625" defaultRowHeight="13.2"/>
  <cols>
    <col min="5" max="5" width="18.88671875" customWidth="1"/>
    <col min="6" max="6" width="29.33203125" customWidth="1"/>
    <col min="8" max="8" width="37.6640625" customWidth="1"/>
    <col min="9" max="9" width="20" customWidth="1"/>
    <col min="11" max="11" width="28.33203125" customWidth="1"/>
    <col min="13" max="13" width="30.88671875" customWidth="1"/>
    <col min="15" max="15" width="31.77734375" customWidth="1"/>
    <col min="17" max="17" width="30.6640625" customWidth="1"/>
    <col min="19" max="19" width="29.33203125" customWidth="1"/>
    <col min="21" max="21" width="30.21875" customWidth="1"/>
  </cols>
  <sheetData>
    <row r="1" spans="1:33" ht="27.6">
      <c r="A1" s="3" t="s">
        <v>0</v>
      </c>
      <c r="B1" s="21" t="s">
        <v>1</v>
      </c>
      <c r="C1" s="21" t="s">
        <v>2</v>
      </c>
      <c r="D1" s="21" t="s">
        <v>3</v>
      </c>
      <c r="E1" s="22" t="s">
        <v>1280</v>
      </c>
      <c r="F1" s="22" t="s">
        <v>4</v>
      </c>
      <c r="G1" s="21" t="s">
        <v>223</v>
      </c>
      <c r="H1" s="22" t="s">
        <v>307</v>
      </c>
      <c r="I1" s="23" t="s">
        <v>308</v>
      </c>
      <c r="J1" s="24" t="s">
        <v>5</v>
      </c>
      <c r="K1" s="24" t="s">
        <v>6</v>
      </c>
      <c r="L1" s="24" t="s">
        <v>7</v>
      </c>
      <c r="M1" s="24" t="s">
        <v>8</v>
      </c>
      <c r="N1" s="24" t="s">
        <v>9</v>
      </c>
      <c r="O1" s="24" t="s">
        <v>10</v>
      </c>
      <c r="P1" s="24" t="s">
        <v>11</v>
      </c>
      <c r="Q1" s="24" t="s">
        <v>12</v>
      </c>
      <c r="R1" s="24" t="s">
        <v>13</v>
      </c>
      <c r="S1" s="24" t="s">
        <v>14</v>
      </c>
      <c r="T1" s="24" t="s">
        <v>15</v>
      </c>
      <c r="U1" s="24" t="s">
        <v>16</v>
      </c>
      <c r="V1" s="9" t="s">
        <v>17</v>
      </c>
      <c r="W1" s="9" t="s">
        <v>18</v>
      </c>
      <c r="X1" s="9" t="s">
        <v>19</v>
      </c>
      <c r="Y1" s="9" t="s">
        <v>20</v>
      </c>
      <c r="Z1" s="9" t="s">
        <v>21</v>
      </c>
      <c r="AA1" s="9" t="s">
        <v>22</v>
      </c>
      <c r="AB1" s="9" t="s">
        <v>23</v>
      </c>
      <c r="AC1" s="10" t="s">
        <v>24</v>
      </c>
      <c r="AD1" s="11" t="s">
        <v>25</v>
      </c>
      <c r="AE1" s="11" t="s">
        <v>26</v>
      </c>
      <c r="AF1" s="11" t="s">
        <v>27</v>
      </c>
      <c r="AG1" s="12" t="s">
        <v>309</v>
      </c>
    </row>
    <row r="2" spans="1:33" ht="26.4">
      <c r="A2" s="25"/>
      <c r="B2" s="26" t="s">
        <v>29</v>
      </c>
      <c r="C2" s="26" t="s">
        <v>310</v>
      </c>
      <c r="D2" s="26">
        <v>6</v>
      </c>
      <c r="E2" s="27" t="s">
        <v>311</v>
      </c>
      <c r="F2" s="28" t="s">
        <v>312</v>
      </c>
      <c r="G2" s="26" t="s">
        <v>313</v>
      </c>
      <c r="H2" s="28" t="str">
        <f ca="1">IFERROR(__xludf.dummyfunction("IFERROR(
  VLOOKUP(G2, IMPORTRANGE(""https://docs.google.com/spreadsheets/d/14deopnvwcrKtEGCKuYXdUHJbeLDZlkiSSWWT0g7x2pM/edit#gid=849066331"", ""LU List Maths (Filter)!A:B""), 2, FALSE),
  IFERROR(
    VLOOKUP(G2, IMPORTRANGE(""https://docs.google.com/spr"&amp;"eadsheets/d/14deopnvwcrKtEGCKuYXdUHJbeLDZlkiSSWWT0g7x2pM/edit#gid=849066331"", ""LU List Science (Filter)!A:B""), 2, FALSE),
    ""Not Found""
  )
)
"),"Place value system in whole numbers (upto 9-digit numbers)")</f>
        <v>Place value system in whole numbers (upto 9-digit numbers)</v>
      </c>
      <c r="I2" s="28"/>
      <c r="J2" s="29" t="str">
        <f t="shared" ref="J2:J65" si="0">G2 &amp; ".001"</f>
        <v>LU000153.001</v>
      </c>
      <c r="K2" s="29" t="str">
        <f ca="1">IFERROR(__xludf.dummyfunction("VLOOKUP(J2, IMPORTRANGE(""https://docs.google.com/spreadsheets/d/1yDAaXNsi4Mr5FtRQL4tbmSdIzhx6_m4wkOD7IG-k_eo/edit#gid=0"", ""Maths!M:N""), 2, FALSE)"),"Define place value system in whole numbers and list its key components.")</f>
        <v>Define place value system in whole numbers and list its key components.</v>
      </c>
      <c r="L2" s="29" t="str">
        <f t="shared" ref="L2:L65" si="1">G2 &amp; ".002"</f>
        <v>LU000153.002</v>
      </c>
      <c r="M2" s="29" t="str">
        <f ca="1">IFERROR(__xludf.dummyfunction("VLOOKUP(L2, IMPORTRANGE(""https://docs.google.com/spreadsheets/d/1yDAaXNsi4Mr5FtRQL4tbmSdIzhx6_m4wkOD7IG-k_eo/edit#gid=0"", ""Maths!M:N""), 2, FALSE)"),"Explain the concept of the place value system in your own words and describe its significance in representing whole numbers.")</f>
        <v>Explain the concept of the place value system in your own words and describe its significance in representing whole numbers.</v>
      </c>
      <c r="N2" s="29" t="str">
        <f t="shared" ref="N2:N65" si="2">G2 &amp; ".003"</f>
        <v>LU000153.003</v>
      </c>
      <c r="O2" s="29" t="str">
        <f ca="1">IFERROR(__xludf.dummyfunction("VLOOKUP(N2, IMPORTRANGE(""https://docs.google.com/spreadsheets/d/1yDAaXNsi4Mr5FtRQL4tbmSdIzhx6_m4wkOD7IG-k_eo/edit#gid=0"", ""Maths!M:N""), 2, FALSE)"),"Apply the understanding of the place value system to represent multi-digit whole numbers.")</f>
        <v>Apply the understanding of the place value system to represent multi-digit whole numbers.</v>
      </c>
      <c r="P2" s="29" t="str">
        <f t="shared" ref="P2:P65" si="3">G2 &amp; ".004"</f>
        <v>LU000153.004</v>
      </c>
      <c r="Q2" s="29" t="str">
        <f ca="1">IFERROR(__xludf.dummyfunction("VLOOKUP(P2, IMPORTRANGE(""https://docs.google.com/spreadsheets/d/1yDAaXNsi4Mr5FtRQL4tbmSdIzhx6_m4wkOD7IG-k_eo/edit#gid=0"", ""Maths!M:N""), 2, FALSE)"),"Analyse the relationships between the digits and their respective place values within a given whole number.")</f>
        <v>Analyse the relationships between the digits and their respective place values within a given whole number.</v>
      </c>
      <c r="R2" s="29" t="str">
        <f t="shared" ref="R2:R65" si="4">G2 &amp; ".005"</f>
        <v>LU000153.005</v>
      </c>
      <c r="S2" s="29" t="str">
        <f ca="1">IFERROR(__xludf.dummyfunction("VLOOKUP(R2, IMPORTRANGE(""https://docs.google.com/spreadsheets/d/1yDAaXNsi4Mr5FtRQL4tbmSdIzhx6_m4wkOD7IG-k_eo/edit#gid=0"", ""Maths!M:N""), 2, FALSE)"),"Evaluate the effectiveness of the place value system in making large whole numbers easier to read, write and compare.")</f>
        <v>Evaluate the effectiveness of the place value system in making large whole numbers easier to read, write and compare.</v>
      </c>
      <c r="T2" s="29" t="str">
        <f t="shared" ref="T2:T65" si="5">G2 &amp; ".006"</f>
        <v>LU000153.006</v>
      </c>
      <c r="U2" s="29" t="str">
        <f ca="1">IFERROR(__xludf.dummyfunction("VLOOKUP(T2, IMPORTRANGE(""https://docs.google.com/spreadsheets/d/1yDAaXNsi4Mr5FtRQL4tbmSdIzhx6_m4wkOD7IG-k_eo/edit#gid=0"", ""Maths!M:N""), 2, FALSE)"),"Design a series of exercises or activities that progressively teach the place value system in whole numbers to students, incorporating real-life scenarios for practical understanding.")</f>
        <v>Design a series of exercises or activities that progressively teach the place value system in whole numbers to students, incorporating real-life scenarios for practical understanding.</v>
      </c>
      <c r="V2" s="16">
        <f ca="1">IFERROR(__xludf.dummyfunction("ArrayFormula(VLOOKUP(G2, IMPORTRANGE(""https://docs.google.com/spreadsheets/d/1p7R4vtkWt5VOBim4ltsDG9KTzSjrtKXsMtQGXPHyND0/edit#gid=795171502"", ""'Filter 30_05_2024'!A1:M2000""), {2, 3, 4, 5,6,7,8,9,10,11,12,13}, 0))"),3)</f>
        <v>3</v>
      </c>
      <c r="W2" s="16">
        <f ca="1">IFERROR(__xludf.dummyfunction("""COMPUTED_VALUE"""),11)</f>
        <v>11</v>
      </c>
      <c r="X2" s="16">
        <f ca="1">IFERROR(__xludf.dummyfunction("""COMPUTED_VALUE"""),4)</f>
        <v>4</v>
      </c>
      <c r="Y2" s="16">
        <f ca="1">IFERROR(__xludf.dummyfunction("""COMPUTED_VALUE"""),18)</f>
        <v>18</v>
      </c>
      <c r="Z2" s="16">
        <f ca="1">IFERROR(__xludf.dummyfunction("""COMPUTED_VALUE"""),3)</f>
        <v>3</v>
      </c>
      <c r="AA2" s="30">
        <f ca="1">IFERROR(__xludf.dummyfunction("""COMPUTED_VALUE"""),5)</f>
        <v>5</v>
      </c>
      <c r="AB2" s="30">
        <f ca="1">IFERROR(__xludf.dummyfunction("""COMPUTED_VALUE"""),3)</f>
        <v>3</v>
      </c>
      <c r="AC2" s="30">
        <f ca="1">IFERROR(__xludf.dummyfunction("""COMPUTED_VALUE"""),11)</f>
        <v>11</v>
      </c>
      <c r="AD2" s="16"/>
      <c r="AE2" s="30"/>
      <c r="AF2" s="30"/>
      <c r="AG2" s="30"/>
    </row>
    <row r="3" spans="1:33" ht="26.4">
      <c r="A3" s="25"/>
      <c r="B3" s="26" t="s">
        <v>29</v>
      </c>
      <c r="C3" s="26" t="s">
        <v>310</v>
      </c>
      <c r="D3" s="26">
        <v>6</v>
      </c>
      <c r="E3" s="27" t="s">
        <v>311</v>
      </c>
      <c r="F3" s="28"/>
      <c r="G3" s="26" t="s">
        <v>314</v>
      </c>
      <c r="H3" s="28" t="str">
        <f ca="1">IFERROR(__xludf.dummyfunction("IFERROR(
  VLOOKUP(G3, IMPORTRANGE(""https://docs.google.com/spreadsheets/d/14deopnvwcrKtEGCKuYXdUHJbeLDZlkiSSWWT0g7x2pM/edit#gid=849066331"", ""LU List Maths (Filter)!A:B""), 2, FALSE),
  IFERROR(
    VLOOKUP(G3, IMPORTRANGE(""https://docs.google.com/spr"&amp;"eadsheets/d/14deopnvwcrKtEGCKuYXdUHJbeLDZlkiSSWWT0g7x2pM/edit#gid=849066331"", ""LU List Science (Filter)!A:B""), 2, FALSE),
    ""Not Found""
  )
)
"),"Numerical expansion of whole numbers (upto 9-digit numbers)")</f>
        <v>Numerical expansion of whole numbers (upto 9-digit numbers)</v>
      </c>
      <c r="I3" s="28"/>
      <c r="J3" s="29" t="str">
        <f t="shared" si="0"/>
        <v>LU000156.001</v>
      </c>
      <c r="K3" s="29" t="str">
        <f ca="1">IFERROR(__xludf.dummyfunction("VLOOKUP(J3, IMPORTRANGE(""https://docs.google.com/spreadsheets/d/1yDAaXNsi4Mr5FtRQL4tbmSdIzhx6_m4wkOD7IG-k_eo/edit#gid=0"", ""Maths!M:N""), 2, FALSE)"),"Recall the method for numerically expanding whole numbers up to nine digits.")</f>
        <v>Recall the method for numerically expanding whole numbers up to nine digits.</v>
      </c>
      <c r="L3" s="29" t="str">
        <f t="shared" si="1"/>
        <v>LU000156.002</v>
      </c>
      <c r="M3" s="29" t="str">
        <f ca="1">IFERROR(__xludf.dummyfunction("VLOOKUP(L3, IMPORTRANGE(""https://docs.google.com/spreadsheets/d/1yDAaXNsi4Mr5FtRQL4tbmSdIzhx6_m4wkOD7IG-k_eo/edit#gid=0"", ""Maths!M:N""), 2, FALSE)"),"Explain the concept of the expanded form of a whole number and its role in representing the value of each digit within the number")</f>
        <v>Explain the concept of the expanded form of a whole number and its role in representing the value of each digit within the number</v>
      </c>
      <c r="N3" s="29" t="str">
        <f t="shared" si="2"/>
        <v>LU000156.003</v>
      </c>
      <c r="O3" s="29" t="str">
        <f ca="1">IFERROR(__xludf.dummyfunction("VLOOKUP(N3, IMPORTRANGE(""https://docs.google.com/spreadsheets/d/1yDAaXNsi4Mr5FtRQL4tbmSdIzhx6_m4wkOD7IG-k_eo/edit#gid=0"", ""Maths!M:N""), 2, FALSE)"),"Apply the knowledge of the expanded form to read and represent multi-digit whole numbers.")</f>
        <v>Apply the knowledge of the expanded form to read and represent multi-digit whole numbers.</v>
      </c>
      <c r="P3" s="29" t="str">
        <f t="shared" si="3"/>
        <v>LU000156.004</v>
      </c>
      <c r="Q3" s="29" t="str">
        <f ca="1">IFERROR(__xludf.dummyfunction("VLOOKUP(P3, IMPORTRANGE(""https://docs.google.com/spreadsheets/d/1yDAaXNsi4Mr5FtRQL4tbmSdIzhx6_m4wkOD7IG-k_eo/edit#gid=0"", ""Maths!M:N""), 2, FALSE)"),"Analyse the digits of a given whole number and construct its expanded form using place value concepts.")</f>
        <v>Analyse the digits of a given whole number and construct its expanded form using place value concepts.</v>
      </c>
      <c r="R3" s="29" t="str">
        <f t="shared" si="4"/>
        <v>LU000156.005</v>
      </c>
      <c r="S3" s="29" t="str">
        <f ca="1">IFERROR(__xludf.dummyfunction("VLOOKUP(R3, IMPORTRANGE(""https://docs.google.com/spreadsheets/d/1yDAaXNsi4Mr5FtRQL4tbmSdIzhx6_m4wkOD7IG-k_eo/edit#gid=0"", ""Maths!M:N""), 2, FALSE)"),"Evaluate the effectiveness of using expanded form as a way to visually represent and understand the composition of whole numbers.")</f>
        <v>Evaluate the effectiveness of using expanded form as a way to visually represent and understand the composition of whole numbers.</v>
      </c>
      <c r="T3" s="29" t="str">
        <f t="shared" si="5"/>
        <v>LU000156.006</v>
      </c>
      <c r="U3" s="29" t="str">
        <f ca="1">IFERROR(__xludf.dummyfunction("VLOOKUP(T3, IMPORTRANGE(""https://docs.google.com/spreadsheets/d/1yDAaXNsi4Mr5FtRQL4tbmSdIzhx6_m4wkOD7IG-k_eo/edit#gid=0"", ""Maths!M:N""), 2, FALSE)"),"#N/A")</f>
        <v>#N/A</v>
      </c>
      <c r="V3" s="16">
        <f ca="1">IFERROR(__xludf.dummyfunction("ArrayFormula(VLOOKUP(G3, IMPORTRANGE(""https://docs.google.com/spreadsheets/d/1p7R4vtkWt5VOBim4ltsDG9KTzSjrtKXsMtQGXPHyND0/edit#gid=795171502"", ""'Filter 30_05_2024'!A1:M2000""), {2, 3, 4, 5,6,7,8,9,10,11,12,13}, 0))"),6)</f>
        <v>6</v>
      </c>
      <c r="W3" s="16">
        <f ca="1">IFERROR(__xludf.dummyfunction("""COMPUTED_VALUE"""),6)</f>
        <v>6</v>
      </c>
      <c r="X3" s="16">
        <f ca="1">IFERROR(__xludf.dummyfunction("""COMPUTED_VALUE"""),10)</f>
        <v>10</v>
      </c>
      <c r="Y3" s="16">
        <f ca="1">IFERROR(__xludf.dummyfunction("""COMPUTED_VALUE"""),22)</f>
        <v>22</v>
      </c>
      <c r="Z3" s="16">
        <f ca="1">IFERROR(__xludf.dummyfunction("""COMPUTED_VALUE"""),5)</f>
        <v>5</v>
      </c>
      <c r="AA3" s="30">
        <f ca="1">IFERROR(__xludf.dummyfunction("""COMPUTED_VALUE"""),4)</f>
        <v>4</v>
      </c>
      <c r="AB3" s="30">
        <f ca="1">IFERROR(__xludf.dummyfunction("""COMPUTED_VALUE"""),2)</f>
        <v>2</v>
      </c>
      <c r="AC3" s="30">
        <f ca="1">IFERROR(__xludf.dummyfunction("""COMPUTED_VALUE"""),11)</f>
        <v>11</v>
      </c>
      <c r="AD3" s="16"/>
      <c r="AE3" s="30"/>
      <c r="AF3" s="30"/>
      <c r="AG3" s="30"/>
    </row>
    <row r="4" spans="1:33" ht="13.8">
      <c r="A4" s="25"/>
      <c r="B4" s="26" t="s">
        <v>29</v>
      </c>
      <c r="C4" s="26" t="s">
        <v>310</v>
      </c>
      <c r="D4" s="26">
        <v>6</v>
      </c>
      <c r="E4" s="27" t="s">
        <v>311</v>
      </c>
      <c r="F4" s="28" t="s">
        <v>315</v>
      </c>
      <c r="G4" s="31" t="s">
        <v>316</v>
      </c>
      <c r="H4" s="28" t="str">
        <f ca="1">IFERROR(__xludf.dummyfunction("IFERROR(
  VLOOKUP(G4, IMPORTRANGE(""https://docs.google.com/spreadsheets/d/14deopnvwcrKtEGCKuYXdUHJbeLDZlkiSSWWT0g7x2pM/edit#gid=849066331"", ""LU List Maths (Filter)!A:B""), 2, FALSE),
  IFERROR(
    VLOOKUP(G4, IMPORTRANGE(""https://docs.google.com/spr"&amp;"eadsheets/d/14deopnvwcrKtEGCKuYXdUHJbeLDZlkiSSWWT0g7x2pM/edit#gid=849066331"", ""LU List Science (Filter)!A:B""), 2, FALSE),
    ""Not Found""
  )
)
"),"Definition of face value of digit in a number")</f>
        <v>Definition of face value of digit in a number</v>
      </c>
      <c r="I4" s="28"/>
      <c r="J4" s="29" t="str">
        <f t="shared" si="0"/>
        <v>LU001069.001</v>
      </c>
      <c r="K4" s="29" t="str">
        <f ca="1">IFERROR(__xludf.dummyfunction("VLOOKUP(J4, IMPORTRANGE(""https://docs.google.com/spreadsheets/d/1yDAaXNsi4Mr5FtRQL4tbmSdIzhx6_m4wkOD7IG-k_eo/edit#gid=0"", ""Maths!M:N""), 2, FALSE)"),"State the definition of the face value of a digit in a number.")</f>
        <v>State the definition of the face value of a digit in a number.</v>
      </c>
      <c r="L4" s="29" t="str">
        <f t="shared" si="1"/>
        <v>LU001069.002</v>
      </c>
      <c r="M4" s="29" t="str">
        <f ca="1">IFERROR(__xludf.dummyfunction("VLOOKUP(L4, IMPORTRANGE(""https://docs.google.com/spreadsheets/d/1yDAaXNsi4Mr5FtRQL4tbmSdIzhx6_m4wkOD7IG-k_eo/edit#gid=0"", ""Maths!M:N""), 2, FALSE)"),"Interpret examples of numbers, understanding the face value of each digit within them.")</f>
        <v>Interpret examples of numbers, understanding the face value of each digit within them.</v>
      </c>
      <c r="N4" s="29" t="str">
        <f t="shared" si="2"/>
        <v>LU001069.003</v>
      </c>
      <c r="O4" s="29" t="str">
        <f ca="1">IFERROR(__xludf.dummyfunction("VLOOKUP(N4, IMPORTRANGE(""https://docs.google.com/spreadsheets/d/1yDAaXNsi4Mr5FtRQL4tbmSdIzhx6_m4wkOD7IG-k_eo/edit#gid=0"", ""Maths!M:N""), 2, FALSE)"),"Apply the concept of face value in basic calculations or in identifying the face value of digits in different numbers.")</f>
        <v>Apply the concept of face value in basic calculations or in identifying the face value of digits in different numbers.</v>
      </c>
      <c r="P4" s="29" t="str">
        <f t="shared" si="3"/>
        <v>LU001069.004</v>
      </c>
      <c r="Q4" s="29" t="str">
        <f ca="1">IFERROR(__xludf.dummyfunction("VLOOKUP(P4, IMPORTRANGE(""https://docs.google.com/spreadsheets/d/1yDAaXNsi4Mr5FtRQL4tbmSdIzhx6_m4wkOD7IG-k_eo/edit#gid=0"", ""Maths!M:N""), 2, FALSE)"),"Compare and contrast the face value with the place value of a digit.")</f>
        <v>Compare and contrast the face value with the place value of a digit.</v>
      </c>
      <c r="R4" s="29" t="str">
        <f t="shared" si="4"/>
        <v>LU001069.005</v>
      </c>
      <c r="S4" s="29" t="str">
        <f ca="1">IFERROR(__xludf.dummyfunction("VLOOKUP(R4, IMPORTRANGE(""https://docs.google.com/spreadsheets/d/1yDAaXNsi4Mr5FtRQL4tbmSdIzhx6_m4wkOD7IG-k_eo/edit#gid=0"", ""Maths!M:N""), 2, FALSE)"),"Assess different methods and approaches used to teach and explain the concept of face value.")</f>
        <v>Assess different methods and approaches used to teach and explain the concept of face value.</v>
      </c>
      <c r="T4" s="29" t="str">
        <f t="shared" si="5"/>
        <v>LU001069.006</v>
      </c>
      <c r="U4" s="29" t="str">
        <f ca="1">IFERROR(__xludf.dummyfunction("VLOOKUP(T4, IMPORTRANGE(""https://docs.google.com/spreadsheets/d/1yDAaXNsi4Mr5FtRQL4tbmSdIzhx6_m4wkOD7IG-k_eo/edit#gid=0"", ""Maths!M:N""), 2, FALSE)"),"Create problems that require a deep understanding of the face value of digits in complex numerical contexts.")</f>
        <v>Create problems that require a deep understanding of the face value of digits in complex numerical contexts.</v>
      </c>
      <c r="V4" s="16" t="str">
        <f ca="1">IFERROR(__xludf.dummyfunction("ArrayFormula(VLOOKUP(G4, IMPORTRANGE(""https://docs.google.com/spreadsheets/d/1p7R4vtkWt5VOBim4ltsDG9KTzSjrtKXsMtQGXPHyND0/edit#gid=795171502"", ""'Filter 30_05_2024'!A1:M2000""), {2, 3, 4, 5,6,7,8,9,10,11,12,13}, 0))"),"#N/A")</f>
        <v>#N/A</v>
      </c>
      <c r="W4" s="16" t="str">
        <f ca="1">IFERROR(__xludf.dummyfunction("""COMPUTED_VALUE"""),"#N/A")</f>
        <v>#N/A</v>
      </c>
      <c r="X4" s="16" t="str">
        <f ca="1">IFERROR(__xludf.dummyfunction("""COMPUTED_VALUE"""),"#N/A")</f>
        <v>#N/A</v>
      </c>
      <c r="Y4" s="16" t="str">
        <f ca="1">IFERROR(__xludf.dummyfunction("""COMPUTED_VALUE"""),"#N/A")</f>
        <v>#N/A</v>
      </c>
      <c r="Z4" s="16" t="str">
        <f ca="1">IFERROR(__xludf.dummyfunction("""COMPUTED_VALUE"""),"#N/A")</f>
        <v>#N/A</v>
      </c>
      <c r="AA4" s="30" t="str">
        <f ca="1">IFERROR(__xludf.dummyfunction("""COMPUTED_VALUE"""),"#N/A")</f>
        <v>#N/A</v>
      </c>
      <c r="AB4" s="30" t="str">
        <f ca="1">IFERROR(__xludf.dummyfunction("""COMPUTED_VALUE"""),"#N/A")</f>
        <v>#N/A</v>
      </c>
      <c r="AC4" s="30" t="str">
        <f ca="1">IFERROR(__xludf.dummyfunction("""COMPUTED_VALUE"""),"#N/A")</f>
        <v>#N/A</v>
      </c>
      <c r="AD4" s="16" t="str">
        <f ca="1">IFERROR(__xludf.dummyfunction("""COMPUTED_VALUE"""),"#N/A")</f>
        <v>#N/A</v>
      </c>
      <c r="AE4" s="30" t="str">
        <f ca="1">IFERROR(__xludf.dummyfunction("""COMPUTED_VALUE"""),"#N/A")</f>
        <v>#N/A</v>
      </c>
      <c r="AF4" s="30" t="str">
        <f ca="1">IFERROR(__xludf.dummyfunction("""COMPUTED_VALUE"""),"#N/A")</f>
        <v>#N/A</v>
      </c>
      <c r="AG4" s="30" t="str">
        <f ca="1">IFERROR(__xludf.dummyfunction("""COMPUTED_VALUE"""),"#N/A")</f>
        <v>#N/A</v>
      </c>
    </row>
    <row r="5" spans="1:33" ht="26.4">
      <c r="A5" s="25"/>
      <c r="B5" s="26" t="s">
        <v>29</v>
      </c>
      <c r="C5" s="26" t="s">
        <v>310</v>
      </c>
      <c r="D5" s="26">
        <v>6</v>
      </c>
      <c r="E5" s="27" t="s">
        <v>311</v>
      </c>
      <c r="F5" s="28" t="s">
        <v>317</v>
      </c>
      <c r="G5" s="26" t="s">
        <v>318</v>
      </c>
      <c r="H5" s="28" t="str">
        <f ca="1">IFERROR(__xludf.dummyfunction("IFERROR(
  VLOOKUP(G5, IMPORTRANGE(""https://docs.google.com/spreadsheets/d/14deopnvwcrKtEGCKuYXdUHJbeLDZlkiSSWWT0g7x2pM/edit#gid=849066331"", ""LU List Maths (Filter)!A:B""), 2, FALSE),
  IFERROR(
    VLOOKUP(G5, IMPORTRANGE(""https://docs.google.com/spr"&amp;"eadsheets/d/14deopnvwcrKtEGCKuYXdUHJbeLDZlkiSSWWT0g7x2pM/edit#gid=849066331"", ""LU List Science (Filter)!A:B""), 2, FALSE),
    ""Not Found""
  )
)
"),"Reading and writing large numbers in Indian System of Numeration")</f>
        <v>Reading and writing large numbers in Indian System of Numeration</v>
      </c>
      <c r="I5" s="28"/>
      <c r="J5" s="29" t="str">
        <f t="shared" si="0"/>
        <v>LU000160.001</v>
      </c>
      <c r="K5" s="29" t="str">
        <f ca="1">IFERROR(__xludf.dummyfunction("VLOOKUP(J5, IMPORTRANGE(""https://docs.google.com/spreadsheets/d/1yDAaXNsi4Mr5FtRQL4tbmSdIzhx6_m4wkOD7IG-k_eo/edit#gid=0"", ""Maths!M:N""), 2, FALSE)"),"Identify the place values represented by each numerical position in the Indian System of Numeration.")</f>
        <v>Identify the place values represented by each numerical position in the Indian System of Numeration.</v>
      </c>
      <c r="L5" s="29" t="str">
        <f t="shared" si="1"/>
        <v>LU000160.002</v>
      </c>
      <c r="M5" s="29" t="str">
        <f ca="1">IFERROR(__xludf.dummyfunction("VLOOKUP(L5, IMPORTRANGE(""https://docs.google.com/spreadsheets/d/1yDAaXNsi4Mr5FtRQL4tbmSdIzhx6_m4wkOD7IG-k_eo/edit#gid=0"", ""Maths!M:N""), 2, FALSE)"),"Describe the process of reading and writing large numbers using the Indian System of Numeration.")</f>
        <v>Describe the process of reading and writing large numbers using the Indian System of Numeration.</v>
      </c>
      <c r="N5" s="29" t="str">
        <f t="shared" si="2"/>
        <v>LU000160.003</v>
      </c>
      <c r="O5" s="29" t="str">
        <f ca="1">IFERROR(__xludf.dummyfunction("VLOOKUP(N5, IMPORTRANGE(""https://docs.google.com/spreadsheets/d/1yDAaXNsi4Mr5FtRQL4tbmSdIzhx6_m4wkOD7IG-k_eo/edit#gid=0"", ""Maths!M:N""), 2, FALSE)"),"Convert written descriptions of large numbers into their corresponding numerical values using the Indian System of Numeration.")</f>
        <v>Convert written descriptions of large numbers into their corresponding numerical values using the Indian System of Numeration.</v>
      </c>
      <c r="P5" s="29" t="str">
        <f t="shared" si="3"/>
        <v>LU000160.004</v>
      </c>
      <c r="Q5" s="29" t="str">
        <f ca="1">IFERROR(__xludf.dummyfunction("VLOOKUP(P5, IMPORTRANGE(""https://docs.google.com/spreadsheets/d/1yDAaXNsi4Mr5FtRQL4tbmSdIzhx6_m4wkOD7IG-k_eo/edit#gid=0"", ""Maths!M:N""), 2, FALSE)"),"Analyze the structure of large numbers in the Indian System of Numeration, identifying the roles of place values and digits.")</f>
        <v>Analyze the structure of large numbers in the Indian System of Numeration, identifying the roles of place values and digits.</v>
      </c>
      <c r="R5" s="29" t="str">
        <f t="shared" si="4"/>
        <v>LU000160.005</v>
      </c>
      <c r="S5" s="29" t="str">
        <f ca="1">IFERROR(__xludf.dummyfunction("VLOOKUP(R5, IMPORTRANGE(""https://docs.google.com/spreadsheets/d/1yDAaXNsi4Mr5FtRQL4tbmSdIzhx6_m4wkOD7IG-k_eo/edit#gid=0"", ""Maths!M:N""), 2, FALSE)"),"Evaluate the importance of accurate reading and writing of large numbers in Indian System of Numeration in various fields such as finance, science, and measurements.")</f>
        <v>Evaluate the importance of accurate reading and writing of large numbers in Indian System of Numeration in various fields such as finance, science, and measurements.</v>
      </c>
      <c r="T5" s="29" t="str">
        <f t="shared" si="5"/>
        <v>LU000160.006</v>
      </c>
      <c r="U5" s="29" t="str">
        <f ca="1">IFERROR(__xludf.dummyfunction("VLOOKUP(T5, IMPORTRANGE(""https://docs.google.com/spreadsheets/d/1yDAaXNsi4Mr5FtRQL4tbmSdIzhx6_m4wkOD7IG-k_eo/edit#gid=0"", ""Maths!M:N""), 2, FALSE)"),"Create a multimedia presentation or infographic that explains the process of reading and writing large numbers using the Indian System of Numeration.")</f>
        <v>Create a multimedia presentation or infographic that explains the process of reading and writing large numbers using the Indian System of Numeration.</v>
      </c>
      <c r="V5" s="16">
        <f ca="1">IFERROR(__xludf.dummyfunction("ArrayFormula(VLOOKUP(G5, IMPORTRANGE(""https://docs.google.com/spreadsheets/d/1p7R4vtkWt5VOBim4ltsDG9KTzSjrtKXsMtQGXPHyND0/edit#gid=795171502"", ""'Filter 30_05_2024'!A1:M2000""), {2, 3, 4, 5,6,7,8,9,10,11,12,13}, 0))"),4)</f>
        <v>4</v>
      </c>
      <c r="W5" s="16">
        <f ca="1">IFERROR(__xludf.dummyfunction("""COMPUTED_VALUE"""),5)</f>
        <v>5</v>
      </c>
      <c r="X5" s="16">
        <f ca="1">IFERROR(__xludf.dummyfunction("""COMPUTED_VALUE"""),2)</f>
        <v>2</v>
      </c>
      <c r="Y5" s="16">
        <f ca="1">IFERROR(__xludf.dummyfunction("""COMPUTED_VALUE"""),11)</f>
        <v>11</v>
      </c>
      <c r="Z5" s="16">
        <f ca="1">IFERROR(__xludf.dummyfunction("""COMPUTED_VALUE"""),4)</f>
        <v>4</v>
      </c>
      <c r="AA5" s="30">
        <f ca="1">IFERROR(__xludf.dummyfunction("""COMPUTED_VALUE"""),3)</f>
        <v>3</v>
      </c>
      <c r="AB5" s="30">
        <f ca="1">IFERROR(__xludf.dummyfunction("""COMPUTED_VALUE"""),1)</f>
        <v>1</v>
      </c>
      <c r="AC5" s="30">
        <f ca="1">IFERROR(__xludf.dummyfunction("""COMPUTED_VALUE"""),8)</f>
        <v>8</v>
      </c>
      <c r="AD5" s="16"/>
      <c r="AE5" s="30">
        <f ca="1">IFERROR(__xludf.dummyfunction("""COMPUTED_VALUE"""),1)</f>
        <v>1</v>
      </c>
      <c r="AF5" s="30"/>
      <c r="AG5" s="30">
        <f ca="1">IFERROR(__xludf.dummyfunction("""COMPUTED_VALUE"""),1)</f>
        <v>1</v>
      </c>
    </row>
    <row r="6" spans="1:33" ht="26.4">
      <c r="A6" s="25"/>
      <c r="B6" s="26" t="s">
        <v>29</v>
      </c>
      <c r="C6" s="26" t="s">
        <v>310</v>
      </c>
      <c r="D6" s="26">
        <v>6</v>
      </c>
      <c r="E6" s="27" t="s">
        <v>311</v>
      </c>
      <c r="F6" s="28"/>
      <c r="G6" s="26" t="s">
        <v>319</v>
      </c>
      <c r="H6" s="28" t="str">
        <f ca="1">IFERROR(__xludf.dummyfunction("IFERROR(
  VLOOKUP(G6, IMPORTRANGE(""https://docs.google.com/spreadsheets/d/14deopnvwcrKtEGCKuYXdUHJbeLDZlkiSSWWT0g7x2pM/edit#gid=849066331"", ""LU List Maths (Filter)!A:B""), 2, FALSE),
  IFERROR(
    VLOOKUP(G6, IMPORTRANGE(""https://docs.google.com/spr"&amp;"eadsheets/d/14deopnvwcrKtEGCKuYXdUHJbeLDZlkiSSWWT0g7x2pM/edit#gid=849066331"", ""LU List Science (Filter)!A:B""), 2, FALSE),
    ""Not Found""
  )
)
"),"Reading and writing large numbers in International System of Numeration")</f>
        <v>Reading and writing large numbers in International System of Numeration</v>
      </c>
      <c r="I6" s="28"/>
      <c r="J6" s="29" t="str">
        <f t="shared" si="0"/>
        <v>LU000162.001</v>
      </c>
      <c r="K6" s="29" t="str">
        <f ca="1">IFERROR(__xludf.dummyfunction("VLOOKUP(J6, IMPORTRANGE(""https://docs.google.com/spreadsheets/d/1yDAaXNsi4Mr5FtRQL4tbmSdIzhx6_m4wkOD7IG-k_eo/edit#gid=0"", ""Maths!M:N""), 2, FALSE)"),"Recall the rules for reading and writing large numbers in the International System of Numeration.")</f>
        <v>Recall the rules for reading and writing large numbers in the International System of Numeration.</v>
      </c>
      <c r="L6" s="29" t="str">
        <f t="shared" si="1"/>
        <v>LU000162.002</v>
      </c>
      <c r="M6" s="29" t="str">
        <f ca="1">IFERROR(__xludf.dummyfunction("VLOOKUP(L6, IMPORTRANGE(""https://docs.google.com/spreadsheets/d/1yDAaXNsi4Mr5FtRQL4tbmSdIzhx6_m4wkOD7IG-k_eo/edit#gid=0"", ""Maths!M:N""), 2, FALSE)"),"Explain the significance of reading and writing large numbers in the International System of Numeration and its global applicability.")</f>
        <v>Explain the significance of reading and writing large numbers in the International System of Numeration and its global applicability.</v>
      </c>
      <c r="N6" s="29" t="str">
        <f t="shared" si="2"/>
        <v>LU000162.003</v>
      </c>
      <c r="O6" s="29" t="str">
        <f ca="1">IFERROR(__xludf.dummyfunction("VLOOKUP(N6, IMPORTRANGE(""https://docs.google.com/spreadsheets/d/1yDAaXNsi4Mr5FtRQL4tbmSdIzhx6_m4wkOD7IG-k_eo/edit#gid=0"", ""Maths!M:N""), 2, FALSE)"),"Convert large numbers in words into their corresponding numerical values using the International System of Numeration and vice versa.")</f>
        <v>Convert large numbers in words into their corresponding numerical values using the International System of Numeration and vice versa.</v>
      </c>
      <c r="P6" s="29" t="str">
        <f t="shared" si="3"/>
        <v>LU000162.004</v>
      </c>
      <c r="Q6" s="29" t="str">
        <f ca="1">IFERROR(__xludf.dummyfunction("VLOOKUP(P6, IMPORTRANGE(""https://docs.google.com/spreadsheets/d/1yDAaXNsi4Mr5FtRQL4tbmSdIzhx6_m4wkOD7IG-k_eo/edit#gid=0"", ""Maths!M:N""), 2, FALSE)"),"Analyze the structure of large numbers in the International System of Numeration, identifying the roles of place values and digits.")</f>
        <v>Analyze the structure of large numbers in the International System of Numeration, identifying the roles of place values and digits.</v>
      </c>
      <c r="R6" s="29" t="str">
        <f t="shared" si="4"/>
        <v>LU000162.005</v>
      </c>
      <c r="S6" s="29" t="str">
        <f ca="1">IFERROR(__xludf.dummyfunction("VLOOKUP(R6, IMPORTRANGE(""https://docs.google.com/spreadsheets/d/1yDAaXNsi4Mr5FtRQL4tbmSdIzhx6_m4wkOD7IG-k_eo/edit#gid=0"", ""Maths!M:N""), 2, FALSE)"),"Evaluate the importance of accurate reading and writing of large numbers in International System of numeration in various fields such as finance, science and measurements.")</f>
        <v>Evaluate the importance of accurate reading and writing of large numbers in International System of numeration in various fields such as finance, science and measurements.</v>
      </c>
      <c r="T6" s="29" t="str">
        <f t="shared" si="5"/>
        <v>LU000162.006</v>
      </c>
      <c r="U6" s="29" t="str">
        <f ca="1">IFERROR(__xludf.dummyfunction("VLOOKUP(T6, IMPORTRANGE(""https://docs.google.com/spreadsheets/d/1yDAaXNsi4Mr5FtRQL4tbmSdIzhx6_m4wkOD7IG-k_eo/edit#gid=0"", ""Maths!M:N""), 2, FALSE)"),"Design a set of real-world scenarios or word problems that require students to read and write large numbers in the International System of Numeration.")</f>
        <v>Design a set of real-world scenarios or word problems that require students to read and write large numbers in the International System of Numeration.</v>
      </c>
      <c r="V6" s="16">
        <f ca="1">IFERROR(__xludf.dummyfunction("ArrayFormula(VLOOKUP(G6, IMPORTRANGE(""https://docs.google.com/spreadsheets/d/1p7R4vtkWt5VOBim4ltsDG9KTzSjrtKXsMtQGXPHyND0/edit#gid=795171502"", ""'Filter 30_05_2024'!A1:M2000""), {2, 3, 4, 5,6,7,8,9,10,11,12,13}, 0))"),4)</f>
        <v>4</v>
      </c>
      <c r="W6" s="16">
        <f ca="1">IFERROR(__xludf.dummyfunction("""COMPUTED_VALUE"""),9)</f>
        <v>9</v>
      </c>
      <c r="X6" s="16">
        <f ca="1">IFERROR(__xludf.dummyfunction("""COMPUTED_VALUE"""),1)</f>
        <v>1</v>
      </c>
      <c r="Y6" s="16">
        <f ca="1">IFERROR(__xludf.dummyfunction("""COMPUTED_VALUE"""),14)</f>
        <v>14</v>
      </c>
      <c r="Z6" s="16">
        <f ca="1">IFERROR(__xludf.dummyfunction("""COMPUTED_VALUE"""),4)</f>
        <v>4</v>
      </c>
      <c r="AA6" s="30">
        <f ca="1">IFERROR(__xludf.dummyfunction("""COMPUTED_VALUE"""),5)</f>
        <v>5</v>
      </c>
      <c r="AB6" s="30">
        <f ca="1">IFERROR(__xludf.dummyfunction("""COMPUTED_VALUE"""),1)</f>
        <v>1</v>
      </c>
      <c r="AC6" s="30">
        <f ca="1">IFERROR(__xludf.dummyfunction("""COMPUTED_VALUE"""),10)</f>
        <v>10</v>
      </c>
      <c r="AD6" s="16"/>
      <c r="AE6" s="30"/>
      <c r="AF6" s="30">
        <f ca="1">IFERROR(__xludf.dummyfunction("""COMPUTED_VALUE"""),1)</f>
        <v>1</v>
      </c>
      <c r="AG6" s="30">
        <f ca="1">IFERROR(__xludf.dummyfunction("""COMPUTED_VALUE"""),1)</f>
        <v>1</v>
      </c>
    </row>
    <row r="7" spans="1:33" ht="39.6">
      <c r="A7" s="25"/>
      <c r="B7" s="26" t="s">
        <v>29</v>
      </c>
      <c r="C7" s="26" t="s">
        <v>310</v>
      </c>
      <c r="D7" s="26">
        <v>6</v>
      </c>
      <c r="E7" s="27" t="s">
        <v>311</v>
      </c>
      <c r="F7" s="28"/>
      <c r="G7" s="26" t="s">
        <v>320</v>
      </c>
      <c r="H7" s="28" t="str">
        <f ca="1">IFERROR(__xludf.dummyfunction("IFERROR(
  VLOOKUP(G7, IMPORTRANGE(""https://docs.google.com/spreadsheets/d/14deopnvwcrKtEGCKuYXdUHJbeLDZlkiSSWWT0g7x2pM/edit#gid=849066331"", ""LU List Maths (Filter)!A:B""), 2, FALSE),
  IFERROR(
    VLOOKUP(G7, IMPORTRANGE(""https://docs.google.com/spr"&amp;"eadsheets/d/14deopnvwcrKtEGCKuYXdUHJbeLDZlkiSSWWT0g7x2pM/edit#gid=849066331"", ""LU List Science (Filter)!A:B""), 2, FALSE),
    ""Not Found""
  )
)
"),"Conversion of numbers between the Indian system of numeration and the International system of numeration")</f>
        <v>Conversion of numbers between the Indian system of numeration and the International system of numeration</v>
      </c>
      <c r="I7" s="28"/>
      <c r="J7" s="29" t="str">
        <f t="shared" si="0"/>
        <v>LU000159.001</v>
      </c>
      <c r="K7" s="29" t="str">
        <f ca="1">IFERROR(__xludf.dummyfunction("VLOOKUP(J7, IMPORTRANGE(""https://docs.google.com/spreadsheets/d/1yDAaXNsi4Mr5FtRQL4tbmSdIzhx6_m4wkOD7IG-k_eo/edit#gid=0"", ""Maths!M:N""), 2, FALSE)"),"Recall the definition of the Indian and International System of Numeration and identify the positions where commas are placed in large numbers.")</f>
        <v>Recall the definition of the Indian and International System of Numeration and identify the positions where commas are placed in large numbers.</v>
      </c>
      <c r="L7" s="29" t="str">
        <f t="shared" si="1"/>
        <v>LU000159.002</v>
      </c>
      <c r="M7" s="29" t="str">
        <f ca="1">IFERROR(__xludf.dummyfunction("VLOOKUP(L7, IMPORTRANGE(""https://docs.google.com/spreadsheets/d/1yDAaXNsi4Mr5FtRQL4tbmSdIzhx6_m4wkOD7IG-k_eo/edit#gid=0"", ""Maths!M:N""), 2, FALSE)"),"Explain the significance of using commas in the Indian and International System of Numeration for easier reading and comprehension.")</f>
        <v>Explain the significance of using commas in the Indian and International System of Numeration for easier reading and comprehension.</v>
      </c>
      <c r="N7" s="29" t="str">
        <f t="shared" si="2"/>
        <v>LU000159.003</v>
      </c>
      <c r="O7" s="29" t="str">
        <f ca="1">IFERROR(__xludf.dummyfunction("VLOOKUP(N7, IMPORTRANGE(""https://docs.google.com/spreadsheets/d/1yDAaXNsi4Mr5FtRQL4tbmSdIzhx6_m4wkOD7IG-k_eo/edit#gid=0"", ""Maths!M:N""), 2, FALSE)"),"Apply the knowledge of the Indian and International System of Numeration to correctly place commas in given large numbers according to their place values.")</f>
        <v>Apply the knowledge of the Indian and International System of Numeration to correctly place commas in given large numbers according to their place values.</v>
      </c>
      <c r="P7" s="29" t="str">
        <f t="shared" si="3"/>
        <v>LU000159.004</v>
      </c>
      <c r="Q7" s="29" t="str">
        <f ca="1">IFERROR(__xludf.dummyfunction("VLOOKUP(P7, IMPORTRANGE(""https://docs.google.com/spreadsheets/d/1yDAaXNsi4Mr5FtRQL4tbmSdIzhx6_m4wkOD7IG-k_eo/edit#gid=0"", ""Maths!M:N""), 2, FALSE)"),"Compare the Indian and International System of Numeration with other numeral systems used globally.")</f>
        <v>Compare the Indian and International System of Numeration with other numeral systems used globally.</v>
      </c>
      <c r="R7" s="29" t="str">
        <f t="shared" si="4"/>
        <v>LU000159.005</v>
      </c>
      <c r="S7" s="29" t="str">
        <f ca="1">IFERROR(__xludf.dummyfunction("VLOOKUP(R7, IMPORTRANGE(""https://docs.google.com/spreadsheets/d/1yDAaXNsi4Mr5FtRQL4tbmSdIzhx6_m4wkOD7IG-k_eo/edit#gid=0"", ""Maths!M:N""), 2, FALSE)"),"Evaluate the effectiveness of using commas in the Indian and International System of Numeration for communicating numeric values clearly, especially when dealing with large numbers.")</f>
        <v>Evaluate the effectiveness of using commas in the Indian and International System of Numeration for communicating numeric values clearly, especially when dealing with large numbers.</v>
      </c>
      <c r="T7" s="29" t="str">
        <f t="shared" si="5"/>
        <v>LU000159.006</v>
      </c>
      <c r="U7" s="29" t="str">
        <f ca="1">IFERROR(__xludf.dummyfunction("VLOOKUP(T7, IMPORTRANGE(""https://docs.google.com/spreadsheets/d/1yDAaXNsi4Mr5FtRQL4tbmSdIzhx6_m4wkOD7IG-k_eo/edit#gid=0"", ""Maths!M:N""), 2, FALSE)"),"Design a set of real-life scenarios or problems that involve writing large numbers in the Indian and International System of Numeration.")</f>
        <v>Design a set of real-life scenarios or problems that involve writing large numbers in the Indian and International System of Numeration.</v>
      </c>
      <c r="V7" s="16">
        <f ca="1">IFERROR(__xludf.dummyfunction("ArrayFormula(VLOOKUP(G7, IMPORTRANGE(""https://docs.google.com/spreadsheets/d/1p7R4vtkWt5VOBim4ltsDG9KTzSjrtKXsMtQGXPHyND0/edit#gid=795171502"", ""'Filter 30_05_2024'!A1:M2000""), {2, 3, 4, 5,6,7,8,9,10,11,12,13}, 0))"),4)</f>
        <v>4</v>
      </c>
      <c r="W7" s="16">
        <f ca="1">IFERROR(__xludf.dummyfunction("""COMPUTED_VALUE"""),7)</f>
        <v>7</v>
      </c>
      <c r="X7" s="16">
        <f ca="1">IFERROR(__xludf.dummyfunction("""COMPUTED_VALUE"""),5)</f>
        <v>5</v>
      </c>
      <c r="Y7" s="16">
        <f ca="1">IFERROR(__xludf.dummyfunction("""COMPUTED_VALUE"""),16)</f>
        <v>16</v>
      </c>
      <c r="Z7" s="16">
        <f ca="1">IFERROR(__xludf.dummyfunction("""COMPUTED_VALUE"""),4)</f>
        <v>4</v>
      </c>
      <c r="AA7" s="30">
        <f ca="1">IFERROR(__xludf.dummyfunction("""COMPUTED_VALUE"""),1)</f>
        <v>1</v>
      </c>
      <c r="AB7" s="30">
        <f ca="1">IFERROR(__xludf.dummyfunction("""COMPUTED_VALUE"""),2)</f>
        <v>2</v>
      </c>
      <c r="AC7" s="30">
        <f ca="1">IFERROR(__xludf.dummyfunction("""COMPUTED_VALUE"""),7)</f>
        <v>7</v>
      </c>
      <c r="AD7" s="16"/>
      <c r="AE7" s="30"/>
      <c r="AF7" s="30"/>
      <c r="AG7" s="30"/>
    </row>
    <row r="8" spans="1:33" ht="13.8">
      <c r="A8" s="25"/>
      <c r="B8" s="26" t="s">
        <v>29</v>
      </c>
      <c r="C8" s="26" t="s">
        <v>310</v>
      </c>
      <c r="D8" s="26">
        <v>6</v>
      </c>
      <c r="E8" s="27" t="s">
        <v>311</v>
      </c>
      <c r="F8" s="28" t="s">
        <v>321</v>
      </c>
      <c r="G8" s="26" t="s">
        <v>322</v>
      </c>
      <c r="H8" s="28" t="str">
        <f ca="1">IFERROR(__xludf.dummyfunction("IFERROR(
  VLOOKUP(G8, IMPORTRANGE(""https://docs.google.com/spreadsheets/d/14deopnvwcrKtEGCKuYXdUHJbeLDZlkiSSWWT0g7x2pM/edit#gid=849066331"", ""LU List Maths (Filter)!A:B""), 2, FALSE),
  IFERROR(
    VLOOKUP(G8, IMPORTRANGE(""https://docs.google.com/spr"&amp;"eadsheets/d/14deopnvwcrKtEGCKuYXdUHJbeLDZlkiSSWWT0g7x2pM/edit#gid=849066331"", ""LU List Science (Filter)!A:B""), 2, FALSE),
    ""Not Found""
  )
)
"),"Formation of number using given digits")</f>
        <v>Formation of number using given digits</v>
      </c>
      <c r="I8" s="28"/>
      <c r="J8" s="29" t="str">
        <f t="shared" si="0"/>
        <v>LU000945.001</v>
      </c>
      <c r="K8" s="29" t="str">
        <f ca="1">IFERROR(__xludf.dummyfunction("VLOOKUP(J8, IMPORTRANGE(""https://docs.google.com/spreadsheets/d/1yDAaXNsi4Mr5FtRQL4tbmSdIzhx6_m4wkOD7IG-k_eo/edit#gid=0"", ""Maths!M:N""), 2, FALSE)"),"Identify and recall the basic principles of number formation using given digits.")</f>
        <v>Identify and recall the basic principles of number formation using given digits.</v>
      </c>
      <c r="L8" s="29" t="str">
        <f t="shared" si="1"/>
        <v>LU000945.002</v>
      </c>
      <c r="M8" s="29" t="str">
        <f ca="1">IFERROR(__xludf.dummyfunction("VLOOKUP(L8, IMPORTRANGE(""https://docs.google.com/spreadsheets/d/1yDAaXNsi4Mr5FtRQL4tbmSdIzhx6_m4wkOD7IG-k_eo/edit#gid=0"", ""Maths!M:N""), 2, FALSE)"),"Explain how different numbers can be formed by rearranging a given set of digits.")</f>
        <v>Explain how different numbers can be formed by rearranging a given set of digits.</v>
      </c>
      <c r="N8" s="29" t="str">
        <f t="shared" si="2"/>
        <v>LU000945.003</v>
      </c>
      <c r="O8" s="29" t="str">
        <f ca="1">IFERROR(__xludf.dummyfunction("VLOOKUP(N8, IMPORTRANGE(""https://docs.google.com/spreadsheets/d/1yDAaXNsi4Mr5FtRQL4tbmSdIzhx6_m4wkOD7IG-k_eo/edit#gid=0"", ""Maths!M:N""), 2, FALSE)"),"Construct various numbers using a provided set of digits, following place value principles.")</f>
        <v>Construct various numbers using a provided set of digits, following place value principles.</v>
      </c>
      <c r="P8" s="29" t="str">
        <f t="shared" si="3"/>
        <v>LU000945.004</v>
      </c>
      <c r="Q8" s="29" t="str">
        <f ca="1">IFERROR(__xludf.dummyfunction("VLOOKUP(P8, IMPORTRANGE(""https://docs.google.com/spreadsheets/d/1yDAaXNsi4Mr5FtRQL4tbmSdIzhx6_m4wkOD7IG-k_eo/edit#gid=0"", ""Maths!M:N""), 2, FALSE)"),"Distinguish between the largest and smallest numbers that can be formed from a given set of digits and explain the reasoning.")</f>
        <v>Distinguish between the largest and smallest numbers that can be formed from a given set of digits and explain the reasoning.</v>
      </c>
      <c r="R8" s="29" t="str">
        <f t="shared" si="4"/>
        <v>LU000945.005</v>
      </c>
      <c r="S8" s="29" t="str">
        <f ca="1">IFERROR(__xludf.dummyfunction("VLOOKUP(R8, IMPORTRANGE(""https://docs.google.com/spreadsheets/d/1yDAaXNsi4Mr5FtRQL4tbmSdIzhx6_m4wkOD7IG-k_eo/edit#gid=0"", ""Maths!M:N""), 2, FALSE)"),"Assess and correct a series of numbers formed from a given set of digits, identifying and explaining any errors in their formation.")</f>
        <v>Assess and correct a series of numbers formed from a given set of digits, identifying and explaining any errors in their formation.</v>
      </c>
      <c r="T8" s="29" t="str">
        <f t="shared" si="5"/>
        <v>LU000945.006</v>
      </c>
      <c r="U8" s="29" t="str">
        <f ca="1">IFERROR(__xludf.dummyfunction("VLOOKUP(T8, IMPORTRANGE(""https://docs.google.com/spreadsheets/d/1yDAaXNsi4Mr5FtRQL4tbmSdIzhx6_m4wkOD7IG-k_eo/edit#gid=0"", ""Maths!M:N""), 2, FALSE)"),"Design a challenging number formation puzzle using a specific set of digits, which requires applying knowledge of place value and number formation.")</f>
        <v>Design a challenging number formation puzzle using a specific set of digits, which requires applying knowledge of place value and number formation.</v>
      </c>
      <c r="V8" s="16">
        <f ca="1">IFERROR(__xludf.dummyfunction("ArrayFormula(VLOOKUP(G8, IMPORTRANGE(""https://docs.google.com/spreadsheets/d/1p7R4vtkWt5VOBim4ltsDG9KTzSjrtKXsMtQGXPHyND0/edit#gid=795171502"", ""'Filter 30_05_2024'!A1:M2000""), {2, 3, 4, 5,6,7,8,9,10,11,12,13}, 0))"),7)</f>
        <v>7</v>
      </c>
      <c r="W8" s="16">
        <f ca="1">IFERROR(__xludf.dummyfunction("""COMPUTED_VALUE"""),8)</f>
        <v>8</v>
      </c>
      <c r="X8" s="16">
        <f ca="1">IFERROR(__xludf.dummyfunction("""COMPUTED_VALUE"""),12)</f>
        <v>12</v>
      </c>
      <c r="Y8" s="16">
        <f ca="1">IFERROR(__xludf.dummyfunction("""COMPUTED_VALUE"""),27)</f>
        <v>27</v>
      </c>
      <c r="Z8" s="16">
        <f ca="1">IFERROR(__xludf.dummyfunction("""COMPUTED_VALUE"""),5)</f>
        <v>5</v>
      </c>
      <c r="AA8" s="30">
        <f ca="1">IFERROR(__xludf.dummyfunction("""COMPUTED_VALUE"""),6)</f>
        <v>6</v>
      </c>
      <c r="AB8" s="30">
        <f ca="1">IFERROR(__xludf.dummyfunction("""COMPUTED_VALUE"""),5)</f>
        <v>5</v>
      </c>
      <c r="AC8" s="30">
        <f ca="1">IFERROR(__xludf.dummyfunction("""COMPUTED_VALUE"""),16)</f>
        <v>16</v>
      </c>
      <c r="AD8" s="16"/>
      <c r="AE8" s="30"/>
      <c r="AF8" s="30"/>
      <c r="AG8" s="30"/>
    </row>
    <row r="9" spans="1:33" ht="26.4">
      <c r="A9" s="25"/>
      <c r="B9" s="26" t="s">
        <v>29</v>
      </c>
      <c r="C9" s="26" t="s">
        <v>310</v>
      </c>
      <c r="D9" s="26">
        <v>6</v>
      </c>
      <c r="E9" s="27" t="s">
        <v>311</v>
      </c>
      <c r="F9" s="28" t="s">
        <v>323</v>
      </c>
      <c r="G9" s="26" t="s">
        <v>324</v>
      </c>
      <c r="H9" s="28" t="str">
        <f ca="1">IFERROR(__xludf.dummyfunction("IFERROR(
  VLOOKUP(G9, IMPORTRANGE(""https://docs.google.com/spreadsheets/d/14deopnvwcrKtEGCKuYXdUHJbeLDZlkiSSWWT0g7x2pM/edit#gid=849066331"", ""LU List Maths (Filter)!A:B""), 2, FALSE),
  IFERROR(
    VLOOKUP(G9, IMPORTRANGE(""https://docs.google.com/spr"&amp;"eadsheets/d/14deopnvwcrKtEGCKuYXdUHJbeLDZlkiSSWWT0g7x2pM/edit#gid=849066331"", ""LU List Science (Filter)!A:B""), 2, FALSE),
    ""Not Found""
  )
)
"),"Comparison of whole numbers (upto 9-digit numbers)")</f>
        <v>Comparison of whole numbers (upto 9-digit numbers)</v>
      </c>
      <c r="I9" s="28"/>
      <c r="J9" s="29" t="str">
        <f t="shared" si="0"/>
        <v>LU000154.001</v>
      </c>
      <c r="K9" s="29" t="str">
        <f ca="1">IFERROR(__xludf.dummyfunction("VLOOKUP(J9, IMPORTRANGE(""https://docs.google.com/spreadsheets/d/1yDAaXNsi4Mr5FtRQL4tbmSdIzhx6_m4wkOD7IG-k_eo/edit#gid=0"", ""Maths!M:N""), 2, FALSE)"),"Identify the symbols (&gt;, &lt;, =) used for comparison of numbers.")</f>
        <v>Identify the symbols (&gt;, &lt;, =) used for comparison of numbers.</v>
      </c>
      <c r="L9" s="29" t="str">
        <f t="shared" si="1"/>
        <v>LU000154.002</v>
      </c>
      <c r="M9" s="29" t="str">
        <f ca="1">IFERROR(__xludf.dummyfunction("VLOOKUP(L9, IMPORTRANGE(""https://docs.google.com/spreadsheets/d/1yDAaXNsi4Mr5FtRQL4tbmSdIzhx6_m4wkOD7IG-k_eo/edit#gid=0"", ""Maths!M:N""), 2, FALSE)"),"Explain the concept of comparing numbers and the significance of using comparison symbols to represent relationships between numbers.")</f>
        <v>Explain the concept of comparing numbers and the significance of using comparison symbols to represent relationships between numbers.</v>
      </c>
      <c r="N9" s="29" t="str">
        <f t="shared" si="2"/>
        <v>LU000154.003</v>
      </c>
      <c r="O9" s="29" t="str">
        <f ca="1">IFERROR(__xludf.dummyfunction("VLOOKUP(N9, IMPORTRANGE(""https://docs.google.com/spreadsheets/d/1yDAaXNsi4Mr5FtRQL4tbmSdIzhx6_m4wkOD7IG-k_eo/edit#gid=0"", ""Maths!M:N""), 2, FALSE)"),"Apply the comparison symbols to correctly compare pairs of numbers and determine their order.")</f>
        <v>Apply the comparison symbols to correctly compare pairs of numbers and determine their order.</v>
      </c>
      <c r="P9" s="29" t="str">
        <f t="shared" si="3"/>
        <v>LU000154.004</v>
      </c>
      <c r="Q9" s="29" t="str">
        <f ca="1">IFERROR(__xludf.dummyfunction("VLOOKUP(P9, IMPORTRANGE(""https://docs.google.com/spreadsheets/d/1yDAaXNsi4Mr5FtRQL4tbmSdIzhx6_m4wkOD7IG-k_eo/edit#gid=0"", ""Maths!M:N""), 2, FALSE)"),"Analyze the properties of different numbers to predict their order when compared, considering place value.")</f>
        <v>Analyze the properties of different numbers to predict their order when compared, considering place value.</v>
      </c>
      <c r="R9" s="29" t="str">
        <f t="shared" si="4"/>
        <v>LU000154.005</v>
      </c>
      <c r="S9" s="29" t="str">
        <f ca="1">IFERROR(__xludf.dummyfunction("VLOOKUP(R9, IMPORTRANGE(""https://docs.google.com/spreadsheets/d/1yDAaXNsi4Mr5FtRQL4tbmSdIzhx6_m4wkOD7IG-k_eo/edit#gid=0"", ""Maths!M:N""), 2, FALSE)"),"Evaluate the importance of accurate number comparison in real-world situations, such as making decisions based on quantities.")</f>
        <v>Evaluate the importance of accurate number comparison in real-world situations, such as making decisions based on quantities.</v>
      </c>
      <c r="T9" s="29" t="str">
        <f t="shared" si="5"/>
        <v>LU000154.006</v>
      </c>
      <c r="U9" s="29" t="str">
        <f ca="1">IFERROR(__xludf.dummyfunction("VLOOKUP(T9, IMPORTRANGE(""https://docs.google.com/spreadsheets/d/1yDAaXNsi4Mr5FtRQL4tbmSdIzhx6_m4wkOD7IG-k_eo/edit#gid=0"", ""Maths!M:N""), 2, FALSE)"),"Design a set of word problems that require students to compare numbers in various contexts.")</f>
        <v>Design a set of word problems that require students to compare numbers in various contexts.</v>
      </c>
      <c r="V9" s="16">
        <f ca="1">IFERROR(__xludf.dummyfunction("ArrayFormula(VLOOKUP(G9, IMPORTRANGE(""https://docs.google.com/spreadsheets/d/1p7R4vtkWt5VOBim4ltsDG9KTzSjrtKXsMtQGXPHyND0/edit#gid=795171502"", ""'Filter 30_05_2024'!A1:M2000""), {2, 3, 4, 5,6,7,8,9,10,11,12,13}, 0))"),5)</f>
        <v>5</v>
      </c>
      <c r="W9" s="16">
        <f ca="1">IFERROR(__xludf.dummyfunction("""COMPUTED_VALUE"""),6)</f>
        <v>6</v>
      </c>
      <c r="X9" s="16">
        <f ca="1">IFERROR(__xludf.dummyfunction("""COMPUTED_VALUE"""),2)</f>
        <v>2</v>
      </c>
      <c r="Y9" s="16">
        <f ca="1">IFERROR(__xludf.dummyfunction("""COMPUTED_VALUE"""),13)</f>
        <v>13</v>
      </c>
      <c r="Z9" s="16">
        <f ca="1">IFERROR(__xludf.dummyfunction("""COMPUTED_VALUE"""),7)</f>
        <v>7</v>
      </c>
      <c r="AA9" s="30">
        <f ca="1">IFERROR(__xludf.dummyfunction("""COMPUTED_VALUE"""),4)</f>
        <v>4</v>
      </c>
      <c r="AB9" s="30">
        <f ca="1">IFERROR(__xludf.dummyfunction("""COMPUTED_VALUE"""),1)</f>
        <v>1</v>
      </c>
      <c r="AC9" s="30">
        <f ca="1">IFERROR(__xludf.dummyfunction("""COMPUTED_VALUE"""),12)</f>
        <v>12</v>
      </c>
      <c r="AD9" s="16"/>
      <c r="AE9" s="30"/>
      <c r="AF9" s="30"/>
      <c r="AG9" s="30"/>
    </row>
    <row r="10" spans="1:33" ht="13.8">
      <c r="A10" s="25"/>
      <c r="B10" s="26" t="s">
        <v>29</v>
      </c>
      <c r="C10" s="26" t="s">
        <v>310</v>
      </c>
      <c r="D10" s="26">
        <v>6</v>
      </c>
      <c r="E10" s="27" t="s">
        <v>311</v>
      </c>
      <c r="F10" s="28"/>
      <c r="G10" s="26" t="s">
        <v>325</v>
      </c>
      <c r="H10" s="28" t="str">
        <f ca="1">IFERROR(__xludf.dummyfunction("IFERROR(
  VLOOKUP(G10, IMPORTRANGE(""https://docs.google.com/spreadsheets/d/14deopnvwcrKtEGCKuYXdUHJbeLDZlkiSSWWT0g7x2pM/edit#gid=849066331"", ""LU List Maths (Filter)!A:B""), 2, FALSE),
  IFERROR(
    VLOOKUP(G10, IMPORTRANGE(""https://docs.google.com/s"&amp;"preadsheets/d/14deopnvwcrKtEGCKuYXdUHJbeLDZlkiSSWWT0g7x2pM/edit#gid=849066331"", ""LU List Science (Filter)!A:B""), 2, FALSE),
    ""Not Found""
  )
)
"),"Order of whole numbers (upto 9-digit numbers)")</f>
        <v>Order of whole numbers (upto 9-digit numbers)</v>
      </c>
      <c r="I10" s="28"/>
      <c r="J10" s="29" t="str">
        <f t="shared" si="0"/>
        <v>LU000155.001</v>
      </c>
      <c r="K10" s="29" t="str">
        <f ca="1">IFERROR(__xludf.dummyfunction("VLOOKUP(J10, IMPORTRANGE(""https://docs.google.com/spreadsheets/d/1yDAaXNsi4Mr5FtRQL4tbmSdIzhx6_m4wkOD7IG-k_eo/edit#gid=0"", ""Maths!M:N""), 2, FALSE)"),"Identify and recall the basic principles of ordering whole numbers up to nine digits.")</f>
        <v>Identify and recall the basic principles of ordering whole numbers up to nine digits.</v>
      </c>
      <c r="L10" s="29" t="str">
        <f t="shared" si="1"/>
        <v>LU000155.002</v>
      </c>
      <c r="M10" s="29" t="str">
        <f ca="1">IFERROR(__xludf.dummyfunction("VLOOKUP(L10, IMPORTRANGE(""https://docs.google.com/spreadsheets/d/1yDAaXNsi4Mr5FtRQL4tbmSdIzhx6_m4wkOD7IG-k_eo/edit#gid=0"", ""Maths!M:N""), 2, FALSE)"),"Explain the reasoning behind the order of whole numbers up to nine digits.")</f>
        <v>Explain the reasoning behind the order of whole numbers up to nine digits.</v>
      </c>
      <c r="N10" s="29" t="str">
        <f t="shared" si="2"/>
        <v>LU000155.003</v>
      </c>
      <c r="O10" s="29" t="str">
        <f ca="1">IFERROR(__xludf.dummyfunction("VLOOKUP(N10, IMPORTRANGE(""https://docs.google.com/spreadsheets/d/1yDAaXNsi4Mr5FtRQL4tbmSdIzhx6_m4wkOD7IG-k_eo/edit#gid=0"", ""Maths!M:N""), 2, FALSE)"),"Arrange a set of given whole numbers in ascending or descending order.")</f>
        <v>Arrange a set of given whole numbers in ascending or descending order.</v>
      </c>
      <c r="P10" s="29" t="str">
        <f t="shared" si="3"/>
        <v>LU000155.004</v>
      </c>
      <c r="Q10" s="29" t="str">
        <f ca="1">IFERROR(__xludf.dummyfunction("VLOOKUP(P10, IMPORTRANGE(""https://docs.google.com/spreadsheets/d/1yDAaXNsi4Mr5FtRQL4tbmSdIzhx6_m4wkOD7IG-k_eo/edit#gid=0"", ""Maths!M:N""), 2, FALSE)"),"Analyze a sequence of whole numbers and determine their order based on place value and digit comparison.")</f>
        <v>Analyze a sequence of whole numbers and determine their order based on place value and digit comparison.</v>
      </c>
      <c r="R10" s="29" t="str">
        <f t="shared" si="4"/>
        <v>LU000155.005</v>
      </c>
      <c r="S10" s="29" t="str">
        <f ca="1">IFERROR(__xludf.dummyfunction("VLOOKUP(R10, IMPORTRANGE(""https://docs.google.com/spreadsheets/d/1yDAaXNsi4Mr5FtRQL4tbmSdIzhx6_m4wkOD7IG-k_eo/edit#gid=0"", ""Maths!M:N""), 2, FALSE)"),"Evaluate the importance of accurately ordering numbers in various real-life scenarios, such as arranging items by quantity or priority.")</f>
        <v>Evaluate the importance of accurately ordering numbers in various real-life scenarios, such as arranging items by quantity or priority.</v>
      </c>
      <c r="T10" s="29" t="str">
        <f t="shared" si="5"/>
        <v>LU000155.006</v>
      </c>
      <c r="U10" s="29" t="str">
        <f ca="1">IFERROR(__xludf.dummyfunction("VLOOKUP(T10, IMPORTRANGE(""https://docs.google.com/spreadsheets/d/1yDAaXNsi4Mr5FtRQL4tbmSdIzhx6_m4wkOD7IG-k_eo/edit#gid=0"", ""Maths!M:N""), 2, FALSE)"),"Design a set of challenging problems or puzzles that require students to use their understanding of ordering whole numbers to solve complex problems.")</f>
        <v>Design a set of challenging problems or puzzles that require students to use their understanding of ordering whole numbers to solve complex problems.</v>
      </c>
      <c r="V10" s="16">
        <f ca="1">IFERROR(__xludf.dummyfunction("ArrayFormula(VLOOKUP(G10, IMPORTRANGE(""https://docs.google.com/spreadsheets/d/1p7R4vtkWt5VOBim4ltsDG9KTzSjrtKXsMtQGXPHyND0/edit#gid=795171502"", ""'Filter 30_05_2024'!A1:M2000""), {2, 3, 4, 5,6,7,8,9,10,11,12,13}, 0))"),4)</f>
        <v>4</v>
      </c>
      <c r="W10" s="16">
        <f ca="1">IFERROR(__xludf.dummyfunction("""COMPUTED_VALUE"""),11)</f>
        <v>11</v>
      </c>
      <c r="X10" s="16">
        <f ca="1">IFERROR(__xludf.dummyfunction("""COMPUTED_VALUE"""),2)</f>
        <v>2</v>
      </c>
      <c r="Y10" s="16">
        <f ca="1">IFERROR(__xludf.dummyfunction("""COMPUTED_VALUE"""),17)</f>
        <v>17</v>
      </c>
      <c r="Z10" s="16">
        <f ca="1">IFERROR(__xludf.dummyfunction("""COMPUTED_VALUE"""),4)</f>
        <v>4</v>
      </c>
      <c r="AA10" s="30">
        <f ca="1">IFERROR(__xludf.dummyfunction("""COMPUTED_VALUE"""),6)</f>
        <v>6</v>
      </c>
      <c r="AB10" s="30">
        <f ca="1">IFERROR(__xludf.dummyfunction("""COMPUTED_VALUE"""),1)</f>
        <v>1</v>
      </c>
      <c r="AC10" s="30">
        <f ca="1">IFERROR(__xludf.dummyfunction("""COMPUTED_VALUE"""),11)</f>
        <v>11</v>
      </c>
      <c r="AD10" s="16"/>
      <c r="AE10" s="30"/>
      <c r="AF10" s="30"/>
      <c r="AG10" s="30"/>
    </row>
    <row r="11" spans="1:33" ht="26.4">
      <c r="A11" s="25"/>
      <c r="B11" s="26" t="s">
        <v>29</v>
      </c>
      <c r="C11" s="26" t="s">
        <v>310</v>
      </c>
      <c r="D11" s="26">
        <v>6</v>
      </c>
      <c r="E11" s="27" t="s">
        <v>311</v>
      </c>
      <c r="F11" s="28" t="s">
        <v>326</v>
      </c>
      <c r="G11" s="26" t="s">
        <v>327</v>
      </c>
      <c r="H11" s="28" t="str">
        <f ca="1">IFERROR(__xludf.dummyfunction("IFERROR(
  VLOOKUP(G11, IMPORTRANGE(""https://docs.google.com/spreadsheets/d/14deopnvwcrKtEGCKuYXdUHJbeLDZlkiSSWWT0g7x2pM/edit#gid=849066331"", ""LU List Maths (Filter)!A:B""), 2, FALSE),
  IFERROR(
    VLOOKUP(G11, IMPORTRANGE(""https://docs.google.com/s"&amp;"preadsheets/d/14deopnvwcrKtEGCKuYXdUHJbeLDZlkiSSWWT0g7x2pM/edit#gid=849066331"", ""LU List Science (Filter)!A:B""), 2, FALSE),
    ""Not Found""
  )
)
"),"Addition of large whole numbers (5-9 digit numbers)")</f>
        <v>Addition of large whole numbers (5-9 digit numbers)</v>
      </c>
      <c r="I11" s="28"/>
      <c r="J11" s="29" t="str">
        <f t="shared" si="0"/>
        <v>LU000948.001</v>
      </c>
      <c r="K11" s="29" t="str">
        <f ca="1">IFERROR(__xludf.dummyfunction("VLOOKUP(J11, IMPORTRANGE(""https://docs.google.com/spreadsheets/d/1yDAaXNsi4Mr5FtRQL4tbmSdIzhx6_m4wkOD7IG-k_eo/edit#gid=0"", ""Maths!M:N""), 2, FALSE)"),"Recognize and recall the standard approach for adding large whole numbers.")</f>
        <v>Recognize and recall the standard approach for adding large whole numbers.</v>
      </c>
      <c r="L11" s="29" t="str">
        <f t="shared" si="1"/>
        <v>LU000948.002</v>
      </c>
      <c r="M11" s="29" t="str">
        <f ca="1">IFERROR(__xludf.dummyfunction("VLOOKUP(L11, IMPORTRANGE(""https://docs.google.com/spreadsheets/d/1yDAaXNsi4Mr5FtRQL4tbmSdIzhx6_m4wkOD7IG-k_eo/edit#gid=0"", ""Maths!M:N""), 2, FALSE)"),"Explain the process and importance of place value in the addition of large whole numbers.")</f>
        <v>Explain the process and importance of place value in the addition of large whole numbers.</v>
      </c>
      <c r="N11" s="29" t="str">
        <f t="shared" si="2"/>
        <v>LU000948.003</v>
      </c>
      <c r="O11" s="29" t="str">
        <f ca="1">IFERROR(__xludf.dummyfunction("VLOOKUP(N11, IMPORTRANGE(""https://docs.google.com/spreadsheets/d/1yDAaXNsi4Mr5FtRQL4tbmSdIzhx6_m4wkOD7IG-k_eo/edit#gid=0"", ""Maths!M:N""), 2, FALSE)"),"Perform addition operations involving large whole numbers (5-9 digits) accurately.")</f>
        <v>Perform addition operations involving large whole numbers (5-9 digits) accurately.</v>
      </c>
      <c r="P11" s="29" t="str">
        <f t="shared" si="3"/>
        <v>LU000948.004</v>
      </c>
      <c r="Q11" s="29" t="str">
        <f ca="1">IFERROR(__xludf.dummyfunction("VLOOKUP(P11, IMPORTRANGE(""https://docs.google.com/spreadsheets/d/1yDAaXNsi4Mr5FtRQL4tbmSdIzhx6_m4wkOD7IG-k_eo/edit#gid=0"", ""Maths!M:N""), 2, FALSE)"),"Analyze and identify errors in addition problems involving large whole numbers.")</f>
        <v>Analyze and identify errors in addition problems involving large whole numbers.</v>
      </c>
      <c r="R11" s="29" t="str">
        <f t="shared" si="4"/>
        <v>LU000948.005</v>
      </c>
      <c r="S11" s="29" t="str">
        <f ca="1">IFERROR(__xludf.dummyfunction("VLOOKUP(R11, IMPORTRANGE(""https://docs.google.com/spreadsheets/d/1yDAaXNsi4Mr5FtRQL4tbmSdIzhx6_m4wkOD7IG-k_eo/edit#gid=0"", ""Maths!M:N""), 2, FALSE)"),"#N/A")</f>
        <v>#N/A</v>
      </c>
      <c r="T11" s="29" t="str">
        <f t="shared" si="5"/>
        <v>LU000948.006</v>
      </c>
      <c r="U11" s="29" t="str">
        <f ca="1">IFERROR(__xludf.dummyfunction("VLOOKUP(T11, IMPORTRANGE(""https://docs.google.com/spreadsheets/d/1yDAaXNsi4Mr5FtRQL4tbmSdIzhx6_m4wkOD7IG-k_eo/edit#gid=0"", ""Maths!M:N""), 2, FALSE)"),"#N/A")</f>
        <v>#N/A</v>
      </c>
      <c r="V11" s="16">
        <f ca="1">IFERROR(__xludf.dummyfunction("ArrayFormula(VLOOKUP(G11, IMPORTRANGE(""https://docs.google.com/spreadsheets/d/1p7R4vtkWt5VOBim4ltsDG9KTzSjrtKXsMtQGXPHyND0/edit#gid=795171502"", ""'Filter 30_05_2024'!A1:M2000""), {2, 3, 4, 5,6,7,8,9,10,11,12,13}, 0))"),3)</f>
        <v>3</v>
      </c>
      <c r="W11" s="16">
        <f ca="1">IFERROR(__xludf.dummyfunction("""COMPUTED_VALUE"""),5)</f>
        <v>5</v>
      </c>
      <c r="X11" s="16">
        <f ca="1">IFERROR(__xludf.dummyfunction("""COMPUTED_VALUE"""),2)</f>
        <v>2</v>
      </c>
      <c r="Y11" s="16">
        <f ca="1">IFERROR(__xludf.dummyfunction("""COMPUTED_VALUE"""),10)</f>
        <v>10</v>
      </c>
      <c r="Z11" s="16">
        <f ca="1">IFERROR(__xludf.dummyfunction("""COMPUTED_VALUE"""),4)</f>
        <v>4</v>
      </c>
      <c r="AA11" s="30">
        <f ca="1">IFERROR(__xludf.dummyfunction("""COMPUTED_VALUE"""),4)</f>
        <v>4</v>
      </c>
      <c r="AB11" s="30">
        <f ca="1">IFERROR(__xludf.dummyfunction("""COMPUTED_VALUE"""),1)</f>
        <v>1</v>
      </c>
      <c r="AC11" s="30">
        <f ca="1">IFERROR(__xludf.dummyfunction("""COMPUTED_VALUE"""),9)</f>
        <v>9</v>
      </c>
      <c r="AD11" s="16"/>
      <c r="AE11" s="30"/>
      <c r="AF11" s="30"/>
      <c r="AG11" s="30"/>
    </row>
    <row r="12" spans="1:33" ht="26.4">
      <c r="A12" s="25"/>
      <c r="B12" s="26" t="s">
        <v>29</v>
      </c>
      <c r="C12" s="26" t="s">
        <v>310</v>
      </c>
      <c r="D12" s="26">
        <v>6</v>
      </c>
      <c r="E12" s="27" t="s">
        <v>311</v>
      </c>
      <c r="F12" s="28"/>
      <c r="G12" s="26" t="s">
        <v>328</v>
      </c>
      <c r="H12" s="28" t="str">
        <f ca="1">IFERROR(__xludf.dummyfunction("IFERROR(
  VLOOKUP(G12, IMPORTRANGE(""https://docs.google.com/spreadsheets/d/14deopnvwcrKtEGCKuYXdUHJbeLDZlkiSSWWT0g7x2pM/edit#gid=849066331"", ""LU List Maths (Filter)!A:B""), 2, FALSE),
  IFERROR(
    VLOOKUP(G12, IMPORTRANGE(""https://docs.google.com/s"&amp;"preadsheets/d/14deopnvwcrKtEGCKuYXdUHJbeLDZlkiSSWWT0g7x2pM/edit#gid=849066331"", ""LU List Science (Filter)!A:B""), 2, FALSE),
    ""Not Found""
  )
)
"),"Subtraction of large whole numbers (5-9 digit numbers)")</f>
        <v>Subtraction of large whole numbers (5-9 digit numbers)</v>
      </c>
      <c r="I12" s="28"/>
      <c r="J12" s="29" t="str">
        <f t="shared" si="0"/>
        <v>LU000949.001</v>
      </c>
      <c r="K12" s="29" t="str">
        <f ca="1">IFERROR(__xludf.dummyfunction("VLOOKUP(J12, IMPORTRANGE(""https://docs.google.com/spreadsheets/d/1yDAaXNsi4Mr5FtRQL4tbmSdIzhx6_m4wkOD7IG-k_eo/edit#gid=0"", ""Maths!M:N""), 2, FALSE)"),"Recall the steps of the standard approach for subtracting large whole numbers.")</f>
        <v>Recall the steps of the standard approach for subtracting large whole numbers.</v>
      </c>
      <c r="L12" s="29" t="str">
        <f t="shared" si="1"/>
        <v>LU000949.002</v>
      </c>
      <c r="M12" s="29" t="str">
        <f ca="1">IFERROR(__xludf.dummyfunction("VLOOKUP(L12, IMPORTRANGE(""https://docs.google.com/spreadsheets/d/1yDAaXNsi4Mr5FtRQL4tbmSdIzhx6_m4wkOD7IG-k_eo/edit#gid=0"", ""Maths!M:N""), 2, FALSE)"),"Explain the concept of 'borrowing' or 'regrouping' in the subtraction of large whole numbers.")</f>
        <v>Explain the concept of 'borrowing' or 'regrouping' in the subtraction of large whole numbers.</v>
      </c>
      <c r="N12" s="29" t="str">
        <f t="shared" si="2"/>
        <v>LU000949.003</v>
      </c>
      <c r="O12" s="29" t="str">
        <f ca="1">IFERROR(__xludf.dummyfunction("VLOOKUP(N12, IMPORTRANGE(""https://docs.google.com/spreadsheets/d/1yDAaXNsi4Mr5FtRQL4tbmSdIzhx6_m4wkOD7IG-k_eo/edit#gid=0"", ""Maths!M:N""), 2, FALSE)"),"Perform subtraction operations accurately with large whole numbers (5-9 digits).")</f>
        <v>Perform subtraction operations accurately with large whole numbers (5-9 digits).</v>
      </c>
      <c r="P12" s="29" t="str">
        <f t="shared" si="3"/>
        <v>LU000949.004</v>
      </c>
      <c r="Q12" s="29" t="str">
        <f ca="1">IFERROR(__xludf.dummyfunction("VLOOKUP(P12, IMPORTRANGE(""https://docs.google.com/spreadsheets/d/1yDAaXNsi4Mr5FtRQL4tbmSdIzhx6_m4wkOD7IG-k_eo/edit#gid=0"", ""Maths!M:N""), 2, FALSE)"),"Assess subtraction problems to identify and correct computational errors.")</f>
        <v>Assess subtraction problems to identify and correct computational errors.</v>
      </c>
      <c r="R12" s="29" t="str">
        <f t="shared" si="4"/>
        <v>LU000949.005</v>
      </c>
      <c r="S12" s="29" t="str">
        <f ca="1">IFERROR(__xludf.dummyfunction("VLOOKUP(R12, IMPORTRANGE(""https://docs.google.com/spreadsheets/d/1yDAaXNsi4Mr5FtRQL4tbmSdIzhx6_m4wkOD7IG-k_eo/edit#gid=0"", ""Maths!M:N""), 2, FALSE)"),"Develop and solve real-world problems that involve the subtraction of large whole numbers.")</f>
        <v>Develop and solve real-world problems that involve the subtraction of large whole numbers.</v>
      </c>
      <c r="T12" s="29" t="str">
        <f t="shared" si="5"/>
        <v>LU000949.006</v>
      </c>
      <c r="U12" s="29" t="str">
        <f ca="1">IFERROR(__xludf.dummyfunction("VLOOKUP(T12, IMPORTRANGE(""https://docs.google.com/spreadsheets/d/1yDAaXNsi4Mr5FtRQL4tbmSdIzhx6_m4wkOD7IG-k_eo/edit#gid=0"", ""Maths!M:N""), 2, FALSE)"),"#N/A")</f>
        <v>#N/A</v>
      </c>
      <c r="V12" s="16">
        <f ca="1">IFERROR(__xludf.dummyfunction("ArrayFormula(VLOOKUP(G12, IMPORTRANGE(""https://docs.google.com/spreadsheets/d/1p7R4vtkWt5VOBim4ltsDG9KTzSjrtKXsMtQGXPHyND0/edit#gid=795171502"", ""'Filter 30_05_2024'!A1:M2000""), {2, 3, 4, 5,6,7,8,9,10,11,12,13}, 0))"),4)</f>
        <v>4</v>
      </c>
      <c r="W12" s="16">
        <f ca="1">IFERROR(__xludf.dummyfunction("""COMPUTED_VALUE"""),11)</f>
        <v>11</v>
      </c>
      <c r="X12" s="16">
        <f ca="1">IFERROR(__xludf.dummyfunction("""COMPUTED_VALUE"""),2)</f>
        <v>2</v>
      </c>
      <c r="Y12" s="16">
        <f ca="1">IFERROR(__xludf.dummyfunction("""COMPUTED_VALUE"""),17)</f>
        <v>17</v>
      </c>
      <c r="Z12" s="16">
        <f ca="1">IFERROR(__xludf.dummyfunction("""COMPUTED_VALUE"""),4)</f>
        <v>4</v>
      </c>
      <c r="AA12" s="30">
        <f ca="1">IFERROR(__xludf.dummyfunction("""COMPUTED_VALUE"""),4)</f>
        <v>4</v>
      </c>
      <c r="AB12" s="30">
        <f ca="1">IFERROR(__xludf.dummyfunction("""COMPUTED_VALUE"""),1)</f>
        <v>1</v>
      </c>
      <c r="AC12" s="30">
        <f ca="1">IFERROR(__xludf.dummyfunction("""COMPUTED_VALUE"""),9)</f>
        <v>9</v>
      </c>
      <c r="AD12" s="16"/>
      <c r="AE12" s="30"/>
      <c r="AF12" s="30"/>
      <c r="AG12" s="30"/>
    </row>
    <row r="13" spans="1:33" ht="26.4">
      <c r="A13" s="25"/>
      <c r="B13" s="26" t="s">
        <v>29</v>
      </c>
      <c r="C13" s="26" t="s">
        <v>310</v>
      </c>
      <c r="D13" s="26">
        <v>6</v>
      </c>
      <c r="E13" s="27" t="s">
        <v>311</v>
      </c>
      <c r="F13" s="28" t="s">
        <v>329</v>
      </c>
      <c r="G13" s="26" t="s">
        <v>330</v>
      </c>
      <c r="H13" s="28" t="str">
        <f ca="1">IFERROR(__xludf.dummyfunction("IFERROR(
  VLOOKUP(G13, IMPORTRANGE(""https://docs.google.com/spreadsheets/d/14deopnvwcrKtEGCKuYXdUHJbeLDZlkiSSWWT0g7x2pM/edit#gid=849066331"", ""LU List Maths (Filter)!A:B""), 2, FALSE),
  IFERROR(
    VLOOKUP(G13, IMPORTRANGE(""https://docs.google.com/s"&amp;"preadsheets/d/14deopnvwcrKtEGCKuYXdUHJbeLDZlkiSSWWT0g7x2pM/edit#gid=849066331"", ""LU List Science (Filter)!A:B""), 2, FALSE),
    ""Not Found""
  )
)
"),"Multiplication of large whole numbers (6-9 digit numbers)")</f>
        <v>Multiplication of large whole numbers (6-9 digit numbers)</v>
      </c>
      <c r="I13" s="28"/>
      <c r="J13" s="29" t="str">
        <f t="shared" si="0"/>
        <v>LU000950.001</v>
      </c>
      <c r="K13" s="29" t="str">
        <f ca="1">IFERROR(__xludf.dummyfunction("VLOOKUP(J13, IMPORTRANGE(""https://docs.google.com/spreadsheets/d/1yDAaXNsi4Mr5FtRQL4tbmSdIzhx6_m4wkOD7IG-k_eo/edit#gid=0"", ""Maths!M:N""), 2, FALSE)"),"Recall the standard multiplication approach for multiplying large whole numbers.")</f>
        <v>Recall the standard multiplication approach for multiplying large whole numbers.</v>
      </c>
      <c r="L13" s="29" t="str">
        <f t="shared" si="1"/>
        <v>LU000950.002</v>
      </c>
      <c r="M13" s="29" t="str">
        <f ca="1">IFERROR(__xludf.dummyfunction("VLOOKUP(L13, IMPORTRANGE(""https://docs.google.com/spreadsheets/d/1yDAaXNsi4Mr5FtRQL4tbmSdIzhx6_m4wkOD7IG-k_eo/edit#gid=0"", ""Maths!M:N""), 2, FALSE)"),"Explain the significance of place value and how it applies when multiplying large whole numbers.")</f>
        <v>Explain the significance of place value and how it applies when multiplying large whole numbers.</v>
      </c>
      <c r="N13" s="29" t="str">
        <f t="shared" si="2"/>
        <v>LU000950.003</v>
      </c>
      <c r="O13" s="29" t="str">
        <f ca="1">IFERROR(__xludf.dummyfunction("VLOOKUP(N13, IMPORTRANGE(""https://docs.google.com/spreadsheets/d/1yDAaXNsi4Mr5FtRQL4tbmSdIzhx6_m4wkOD7IG-k_eo/edit#gid=0"", ""Maths!M:N""), 2, FALSE)"),"Perform multiplication operations with large whole numbers (6-9 digits) using the standard algorithm.")</f>
        <v>Perform multiplication operations with large whole numbers (6-9 digits) using the standard algorithm.</v>
      </c>
      <c r="P13" s="29" t="str">
        <f t="shared" si="3"/>
        <v>LU000950.004</v>
      </c>
      <c r="Q13" s="29" t="str">
        <f ca="1">IFERROR(__xludf.dummyfunction("VLOOKUP(P13, IMPORTRANGE(""https://docs.google.com/spreadsheets/d/1yDAaXNsi4Mr5FtRQL4tbmSdIzhx6_m4wkOD7IG-k_eo/edit#gid=0"", ""Maths!M:N""), 2, FALSE)"),"Analyze the multiplication process, focusing on the alignment of digits and the carry-over of values.")</f>
        <v>Analyze the multiplication process, focusing on the alignment of digits and the carry-over of values.</v>
      </c>
      <c r="R13" s="29" t="str">
        <f t="shared" si="4"/>
        <v>LU000950.005</v>
      </c>
      <c r="S13" s="29" t="str">
        <f ca="1">IFERROR(__xludf.dummyfunction("VLOOKUP(R13, IMPORTRANGE(""https://docs.google.com/spreadsheets/d/1yDAaXNsi4Mr5FtRQL4tbmSdIzhx6_m4wkOD7IG-k_eo/edit#gid=0"", ""Maths!M:N""), 2, FALSE)")," Evaluate multiplication problems to identify and correct any computational errors.")</f>
        <v xml:space="preserve"> Evaluate multiplication problems to identify and correct any computational errors.</v>
      </c>
      <c r="T13" s="29" t="str">
        <f t="shared" si="5"/>
        <v>LU000950.006</v>
      </c>
      <c r="U13" s="29" t="str">
        <f ca="1">IFERROR(__xludf.dummyfunction("VLOOKUP(T13, IMPORTRANGE(""https://docs.google.com/spreadsheets/d/1yDAaXNsi4Mr5FtRQL4tbmSdIzhx6_m4wkOD7IG-k_eo/edit#gid=0"", ""Maths!M:N""), 2, FALSE)"),"Devise and solve complex, multi-digit multiplication problems that involve real-world scenarios or additional mathematical concepts.")</f>
        <v>Devise and solve complex, multi-digit multiplication problems that involve real-world scenarios or additional mathematical concepts.</v>
      </c>
      <c r="V13" s="16">
        <f ca="1">IFERROR(__xludf.dummyfunction("ArrayFormula(VLOOKUP(G13, IMPORTRANGE(""https://docs.google.com/spreadsheets/d/1p7R4vtkWt5VOBim4ltsDG9KTzSjrtKXsMtQGXPHyND0/edit#gid=795171502"", ""'Filter 30_05_2024'!A1:M2000""), {2, 3, 4, 5,6,7,8,9,10,11,12,13}, 0))"),4)</f>
        <v>4</v>
      </c>
      <c r="W13" s="16">
        <f ca="1">IFERROR(__xludf.dummyfunction("""COMPUTED_VALUE"""),5)</f>
        <v>5</v>
      </c>
      <c r="X13" s="16">
        <f ca="1">IFERROR(__xludf.dummyfunction("""COMPUTED_VALUE"""),2)</f>
        <v>2</v>
      </c>
      <c r="Y13" s="16">
        <f ca="1">IFERROR(__xludf.dummyfunction("""COMPUTED_VALUE"""),11)</f>
        <v>11</v>
      </c>
      <c r="Z13" s="16">
        <f ca="1">IFERROR(__xludf.dummyfunction("""COMPUTED_VALUE"""),4)</f>
        <v>4</v>
      </c>
      <c r="AA13" s="30">
        <f ca="1">IFERROR(__xludf.dummyfunction("""COMPUTED_VALUE"""),2)</f>
        <v>2</v>
      </c>
      <c r="AB13" s="30">
        <f ca="1">IFERROR(__xludf.dummyfunction("""COMPUTED_VALUE"""),1)</f>
        <v>1</v>
      </c>
      <c r="AC13" s="30">
        <f ca="1">IFERROR(__xludf.dummyfunction("""COMPUTED_VALUE"""),7)</f>
        <v>7</v>
      </c>
      <c r="AD13" s="16"/>
      <c r="AE13" s="30"/>
      <c r="AF13" s="30"/>
      <c r="AG13" s="30"/>
    </row>
    <row r="14" spans="1:33" ht="26.4">
      <c r="A14" s="25"/>
      <c r="B14" s="26" t="s">
        <v>29</v>
      </c>
      <c r="C14" s="26" t="s">
        <v>310</v>
      </c>
      <c r="D14" s="26">
        <v>6</v>
      </c>
      <c r="E14" s="27" t="s">
        <v>311</v>
      </c>
      <c r="F14" s="28"/>
      <c r="G14" s="26" t="s">
        <v>331</v>
      </c>
      <c r="H14" s="28" t="str">
        <f ca="1">IFERROR(__xludf.dummyfunction("IFERROR(
  VLOOKUP(G14, IMPORTRANGE(""https://docs.google.com/spreadsheets/d/14deopnvwcrKtEGCKuYXdUHJbeLDZlkiSSWWT0g7x2pM/edit#gid=849066331"", ""LU List Maths (Filter)!A:B""), 2, FALSE),
  IFERROR(
    VLOOKUP(G14, IMPORTRANGE(""https://docs.google.com/s"&amp;"preadsheets/d/14deopnvwcrKtEGCKuYXdUHJbeLDZlkiSSWWT0g7x2pM/edit#gid=849066331"", ""LU List Science (Filter)!A:B""), 2, FALSE),
    ""Not Found""
  )
)
"),"Division of large whole numbers (6-9 digit numbers)")</f>
        <v>Division of large whole numbers (6-9 digit numbers)</v>
      </c>
      <c r="I14" s="28"/>
      <c r="J14" s="29" t="str">
        <f t="shared" si="0"/>
        <v>LU000951.001</v>
      </c>
      <c r="K14" s="29" t="str">
        <f ca="1">IFERROR(__xludf.dummyfunction("VLOOKUP(J14, IMPORTRANGE(""https://docs.google.com/spreadsheets/d/1yDAaXNsi4Mr5FtRQL4tbmSdIzhx6_m4wkOD7IG-k_eo/edit#gid=0"", ""Maths!M:N""), 2, FALSE)"),"Recall the long division method and the steps involved in dividing large whole numbers.")</f>
        <v>Recall the long division method and the steps involved in dividing large whole numbers.</v>
      </c>
      <c r="L14" s="29" t="str">
        <f t="shared" si="1"/>
        <v>LU000951.002</v>
      </c>
      <c r="M14" s="29" t="str">
        <f ca="1">IFERROR(__xludf.dummyfunction("VLOOKUP(L14, IMPORTRANGE(""https://docs.google.com/spreadsheets/d/1yDAaXNsi4Mr5FtRQL4tbmSdIzhx6_m4wkOD7IG-k_eo/edit#gid=0"", ""Maths!M:N""), 2, FALSE)"),"Explain the concept of division, including the dividend, divisor, quotient, and remainder.")</f>
        <v>Explain the concept of division, including the dividend, divisor, quotient, and remainder.</v>
      </c>
      <c r="N14" s="29" t="str">
        <f t="shared" si="2"/>
        <v>LU000951.003</v>
      </c>
      <c r="O14" s="29" t="str">
        <f ca="1">IFERROR(__xludf.dummyfunction("VLOOKUP(N14, IMPORTRANGE(""https://docs.google.com/spreadsheets/d/1yDAaXNsi4Mr5FtRQL4tbmSdIzhx6_m4wkOD7IG-k_eo/edit#gid=0"", ""Maths!M:N""), 2, FALSE)"),"Accurately perform division operations with large whole numbers (6-9 digits) using the long division method.")</f>
        <v>Accurately perform division operations with large whole numbers (6-9 digits) using the long division method.</v>
      </c>
      <c r="P14" s="29" t="str">
        <f t="shared" si="3"/>
        <v>LU000951.004</v>
      </c>
      <c r="Q14" s="29" t="str">
        <f ca="1">IFERROR(__xludf.dummyfunction("VLOOKUP(P14, IMPORTRANGE(""https://docs.google.com/spreadsheets/d/1yDAaXNsi4Mr5FtRQL4tbmSdIzhx6_m4wkOD7IG-k_eo/edit#gid=0"", ""Maths!M:N""), 2, FALSE)"),"Analyze the division process, focusing on the alignment of digits, the remainder, and the significance of each step.")</f>
        <v>Analyze the division process, focusing on the alignment of digits, the remainder, and the significance of each step.</v>
      </c>
      <c r="R14" s="29" t="str">
        <f t="shared" si="4"/>
        <v>LU000951.005</v>
      </c>
      <c r="S14" s="29" t="str">
        <f ca="1">IFERROR(__xludf.dummyfunction("VLOOKUP(R14, IMPORTRANGE(""https://docs.google.com/spreadsheets/d/1yDAaXNsi4Mr5FtRQL4tbmSdIzhx6_m4wkOD7IG-k_eo/edit#gid=0"", ""Maths!M:N""), 2, FALSE)"),"Critically evaluate the methods and accuracy of division involving large whole numbers, ranging from six to nine digits.")</f>
        <v>Critically evaluate the methods and accuracy of division involving large whole numbers, ranging from six to nine digits.</v>
      </c>
      <c r="T14" s="29" t="str">
        <f t="shared" si="5"/>
        <v>LU000951.006</v>
      </c>
      <c r="U14" s="29" t="str">
        <f ca="1">IFERROR(__xludf.dummyfunction("VLOOKUP(T14, IMPORTRANGE(""https://docs.google.com/spreadsheets/d/1yDAaXNsi4Mr5FtRQL4tbmSdIzhx6_m4wkOD7IG-k_eo/edit#gid=0"", ""Maths!M:N""), 2, FALSE)"),"Formulate and solve complex division problems that involve real-world scenarios, requiring multi-digit division and interpretation of remainders.")</f>
        <v>Formulate and solve complex division problems that involve real-world scenarios, requiring multi-digit division and interpretation of remainders.</v>
      </c>
      <c r="V14" s="16">
        <f ca="1">IFERROR(__xludf.dummyfunction("ArrayFormula(VLOOKUP(G14, IMPORTRANGE(""https://docs.google.com/spreadsheets/d/1p7R4vtkWt5VOBim4ltsDG9KTzSjrtKXsMtQGXPHyND0/edit#gid=795171502"", ""'Filter 30_05_2024'!A1:M2000""), {2, 3, 4, 5,6,7,8,9,10,11,12,13}, 0))"),4)</f>
        <v>4</v>
      </c>
      <c r="W14" s="16">
        <f ca="1">IFERROR(__xludf.dummyfunction("""COMPUTED_VALUE"""),6)</f>
        <v>6</v>
      </c>
      <c r="X14" s="16">
        <f ca="1">IFERROR(__xludf.dummyfunction("""COMPUTED_VALUE"""),2)</f>
        <v>2</v>
      </c>
      <c r="Y14" s="16">
        <f ca="1">IFERROR(__xludf.dummyfunction("""COMPUTED_VALUE"""),12)</f>
        <v>12</v>
      </c>
      <c r="Z14" s="16">
        <f ca="1">IFERROR(__xludf.dummyfunction("""COMPUTED_VALUE"""),4)</f>
        <v>4</v>
      </c>
      <c r="AA14" s="30">
        <f ca="1">IFERROR(__xludf.dummyfunction("""COMPUTED_VALUE"""),3)</f>
        <v>3</v>
      </c>
      <c r="AB14" s="30">
        <f ca="1">IFERROR(__xludf.dummyfunction("""COMPUTED_VALUE"""),1)</f>
        <v>1</v>
      </c>
      <c r="AC14" s="30">
        <f ca="1">IFERROR(__xludf.dummyfunction("""COMPUTED_VALUE"""),8)</f>
        <v>8</v>
      </c>
      <c r="AD14" s="16"/>
      <c r="AE14" s="30"/>
      <c r="AF14" s="30"/>
      <c r="AG14" s="30"/>
    </row>
    <row r="15" spans="1:33" ht="26.4">
      <c r="A15" s="25"/>
      <c r="B15" s="26" t="s">
        <v>29</v>
      </c>
      <c r="C15" s="26" t="s">
        <v>310</v>
      </c>
      <c r="D15" s="26">
        <v>6</v>
      </c>
      <c r="E15" s="27" t="s">
        <v>311</v>
      </c>
      <c r="F15" s="32" t="s">
        <v>332</v>
      </c>
      <c r="G15" s="33" t="s">
        <v>333</v>
      </c>
      <c r="H15" s="28" t="str">
        <f ca="1">IFERROR(__xludf.dummyfunction("IFERROR(
  VLOOKUP(G15, IMPORTRANGE(""https://docs.google.com/spreadsheets/d/14deopnvwcrKtEGCKuYXdUHJbeLDZlkiSSWWT0g7x2pM/edit#gid=849066331"", ""LU List Maths (Filter)!A:B""), 2, FALSE),
  IFERROR(
    VLOOKUP(G15, IMPORTRANGE(""https://docs.google.com/s"&amp;"preadsheets/d/14deopnvwcrKtEGCKuYXdUHJbeLDZlkiSSWWT0g7x2pM/edit#gid=849066331"", ""LU List Science (Filter)!A:B""), 2, FALSE),
    ""Not Found""
  )
)
"),"Word problems on application of large numbers (6-9 digit numbers)")</f>
        <v>Word problems on application of large numbers (6-9 digit numbers)</v>
      </c>
      <c r="I15" s="28"/>
      <c r="J15" s="29" t="str">
        <f t="shared" si="0"/>
        <v>LU001371.001</v>
      </c>
      <c r="K15" s="29" t="str">
        <f ca="1">IFERROR(__xludf.dummyfunction("VLOOKUP(J15, IMPORTRANGE(""https://docs.google.com/spreadsheets/d/1yDAaXNsi4Mr5FtRQL4tbmSdIzhx6_m4wkOD7IG-k_eo/edit#gid=0"", ""Maths!M:N""), 2, FALSE)"),"(LU001371.001); Default - Remember")</f>
        <v>(LU001371.001); Default - Remember</v>
      </c>
      <c r="L15" s="29" t="str">
        <f t="shared" si="1"/>
        <v>LU001371.002</v>
      </c>
      <c r="M15" s="29" t="str">
        <f ca="1">IFERROR(__xludf.dummyfunction("VLOOKUP(L15, IMPORTRANGE(""https://docs.google.com/spreadsheets/d/1yDAaXNsi4Mr5FtRQL4tbmSdIzhx6_m4wkOD7IG-k_eo/edit#gid=0"", ""Maths!M:N""), 2, FALSE)"),"(LU001371.002); Default - Understand")</f>
        <v>(LU001371.002); Default - Understand</v>
      </c>
      <c r="N15" s="29" t="str">
        <f t="shared" si="2"/>
        <v>LU001371.003</v>
      </c>
      <c r="O15" s="29" t="str">
        <f ca="1">IFERROR(__xludf.dummyfunction("VLOOKUP(N15, IMPORTRANGE(""https://docs.google.com/spreadsheets/d/1yDAaXNsi4Mr5FtRQL4tbmSdIzhx6_m4wkOD7IG-k_eo/edit#gid=0"", ""Maths!M:N""), 2, FALSE)"),"(LU001371.003); Default - Apply")</f>
        <v>(LU001371.003); Default - Apply</v>
      </c>
      <c r="P15" s="29" t="str">
        <f t="shared" si="3"/>
        <v>LU001371.004</v>
      </c>
      <c r="Q15" s="29" t="str">
        <f ca="1">IFERROR(__xludf.dummyfunction("VLOOKUP(P15, IMPORTRANGE(""https://docs.google.com/spreadsheets/d/1yDAaXNsi4Mr5FtRQL4tbmSdIzhx6_m4wkOD7IG-k_eo/edit#gid=0"", ""Maths!M:N""), 2, FALSE)"),"(LU001371.004); Default - Analyse")</f>
        <v>(LU001371.004); Default - Analyse</v>
      </c>
      <c r="R15" s="29" t="str">
        <f t="shared" si="4"/>
        <v>LU001371.005</v>
      </c>
      <c r="S15" s="29" t="str">
        <f ca="1">IFERROR(__xludf.dummyfunction("VLOOKUP(R15, IMPORTRANGE(""https://docs.google.com/spreadsheets/d/1yDAaXNsi4Mr5FtRQL4tbmSdIzhx6_m4wkOD7IG-k_eo/edit#gid=0"", ""Maths!M:N""), 2, FALSE)"),"(LU001371.005); Default - Evaluate")</f>
        <v>(LU001371.005); Default - Evaluate</v>
      </c>
      <c r="T15" s="29" t="str">
        <f t="shared" si="5"/>
        <v>LU001371.006</v>
      </c>
      <c r="U15" s="29" t="str">
        <f ca="1">IFERROR(__xludf.dummyfunction("VLOOKUP(T15, IMPORTRANGE(""https://docs.google.com/spreadsheets/d/1yDAaXNsi4Mr5FtRQL4tbmSdIzhx6_m4wkOD7IG-k_eo/edit#gid=0"", ""Maths!M:N""), 2, FALSE)"),"(LU001371.006); Default - Create")</f>
        <v>(LU001371.006); Default - Create</v>
      </c>
      <c r="V15" s="16" t="str">
        <f ca="1">IFERROR(__xludf.dummyfunction("ArrayFormula(VLOOKUP(G15, IMPORTRANGE(""https://docs.google.com/spreadsheets/d/1p7R4vtkWt5VOBim4ltsDG9KTzSjrtKXsMtQGXPHyND0/edit#gid=795171502"", ""'Filter 30_05_2024'!A1:M2000""), {2, 3, 4, 5,6,7,8,9,10,11,12,13}, 0))"),"#N/A")</f>
        <v>#N/A</v>
      </c>
      <c r="W15" s="16" t="str">
        <f ca="1">IFERROR(__xludf.dummyfunction("""COMPUTED_VALUE"""),"#N/A")</f>
        <v>#N/A</v>
      </c>
      <c r="X15" s="16" t="str">
        <f ca="1">IFERROR(__xludf.dummyfunction("""COMPUTED_VALUE"""),"#N/A")</f>
        <v>#N/A</v>
      </c>
      <c r="Y15" s="16" t="str">
        <f ca="1">IFERROR(__xludf.dummyfunction("""COMPUTED_VALUE"""),"#N/A")</f>
        <v>#N/A</v>
      </c>
      <c r="Z15" s="16" t="str">
        <f ca="1">IFERROR(__xludf.dummyfunction("""COMPUTED_VALUE"""),"#N/A")</f>
        <v>#N/A</v>
      </c>
      <c r="AA15" s="30" t="str">
        <f ca="1">IFERROR(__xludf.dummyfunction("""COMPUTED_VALUE"""),"#N/A")</f>
        <v>#N/A</v>
      </c>
      <c r="AB15" s="30" t="str">
        <f ca="1">IFERROR(__xludf.dummyfunction("""COMPUTED_VALUE"""),"#N/A")</f>
        <v>#N/A</v>
      </c>
      <c r="AC15" s="30" t="str">
        <f ca="1">IFERROR(__xludf.dummyfunction("""COMPUTED_VALUE"""),"#N/A")</f>
        <v>#N/A</v>
      </c>
      <c r="AD15" s="16" t="str">
        <f ca="1">IFERROR(__xludf.dummyfunction("""COMPUTED_VALUE"""),"#N/A")</f>
        <v>#N/A</v>
      </c>
      <c r="AE15" s="30" t="str">
        <f ca="1">IFERROR(__xludf.dummyfunction("""COMPUTED_VALUE"""),"#N/A")</f>
        <v>#N/A</v>
      </c>
      <c r="AF15" s="30" t="str">
        <f ca="1">IFERROR(__xludf.dummyfunction("""COMPUTED_VALUE"""),"#N/A")</f>
        <v>#N/A</v>
      </c>
      <c r="AG15" s="30" t="str">
        <f ca="1">IFERROR(__xludf.dummyfunction("""COMPUTED_VALUE"""),"#N/A")</f>
        <v>#N/A</v>
      </c>
    </row>
    <row r="16" spans="1:33" ht="26.4">
      <c r="A16" s="25"/>
      <c r="B16" s="26" t="s">
        <v>29</v>
      </c>
      <c r="C16" s="26" t="s">
        <v>310</v>
      </c>
      <c r="D16" s="26">
        <v>6</v>
      </c>
      <c r="E16" s="27" t="s">
        <v>311</v>
      </c>
      <c r="F16" s="28" t="s">
        <v>334</v>
      </c>
      <c r="G16" s="26" t="s">
        <v>335</v>
      </c>
      <c r="H16" s="28" t="str">
        <f ca="1">IFERROR(__xludf.dummyfunction("IFERROR(
  VLOOKUP(G16, IMPORTRANGE(""https://docs.google.com/spreadsheets/d/14deopnvwcrKtEGCKuYXdUHJbeLDZlkiSSWWT0g7x2pM/edit#gid=849066331"", ""LU List Maths (Filter)!A:B""), 2, FALSE),
  IFERROR(
    VLOOKUP(G16, IMPORTRANGE(""https://docs.google.com/s"&amp;"preadsheets/d/14deopnvwcrKtEGCKuYXdUHJbeLDZlkiSSWWT0g7x2pM/edit#gid=849066331"", ""LU List Science (Filter)!A:B""), 2, FALSE),
    ""Not Found""
  )
)
"),"Conversion between different units of length (in whole number)")</f>
        <v>Conversion between different units of length (in whole number)</v>
      </c>
      <c r="I16" s="28"/>
      <c r="J16" s="29" t="str">
        <f t="shared" si="0"/>
        <v>LU000163.001</v>
      </c>
      <c r="K16" s="29" t="str">
        <f ca="1">IFERROR(__xludf.dummyfunction("VLOOKUP(J16, IMPORTRANGE(""https://docs.google.com/spreadsheets/d/1yDAaXNsi4Mr5FtRQL4tbmSdIzhx6_m4wkOD7IG-k_eo/edit#gid=0"", ""Maths!M:N""), 2, FALSE)"),"List the standard units of length in the metric system.")</f>
        <v>List the standard units of length in the metric system.</v>
      </c>
      <c r="L16" s="29" t="str">
        <f t="shared" si="1"/>
        <v>LU000163.002</v>
      </c>
      <c r="M16" s="29" t="str">
        <f ca="1">IFERROR(__xludf.dummyfunction("VLOOKUP(L16, IMPORTRANGE(""https://docs.google.com/spreadsheets/d/1yDAaXNsi4Mr5FtRQL4tbmSdIzhx6_m4wkOD7IG-k_eo/edit#gid=0"", ""Maths!M:N""), 2, FALSE)"),"Describe the relationship between larger and smaller units of length within the same system.")</f>
        <v>Describe the relationship between larger and smaller units of length within the same system.</v>
      </c>
      <c r="N16" s="29" t="str">
        <f t="shared" si="2"/>
        <v>LU000163.003</v>
      </c>
      <c r="O16" s="29" t="str">
        <f ca="1">IFERROR(__xludf.dummyfunction("VLOOKUP(N16, IMPORTRANGE(""https://docs.google.com/spreadsheets/d/1yDAaXNsi4Mr5FtRQL4tbmSdIzhx6_m4wkOD7IG-k_eo/edit#gid=0"", ""Maths!M:N""), 2, FALSE)"),"Solve problems involving the conversion of length from one unit to another (units of metric system).")</f>
        <v>Solve problems involving the conversion of length from one unit to another (units of metric system).</v>
      </c>
      <c r="P16" s="29" t="str">
        <f t="shared" si="3"/>
        <v>LU000163.004</v>
      </c>
      <c r="Q16" s="29" t="str">
        <f ca="1">IFERROR(__xludf.dummyfunction("VLOOKUP(P16, IMPORTRANGE(""https://docs.google.com/spreadsheets/d/1yDAaXNsi4Mr5FtRQL4tbmSdIzhx6_m4wkOD7IG-k_eo/edit#gid=0"", ""Maths!M:N""), 2, FALSE)"),"Investigate common mistakes made during length unit conversion.")</f>
        <v>Investigate common mistakes made during length unit conversion.</v>
      </c>
      <c r="R16" s="29" t="str">
        <f t="shared" si="4"/>
        <v>LU000163.005</v>
      </c>
      <c r="S16" s="29" t="str">
        <f ca="1">IFERROR(__xludf.dummyfunction("VLOOKUP(R16, IMPORTRANGE(""https://docs.google.com/spreadsheets/d/1yDAaXNsi4Mr5FtRQL4tbmSdIzhx6_m4wkOD7IG-k_eo/edit#gid=0"", ""Maths!M:N""), 2, FALSE)"),"Assess the importance of selecting suitable units of length for precise measurement.")</f>
        <v>Assess the importance of selecting suitable units of length for precise measurement.</v>
      </c>
      <c r="T16" s="29" t="str">
        <f t="shared" si="5"/>
        <v>LU000163.006</v>
      </c>
      <c r="U16" s="29" t="str">
        <f ca="1">IFERROR(__xludf.dummyfunction("VLOOKUP(T16, IMPORTRANGE(""https://docs.google.com/spreadsheets/d/1yDAaXNsi4Mr5FtRQL4tbmSdIzhx6_m4wkOD7IG-k_eo/edit#gid=0"", ""Maths!M:N""), 2, FALSE)"),"Construct a practical project showcasing instances of length unit conversion in everyday life.")</f>
        <v>Construct a practical project showcasing instances of length unit conversion in everyday life.</v>
      </c>
      <c r="V16" s="16">
        <f ca="1">IFERROR(__xludf.dummyfunction("ArrayFormula(VLOOKUP(G16, IMPORTRANGE(""https://docs.google.com/spreadsheets/d/1p7R4vtkWt5VOBim4ltsDG9KTzSjrtKXsMtQGXPHyND0/edit#gid=795171502"", ""'Filter 30_05_2024'!A1:M2000""), {2, 3, 4, 5,6,7,8,9,10,11,12,13}, 0))"),4)</f>
        <v>4</v>
      </c>
      <c r="W16" s="16">
        <f ca="1">IFERROR(__xludf.dummyfunction("""COMPUTED_VALUE"""),2)</f>
        <v>2</v>
      </c>
      <c r="X16" s="16">
        <f ca="1">IFERROR(__xludf.dummyfunction("""COMPUTED_VALUE"""),2)</f>
        <v>2</v>
      </c>
      <c r="Y16" s="16">
        <f ca="1">IFERROR(__xludf.dummyfunction("""COMPUTED_VALUE"""),8)</f>
        <v>8</v>
      </c>
      <c r="Z16" s="16">
        <f ca="1">IFERROR(__xludf.dummyfunction("""COMPUTED_VALUE"""),4)</f>
        <v>4</v>
      </c>
      <c r="AA16" s="30">
        <f ca="1">IFERROR(__xludf.dummyfunction("""COMPUTED_VALUE"""),7)</f>
        <v>7</v>
      </c>
      <c r="AB16" s="30">
        <f ca="1">IFERROR(__xludf.dummyfunction("""COMPUTED_VALUE"""),1)</f>
        <v>1</v>
      </c>
      <c r="AC16" s="30">
        <f ca="1">IFERROR(__xludf.dummyfunction("""COMPUTED_VALUE"""),12)</f>
        <v>12</v>
      </c>
      <c r="AD16" s="16"/>
      <c r="AE16" s="30"/>
      <c r="AF16" s="30"/>
      <c r="AG16" s="30"/>
    </row>
    <row r="17" spans="1:33" ht="26.4">
      <c r="A17" s="25"/>
      <c r="B17" s="26" t="s">
        <v>29</v>
      </c>
      <c r="C17" s="26" t="s">
        <v>310</v>
      </c>
      <c r="D17" s="26">
        <v>6</v>
      </c>
      <c r="E17" s="27" t="s">
        <v>311</v>
      </c>
      <c r="F17" s="28"/>
      <c r="G17" s="26" t="s">
        <v>336</v>
      </c>
      <c r="H17" s="28" t="str">
        <f ca="1">IFERROR(__xludf.dummyfunction("IFERROR(
  VLOOKUP(G17, IMPORTRANGE(""https://docs.google.com/spreadsheets/d/14deopnvwcrKtEGCKuYXdUHJbeLDZlkiSSWWT0g7x2pM/edit#gid=849066331"", ""LU List Maths (Filter)!A:B""), 2, FALSE),
  IFERROR(
    VLOOKUP(G17, IMPORTRANGE(""https://docs.google.com/s"&amp;"preadsheets/d/14deopnvwcrKtEGCKuYXdUHJbeLDZlkiSSWWT0g7x2pM/edit#gid=849066331"", ""LU List Science (Filter)!A:B""), 2, FALSE),
    ""Not Found""
  )
)
"),"Conversion between different units of mass (in whole number)")</f>
        <v>Conversion between different units of mass (in whole number)</v>
      </c>
      <c r="I17" s="28"/>
      <c r="J17" s="29" t="str">
        <f t="shared" si="0"/>
        <v>LU000164.001</v>
      </c>
      <c r="K17" s="29" t="str">
        <f ca="1">IFERROR(__xludf.dummyfunction("VLOOKUP(J17, IMPORTRANGE(""https://docs.google.com/spreadsheets/d/1yDAaXNsi4Mr5FtRQL4tbmSdIzhx6_m4wkOD7IG-k_eo/edit#gid=0"", ""Maths!M:N""), 2, FALSE)"),"List the standard units of mass in the metric system.")</f>
        <v>List the standard units of mass in the metric system.</v>
      </c>
      <c r="L17" s="29" t="str">
        <f t="shared" si="1"/>
        <v>LU000164.002</v>
      </c>
      <c r="M17" s="29" t="str">
        <f ca="1">IFERROR(__xludf.dummyfunction("VLOOKUP(L17, IMPORTRANGE(""https://docs.google.com/spreadsheets/d/1yDAaXNsi4Mr5FtRQL4tbmSdIzhx6_m4wkOD7IG-k_eo/edit#gid=0"", ""Maths!M:N""), 2, FALSE)"),"Describe the relationship between larger and smaller units of mass within the same system.")</f>
        <v>Describe the relationship between larger and smaller units of mass within the same system.</v>
      </c>
      <c r="N17" s="29" t="str">
        <f t="shared" si="2"/>
        <v>LU000164.003</v>
      </c>
      <c r="O17" s="29" t="str">
        <f ca="1">IFERROR(__xludf.dummyfunction("VLOOKUP(N17, IMPORTRANGE(""https://docs.google.com/spreadsheets/d/1yDAaXNsi4Mr5FtRQL4tbmSdIzhx6_m4wkOD7IG-k_eo/edit#gid=0"", ""Maths!M:N""), 2, FALSE)"),"Solve problems involving the conversion of mass from one unit to another (units of metric system).")</f>
        <v>Solve problems involving the conversion of mass from one unit to another (units of metric system).</v>
      </c>
      <c r="P17" s="29" t="str">
        <f t="shared" si="3"/>
        <v>LU000164.004</v>
      </c>
      <c r="Q17" s="29" t="str">
        <f ca="1">IFERROR(__xludf.dummyfunction("VLOOKUP(P17, IMPORTRANGE(""https://docs.google.com/spreadsheets/d/1yDAaXNsi4Mr5FtRQL4tbmSdIzhx6_m4wkOD7IG-k_eo/edit#gid=0"", ""Maths!M:N""), 2, FALSE)"),"Investigate common mistakes made during mass unit conversion.")</f>
        <v>Investigate common mistakes made during mass unit conversion.</v>
      </c>
      <c r="R17" s="29" t="str">
        <f t="shared" si="4"/>
        <v>LU000164.005</v>
      </c>
      <c r="S17" s="29" t="str">
        <f ca="1">IFERROR(__xludf.dummyfunction("VLOOKUP(R17, IMPORTRANGE(""https://docs.google.com/spreadsheets/d/1yDAaXNsi4Mr5FtRQL4tbmSdIzhx6_m4wkOD7IG-k_eo/edit#gid=0"", ""Maths!M:N""), 2, FALSE)"),"Assess the importance of selecting suitable units of mass for precise measurement.")</f>
        <v>Assess the importance of selecting suitable units of mass for precise measurement.</v>
      </c>
      <c r="T17" s="29" t="str">
        <f t="shared" si="5"/>
        <v>LU000164.006</v>
      </c>
      <c r="U17" s="29" t="str">
        <f ca="1">IFERROR(__xludf.dummyfunction("VLOOKUP(T17, IMPORTRANGE(""https://docs.google.com/spreadsheets/d/1yDAaXNsi4Mr5FtRQL4tbmSdIzhx6_m4wkOD7IG-k_eo/edit#gid=0"", ""Maths!M:N""), 2, FALSE)"),"Construct a practical project showcasing instances of mass unit conversion in everyday life.")</f>
        <v>Construct a practical project showcasing instances of mass unit conversion in everyday life.</v>
      </c>
      <c r="V17" s="16">
        <f ca="1">IFERROR(__xludf.dummyfunction("ArrayFormula(VLOOKUP(G17, IMPORTRANGE(""https://docs.google.com/spreadsheets/d/1p7R4vtkWt5VOBim4ltsDG9KTzSjrtKXsMtQGXPHyND0/edit#gid=795171502"", ""'Filter 30_05_2024'!A1:M2000""), {2, 3, 4, 5,6,7,8,9,10,11,12,13}, 0))"),4)</f>
        <v>4</v>
      </c>
      <c r="W17" s="16">
        <f ca="1">IFERROR(__xludf.dummyfunction("""COMPUTED_VALUE"""),8)</f>
        <v>8</v>
      </c>
      <c r="X17" s="16">
        <f ca="1">IFERROR(__xludf.dummyfunction("""COMPUTED_VALUE"""),2)</f>
        <v>2</v>
      </c>
      <c r="Y17" s="16">
        <f ca="1">IFERROR(__xludf.dummyfunction("""COMPUTED_VALUE"""),14)</f>
        <v>14</v>
      </c>
      <c r="Z17" s="16">
        <f ca="1">IFERROR(__xludf.dummyfunction("""COMPUTED_VALUE"""),6)</f>
        <v>6</v>
      </c>
      <c r="AA17" s="30">
        <f ca="1">IFERROR(__xludf.dummyfunction("""COMPUTED_VALUE"""),1)</f>
        <v>1</v>
      </c>
      <c r="AB17" s="30">
        <f ca="1">IFERROR(__xludf.dummyfunction("""COMPUTED_VALUE"""),1)</f>
        <v>1</v>
      </c>
      <c r="AC17" s="30">
        <f ca="1">IFERROR(__xludf.dummyfunction("""COMPUTED_VALUE"""),8)</f>
        <v>8</v>
      </c>
      <c r="AD17" s="16"/>
      <c r="AE17" s="30"/>
      <c r="AF17" s="30"/>
      <c r="AG17" s="30"/>
    </row>
    <row r="18" spans="1:33" ht="26.4">
      <c r="A18" s="34"/>
      <c r="B18" s="35" t="s">
        <v>29</v>
      </c>
      <c r="C18" s="35" t="s">
        <v>310</v>
      </c>
      <c r="D18" s="35">
        <v>6</v>
      </c>
      <c r="E18" s="36" t="s">
        <v>311</v>
      </c>
      <c r="F18" s="37"/>
      <c r="G18" s="35" t="s">
        <v>337</v>
      </c>
      <c r="H18" s="37" t="str">
        <f ca="1">IFERROR(__xludf.dummyfunction("IFERROR(
  VLOOKUP(G18, IMPORTRANGE(""https://docs.google.com/spreadsheets/d/14deopnvwcrKtEGCKuYXdUHJbeLDZlkiSSWWT0g7x2pM/edit#gid=849066331"", ""LU List Maths (Filter)!A:B""), 2, FALSE),
  IFERROR(
    VLOOKUP(G18, IMPORTRANGE(""https://docs.google.com/s"&amp;"preadsheets/d/14deopnvwcrKtEGCKuYXdUHJbeLDZlkiSSWWT0g7x2pM/edit#gid=849066331"", ""LU List Science (Filter)!A:B""), 2, FALSE),
    ""Not Found""
  )
)
"),"Conversion between different units of capacity (in whole number)")</f>
        <v>Conversion between different units of capacity (in whole number)</v>
      </c>
      <c r="I18" s="37"/>
      <c r="J18" s="29" t="str">
        <f t="shared" si="0"/>
        <v>LU000165.001</v>
      </c>
      <c r="K18" s="29" t="str">
        <f ca="1">IFERROR(__xludf.dummyfunction("VLOOKUP(J18, IMPORTRANGE(""https://docs.google.com/spreadsheets/d/1yDAaXNsi4Mr5FtRQL4tbmSdIzhx6_m4wkOD7IG-k_eo/edit#gid=0"", ""Maths!M:N""), 2, FALSE)"),"List the standard units of capacity in the metric system.")</f>
        <v>List the standard units of capacity in the metric system.</v>
      </c>
      <c r="L18" s="29" t="str">
        <f t="shared" si="1"/>
        <v>LU000165.002</v>
      </c>
      <c r="M18" s="29" t="str">
        <f ca="1">IFERROR(__xludf.dummyfunction("VLOOKUP(L18, IMPORTRANGE(""https://docs.google.com/spreadsheets/d/1yDAaXNsi4Mr5FtRQL4tbmSdIzhx6_m4wkOD7IG-k_eo/edit#gid=0"", ""Maths!M:N""), 2, FALSE)"),"Describe the relationship between larger and smaller units of capacity within the same system.")</f>
        <v>Describe the relationship between larger and smaller units of capacity within the same system.</v>
      </c>
      <c r="N18" s="29" t="str">
        <f t="shared" si="2"/>
        <v>LU000165.003</v>
      </c>
      <c r="O18" s="29" t="str">
        <f ca="1">IFERROR(__xludf.dummyfunction("VLOOKUP(N18, IMPORTRANGE(""https://docs.google.com/spreadsheets/d/1yDAaXNsi4Mr5FtRQL4tbmSdIzhx6_m4wkOD7IG-k_eo/edit#gid=0"", ""Maths!M:N""), 2, FALSE)"),"Solve problems involving the conversion of capacity from one unit to another (units of metric system).")</f>
        <v>Solve problems involving the conversion of capacity from one unit to another (units of metric system).</v>
      </c>
      <c r="P18" s="29" t="str">
        <f t="shared" si="3"/>
        <v>LU000165.004</v>
      </c>
      <c r="Q18" s="29" t="str">
        <f ca="1">IFERROR(__xludf.dummyfunction("VLOOKUP(P18, IMPORTRANGE(""https://docs.google.com/spreadsheets/d/1yDAaXNsi4Mr5FtRQL4tbmSdIzhx6_m4wkOD7IG-k_eo/edit#gid=0"", ""Maths!M:N""), 2, FALSE)"),"Investigate common mistakes made during capacity unit conversion.")</f>
        <v>Investigate common mistakes made during capacity unit conversion.</v>
      </c>
      <c r="R18" s="29" t="str">
        <f t="shared" si="4"/>
        <v>LU000165.005</v>
      </c>
      <c r="S18" s="29" t="str">
        <f ca="1">IFERROR(__xludf.dummyfunction("VLOOKUP(R18, IMPORTRANGE(""https://docs.google.com/spreadsheets/d/1yDAaXNsi4Mr5FtRQL4tbmSdIzhx6_m4wkOD7IG-k_eo/edit#gid=0"", ""Maths!M:N""), 2, FALSE)"),"Assess the importance of selecting suitable units of capacity for precise measurement.")</f>
        <v>Assess the importance of selecting suitable units of capacity for precise measurement.</v>
      </c>
      <c r="T18" s="29" t="str">
        <f t="shared" si="5"/>
        <v>LU000165.006</v>
      </c>
      <c r="U18" s="29" t="str">
        <f ca="1">IFERROR(__xludf.dummyfunction("VLOOKUP(T18, IMPORTRANGE(""https://docs.google.com/spreadsheets/d/1yDAaXNsi4Mr5FtRQL4tbmSdIzhx6_m4wkOD7IG-k_eo/edit#gid=0"", ""Maths!M:N""), 2, FALSE)"),"Construct a practical project showcasing instances of capacity unit conversion in everyday life.")</f>
        <v>Construct a practical project showcasing instances of capacity unit conversion in everyday life.</v>
      </c>
      <c r="V18" s="16">
        <f ca="1">IFERROR(__xludf.dummyfunction("ArrayFormula(VLOOKUP(G18, IMPORTRANGE(""https://docs.google.com/spreadsheets/d/1p7R4vtkWt5VOBim4ltsDG9KTzSjrtKXsMtQGXPHyND0/edit#gid=795171502"", ""'Filter 30_05_2024'!A1:M2000""), {2, 3, 4, 5,6,7,8,9,10,11,12,13}, 0))"),4)</f>
        <v>4</v>
      </c>
      <c r="W18" s="16">
        <f ca="1">IFERROR(__xludf.dummyfunction("""COMPUTED_VALUE"""),6)</f>
        <v>6</v>
      </c>
      <c r="X18" s="16">
        <f ca="1">IFERROR(__xludf.dummyfunction("""COMPUTED_VALUE"""),2)</f>
        <v>2</v>
      </c>
      <c r="Y18" s="16">
        <f ca="1">IFERROR(__xludf.dummyfunction("""COMPUTED_VALUE"""),12)</f>
        <v>12</v>
      </c>
      <c r="Z18" s="16">
        <f ca="1">IFERROR(__xludf.dummyfunction("""COMPUTED_VALUE"""),4)</f>
        <v>4</v>
      </c>
      <c r="AA18" s="30">
        <f ca="1">IFERROR(__xludf.dummyfunction("""COMPUTED_VALUE"""),3)</f>
        <v>3</v>
      </c>
      <c r="AB18" s="30">
        <f ca="1">IFERROR(__xludf.dummyfunction("""COMPUTED_VALUE"""),1)</f>
        <v>1</v>
      </c>
      <c r="AC18" s="30">
        <f ca="1">IFERROR(__xludf.dummyfunction("""COMPUTED_VALUE"""),8)</f>
        <v>8</v>
      </c>
      <c r="AD18" s="16"/>
      <c r="AE18" s="30"/>
      <c r="AF18" s="30"/>
      <c r="AG18" s="30"/>
    </row>
    <row r="19" spans="1:33" ht="26.4">
      <c r="A19" s="25"/>
      <c r="B19" s="26" t="s">
        <v>29</v>
      </c>
      <c r="C19" s="26" t="s">
        <v>310</v>
      </c>
      <c r="D19" s="26">
        <v>6</v>
      </c>
      <c r="E19" s="27" t="s">
        <v>311</v>
      </c>
      <c r="F19" s="28"/>
      <c r="G19" s="38" t="s">
        <v>338</v>
      </c>
      <c r="H19" s="28" t="str">
        <f ca="1">IFERROR(__xludf.dummyfunction("IFERROR(
  VLOOKUP(G19, IMPORTRANGE(""https://docs.google.com/spreadsheets/d/14deopnvwcrKtEGCKuYXdUHJbeLDZlkiSSWWT0g7x2pM/edit#gid=849066331"", ""LU List Maths (Filter)!A:B""), 2, FALSE),
  IFERROR(
    VLOOKUP(G19, IMPORTRANGE(""https://docs.google.com/s"&amp;"preadsheets/d/14deopnvwcrKtEGCKuYXdUHJbeLDZlkiSSWWT0g7x2pM/edit#gid=849066331"", ""LU List Science (Filter)!A:B""), 2, FALSE),
    ""Not Found""
  )
)
"),"Conversion between different units of money (in whole number)")</f>
        <v>Conversion between different units of money (in whole number)</v>
      </c>
      <c r="I19" s="28"/>
      <c r="J19" s="29" t="str">
        <f t="shared" si="0"/>
        <v>LU001372.001</v>
      </c>
      <c r="K19" s="29" t="str">
        <f ca="1">IFERROR(__xludf.dummyfunction("VLOOKUP(J19, IMPORTRANGE(""https://docs.google.com/spreadsheets/d/1yDAaXNsi4Mr5FtRQL4tbmSdIzhx6_m4wkOD7IG-k_eo/edit#gid=0"", ""Maths!M:N""), 2, FALSE)"),"(LU001372.001); Default - Remember")</f>
        <v>(LU001372.001); Default - Remember</v>
      </c>
      <c r="L19" s="29" t="str">
        <f t="shared" si="1"/>
        <v>LU001372.002</v>
      </c>
      <c r="M19" s="29" t="str">
        <f ca="1">IFERROR(__xludf.dummyfunction("VLOOKUP(L19, IMPORTRANGE(""https://docs.google.com/spreadsheets/d/1yDAaXNsi4Mr5FtRQL4tbmSdIzhx6_m4wkOD7IG-k_eo/edit#gid=0"", ""Maths!M:N""), 2, FALSE)"),"(LU001372.002); Default - Understand")</f>
        <v>(LU001372.002); Default - Understand</v>
      </c>
      <c r="N19" s="29" t="str">
        <f t="shared" si="2"/>
        <v>LU001372.003</v>
      </c>
      <c r="O19" s="29" t="str">
        <f ca="1">IFERROR(__xludf.dummyfunction("VLOOKUP(N19, IMPORTRANGE(""https://docs.google.com/spreadsheets/d/1yDAaXNsi4Mr5FtRQL4tbmSdIzhx6_m4wkOD7IG-k_eo/edit#gid=0"", ""Maths!M:N""), 2, FALSE)"),"(LU001372.003); Default - Apply")</f>
        <v>(LU001372.003); Default - Apply</v>
      </c>
      <c r="P19" s="29" t="str">
        <f t="shared" si="3"/>
        <v>LU001372.004</v>
      </c>
      <c r="Q19" s="29" t="str">
        <f ca="1">IFERROR(__xludf.dummyfunction("VLOOKUP(P19, IMPORTRANGE(""https://docs.google.com/spreadsheets/d/1yDAaXNsi4Mr5FtRQL4tbmSdIzhx6_m4wkOD7IG-k_eo/edit#gid=0"", ""Maths!M:N""), 2, FALSE)"),"(LU001372.004); Default - Analyse")</f>
        <v>(LU001372.004); Default - Analyse</v>
      </c>
      <c r="R19" s="29" t="str">
        <f t="shared" si="4"/>
        <v>LU001372.005</v>
      </c>
      <c r="S19" s="29" t="str">
        <f ca="1">IFERROR(__xludf.dummyfunction("VLOOKUP(R19, IMPORTRANGE(""https://docs.google.com/spreadsheets/d/1yDAaXNsi4Mr5FtRQL4tbmSdIzhx6_m4wkOD7IG-k_eo/edit#gid=0"", ""Maths!M:N""), 2, FALSE)"),"(LU001372.005); Default - Evaluate")</f>
        <v>(LU001372.005); Default - Evaluate</v>
      </c>
      <c r="T19" s="29" t="str">
        <f t="shared" si="5"/>
        <v>LU001372.006</v>
      </c>
      <c r="U19" s="29" t="str">
        <f ca="1">IFERROR(__xludf.dummyfunction("VLOOKUP(T19, IMPORTRANGE(""https://docs.google.com/spreadsheets/d/1yDAaXNsi4Mr5FtRQL4tbmSdIzhx6_m4wkOD7IG-k_eo/edit#gid=0"", ""Maths!M:N""), 2, FALSE)"),"(LU001372.006); Default - Create")</f>
        <v>(LU001372.006); Default - Create</v>
      </c>
      <c r="V19" s="16" t="str">
        <f ca="1">IFERROR(__xludf.dummyfunction("ArrayFormula(VLOOKUP(G19, IMPORTRANGE(""https://docs.google.com/spreadsheets/d/1p7R4vtkWt5VOBim4ltsDG9KTzSjrtKXsMtQGXPHyND0/edit#gid=795171502"", ""'Filter 30_05_2024'!A1:M2000""), {2, 3, 4, 5,6,7,8,9,10,11,12,13}, 0))"),"#N/A")</f>
        <v>#N/A</v>
      </c>
      <c r="W19" s="16" t="str">
        <f ca="1">IFERROR(__xludf.dummyfunction("""COMPUTED_VALUE"""),"#N/A")</f>
        <v>#N/A</v>
      </c>
      <c r="X19" s="16" t="str">
        <f ca="1">IFERROR(__xludf.dummyfunction("""COMPUTED_VALUE"""),"#N/A")</f>
        <v>#N/A</v>
      </c>
      <c r="Y19" s="16" t="str">
        <f ca="1">IFERROR(__xludf.dummyfunction("""COMPUTED_VALUE"""),"#N/A")</f>
        <v>#N/A</v>
      </c>
      <c r="Z19" s="16" t="str">
        <f ca="1">IFERROR(__xludf.dummyfunction("""COMPUTED_VALUE"""),"#N/A")</f>
        <v>#N/A</v>
      </c>
      <c r="AA19" s="30" t="str">
        <f ca="1">IFERROR(__xludf.dummyfunction("""COMPUTED_VALUE"""),"#N/A")</f>
        <v>#N/A</v>
      </c>
      <c r="AB19" s="30" t="str">
        <f ca="1">IFERROR(__xludf.dummyfunction("""COMPUTED_VALUE"""),"#N/A")</f>
        <v>#N/A</v>
      </c>
      <c r="AC19" s="30" t="str">
        <f ca="1">IFERROR(__xludf.dummyfunction("""COMPUTED_VALUE"""),"#N/A")</f>
        <v>#N/A</v>
      </c>
      <c r="AD19" s="16" t="str">
        <f ca="1">IFERROR(__xludf.dummyfunction("""COMPUTED_VALUE"""),"#N/A")</f>
        <v>#N/A</v>
      </c>
      <c r="AE19" s="30" t="str">
        <f ca="1">IFERROR(__xludf.dummyfunction("""COMPUTED_VALUE"""),"#N/A")</f>
        <v>#N/A</v>
      </c>
      <c r="AF19" s="30" t="str">
        <f ca="1">IFERROR(__xludf.dummyfunction("""COMPUTED_VALUE"""),"#N/A")</f>
        <v>#N/A</v>
      </c>
      <c r="AG19" s="30" t="str">
        <f ca="1">IFERROR(__xludf.dummyfunction("""COMPUTED_VALUE"""),"#N/A")</f>
        <v>#N/A</v>
      </c>
    </row>
    <row r="20" spans="1:33" ht="26.4">
      <c r="A20" s="34"/>
      <c r="B20" s="35" t="s">
        <v>29</v>
      </c>
      <c r="C20" s="35" t="s">
        <v>310</v>
      </c>
      <c r="D20" s="35">
        <v>6</v>
      </c>
      <c r="E20" s="36" t="s">
        <v>311</v>
      </c>
      <c r="F20" s="37"/>
      <c r="G20" s="35" t="s">
        <v>337</v>
      </c>
      <c r="H20" s="37" t="str">
        <f ca="1">IFERROR(__xludf.dummyfunction("IFERROR(
  VLOOKUP(G20, IMPORTRANGE(""https://docs.google.com/spreadsheets/d/14deopnvwcrKtEGCKuYXdUHJbeLDZlkiSSWWT0g7x2pM/edit#gid=849066331"", ""LU List Maths (Filter)!A:B""), 2, FALSE),
  IFERROR(
    VLOOKUP(G20, IMPORTRANGE(""https://docs.google.com/s"&amp;"preadsheets/d/14deopnvwcrKtEGCKuYXdUHJbeLDZlkiSSWWT0g7x2pM/edit#gid=849066331"", ""LU List Science (Filter)!A:B""), 2, FALSE),
    ""Not Found""
  )
)
"),"Conversion between different units of capacity (in whole number)")</f>
        <v>Conversion between different units of capacity (in whole number)</v>
      </c>
      <c r="I20" s="37"/>
      <c r="J20" s="29" t="str">
        <f t="shared" si="0"/>
        <v>LU000165.001</v>
      </c>
      <c r="K20" s="29" t="str">
        <f ca="1">IFERROR(__xludf.dummyfunction("VLOOKUP(J20, IMPORTRANGE(""https://docs.google.com/spreadsheets/d/1yDAaXNsi4Mr5FtRQL4tbmSdIzhx6_m4wkOD7IG-k_eo/edit#gid=0"", ""Maths!M:N""), 2, FALSE)"),"List the standard units of capacity in the metric system.")</f>
        <v>List the standard units of capacity in the metric system.</v>
      </c>
      <c r="L20" s="29" t="str">
        <f t="shared" si="1"/>
        <v>LU000165.002</v>
      </c>
      <c r="M20" s="29" t="str">
        <f ca="1">IFERROR(__xludf.dummyfunction("VLOOKUP(L20, IMPORTRANGE(""https://docs.google.com/spreadsheets/d/1yDAaXNsi4Mr5FtRQL4tbmSdIzhx6_m4wkOD7IG-k_eo/edit#gid=0"", ""Maths!M:N""), 2, FALSE)"),"Describe the relationship between larger and smaller units of capacity within the same system.")</f>
        <v>Describe the relationship between larger and smaller units of capacity within the same system.</v>
      </c>
      <c r="N20" s="29" t="str">
        <f t="shared" si="2"/>
        <v>LU000165.003</v>
      </c>
      <c r="O20" s="29" t="str">
        <f ca="1">IFERROR(__xludf.dummyfunction("VLOOKUP(N20, IMPORTRANGE(""https://docs.google.com/spreadsheets/d/1yDAaXNsi4Mr5FtRQL4tbmSdIzhx6_m4wkOD7IG-k_eo/edit#gid=0"", ""Maths!M:N""), 2, FALSE)"),"Solve problems involving the conversion of capacity from one unit to another (units of metric system).")</f>
        <v>Solve problems involving the conversion of capacity from one unit to another (units of metric system).</v>
      </c>
      <c r="P20" s="29" t="str">
        <f t="shared" si="3"/>
        <v>LU000165.004</v>
      </c>
      <c r="Q20" s="29" t="str">
        <f ca="1">IFERROR(__xludf.dummyfunction("VLOOKUP(P20, IMPORTRANGE(""https://docs.google.com/spreadsheets/d/1yDAaXNsi4Mr5FtRQL4tbmSdIzhx6_m4wkOD7IG-k_eo/edit#gid=0"", ""Maths!M:N""), 2, FALSE)"),"Investigate common mistakes made during capacity unit conversion.")</f>
        <v>Investigate common mistakes made during capacity unit conversion.</v>
      </c>
      <c r="R20" s="29" t="str">
        <f t="shared" si="4"/>
        <v>LU000165.005</v>
      </c>
      <c r="S20" s="29" t="str">
        <f ca="1">IFERROR(__xludf.dummyfunction("VLOOKUP(R20, IMPORTRANGE(""https://docs.google.com/spreadsheets/d/1yDAaXNsi4Mr5FtRQL4tbmSdIzhx6_m4wkOD7IG-k_eo/edit#gid=0"", ""Maths!M:N""), 2, FALSE)"),"Assess the importance of selecting suitable units of capacity for precise measurement.")</f>
        <v>Assess the importance of selecting suitable units of capacity for precise measurement.</v>
      </c>
      <c r="T20" s="29" t="str">
        <f t="shared" si="5"/>
        <v>LU000165.006</v>
      </c>
      <c r="U20" s="29" t="str">
        <f ca="1">IFERROR(__xludf.dummyfunction("VLOOKUP(T20, IMPORTRANGE(""https://docs.google.com/spreadsheets/d/1yDAaXNsi4Mr5FtRQL4tbmSdIzhx6_m4wkOD7IG-k_eo/edit#gid=0"", ""Maths!M:N""), 2, FALSE)"),"Construct a practical project showcasing instances of capacity unit conversion in everyday life.")</f>
        <v>Construct a practical project showcasing instances of capacity unit conversion in everyday life.</v>
      </c>
      <c r="V20" s="16">
        <f ca="1">IFERROR(__xludf.dummyfunction("ArrayFormula(VLOOKUP(G20, IMPORTRANGE(""https://docs.google.com/spreadsheets/d/1p7R4vtkWt5VOBim4ltsDG9KTzSjrtKXsMtQGXPHyND0/edit#gid=795171502"", ""'Filter 30_05_2024'!A1:M2000""), {2, 3, 4, 5,6,7,8,9,10,11,12,13}, 0))"),4)</f>
        <v>4</v>
      </c>
      <c r="W20" s="16">
        <f ca="1">IFERROR(__xludf.dummyfunction("""COMPUTED_VALUE"""),6)</f>
        <v>6</v>
      </c>
      <c r="X20" s="16">
        <f ca="1">IFERROR(__xludf.dummyfunction("""COMPUTED_VALUE"""),2)</f>
        <v>2</v>
      </c>
      <c r="Y20" s="16">
        <f ca="1">IFERROR(__xludf.dummyfunction("""COMPUTED_VALUE"""),12)</f>
        <v>12</v>
      </c>
      <c r="Z20" s="16">
        <f ca="1">IFERROR(__xludf.dummyfunction("""COMPUTED_VALUE"""),4)</f>
        <v>4</v>
      </c>
      <c r="AA20" s="30">
        <f ca="1">IFERROR(__xludf.dummyfunction("""COMPUTED_VALUE"""),3)</f>
        <v>3</v>
      </c>
      <c r="AB20" s="30">
        <f ca="1">IFERROR(__xludf.dummyfunction("""COMPUTED_VALUE"""),1)</f>
        <v>1</v>
      </c>
      <c r="AC20" s="30">
        <f ca="1">IFERROR(__xludf.dummyfunction("""COMPUTED_VALUE"""),8)</f>
        <v>8</v>
      </c>
      <c r="AD20" s="16"/>
      <c r="AE20" s="30"/>
      <c r="AF20" s="30"/>
      <c r="AG20" s="30"/>
    </row>
    <row r="21" spans="1:33" ht="158.4">
      <c r="A21" s="25"/>
      <c r="B21" s="26" t="s">
        <v>29</v>
      </c>
      <c r="C21" s="26" t="s">
        <v>310</v>
      </c>
      <c r="D21" s="26">
        <v>6</v>
      </c>
      <c r="E21" s="27" t="s">
        <v>311</v>
      </c>
      <c r="F21" s="28" t="s">
        <v>339</v>
      </c>
      <c r="G21" s="26" t="s">
        <v>340</v>
      </c>
      <c r="H21" s="28" t="str">
        <f ca="1">IFERROR(__xludf.dummyfunction("IFERROR(
  VLOOKUP(G21, IMPORTRANGE(""https://docs.google.com/spreadsheets/d/14deopnvwcrKtEGCKuYXdUHJbeLDZlkiSSWWT0g7x2pM/edit#gid=849066331"", ""LU List Maths (Filter)!A:B""), 2, FALSE),
  IFERROR(
    VLOOKUP(G21, IMPORTRANGE(""https://docs.google.com/s"&amp;"preadsheets/d/14deopnvwcrKtEGCKuYXdUHJbeLDZlkiSSWWT0g7x2pM/edit#gid=849066331"", ""LU List Science (Filter)!A:B""), 2, FALSE),
    ""Not Found""
  )
)
"),"Estimation of whole numbers to the nearest place by rounding off")</f>
        <v>Estimation of whole numbers to the nearest place by rounding off</v>
      </c>
      <c r="I21" s="28" t="s">
        <v>341</v>
      </c>
      <c r="J21" s="29" t="str">
        <f t="shared" si="0"/>
        <v>LU000167.001</v>
      </c>
      <c r="K21" s="29" t="str">
        <f ca="1">IFERROR(__xludf.dummyfunction("VLOOKUP(J21, IMPORTRANGE(""https://docs.google.com/spreadsheets/d/1yDAaXNsi4Mr5FtRQL4tbmSdIzhx6_m4wkOD7IG-k_eo/edit#gid=0"", ""Maths!M:N""), 2, FALSE)"),"Define the rounding off for whole numbers to the nearest place.")</f>
        <v>Define the rounding off for whole numbers to the nearest place.</v>
      </c>
      <c r="L21" s="29" t="str">
        <f t="shared" si="1"/>
        <v>LU000167.002</v>
      </c>
      <c r="M21" s="29" t="str">
        <f ca="1">IFERROR(__xludf.dummyfunction("VLOOKUP(L21, IMPORTRANGE(""https://docs.google.com/spreadsheets/d/1yDAaXNsi4Mr5FtRQL4tbmSdIzhx6_m4wkOD7IG-k_eo/edit#gid=0"", ""Maths!M:N""), 2, FALSE)"),"Explain the purpose of rounding off whole numbers in practical contexts.")</f>
        <v>Explain the purpose of rounding off whole numbers in practical contexts.</v>
      </c>
      <c r="N21" s="29" t="str">
        <f t="shared" si="2"/>
        <v>LU000167.003</v>
      </c>
      <c r="O21" s="29" t="str">
        <f ca="1">IFERROR(__xludf.dummyfunction("VLOOKUP(N21, IMPORTRANGE(""https://docs.google.com/spreadsheets/d/1yDAaXNsi4Mr5FtRQL4tbmSdIzhx6_m4wkOD7IG-k_eo/edit#gid=0"", ""Maths!M:N""), 2, FALSE)"),"Solve problems involving rounding off whole numbers.")</f>
        <v>Solve problems involving rounding off whole numbers.</v>
      </c>
      <c r="P21" s="29" t="str">
        <f t="shared" si="3"/>
        <v>LU000167.004</v>
      </c>
      <c r="Q21" s="29" t="str">
        <f ca="1">IFERROR(__xludf.dummyfunction("VLOOKUP(P21, IMPORTRANGE(""https://docs.google.com/spreadsheets/d/1yDAaXNsi4Mr5FtRQL4tbmSdIzhx6_m4wkOD7IG-k_eo/edit#gid=0"", ""Maths!M:N""), 2, FALSE)"),"Analyze and write the effects of different digits on rounding whole numbers.")</f>
        <v>Analyze and write the effects of different digits on rounding whole numbers.</v>
      </c>
      <c r="R21" s="29" t="str">
        <f t="shared" si="4"/>
        <v>LU000167.005</v>
      </c>
      <c r="S21" s="29" t="str">
        <f ca="1">IFERROR(__xludf.dummyfunction("VLOOKUP(R21, IMPORTRANGE(""https://docs.google.com/spreadsheets/d/1yDAaXNsi4Mr5FtRQL4tbmSdIzhx6_m4wkOD7IG-k_eo/edit#gid=0"", ""Maths!M:N""), 2, FALSE)"),"Judge the appropriateness of rounding off whole numbers in different mathematical and everyday situations.")</f>
        <v>Judge the appropriateness of rounding off whole numbers in different mathematical and everyday situations.</v>
      </c>
      <c r="T21" s="29" t="str">
        <f t="shared" si="5"/>
        <v>LU000167.006</v>
      </c>
      <c r="U21" s="29" t="str">
        <f ca="1">IFERROR(__xludf.dummyfunction("VLOOKUP(T21, IMPORTRANGE(""https://docs.google.com/spreadsheets/d/1yDAaXNsi4Mr5FtRQL4tbmSdIzhx6_m4wkOD7IG-k_eo/edit#gid=0"", ""Maths!M:N""), 2, FALSE)"),"#N/A")</f>
        <v>#N/A</v>
      </c>
      <c r="V21" s="16">
        <f ca="1">IFERROR(__xludf.dummyfunction("ArrayFormula(VLOOKUP(G21, IMPORTRANGE(""https://docs.google.com/spreadsheets/d/1p7R4vtkWt5VOBim4ltsDG9KTzSjrtKXsMtQGXPHyND0/edit#gid=795171502"", ""'Filter 30_05_2024'!A1:M2000""), {2, 3, 4, 5,6,7,8,9,10,11,12,13}, 0))"),5)</f>
        <v>5</v>
      </c>
      <c r="W21" s="16">
        <f ca="1">IFERROR(__xludf.dummyfunction("""COMPUTED_VALUE"""),6)</f>
        <v>6</v>
      </c>
      <c r="X21" s="16">
        <f ca="1">IFERROR(__xludf.dummyfunction("""COMPUTED_VALUE"""),2)</f>
        <v>2</v>
      </c>
      <c r="Y21" s="16">
        <f ca="1">IFERROR(__xludf.dummyfunction("""COMPUTED_VALUE"""),13)</f>
        <v>13</v>
      </c>
      <c r="Z21" s="16">
        <f ca="1">IFERROR(__xludf.dummyfunction("""COMPUTED_VALUE"""),6)</f>
        <v>6</v>
      </c>
      <c r="AA21" s="30">
        <f ca="1">IFERROR(__xludf.dummyfunction("""COMPUTED_VALUE"""),4)</f>
        <v>4</v>
      </c>
      <c r="AB21" s="30">
        <f ca="1">IFERROR(__xludf.dummyfunction("""COMPUTED_VALUE"""),1)</f>
        <v>1</v>
      </c>
      <c r="AC21" s="30">
        <f ca="1">IFERROR(__xludf.dummyfunction("""COMPUTED_VALUE"""),11)</f>
        <v>11</v>
      </c>
      <c r="AD21" s="16"/>
      <c r="AE21" s="30"/>
      <c r="AF21" s="30"/>
      <c r="AG21" s="30"/>
    </row>
    <row r="22" spans="1:33" ht="26.4">
      <c r="A22" s="25"/>
      <c r="B22" s="26" t="s">
        <v>29</v>
      </c>
      <c r="C22" s="26" t="s">
        <v>310</v>
      </c>
      <c r="D22" s="26">
        <v>6</v>
      </c>
      <c r="E22" s="27" t="s">
        <v>311</v>
      </c>
      <c r="F22" s="28" t="s">
        <v>342</v>
      </c>
      <c r="G22" s="26" t="s">
        <v>343</v>
      </c>
      <c r="H22" s="28" t="str">
        <f ca="1">IFERROR(__xludf.dummyfunction("IFERROR(
  VLOOKUP(G22, IMPORTRANGE(""https://docs.google.com/spreadsheets/d/14deopnvwcrKtEGCKuYXdUHJbeLDZlkiSSWWT0g7x2pM/edit#gid=849066331"", ""LU List Maths (Filter)!A:B""), 2, FALSE),
  IFERROR(
    VLOOKUP(G22, IMPORTRANGE(""https://docs.google.com/s"&amp;"preadsheets/d/14deopnvwcrKtEGCKuYXdUHJbeLDZlkiSSWWT0g7x2pM/edit#gid=849066331"", ""LU List Science (Filter)!A:B""), 2, FALSE),
    ""Not Found""
  )
)
"),"Estimation of outcomes of number situations")</f>
        <v>Estimation of outcomes of number situations</v>
      </c>
      <c r="I22" s="28"/>
      <c r="J22" s="29" t="str">
        <f t="shared" si="0"/>
        <v>LU000168.001</v>
      </c>
      <c r="K22" s="29" t="str">
        <f ca="1">IFERROR(__xludf.dummyfunction("VLOOKUP(J22, IMPORTRANGE(""https://docs.google.com/spreadsheets/d/1yDAaXNsi4Mr5FtRQL4tbmSdIzhx6_m4wkOD7IG-k_eo/edit#gid=0"", ""Maths!M:N""), 2, FALSE)"),"List examples of scenarios where estimation is applicable")</f>
        <v>List examples of scenarios where estimation is applicable</v>
      </c>
      <c r="L22" s="29" t="str">
        <f t="shared" si="1"/>
        <v>LU000168.002</v>
      </c>
      <c r="M22" s="29" t="str">
        <f ca="1">IFERROR(__xludf.dummyfunction("VLOOKUP(L22, IMPORTRANGE(""https://docs.google.com/spreadsheets/d/1yDAaXNsi4Mr5FtRQL4tbmSdIzhx6_m4wkOD7IG-k_eo/edit#gid=0"", ""Maths!M:N""), 2, FALSE)"),"Describe different strategies for estimating outcomes of various number situations.")</f>
        <v>Describe different strategies for estimating outcomes of various number situations.</v>
      </c>
      <c r="N22" s="29" t="str">
        <f t="shared" si="2"/>
        <v>LU000168.003</v>
      </c>
      <c r="O22" s="29" t="str">
        <f ca="1">IFERROR(__xludf.dummyfunction("VLOOKUP(N22, IMPORTRANGE(""https://docs.google.com/spreadsheets/d/1yDAaXNsi4Mr5FtRQL4tbmSdIzhx6_m4wkOD7IG-k_eo/edit#gid=0"", ""Maths!M:N""), 2, FALSE)"),"Apply estimation in everyday scenarios involving quantities, distances, and measurements.")</f>
        <v>Apply estimation in everyday scenarios involving quantities, distances, and measurements.</v>
      </c>
      <c r="P22" s="29" t="str">
        <f t="shared" si="3"/>
        <v>LU000168.004</v>
      </c>
      <c r="Q22" s="29" t="str">
        <f ca="1">IFERROR(__xludf.dummyfunction("VLOOKUP(P22, IMPORTRANGE(""https://docs.google.com/spreadsheets/d/1yDAaXNsi4Mr5FtRQL4tbmSdIzhx6_m4wkOD7IG-k_eo/edit#gid=0"", ""Maths!M:N""), 2, FALSE)"),"Analyse different scenarios where estimation is more appropriate than precise calculation.")</f>
        <v>Analyse different scenarios where estimation is more appropriate than precise calculation.</v>
      </c>
      <c r="R22" s="29" t="str">
        <f t="shared" si="4"/>
        <v>LU000168.005</v>
      </c>
      <c r="S22" s="29" t="str">
        <f ca="1">IFERROR(__xludf.dummyfunction("VLOOKUP(R22, IMPORTRANGE(""https://docs.google.com/spreadsheets/d/1yDAaXNsi4Mr5FtRQL4tbmSdIzhx6_m4wkOD7IG-k_eo/edit#gid=0"", ""Maths!M:N""), 2, FALSE)"),"Formulate judgments about the appropriateness of estimation in various real-world scenarios.")</f>
        <v>Formulate judgments about the appropriateness of estimation in various real-world scenarios.</v>
      </c>
      <c r="T22" s="29" t="str">
        <f t="shared" si="5"/>
        <v>LU000168.006</v>
      </c>
      <c r="U22" s="29" t="str">
        <f ca="1">IFERROR(__xludf.dummyfunction("VLOOKUP(T22, IMPORTRANGE(""https://docs.google.com/spreadsheets/d/1yDAaXNsi4Mr5FtRQL4tbmSdIzhx6_m4wkOD7IG-k_eo/edit#gid=0"", ""Maths!M:N""), 2, FALSE)"),"Design scenarios that demonstrate the significance of estimation in decision-making processes.")</f>
        <v>Design scenarios that demonstrate the significance of estimation in decision-making processes.</v>
      </c>
      <c r="V22" s="16">
        <f ca="1">IFERROR(__xludf.dummyfunction("ArrayFormula(VLOOKUP(G22, IMPORTRANGE(""https://docs.google.com/spreadsheets/d/1p7R4vtkWt5VOBim4ltsDG9KTzSjrtKXsMtQGXPHyND0/edit#gid=795171502"", ""'Filter 30_05_2024'!A1:M2000""), {2, 3, 4, 5,6,7,8,9,10,11,12,13}, 0))"),4)</f>
        <v>4</v>
      </c>
      <c r="W22" s="16">
        <f ca="1">IFERROR(__xludf.dummyfunction("""COMPUTED_VALUE"""),6)</f>
        <v>6</v>
      </c>
      <c r="X22" s="16">
        <f ca="1">IFERROR(__xludf.dummyfunction("""COMPUTED_VALUE"""),2)</f>
        <v>2</v>
      </c>
      <c r="Y22" s="16">
        <f ca="1">IFERROR(__xludf.dummyfunction("""COMPUTED_VALUE"""),12)</f>
        <v>12</v>
      </c>
      <c r="Z22" s="16">
        <f ca="1">IFERROR(__xludf.dummyfunction("""COMPUTED_VALUE"""),5)</f>
        <v>5</v>
      </c>
      <c r="AA22" s="30">
        <f ca="1">IFERROR(__xludf.dummyfunction("""COMPUTED_VALUE"""),3)</f>
        <v>3</v>
      </c>
      <c r="AB22" s="30">
        <f ca="1">IFERROR(__xludf.dummyfunction("""COMPUTED_VALUE"""),1)</f>
        <v>1</v>
      </c>
      <c r="AC22" s="30">
        <f ca="1">IFERROR(__xludf.dummyfunction("""COMPUTED_VALUE"""),9)</f>
        <v>9</v>
      </c>
      <c r="AD22" s="16"/>
      <c r="AE22" s="30"/>
      <c r="AF22" s="30"/>
      <c r="AG22" s="30"/>
    </row>
    <row r="23" spans="1:33" ht="52.8">
      <c r="A23" s="25"/>
      <c r="B23" s="26" t="s">
        <v>29</v>
      </c>
      <c r="C23" s="26" t="s">
        <v>310</v>
      </c>
      <c r="D23" s="26">
        <v>6</v>
      </c>
      <c r="E23" s="27" t="s">
        <v>311</v>
      </c>
      <c r="F23" s="28"/>
      <c r="G23" s="26" t="s">
        <v>344</v>
      </c>
      <c r="H23" s="28" t="str">
        <f ca="1">IFERROR(__xludf.dummyfunction("IFERROR(
  VLOOKUP(G23, IMPORTRANGE(""https://docs.google.com/spreadsheets/d/14deopnvwcrKtEGCKuYXdUHJbeLDZlkiSSWWT0g7x2pM/edit#gid=849066331"", ""LU List Maths (Filter)!A:B""), 2, FALSE),
  IFERROR(
    VLOOKUP(G23, IMPORTRANGE(""https://docs.google.com/s"&amp;"preadsheets/d/14deopnvwcrKtEGCKuYXdUHJbeLDZlkiSSWWT0g7x2pM/edit#gid=849066331"", ""LU List Science (Filter)!A:B""), 2, FALSE),
    ""Not Found""
  )
)
"),"Estimation of sum/difference/product of numbers by rounding off")</f>
        <v>Estimation of sum/difference/product of numbers by rounding off</v>
      </c>
      <c r="I23" s="28" t="s">
        <v>345</v>
      </c>
      <c r="J23" s="29" t="str">
        <f t="shared" si="0"/>
        <v>LU000169.001</v>
      </c>
      <c r="K23" s="29" t="str">
        <f ca="1">IFERROR(__xludf.dummyfunction("VLOOKUP(J23, IMPORTRANGE(""https://docs.google.com/spreadsheets/d/1yDAaXNsi4Mr5FtRQL4tbmSdIzhx6_m4wkOD7IG-k_eo/edit#gid=0"", ""Maths!M:N""), 2, FALSE)"),"List the basic steps involved in rounding off numbers for estimating sums, differences, and products.")</f>
        <v>List the basic steps involved in rounding off numbers for estimating sums, differences, and products.</v>
      </c>
      <c r="L23" s="29" t="str">
        <f t="shared" si="1"/>
        <v>LU000169.002</v>
      </c>
      <c r="M23" s="29" t="str">
        <f ca="1">IFERROR(__xludf.dummyfunction("VLOOKUP(L23, IMPORTRANGE(""https://docs.google.com/spreadsheets/d/1yDAaXNsi4Mr5FtRQL4tbmSdIzhx6_m4wkOD7IG-k_eo/edit#gid=0"", ""Maths!M:N""), 2, FALSE)"),"Explain the purpose of using estimation to approximate arithmetic results.")</f>
        <v>Explain the purpose of using estimation to approximate arithmetic results.</v>
      </c>
      <c r="N23" s="29" t="str">
        <f t="shared" si="2"/>
        <v>LU000169.003</v>
      </c>
      <c r="O23" s="29" t="str">
        <f ca="1">IFERROR(__xludf.dummyfunction("VLOOKUP(N23, IMPORTRANGE(""https://docs.google.com/spreadsheets/d/1yDAaXNsi4Mr5FtRQL4tbmSdIzhx6_m4wkOD7IG-k_eo/edit#gid=0"", ""Maths!M:N""), 2, FALSE)"),"Solve problems involving practical applications of estimation of sum/difference/product by rounding off.")</f>
        <v>Solve problems involving practical applications of estimation of sum/difference/product by rounding off.</v>
      </c>
      <c r="P23" s="29" t="str">
        <f t="shared" si="3"/>
        <v>LU000169.004</v>
      </c>
      <c r="Q23" s="29" t="str">
        <f ca="1">IFERROR(__xludf.dummyfunction("VLOOKUP(P23, IMPORTRANGE(""https://docs.google.com/spreadsheets/d/1yDAaXNsi4Mr5FtRQL4tbmSdIzhx6_m4wkOD7IG-k_eo/edit#gid=0"", ""Maths!M:N""), 2, FALSE)"),"#N/A")</f>
        <v>#N/A</v>
      </c>
      <c r="R23" s="29" t="str">
        <f t="shared" si="4"/>
        <v>LU000169.005</v>
      </c>
      <c r="S23" s="29" t="str">
        <f ca="1">IFERROR(__xludf.dummyfunction("VLOOKUP(R23, IMPORTRANGE(""https://docs.google.com/spreadsheets/d/1yDAaXNsi4Mr5FtRQL4tbmSdIzhx6_m4wkOD7IG-k_eo/edit#gid=0"", ""Maths!M:N""), 2, FALSE)"),"#N/A")</f>
        <v>#N/A</v>
      </c>
      <c r="T23" s="29" t="str">
        <f t="shared" si="5"/>
        <v>LU000169.006</v>
      </c>
      <c r="U23" s="29" t="str">
        <f ca="1">IFERROR(__xludf.dummyfunction("VLOOKUP(T23, IMPORTRANGE(""https://docs.google.com/spreadsheets/d/1yDAaXNsi4Mr5FtRQL4tbmSdIzhx6_m4wkOD7IG-k_eo/edit#gid=0"", ""Maths!M:N""), 2, FALSE)"),"#N/A")</f>
        <v>#N/A</v>
      </c>
      <c r="V23" s="16" t="str">
        <f ca="1">IFERROR(__xludf.dummyfunction("ArrayFormula(VLOOKUP(G23, IMPORTRANGE(""https://docs.google.com/spreadsheets/d/1p7R4vtkWt5VOBim4ltsDG9KTzSjrtKXsMtQGXPHyND0/edit#gid=795171502"", ""'Filter 30_05_2024'!A1:M2000""), {2, 3, 4, 5,6,7,8,9,10,11,12,13}, 0))"),"")</f>
        <v/>
      </c>
      <c r="W23" s="16">
        <f ca="1">IFERROR(__xludf.dummyfunction("""COMPUTED_VALUE"""),34)</f>
        <v>34</v>
      </c>
      <c r="X23" s="16">
        <f ca="1">IFERROR(__xludf.dummyfunction("""COMPUTED_VALUE"""),2)</f>
        <v>2</v>
      </c>
      <c r="Y23" s="16">
        <f ca="1">IFERROR(__xludf.dummyfunction("""COMPUTED_VALUE"""),36)</f>
        <v>36</v>
      </c>
      <c r="Z23" s="16">
        <f ca="1">IFERROR(__xludf.dummyfunction("""COMPUTED_VALUE"""),1)</f>
        <v>1</v>
      </c>
      <c r="AA23" s="30">
        <f ca="1">IFERROR(__xludf.dummyfunction("""COMPUTED_VALUE"""),8)</f>
        <v>8</v>
      </c>
      <c r="AB23" s="30">
        <f ca="1">IFERROR(__xludf.dummyfunction("""COMPUTED_VALUE"""),1)</f>
        <v>1</v>
      </c>
      <c r="AC23" s="30">
        <f ca="1">IFERROR(__xludf.dummyfunction("""COMPUTED_VALUE"""),10)</f>
        <v>10</v>
      </c>
      <c r="AD23" s="16"/>
      <c r="AE23" s="30"/>
      <c r="AF23" s="30"/>
      <c r="AG23" s="30"/>
    </row>
    <row r="24" spans="1:33" ht="26.4">
      <c r="A24" s="25"/>
      <c r="B24" s="26" t="s">
        <v>29</v>
      </c>
      <c r="C24" s="26" t="s">
        <v>310</v>
      </c>
      <c r="D24" s="26">
        <v>6</v>
      </c>
      <c r="E24" s="27" t="s">
        <v>311</v>
      </c>
      <c r="F24" s="28" t="s">
        <v>346</v>
      </c>
      <c r="G24" s="33" t="s">
        <v>347</v>
      </c>
      <c r="H24" s="28" t="str">
        <f ca="1">IFERROR(__xludf.dummyfunction("IFERROR(
  VLOOKUP(G24, IMPORTRANGE(""https://docs.google.com/spreadsheets/d/14deopnvwcrKtEGCKuYXdUHJbeLDZlkiSSWWT0g7x2pM/edit#gid=849066331"", ""LU List Maths (Filter)!A:B""), 2, FALSE),
  IFERROR(
    VLOOKUP(G24, IMPORTRANGE(""https://docs.google.com/s"&amp;"preadsheets/d/14deopnvwcrKtEGCKuYXdUHJbeLDZlkiSSWWT0g7x2pM/edit#gid=849066331"", ""LU List Science (Filter)!A:B""), 2, FALSE),
    ""Not Found""
  )
)
"),"Word Problems on large numbers - length")</f>
        <v>Word Problems on large numbers - length</v>
      </c>
      <c r="I24" s="28"/>
      <c r="J24" s="29" t="str">
        <f t="shared" si="0"/>
        <v>LU001373.001</v>
      </c>
      <c r="K24" s="29" t="str">
        <f ca="1">IFERROR(__xludf.dummyfunction("VLOOKUP(J24, IMPORTRANGE(""https://docs.google.com/spreadsheets/d/1yDAaXNsi4Mr5FtRQL4tbmSdIzhx6_m4wkOD7IG-k_eo/edit#gid=0"", ""Maths!M:N""), 2, FALSE)"),"(LU001373.001); Default - Remember")</f>
        <v>(LU001373.001); Default - Remember</v>
      </c>
      <c r="L24" s="29" t="str">
        <f t="shared" si="1"/>
        <v>LU001373.002</v>
      </c>
      <c r="M24" s="29" t="str">
        <f ca="1">IFERROR(__xludf.dummyfunction("VLOOKUP(L24, IMPORTRANGE(""https://docs.google.com/spreadsheets/d/1yDAaXNsi4Mr5FtRQL4tbmSdIzhx6_m4wkOD7IG-k_eo/edit#gid=0"", ""Maths!M:N""), 2, FALSE)"),"(LU001373.002); Default - Understand")</f>
        <v>(LU001373.002); Default - Understand</v>
      </c>
      <c r="N24" s="29" t="str">
        <f t="shared" si="2"/>
        <v>LU001373.003</v>
      </c>
      <c r="O24" s="29" t="str">
        <f ca="1">IFERROR(__xludf.dummyfunction("VLOOKUP(N24, IMPORTRANGE(""https://docs.google.com/spreadsheets/d/1yDAaXNsi4Mr5FtRQL4tbmSdIzhx6_m4wkOD7IG-k_eo/edit#gid=0"", ""Maths!M:N""), 2, FALSE)"),"(LU001373.003); Default - Apply")</f>
        <v>(LU001373.003); Default - Apply</v>
      </c>
      <c r="P24" s="29" t="str">
        <f t="shared" si="3"/>
        <v>LU001373.004</v>
      </c>
      <c r="Q24" s="29" t="str">
        <f ca="1">IFERROR(__xludf.dummyfunction("VLOOKUP(P24, IMPORTRANGE(""https://docs.google.com/spreadsheets/d/1yDAaXNsi4Mr5FtRQL4tbmSdIzhx6_m4wkOD7IG-k_eo/edit#gid=0"", ""Maths!M:N""), 2, FALSE)"),"(LU001373.004); Default - Analyse")</f>
        <v>(LU001373.004); Default - Analyse</v>
      </c>
      <c r="R24" s="29" t="str">
        <f t="shared" si="4"/>
        <v>LU001373.005</v>
      </c>
      <c r="S24" s="29" t="str">
        <f ca="1">IFERROR(__xludf.dummyfunction("VLOOKUP(R24, IMPORTRANGE(""https://docs.google.com/spreadsheets/d/1yDAaXNsi4Mr5FtRQL4tbmSdIzhx6_m4wkOD7IG-k_eo/edit#gid=0"", ""Maths!M:N""), 2, FALSE)"),"(LU001373.005); Default - Evaluate")</f>
        <v>(LU001373.005); Default - Evaluate</v>
      </c>
      <c r="T24" s="29" t="str">
        <f t="shared" si="5"/>
        <v>LU001373.006</v>
      </c>
      <c r="U24" s="29" t="str">
        <f ca="1">IFERROR(__xludf.dummyfunction("VLOOKUP(T24, IMPORTRANGE(""https://docs.google.com/spreadsheets/d/1yDAaXNsi4Mr5FtRQL4tbmSdIzhx6_m4wkOD7IG-k_eo/edit#gid=0"", ""Maths!M:N""), 2, FALSE)"),"(LU001373.006); Default - Create")</f>
        <v>(LU001373.006); Default - Create</v>
      </c>
      <c r="V24" s="16" t="str">
        <f ca="1">IFERROR(__xludf.dummyfunction("ArrayFormula(VLOOKUP(G24, IMPORTRANGE(""https://docs.google.com/spreadsheets/d/1p7R4vtkWt5VOBim4ltsDG9KTzSjrtKXsMtQGXPHyND0/edit#gid=795171502"", ""'Filter 30_05_2024'!A1:M2000""), {2, 3, 4, 5,6,7,8,9,10,11,12,13}, 0))"),"#N/A")</f>
        <v>#N/A</v>
      </c>
      <c r="W24" s="16" t="str">
        <f ca="1">IFERROR(__xludf.dummyfunction("""COMPUTED_VALUE"""),"#N/A")</f>
        <v>#N/A</v>
      </c>
      <c r="X24" s="16" t="str">
        <f ca="1">IFERROR(__xludf.dummyfunction("""COMPUTED_VALUE"""),"#N/A")</f>
        <v>#N/A</v>
      </c>
      <c r="Y24" s="16" t="str">
        <f ca="1">IFERROR(__xludf.dummyfunction("""COMPUTED_VALUE"""),"#N/A")</f>
        <v>#N/A</v>
      </c>
      <c r="Z24" s="16" t="str">
        <f ca="1">IFERROR(__xludf.dummyfunction("""COMPUTED_VALUE"""),"#N/A")</f>
        <v>#N/A</v>
      </c>
      <c r="AA24" s="30" t="str">
        <f ca="1">IFERROR(__xludf.dummyfunction("""COMPUTED_VALUE"""),"#N/A")</f>
        <v>#N/A</v>
      </c>
      <c r="AB24" s="30" t="str">
        <f ca="1">IFERROR(__xludf.dummyfunction("""COMPUTED_VALUE"""),"#N/A")</f>
        <v>#N/A</v>
      </c>
      <c r="AC24" s="30" t="str">
        <f ca="1">IFERROR(__xludf.dummyfunction("""COMPUTED_VALUE"""),"#N/A")</f>
        <v>#N/A</v>
      </c>
      <c r="AD24" s="16" t="str">
        <f ca="1">IFERROR(__xludf.dummyfunction("""COMPUTED_VALUE"""),"#N/A")</f>
        <v>#N/A</v>
      </c>
      <c r="AE24" s="30" t="str">
        <f ca="1">IFERROR(__xludf.dummyfunction("""COMPUTED_VALUE"""),"#N/A")</f>
        <v>#N/A</v>
      </c>
      <c r="AF24" s="30" t="str">
        <f ca="1">IFERROR(__xludf.dummyfunction("""COMPUTED_VALUE"""),"#N/A")</f>
        <v>#N/A</v>
      </c>
      <c r="AG24" s="30" t="str">
        <f ca="1">IFERROR(__xludf.dummyfunction("""COMPUTED_VALUE"""),"#N/A")</f>
        <v>#N/A</v>
      </c>
    </row>
    <row r="25" spans="1:33" ht="15.6">
      <c r="A25" s="25"/>
      <c r="B25" s="26" t="s">
        <v>29</v>
      </c>
      <c r="C25" s="26" t="s">
        <v>310</v>
      </c>
      <c r="D25" s="26">
        <v>6</v>
      </c>
      <c r="E25" s="27" t="s">
        <v>311</v>
      </c>
      <c r="F25" s="28"/>
      <c r="G25" s="33" t="s">
        <v>348</v>
      </c>
      <c r="H25" s="28" t="str">
        <f ca="1">IFERROR(__xludf.dummyfunction("IFERROR(
  VLOOKUP(G25, IMPORTRANGE(""https://docs.google.com/spreadsheets/d/14deopnvwcrKtEGCKuYXdUHJbeLDZlkiSSWWT0g7x2pM/edit#gid=849066331"", ""LU List Maths (Filter)!A:B""), 2, FALSE),
  IFERROR(
    VLOOKUP(G25, IMPORTRANGE(""https://docs.google.com/s"&amp;"preadsheets/d/14deopnvwcrKtEGCKuYXdUHJbeLDZlkiSSWWT0g7x2pM/edit#gid=849066331"", ""LU List Science (Filter)!A:B""), 2, FALSE),
    ""Not Found""
  )
)
"),"Word Problems on large numbers - mass")</f>
        <v>Word Problems on large numbers - mass</v>
      </c>
      <c r="I25" s="28"/>
      <c r="J25" s="29" t="str">
        <f t="shared" si="0"/>
        <v>LU001374.001</v>
      </c>
      <c r="K25" s="29" t="str">
        <f ca="1">IFERROR(__xludf.dummyfunction("VLOOKUP(J25, IMPORTRANGE(""https://docs.google.com/spreadsheets/d/1yDAaXNsi4Mr5FtRQL4tbmSdIzhx6_m4wkOD7IG-k_eo/edit#gid=0"", ""Maths!M:N""), 2, FALSE)"),"(LU001374.001); Default - Remember")</f>
        <v>(LU001374.001); Default - Remember</v>
      </c>
      <c r="L25" s="29" t="str">
        <f t="shared" si="1"/>
        <v>LU001374.002</v>
      </c>
      <c r="M25" s="29" t="str">
        <f ca="1">IFERROR(__xludf.dummyfunction("VLOOKUP(L25, IMPORTRANGE(""https://docs.google.com/spreadsheets/d/1yDAaXNsi4Mr5FtRQL4tbmSdIzhx6_m4wkOD7IG-k_eo/edit#gid=0"", ""Maths!M:N""), 2, FALSE)"),"(LU001374.002); Default - Understand")</f>
        <v>(LU001374.002); Default - Understand</v>
      </c>
      <c r="N25" s="29" t="str">
        <f t="shared" si="2"/>
        <v>LU001374.003</v>
      </c>
      <c r="O25" s="29" t="str">
        <f ca="1">IFERROR(__xludf.dummyfunction("VLOOKUP(N25, IMPORTRANGE(""https://docs.google.com/spreadsheets/d/1yDAaXNsi4Mr5FtRQL4tbmSdIzhx6_m4wkOD7IG-k_eo/edit#gid=0"", ""Maths!M:N""), 2, FALSE)"),"(LU001374.003); Default - Apply")</f>
        <v>(LU001374.003); Default - Apply</v>
      </c>
      <c r="P25" s="29" t="str">
        <f t="shared" si="3"/>
        <v>LU001374.004</v>
      </c>
      <c r="Q25" s="29" t="str">
        <f ca="1">IFERROR(__xludf.dummyfunction("VLOOKUP(P25, IMPORTRANGE(""https://docs.google.com/spreadsheets/d/1yDAaXNsi4Mr5FtRQL4tbmSdIzhx6_m4wkOD7IG-k_eo/edit#gid=0"", ""Maths!M:N""), 2, FALSE)"),"(LU001374.004); Default - Analyse")</f>
        <v>(LU001374.004); Default - Analyse</v>
      </c>
      <c r="R25" s="29" t="str">
        <f t="shared" si="4"/>
        <v>LU001374.005</v>
      </c>
      <c r="S25" s="29" t="str">
        <f ca="1">IFERROR(__xludf.dummyfunction("VLOOKUP(R25, IMPORTRANGE(""https://docs.google.com/spreadsheets/d/1yDAaXNsi4Mr5FtRQL4tbmSdIzhx6_m4wkOD7IG-k_eo/edit#gid=0"", ""Maths!M:N""), 2, FALSE)"),"(LU001374.005); Default - Evaluate")</f>
        <v>(LU001374.005); Default - Evaluate</v>
      </c>
      <c r="T25" s="29" t="str">
        <f t="shared" si="5"/>
        <v>LU001374.006</v>
      </c>
      <c r="U25" s="29" t="str">
        <f ca="1">IFERROR(__xludf.dummyfunction("VLOOKUP(T25, IMPORTRANGE(""https://docs.google.com/spreadsheets/d/1yDAaXNsi4Mr5FtRQL4tbmSdIzhx6_m4wkOD7IG-k_eo/edit#gid=0"", ""Maths!M:N""), 2, FALSE)"),"(LU001374.006); Default - Create")</f>
        <v>(LU001374.006); Default - Create</v>
      </c>
      <c r="V25" s="16" t="str">
        <f ca="1">IFERROR(__xludf.dummyfunction("ArrayFormula(VLOOKUP(G25, IMPORTRANGE(""https://docs.google.com/spreadsheets/d/1p7R4vtkWt5VOBim4ltsDG9KTzSjrtKXsMtQGXPHyND0/edit#gid=795171502"", ""'Filter 30_05_2024'!A1:M2000""), {2, 3, 4, 5,6,7,8,9,10,11,12,13}, 0))"),"#N/A")</f>
        <v>#N/A</v>
      </c>
      <c r="W25" s="16" t="str">
        <f ca="1">IFERROR(__xludf.dummyfunction("""COMPUTED_VALUE"""),"#N/A")</f>
        <v>#N/A</v>
      </c>
      <c r="X25" s="16" t="str">
        <f ca="1">IFERROR(__xludf.dummyfunction("""COMPUTED_VALUE"""),"#N/A")</f>
        <v>#N/A</v>
      </c>
      <c r="Y25" s="16" t="str">
        <f ca="1">IFERROR(__xludf.dummyfunction("""COMPUTED_VALUE"""),"#N/A")</f>
        <v>#N/A</v>
      </c>
      <c r="Z25" s="16" t="str">
        <f ca="1">IFERROR(__xludf.dummyfunction("""COMPUTED_VALUE"""),"#N/A")</f>
        <v>#N/A</v>
      </c>
      <c r="AA25" s="30" t="str">
        <f ca="1">IFERROR(__xludf.dummyfunction("""COMPUTED_VALUE"""),"#N/A")</f>
        <v>#N/A</v>
      </c>
      <c r="AB25" s="30" t="str">
        <f ca="1">IFERROR(__xludf.dummyfunction("""COMPUTED_VALUE"""),"#N/A")</f>
        <v>#N/A</v>
      </c>
      <c r="AC25" s="30" t="str">
        <f ca="1">IFERROR(__xludf.dummyfunction("""COMPUTED_VALUE"""),"#N/A")</f>
        <v>#N/A</v>
      </c>
      <c r="AD25" s="16" t="str">
        <f ca="1">IFERROR(__xludf.dummyfunction("""COMPUTED_VALUE"""),"#N/A")</f>
        <v>#N/A</v>
      </c>
      <c r="AE25" s="30" t="str">
        <f ca="1">IFERROR(__xludf.dummyfunction("""COMPUTED_VALUE"""),"#N/A")</f>
        <v>#N/A</v>
      </c>
      <c r="AF25" s="30" t="str">
        <f ca="1">IFERROR(__xludf.dummyfunction("""COMPUTED_VALUE"""),"#N/A")</f>
        <v>#N/A</v>
      </c>
      <c r="AG25" s="30" t="str">
        <f ca="1">IFERROR(__xludf.dummyfunction("""COMPUTED_VALUE"""),"#N/A")</f>
        <v>#N/A</v>
      </c>
    </row>
    <row r="26" spans="1:33" ht="15.6">
      <c r="A26" s="25"/>
      <c r="B26" s="26" t="s">
        <v>29</v>
      </c>
      <c r="C26" s="26" t="s">
        <v>310</v>
      </c>
      <c r="D26" s="26">
        <v>6</v>
      </c>
      <c r="E26" s="27" t="s">
        <v>311</v>
      </c>
      <c r="F26" s="28"/>
      <c r="G26" s="33" t="s">
        <v>349</v>
      </c>
      <c r="H26" s="28" t="str">
        <f ca="1">IFERROR(__xludf.dummyfunction("IFERROR(
  VLOOKUP(G26, IMPORTRANGE(""https://docs.google.com/spreadsheets/d/14deopnvwcrKtEGCKuYXdUHJbeLDZlkiSSWWT0g7x2pM/edit#gid=849066331"", ""LU List Maths (Filter)!A:B""), 2, FALSE),
  IFERROR(
    VLOOKUP(G26, IMPORTRANGE(""https://docs.google.com/s"&amp;"preadsheets/d/14deopnvwcrKtEGCKuYXdUHJbeLDZlkiSSWWT0g7x2pM/edit#gid=849066331"", ""LU List Science (Filter)!A:B""), 2, FALSE),
    ""Not Found""
  )
)
"),"Word Problems on large numbers - capacity")</f>
        <v>Word Problems on large numbers - capacity</v>
      </c>
      <c r="I26" s="28"/>
      <c r="J26" s="29" t="str">
        <f t="shared" si="0"/>
        <v>LU001375.001</v>
      </c>
      <c r="K26" s="29" t="str">
        <f ca="1">IFERROR(__xludf.dummyfunction("VLOOKUP(J26, IMPORTRANGE(""https://docs.google.com/spreadsheets/d/1yDAaXNsi4Mr5FtRQL4tbmSdIzhx6_m4wkOD7IG-k_eo/edit#gid=0"", ""Maths!M:N""), 2, FALSE)"),"(LU001375.001); Default - Remember")</f>
        <v>(LU001375.001); Default - Remember</v>
      </c>
      <c r="L26" s="29" t="str">
        <f t="shared" si="1"/>
        <v>LU001375.002</v>
      </c>
      <c r="M26" s="29" t="str">
        <f ca="1">IFERROR(__xludf.dummyfunction("VLOOKUP(L26, IMPORTRANGE(""https://docs.google.com/spreadsheets/d/1yDAaXNsi4Mr5FtRQL4tbmSdIzhx6_m4wkOD7IG-k_eo/edit#gid=0"", ""Maths!M:N""), 2, FALSE)"),"(LU001375.002); Default - Understand")</f>
        <v>(LU001375.002); Default - Understand</v>
      </c>
      <c r="N26" s="29" t="str">
        <f t="shared" si="2"/>
        <v>LU001375.003</v>
      </c>
      <c r="O26" s="29" t="str">
        <f ca="1">IFERROR(__xludf.dummyfunction("VLOOKUP(N26, IMPORTRANGE(""https://docs.google.com/spreadsheets/d/1yDAaXNsi4Mr5FtRQL4tbmSdIzhx6_m4wkOD7IG-k_eo/edit#gid=0"", ""Maths!M:N""), 2, FALSE)"),"(LU001375.003); Default - Apply")</f>
        <v>(LU001375.003); Default - Apply</v>
      </c>
      <c r="P26" s="29" t="str">
        <f t="shared" si="3"/>
        <v>LU001375.004</v>
      </c>
      <c r="Q26" s="29" t="str">
        <f ca="1">IFERROR(__xludf.dummyfunction("VLOOKUP(P26, IMPORTRANGE(""https://docs.google.com/spreadsheets/d/1yDAaXNsi4Mr5FtRQL4tbmSdIzhx6_m4wkOD7IG-k_eo/edit#gid=0"", ""Maths!M:N""), 2, FALSE)"),"(LU001375.004); Default - Analyse")</f>
        <v>(LU001375.004); Default - Analyse</v>
      </c>
      <c r="R26" s="29" t="str">
        <f t="shared" si="4"/>
        <v>LU001375.005</v>
      </c>
      <c r="S26" s="29" t="str">
        <f ca="1">IFERROR(__xludf.dummyfunction("VLOOKUP(R26, IMPORTRANGE(""https://docs.google.com/spreadsheets/d/1yDAaXNsi4Mr5FtRQL4tbmSdIzhx6_m4wkOD7IG-k_eo/edit#gid=0"", ""Maths!M:N""), 2, FALSE)"),"(LU001375.005); Default - Evaluate")</f>
        <v>(LU001375.005); Default - Evaluate</v>
      </c>
      <c r="T26" s="29" t="str">
        <f t="shared" si="5"/>
        <v>LU001375.006</v>
      </c>
      <c r="U26" s="29" t="str">
        <f ca="1">IFERROR(__xludf.dummyfunction("VLOOKUP(T26, IMPORTRANGE(""https://docs.google.com/spreadsheets/d/1yDAaXNsi4Mr5FtRQL4tbmSdIzhx6_m4wkOD7IG-k_eo/edit#gid=0"", ""Maths!M:N""), 2, FALSE)"),"(LU001375.006); Default - Create")</f>
        <v>(LU001375.006); Default - Create</v>
      </c>
      <c r="V26" s="16" t="str">
        <f ca="1">IFERROR(__xludf.dummyfunction("ArrayFormula(VLOOKUP(G26, IMPORTRANGE(""https://docs.google.com/spreadsheets/d/1p7R4vtkWt5VOBim4ltsDG9KTzSjrtKXsMtQGXPHyND0/edit#gid=795171502"", ""'Filter 30_05_2024'!A1:M2000""), {2, 3, 4, 5,6,7,8,9,10,11,12,13}, 0))"),"#N/A")</f>
        <v>#N/A</v>
      </c>
      <c r="W26" s="16" t="str">
        <f ca="1">IFERROR(__xludf.dummyfunction("""COMPUTED_VALUE"""),"#N/A")</f>
        <v>#N/A</v>
      </c>
      <c r="X26" s="16" t="str">
        <f ca="1">IFERROR(__xludf.dummyfunction("""COMPUTED_VALUE"""),"#N/A")</f>
        <v>#N/A</v>
      </c>
      <c r="Y26" s="16" t="str">
        <f ca="1">IFERROR(__xludf.dummyfunction("""COMPUTED_VALUE"""),"#N/A")</f>
        <v>#N/A</v>
      </c>
      <c r="Z26" s="16" t="str">
        <f ca="1">IFERROR(__xludf.dummyfunction("""COMPUTED_VALUE"""),"#N/A")</f>
        <v>#N/A</v>
      </c>
      <c r="AA26" s="30" t="str">
        <f ca="1">IFERROR(__xludf.dummyfunction("""COMPUTED_VALUE"""),"#N/A")</f>
        <v>#N/A</v>
      </c>
      <c r="AB26" s="30" t="str">
        <f ca="1">IFERROR(__xludf.dummyfunction("""COMPUTED_VALUE"""),"#N/A")</f>
        <v>#N/A</v>
      </c>
      <c r="AC26" s="30" t="str">
        <f ca="1">IFERROR(__xludf.dummyfunction("""COMPUTED_VALUE"""),"#N/A")</f>
        <v>#N/A</v>
      </c>
      <c r="AD26" s="16" t="str">
        <f ca="1">IFERROR(__xludf.dummyfunction("""COMPUTED_VALUE"""),"#N/A")</f>
        <v>#N/A</v>
      </c>
      <c r="AE26" s="30" t="str">
        <f ca="1">IFERROR(__xludf.dummyfunction("""COMPUTED_VALUE"""),"#N/A")</f>
        <v>#N/A</v>
      </c>
      <c r="AF26" s="30" t="str">
        <f ca="1">IFERROR(__xludf.dummyfunction("""COMPUTED_VALUE"""),"#N/A")</f>
        <v>#N/A</v>
      </c>
      <c r="AG26" s="30" t="str">
        <f ca="1">IFERROR(__xludf.dummyfunction("""COMPUTED_VALUE"""),"#N/A")</f>
        <v>#N/A</v>
      </c>
    </row>
    <row r="27" spans="1:33" ht="13.8">
      <c r="A27" s="25"/>
      <c r="B27" s="26" t="s">
        <v>29</v>
      </c>
      <c r="C27" s="26" t="s">
        <v>310</v>
      </c>
      <c r="D27" s="26">
        <v>6</v>
      </c>
      <c r="E27" s="27" t="s">
        <v>350</v>
      </c>
      <c r="F27" s="28" t="s">
        <v>351</v>
      </c>
      <c r="G27" s="27" t="s">
        <v>352</v>
      </c>
      <c r="H27" s="28" t="str">
        <f ca="1">IFERROR(__xludf.dummyfunction("IFERROR(
  VLOOKUP(G27, IMPORTRANGE(""https://docs.google.com/spreadsheets/d/14deopnvwcrKtEGCKuYXdUHJbeLDZlkiSSWWT0g7x2pM/edit#gid=849066331"", ""LU List Maths (Filter)!A:B""), 2, FALSE),
  IFERROR(
    VLOOKUP(G27, IMPORTRANGE(""https://docs.google.com/s"&amp;"preadsheets/d/14deopnvwcrKtEGCKuYXdUHJbeLDZlkiSSWWT0g7x2pM/edit#gid=849066331"", ""LU List Science (Filter)!A:B""), 2, FALSE),
    ""Not Found""
  )
)
"),"Definition of whole number")</f>
        <v>Definition of whole number</v>
      </c>
      <c r="I27" s="28"/>
      <c r="J27" s="29" t="str">
        <f t="shared" si="0"/>
        <v>LU000176.001</v>
      </c>
      <c r="K27" s="29" t="str">
        <f ca="1">IFERROR(__xludf.dummyfunction("VLOOKUP(J27, IMPORTRANGE(""https://docs.google.com/spreadsheets/d/1yDAaXNsi4Mr5FtRQL4tbmSdIzhx6_m4wkOD7IG-k_eo/edit#gid=0"", ""Maths!M:N""), 2, FALSE)"),"Define whole numbers.")</f>
        <v>Define whole numbers.</v>
      </c>
      <c r="L27" s="29" t="str">
        <f t="shared" si="1"/>
        <v>LU000176.002</v>
      </c>
      <c r="M27" s="29" t="str">
        <f ca="1">IFERROR(__xludf.dummyfunction("VLOOKUP(L27, IMPORTRANGE(""https://docs.google.com/spreadsheets/d/1yDAaXNsi4Mr5FtRQL4tbmSdIzhx6_m4wkOD7IG-k_eo/edit#gid=0"", ""Maths!M:N""), 2, FALSE)"),"List examples of whole numbers and their significance in counting.")</f>
        <v>List examples of whole numbers and their significance in counting.</v>
      </c>
      <c r="N27" s="29" t="str">
        <f t="shared" si="2"/>
        <v>LU000176.003</v>
      </c>
      <c r="O27" s="29" t="str">
        <f ca="1">IFERROR(__xludf.dummyfunction("VLOOKUP(N27, IMPORTRANGE(""https://docs.google.com/spreadsheets/d/1yDAaXNsi4Mr5FtRQL4tbmSdIzhx6_m4wkOD7IG-k_eo/edit#gid=0"", ""Maths!M:N""), 2, FALSE)"),"Use whole numbers to solve practical problems, such as measurements and money.")</f>
        <v>Use whole numbers to solve practical problems, such as measurements and money.</v>
      </c>
      <c r="P27" s="29" t="str">
        <f t="shared" si="3"/>
        <v>LU000176.004</v>
      </c>
      <c r="Q27" s="29" t="str">
        <f ca="1">IFERROR(__xludf.dummyfunction("VLOOKUP(P27, IMPORTRANGE(""https://docs.google.com/spreadsheets/d/1yDAaXNsi4Mr5FtRQL4tbmSdIzhx6_m4wkOD7IG-k_eo/edit#gid=0"", ""Maths!M:N""), 2, FALSE)"),"Analyse and differentiate between various number types to identify characteristics exclusive to whole numbers.")</f>
        <v>Analyse and differentiate between various number types to identify characteristics exclusive to whole numbers.</v>
      </c>
      <c r="R27" s="29" t="str">
        <f t="shared" si="4"/>
        <v>LU000176.005</v>
      </c>
      <c r="S27" s="29" t="str">
        <f ca="1">IFERROR(__xludf.dummyfunction("VLOOKUP(R27, IMPORTRANGE(""https://docs.google.com/spreadsheets/d/1yDAaXNsi4Mr5FtRQL4tbmSdIzhx6_m4wkOD7IG-k_eo/edit#gid=0"", ""Maths!M:N""), 2, FALSE)"),"Assess and justify the validity of different definitions of whole numbers.")</f>
        <v>Assess and justify the validity of different definitions of whole numbers.</v>
      </c>
      <c r="T27" s="29" t="str">
        <f t="shared" si="5"/>
        <v>LU000176.006</v>
      </c>
      <c r="U27" s="29" t="str">
        <f ca="1">IFERROR(__xludf.dummyfunction("VLOOKUP(T27, IMPORTRANGE(""https://docs.google.com/spreadsheets/d/1yDAaXNsi4Mr5FtRQL4tbmSdIzhx6_m4wkOD7IG-k_eo/edit#gid=0"", ""Maths!M:N""), 2, FALSE)"),"Create number patterns and sequences using whole numbers, incorporating different operations.")</f>
        <v>Create number patterns and sequences using whole numbers, incorporating different operations.</v>
      </c>
      <c r="V27" s="16">
        <f ca="1">IFERROR(__xludf.dummyfunction("ArrayFormula(VLOOKUP(G27, IMPORTRANGE(""https://docs.google.com/spreadsheets/d/1p7R4vtkWt5VOBim4ltsDG9KTzSjrtKXsMtQGXPHyND0/edit#gid=795171502"", ""'Filter 30_05_2024'!A1:M2000""), {2, 3, 4, 5,6,7,8,9,10,11,12,13}, 0))"),3)</f>
        <v>3</v>
      </c>
      <c r="W27" s="16">
        <f ca="1">IFERROR(__xludf.dummyfunction("""COMPUTED_VALUE"""),6)</f>
        <v>6</v>
      </c>
      <c r="X27" s="16">
        <f ca="1">IFERROR(__xludf.dummyfunction("""COMPUTED_VALUE"""),2)</f>
        <v>2</v>
      </c>
      <c r="Y27" s="16">
        <f ca="1">IFERROR(__xludf.dummyfunction("""COMPUTED_VALUE"""),11)</f>
        <v>11</v>
      </c>
      <c r="Z27" s="16">
        <f ca="1">IFERROR(__xludf.dummyfunction("""COMPUTED_VALUE"""),4)</f>
        <v>4</v>
      </c>
      <c r="AA27" s="30">
        <f ca="1">IFERROR(__xludf.dummyfunction("""COMPUTED_VALUE"""),3)</f>
        <v>3</v>
      </c>
      <c r="AB27" s="30">
        <f ca="1">IFERROR(__xludf.dummyfunction("""COMPUTED_VALUE"""),1)</f>
        <v>1</v>
      </c>
      <c r="AC27" s="30">
        <f ca="1">IFERROR(__xludf.dummyfunction("""COMPUTED_VALUE"""),8)</f>
        <v>8</v>
      </c>
      <c r="AD27" s="16"/>
      <c r="AE27" s="30"/>
      <c r="AF27" s="30"/>
      <c r="AG27" s="30"/>
    </row>
    <row r="28" spans="1:33" ht="13.8">
      <c r="A28" s="25"/>
      <c r="B28" s="26" t="s">
        <v>29</v>
      </c>
      <c r="C28" s="26" t="s">
        <v>310</v>
      </c>
      <c r="D28" s="26">
        <v>6</v>
      </c>
      <c r="E28" s="27" t="s">
        <v>350</v>
      </c>
      <c r="F28" s="28"/>
      <c r="G28" s="27" t="s">
        <v>353</v>
      </c>
      <c r="H28" s="28" t="str">
        <f ca="1">IFERROR(__xludf.dummyfunction("IFERROR(
  VLOOKUP(G28, IMPORTRANGE(""https://docs.google.com/spreadsheets/d/14deopnvwcrKtEGCKuYXdUHJbeLDZlkiSSWWT0g7x2pM/edit#gid=849066331"", ""LU List Maths (Filter)!A:B""), 2, FALSE),
  IFERROR(
    VLOOKUP(G28, IMPORTRANGE(""https://docs.google.com/s"&amp;"preadsheets/d/14deopnvwcrKtEGCKuYXdUHJbeLDZlkiSSWWT0g7x2pM/edit#gid=849066331"", ""LU List Science (Filter)!A:B""), 2, FALSE),
    ""Not Found""
  )
)
"),"Predecessor of whole numbers")</f>
        <v>Predecessor of whole numbers</v>
      </c>
      <c r="I28" s="28"/>
      <c r="J28" s="29" t="str">
        <f t="shared" si="0"/>
        <v>LU000177.001</v>
      </c>
      <c r="K28" s="29" t="str">
        <f ca="1">IFERROR(__xludf.dummyfunction("VLOOKUP(J28, IMPORTRANGE(""https://docs.google.com/spreadsheets/d/1yDAaXNsi4Mr5FtRQL4tbmSdIzhx6_m4wkOD7IG-k_eo/edit#gid=0"", ""Maths!M:N""), 2, FALSE)"),"Define predecessor and its relevance in counting.")</f>
        <v>Define predecessor and its relevance in counting.</v>
      </c>
      <c r="L28" s="29" t="str">
        <f t="shared" si="1"/>
        <v>LU000177.002</v>
      </c>
      <c r="M28" s="29" t="str">
        <f ca="1">IFERROR(__xludf.dummyfunction("VLOOKUP(L28, IMPORTRANGE(""https://docs.google.com/spreadsheets/d/1yDAaXNsi4Mr5FtRQL4tbmSdIzhx6_m4wkOD7IG-k_eo/edit#gid=0"", ""Maths!M:N""), 2, FALSE)"),"Identify the predecessor of a given number.")</f>
        <v>Identify the predecessor of a given number.</v>
      </c>
      <c r="N28" s="29" t="str">
        <f t="shared" si="2"/>
        <v>LU000177.003</v>
      </c>
      <c r="O28" s="29" t="str">
        <f ca="1">IFERROR(__xludf.dummyfunction("VLOOKUP(N28, IMPORTRANGE(""https://docs.google.com/spreadsheets/d/1yDAaXNsi4Mr5FtRQL4tbmSdIzhx6_m4wkOD7IG-k_eo/edit#gid=0"", ""Maths!M:N""), 2, FALSE)"),"Apply the concept of predecessor in real-life situations.")</f>
        <v>Apply the concept of predecessor in real-life situations.</v>
      </c>
      <c r="P28" s="29" t="str">
        <f t="shared" si="3"/>
        <v>LU000177.004</v>
      </c>
      <c r="Q28" s="29" t="str">
        <f ca="1">IFERROR(__xludf.dummyfunction("VLOOKUP(P28, IMPORTRANGE(""https://docs.google.com/spreadsheets/d/1yDAaXNsi4Mr5FtRQL4tbmSdIzhx6_m4wkOD7IG-k_eo/edit#gid=0"", ""Maths!M:N""), 2, FALSE)"),"Investigate and explain the patterns and relationships found when determining the predecessor of whole numbers.")</f>
        <v>Investigate and explain the patterns and relationships found when determining the predecessor of whole numbers.</v>
      </c>
      <c r="R28" s="29" t="str">
        <f t="shared" si="4"/>
        <v>LU000177.005</v>
      </c>
      <c r="S28" s="29" t="str">
        <f ca="1">IFERROR(__xludf.dummyfunction("VLOOKUP(R28, IMPORTRANGE(""https://docs.google.com/spreadsheets/d/1yDAaXNsi4Mr5FtRQL4tbmSdIzhx6_m4wkOD7IG-k_eo/edit#gid=0"", ""Maths!M:N""), 2, FALSE)"),"Critically assess and validate the accuracy of identified predecessors for various whole numbers.")</f>
        <v>Critically assess and validate the accuracy of identified predecessors for various whole numbers.</v>
      </c>
      <c r="T28" s="29" t="str">
        <f t="shared" si="5"/>
        <v>LU000177.006</v>
      </c>
      <c r="U28" s="29" t="str">
        <f ca="1">IFERROR(__xludf.dummyfunction("VLOOKUP(T28, IMPORTRANGE(""https://docs.google.com/spreadsheets/d/1yDAaXNsi4Mr5FtRQL4tbmSdIzhx6_m4wkOD7IG-k_eo/edit#gid=0"", ""Maths!M:N""), 2, FALSE)"),"Create visual representations, such as number lines and diagrams, to illustrate the concept of predecessors.")</f>
        <v>Create visual representations, such as number lines and diagrams, to illustrate the concept of predecessors.</v>
      </c>
      <c r="V28" s="16">
        <f ca="1">IFERROR(__xludf.dummyfunction("ArrayFormula(VLOOKUP(G28, IMPORTRANGE(""https://docs.google.com/spreadsheets/d/1p7R4vtkWt5VOBim4ltsDG9KTzSjrtKXsMtQGXPHyND0/edit#gid=795171502"", ""'Filter 30_05_2024'!A1:M2000""), {2, 3, 4, 5,6,7,8,9,10,11,12,13}, 0))"),4)</f>
        <v>4</v>
      </c>
      <c r="W28" s="16">
        <f ca="1">IFERROR(__xludf.dummyfunction("""COMPUTED_VALUE"""),6)</f>
        <v>6</v>
      </c>
      <c r="X28" s="16">
        <f ca="1">IFERROR(__xludf.dummyfunction("""COMPUTED_VALUE"""),2)</f>
        <v>2</v>
      </c>
      <c r="Y28" s="16">
        <f ca="1">IFERROR(__xludf.dummyfunction("""COMPUTED_VALUE"""),12)</f>
        <v>12</v>
      </c>
      <c r="Z28" s="16">
        <f ca="1">IFERROR(__xludf.dummyfunction("""COMPUTED_VALUE"""),4)</f>
        <v>4</v>
      </c>
      <c r="AA28" s="30">
        <f ca="1">IFERROR(__xludf.dummyfunction("""COMPUTED_VALUE"""),3)</f>
        <v>3</v>
      </c>
      <c r="AB28" s="30">
        <f ca="1">IFERROR(__xludf.dummyfunction("""COMPUTED_VALUE"""),1)</f>
        <v>1</v>
      </c>
      <c r="AC28" s="30">
        <f ca="1">IFERROR(__xludf.dummyfunction("""COMPUTED_VALUE"""),8)</f>
        <v>8</v>
      </c>
      <c r="AD28" s="16"/>
      <c r="AE28" s="30"/>
      <c r="AF28" s="30"/>
      <c r="AG28" s="30"/>
    </row>
    <row r="29" spans="1:33" ht="13.8">
      <c r="A29" s="25"/>
      <c r="B29" s="26" t="s">
        <v>29</v>
      </c>
      <c r="C29" s="26" t="s">
        <v>310</v>
      </c>
      <c r="D29" s="26">
        <v>6</v>
      </c>
      <c r="E29" s="27" t="s">
        <v>350</v>
      </c>
      <c r="F29" s="28"/>
      <c r="G29" s="27" t="s">
        <v>354</v>
      </c>
      <c r="H29" s="28" t="str">
        <f ca="1">IFERROR(__xludf.dummyfunction("IFERROR(
  VLOOKUP(G29, IMPORTRANGE(""https://docs.google.com/spreadsheets/d/14deopnvwcrKtEGCKuYXdUHJbeLDZlkiSSWWT0g7x2pM/edit#gid=849066331"", ""LU List Maths (Filter)!A:B""), 2, FALSE),
  IFERROR(
    VLOOKUP(G29, IMPORTRANGE(""https://docs.google.com/s"&amp;"preadsheets/d/14deopnvwcrKtEGCKuYXdUHJbeLDZlkiSSWWT0g7x2pM/edit#gid=849066331"", ""LU List Science (Filter)!A:B""), 2, FALSE),
    ""Not Found""
  )
)
"),"Successor of whole numbers")</f>
        <v>Successor of whole numbers</v>
      </c>
      <c r="I29" s="28"/>
      <c r="J29" s="29" t="str">
        <f t="shared" si="0"/>
        <v>LU000178.001</v>
      </c>
      <c r="K29" s="29" t="str">
        <f ca="1">IFERROR(__xludf.dummyfunction("VLOOKUP(J29, IMPORTRANGE(""https://docs.google.com/spreadsheets/d/1yDAaXNsi4Mr5FtRQL4tbmSdIzhx6_m4wkOD7IG-k_eo/edit#gid=0"", ""Maths!M:N""), 2, FALSE)"),"Definition successor and its relevance in counting.")</f>
        <v>Definition successor and its relevance in counting.</v>
      </c>
      <c r="L29" s="29" t="str">
        <f t="shared" si="1"/>
        <v>LU000178.002</v>
      </c>
      <c r="M29" s="29" t="str">
        <f ca="1">IFERROR(__xludf.dummyfunction("VLOOKUP(L29, IMPORTRANGE(""https://docs.google.com/spreadsheets/d/1yDAaXNsi4Mr5FtRQL4tbmSdIzhx6_m4wkOD7IG-k_eo/edit#gid=0"", ""Maths!M:N""), 2, FALSE)"),"Identify the successor of a given number.")</f>
        <v>Identify the successor of a given number.</v>
      </c>
      <c r="N29" s="29" t="str">
        <f t="shared" si="2"/>
        <v>LU000178.003</v>
      </c>
      <c r="O29" s="29" t="str">
        <f ca="1">IFERROR(__xludf.dummyfunction("VLOOKUP(N29, IMPORTRANGE(""https://docs.google.com/spreadsheets/d/1yDAaXNsi4Mr5FtRQL4tbmSdIzhx6_m4wkOD7IG-k_eo/edit#gid=0"", ""Maths!M:N""), 2, FALSE)"),"Apply the concept of successor in real-life situations.")</f>
        <v>Apply the concept of successor in real-life situations.</v>
      </c>
      <c r="P29" s="29" t="str">
        <f t="shared" si="3"/>
        <v>LU000178.004</v>
      </c>
      <c r="Q29" s="29" t="str">
        <f ca="1">IFERROR(__xludf.dummyfunction("VLOOKUP(P29, IMPORTRANGE(""https://docs.google.com/spreadsheets/d/1yDAaXNsi4Mr5FtRQL4tbmSdIzhx6_m4wkOD7IG-k_eo/edit#gid=0"", ""Maths!M:N""), 2, FALSE)"),"Investigate and explain the patterns and relationships found when determining the successors of whole numbers.")</f>
        <v>Investigate and explain the patterns and relationships found when determining the successors of whole numbers.</v>
      </c>
      <c r="R29" s="29" t="str">
        <f t="shared" si="4"/>
        <v>LU000178.005</v>
      </c>
      <c r="S29" s="29" t="str">
        <f ca="1">IFERROR(__xludf.dummyfunction("VLOOKUP(R29, IMPORTRANGE(""https://docs.google.com/spreadsheets/d/1yDAaXNsi4Mr5FtRQL4tbmSdIzhx6_m4wkOD7IG-k_eo/edit#gid=0"", ""Maths!M:N""), 2, FALSE)"),"Critically assess and validate the accuracy of identified successors for various whole numbers.")</f>
        <v>Critically assess and validate the accuracy of identified successors for various whole numbers.</v>
      </c>
      <c r="T29" s="29" t="str">
        <f t="shared" si="5"/>
        <v>LU000178.006</v>
      </c>
      <c r="U29" s="29" t="str">
        <f ca="1">IFERROR(__xludf.dummyfunction("VLOOKUP(T29, IMPORTRANGE(""https://docs.google.com/spreadsheets/d/1yDAaXNsi4Mr5FtRQL4tbmSdIzhx6_m4wkOD7IG-k_eo/edit#gid=0"", ""Maths!M:N""), 2, FALSE)"),"Create visual representations, such as number lines and diagrams, to illustrate the concept of successor.")</f>
        <v>Create visual representations, such as number lines and diagrams, to illustrate the concept of successor.</v>
      </c>
      <c r="V29" s="16">
        <f ca="1">IFERROR(__xludf.dummyfunction("ArrayFormula(VLOOKUP(G29, IMPORTRANGE(""https://docs.google.com/spreadsheets/d/1p7R4vtkWt5VOBim4ltsDG9KTzSjrtKXsMtQGXPHyND0/edit#gid=795171502"", ""'Filter 30_05_2024'!A1:M2000""), {2, 3, 4, 5,6,7,8,9,10,11,12,13}, 0))"),5)</f>
        <v>5</v>
      </c>
      <c r="W29" s="16">
        <f ca="1">IFERROR(__xludf.dummyfunction("""COMPUTED_VALUE"""),6)</f>
        <v>6</v>
      </c>
      <c r="X29" s="16">
        <f ca="1">IFERROR(__xludf.dummyfunction("""COMPUTED_VALUE"""),2)</f>
        <v>2</v>
      </c>
      <c r="Y29" s="16">
        <f ca="1">IFERROR(__xludf.dummyfunction("""COMPUTED_VALUE"""),13)</f>
        <v>13</v>
      </c>
      <c r="Z29" s="16">
        <f ca="1">IFERROR(__xludf.dummyfunction("""COMPUTED_VALUE"""),4)</f>
        <v>4</v>
      </c>
      <c r="AA29" s="30">
        <f ca="1">IFERROR(__xludf.dummyfunction("""COMPUTED_VALUE"""),4)</f>
        <v>4</v>
      </c>
      <c r="AB29" s="30">
        <f ca="1">IFERROR(__xludf.dummyfunction("""COMPUTED_VALUE"""),1)</f>
        <v>1</v>
      </c>
      <c r="AC29" s="30">
        <f ca="1">IFERROR(__xludf.dummyfunction("""COMPUTED_VALUE"""),9)</f>
        <v>9</v>
      </c>
      <c r="AD29" s="16"/>
      <c r="AE29" s="30"/>
      <c r="AF29" s="30"/>
      <c r="AG29" s="30"/>
    </row>
    <row r="30" spans="1:33" ht="26.4">
      <c r="A30" s="25"/>
      <c r="B30" s="26" t="s">
        <v>29</v>
      </c>
      <c r="C30" s="26" t="s">
        <v>310</v>
      </c>
      <c r="D30" s="26">
        <v>6</v>
      </c>
      <c r="E30" s="27" t="s">
        <v>350</v>
      </c>
      <c r="F30" s="28" t="s">
        <v>355</v>
      </c>
      <c r="G30" s="39" t="s">
        <v>356</v>
      </c>
      <c r="H30" s="28" t="str">
        <f ca="1">IFERROR(__xludf.dummyfunction("IFERROR(
  VLOOKUP(G30, IMPORTRANGE(""https://docs.google.com/spreadsheets/d/14deopnvwcrKtEGCKuYXdUHJbeLDZlkiSSWWT0g7x2pM/edit#gid=849066331"", ""LU List Maths (Filter)!A:B""), 2, FALSE),
  IFERROR(
    VLOOKUP(G30, IMPORTRANGE(""https://docs.google.com/s"&amp;"preadsheets/d/14deopnvwcrKtEGCKuYXdUHJbeLDZlkiSSWWT0g7x2pM/edit#gid=849066331"", ""LU List Science (Filter)!A:B""), 2, FALSE),
    ""Not Found""
  )
)
"),"Closure property for addition of whole numbers")</f>
        <v>Closure property for addition of whole numbers</v>
      </c>
      <c r="I30" s="32"/>
      <c r="J30" s="29" t="str">
        <f t="shared" si="0"/>
        <v>LU000952.001</v>
      </c>
      <c r="K30" s="29" t="str">
        <f ca="1">IFERROR(__xludf.dummyfunction("VLOOKUP(J30, IMPORTRANGE(""https://docs.google.com/spreadsheets/d/1yDAaXNsi4Mr5FtRQL4tbmSdIzhx6_m4wkOD7IG-k_eo/edit#gid=0"", ""Maths!M:N""), 2, FALSE)"),"Define the closure property for addition of whole numbers.")</f>
        <v>Define the closure property for addition of whole numbers.</v>
      </c>
      <c r="L30" s="29" t="str">
        <f t="shared" si="1"/>
        <v>LU000952.002</v>
      </c>
      <c r="M30" s="29" t="str">
        <f ca="1">IFERROR(__xludf.dummyfunction("VLOOKUP(L30, IMPORTRANGE(""https://docs.google.com/spreadsheets/d/1yDAaXNsi4Mr5FtRQL4tbmSdIzhx6_m4wkOD7IG-k_eo/edit#gid=0"", ""Maths!M:N""), 2, FALSE)"),"Explain why the closure property is important in adding whole numbers.")</f>
        <v>Explain why the closure property is important in adding whole numbers.</v>
      </c>
      <c r="N30" s="29" t="str">
        <f t="shared" si="2"/>
        <v>LU000952.003</v>
      </c>
      <c r="O30" s="29" t="str">
        <f ca="1">IFERROR(__xludf.dummyfunction("VLOOKUP(N30, IMPORTRANGE(""https://docs.google.com/spreadsheets/d/1yDAaXNsi4Mr5FtRQL4tbmSdIzhx6_m4wkOD7IG-k_eo/edit#gid=0"", ""Maths!M:N""), 2, FALSE)"),"Demonstrate the closure property by solving addition problems with whole numbers.")</f>
        <v>Demonstrate the closure property by solving addition problems with whole numbers.</v>
      </c>
      <c r="P30" s="29" t="str">
        <f t="shared" si="3"/>
        <v>LU000952.004</v>
      </c>
      <c r="Q30" s="29" t="str">
        <f ca="1">IFERROR(__xludf.dummyfunction("VLOOKUP(P30, IMPORTRANGE(""https://docs.google.com/spreadsheets/d/1yDAaXNsi4Mr5FtRQL4tbmSdIzhx6_m4wkOD7IG-k_eo/edit#gid=0"", ""Maths!M:N""), 2, FALSE)"),"#N/A")</f>
        <v>#N/A</v>
      </c>
      <c r="R30" s="29" t="str">
        <f t="shared" si="4"/>
        <v>LU000952.005</v>
      </c>
      <c r="S30" s="29" t="str">
        <f ca="1">IFERROR(__xludf.dummyfunction("VLOOKUP(R30, IMPORTRANGE(""https://docs.google.com/spreadsheets/d/1yDAaXNsi4Mr5FtRQL4tbmSdIzhx6_m4wkOD7IG-k_eo/edit#gid=0"", ""Maths!M:N""), 2, FALSE)"),"Assess the significance of the closure property in mathematics and real-world scenarios.")</f>
        <v>Assess the significance of the closure property in mathematics and real-world scenarios.</v>
      </c>
      <c r="T30" s="29" t="str">
        <f t="shared" si="5"/>
        <v>LU000952.006</v>
      </c>
      <c r="U30" s="29" t="str">
        <f ca="1">IFERROR(__xludf.dummyfunction("VLOOKUP(T30, IMPORTRANGE(""https://docs.google.com/spreadsheets/d/1yDAaXNsi4Mr5FtRQL4tbmSdIzhx6_m4wkOD7IG-k_eo/edit#gid=0"", ""Maths!M:N""), 2, FALSE)"),"#N/A")</f>
        <v>#N/A</v>
      </c>
      <c r="V30" s="16">
        <f ca="1">IFERROR(__xludf.dummyfunction("ArrayFormula(VLOOKUP(G30, IMPORTRANGE(""https://docs.google.com/spreadsheets/d/1p7R4vtkWt5VOBim4ltsDG9KTzSjrtKXsMtQGXPHyND0/edit#gid=795171502"", ""'Filter 30_05_2024'!A1:M2000""), {2, 3, 4, 5,6,7,8,9,10,11,12,13}, 0))"),4)</f>
        <v>4</v>
      </c>
      <c r="W30" s="16">
        <f ca="1">IFERROR(__xludf.dummyfunction("""COMPUTED_VALUE"""),6)</f>
        <v>6</v>
      </c>
      <c r="X30" s="16">
        <f ca="1">IFERROR(__xludf.dummyfunction("""COMPUTED_VALUE"""),2)</f>
        <v>2</v>
      </c>
      <c r="Y30" s="16">
        <f ca="1">IFERROR(__xludf.dummyfunction("""COMPUTED_VALUE"""),12)</f>
        <v>12</v>
      </c>
      <c r="Z30" s="16">
        <f ca="1">IFERROR(__xludf.dummyfunction("""COMPUTED_VALUE"""),4)</f>
        <v>4</v>
      </c>
      <c r="AA30" s="30">
        <f ca="1">IFERROR(__xludf.dummyfunction("""COMPUTED_VALUE"""),3)</f>
        <v>3</v>
      </c>
      <c r="AB30" s="30">
        <f ca="1">IFERROR(__xludf.dummyfunction("""COMPUTED_VALUE"""),1)</f>
        <v>1</v>
      </c>
      <c r="AC30" s="30">
        <f ca="1">IFERROR(__xludf.dummyfunction("""COMPUTED_VALUE"""),8)</f>
        <v>8</v>
      </c>
      <c r="AD30" s="16"/>
      <c r="AE30" s="30"/>
      <c r="AF30" s="30"/>
      <c r="AG30" s="30"/>
    </row>
    <row r="31" spans="1:33" ht="26.4">
      <c r="A31" s="25"/>
      <c r="B31" s="26" t="s">
        <v>29</v>
      </c>
      <c r="C31" s="26" t="s">
        <v>310</v>
      </c>
      <c r="D31" s="26">
        <v>6</v>
      </c>
      <c r="E31" s="27" t="s">
        <v>350</v>
      </c>
      <c r="F31" s="28"/>
      <c r="G31" s="39" t="s">
        <v>357</v>
      </c>
      <c r="H31" s="28" t="str">
        <f ca="1">IFERROR(__xludf.dummyfunction("IFERROR(
  VLOOKUP(G31, IMPORTRANGE(""https://docs.google.com/spreadsheets/d/14deopnvwcrKtEGCKuYXdUHJbeLDZlkiSSWWT0g7x2pM/edit#gid=849066331"", ""LU List Maths (Filter)!A:B""), 2, FALSE),
  IFERROR(
    VLOOKUP(G31, IMPORTRANGE(""https://docs.google.com/s"&amp;"preadsheets/d/14deopnvwcrKtEGCKuYXdUHJbeLDZlkiSSWWT0g7x2pM/edit#gid=849066331"", ""LU List Science (Filter)!A:B""), 2, FALSE),
    ""Not Found""
  )
)
"),"Commutative property for addition of whole numbers")</f>
        <v>Commutative property for addition of whole numbers</v>
      </c>
      <c r="I31" s="32"/>
      <c r="J31" s="29" t="str">
        <f t="shared" si="0"/>
        <v>LU000956.001</v>
      </c>
      <c r="K31" s="29" t="str">
        <f ca="1">IFERROR(__xludf.dummyfunction("VLOOKUP(J31, IMPORTRANGE(""https://docs.google.com/spreadsheets/d/1yDAaXNsi4Mr5FtRQL4tbmSdIzhx6_m4wkOD7IG-k_eo/edit#gid=0"", ""Maths!M:N""), 2, FALSE)"),"State the commutative property for addition of whole numbers.")</f>
        <v>State the commutative property for addition of whole numbers.</v>
      </c>
      <c r="L31" s="29" t="str">
        <f t="shared" si="1"/>
        <v>LU000956.002</v>
      </c>
      <c r="M31" s="29" t="str">
        <f ca="1">IFERROR(__xludf.dummyfunction("VLOOKUP(L31, IMPORTRANGE(""https://docs.google.com/spreadsheets/d/1yDAaXNsi4Mr5FtRQL4tbmSdIzhx6_m4wkOD7IG-k_eo/edit#gid=0"", ""Maths!M:N""), 2, FALSE)"),"Explain the meaning and significance of the commutative property in the context of adding whole numbers.")</f>
        <v>Explain the meaning and significance of the commutative property in the context of adding whole numbers.</v>
      </c>
      <c r="N31" s="29" t="str">
        <f t="shared" si="2"/>
        <v>LU000956.003</v>
      </c>
      <c r="O31" s="29" t="str">
        <f ca="1">IFERROR(__xludf.dummyfunction("VLOOKUP(N31, IMPORTRANGE(""https://docs.google.com/spreadsheets/d/1yDAaXNsi4Mr5FtRQL4tbmSdIzhx6_m4wkOD7IG-k_eo/edit#gid=0"", ""Maths!M:N""), 2, FALSE)"),"Demonstrate the commutative property by rearranging the order of addends in addition problems with whole numbers.")</f>
        <v>Demonstrate the commutative property by rearranging the order of addends in addition problems with whole numbers.</v>
      </c>
      <c r="P31" s="29" t="str">
        <f t="shared" si="3"/>
        <v>LU000956.004</v>
      </c>
      <c r="Q31" s="29" t="str">
        <f ca="1">IFERROR(__xludf.dummyfunction("VLOOKUP(P31, IMPORTRANGE(""https://docs.google.com/spreadsheets/d/1yDAaXNsi4Mr5FtRQL4tbmSdIzhx6_m4wkOD7IG-k_eo/edit#gid=0"", ""Maths!M:N""), 2, FALSE)"),"#N/A")</f>
        <v>#N/A</v>
      </c>
      <c r="R31" s="29" t="str">
        <f t="shared" si="4"/>
        <v>LU000956.005</v>
      </c>
      <c r="S31" s="29" t="str">
        <f ca="1">IFERROR(__xludf.dummyfunction("VLOOKUP(R31, IMPORTRANGE(""https://docs.google.com/spreadsheets/d/1yDAaXNsi4Mr5FtRQL4tbmSdIzhx6_m4wkOD7IG-k_eo/edit#gid=0"", ""Maths!M:N""), 2, FALSE)"),"Evaluate the importance of the commutative property in mathematics and describe its relevance in everyday situations.")</f>
        <v>Evaluate the importance of the commutative property in mathematics and describe its relevance in everyday situations.</v>
      </c>
      <c r="T31" s="29" t="str">
        <f t="shared" si="5"/>
        <v>LU000956.006</v>
      </c>
      <c r="U31" s="29" t="str">
        <f ca="1">IFERROR(__xludf.dummyfunction("VLOOKUP(T31, IMPORTRANGE(""https://docs.google.com/spreadsheets/d/1yDAaXNsi4Mr5FtRQL4tbmSdIzhx6_m4wkOD7IG-k_eo/edit#gid=0"", ""Maths!M:N""), 2, FALSE)"),"#N/A")</f>
        <v>#N/A</v>
      </c>
      <c r="V31" s="16">
        <f ca="1">IFERROR(__xludf.dummyfunction("ArrayFormula(VLOOKUP(G31, IMPORTRANGE(""https://docs.google.com/spreadsheets/d/1p7R4vtkWt5VOBim4ltsDG9KTzSjrtKXsMtQGXPHyND0/edit#gid=795171502"", ""'Filter 30_05_2024'!A1:M2000""), {2, 3, 4, 5,6,7,8,9,10,11,12,13}, 0))"),4)</f>
        <v>4</v>
      </c>
      <c r="W31" s="16">
        <f ca="1">IFERROR(__xludf.dummyfunction("""COMPUTED_VALUE"""),5)</f>
        <v>5</v>
      </c>
      <c r="X31" s="16">
        <f ca="1">IFERROR(__xludf.dummyfunction("""COMPUTED_VALUE"""),2)</f>
        <v>2</v>
      </c>
      <c r="Y31" s="16">
        <f ca="1">IFERROR(__xludf.dummyfunction("""COMPUTED_VALUE"""),11)</f>
        <v>11</v>
      </c>
      <c r="Z31" s="16">
        <f ca="1">IFERROR(__xludf.dummyfunction("""COMPUTED_VALUE"""),4)</f>
        <v>4</v>
      </c>
      <c r="AA31" s="30">
        <f ca="1">IFERROR(__xludf.dummyfunction("""COMPUTED_VALUE"""),6)</f>
        <v>6</v>
      </c>
      <c r="AB31" s="30">
        <f ca="1">IFERROR(__xludf.dummyfunction("""COMPUTED_VALUE"""),1)</f>
        <v>1</v>
      </c>
      <c r="AC31" s="30">
        <f ca="1">IFERROR(__xludf.dummyfunction("""COMPUTED_VALUE"""),11)</f>
        <v>11</v>
      </c>
      <c r="AD31" s="16"/>
      <c r="AE31" s="30">
        <f ca="1">IFERROR(__xludf.dummyfunction("""COMPUTED_VALUE"""),2)</f>
        <v>2</v>
      </c>
      <c r="AF31" s="30"/>
      <c r="AG31" s="30">
        <f ca="1">IFERROR(__xludf.dummyfunction("""COMPUTED_VALUE"""),2)</f>
        <v>2</v>
      </c>
    </row>
    <row r="32" spans="1:33" ht="26.4">
      <c r="A32" s="25"/>
      <c r="B32" s="26" t="s">
        <v>29</v>
      </c>
      <c r="C32" s="26" t="s">
        <v>310</v>
      </c>
      <c r="D32" s="26">
        <v>6</v>
      </c>
      <c r="E32" s="27" t="s">
        <v>350</v>
      </c>
      <c r="F32" s="28"/>
      <c r="G32" s="39" t="s">
        <v>358</v>
      </c>
      <c r="H32" s="28" t="str">
        <f ca="1">IFERROR(__xludf.dummyfunction("IFERROR(
  VLOOKUP(G32, IMPORTRANGE(""https://docs.google.com/spreadsheets/d/14deopnvwcrKtEGCKuYXdUHJbeLDZlkiSSWWT0g7x2pM/edit#gid=849066331"", ""LU List Maths (Filter)!A:B""), 2, FALSE),
  IFERROR(
    VLOOKUP(G32, IMPORTRANGE(""https://docs.google.com/s"&amp;"preadsheets/d/14deopnvwcrKtEGCKuYXdUHJbeLDZlkiSSWWT0g7x2pM/edit#gid=849066331"", ""LU List Science (Filter)!A:B""), 2, FALSE),
    ""Not Found""
  )
)
"),"Associative property for addition of whole numbers")</f>
        <v>Associative property for addition of whole numbers</v>
      </c>
      <c r="I32" s="32"/>
      <c r="J32" s="29" t="str">
        <f t="shared" si="0"/>
        <v>LU000960.001</v>
      </c>
      <c r="K32" s="29" t="str">
        <f ca="1">IFERROR(__xludf.dummyfunction("VLOOKUP(J32, IMPORTRANGE(""https://docs.google.com/spreadsheets/d/1yDAaXNsi4Mr5FtRQL4tbmSdIzhx6_m4wkOD7IG-k_eo/edit#gid=0"", ""Maths!M:N""), 2, FALSE)"),"Recall the associative property for addition of whole numbers.")</f>
        <v>Recall the associative property for addition of whole numbers.</v>
      </c>
      <c r="L32" s="29" t="str">
        <f t="shared" si="1"/>
        <v>LU000960.002</v>
      </c>
      <c r="M32" s="29" t="str">
        <f ca="1">IFERROR(__xludf.dummyfunction("VLOOKUP(L32, IMPORTRANGE(""https://docs.google.com/spreadsheets/d/1yDAaXNsi4Mr5FtRQL4tbmSdIzhx6_m4wkOD7IG-k_eo/edit#gid=0"", ""Maths!M:N""), 2, FALSE)"),"Explain why the associative property is important in adding whole numbers.")</f>
        <v>Explain why the associative property is important in adding whole numbers.</v>
      </c>
      <c r="N32" s="29" t="str">
        <f t="shared" si="2"/>
        <v>LU000960.003</v>
      </c>
      <c r="O32" s="29" t="str">
        <f ca="1">IFERROR(__xludf.dummyfunction("VLOOKUP(N32, IMPORTRANGE(""https://docs.google.com/spreadsheets/d/1yDAaXNsi4Mr5FtRQL4tbmSdIzhx6_m4wkOD7IG-k_eo/edit#gid=0"", ""Maths!M:N""), 2, FALSE)"),"Demonstrate the associative property by rearranging and grouping whole numbers in different orders for addition.")</f>
        <v>Demonstrate the associative property by rearranging and grouping whole numbers in different orders for addition.</v>
      </c>
      <c r="P32" s="29" t="str">
        <f t="shared" si="3"/>
        <v>LU000960.004</v>
      </c>
      <c r="Q32" s="29" t="str">
        <f ca="1">IFERROR(__xludf.dummyfunction("VLOOKUP(P32, IMPORTRANGE(""https://docs.google.com/spreadsheets/d/1yDAaXNsi4Mr5FtRQL4tbmSdIzhx6_m4wkOD7IG-k_eo/edit#gid=0"", ""Maths!M:N""), 2, FALSE)"),"#N/A")</f>
        <v>#N/A</v>
      </c>
      <c r="R32" s="29" t="str">
        <f t="shared" si="4"/>
        <v>LU000960.005</v>
      </c>
      <c r="S32" s="29" t="str">
        <f ca="1">IFERROR(__xludf.dummyfunction("VLOOKUP(R32, IMPORTRANGE(""https://docs.google.com/spreadsheets/d/1yDAaXNsi4Mr5FtRQL4tbmSdIzhx6_m4wkOD7IG-k_eo/edit#gid=0"", ""Maths!M:N""), 2, FALSE)"),"Evaluate the significance of the associative property in mathematics and its practical relevance in various mathematical and real-life contexts.")</f>
        <v>Evaluate the significance of the associative property in mathematics and its practical relevance in various mathematical and real-life contexts.</v>
      </c>
      <c r="T32" s="29" t="str">
        <f t="shared" si="5"/>
        <v>LU000960.006</v>
      </c>
      <c r="U32" s="29" t="str">
        <f ca="1">IFERROR(__xludf.dummyfunction("VLOOKUP(T32, IMPORTRANGE(""https://docs.google.com/spreadsheets/d/1yDAaXNsi4Mr5FtRQL4tbmSdIzhx6_m4wkOD7IG-k_eo/edit#gid=0"", ""Maths!M:N""), 2, FALSE)"),"Create addition problems with whole numbers that clearly illustrate the associative property, and explain their effectiveness in conveying the concept.")</f>
        <v>Create addition problems with whole numbers that clearly illustrate the associative property, and explain their effectiveness in conveying the concept.</v>
      </c>
      <c r="V32" s="16">
        <f ca="1">IFERROR(__xludf.dummyfunction("ArrayFormula(VLOOKUP(G32, IMPORTRANGE(""https://docs.google.com/spreadsheets/d/1p7R4vtkWt5VOBim4ltsDG9KTzSjrtKXsMtQGXPHyND0/edit#gid=795171502"", ""'Filter 30_05_2024'!A1:M2000""), {2, 3, 4, 5,6,7,8,9,10,11,12,13}, 0))"),4)</f>
        <v>4</v>
      </c>
      <c r="W32" s="16">
        <f ca="1">IFERROR(__xludf.dummyfunction("""COMPUTED_VALUE"""),7)</f>
        <v>7</v>
      </c>
      <c r="X32" s="16">
        <f ca="1">IFERROR(__xludf.dummyfunction("""COMPUTED_VALUE"""),2)</f>
        <v>2</v>
      </c>
      <c r="Y32" s="16">
        <f ca="1">IFERROR(__xludf.dummyfunction("""COMPUTED_VALUE"""),13)</f>
        <v>13</v>
      </c>
      <c r="Z32" s="16">
        <f ca="1">IFERROR(__xludf.dummyfunction("""COMPUTED_VALUE"""),4)</f>
        <v>4</v>
      </c>
      <c r="AA32" s="30">
        <f ca="1">IFERROR(__xludf.dummyfunction("""COMPUTED_VALUE"""),4)</f>
        <v>4</v>
      </c>
      <c r="AB32" s="30">
        <f ca="1">IFERROR(__xludf.dummyfunction("""COMPUTED_VALUE"""),1)</f>
        <v>1</v>
      </c>
      <c r="AC32" s="30">
        <f ca="1">IFERROR(__xludf.dummyfunction("""COMPUTED_VALUE"""),9)</f>
        <v>9</v>
      </c>
      <c r="AD32" s="16"/>
      <c r="AE32" s="30"/>
      <c r="AF32" s="30"/>
      <c r="AG32" s="30"/>
    </row>
    <row r="33" spans="1:33" ht="13.8">
      <c r="A33" s="25"/>
      <c r="B33" s="26" t="s">
        <v>29</v>
      </c>
      <c r="C33" s="26" t="s">
        <v>310</v>
      </c>
      <c r="D33" s="26">
        <v>6</v>
      </c>
      <c r="E33" s="27" t="s">
        <v>350</v>
      </c>
      <c r="F33" s="28"/>
      <c r="G33" s="39" t="s">
        <v>359</v>
      </c>
      <c r="H33" s="28" t="str">
        <f ca="1">IFERROR(__xludf.dummyfunction("IFERROR(
  VLOOKUP(G33, IMPORTRANGE(""https://docs.google.com/spreadsheets/d/14deopnvwcrKtEGCKuYXdUHJbeLDZlkiSSWWT0g7x2pM/edit#gid=849066331"", ""LU List Maths (Filter)!A:B""), 2, FALSE),
  IFERROR(
    VLOOKUP(G33, IMPORTRANGE(""https://docs.google.com/s"&amp;"preadsheets/d/14deopnvwcrKtEGCKuYXdUHJbeLDZlkiSSWWT0g7x2pM/edit#gid=849066331"", ""LU List Science (Filter)!A:B""), 2, FALSE),
    ""Not Found""
  )
)
"),"Additive identity of whole numbers")</f>
        <v>Additive identity of whole numbers</v>
      </c>
      <c r="I33" s="32"/>
      <c r="J33" s="29" t="str">
        <f t="shared" si="0"/>
        <v>LU000189.001</v>
      </c>
      <c r="K33" s="29" t="str">
        <f ca="1">IFERROR(__xludf.dummyfunction("VLOOKUP(J33, IMPORTRANGE(""https://docs.google.com/spreadsheets/d/1yDAaXNsi4Mr5FtRQL4tbmSdIzhx6_m4wkOD7IG-k_eo/edit#gid=0"", ""Maths!M:N""), 2, FALSE)"),"State the definition of additive identity in the context of whole numbers.")</f>
        <v>State the definition of additive identity in the context of whole numbers.</v>
      </c>
      <c r="L33" s="29" t="str">
        <f t="shared" si="1"/>
        <v>LU000189.002</v>
      </c>
      <c r="M33" s="29" t="str">
        <f ca="1">IFERROR(__xludf.dummyfunction("VLOOKUP(L33, IMPORTRANGE(""https://docs.google.com/spreadsheets/d/1yDAaXNsi4Mr5FtRQL4tbmSdIzhx6_m4wkOD7IG-k_eo/edit#gid=0"", ""Maths!M:N""), 2, FALSE)"),"Explain the concept of additive identity and how it relates to the property of adding zero to any whole number.")</f>
        <v>Explain the concept of additive identity and how it relates to the property of adding zero to any whole number.</v>
      </c>
      <c r="N33" s="29" t="str">
        <f t="shared" si="2"/>
        <v>LU000189.003</v>
      </c>
      <c r="O33" s="29" t="str">
        <f ca="1">IFERROR(__xludf.dummyfunction("VLOOKUP(N33, IMPORTRANGE(""https://docs.google.com/spreadsheets/d/1yDAaXNsi4Mr5FtRQL4tbmSdIzhx6_m4wkOD7IG-k_eo/edit#gid=0"", ""Maths!M:N""), 2, FALSE)"),"Apply the concept of additive identity to add zero to different whole numbers.")</f>
        <v>Apply the concept of additive identity to add zero to different whole numbers.</v>
      </c>
      <c r="P33" s="29" t="str">
        <f t="shared" si="3"/>
        <v>LU000189.004</v>
      </c>
      <c r="Q33" s="29" t="str">
        <f ca="1">IFERROR(__xludf.dummyfunction("VLOOKUP(P33, IMPORTRANGE(""https://docs.google.com/spreadsheets/d/1yDAaXNsi4Mr5FtRQL4tbmSdIzhx6_m4wkOD7IG-k_eo/edit#gid=0"", ""Maths!M:N""), 2, FALSE)"),"Analyse various numerical examples to demonstrate the application of the additive identity property of whole numbers in different addition scenarios.")</f>
        <v>Analyse various numerical examples to demonstrate the application of the additive identity property of whole numbers in different addition scenarios.</v>
      </c>
      <c r="R33" s="29" t="str">
        <f t="shared" si="4"/>
        <v>LU000189.005</v>
      </c>
      <c r="S33" s="29" t="str">
        <f ca="1">IFERROR(__xludf.dummyfunction("VLOOKUP(R33, IMPORTRANGE(""https://docs.google.com/spreadsheets/d/1yDAaXNsi4Mr5FtRQL4tbmSdIzhx6_m4wkOD7IG-k_eo/edit#gid=0"", ""Maths!M:N""), 2, FALSE)"),"#N/A")</f>
        <v>#N/A</v>
      </c>
      <c r="T33" s="29" t="str">
        <f t="shared" si="5"/>
        <v>LU000189.006</v>
      </c>
      <c r="U33" s="29" t="str">
        <f ca="1">IFERROR(__xludf.dummyfunction("VLOOKUP(T33, IMPORTRANGE(""https://docs.google.com/spreadsheets/d/1yDAaXNsi4Mr5FtRQL4tbmSdIzhx6_m4wkOD7IG-k_eo/edit#gid=0"", ""Maths!M:N""), 2, FALSE)"),"#N/A")</f>
        <v>#N/A</v>
      </c>
      <c r="V33" s="16">
        <f ca="1">IFERROR(__xludf.dummyfunction("ArrayFormula(VLOOKUP(G33, IMPORTRANGE(""https://docs.google.com/spreadsheets/d/1p7R4vtkWt5VOBim4ltsDG9KTzSjrtKXsMtQGXPHyND0/edit#gid=795171502"", ""'Filter 30_05_2024'!A1:M2000""), {2, 3, 4, 5,6,7,8,9,10,11,12,13}, 0))"),4)</f>
        <v>4</v>
      </c>
      <c r="W33" s="16">
        <f ca="1">IFERROR(__xludf.dummyfunction("""COMPUTED_VALUE"""),6)</f>
        <v>6</v>
      </c>
      <c r="X33" s="16">
        <f ca="1">IFERROR(__xludf.dummyfunction("""COMPUTED_VALUE"""),2)</f>
        <v>2</v>
      </c>
      <c r="Y33" s="16">
        <f ca="1">IFERROR(__xludf.dummyfunction("""COMPUTED_VALUE"""),12)</f>
        <v>12</v>
      </c>
      <c r="Z33" s="16">
        <f ca="1">IFERROR(__xludf.dummyfunction("""COMPUTED_VALUE"""),5)</f>
        <v>5</v>
      </c>
      <c r="AA33" s="30">
        <f ca="1">IFERROR(__xludf.dummyfunction("""COMPUTED_VALUE"""),3)</f>
        <v>3</v>
      </c>
      <c r="AB33" s="30">
        <f ca="1">IFERROR(__xludf.dummyfunction("""COMPUTED_VALUE"""),1)</f>
        <v>1</v>
      </c>
      <c r="AC33" s="30">
        <f ca="1">IFERROR(__xludf.dummyfunction("""COMPUTED_VALUE"""),9)</f>
        <v>9</v>
      </c>
      <c r="AD33" s="16"/>
      <c r="AE33" s="30"/>
      <c r="AF33" s="30"/>
      <c r="AG33" s="30"/>
    </row>
    <row r="34" spans="1:33" ht="26.4">
      <c r="A34" s="25"/>
      <c r="B34" s="26" t="s">
        <v>29</v>
      </c>
      <c r="C34" s="26" t="s">
        <v>310</v>
      </c>
      <c r="D34" s="26">
        <v>6</v>
      </c>
      <c r="E34" s="27" t="s">
        <v>350</v>
      </c>
      <c r="F34" s="28" t="s">
        <v>360</v>
      </c>
      <c r="G34" s="39" t="s">
        <v>361</v>
      </c>
      <c r="H34" s="28" t="str">
        <f ca="1">IFERROR(__xludf.dummyfunction("IFERROR(
  VLOOKUP(G34, IMPORTRANGE(""https://docs.google.com/spreadsheets/d/14deopnvwcrKtEGCKuYXdUHJbeLDZlkiSSWWT0g7x2pM/edit#gid=849066331"", ""LU List Maths (Filter)!A:B""), 2, FALSE),
  IFERROR(
    VLOOKUP(G34, IMPORTRANGE(""https://docs.google.com/s"&amp;"preadsheets/d/14deopnvwcrKtEGCKuYXdUHJbeLDZlkiSSWWT0g7x2pM/edit#gid=849066331"", ""LU List Science (Filter)!A:B""), 2, FALSE),
    ""Not Found""
  )
)
"),"Examination of closure property for subtraction of whole numbers")</f>
        <v>Examination of closure property for subtraction of whole numbers</v>
      </c>
      <c r="I34" s="32"/>
      <c r="J34" s="29" t="str">
        <f t="shared" si="0"/>
        <v>LU000953.001</v>
      </c>
      <c r="K34" s="29" t="str">
        <f ca="1">IFERROR(__xludf.dummyfunction("VLOOKUP(J34, IMPORTRANGE(""https://docs.google.com/spreadsheets/d/1yDAaXNsi4Mr5FtRQL4tbmSdIzhx6_m4wkOD7IG-k_eo/edit#gid=0"", ""Maths!M:N""), 2, FALSE)"),"State that the closure property does not always hold for the subtraction of whole numbers.")</f>
        <v>State that the closure property does not always hold for the subtraction of whole numbers.</v>
      </c>
      <c r="L34" s="29" t="str">
        <f t="shared" si="1"/>
        <v>LU000953.002</v>
      </c>
      <c r="M34" s="29" t="str">
        <f ca="1">IFERROR(__xludf.dummyfunction("VLOOKUP(L34, IMPORTRANGE(""https://docs.google.com/spreadsheets/d/1yDAaXNsi4Mr5FtRQL4tbmSdIzhx6_m4wkOD7IG-k_eo/edit#gid=0"", ""Maths!M:N""), 2, FALSE)"),"Explain why the closure property may or may not hold for subtraction of whole numbers.")</f>
        <v>Explain why the closure property may or may not hold for subtraction of whole numbers.</v>
      </c>
      <c r="N34" s="29" t="str">
        <f t="shared" si="2"/>
        <v>LU000953.003</v>
      </c>
      <c r="O34" s="29" t="str">
        <f ca="1">IFERROR(__xludf.dummyfunction("VLOOKUP(N34, IMPORTRANGE(""https://docs.google.com/spreadsheets/d/1yDAaXNsi4Mr5FtRQL4tbmSdIzhx6_m4wkOD7IG-k_eo/edit#gid=0"", ""Maths!M:N""), 2, FALSE)"),"Identify examples where subtraction of whole numbers does not maintain the closure property.")</f>
        <v>Identify examples where subtraction of whole numbers does not maintain the closure property.</v>
      </c>
      <c r="P34" s="29" t="str">
        <f t="shared" si="3"/>
        <v>LU000953.004</v>
      </c>
      <c r="Q34" s="29" t="str">
        <f ca="1">IFERROR(__xludf.dummyfunction("VLOOKUP(P34, IMPORTRANGE(""https://docs.google.com/spreadsheets/d/1yDAaXNsi4Mr5FtRQL4tbmSdIzhx6_m4wkOD7IG-k_eo/edit#gid=0"", ""Maths!M:N""), 2, FALSE)"),"Analyse a range of subtraction problems to determine when the closure property fails.")</f>
        <v>Analyse a range of subtraction problems to determine when the closure property fails.</v>
      </c>
      <c r="R34" s="29" t="str">
        <f t="shared" si="4"/>
        <v>LU000953.005</v>
      </c>
      <c r="S34" s="29" t="str">
        <f ca="1">IFERROR(__xludf.dummyfunction("VLOOKUP(R34, IMPORTRANGE(""https://docs.google.com/spreadsheets/d/1yDAaXNsi4Mr5FtRQL4tbmSdIzhx6_m4wkOD7IG-k_eo/edit#gid=0"", ""Maths!M:N""), 2, FALSE)"),"#N/A")</f>
        <v>#N/A</v>
      </c>
      <c r="T34" s="29" t="str">
        <f t="shared" si="5"/>
        <v>LU000953.006</v>
      </c>
      <c r="U34" s="29" t="str">
        <f ca="1">IFERROR(__xludf.dummyfunction("VLOOKUP(T34, IMPORTRANGE(""https://docs.google.com/spreadsheets/d/1yDAaXNsi4Mr5FtRQL4tbmSdIzhx6_m4wkOD7IG-k_eo/edit#gid=0"", ""Maths!M:N""), 2, FALSE)"),"#N/A")</f>
        <v>#N/A</v>
      </c>
      <c r="V34" s="16">
        <f ca="1">IFERROR(__xludf.dummyfunction("ArrayFormula(VLOOKUP(G34, IMPORTRANGE(""https://docs.google.com/spreadsheets/d/1p7R4vtkWt5VOBim4ltsDG9KTzSjrtKXsMtQGXPHyND0/edit#gid=795171502"", ""'Filter 30_05_2024'!A1:M2000""), {2, 3, 4, 5,6,7,8,9,10,11,12,13}, 0))"),5)</f>
        <v>5</v>
      </c>
      <c r="W34" s="16">
        <f ca="1">IFERROR(__xludf.dummyfunction("""COMPUTED_VALUE"""),6)</f>
        <v>6</v>
      </c>
      <c r="X34" s="16">
        <f ca="1">IFERROR(__xludf.dummyfunction("""COMPUTED_VALUE"""),2)</f>
        <v>2</v>
      </c>
      <c r="Y34" s="16">
        <f ca="1">IFERROR(__xludf.dummyfunction("""COMPUTED_VALUE"""),13)</f>
        <v>13</v>
      </c>
      <c r="Z34" s="16">
        <f ca="1">IFERROR(__xludf.dummyfunction("""COMPUTED_VALUE"""),4)</f>
        <v>4</v>
      </c>
      <c r="AA34" s="30">
        <f ca="1">IFERROR(__xludf.dummyfunction("""COMPUTED_VALUE"""),3)</f>
        <v>3</v>
      </c>
      <c r="AB34" s="30">
        <f ca="1">IFERROR(__xludf.dummyfunction("""COMPUTED_VALUE"""),1)</f>
        <v>1</v>
      </c>
      <c r="AC34" s="30">
        <f ca="1">IFERROR(__xludf.dummyfunction("""COMPUTED_VALUE"""),8)</f>
        <v>8</v>
      </c>
      <c r="AD34" s="16"/>
      <c r="AE34" s="30"/>
      <c r="AF34" s="30"/>
      <c r="AG34" s="30"/>
    </row>
    <row r="35" spans="1:33" ht="26.4">
      <c r="A35" s="25"/>
      <c r="B35" s="26" t="s">
        <v>29</v>
      </c>
      <c r="C35" s="26" t="s">
        <v>310</v>
      </c>
      <c r="D35" s="26">
        <v>6</v>
      </c>
      <c r="E35" s="27" t="s">
        <v>350</v>
      </c>
      <c r="F35" s="28"/>
      <c r="G35" s="27" t="s">
        <v>362</v>
      </c>
      <c r="H35" s="28" t="str">
        <f ca="1">IFERROR(__xludf.dummyfunction("IFERROR(
  VLOOKUP(G35, IMPORTRANGE(""https://docs.google.com/spreadsheets/d/14deopnvwcrKtEGCKuYXdUHJbeLDZlkiSSWWT0g7x2pM/edit#gid=849066331"", ""LU List Maths (Filter)!A:B""), 2, FALSE),
  IFERROR(
    VLOOKUP(G35, IMPORTRANGE(""https://docs.google.com/s"&amp;"preadsheets/d/14deopnvwcrKtEGCKuYXdUHJbeLDZlkiSSWWT0g7x2pM/edit#gid=849066331"", ""LU List Science (Filter)!A:B""), 2, FALSE),
    ""Not Found""
  )
)
"),"Examination of commutative property for subtraction of whole numbers")</f>
        <v>Examination of commutative property for subtraction of whole numbers</v>
      </c>
      <c r="I35" s="28"/>
      <c r="J35" s="29" t="str">
        <f t="shared" si="0"/>
        <v>LU000957.001</v>
      </c>
      <c r="K35" s="29" t="str">
        <f ca="1">IFERROR(__xludf.dummyfunction("VLOOKUP(J35, IMPORTRANGE(""https://docs.google.com/spreadsheets/d/1yDAaXNsi4Mr5FtRQL4tbmSdIzhx6_m4wkOD7IG-k_eo/edit#gid=0"", ""Maths!M:N""), 2, FALSE)"),"State that the commutative property does not hold for the subtraction of whole numbers.")</f>
        <v>State that the commutative property does not hold for the subtraction of whole numbers.</v>
      </c>
      <c r="L35" s="29" t="str">
        <f t="shared" si="1"/>
        <v>LU000957.002</v>
      </c>
      <c r="M35" s="29" t="str">
        <f ca="1">IFERROR(__xludf.dummyfunction("VLOOKUP(L35, IMPORTRANGE(""https://docs.google.com/spreadsheets/d/1yDAaXNsi4Mr5FtRQL4tbmSdIzhx6_m4wkOD7IG-k_eo/edit#gid=0"", ""Maths!M:N""), 2, FALSE)"),"Explain why the commutative property is not applicable to subtraction of whole numbers.")</f>
        <v>Explain why the commutative property is not applicable to subtraction of whole numbers.</v>
      </c>
      <c r="N35" s="29" t="str">
        <f t="shared" si="2"/>
        <v>LU000957.003</v>
      </c>
      <c r="O35" s="29" t="str">
        <f ca="1">IFERROR(__xludf.dummyfunction("VLOOKUP(N35, IMPORTRANGE(""https://docs.google.com/spreadsheets/d/1yDAaXNsi4Mr5FtRQL4tbmSdIzhx6_m4wkOD7IG-k_eo/edit#gid=0"", ""Maths!M:N""), 2, FALSE)"),"Identify examples where subtraction of whole numbers demonstrates the non-commutativity.")</f>
        <v>Identify examples where subtraction of whole numbers demonstrates the non-commutativity.</v>
      </c>
      <c r="P35" s="29" t="str">
        <f t="shared" si="3"/>
        <v>LU000957.004</v>
      </c>
      <c r="Q35" s="29" t="str">
        <f ca="1">IFERROR(__xludf.dummyfunction("VLOOKUP(P35, IMPORTRANGE(""https://docs.google.com/spreadsheets/d/1yDAaXNsi4Mr5FtRQL4tbmSdIzhx6_m4wkOD7IG-k_eo/edit#gid=0"", ""Maths!M:N""), 2, FALSE)"),"Analyse a range of subtraction problems to highlight the failure of the commutative property.")</f>
        <v>Analyse a range of subtraction problems to highlight the failure of the commutative property.</v>
      </c>
      <c r="R35" s="29" t="str">
        <f t="shared" si="4"/>
        <v>LU000957.005</v>
      </c>
      <c r="S35" s="29" t="str">
        <f ca="1">IFERROR(__xludf.dummyfunction("VLOOKUP(R35, IMPORTRANGE(""https://docs.google.com/spreadsheets/d/1yDAaXNsi4Mr5FtRQL4tbmSdIzhx6_m4wkOD7IG-k_eo/edit#gid=0"", ""Maths!M:N""), 2, FALSE)"),"Evaluate the correctness of statements regarding the non-applicability of the commutative property in subtraction involving whole numbers.")</f>
        <v>Evaluate the correctness of statements regarding the non-applicability of the commutative property in subtraction involving whole numbers.</v>
      </c>
      <c r="T35" s="29" t="str">
        <f t="shared" si="5"/>
        <v>LU000957.006</v>
      </c>
      <c r="U35" s="29" t="str">
        <f ca="1">IFERROR(__xludf.dummyfunction("VLOOKUP(T35, IMPORTRANGE(""https://docs.google.com/spreadsheets/d/1yDAaXNsi4Mr5FtRQL4tbmSdIzhx6_m4wkOD7IG-k_eo/edit#gid=0"", ""Maths!M:N""), 2, FALSE)"),"#N/A")</f>
        <v>#N/A</v>
      </c>
      <c r="V35" s="16">
        <f ca="1">IFERROR(__xludf.dummyfunction("ArrayFormula(VLOOKUP(G35, IMPORTRANGE(""https://docs.google.com/spreadsheets/d/1p7R4vtkWt5VOBim4ltsDG9KTzSjrtKXsMtQGXPHyND0/edit#gid=795171502"", ""'Filter 30_05_2024'!A1:M2000""), {2, 3, 4, 5,6,7,8,9,10,11,12,13}, 0))"),4)</f>
        <v>4</v>
      </c>
      <c r="W35" s="16">
        <f ca="1">IFERROR(__xludf.dummyfunction("""COMPUTED_VALUE"""),5)</f>
        <v>5</v>
      </c>
      <c r="X35" s="16">
        <f ca="1">IFERROR(__xludf.dummyfunction("""COMPUTED_VALUE"""),2)</f>
        <v>2</v>
      </c>
      <c r="Y35" s="16">
        <f ca="1">IFERROR(__xludf.dummyfunction("""COMPUTED_VALUE"""),11)</f>
        <v>11</v>
      </c>
      <c r="Z35" s="16">
        <f ca="1">IFERROR(__xludf.dummyfunction("""COMPUTED_VALUE"""),4)</f>
        <v>4</v>
      </c>
      <c r="AA35" s="30">
        <f ca="1">IFERROR(__xludf.dummyfunction("""COMPUTED_VALUE"""),3)</f>
        <v>3</v>
      </c>
      <c r="AB35" s="30">
        <f ca="1">IFERROR(__xludf.dummyfunction("""COMPUTED_VALUE"""),1)</f>
        <v>1</v>
      </c>
      <c r="AC35" s="30">
        <f ca="1">IFERROR(__xludf.dummyfunction("""COMPUTED_VALUE"""),8)</f>
        <v>8</v>
      </c>
      <c r="AD35" s="16"/>
      <c r="AE35" s="30"/>
      <c r="AF35" s="30"/>
      <c r="AG35" s="30"/>
    </row>
    <row r="36" spans="1:33" ht="26.4">
      <c r="A36" s="25"/>
      <c r="B36" s="26" t="s">
        <v>29</v>
      </c>
      <c r="C36" s="26" t="s">
        <v>310</v>
      </c>
      <c r="D36" s="26">
        <v>6</v>
      </c>
      <c r="E36" s="27" t="s">
        <v>350</v>
      </c>
      <c r="F36" s="28"/>
      <c r="G36" s="27" t="s">
        <v>363</v>
      </c>
      <c r="H36" s="28" t="str">
        <f ca="1">IFERROR(__xludf.dummyfunction("IFERROR(
  VLOOKUP(G36, IMPORTRANGE(""https://docs.google.com/spreadsheets/d/14deopnvwcrKtEGCKuYXdUHJbeLDZlkiSSWWT0g7x2pM/edit#gid=849066331"", ""LU List Maths (Filter)!A:B""), 2, FALSE),
  IFERROR(
    VLOOKUP(G36, IMPORTRANGE(""https://docs.google.com/s"&amp;"preadsheets/d/14deopnvwcrKtEGCKuYXdUHJbeLDZlkiSSWWT0g7x2pM/edit#gid=849066331"", ""LU List Science (Filter)!A:B""), 2, FALSE),
    ""Not Found""
  )
)
"),"Examination of associative property for subtraction of whole numbers")</f>
        <v>Examination of associative property for subtraction of whole numbers</v>
      </c>
      <c r="I36" s="28"/>
      <c r="J36" s="29" t="str">
        <f t="shared" si="0"/>
        <v>LU000961.001</v>
      </c>
      <c r="K36" s="29" t="str">
        <f ca="1">IFERROR(__xludf.dummyfunction("VLOOKUP(J36, IMPORTRANGE(""https://docs.google.com/spreadsheets/d/1yDAaXNsi4Mr5FtRQL4tbmSdIzhx6_m4wkOD7IG-k_eo/edit#gid=0"", ""Maths!M:N""), 2, FALSE)"),"State that the associative property does not hold for the subtraction of whole numbers.")</f>
        <v>State that the associative property does not hold for the subtraction of whole numbers.</v>
      </c>
      <c r="L36" s="29" t="str">
        <f t="shared" si="1"/>
        <v>LU000961.002</v>
      </c>
      <c r="M36" s="29" t="str">
        <f ca="1">IFERROR(__xludf.dummyfunction("VLOOKUP(L36, IMPORTRANGE(""https://docs.google.com/spreadsheets/d/1yDAaXNsi4Mr5FtRQL4tbmSdIzhx6_m4wkOD7IG-k_eo/edit#gid=0"", ""Maths!M:N""), 2, FALSE)"),"Explain why the associative property is not applicable to the subtraction of whole numbers.")</f>
        <v>Explain why the associative property is not applicable to the subtraction of whole numbers.</v>
      </c>
      <c r="N36" s="29" t="str">
        <f t="shared" si="2"/>
        <v>LU000961.003</v>
      </c>
      <c r="O36" s="29" t="str">
        <f ca="1">IFERROR(__xludf.dummyfunction("VLOOKUP(N36, IMPORTRANGE(""https://docs.google.com/spreadsheets/d/1yDAaXNsi4Mr5FtRQL4tbmSdIzhx6_m4wkOD7IG-k_eo/edit#gid=0"", ""Maths!M:N""), 2, FALSE)"),"Identify examples where subtraction of whole numbers demonstrates the non-associativity.")</f>
        <v>Identify examples where subtraction of whole numbers demonstrates the non-associativity.</v>
      </c>
      <c r="P36" s="29" t="str">
        <f t="shared" si="3"/>
        <v>LU000961.004</v>
      </c>
      <c r="Q36" s="29" t="str">
        <f ca="1">IFERROR(__xludf.dummyfunction("VLOOKUP(P36, IMPORTRANGE(""https://docs.google.com/spreadsheets/d/1yDAaXNsi4Mr5FtRQL4tbmSdIzhx6_m4wkOD7IG-k_eo/edit#gid=0"", ""Maths!M:N""), 2, FALSE)"),"Analyse a range of subtraction problems involving whole numbers to highlight the failure of the associative property.")</f>
        <v>Analyse a range of subtraction problems involving whole numbers to highlight the failure of the associative property.</v>
      </c>
      <c r="R36" s="29" t="str">
        <f t="shared" si="4"/>
        <v>LU000961.005</v>
      </c>
      <c r="S36" s="29" t="str">
        <f ca="1">IFERROR(__xludf.dummyfunction("VLOOKUP(R36, IMPORTRANGE(""https://docs.google.com/spreadsheets/d/1yDAaXNsi4Mr5FtRQL4tbmSdIzhx6_m4wkOD7IG-k_eo/edit#gid=0"", ""Maths!M:N""), 2, FALSE)"),"Evaluate the correctness of statements regarding the non-applicability of the associative property in subtraction involving whole numbers.")</f>
        <v>Evaluate the correctness of statements regarding the non-applicability of the associative property in subtraction involving whole numbers.</v>
      </c>
      <c r="T36" s="29" t="str">
        <f t="shared" si="5"/>
        <v>LU000961.006</v>
      </c>
      <c r="U36" s="29" t="str">
        <f ca="1">IFERROR(__xludf.dummyfunction("VLOOKUP(T36, IMPORTRANGE(""https://docs.google.com/spreadsheets/d/1yDAaXNsi4Mr5FtRQL4tbmSdIzhx6_m4wkOD7IG-k_eo/edit#gid=0"", ""Maths!M:N""), 2, FALSE)"),"#N/A")</f>
        <v>#N/A</v>
      </c>
      <c r="V36" s="16">
        <f ca="1">IFERROR(__xludf.dummyfunction("ArrayFormula(VLOOKUP(G36, IMPORTRANGE(""https://docs.google.com/spreadsheets/d/1p7R4vtkWt5VOBim4ltsDG9KTzSjrtKXsMtQGXPHyND0/edit#gid=795171502"", ""'Filter 30_05_2024'!A1:M2000""), {2, 3, 4, 5,6,7,8,9,10,11,12,13}, 0))"),4)</f>
        <v>4</v>
      </c>
      <c r="W36" s="16">
        <f ca="1">IFERROR(__xludf.dummyfunction("""COMPUTED_VALUE"""),6)</f>
        <v>6</v>
      </c>
      <c r="X36" s="16">
        <f ca="1">IFERROR(__xludf.dummyfunction("""COMPUTED_VALUE"""),2)</f>
        <v>2</v>
      </c>
      <c r="Y36" s="16">
        <f ca="1">IFERROR(__xludf.dummyfunction("""COMPUTED_VALUE"""),12)</f>
        <v>12</v>
      </c>
      <c r="Z36" s="16">
        <f ca="1">IFERROR(__xludf.dummyfunction("""COMPUTED_VALUE"""),4)</f>
        <v>4</v>
      </c>
      <c r="AA36" s="30">
        <f ca="1">IFERROR(__xludf.dummyfunction("""COMPUTED_VALUE"""),3)</f>
        <v>3</v>
      </c>
      <c r="AB36" s="30">
        <f ca="1">IFERROR(__xludf.dummyfunction("""COMPUTED_VALUE"""),1)</f>
        <v>1</v>
      </c>
      <c r="AC36" s="30">
        <f ca="1">IFERROR(__xludf.dummyfunction("""COMPUTED_VALUE"""),8)</f>
        <v>8</v>
      </c>
      <c r="AD36" s="16"/>
      <c r="AE36" s="30"/>
      <c r="AF36" s="30"/>
      <c r="AG36" s="30"/>
    </row>
    <row r="37" spans="1:33" ht="26.4">
      <c r="A37" s="25"/>
      <c r="B37" s="26" t="s">
        <v>29</v>
      </c>
      <c r="C37" s="26" t="s">
        <v>310</v>
      </c>
      <c r="D37" s="26">
        <v>6</v>
      </c>
      <c r="E37" s="27" t="s">
        <v>350</v>
      </c>
      <c r="F37" s="28" t="s">
        <v>364</v>
      </c>
      <c r="G37" s="27" t="s">
        <v>365</v>
      </c>
      <c r="H37" s="28" t="str">
        <f ca="1">IFERROR(__xludf.dummyfunction("IFERROR(
  VLOOKUP(G37, IMPORTRANGE(""https://docs.google.com/spreadsheets/d/14deopnvwcrKtEGCKuYXdUHJbeLDZlkiSSWWT0g7x2pM/edit#gid=849066331"", ""LU List Maths (Filter)!A:B""), 2, FALSE),
  IFERROR(
    VLOOKUP(G37, IMPORTRANGE(""https://docs.google.com/s"&amp;"preadsheets/d/14deopnvwcrKtEGCKuYXdUHJbeLDZlkiSSWWT0g7x2pM/edit#gid=849066331"", ""LU List Science (Filter)!A:B""), 2, FALSE),
    ""Not Found""
  )
)
"),"Closure property for multiplication of whole numbers")</f>
        <v>Closure property for multiplication of whole numbers</v>
      </c>
      <c r="I37" s="28"/>
      <c r="J37" s="29" t="str">
        <f t="shared" si="0"/>
        <v>LU000954.001</v>
      </c>
      <c r="K37" s="29" t="str">
        <f ca="1">IFERROR(__xludf.dummyfunction("VLOOKUP(J37, IMPORTRANGE(""https://docs.google.com/spreadsheets/d/1yDAaXNsi4Mr5FtRQL4tbmSdIzhx6_m4wkOD7IG-k_eo/edit#gid=0"", ""Maths!M:N""), 2, FALSE)"),"Define the closure property for whole number multiplication.")</f>
        <v>Define the closure property for whole number multiplication.</v>
      </c>
      <c r="L37" s="29" t="str">
        <f t="shared" si="1"/>
        <v>LU000954.002</v>
      </c>
      <c r="M37" s="29" t="str">
        <f ca="1">IFERROR(__xludf.dummyfunction("VLOOKUP(L37, IMPORTRANGE(""https://docs.google.com/spreadsheets/d/1yDAaXNsi4Mr5FtRQL4tbmSdIzhx6_m4wkOD7IG-k_eo/edit#gid=0"", ""Maths!M:N""), 2, FALSE)"),"Explain why the closure property matters in multiplying whole numbers.")</f>
        <v>Explain why the closure property matters in multiplying whole numbers.</v>
      </c>
      <c r="N37" s="29" t="str">
        <f t="shared" si="2"/>
        <v>LU000954.003</v>
      </c>
      <c r="O37" s="29" t="str">
        <f ca="1">IFERROR(__xludf.dummyfunction("VLOOKUP(N37, IMPORTRANGE(""https://docs.google.com/spreadsheets/d/1yDAaXNsi4Mr5FtRQL4tbmSdIzhx6_m4wkOD7IG-k_eo/edit#gid=0"", ""Maths!M:N""), 2, FALSE)"),"Solve multiplication problems with whole numbers to demonstrate the closure property.")</f>
        <v>Solve multiplication problems with whole numbers to demonstrate the closure property.</v>
      </c>
      <c r="P37" s="29" t="str">
        <f t="shared" si="3"/>
        <v>LU000954.004</v>
      </c>
      <c r="Q37" s="29" t="str">
        <f ca="1">IFERROR(__xludf.dummyfunction("VLOOKUP(P37, IMPORTRANGE(""https://docs.google.com/spreadsheets/d/1yDAaXNsi4Mr5FtRQL4tbmSdIzhx6_m4wkOD7IG-k_eo/edit#gid=0"", ""Maths!M:N""), 2, FALSE)"),"#N/A")</f>
        <v>#N/A</v>
      </c>
      <c r="R37" s="29" t="str">
        <f t="shared" si="4"/>
        <v>LU000954.005</v>
      </c>
      <c r="S37" s="29" t="str">
        <f ca="1">IFERROR(__xludf.dummyfunction("VLOOKUP(R37, IMPORTRANGE(""https://docs.google.com/spreadsheets/d/1yDAaXNsi4Mr5FtRQL4tbmSdIzhx6_m4wkOD7IG-k_eo/edit#gid=0"", ""Maths!M:N""), 2, FALSE)"),"Assess the importance of the closure property in mathematics and its practical relevance.")</f>
        <v>Assess the importance of the closure property in mathematics and its practical relevance.</v>
      </c>
      <c r="T37" s="29" t="str">
        <f t="shared" si="5"/>
        <v>LU000954.006</v>
      </c>
      <c r="U37" s="29" t="str">
        <f ca="1">IFERROR(__xludf.dummyfunction("VLOOKUP(T37, IMPORTRANGE(""https://docs.google.com/spreadsheets/d/1yDAaXNsi4Mr5FtRQL4tbmSdIzhx6_m4wkOD7IG-k_eo/edit#gid=0"", ""Maths!M:N""), 2, FALSE)"),"Design a set of your own multiplication problems with whole numbers that illustrate and reinforce the closure property, and explain why each problem demonstrates the concept effectively.")</f>
        <v>Design a set of your own multiplication problems with whole numbers that illustrate and reinforce the closure property, and explain why each problem demonstrates the concept effectively.</v>
      </c>
      <c r="V37" s="16">
        <f ca="1">IFERROR(__xludf.dummyfunction("ArrayFormula(VLOOKUP(G37, IMPORTRANGE(""https://docs.google.com/spreadsheets/d/1p7R4vtkWt5VOBim4ltsDG9KTzSjrtKXsMtQGXPHyND0/edit#gid=795171502"", ""'Filter 30_05_2024'!A1:M2000""), {2, 3, 4, 5,6,7,8,9,10,11,12,13}, 0))"),5)</f>
        <v>5</v>
      </c>
      <c r="W37" s="16">
        <f ca="1">IFERROR(__xludf.dummyfunction("""COMPUTED_VALUE"""),6)</f>
        <v>6</v>
      </c>
      <c r="X37" s="16">
        <f ca="1">IFERROR(__xludf.dummyfunction("""COMPUTED_VALUE"""),2)</f>
        <v>2</v>
      </c>
      <c r="Y37" s="16">
        <f ca="1">IFERROR(__xludf.dummyfunction("""COMPUTED_VALUE"""),13)</f>
        <v>13</v>
      </c>
      <c r="Z37" s="16">
        <f ca="1">IFERROR(__xludf.dummyfunction("""COMPUTED_VALUE"""),6)</f>
        <v>6</v>
      </c>
      <c r="AA37" s="30">
        <f ca="1">IFERROR(__xludf.dummyfunction("""COMPUTED_VALUE"""),4)</f>
        <v>4</v>
      </c>
      <c r="AB37" s="30">
        <f ca="1">IFERROR(__xludf.dummyfunction("""COMPUTED_VALUE"""),1)</f>
        <v>1</v>
      </c>
      <c r="AC37" s="30">
        <f ca="1">IFERROR(__xludf.dummyfunction("""COMPUTED_VALUE"""),11)</f>
        <v>11</v>
      </c>
      <c r="AD37" s="16"/>
      <c r="AE37" s="30"/>
      <c r="AF37" s="30"/>
      <c r="AG37" s="30"/>
    </row>
    <row r="38" spans="1:33" ht="26.4">
      <c r="A38" s="25"/>
      <c r="B38" s="26" t="s">
        <v>29</v>
      </c>
      <c r="C38" s="26" t="s">
        <v>310</v>
      </c>
      <c r="D38" s="26">
        <v>6</v>
      </c>
      <c r="E38" s="27" t="s">
        <v>350</v>
      </c>
      <c r="F38" s="28"/>
      <c r="G38" s="27" t="s">
        <v>366</v>
      </c>
      <c r="H38" s="28" t="str">
        <f ca="1">IFERROR(__xludf.dummyfunction("IFERROR(
  VLOOKUP(G38, IMPORTRANGE(""https://docs.google.com/spreadsheets/d/14deopnvwcrKtEGCKuYXdUHJbeLDZlkiSSWWT0g7x2pM/edit#gid=849066331"", ""LU List Maths (Filter)!A:B""), 2, FALSE),
  IFERROR(
    VLOOKUP(G38, IMPORTRANGE(""https://docs.google.com/s"&amp;"preadsheets/d/14deopnvwcrKtEGCKuYXdUHJbeLDZlkiSSWWT0g7x2pM/edit#gid=849066331"", ""LU List Science (Filter)!A:B""), 2, FALSE),
    ""Not Found""
  )
)
"),"Commutative property for multiplication of whole numbers")</f>
        <v>Commutative property for multiplication of whole numbers</v>
      </c>
      <c r="I38" s="28"/>
      <c r="J38" s="29" t="str">
        <f t="shared" si="0"/>
        <v>LU000958.001</v>
      </c>
      <c r="K38" s="29" t="str">
        <f ca="1">IFERROR(__xludf.dummyfunction("VLOOKUP(J38, IMPORTRANGE(""https://docs.google.com/spreadsheets/d/1yDAaXNsi4Mr5FtRQL4tbmSdIzhx6_m4wkOD7IG-k_eo/edit#gid=0"", ""Maths!M:N""), 2, FALSE)"),"Recall the commutative property for multiplication of whole numbers.")</f>
        <v>Recall the commutative property for multiplication of whole numbers.</v>
      </c>
      <c r="L38" s="29" t="str">
        <f t="shared" si="1"/>
        <v>LU000958.002</v>
      </c>
      <c r="M38" s="29" t="str">
        <f ca="1">IFERROR(__xludf.dummyfunction("VLOOKUP(L38, IMPORTRANGE(""https://docs.google.com/spreadsheets/d/1yDAaXNsi4Mr5FtRQL4tbmSdIzhx6_m4wkOD7IG-k_eo/edit#gid=0"", ""Maths!M:N""), 2, FALSE)"),"Explain why the commutative property is important in multiplying whole numbers.")</f>
        <v>Explain why the commutative property is important in multiplying whole numbers.</v>
      </c>
      <c r="N38" s="29" t="str">
        <f t="shared" si="2"/>
        <v>LU000958.003</v>
      </c>
      <c r="O38" s="29" t="str">
        <f ca="1">IFERROR(__xludf.dummyfunction("VLOOKUP(N38, IMPORTRANGE(""https://docs.google.com/spreadsheets/d/1yDAaXNsi4Mr5FtRQL4tbmSdIzhx6_m4wkOD7IG-k_eo/edit#gid=0"", ""Maths!M:N""), 2, FALSE)"),"Demonstrate the commutative property by swapping the order of factors in multiplication problems with whole numbers.")</f>
        <v>Demonstrate the commutative property by swapping the order of factors in multiplication problems with whole numbers.</v>
      </c>
      <c r="P38" s="29" t="str">
        <f t="shared" si="3"/>
        <v>LU000958.004</v>
      </c>
      <c r="Q38" s="29" t="str">
        <f ca="1">IFERROR(__xludf.dummyfunction("VLOOKUP(P38, IMPORTRANGE(""https://docs.google.com/spreadsheets/d/1yDAaXNsi4Mr5FtRQL4tbmSdIzhx6_m4wkOD7IG-k_eo/edit#gid=0"", ""Maths!M:N""), 2, FALSE)"),"#N/A")</f>
        <v>#N/A</v>
      </c>
      <c r="R38" s="29" t="str">
        <f t="shared" si="4"/>
        <v>LU000958.005</v>
      </c>
      <c r="S38" s="29" t="str">
        <f ca="1">IFERROR(__xludf.dummyfunction("VLOOKUP(R38, IMPORTRANGE(""https://docs.google.com/spreadsheets/d/1yDAaXNsi4Mr5FtRQL4tbmSdIzhx6_m4wkOD7IG-k_eo/edit#gid=0"", ""Maths!M:N""), 2, FALSE)"),"Assess the significance of the commutative property in mathematics and its practical relevance in various situations.")</f>
        <v>Assess the significance of the commutative property in mathematics and its practical relevance in various situations.</v>
      </c>
      <c r="T38" s="29" t="str">
        <f t="shared" si="5"/>
        <v>LU000958.006</v>
      </c>
      <c r="U38" s="29" t="str">
        <f ca="1">IFERROR(__xludf.dummyfunction("VLOOKUP(T38, IMPORTRANGE(""https://docs.google.com/spreadsheets/d/1yDAaXNsi4Mr5FtRQL4tbmSdIzhx6_m4wkOD7IG-k_eo/edit#gid=0"", ""Maths!M:N""), 2, FALSE)"),"Create multiplication problems with whole numbers that showcase the commutative property, and explain their effectiveness in illustrating the concept.")</f>
        <v>Create multiplication problems with whole numbers that showcase the commutative property, and explain their effectiveness in illustrating the concept.</v>
      </c>
      <c r="V38" s="16">
        <f ca="1">IFERROR(__xludf.dummyfunction("ArrayFormula(VLOOKUP(G38, IMPORTRANGE(""https://docs.google.com/spreadsheets/d/1p7R4vtkWt5VOBim4ltsDG9KTzSjrtKXsMtQGXPHyND0/edit#gid=795171502"", ""'Filter 30_05_2024'!A1:M2000""), {2, 3, 4, 5,6,7,8,9,10,11,12,13}, 0))"),4)</f>
        <v>4</v>
      </c>
      <c r="W38" s="16">
        <f ca="1">IFERROR(__xludf.dummyfunction("""COMPUTED_VALUE"""),5)</f>
        <v>5</v>
      </c>
      <c r="X38" s="16">
        <f ca="1">IFERROR(__xludf.dummyfunction("""COMPUTED_VALUE"""),1)</f>
        <v>1</v>
      </c>
      <c r="Y38" s="16">
        <f ca="1">IFERROR(__xludf.dummyfunction("""COMPUTED_VALUE"""),10)</f>
        <v>10</v>
      </c>
      <c r="Z38" s="16">
        <f ca="1">IFERROR(__xludf.dummyfunction("""COMPUTED_VALUE"""),4)</f>
        <v>4</v>
      </c>
      <c r="AA38" s="30">
        <f ca="1">IFERROR(__xludf.dummyfunction("""COMPUTED_VALUE"""),4)</f>
        <v>4</v>
      </c>
      <c r="AB38" s="30">
        <f ca="1">IFERROR(__xludf.dummyfunction("""COMPUTED_VALUE"""),2)</f>
        <v>2</v>
      </c>
      <c r="AC38" s="30">
        <f ca="1">IFERROR(__xludf.dummyfunction("""COMPUTED_VALUE"""),10)</f>
        <v>10</v>
      </c>
      <c r="AD38" s="16"/>
      <c r="AE38" s="30"/>
      <c r="AF38" s="30"/>
      <c r="AG38" s="30"/>
    </row>
    <row r="39" spans="1:33" ht="26.4">
      <c r="A39" s="25"/>
      <c r="B39" s="26" t="s">
        <v>29</v>
      </c>
      <c r="C39" s="26" t="s">
        <v>310</v>
      </c>
      <c r="D39" s="26">
        <v>6</v>
      </c>
      <c r="E39" s="27" t="s">
        <v>350</v>
      </c>
      <c r="F39" s="28"/>
      <c r="G39" s="27" t="s">
        <v>367</v>
      </c>
      <c r="H39" s="28" t="str">
        <f ca="1">IFERROR(__xludf.dummyfunction("IFERROR(
  VLOOKUP(G39, IMPORTRANGE(""https://docs.google.com/spreadsheets/d/14deopnvwcrKtEGCKuYXdUHJbeLDZlkiSSWWT0g7x2pM/edit#gid=849066331"", ""LU List Maths (Filter)!A:B""), 2, FALSE),
  IFERROR(
    VLOOKUP(G39, IMPORTRANGE(""https://docs.google.com/s"&amp;"preadsheets/d/14deopnvwcrKtEGCKuYXdUHJbeLDZlkiSSWWT0g7x2pM/edit#gid=849066331"", ""LU List Science (Filter)!A:B""), 2, FALSE),
    ""Not Found""
  )
)
"),"Associative property for multiplication of whole numbers")</f>
        <v>Associative property for multiplication of whole numbers</v>
      </c>
      <c r="I39" s="28"/>
      <c r="J39" s="29" t="str">
        <f t="shared" si="0"/>
        <v>LU000962.001</v>
      </c>
      <c r="K39" s="29" t="str">
        <f ca="1">IFERROR(__xludf.dummyfunction("VLOOKUP(J39, IMPORTRANGE(""https://docs.google.com/spreadsheets/d/1yDAaXNsi4Mr5FtRQL4tbmSdIzhx6_m4wkOD7IG-k_eo/edit#gid=0"", ""Maths!M:N""), 2, FALSE)"),"Recall the statement of the associative property for multiplication and its basic principle.")</f>
        <v>Recall the statement of the associative property for multiplication and its basic principle.</v>
      </c>
      <c r="L39" s="29" t="str">
        <f t="shared" si="1"/>
        <v>LU000962.002</v>
      </c>
      <c r="M39" s="29" t="str">
        <f ca="1">IFERROR(__xludf.dummyfunction("VLOOKUP(L39, IMPORTRANGE(""https://docs.google.com/spreadsheets/d/1yDAaXNsi4Mr5FtRQL4tbmSdIzhx6_m4wkOD7IG-k_eo/edit#gid=0"", ""Maths!M:N""), 2, FALSE)"),"Explain in simple terms what the associative property means in the context of multiplying whole numbers.")</f>
        <v>Explain in simple terms what the associative property means in the context of multiplying whole numbers.</v>
      </c>
      <c r="N39" s="29" t="str">
        <f t="shared" si="2"/>
        <v>LU000962.003</v>
      </c>
      <c r="O39" s="29" t="str">
        <f ca="1">IFERROR(__xludf.dummyfunction("VLOOKUP(N39, IMPORTRANGE(""https://docs.google.com/spreadsheets/d/1yDAaXNsi4Mr5FtRQL4tbmSdIzhx6_m4wkOD7IG-k_eo/edit#gid=0"", ""Maths!M:N""), 2, FALSE)"),"Demonstrate the use of the associative property to regroup numbers and simplify multiplication expressions.")</f>
        <v>Demonstrate the use of the associative property to regroup numbers and simplify multiplication expressions.</v>
      </c>
      <c r="P39" s="29" t="str">
        <f t="shared" si="3"/>
        <v>LU000962.004</v>
      </c>
      <c r="Q39" s="29" t="str">
        <f ca="1">IFERROR(__xludf.dummyfunction("VLOOKUP(P39, IMPORTRANGE(""https://docs.google.com/spreadsheets/d/1yDAaXNsi4Mr5FtRQL4tbmSdIzhx6_m4wkOD7IG-k_eo/edit#gid=0"", ""Maths!M:N""), 2, FALSE)"),"Analyze and identify instances where the associative property can be applied to make multiplication calculations more efficient.")</f>
        <v>Analyze and identify instances where the associative property can be applied to make multiplication calculations more efficient.</v>
      </c>
      <c r="R39" s="29" t="str">
        <f t="shared" si="4"/>
        <v>LU000962.005</v>
      </c>
      <c r="S39" s="29" t="str">
        <f ca="1">IFERROR(__xludf.dummyfunction("VLOOKUP(R39, IMPORTRANGE(""https://docs.google.com/spreadsheets/d/1yDAaXNsi4Mr5FtRQL4tbmSdIzhx6_m4wkOD7IG-k_eo/edit#gid=0"", ""Maths!M:N""), 2, FALSE)"),"Evaluate mathematical expressions involving multiplication to determine if the associative property has been correctly applied and provide reasons for any discrepancies.")</f>
        <v>Evaluate mathematical expressions involving multiplication to determine if the associative property has been correctly applied and provide reasons for any discrepancies.</v>
      </c>
      <c r="T39" s="29" t="str">
        <f t="shared" si="5"/>
        <v>LU000962.006</v>
      </c>
      <c r="U39" s="29" t="str">
        <f ca="1">IFERROR(__xludf.dummyfunction("VLOOKUP(T39, IMPORTRANGE(""https://docs.google.com/spreadsheets/d/1yDAaXNsi4Mr5FtRQL4tbmSdIzhx6_m4wkOD7IG-k_eo/edit#gid=0"", ""Maths!M:N""), 2, FALSE)"),"#N/A")</f>
        <v>#N/A</v>
      </c>
      <c r="V39" s="16">
        <f ca="1">IFERROR(__xludf.dummyfunction("ArrayFormula(VLOOKUP(G39, IMPORTRANGE(""https://docs.google.com/spreadsheets/d/1p7R4vtkWt5VOBim4ltsDG9KTzSjrtKXsMtQGXPHyND0/edit#gid=795171502"", ""'Filter 30_05_2024'!A1:M2000""), {2, 3, 4, 5,6,7,8,9,10,11,12,13}, 0))"),4)</f>
        <v>4</v>
      </c>
      <c r="W39" s="16">
        <f ca="1">IFERROR(__xludf.dummyfunction("""COMPUTED_VALUE"""),6)</f>
        <v>6</v>
      </c>
      <c r="X39" s="16">
        <f ca="1">IFERROR(__xludf.dummyfunction("""COMPUTED_VALUE"""),2)</f>
        <v>2</v>
      </c>
      <c r="Y39" s="16">
        <f ca="1">IFERROR(__xludf.dummyfunction("""COMPUTED_VALUE"""),12)</f>
        <v>12</v>
      </c>
      <c r="Z39" s="16">
        <f ca="1">IFERROR(__xludf.dummyfunction("""COMPUTED_VALUE"""),4)</f>
        <v>4</v>
      </c>
      <c r="AA39" s="30">
        <f ca="1">IFERROR(__xludf.dummyfunction("""COMPUTED_VALUE"""),7)</f>
        <v>7</v>
      </c>
      <c r="AB39" s="30">
        <f ca="1">IFERROR(__xludf.dummyfunction("""COMPUTED_VALUE"""),1)</f>
        <v>1</v>
      </c>
      <c r="AC39" s="30">
        <f ca="1">IFERROR(__xludf.dummyfunction("""COMPUTED_VALUE"""),12)</f>
        <v>12</v>
      </c>
      <c r="AD39" s="16"/>
      <c r="AE39" s="30"/>
      <c r="AF39" s="30"/>
      <c r="AG39" s="30"/>
    </row>
    <row r="40" spans="1:33" ht="13.8">
      <c r="A40" s="25"/>
      <c r="B40" s="26" t="s">
        <v>29</v>
      </c>
      <c r="C40" s="26" t="s">
        <v>310</v>
      </c>
      <c r="D40" s="26">
        <v>6</v>
      </c>
      <c r="E40" s="27" t="s">
        <v>350</v>
      </c>
      <c r="F40" s="28"/>
      <c r="G40" s="27" t="s">
        <v>368</v>
      </c>
      <c r="H40" s="28" t="str">
        <f ca="1">IFERROR(__xludf.dummyfunction("IFERROR(
  VLOOKUP(G40, IMPORTRANGE(""https://docs.google.com/spreadsheets/d/14deopnvwcrKtEGCKuYXdUHJbeLDZlkiSSWWT0g7x2pM/edit#gid=849066331"", ""LU List Maths (Filter)!A:B""), 2, FALSE),
  IFERROR(
    VLOOKUP(G40, IMPORTRANGE(""https://docs.google.com/s"&amp;"preadsheets/d/14deopnvwcrKtEGCKuYXdUHJbeLDZlkiSSWWT0g7x2pM/edit#gid=849066331"", ""LU List Science (Filter)!A:B""), 2, FALSE),
    ""Not Found""
  )
)
"),"Multiplicative identity of whole numbers")</f>
        <v>Multiplicative identity of whole numbers</v>
      </c>
      <c r="I40" s="28"/>
      <c r="J40" s="29" t="str">
        <f t="shared" si="0"/>
        <v>LU000190.001</v>
      </c>
      <c r="K40" s="29" t="str">
        <f ca="1">IFERROR(__xludf.dummyfunction("VLOOKUP(J40, IMPORTRANGE(""https://docs.google.com/spreadsheets/d/1yDAaXNsi4Mr5FtRQL4tbmSdIzhx6_m4wkOD7IG-k_eo/edit#gid=0"", ""Maths!M:N""), 2, FALSE)"),"Define the multiplicative identity of whole numbers")</f>
        <v>Define the multiplicative identity of whole numbers</v>
      </c>
      <c r="L40" s="29" t="str">
        <f t="shared" si="1"/>
        <v>LU000190.002</v>
      </c>
      <c r="M40" s="29" t="str">
        <f ca="1">IFERROR(__xludf.dummyfunction("VLOOKUP(L40, IMPORTRANGE(""https://docs.google.com/spreadsheets/d/1yDAaXNsi4Mr5FtRQL4tbmSdIzhx6_m4wkOD7IG-k_eo/edit#gid=0"", ""Maths!M:N""), 2, FALSE)"),"Explain the concept of the multiplicative identity property in the context of whole numbers.")</f>
        <v>Explain the concept of the multiplicative identity property in the context of whole numbers.</v>
      </c>
      <c r="N40" s="29" t="str">
        <f t="shared" si="2"/>
        <v>LU000190.003</v>
      </c>
      <c r="O40" s="29" t="str">
        <f ca="1">IFERROR(__xludf.dummyfunction("VLOOKUP(N40, IMPORTRANGE(""https://docs.google.com/spreadsheets/d/1yDAaXNsi4Mr5FtRQL4tbmSdIzhx6_m4wkOD7IG-k_eo/edit#gid=0"", ""Maths!M:N""), 2, FALSE)"),"Apply the multiplicative identity property to verify that the product of any whole number and one remains unchanged.")</f>
        <v>Apply the multiplicative identity property to verify that the product of any whole number and one remains unchanged.</v>
      </c>
      <c r="P40" s="29" t="str">
        <f t="shared" si="3"/>
        <v>LU000190.004</v>
      </c>
      <c r="Q40" s="29" t="str">
        <f ca="1">IFERROR(__xludf.dummyfunction("VLOOKUP(P40, IMPORTRANGE(""https://docs.google.com/spreadsheets/d/1yDAaXNsi4Mr5FtRQL4tbmSdIzhx6_m4wkOD7IG-k_eo/edit#gid=0"", ""Maths!M:N""), 2, FALSE)"),"#N/A")</f>
        <v>#N/A</v>
      </c>
      <c r="R40" s="29" t="str">
        <f t="shared" si="4"/>
        <v>LU000190.005</v>
      </c>
      <c r="S40" s="29" t="str">
        <f ca="1">IFERROR(__xludf.dummyfunction("VLOOKUP(R40, IMPORTRANGE(""https://docs.google.com/spreadsheets/d/1yDAaXNsi4Mr5FtRQL4tbmSdIzhx6_m4wkOD7IG-k_eo/edit#gid=0"", ""Maths!M:N""), 2, FALSE)"),"#N/A")</f>
        <v>#N/A</v>
      </c>
      <c r="T40" s="29" t="str">
        <f t="shared" si="5"/>
        <v>LU000190.006</v>
      </c>
      <c r="U40" s="29" t="str">
        <f ca="1">IFERROR(__xludf.dummyfunction("VLOOKUP(T40, IMPORTRANGE(""https://docs.google.com/spreadsheets/d/1yDAaXNsi4Mr5FtRQL4tbmSdIzhx6_m4wkOD7IG-k_eo/edit#gid=0"", ""Maths!M:N""), 2, FALSE)"),"#N/A")</f>
        <v>#N/A</v>
      </c>
      <c r="V40" s="16">
        <f ca="1">IFERROR(__xludf.dummyfunction("ArrayFormula(VLOOKUP(G40, IMPORTRANGE(""https://docs.google.com/spreadsheets/d/1p7R4vtkWt5VOBim4ltsDG9KTzSjrtKXsMtQGXPHyND0/edit#gid=795171502"", ""'Filter 30_05_2024'!A1:M2000""), {2, 3, 4, 5,6,7,8,9,10,11,12,13}, 0))"),5)</f>
        <v>5</v>
      </c>
      <c r="W40" s="16">
        <f ca="1">IFERROR(__xludf.dummyfunction("""COMPUTED_VALUE"""),6)</f>
        <v>6</v>
      </c>
      <c r="X40" s="16">
        <f ca="1">IFERROR(__xludf.dummyfunction("""COMPUTED_VALUE"""),2)</f>
        <v>2</v>
      </c>
      <c r="Y40" s="16">
        <f ca="1">IFERROR(__xludf.dummyfunction("""COMPUTED_VALUE"""),13)</f>
        <v>13</v>
      </c>
      <c r="Z40" s="16">
        <f ca="1">IFERROR(__xludf.dummyfunction("""COMPUTED_VALUE"""),7)</f>
        <v>7</v>
      </c>
      <c r="AA40" s="30">
        <f ca="1">IFERROR(__xludf.dummyfunction("""COMPUTED_VALUE"""),3)</f>
        <v>3</v>
      </c>
      <c r="AB40" s="30">
        <f ca="1">IFERROR(__xludf.dummyfunction("""COMPUTED_VALUE"""),1)</f>
        <v>1</v>
      </c>
      <c r="AC40" s="30">
        <f ca="1">IFERROR(__xludf.dummyfunction("""COMPUTED_VALUE"""),11)</f>
        <v>11</v>
      </c>
      <c r="AD40" s="16"/>
      <c r="AE40" s="30"/>
      <c r="AF40" s="30"/>
      <c r="AG40" s="30"/>
    </row>
    <row r="41" spans="1:33" ht="26.4">
      <c r="A41" s="25"/>
      <c r="B41" s="26" t="s">
        <v>29</v>
      </c>
      <c r="C41" s="26" t="s">
        <v>310</v>
      </c>
      <c r="D41" s="26">
        <v>6</v>
      </c>
      <c r="E41" s="27" t="s">
        <v>350</v>
      </c>
      <c r="F41" s="28" t="s">
        <v>369</v>
      </c>
      <c r="G41" s="27" t="s">
        <v>370</v>
      </c>
      <c r="H41" s="28" t="str">
        <f ca="1">IFERROR(__xludf.dummyfunction("IFERROR(
  VLOOKUP(G41, IMPORTRANGE(""https://docs.google.com/spreadsheets/d/14deopnvwcrKtEGCKuYXdUHJbeLDZlkiSSWWT0g7x2pM/edit#gid=849066331"", ""LU List Maths (Filter)!A:B""), 2, FALSE),
  IFERROR(
    VLOOKUP(G41, IMPORTRANGE(""https://docs.google.com/s"&amp;"preadsheets/d/14deopnvwcrKtEGCKuYXdUHJbeLDZlkiSSWWT0g7x2pM/edit#gid=849066331"", ""LU List Science (Filter)!A:B""), 2, FALSE),
    ""Not Found""
  )
)
"),"Distributive property of multiplication over addition of whole number")</f>
        <v>Distributive property of multiplication over addition of whole number</v>
      </c>
      <c r="I41" s="28"/>
      <c r="J41" s="29" t="str">
        <f t="shared" si="0"/>
        <v>LU000964.001</v>
      </c>
      <c r="K41" s="29" t="str">
        <f ca="1">IFERROR(__xludf.dummyfunction("VLOOKUP(J41, IMPORTRANGE(""https://docs.google.com/spreadsheets/d/1yDAaXNsi4Mr5FtRQL4tbmSdIzhx6_m4wkOD7IG-k_eo/edit#gid=0"", ""Maths!M:N""), 2, FALSE)"),"Recall the statement of the distributive property of multiplication over addition.")</f>
        <v>Recall the statement of the distributive property of multiplication over addition.</v>
      </c>
      <c r="L41" s="29" t="str">
        <f t="shared" si="1"/>
        <v>LU000964.002</v>
      </c>
      <c r="M41" s="29" t="str">
        <f ca="1">IFERROR(__xludf.dummyfunction("VLOOKUP(L41, IMPORTRANGE(""https://docs.google.com/spreadsheets/d/1yDAaXNsi4Mr5FtRQL4tbmSdIzhx6_m4wkOD7IG-k_eo/edit#gid=0"", ""Maths!M:N""), 2, FALSE)"),"Explain the meaning and significance of the distributive property in the context of multiplying and adding whole numbers.")</f>
        <v>Explain the meaning and significance of the distributive property in the context of multiplying and adding whole numbers.</v>
      </c>
      <c r="N41" s="29" t="str">
        <f t="shared" si="2"/>
        <v>LU000964.003</v>
      </c>
      <c r="O41" s="29" t="str">
        <f ca="1">IFERROR(__xludf.dummyfunction("VLOOKUP(N41, IMPORTRANGE(""https://docs.google.com/spreadsheets/d/1yDAaXNsi4Mr5FtRQL4tbmSdIzhx6_m4wkOD7IG-k_eo/edit#gid=0"", ""Maths!M:N""), 2, FALSE)"),"Apply the distributive property to simplify mathematical expressions involving multiplication and addition.")</f>
        <v>Apply the distributive property to simplify mathematical expressions involving multiplication and addition.</v>
      </c>
      <c r="P41" s="29" t="str">
        <f t="shared" si="3"/>
        <v>LU000964.004</v>
      </c>
      <c r="Q41" s="29" t="str">
        <f ca="1">IFERROR(__xludf.dummyfunction("VLOOKUP(P41, IMPORTRANGE(""https://docs.google.com/spreadsheets/d/1yDAaXNsi4Mr5FtRQL4tbmSdIzhx6_m4wkOD7IG-k_eo/edit#gid=0"", ""Maths!M:N""), 2, FALSE)"),"Analyze complex expressions to identify opportunities for using the distributive property to simplify calculations.")</f>
        <v>Analyze complex expressions to identify opportunities for using the distributive property to simplify calculations.</v>
      </c>
      <c r="R41" s="29" t="str">
        <f t="shared" si="4"/>
        <v>LU000964.005</v>
      </c>
      <c r="S41" s="29" t="str">
        <f ca="1">IFERROR(__xludf.dummyfunction("VLOOKUP(R41, IMPORTRANGE(""https://docs.google.com/spreadsheets/d/1yDAaXNsi4Mr5FtRQL4tbmSdIzhx6_m4wkOD7IG-k_eo/edit#gid=0"", ""Maths!M:N""), 2, FALSE)"),"Evaluate mathematical expressions to determine if the distributive property has been correctly applied and provide explanations for any errors.")</f>
        <v>Evaluate mathematical expressions to determine if the distributive property has been correctly applied and provide explanations for any errors.</v>
      </c>
      <c r="T41" s="29" t="str">
        <f t="shared" si="5"/>
        <v>LU000964.006</v>
      </c>
      <c r="U41" s="29" t="str">
        <f ca="1">IFERROR(__xludf.dummyfunction("VLOOKUP(T41, IMPORTRANGE(""https://docs.google.com/spreadsheets/d/1yDAaXNsi4Mr5FtRQL4tbmSdIzhx6_m4wkOD7IG-k_eo/edit#gid=0"", ""Maths!M:N""), 2, FALSE)"),"#N/A")</f>
        <v>#N/A</v>
      </c>
      <c r="V41" s="16">
        <f ca="1">IFERROR(__xludf.dummyfunction("ArrayFormula(VLOOKUP(G41, IMPORTRANGE(""https://docs.google.com/spreadsheets/d/1p7R4vtkWt5VOBim4ltsDG9KTzSjrtKXsMtQGXPHyND0/edit#gid=795171502"", ""'Filter 30_05_2024'!A1:M2000""), {2, 3, 4, 5,6,7,8,9,10,11,12,13}, 0))"),5)</f>
        <v>5</v>
      </c>
      <c r="W41" s="16">
        <f ca="1">IFERROR(__xludf.dummyfunction("""COMPUTED_VALUE"""),6)</f>
        <v>6</v>
      </c>
      <c r="X41" s="16">
        <f ca="1">IFERROR(__xludf.dummyfunction("""COMPUTED_VALUE"""),3)</f>
        <v>3</v>
      </c>
      <c r="Y41" s="16">
        <f ca="1">IFERROR(__xludf.dummyfunction("""COMPUTED_VALUE"""),14)</f>
        <v>14</v>
      </c>
      <c r="Z41" s="16">
        <f ca="1">IFERROR(__xludf.dummyfunction("""COMPUTED_VALUE"""),6)</f>
        <v>6</v>
      </c>
      <c r="AA41" s="30">
        <f ca="1">IFERROR(__xludf.dummyfunction("""COMPUTED_VALUE"""),7)</f>
        <v>7</v>
      </c>
      <c r="AB41" s="30">
        <f ca="1">IFERROR(__xludf.dummyfunction("""COMPUTED_VALUE"""),6)</f>
        <v>6</v>
      </c>
      <c r="AC41" s="30">
        <f ca="1">IFERROR(__xludf.dummyfunction("""COMPUTED_VALUE"""),19)</f>
        <v>19</v>
      </c>
      <c r="AD41" s="16"/>
      <c r="AE41" s="30">
        <f ca="1">IFERROR(__xludf.dummyfunction("""COMPUTED_VALUE"""),1)</f>
        <v>1</v>
      </c>
      <c r="AF41" s="30"/>
      <c r="AG41" s="30">
        <f ca="1">IFERROR(__xludf.dummyfunction("""COMPUTED_VALUE"""),1)</f>
        <v>1</v>
      </c>
    </row>
    <row r="42" spans="1:33" ht="26.4">
      <c r="A42" s="25"/>
      <c r="B42" s="26" t="s">
        <v>29</v>
      </c>
      <c r="C42" s="26" t="s">
        <v>310</v>
      </c>
      <c r="D42" s="26">
        <v>6</v>
      </c>
      <c r="E42" s="27" t="s">
        <v>350</v>
      </c>
      <c r="F42" s="28"/>
      <c r="G42" s="27" t="s">
        <v>371</v>
      </c>
      <c r="H42" s="28" t="str">
        <f ca="1">IFERROR(__xludf.dummyfunction("IFERROR(
  VLOOKUP(G42, IMPORTRANGE(""https://docs.google.com/spreadsheets/d/14deopnvwcrKtEGCKuYXdUHJbeLDZlkiSSWWT0g7x2pM/edit#gid=849066331"", ""LU List Maths (Filter)!A:B""), 2, FALSE),
  IFERROR(
    VLOOKUP(G42, IMPORTRANGE(""https://docs.google.com/s"&amp;"preadsheets/d/14deopnvwcrKtEGCKuYXdUHJbeLDZlkiSSWWT0g7x2pM/edit#gid=849066331"", ""LU List Science (Filter)!A:B""), 2, FALSE),
    ""Not Found""
  )
)
"),"Distributive property of multiplication over subtraction of whole number")</f>
        <v>Distributive property of multiplication over subtraction of whole number</v>
      </c>
      <c r="I42" s="28"/>
      <c r="J42" s="29" t="str">
        <f t="shared" si="0"/>
        <v>LU000965.001</v>
      </c>
      <c r="K42" s="29" t="str">
        <f ca="1">IFERROR(__xludf.dummyfunction("VLOOKUP(J42, IMPORTRANGE(""https://docs.google.com/spreadsheets/d/1yDAaXNsi4Mr5FtRQL4tbmSdIzhx6_m4wkOD7IG-k_eo/edit#gid=0"", ""Maths!M:N""), 2, FALSE)"),"Recall the statement of the distributive property of multiplication over subtraction.")</f>
        <v>Recall the statement of the distributive property of multiplication over subtraction.</v>
      </c>
      <c r="L42" s="29" t="str">
        <f t="shared" si="1"/>
        <v>LU000965.002</v>
      </c>
      <c r="M42" s="29" t="str">
        <f ca="1">IFERROR(__xludf.dummyfunction("VLOOKUP(L42, IMPORTRANGE(""https://docs.google.com/spreadsheets/d/1yDAaXNsi4Mr5FtRQL4tbmSdIzhx6_m4wkOD7IG-k_eo/edit#gid=0"", ""Maths!M:N""), 2, FALSE)"),"Explain the meaning of the distributive property in the context of multiplying and subtracting whole numbers.")</f>
        <v>Explain the meaning of the distributive property in the context of multiplying and subtracting whole numbers.</v>
      </c>
      <c r="N42" s="29" t="str">
        <f t="shared" si="2"/>
        <v>LU000965.003</v>
      </c>
      <c r="O42" s="29" t="str">
        <f ca="1">IFERROR(__xludf.dummyfunction("VLOOKUP(N42, IMPORTRANGE(""https://docs.google.com/spreadsheets/d/1yDAaXNsi4Mr5FtRQL4tbmSdIzhx6_m4wkOD7IG-k_eo/edit#gid=0"", ""Maths!M:N""), 2, FALSE)"),"Apply the distributive property to simplify mathematical expressions involving multiplication and subtraction.")</f>
        <v>Apply the distributive property to simplify mathematical expressions involving multiplication and subtraction.</v>
      </c>
      <c r="P42" s="29" t="str">
        <f t="shared" si="3"/>
        <v>LU000965.004</v>
      </c>
      <c r="Q42" s="29" t="str">
        <f ca="1">IFERROR(__xludf.dummyfunction("VLOOKUP(P42, IMPORTRANGE(""https://docs.google.com/spreadsheets/d/1yDAaXNsi4Mr5FtRQL4tbmSdIzhx6_m4wkOD7IG-k_eo/edit#gid=0"", ""Maths!M:N""), 2, FALSE)"),"Analyze complex expressions to identify opportunities for using the distributive property to simplify calculations with subtraction.")</f>
        <v>Analyze complex expressions to identify opportunities for using the distributive property to simplify calculations with subtraction.</v>
      </c>
      <c r="R42" s="29" t="str">
        <f t="shared" si="4"/>
        <v>LU000965.005</v>
      </c>
      <c r="S42" s="29" t="str">
        <f ca="1">IFERROR(__xludf.dummyfunction("VLOOKUP(R42, IMPORTRANGE(""https://docs.google.com/spreadsheets/d/1yDAaXNsi4Mr5FtRQL4tbmSdIzhx6_m4wkOD7IG-k_eo/edit#gid=0"", ""Maths!M:N""), 2, FALSE)"),"Evaluate mathematical expressions to determine if the distributive property has been correctly applied in subtraction situations and provide explanations for any errors.")</f>
        <v>Evaluate mathematical expressions to determine if the distributive property has been correctly applied in subtraction situations and provide explanations for any errors.</v>
      </c>
      <c r="T42" s="29" t="str">
        <f t="shared" si="5"/>
        <v>LU000965.006</v>
      </c>
      <c r="U42" s="29" t="str">
        <f ca="1">IFERROR(__xludf.dummyfunction("VLOOKUP(T42, IMPORTRANGE(""https://docs.google.com/spreadsheets/d/1yDAaXNsi4Mr5FtRQL4tbmSdIzhx6_m4wkOD7IG-k_eo/edit#gid=0"", ""Maths!M:N""), 2, FALSE)"),"#N/A")</f>
        <v>#N/A</v>
      </c>
      <c r="V42" s="16">
        <f ca="1">IFERROR(__xludf.dummyfunction("ArrayFormula(VLOOKUP(G42, IMPORTRANGE(""https://docs.google.com/spreadsheets/d/1p7R4vtkWt5VOBim4ltsDG9KTzSjrtKXsMtQGXPHyND0/edit#gid=795171502"", ""'Filter 30_05_2024'!A1:M2000""), {2, 3, 4, 5,6,7,8,9,10,11,12,13}, 0))"),4)</f>
        <v>4</v>
      </c>
      <c r="W42" s="16">
        <f ca="1">IFERROR(__xludf.dummyfunction("""COMPUTED_VALUE"""),6)</f>
        <v>6</v>
      </c>
      <c r="X42" s="16">
        <f ca="1">IFERROR(__xludf.dummyfunction("""COMPUTED_VALUE"""),2)</f>
        <v>2</v>
      </c>
      <c r="Y42" s="16">
        <f ca="1">IFERROR(__xludf.dummyfunction("""COMPUTED_VALUE"""),12)</f>
        <v>12</v>
      </c>
      <c r="Z42" s="16">
        <f ca="1">IFERROR(__xludf.dummyfunction("""COMPUTED_VALUE"""),5)</f>
        <v>5</v>
      </c>
      <c r="AA42" s="30">
        <f ca="1">IFERROR(__xludf.dummyfunction("""COMPUTED_VALUE"""),10)</f>
        <v>10</v>
      </c>
      <c r="AB42" s="30">
        <f ca="1">IFERROR(__xludf.dummyfunction("""COMPUTED_VALUE"""),3)</f>
        <v>3</v>
      </c>
      <c r="AC42" s="30">
        <f ca="1">IFERROR(__xludf.dummyfunction("""COMPUTED_VALUE"""),18)</f>
        <v>18</v>
      </c>
      <c r="AD42" s="16"/>
      <c r="AE42" s="30"/>
      <c r="AF42" s="30"/>
      <c r="AG42" s="30"/>
    </row>
    <row r="43" spans="1:33" ht="26.4">
      <c r="A43" s="25"/>
      <c r="B43" s="26" t="s">
        <v>29</v>
      </c>
      <c r="C43" s="26" t="s">
        <v>310</v>
      </c>
      <c r="D43" s="26">
        <v>6</v>
      </c>
      <c r="E43" s="27" t="s">
        <v>350</v>
      </c>
      <c r="F43" s="28" t="s">
        <v>372</v>
      </c>
      <c r="G43" s="27" t="s">
        <v>373</v>
      </c>
      <c r="H43" s="28" t="str">
        <f ca="1">IFERROR(__xludf.dummyfunction("IFERROR(
  VLOOKUP(G43, IMPORTRANGE(""https://docs.google.com/spreadsheets/d/14deopnvwcrKtEGCKuYXdUHJbeLDZlkiSSWWT0g7x2pM/edit#gid=849066331"", ""LU List Maths (Filter)!A:B""), 2, FALSE),
  IFERROR(
    VLOOKUP(G43, IMPORTRANGE(""https://docs.google.com/s"&amp;"preadsheets/d/14deopnvwcrKtEGCKuYXdUHJbeLDZlkiSSWWT0g7x2pM/edit#gid=849066331"", ""LU List Science (Filter)!A:B""), 2, FALSE),
    ""Not Found""
  )
)
"),"Examination of closure property for division of whole numbers")</f>
        <v>Examination of closure property for division of whole numbers</v>
      </c>
      <c r="I43" s="28"/>
      <c r="J43" s="29" t="str">
        <f t="shared" si="0"/>
        <v>LU000955.001</v>
      </c>
      <c r="K43" s="29" t="str">
        <f ca="1">IFERROR(__xludf.dummyfunction("VLOOKUP(J43, IMPORTRANGE(""https://docs.google.com/spreadsheets/d/1yDAaXNsi4Mr5FtRQL4tbmSdIzhx6_m4wkOD7IG-k_eo/edit#gid=0"", ""Maths!M:N""), 2, FALSE)"),"Define the closure property for division of whole numbers.")</f>
        <v>Define the closure property for division of whole numbers.</v>
      </c>
      <c r="L43" s="29" t="str">
        <f t="shared" si="1"/>
        <v>LU000955.002</v>
      </c>
      <c r="M43" s="29" t="str">
        <f ca="1">IFERROR(__xludf.dummyfunction("VLOOKUP(L43, IMPORTRANGE(""https://docs.google.com/spreadsheets/d/1yDAaXNsi4Mr5FtRQL4tbmSdIzhx6_m4wkOD7IG-k_eo/edit#gid=0"", ""Maths!M:N""), 2, FALSE)"),"Explain the significance of the closure property in dividing whole numbers.")</f>
        <v>Explain the significance of the closure property in dividing whole numbers.</v>
      </c>
      <c r="N43" s="29" t="str">
        <f t="shared" si="2"/>
        <v>LU000955.003</v>
      </c>
      <c r="O43" s="29" t="str">
        <f ca="1">IFERROR(__xludf.dummyfunction("VLOOKUP(N43, IMPORTRANGE(""https://docs.google.com/spreadsheets/d/1yDAaXNsi4Mr5FtRQL4tbmSdIzhx6_m4wkOD7IG-k_eo/edit#gid=0"", ""Maths!M:N""), 2, FALSE)"),"Apply the closure property to determine whether the result of dividing two whole numbers remains within the set of whole numbers.")</f>
        <v>Apply the closure property to determine whether the result of dividing two whole numbers remains within the set of whole numbers.</v>
      </c>
      <c r="P43" s="29" t="str">
        <f t="shared" si="3"/>
        <v>LU000955.004</v>
      </c>
      <c r="Q43" s="29" t="str">
        <f ca="1">IFERROR(__xludf.dummyfunction("VLOOKUP(P43, IMPORTRANGE(""https://docs.google.com/spreadsheets/d/1yDAaXNsi4Mr5FtRQL4tbmSdIzhx6_m4wkOD7IG-k_eo/edit#gid=0"", ""Maths!M:N""), 2, FALSE)"),"Analyze division operations to identify instances where the closure property holds and when it does not.")</f>
        <v>Analyze division operations to identify instances where the closure property holds and when it does not.</v>
      </c>
      <c r="R43" s="29" t="str">
        <f t="shared" si="4"/>
        <v>LU000955.005</v>
      </c>
      <c r="S43" s="29" t="str">
        <f ca="1">IFERROR(__xludf.dummyfunction("VLOOKUP(R43, IMPORTRANGE(""https://docs.google.com/spreadsheets/d/1yDAaXNsi4Mr5FtRQL4tbmSdIzhx6_m4wkOD7IG-k_eo/edit#gid=0"", ""Maths!M:N""), 2, FALSE)"),"#N/A")</f>
        <v>#N/A</v>
      </c>
      <c r="T43" s="29" t="str">
        <f t="shared" si="5"/>
        <v>LU000955.006</v>
      </c>
      <c r="U43" s="29" t="str">
        <f ca="1">IFERROR(__xludf.dummyfunction("VLOOKUP(T43, IMPORTRANGE(""https://docs.google.com/spreadsheets/d/1yDAaXNsi4Mr5FtRQL4tbmSdIzhx6_m4wkOD7IG-k_eo/edit#gid=0"", ""Maths!M:N""), 2, FALSE)"),"#N/A")</f>
        <v>#N/A</v>
      </c>
      <c r="V43" s="16">
        <f ca="1">IFERROR(__xludf.dummyfunction("ArrayFormula(VLOOKUP(G43, IMPORTRANGE(""https://docs.google.com/spreadsheets/d/1p7R4vtkWt5VOBim4ltsDG9KTzSjrtKXsMtQGXPHyND0/edit#gid=795171502"", ""'Filter 30_05_2024'!A1:M2000""), {2, 3, 4, 5,6,7,8,9,10,11,12,13}, 0))"),4)</f>
        <v>4</v>
      </c>
      <c r="W43" s="16">
        <f ca="1">IFERROR(__xludf.dummyfunction("""COMPUTED_VALUE"""),6)</f>
        <v>6</v>
      </c>
      <c r="X43" s="16">
        <f ca="1">IFERROR(__xludf.dummyfunction("""COMPUTED_VALUE"""),2)</f>
        <v>2</v>
      </c>
      <c r="Y43" s="16">
        <f ca="1">IFERROR(__xludf.dummyfunction("""COMPUTED_VALUE"""),12)</f>
        <v>12</v>
      </c>
      <c r="Z43" s="16">
        <f ca="1">IFERROR(__xludf.dummyfunction("""COMPUTED_VALUE"""),5)</f>
        <v>5</v>
      </c>
      <c r="AA43" s="30">
        <f ca="1">IFERROR(__xludf.dummyfunction("""COMPUTED_VALUE"""),3)</f>
        <v>3</v>
      </c>
      <c r="AB43" s="30">
        <f ca="1">IFERROR(__xludf.dummyfunction("""COMPUTED_VALUE"""),1)</f>
        <v>1</v>
      </c>
      <c r="AC43" s="30">
        <f ca="1">IFERROR(__xludf.dummyfunction("""COMPUTED_VALUE"""),9)</f>
        <v>9</v>
      </c>
      <c r="AD43" s="16"/>
      <c r="AE43" s="30"/>
      <c r="AF43" s="30"/>
      <c r="AG43" s="30"/>
    </row>
    <row r="44" spans="1:33" ht="26.4">
      <c r="A44" s="25"/>
      <c r="B44" s="26" t="s">
        <v>29</v>
      </c>
      <c r="C44" s="26" t="s">
        <v>310</v>
      </c>
      <c r="D44" s="26">
        <v>6</v>
      </c>
      <c r="E44" s="27" t="s">
        <v>350</v>
      </c>
      <c r="F44" s="28"/>
      <c r="G44" s="26" t="s">
        <v>374</v>
      </c>
      <c r="H44" s="28" t="str">
        <f ca="1">IFERROR(__xludf.dummyfunction("IFERROR(
  VLOOKUP(G44, IMPORTRANGE(""https://docs.google.com/spreadsheets/d/14deopnvwcrKtEGCKuYXdUHJbeLDZlkiSSWWT0g7x2pM/edit#gid=849066331"", ""LU List Maths (Filter)!A:B""), 2, FALSE),
  IFERROR(
    VLOOKUP(G44, IMPORTRANGE(""https://docs.google.com/s"&amp;"preadsheets/d/14deopnvwcrKtEGCKuYXdUHJbeLDZlkiSSWWT0g7x2pM/edit#gid=849066331"", ""LU List Science (Filter)!A:B""), 2, FALSE),
    ""Not Found""
  )
)
"),"Examination of commutative property for division of whole numbers")</f>
        <v>Examination of commutative property for division of whole numbers</v>
      </c>
      <c r="I44" s="28"/>
      <c r="J44" s="29" t="str">
        <f t="shared" si="0"/>
        <v>LU000959.001</v>
      </c>
      <c r="K44" s="29" t="str">
        <f ca="1">IFERROR(__xludf.dummyfunction("VLOOKUP(J44, IMPORTRANGE(""https://docs.google.com/spreadsheets/d/1yDAaXNsi4Mr5FtRQL4tbmSdIzhx6_m4wkOD7IG-k_eo/edit#gid=0"", ""Maths!M:N""), 2, FALSE)"),"State that the commutative property does not hold for the division of whole numbers.")</f>
        <v>State that the commutative property does not hold for the division of whole numbers.</v>
      </c>
      <c r="L44" s="29" t="str">
        <f t="shared" si="1"/>
        <v>LU000959.002</v>
      </c>
      <c r="M44" s="29" t="str">
        <f ca="1">IFERROR(__xludf.dummyfunction("VLOOKUP(L44, IMPORTRANGE(""https://docs.google.com/spreadsheets/d/1yDAaXNsi4Mr5FtRQL4tbmSdIzhx6_m4wkOD7IG-k_eo/edit#gid=0"", ""Maths!M:N""), 2, FALSE)"),"Explain why the commutative property is not applicable to division of whole numbers.")</f>
        <v>Explain why the commutative property is not applicable to division of whole numbers.</v>
      </c>
      <c r="N44" s="29" t="str">
        <f t="shared" si="2"/>
        <v>LU000959.003</v>
      </c>
      <c r="O44" s="29" t="str">
        <f ca="1">IFERROR(__xludf.dummyfunction("VLOOKUP(N44, IMPORTRANGE(""https://docs.google.com/spreadsheets/d/1yDAaXNsi4Mr5FtRQL4tbmSdIzhx6_m4wkOD7IG-k_eo/edit#gid=0"", ""Maths!M:N""), 2, FALSE)"),"Identify examples where division of whole numbers demonstrates the non-commutativity.")</f>
        <v>Identify examples where division of whole numbers demonstrates the non-commutativity.</v>
      </c>
      <c r="P44" s="29" t="str">
        <f t="shared" si="3"/>
        <v>LU000959.004</v>
      </c>
      <c r="Q44" s="29" t="str">
        <f ca="1">IFERROR(__xludf.dummyfunction("VLOOKUP(P44, IMPORTRANGE(""https://docs.google.com/spreadsheets/d/1yDAaXNsi4Mr5FtRQL4tbmSdIzhx6_m4wkOD7IG-k_eo/edit#gid=0"", ""Maths!M:N""), 2, FALSE)"),"Analyse a range of division problems involving whole numbers to highlight the failure of the commutative property.")</f>
        <v>Analyse a range of division problems involving whole numbers to highlight the failure of the commutative property.</v>
      </c>
      <c r="R44" s="29" t="str">
        <f t="shared" si="4"/>
        <v>LU000959.005</v>
      </c>
      <c r="S44" s="29" t="str">
        <f ca="1">IFERROR(__xludf.dummyfunction("VLOOKUP(R44, IMPORTRANGE(""https://docs.google.com/spreadsheets/d/1yDAaXNsi4Mr5FtRQL4tbmSdIzhx6_m4wkOD7IG-k_eo/edit#gid=0"", ""Maths!M:N""), 2, FALSE)"),"Evaluate the correctness of statements regarding the non-applicability of the commutative property in division of whole numbers.")</f>
        <v>Evaluate the correctness of statements regarding the non-applicability of the commutative property in division of whole numbers.</v>
      </c>
      <c r="T44" s="29" t="str">
        <f t="shared" si="5"/>
        <v>LU000959.006</v>
      </c>
      <c r="U44" s="29" t="str">
        <f ca="1">IFERROR(__xludf.dummyfunction("VLOOKUP(T44, IMPORTRANGE(""https://docs.google.com/spreadsheets/d/1yDAaXNsi4Mr5FtRQL4tbmSdIzhx6_m4wkOD7IG-k_eo/edit#gid=0"", ""Maths!M:N""), 2, FALSE)"),"#N/A")</f>
        <v>#N/A</v>
      </c>
      <c r="V44" s="16">
        <f ca="1">IFERROR(__xludf.dummyfunction("ArrayFormula(VLOOKUP(G44, IMPORTRANGE(""https://docs.google.com/spreadsheets/d/1p7R4vtkWt5VOBim4ltsDG9KTzSjrtKXsMtQGXPHyND0/edit#gid=795171502"", ""'Filter 30_05_2024'!A1:M2000""), {2, 3, 4, 5,6,7,8,9,10,11,12,13}, 0))"),4)</f>
        <v>4</v>
      </c>
      <c r="W44" s="16">
        <f ca="1">IFERROR(__xludf.dummyfunction("""COMPUTED_VALUE"""),6)</f>
        <v>6</v>
      </c>
      <c r="X44" s="16">
        <f ca="1">IFERROR(__xludf.dummyfunction("""COMPUTED_VALUE"""),2)</f>
        <v>2</v>
      </c>
      <c r="Y44" s="16">
        <f ca="1">IFERROR(__xludf.dummyfunction("""COMPUTED_VALUE"""),12)</f>
        <v>12</v>
      </c>
      <c r="Z44" s="16">
        <f ca="1">IFERROR(__xludf.dummyfunction("""COMPUTED_VALUE"""),4)</f>
        <v>4</v>
      </c>
      <c r="AA44" s="30">
        <f ca="1">IFERROR(__xludf.dummyfunction("""COMPUTED_VALUE"""),3)</f>
        <v>3</v>
      </c>
      <c r="AB44" s="30">
        <f ca="1">IFERROR(__xludf.dummyfunction("""COMPUTED_VALUE"""),1)</f>
        <v>1</v>
      </c>
      <c r="AC44" s="30">
        <f ca="1">IFERROR(__xludf.dummyfunction("""COMPUTED_VALUE"""),8)</f>
        <v>8</v>
      </c>
      <c r="AD44" s="16"/>
      <c r="AE44" s="30"/>
      <c r="AF44" s="30"/>
      <c r="AG44" s="30"/>
    </row>
    <row r="45" spans="1:33" ht="26.4">
      <c r="A45" s="25"/>
      <c r="B45" s="26" t="s">
        <v>29</v>
      </c>
      <c r="C45" s="26" t="s">
        <v>310</v>
      </c>
      <c r="D45" s="26">
        <v>6</v>
      </c>
      <c r="E45" s="27" t="s">
        <v>350</v>
      </c>
      <c r="F45" s="28"/>
      <c r="G45" s="27" t="s">
        <v>375</v>
      </c>
      <c r="H45" s="28" t="str">
        <f ca="1">IFERROR(__xludf.dummyfunction("IFERROR(
  VLOOKUP(G45, IMPORTRANGE(""https://docs.google.com/spreadsheets/d/14deopnvwcrKtEGCKuYXdUHJbeLDZlkiSSWWT0g7x2pM/edit#gid=849066331"", ""LU List Maths (Filter)!A:B""), 2, FALSE),
  IFERROR(
    VLOOKUP(G45, IMPORTRANGE(""https://docs.google.com/s"&amp;"preadsheets/d/14deopnvwcrKtEGCKuYXdUHJbeLDZlkiSSWWT0g7x2pM/edit#gid=849066331"", ""LU List Science (Filter)!A:B""), 2, FALSE),
    ""Not Found""
  )
)
"),"Examination of associative property for division of whole numbers")</f>
        <v>Examination of associative property for division of whole numbers</v>
      </c>
      <c r="I45" s="28"/>
      <c r="J45" s="29" t="str">
        <f t="shared" si="0"/>
        <v>LU000963.001</v>
      </c>
      <c r="K45" s="29" t="str">
        <f ca="1">IFERROR(__xludf.dummyfunction("VLOOKUP(J45, IMPORTRANGE(""https://docs.google.com/spreadsheets/d/1yDAaXNsi4Mr5FtRQL4tbmSdIzhx6_m4wkOD7IG-k_eo/edit#gid=0"", ""Maths!M:N""), 2, FALSE)"),"State that the associative property does not hold for the division of whole numbers.")</f>
        <v>State that the associative property does not hold for the division of whole numbers.</v>
      </c>
      <c r="L45" s="29" t="str">
        <f t="shared" si="1"/>
        <v>LU000963.002</v>
      </c>
      <c r="M45" s="29" t="str">
        <f ca="1">IFERROR(__xludf.dummyfunction("VLOOKUP(L45, IMPORTRANGE(""https://docs.google.com/spreadsheets/d/1yDAaXNsi4Mr5FtRQL4tbmSdIzhx6_m4wkOD7IG-k_eo/edit#gid=0"", ""Maths!M:N""), 2, FALSE)"),"Explain why the associative property is not applicable to division of whole numbers.")</f>
        <v>Explain why the associative property is not applicable to division of whole numbers.</v>
      </c>
      <c r="N45" s="29" t="str">
        <f t="shared" si="2"/>
        <v>LU000963.003</v>
      </c>
      <c r="O45" s="29" t="str">
        <f ca="1">IFERROR(__xludf.dummyfunction("VLOOKUP(N45, IMPORTRANGE(""https://docs.google.com/spreadsheets/d/1yDAaXNsi4Mr5FtRQL4tbmSdIzhx6_m4wkOD7IG-k_eo/edit#gid=0"", ""Maths!M:N""), 2, FALSE)"),"Identify examples where division of whole numbers demonstrates the non-associativity.")</f>
        <v>Identify examples where division of whole numbers demonstrates the non-associativity.</v>
      </c>
      <c r="P45" s="29" t="str">
        <f t="shared" si="3"/>
        <v>LU000963.004</v>
      </c>
      <c r="Q45" s="29" t="str">
        <f ca="1">IFERROR(__xludf.dummyfunction("VLOOKUP(P45, IMPORTRANGE(""https://docs.google.com/spreadsheets/d/1yDAaXNsi4Mr5FtRQL4tbmSdIzhx6_m4wkOD7IG-k_eo/edit#gid=0"", ""Maths!M:N""), 2, FALSE)"),"Analyse a range of division problems involving whole numbers to highlight the failure of the associative property.")</f>
        <v>Analyse a range of division problems involving whole numbers to highlight the failure of the associative property.</v>
      </c>
      <c r="R45" s="29" t="str">
        <f t="shared" si="4"/>
        <v>LU000963.005</v>
      </c>
      <c r="S45" s="29" t="str">
        <f ca="1">IFERROR(__xludf.dummyfunction("VLOOKUP(R45, IMPORTRANGE(""https://docs.google.com/spreadsheets/d/1yDAaXNsi4Mr5FtRQL4tbmSdIzhx6_m4wkOD7IG-k_eo/edit#gid=0"", ""Maths!M:N""), 2, FALSE)"),"Evaluate the correctness of statements regarding the non-applicability of the associative property in division involving whole numbers.")</f>
        <v>Evaluate the correctness of statements regarding the non-applicability of the associative property in division involving whole numbers.</v>
      </c>
      <c r="T45" s="29" t="str">
        <f t="shared" si="5"/>
        <v>LU000963.006</v>
      </c>
      <c r="U45" s="29" t="str">
        <f ca="1">IFERROR(__xludf.dummyfunction("VLOOKUP(T45, IMPORTRANGE(""https://docs.google.com/spreadsheets/d/1yDAaXNsi4Mr5FtRQL4tbmSdIzhx6_m4wkOD7IG-k_eo/edit#gid=0"", ""Maths!M:N""), 2, FALSE)"),"#N/A")</f>
        <v>#N/A</v>
      </c>
      <c r="V45" s="16">
        <f ca="1">IFERROR(__xludf.dummyfunction("ArrayFormula(VLOOKUP(G45, IMPORTRANGE(""https://docs.google.com/spreadsheets/d/1p7R4vtkWt5VOBim4ltsDG9KTzSjrtKXsMtQGXPHyND0/edit#gid=795171502"", ""'Filter 30_05_2024'!A1:M2000""), {2, 3, 4, 5,6,7,8,9,10,11,12,13}, 0))"),4)</f>
        <v>4</v>
      </c>
      <c r="W45" s="16">
        <f ca="1">IFERROR(__xludf.dummyfunction("""COMPUTED_VALUE"""),6)</f>
        <v>6</v>
      </c>
      <c r="X45" s="16">
        <f ca="1">IFERROR(__xludf.dummyfunction("""COMPUTED_VALUE"""),2)</f>
        <v>2</v>
      </c>
      <c r="Y45" s="16">
        <f ca="1">IFERROR(__xludf.dummyfunction("""COMPUTED_VALUE"""),12)</f>
        <v>12</v>
      </c>
      <c r="Z45" s="16">
        <f ca="1">IFERROR(__xludf.dummyfunction("""COMPUTED_VALUE"""),4)</f>
        <v>4</v>
      </c>
      <c r="AA45" s="30">
        <f ca="1">IFERROR(__xludf.dummyfunction("""COMPUTED_VALUE"""),3)</f>
        <v>3</v>
      </c>
      <c r="AB45" s="30">
        <f ca="1">IFERROR(__xludf.dummyfunction("""COMPUTED_VALUE"""),1)</f>
        <v>1</v>
      </c>
      <c r="AC45" s="30">
        <f ca="1">IFERROR(__xludf.dummyfunction("""COMPUTED_VALUE"""),8)</f>
        <v>8</v>
      </c>
      <c r="AD45" s="16"/>
      <c r="AE45" s="30"/>
      <c r="AF45" s="30"/>
      <c r="AG45" s="30"/>
    </row>
    <row r="46" spans="1:33" ht="26.4">
      <c r="A46" s="25"/>
      <c r="B46" s="26" t="s">
        <v>29</v>
      </c>
      <c r="C46" s="26" t="s">
        <v>310</v>
      </c>
      <c r="D46" s="26">
        <v>6</v>
      </c>
      <c r="E46" s="27" t="s">
        <v>350</v>
      </c>
      <c r="F46" s="28" t="s">
        <v>376</v>
      </c>
      <c r="G46" s="27" t="s">
        <v>377</v>
      </c>
      <c r="H46" s="28" t="str">
        <f ca="1">IFERROR(__xludf.dummyfunction("IFERROR(
  VLOOKUP(G46, IMPORTRANGE(""https://docs.google.com/spreadsheets/d/14deopnvwcrKtEGCKuYXdUHJbeLDZlkiSSWWT0g7x2pM/edit#gid=849066331"", ""LU List Maths (Filter)!A:B""), 2, FALSE),
  IFERROR(
    VLOOKUP(G46, IMPORTRANGE(""https://docs.google.com/s"&amp;"preadsheets/d/14deopnvwcrKtEGCKuYXdUHJbeLDZlkiSSWWT0g7x2pM/edit#gid=849066331"", ""LU List Science (Filter)!A:B""), 2, FALSE),
    ""Not Found""
  )
)
"),"Representation of whole numbers on a number line")</f>
        <v>Representation of whole numbers on a number line</v>
      </c>
      <c r="I46" s="28"/>
      <c r="J46" s="29" t="str">
        <f t="shared" si="0"/>
        <v>LU000179.001</v>
      </c>
      <c r="K46" s="29" t="str">
        <f ca="1">IFERROR(__xludf.dummyfunction("VLOOKUP(J46, IMPORTRANGE(""https://docs.google.com/spreadsheets/d/1yDAaXNsi4Mr5FtRQL4tbmSdIzhx6_m4wkOD7IG-k_eo/edit#gid=0"", ""Maths!M:N""), 2, FALSE)"),"Define and represent number line for whole numbers.")</f>
        <v>Define and represent number line for whole numbers.</v>
      </c>
      <c r="L46" s="29" t="str">
        <f t="shared" si="1"/>
        <v>LU000179.002</v>
      </c>
      <c r="M46" s="29" t="str">
        <f ca="1">IFERROR(__xludf.dummyfunction("VLOOKUP(L46, IMPORTRANGE(""https://docs.google.com/spreadsheets/d/1yDAaXNsi4Mr5FtRQL4tbmSdIzhx6_m4wkOD7IG-k_eo/edit#gid=0"", ""Maths!M:N""), 2, FALSE)"),"Interpret the relationship between whole numbers and their placements on a number line.")</f>
        <v>Interpret the relationship between whole numbers and their placements on a number line.</v>
      </c>
      <c r="N46" s="29" t="str">
        <f t="shared" si="2"/>
        <v>LU000179.003</v>
      </c>
      <c r="O46" s="29" t="str">
        <f ca="1">IFERROR(__xludf.dummyfunction("VLOOKUP(N46, IMPORTRANGE(""https://docs.google.com/spreadsheets/d/1yDAaXNsi4Mr5FtRQL4tbmSdIzhx6_m4wkOD7IG-k_eo/edit#gid=0"", ""Maths!M:N""), 2, FALSE)"),"Apply the skill of placing whole numbers on a number line to accurately represent and compare them.")</f>
        <v>Apply the skill of placing whole numbers on a number line to accurately represent and compare them.</v>
      </c>
      <c r="P46" s="29" t="str">
        <f t="shared" si="3"/>
        <v>LU000179.004</v>
      </c>
      <c r="Q46" s="29" t="str">
        <f ca="1">IFERROR(__xludf.dummyfunction("VLOOKUP(P46, IMPORTRANGE(""https://docs.google.com/spreadsheets/d/1yDAaXNsi4Mr5FtRQL4tbmSdIzhx6_m4wkOD7IG-k_eo/edit#gid=0"", ""Maths!M:N""), 2, FALSE)"),"Analyse the relationship between the position of whole numbers on a number line and their numerical values, identifying patterns and intervals.")</f>
        <v>Analyse the relationship between the position of whole numbers on a number line and their numerical values, identifying patterns and intervals.</v>
      </c>
      <c r="R46" s="29" t="str">
        <f t="shared" si="4"/>
        <v>LU000179.005</v>
      </c>
      <c r="S46" s="29" t="str">
        <f ca="1">IFERROR(__xludf.dummyfunction("VLOOKUP(R46, IMPORTRANGE(""https://docs.google.com/spreadsheets/d/1yDAaXNsi4Mr5FtRQL4tbmSdIzhx6_m4wkOD7IG-k_eo/edit#gid=0"", ""Maths!M:N""), 2, FALSE)"),"Evaluate the effectiveness of using a number line to visualise and compare whole numbers.")</f>
        <v>Evaluate the effectiveness of using a number line to visualise and compare whole numbers.</v>
      </c>
      <c r="T46" s="29" t="str">
        <f t="shared" si="5"/>
        <v>LU000179.006</v>
      </c>
      <c r="U46" s="29" t="str">
        <f ca="1">IFERROR(__xludf.dummyfunction("VLOOKUP(T46, IMPORTRANGE(""https://docs.google.com/spreadsheets/d/1yDAaXNsi4Mr5FtRQL4tbmSdIzhx6_m4wkOD7IG-k_eo/edit#gid=0"", ""Maths!M:N""), 2, FALSE)"),"Design a series of exercises that require placing various whole numbers on a number line.")</f>
        <v>Design a series of exercises that require placing various whole numbers on a number line.</v>
      </c>
      <c r="V46" s="16">
        <f ca="1">IFERROR(__xludf.dummyfunction("ArrayFormula(VLOOKUP(G46, IMPORTRANGE(""https://docs.google.com/spreadsheets/d/1p7R4vtkWt5VOBim4ltsDG9KTzSjrtKXsMtQGXPHyND0/edit#gid=795171502"", ""'Filter 30_05_2024'!A1:M2000""), {2, 3, 4, 5,6,7,8,9,10,11,12,13}, 0))"),4)</f>
        <v>4</v>
      </c>
      <c r="W46" s="16">
        <f ca="1">IFERROR(__xludf.dummyfunction("""COMPUTED_VALUE"""),11)</f>
        <v>11</v>
      </c>
      <c r="X46" s="16">
        <f ca="1">IFERROR(__xludf.dummyfunction("""COMPUTED_VALUE"""),2)</f>
        <v>2</v>
      </c>
      <c r="Y46" s="16">
        <f ca="1">IFERROR(__xludf.dummyfunction("""COMPUTED_VALUE"""),17)</f>
        <v>17</v>
      </c>
      <c r="Z46" s="16">
        <f ca="1">IFERROR(__xludf.dummyfunction("""COMPUTED_VALUE"""),5)</f>
        <v>5</v>
      </c>
      <c r="AA46" s="30">
        <f ca="1">IFERROR(__xludf.dummyfunction("""COMPUTED_VALUE"""),7)</f>
        <v>7</v>
      </c>
      <c r="AB46" s="30">
        <f ca="1">IFERROR(__xludf.dummyfunction("""COMPUTED_VALUE"""),1)</f>
        <v>1</v>
      </c>
      <c r="AC46" s="30">
        <f ca="1">IFERROR(__xludf.dummyfunction("""COMPUTED_VALUE"""),13)</f>
        <v>13</v>
      </c>
      <c r="AD46" s="16"/>
      <c r="AE46" s="30"/>
      <c r="AF46" s="30"/>
      <c r="AG46" s="30"/>
    </row>
    <row r="47" spans="1:33" ht="39.6">
      <c r="A47" s="25"/>
      <c r="B47" s="26" t="s">
        <v>29</v>
      </c>
      <c r="C47" s="26" t="s">
        <v>310</v>
      </c>
      <c r="D47" s="26">
        <v>6</v>
      </c>
      <c r="E47" s="27" t="s">
        <v>350</v>
      </c>
      <c r="F47" s="28" t="s">
        <v>378</v>
      </c>
      <c r="G47" s="27" t="s">
        <v>379</v>
      </c>
      <c r="H47" s="28" t="str">
        <f ca="1">IFERROR(__xludf.dummyfunction("IFERROR(
  VLOOKUP(G47, IMPORTRANGE(""https://docs.google.com/spreadsheets/d/14deopnvwcrKtEGCKuYXdUHJbeLDZlkiSSWWT0g7x2pM/edit#gid=849066331"", ""LU List Maths (Filter)!A:B""), 2, FALSE),
  IFERROR(
    VLOOKUP(G47, IMPORTRANGE(""https://docs.google.com/s"&amp;"preadsheets/d/14deopnvwcrKtEGCKuYXdUHJbeLDZlkiSSWWT0g7x2pM/edit#gid=849066331"", ""LU List Science (Filter)!A:B""), 2, FALSE),
    ""Not Found""
  )
)
"),"Addition of whole numbers on number line")</f>
        <v>Addition of whole numbers on number line</v>
      </c>
      <c r="I47" s="28"/>
      <c r="J47" s="29" t="str">
        <f t="shared" si="0"/>
        <v>LU000180.001</v>
      </c>
      <c r="K47" s="29" t="str">
        <f ca="1">IFERROR(__xludf.dummyfunction("VLOOKUP(J47, IMPORTRANGE(""https://docs.google.com/spreadsheets/d/1yDAaXNsi4Mr5FtRQL4tbmSdIzhx6_m4wkOD7IG-k_eo/edit#gid=0"", ""Maths!M:N""), 2, FALSE)"),"List the steps involved in performing addition of whole numbers on a number line.")</f>
        <v>List the steps involved in performing addition of whole numbers on a number line.</v>
      </c>
      <c r="L47" s="29" t="str">
        <f t="shared" si="1"/>
        <v>LU000180.002</v>
      </c>
      <c r="M47" s="29" t="str">
        <f ca="1">IFERROR(__xludf.dummyfunction("VLOOKUP(L47, IMPORTRANGE(""https://docs.google.com/spreadsheets/d/1yDAaXNsi4Mr5FtRQL4tbmSdIzhx6_m4wkOD7IG-k_eo/edit#gid=0"", ""Maths!M:N""), 2, FALSE)"),"Explain how the concept of adding whole numbers on a number line involves finding the sum between their individual values.")</f>
        <v>Explain how the concept of adding whole numbers on a number line involves finding the sum between their individual values.</v>
      </c>
      <c r="N47" s="29" t="str">
        <f t="shared" si="2"/>
        <v>LU000180.003</v>
      </c>
      <c r="O47" s="29" t="str">
        <f ca="1">IFERROR(__xludf.dummyfunction("VLOOKUP(N47, IMPORTRANGE(""https://docs.google.com/spreadsheets/d/1yDAaXNsi4Mr5FtRQL4tbmSdIzhx6_m4wkOD7IG-k_eo/edit#gid=0"", ""Maths!M:N""), 2, FALSE)"),"Real-world applications of addition of whole numbers on the number line.")</f>
        <v>Real-world applications of addition of whole numbers on the number line.</v>
      </c>
      <c r="P47" s="29" t="str">
        <f t="shared" si="3"/>
        <v>LU000180.004</v>
      </c>
      <c r="Q47" s="29" t="str">
        <f ca="1">IFERROR(__xludf.dummyfunction("VLOOKUP(P47, IMPORTRANGE(""https://docs.google.com/spreadsheets/d/1yDAaXNsi4Mr5FtRQL4tbmSdIzhx6_m4wkOD7IG-k_eo/edit#gid=0"", ""Maths!M:N""), 2, FALSE)"),"Analyse the changes in position along a number line caused by the addition of different whole numbers.")</f>
        <v>Analyse the changes in position along a number line caused by the addition of different whole numbers.</v>
      </c>
      <c r="R47" s="29" t="str">
        <f t="shared" si="4"/>
        <v>LU000180.005</v>
      </c>
      <c r="S47" s="29" t="str">
        <f ca="1">IFERROR(__xludf.dummyfunction("VLOOKUP(R47, IMPORTRANGE(""https://docs.google.com/spreadsheets/d/1yDAaXNsi4Mr5FtRQL4tbmSdIzhx6_m4wkOD7IG-k_eo/edit#gid=0"", ""Maths!M:N""), 2, FALSE)"),"Evaluate and justify the results of addition operations with whole numbers performed on a number line.")</f>
        <v>Evaluate and justify the results of addition operations with whole numbers performed on a number line.</v>
      </c>
      <c r="T47" s="29" t="str">
        <f t="shared" si="5"/>
        <v>LU000180.006</v>
      </c>
      <c r="U47" s="29" t="str">
        <f ca="1">IFERROR(__xludf.dummyfunction("VLOOKUP(T47, IMPORTRANGE(""https://docs.google.com/spreadsheets/d/1yDAaXNsi4Mr5FtRQL4tbmSdIzhx6_m4wkOD7IG-k_eo/edit#gid=0"", ""Maths!M:N""), 2, FALSE)"),"Develop word problems that require the application of addition of whole numbers on a number line to solve real-world situations.")</f>
        <v>Develop word problems that require the application of addition of whole numbers on a number line to solve real-world situations.</v>
      </c>
      <c r="V47" s="16">
        <f ca="1">IFERROR(__xludf.dummyfunction("ArrayFormula(VLOOKUP(G47, IMPORTRANGE(""https://docs.google.com/spreadsheets/d/1p7R4vtkWt5VOBim4ltsDG9KTzSjrtKXsMtQGXPHyND0/edit#gid=795171502"", ""'Filter 30_05_2024'!A1:M2000""), {2, 3, 4, 5,6,7,8,9,10,11,12,13}, 0))"),6)</f>
        <v>6</v>
      </c>
      <c r="W47" s="16">
        <f ca="1">IFERROR(__xludf.dummyfunction("""COMPUTED_VALUE"""),5)</f>
        <v>5</v>
      </c>
      <c r="X47" s="16">
        <f ca="1">IFERROR(__xludf.dummyfunction("""COMPUTED_VALUE"""),2)</f>
        <v>2</v>
      </c>
      <c r="Y47" s="16">
        <f ca="1">IFERROR(__xludf.dummyfunction("""COMPUTED_VALUE"""),13)</f>
        <v>13</v>
      </c>
      <c r="Z47" s="16">
        <f ca="1">IFERROR(__xludf.dummyfunction("""COMPUTED_VALUE"""),4)</f>
        <v>4</v>
      </c>
      <c r="AA47" s="30">
        <f ca="1">IFERROR(__xludf.dummyfunction("""COMPUTED_VALUE"""),5)</f>
        <v>5</v>
      </c>
      <c r="AB47" s="30">
        <f ca="1">IFERROR(__xludf.dummyfunction("""COMPUTED_VALUE"""),1)</f>
        <v>1</v>
      </c>
      <c r="AC47" s="30">
        <f ca="1">IFERROR(__xludf.dummyfunction("""COMPUTED_VALUE"""),10)</f>
        <v>10</v>
      </c>
      <c r="AD47" s="16"/>
      <c r="AE47" s="30"/>
      <c r="AF47" s="30"/>
      <c r="AG47" s="30"/>
    </row>
    <row r="48" spans="1:33" ht="13.8">
      <c r="A48" s="25"/>
      <c r="B48" s="26" t="s">
        <v>29</v>
      </c>
      <c r="C48" s="26" t="s">
        <v>310</v>
      </c>
      <c r="D48" s="26">
        <v>6</v>
      </c>
      <c r="E48" s="27" t="s">
        <v>350</v>
      </c>
      <c r="F48" s="28"/>
      <c r="G48" s="27" t="s">
        <v>380</v>
      </c>
      <c r="H48" s="28" t="str">
        <f ca="1">IFERROR(__xludf.dummyfunction("IFERROR(
  VLOOKUP(G48, IMPORTRANGE(""https://docs.google.com/spreadsheets/d/14deopnvwcrKtEGCKuYXdUHJbeLDZlkiSSWWT0g7x2pM/edit#gid=849066331"", ""LU List Maths (Filter)!A:B""), 2, FALSE),
  IFERROR(
    VLOOKUP(G48, IMPORTRANGE(""https://docs.google.com/s"&amp;"preadsheets/d/14deopnvwcrKtEGCKuYXdUHJbeLDZlkiSSWWT0g7x2pM/edit#gid=849066331"", ""LU List Science (Filter)!A:B""), 2, FALSE),
    ""Not Found""
  )
)
"),"Subtraction of whole numbers on number line")</f>
        <v>Subtraction of whole numbers on number line</v>
      </c>
      <c r="I48" s="28"/>
      <c r="J48" s="29" t="str">
        <f t="shared" si="0"/>
        <v>LU000181.001</v>
      </c>
      <c r="K48" s="29" t="str">
        <f ca="1">IFERROR(__xludf.dummyfunction("VLOOKUP(J48, IMPORTRANGE(""https://docs.google.com/spreadsheets/d/1yDAaXNsi4Mr5FtRQL4tbmSdIzhx6_m4wkOD7IG-k_eo/edit#gid=0"", ""Maths!M:N""), 2, FALSE)"),"List the steps involved in performing subtraction of whole numbers on a number line.")</f>
        <v>List the steps involved in performing subtraction of whole numbers on a number line.</v>
      </c>
      <c r="L48" s="29" t="str">
        <f t="shared" si="1"/>
        <v>LU000181.002</v>
      </c>
      <c r="M48" s="29" t="str">
        <f ca="1">IFERROR(__xludf.dummyfunction("VLOOKUP(L48, IMPORTRANGE(""https://docs.google.com/spreadsheets/d/1yDAaXNsi4Mr5FtRQL4tbmSdIzhx6_m4wkOD7IG-k_eo/edit#gid=0"", ""Maths!M:N""), 2, FALSE)"),"Explain how the concept of subtracting whole numbers on a number line involves finding the difference between their individual values.")</f>
        <v>Explain how the concept of subtracting whole numbers on a number line involves finding the difference between their individual values.</v>
      </c>
      <c r="N48" s="29" t="str">
        <f t="shared" si="2"/>
        <v>LU000181.003</v>
      </c>
      <c r="O48" s="29" t="str">
        <f ca="1">IFERROR(__xludf.dummyfunction("VLOOKUP(N48, IMPORTRANGE(""https://docs.google.com/spreadsheets/d/1yDAaXNsi4Mr5FtRQL4tbmSdIzhx6_m4wkOD7IG-k_eo/edit#gid=0"", ""Maths!M:N""), 2, FALSE)"),"Real-world applications of subtraction of whole numbers on the number line.")</f>
        <v>Real-world applications of subtraction of whole numbers on the number line.</v>
      </c>
      <c r="P48" s="29" t="str">
        <f t="shared" si="3"/>
        <v>LU000181.004</v>
      </c>
      <c r="Q48" s="29" t="str">
        <f ca="1">IFERROR(__xludf.dummyfunction("VLOOKUP(P48, IMPORTRANGE(""https://docs.google.com/spreadsheets/d/1yDAaXNsi4Mr5FtRQL4tbmSdIzhx6_m4wkOD7IG-k_eo/edit#gid=0"", ""Maths!M:N""), 2, FALSE)"),"Analyse the changes in position along a number line caused by the subtraction of different whole numbers.")</f>
        <v>Analyse the changes in position along a number line caused by the subtraction of different whole numbers.</v>
      </c>
      <c r="R48" s="29" t="str">
        <f t="shared" si="4"/>
        <v>LU000181.005</v>
      </c>
      <c r="S48" s="29" t="str">
        <f ca="1">IFERROR(__xludf.dummyfunction("VLOOKUP(R48, IMPORTRANGE(""https://docs.google.com/spreadsheets/d/1yDAaXNsi4Mr5FtRQL4tbmSdIzhx6_m4wkOD7IG-k_eo/edit#gid=0"", ""Maths!M:N""), 2, FALSE)"),"Evaluate and justify the results of subtraction operations with whole numbers performed on a number line.")</f>
        <v>Evaluate and justify the results of subtraction operations with whole numbers performed on a number line.</v>
      </c>
      <c r="T48" s="29" t="str">
        <f t="shared" si="5"/>
        <v>LU000181.006</v>
      </c>
      <c r="U48" s="29" t="str">
        <f ca="1">IFERROR(__xludf.dummyfunction("VLOOKUP(T48, IMPORTRANGE(""https://docs.google.com/spreadsheets/d/1yDAaXNsi4Mr5FtRQL4tbmSdIzhx6_m4wkOD7IG-k_eo/edit#gid=0"", ""Maths!M:N""), 2, FALSE)"),"Develop word problems that require the application of subtraction on a number line to solve real-world situations.")</f>
        <v>Develop word problems that require the application of subtraction on a number line to solve real-world situations.</v>
      </c>
      <c r="V48" s="16">
        <f ca="1">IFERROR(__xludf.dummyfunction("ArrayFormula(VLOOKUP(G48, IMPORTRANGE(""https://docs.google.com/spreadsheets/d/1p7R4vtkWt5VOBim4ltsDG9KTzSjrtKXsMtQGXPHyND0/edit#gid=795171502"", ""'Filter 30_05_2024'!A1:M2000""), {2, 3, 4, 5,6,7,8,9,10,11,12,13}, 0))"),4)</f>
        <v>4</v>
      </c>
      <c r="W48" s="16">
        <f ca="1">IFERROR(__xludf.dummyfunction("""COMPUTED_VALUE"""),4)</f>
        <v>4</v>
      </c>
      <c r="X48" s="16">
        <f ca="1">IFERROR(__xludf.dummyfunction("""COMPUTED_VALUE"""),3)</f>
        <v>3</v>
      </c>
      <c r="Y48" s="16">
        <f ca="1">IFERROR(__xludf.dummyfunction("""COMPUTED_VALUE"""),11)</f>
        <v>11</v>
      </c>
      <c r="Z48" s="16">
        <f ca="1">IFERROR(__xludf.dummyfunction("""COMPUTED_VALUE"""),4)</f>
        <v>4</v>
      </c>
      <c r="AA48" s="30">
        <f ca="1">IFERROR(__xludf.dummyfunction("""COMPUTED_VALUE"""),5)</f>
        <v>5</v>
      </c>
      <c r="AB48" s="30">
        <f ca="1">IFERROR(__xludf.dummyfunction("""COMPUTED_VALUE"""),1)</f>
        <v>1</v>
      </c>
      <c r="AC48" s="30">
        <f ca="1">IFERROR(__xludf.dummyfunction("""COMPUTED_VALUE"""),10)</f>
        <v>10</v>
      </c>
      <c r="AD48" s="16"/>
      <c r="AE48" s="30"/>
      <c r="AF48" s="30"/>
      <c r="AG48" s="30"/>
    </row>
    <row r="49" spans="1:33" ht="26.4">
      <c r="A49" s="25"/>
      <c r="B49" s="26" t="s">
        <v>29</v>
      </c>
      <c r="C49" s="26" t="s">
        <v>310</v>
      </c>
      <c r="D49" s="26">
        <v>6</v>
      </c>
      <c r="E49" s="27" t="s">
        <v>350</v>
      </c>
      <c r="F49" s="28"/>
      <c r="G49" s="27" t="s">
        <v>381</v>
      </c>
      <c r="H49" s="28" t="str">
        <f ca="1">IFERROR(__xludf.dummyfunction("IFERROR(
  VLOOKUP(G49, IMPORTRANGE(""https://docs.google.com/spreadsheets/d/14deopnvwcrKtEGCKuYXdUHJbeLDZlkiSSWWT0g7x2pM/edit#gid=849066331"", ""LU List Maths (Filter)!A:B""), 2, FALSE),
  IFERROR(
    VLOOKUP(G49, IMPORTRANGE(""https://docs.google.com/s"&amp;"preadsheets/d/14deopnvwcrKtEGCKuYXdUHJbeLDZlkiSSWWT0g7x2pM/edit#gid=849066331"", ""LU List Science (Filter)!A:B""), 2, FALSE),
    ""Not Found""
  )
)
"),"Multiplication of whole numbers on number line")</f>
        <v>Multiplication of whole numbers on number line</v>
      </c>
      <c r="I49" s="28"/>
      <c r="J49" s="29" t="str">
        <f t="shared" si="0"/>
        <v>LU000182.001</v>
      </c>
      <c r="K49" s="29" t="str">
        <f ca="1">IFERROR(__xludf.dummyfunction("VLOOKUP(J49, IMPORTRANGE(""https://docs.google.com/spreadsheets/d/1yDAaXNsi4Mr5FtRQL4tbmSdIzhx6_m4wkOD7IG-k_eo/edit#gid=0"", ""Maths!M:N""), 2, FALSE)"),"List the steps involved in performing multiplication of whole numbers on a number line.")</f>
        <v>List the steps involved in performing multiplication of whole numbers on a number line.</v>
      </c>
      <c r="L49" s="29" t="str">
        <f t="shared" si="1"/>
        <v>LU000182.002</v>
      </c>
      <c r="M49" s="29" t="str">
        <f ca="1">IFERROR(__xludf.dummyfunction("VLOOKUP(L49, IMPORTRANGE(""https://docs.google.com/spreadsheets/d/1yDAaXNsi4Mr5FtRQL4tbmSdIzhx6_m4wkOD7IG-k_eo/edit#gid=0"", ""Maths!M:N""), 2, FALSE)"),"Explain how the concept of multiplying whole numbers on a number line involves repeated addition and understanding of equal groups.")</f>
        <v>Explain how the concept of multiplying whole numbers on a number line involves repeated addition and understanding of equal groups.</v>
      </c>
      <c r="N49" s="29" t="str">
        <f t="shared" si="2"/>
        <v>LU000182.003</v>
      </c>
      <c r="O49" s="29" t="str">
        <f ca="1">IFERROR(__xludf.dummyfunction("VLOOKUP(N49, IMPORTRANGE(""https://docs.google.com/spreadsheets/d/1yDAaXNsi4Mr5FtRQL4tbmSdIzhx6_m4wkOD7IG-k_eo/edit#gid=0"", ""Maths!M:N""), 2, FALSE)"),"Real-world applications of multiplication of whole numbers on the number line.")</f>
        <v>Real-world applications of multiplication of whole numbers on the number line.</v>
      </c>
      <c r="P49" s="29" t="str">
        <f t="shared" si="3"/>
        <v>LU000182.004</v>
      </c>
      <c r="Q49" s="29" t="str">
        <f ca="1">IFERROR(__xludf.dummyfunction("VLOOKUP(P49, IMPORTRANGE(""https://docs.google.com/spreadsheets/d/1yDAaXNsi4Mr5FtRQL4tbmSdIzhx6_m4wkOD7IG-k_eo/edit#gid=0"", ""Maths!M:N""), 2, FALSE)"),"Compare the multiplication process using a number line with other methods of multiplication.")</f>
        <v>Compare the multiplication process using a number line with other methods of multiplication.</v>
      </c>
      <c r="R49" s="29" t="str">
        <f t="shared" si="4"/>
        <v>LU000182.005</v>
      </c>
      <c r="S49" s="29" t="str">
        <f ca="1">IFERROR(__xludf.dummyfunction("VLOOKUP(R49, IMPORTRANGE(""https://docs.google.com/spreadsheets/d/1yDAaXNsi4Mr5FtRQL4tbmSdIzhx6_m4wkOD7IG-k_eo/edit#gid=0"", ""Maths!M:N""), 2, FALSE)"),"Evaluate and justify the results of multiplication operations with whole numbers performed on a number line.")</f>
        <v>Evaluate and justify the results of multiplication operations with whole numbers performed on a number line.</v>
      </c>
      <c r="T49" s="29" t="str">
        <f t="shared" si="5"/>
        <v>LU000182.006</v>
      </c>
      <c r="U49" s="29" t="str">
        <f ca="1">IFERROR(__xludf.dummyfunction("VLOOKUP(T49, IMPORTRANGE(""https://docs.google.com/spreadsheets/d/1yDAaXNsi4Mr5FtRQL4tbmSdIzhx6_m4wkOD7IG-k_eo/edit#gid=0"", ""Maths!M:N""), 2, FALSE)"),"Create word problems that involve using a number line for solving real-world multiplication (whole numbers) situations.")</f>
        <v>Create word problems that involve using a number line for solving real-world multiplication (whole numbers) situations.</v>
      </c>
      <c r="V49" s="16">
        <f ca="1">IFERROR(__xludf.dummyfunction("ArrayFormula(VLOOKUP(G49, IMPORTRANGE(""https://docs.google.com/spreadsheets/d/1p7R4vtkWt5VOBim4ltsDG9KTzSjrtKXsMtQGXPHyND0/edit#gid=795171502"", ""'Filter 30_05_2024'!A1:M2000""), {2, 3, 4, 5,6,7,8,9,10,11,12,13}, 0))"),6)</f>
        <v>6</v>
      </c>
      <c r="W49" s="16">
        <f ca="1">IFERROR(__xludf.dummyfunction("""COMPUTED_VALUE"""),6)</f>
        <v>6</v>
      </c>
      <c r="X49" s="16">
        <f ca="1">IFERROR(__xludf.dummyfunction("""COMPUTED_VALUE"""),2)</f>
        <v>2</v>
      </c>
      <c r="Y49" s="16">
        <f ca="1">IFERROR(__xludf.dummyfunction("""COMPUTED_VALUE"""),14)</f>
        <v>14</v>
      </c>
      <c r="Z49" s="16">
        <f ca="1">IFERROR(__xludf.dummyfunction("""COMPUTED_VALUE"""),3)</f>
        <v>3</v>
      </c>
      <c r="AA49" s="30">
        <f ca="1">IFERROR(__xludf.dummyfunction("""COMPUTED_VALUE"""),5)</f>
        <v>5</v>
      </c>
      <c r="AB49" s="30">
        <f ca="1">IFERROR(__xludf.dummyfunction("""COMPUTED_VALUE"""),1)</f>
        <v>1</v>
      </c>
      <c r="AC49" s="30">
        <f ca="1">IFERROR(__xludf.dummyfunction("""COMPUTED_VALUE"""),9)</f>
        <v>9</v>
      </c>
      <c r="AD49" s="16"/>
      <c r="AE49" s="30"/>
      <c r="AF49" s="30"/>
      <c r="AG49" s="30"/>
    </row>
    <row r="50" spans="1:33" ht="26.4">
      <c r="A50" s="25"/>
      <c r="B50" s="26" t="s">
        <v>29</v>
      </c>
      <c r="C50" s="26" t="s">
        <v>310</v>
      </c>
      <c r="D50" s="26">
        <v>6</v>
      </c>
      <c r="E50" s="27" t="s">
        <v>350</v>
      </c>
      <c r="F50" s="28" t="s">
        <v>382</v>
      </c>
      <c r="G50" s="26" t="s">
        <v>383</v>
      </c>
      <c r="H50" s="28" t="str">
        <f ca="1">IFERROR(__xludf.dummyfunction("IFERROR(
  VLOOKUP(G50, IMPORTRANGE(""https://docs.google.com/spreadsheets/d/14deopnvwcrKtEGCKuYXdUHJbeLDZlkiSSWWT0g7x2pM/edit#gid=849066331"", ""LU List Maths (Filter)!A:B""), 2, FALSE),
  IFERROR(
    VLOOKUP(G50, IMPORTRANGE(""https://docs.google.com/s"&amp;"preadsheets/d/14deopnvwcrKtEGCKuYXdUHJbeLDZlkiSSWWT0g7x2pM/edit#gid=849066331"", ""LU List Science (Filter)!A:B""), 2, FALSE),
    ""Not Found""
  )
)
"),"Mixed operation of addition and subtraction of three or more whole numbers with number line.")</f>
        <v>Mixed operation of addition and subtraction of three or more whole numbers with number line.</v>
      </c>
      <c r="I50" s="28"/>
      <c r="J50" s="29" t="str">
        <f t="shared" si="0"/>
        <v>LU000968.001</v>
      </c>
      <c r="K50" s="29" t="str">
        <f ca="1">IFERROR(__xludf.dummyfunction("VLOOKUP(J50, IMPORTRANGE(""https://docs.google.com/spreadsheets/d/1yDAaXNsi4Mr5FtRQL4tbmSdIzhx6_m4wkOD7IG-k_eo/edit#gid=0"", ""Maths!M:N""), 2, FALSE)"),"Recall the use of a number line for whole numbers.")</f>
        <v>Recall the use of a number line for whole numbers.</v>
      </c>
      <c r="L50" s="29" t="str">
        <f t="shared" si="1"/>
        <v>LU000968.002</v>
      </c>
      <c r="M50" s="29" t="str">
        <f ca="1">IFERROR(__xludf.dummyfunction("VLOOKUP(L50, IMPORTRANGE(""https://docs.google.com/spreadsheets/d/1yDAaXNsi4Mr5FtRQL4tbmSdIzhx6_m4wkOD7IG-k_eo/edit#gid=0"", ""Maths!M:N""), 2, FALSE)"),"Explain how to use a number line for mixed operations involving addition and subtraction of three or more whole numbers.")</f>
        <v>Explain how to use a number line for mixed operations involving addition and subtraction of three or more whole numbers.</v>
      </c>
      <c r="N50" s="29" t="str">
        <f t="shared" si="2"/>
        <v>LU000968.003</v>
      </c>
      <c r="O50" s="29" t="str">
        <f ca="1">IFERROR(__xludf.dummyfunction("VLOOKUP(N50, IMPORTRANGE(""https://docs.google.com/spreadsheets/d/1yDAaXNsi4Mr5FtRQL4tbmSdIzhx6_m4wkOD7IG-k_eo/edit#gid=0"", ""Maths!M:N""), 2, FALSE)"),"Apply the number line method to solve mixed operations accurately.")</f>
        <v>Apply the number line method to solve mixed operations accurately.</v>
      </c>
      <c r="P50" s="29" t="str">
        <f t="shared" si="3"/>
        <v>LU000968.004</v>
      </c>
      <c r="Q50" s="29" t="str">
        <f ca="1">IFERROR(__xludf.dummyfunction("VLOOKUP(P50, IMPORTRANGE(""https://docs.google.com/spreadsheets/d/1yDAaXNsi4Mr5FtRQL4tbmSdIzhx6_m4wkOD7IG-k_eo/edit#gid=0"", ""Maths!M:N""), 2, FALSE)"),"Analyze complex problems by breaking them down into steps using the number line.")</f>
        <v>Analyze complex problems by breaking them down into steps using the number line.</v>
      </c>
      <c r="R50" s="29" t="str">
        <f t="shared" si="4"/>
        <v>LU000968.005</v>
      </c>
      <c r="S50" s="29" t="str">
        <f ca="1">IFERROR(__xludf.dummyfunction("VLOOKUP(R50, IMPORTRANGE(""https://docs.google.com/spreadsheets/d/1yDAaXNsi4Mr5FtRQL4tbmSdIzhx6_m4wkOD7IG-k_eo/edit#gid=0"", ""Maths!M:N""), 2, FALSE)"),"Evaluate solutions for correctness in mixed operations with the number line.")</f>
        <v>Evaluate solutions for correctness in mixed operations with the number line.</v>
      </c>
      <c r="T50" s="29" t="str">
        <f t="shared" si="5"/>
        <v>LU000968.006</v>
      </c>
      <c r="U50" s="29" t="str">
        <f ca="1">IFERROR(__xludf.dummyfunction("VLOOKUP(T50, IMPORTRANGE(""https://docs.google.com/spreadsheets/d/1yDAaXNsi4Mr5FtRQL4tbmSdIzhx6_m4wkOD7IG-k_eo/edit#gid=0"", ""Maths!M:N""), 2, FALSE)"),"#N/A")</f>
        <v>#N/A</v>
      </c>
      <c r="V50" s="16">
        <f ca="1">IFERROR(__xludf.dummyfunction("ArrayFormula(VLOOKUP(G50, IMPORTRANGE(""https://docs.google.com/spreadsheets/d/1p7R4vtkWt5VOBim4ltsDG9KTzSjrtKXsMtQGXPHyND0/edit#gid=795171502"", ""'Filter 30_05_2024'!A1:M2000""), {2, 3, 4, 5,6,7,8,9,10,11,12,13}, 0))"),4)</f>
        <v>4</v>
      </c>
      <c r="W50" s="16">
        <f ca="1">IFERROR(__xludf.dummyfunction("""COMPUTED_VALUE"""),6)</f>
        <v>6</v>
      </c>
      <c r="X50" s="16">
        <f ca="1">IFERROR(__xludf.dummyfunction("""COMPUTED_VALUE"""),2)</f>
        <v>2</v>
      </c>
      <c r="Y50" s="16">
        <f ca="1">IFERROR(__xludf.dummyfunction("""COMPUTED_VALUE"""),12)</f>
        <v>12</v>
      </c>
      <c r="Z50" s="16">
        <f ca="1">IFERROR(__xludf.dummyfunction("""COMPUTED_VALUE"""),4)</f>
        <v>4</v>
      </c>
      <c r="AA50" s="30">
        <f ca="1">IFERROR(__xludf.dummyfunction("""COMPUTED_VALUE"""),3)</f>
        <v>3</v>
      </c>
      <c r="AB50" s="30">
        <f ca="1">IFERROR(__xludf.dummyfunction("""COMPUTED_VALUE"""),1)</f>
        <v>1</v>
      </c>
      <c r="AC50" s="30">
        <f ca="1">IFERROR(__xludf.dummyfunction("""COMPUTED_VALUE"""),8)</f>
        <v>8</v>
      </c>
      <c r="AD50" s="16"/>
      <c r="AE50" s="30"/>
      <c r="AF50" s="30"/>
      <c r="AG50" s="30"/>
    </row>
    <row r="51" spans="1:33" ht="39.6">
      <c r="A51" s="25"/>
      <c r="B51" s="26" t="s">
        <v>29</v>
      </c>
      <c r="C51" s="26" t="s">
        <v>310</v>
      </c>
      <c r="D51" s="26">
        <v>6</v>
      </c>
      <c r="E51" s="27" t="s">
        <v>350</v>
      </c>
      <c r="F51" s="28"/>
      <c r="G51" s="26" t="s">
        <v>384</v>
      </c>
      <c r="H51" s="28" t="str">
        <f ca="1">IFERROR(__xludf.dummyfunction("IFERROR(
  VLOOKUP(G51, IMPORTRANGE(""https://docs.google.com/spreadsheets/d/14deopnvwcrKtEGCKuYXdUHJbeLDZlkiSSWWT0g7x2pM/edit#gid=849066331"", ""LU List Maths (Filter)!A:B""), 2, FALSE),
  IFERROR(
    VLOOKUP(G51, IMPORTRANGE(""https://docs.google.com/s"&amp;"preadsheets/d/14deopnvwcrKtEGCKuYXdUHJbeLDZlkiSSWWT0g7x2pM/edit#gid=849066331"", ""LU List Science (Filter)!A:B""), 2, FALSE),
    ""Not Found""
  )
)
"),"Mixed operation of addition and subtraction of three or more whole numbers without number line.")</f>
        <v>Mixed operation of addition and subtraction of three or more whole numbers without number line.</v>
      </c>
      <c r="I51" s="28"/>
      <c r="J51" s="29" t="str">
        <f t="shared" si="0"/>
        <v>LU000969.001</v>
      </c>
      <c r="K51" s="29" t="str">
        <f ca="1">IFERROR(__xludf.dummyfunction("VLOOKUP(J51, IMPORTRANGE(""https://docs.google.com/spreadsheets/d/1yDAaXNsi4Mr5FtRQL4tbmSdIzhx6_m4wkOD7IG-k_eo/edit#gid=0"", ""Maths!M:N""), 2, FALSE)"),"Recall rules for addition and subtraction of whole numbers.")</f>
        <v>Recall rules for addition and subtraction of whole numbers.</v>
      </c>
      <c r="L51" s="29" t="str">
        <f t="shared" si="1"/>
        <v>LU000969.002</v>
      </c>
      <c r="M51" s="29" t="str">
        <f ca="1">IFERROR(__xludf.dummyfunction("VLOOKUP(L51, IMPORTRANGE(""https://docs.google.com/spreadsheets/d/1yDAaXNsi4Mr5FtRQL4tbmSdIzhx6_m4wkOD7IG-k_eo/edit#gid=0"", ""Maths!M:N""), 2, FALSE)"),"Explain the concept of mixed operations with three or more whole numbers.")</f>
        <v>Explain the concept of mixed operations with three or more whole numbers.</v>
      </c>
      <c r="N51" s="29" t="str">
        <f t="shared" si="2"/>
        <v>LU000969.003</v>
      </c>
      <c r="O51" s="29" t="str">
        <f ca="1">IFERROR(__xludf.dummyfunction("VLOOKUP(N51, IMPORTRANGE(""https://docs.google.com/spreadsheets/d/1yDAaXNsi4Mr5FtRQL4tbmSdIzhx6_m4wkOD7IG-k_eo/edit#gid=0"", ""Maths!M:N""), 2, FALSE)"),"Apply mathematical techniques to solve mixed operations accurately.")</f>
        <v>Apply mathematical techniques to solve mixed operations accurately.</v>
      </c>
      <c r="P51" s="29" t="str">
        <f t="shared" si="3"/>
        <v>LU000969.004</v>
      </c>
      <c r="Q51" s="29" t="str">
        <f ca="1">IFERROR(__xludf.dummyfunction("VLOOKUP(P51, IMPORTRANGE(""https://docs.google.com/spreadsheets/d/1yDAaXNsi4Mr5FtRQL4tbmSdIzhx6_m4wkOD7IG-k_eo/edit#gid=0"", ""Maths!M:N""), 2, FALSE)"),"Break down complex mixed operation problems into sequential steps for accurate calculations.")</f>
        <v>Break down complex mixed operation problems into sequential steps for accurate calculations.</v>
      </c>
      <c r="R51" s="29" t="str">
        <f t="shared" si="4"/>
        <v>LU000969.005</v>
      </c>
      <c r="S51" s="29" t="str">
        <f ca="1">IFERROR(__xludf.dummyfunction("VLOOKUP(R51, IMPORTRANGE(""https://docs.google.com/spreadsheets/d/1yDAaXNsi4Mr5FtRQL4tbmSdIzhx6_m4wkOD7IG-k_eo/edit#gid=0"", ""Maths!M:N""), 2, FALSE)"),"Evaluate solutions to ensure correctness and provide explanations for errors.")</f>
        <v>Evaluate solutions to ensure correctness and provide explanations for errors.</v>
      </c>
      <c r="T51" s="29" t="str">
        <f t="shared" si="5"/>
        <v>LU000969.006</v>
      </c>
      <c r="U51" s="29" t="str">
        <f ca="1">IFERROR(__xludf.dummyfunction("VLOOKUP(T51, IMPORTRANGE(""https://docs.google.com/spreadsheets/d/1yDAaXNsi4Mr5FtRQL4tbmSdIzhx6_m4wkOD7IG-k_eo/edit#gid=0"", ""Maths!M:N""), 2, FALSE)"),"#N/A")</f>
        <v>#N/A</v>
      </c>
      <c r="V51" s="16">
        <f ca="1">IFERROR(__xludf.dummyfunction("ArrayFormula(VLOOKUP(G51, IMPORTRANGE(""https://docs.google.com/spreadsheets/d/1p7R4vtkWt5VOBim4ltsDG9KTzSjrtKXsMtQGXPHyND0/edit#gid=795171502"", ""'Filter 30_05_2024'!A1:M2000""), {2, 3, 4, 5,6,7,8,9,10,11,12,13}, 0))"),4)</f>
        <v>4</v>
      </c>
      <c r="W51" s="16">
        <f ca="1">IFERROR(__xludf.dummyfunction("""COMPUTED_VALUE"""),6)</f>
        <v>6</v>
      </c>
      <c r="X51" s="16">
        <f ca="1">IFERROR(__xludf.dummyfunction("""COMPUTED_VALUE"""),2)</f>
        <v>2</v>
      </c>
      <c r="Y51" s="16">
        <f ca="1">IFERROR(__xludf.dummyfunction("""COMPUTED_VALUE"""),12)</f>
        <v>12</v>
      </c>
      <c r="Z51" s="16">
        <f ca="1">IFERROR(__xludf.dummyfunction("""COMPUTED_VALUE"""),4)</f>
        <v>4</v>
      </c>
      <c r="AA51" s="30">
        <f ca="1">IFERROR(__xludf.dummyfunction("""COMPUTED_VALUE"""),3)</f>
        <v>3</v>
      </c>
      <c r="AB51" s="30">
        <f ca="1">IFERROR(__xludf.dummyfunction("""COMPUTED_VALUE"""),1)</f>
        <v>1</v>
      </c>
      <c r="AC51" s="30">
        <f ca="1">IFERROR(__xludf.dummyfunction("""COMPUTED_VALUE"""),8)</f>
        <v>8</v>
      </c>
      <c r="AD51" s="16"/>
      <c r="AE51" s="30"/>
      <c r="AF51" s="30"/>
      <c r="AG51" s="30"/>
    </row>
    <row r="52" spans="1:33" ht="13.8">
      <c r="A52" s="25"/>
      <c r="B52" s="26" t="s">
        <v>29</v>
      </c>
      <c r="C52" s="26" t="s">
        <v>310</v>
      </c>
      <c r="D52" s="26">
        <v>6</v>
      </c>
      <c r="E52" s="27" t="s">
        <v>385</v>
      </c>
      <c r="F52" s="32" t="s">
        <v>386</v>
      </c>
      <c r="G52" s="40" t="s">
        <v>387</v>
      </c>
      <c r="H52" s="28" t="str">
        <f ca="1">IFERROR(__xludf.dummyfunction("IFERROR(
  VLOOKUP(G52, IMPORTRANGE(""https://docs.google.com/spreadsheets/d/14deopnvwcrKtEGCKuYXdUHJbeLDZlkiSSWWT0g7x2pM/edit#gid=849066331"", ""LU List Maths (Filter)!A:B""), 2, FALSE),
  IFERROR(
    VLOOKUP(G52, IMPORTRANGE(""https://docs.google.com/s"&amp;"preadsheets/d/14deopnvwcrKtEGCKuYXdUHJbeLDZlkiSSWWT0g7x2pM/edit#gid=849066331"", ""LU List Science (Filter)!A:B""), 2, FALSE),
    ""Not Found""
  )
)
"),"Patterns in Numbers")</f>
        <v>Patterns in Numbers</v>
      </c>
      <c r="I52" s="28"/>
      <c r="J52" s="29" t="str">
        <f t="shared" si="0"/>
        <v>LU001344.001</v>
      </c>
      <c r="K52" s="29" t="str">
        <f ca="1">IFERROR(__xludf.dummyfunction("VLOOKUP(J52, IMPORTRANGE(""https://docs.google.com/spreadsheets/d/1yDAaXNsi4Mr5FtRQL4tbmSdIzhx6_m4wkOD7IG-k_eo/edit#gid=0"", ""Maths!M:N""), 2, FALSE)"),"Identify and recall common number sequences such as counting numbers, odd numbers, and even numbers.")</f>
        <v>Identify and recall common number sequences such as counting numbers, odd numbers, and even numbers.</v>
      </c>
      <c r="L52" s="29" t="str">
        <f t="shared" si="1"/>
        <v>LU001344.002</v>
      </c>
      <c r="M52" s="29" t="str">
        <f ca="1">IFERROR(__xludf.dummyfunction("VLOOKUP(L52, IMPORTRANGE(""https://docs.google.com/spreadsheets/d/1yDAaXNsi4Mr5FtRQL4tbmSdIzhx6_m4wkOD7IG-k_eo/edit#gid=0"", ""Maths!M:N""), 2, FALSE)"),"Explain the pattern and rule governing different number sequences.")</f>
        <v>Explain the pattern and rule governing different number sequences.</v>
      </c>
      <c r="N52" s="29" t="str">
        <f t="shared" si="2"/>
        <v>LU001344.003</v>
      </c>
      <c r="O52" s="29" t="str">
        <f ca="1">IFERROR(__xludf.dummyfunction("VLOOKUP(N52, IMPORTRANGE(""https://docs.google.com/spreadsheets/d/1yDAaXNsi4Mr5FtRQL4tbmSdIzhx6_m4wkOD7IG-k_eo/edit#gid=0"", ""Maths!M:N""), 2, FALSE)"),"Use the rules of number sequences to predict the next numbers in a given pattern.")</f>
        <v>Use the rules of number sequences to predict the next numbers in a given pattern.</v>
      </c>
      <c r="P52" s="29" t="str">
        <f t="shared" si="3"/>
        <v>LU001344.004</v>
      </c>
      <c r="Q52" s="29" t="str">
        <f ca="1">IFERROR(__xludf.dummyfunction("VLOOKUP(P52, IMPORTRANGE(""https://docs.google.com/spreadsheets/d/1yDAaXNsi4Mr5FtRQL4tbmSdIzhx6_m4wkOD7IG-k_eo/edit#gid=0"", ""Maths!M:N""), 2, FALSE)"),"Compare and contrast different number sequences, identifying their similarities and differences.")</f>
        <v>Compare and contrast different number sequences, identifying their similarities and differences.</v>
      </c>
      <c r="R52" s="29" t="str">
        <f t="shared" si="4"/>
        <v>LU001344.005</v>
      </c>
      <c r="S52" s="29" t="str">
        <f ca="1">IFERROR(__xludf.dummyfunction("VLOOKUP(R52, IMPORTRANGE(""https://docs.google.com/spreadsheets/d/1yDAaXNsi4Mr5FtRQL4tbmSdIzhx6_m4wkOD7IG-k_eo/edit#gid=0"", ""Maths!M:N""), 2, FALSE)"),"Assess the correctness of a given number sequence by checking if it follows the expected pattern, such as evaluating a sequence of powers of 2.")</f>
        <v>Assess the correctness of a given number sequence by checking if it follows the expected pattern, such as evaluating a sequence of powers of 2.</v>
      </c>
      <c r="T52" s="29" t="str">
        <f t="shared" si="5"/>
        <v>LU001344.006</v>
      </c>
      <c r="U52" s="29" t="str">
        <f ca="1">IFERROR(__xludf.dummyfunction("VLOOKUP(T52, IMPORTRANGE(""https://docs.google.com/spreadsheets/d/1yDAaXNsi4Mr5FtRQL4tbmSdIzhx6_m4wkOD7IG-k_eo/edit#gid=0"", ""Maths!M:N""), 2, FALSE)"),"Design a new number sequence based on a mathematical rule, and provide a visual representation of this sequence.")</f>
        <v>Design a new number sequence based on a mathematical rule, and provide a visual representation of this sequence.</v>
      </c>
      <c r="V52" s="16">
        <f ca="1">IFERROR(__xludf.dummyfunction("ArrayFormula(VLOOKUP(G52, IMPORTRANGE(""https://docs.google.com/spreadsheets/d/1p7R4vtkWt5VOBim4ltsDG9KTzSjrtKXsMtQGXPHyND0/edit#gid=795171502"", ""'Filter 30_05_2024'!A1:M2000""), {2, 3, 4, 5,6,7,8,9,10,11,12,13}, 0))"),4)</f>
        <v>4</v>
      </c>
      <c r="W52" s="16">
        <f ca="1">IFERROR(__xludf.dummyfunction("""COMPUTED_VALUE"""),6)</f>
        <v>6</v>
      </c>
      <c r="X52" s="16">
        <f ca="1">IFERROR(__xludf.dummyfunction("""COMPUTED_VALUE"""),2)</f>
        <v>2</v>
      </c>
      <c r="Y52" s="16">
        <f ca="1">IFERROR(__xludf.dummyfunction("""COMPUTED_VALUE"""),12)</f>
        <v>12</v>
      </c>
      <c r="Z52" s="16">
        <f ca="1">IFERROR(__xludf.dummyfunction("""COMPUTED_VALUE"""),4)</f>
        <v>4</v>
      </c>
      <c r="AA52" s="30">
        <f ca="1">IFERROR(__xludf.dummyfunction("""COMPUTED_VALUE"""),3)</f>
        <v>3</v>
      </c>
      <c r="AB52" s="30">
        <f ca="1">IFERROR(__xludf.dummyfunction("""COMPUTED_VALUE"""),1)</f>
        <v>1</v>
      </c>
      <c r="AC52" s="30">
        <f ca="1">IFERROR(__xludf.dummyfunction("""COMPUTED_VALUE"""),8)</f>
        <v>8</v>
      </c>
      <c r="AD52" s="16"/>
      <c r="AE52" s="30"/>
      <c r="AF52" s="30"/>
      <c r="AG52" s="30"/>
    </row>
    <row r="53" spans="1:33" ht="13.8">
      <c r="A53" s="25"/>
      <c r="B53" s="26" t="s">
        <v>29</v>
      </c>
      <c r="C53" s="26" t="s">
        <v>310</v>
      </c>
      <c r="D53" s="26">
        <v>6</v>
      </c>
      <c r="E53" s="27" t="s">
        <v>385</v>
      </c>
      <c r="F53" s="28"/>
      <c r="G53" s="40" t="s">
        <v>388</v>
      </c>
      <c r="H53" s="28" t="str">
        <f ca="1">IFERROR(__xludf.dummyfunction("IFERROR(
  VLOOKUP(G53, IMPORTRANGE(""https://docs.google.com/spreadsheets/d/14deopnvwcrKtEGCKuYXdUHJbeLDZlkiSSWWT0g7x2pM/edit#gid=849066331"", ""LU List Maths (Filter)!A:B""), 2, FALSE),
  IFERROR(
    VLOOKUP(G53, IMPORTRANGE(""https://docs.google.com/s"&amp;"preadsheets/d/14deopnvwcrKtEGCKuYXdUHJbeLDZlkiSSWWT0g7x2pM/edit#gid=849066331"", ""LU List Science (Filter)!A:B""), 2, FALSE),
    ""Not Found""
  )
)
"),"Patterns in shapes")</f>
        <v>Patterns in shapes</v>
      </c>
      <c r="I53" s="28"/>
      <c r="J53" s="29" t="str">
        <f t="shared" si="0"/>
        <v>LU001347.001</v>
      </c>
      <c r="K53" s="29" t="str">
        <f ca="1">IFERROR(__xludf.dummyfunction("VLOOKUP(J53, IMPORTRANGE(""https://docs.google.com/spreadsheets/d/1yDAaXNsi4Mr5FtRQL4tbmSdIzhx6_m4wkOD7IG-k_eo/edit#gid=0"", ""Maths!M:N""), 2, FALSE)"),"Identify different shape sequences, such as regular polygons and stacked squares.")</f>
        <v>Identify different shape sequences, such as regular polygons and stacked squares.</v>
      </c>
      <c r="L53" s="29" t="str">
        <f t="shared" si="1"/>
        <v>LU001347.002</v>
      </c>
      <c r="M53" s="29" t="str">
        <f ca="1">IFERROR(__xludf.dummyfunction("VLOOKUP(L53, IMPORTRANGE(""https://docs.google.com/spreadsheets/d/1yDAaXNsi4Mr5FtRQL4tbmSdIzhx6_m4wkOD7IG-k_eo/edit#gid=0"", ""Maths!M:N""), 2, FALSE)"),"Explain the relationship between shape sequences and corresponding number sequences.")</f>
        <v>Explain the relationship between shape sequences and corresponding number sequences.</v>
      </c>
      <c r="N53" s="29" t="str">
        <f t="shared" si="2"/>
        <v>LU001347.003</v>
      </c>
      <c r="O53" s="29" t="str">
        <f ca="1">IFERROR(__xludf.dummyfunction("VLOOKUP(N53, IMPORTRANGE(""https://docs.google.com/spreadsheets/d/1yDAaXNsi4Mr5FtRQL4tbmSdIzhx6_m4wkOD7IG-k_eo/edit#gid=0"", ""Maths!M:N""), 2, FALSE)"),"Use shape sequences to predict the next shape in a sequence.")</f>
        <v>Use shape sequences to predict the next shape in a sequence.</v>
      </c>
      <c r="P53" s="29" t="str">
        <f t="shared" si="3"/>
        <v>LU001347.004</v>
      </c>
      <c r="Q53" s="29" t="str">
        <f ca="1">IFERROR(__xludf.dummyfunction("VLOOKUP(P53, IMPORTRANGE(""https://docs.google.com/spreadsheets/d/1yDAaXNsi4Mr5FtRQL4tbmSdIzhx6_m4wkOD7IG-k_eo/edit#gid=0"", ""Maths!M:N""), 2, FALSE)"),"Analyze how the number of sides or vertices in a shape sequence relates to the sequence of numbers.")</f>
        <v>Analyze how the number of sides or vertices in a shape sequence relates to the sequence of numbers.</v>
      </c>
      <c r="R53" s="29" t="str">
        <f t="shared" si="4"/>
        <v>LU001347.005</v>
      </c>
      <c r="S53" s="29" t="str">
        <f ca="1">IFERROR(__xludf.dummyfunction("VLOOKUP(R53, IMPORTRANGE(""https://docs.google.com/spreadsheets/d/1yDAaXNsi4Mr5FtRQL4tbmSdIzhx6_m4wkOD7IG-k_eo/edit#gid=0"", ""Maths!M:N""), 2, FALSE)"),"Evaluate the accuracy of a given shape sequence by comparing it to the underlying mathematical rule.")</f>
        <v>Evaluate the accuracy of a given shape sequence by comparing it to the underlying mathematical rule.</v>
      </c>
      <c r="T53" s="29" t="str">
        <f t="shared" si="5"/>
        <v>LU001347.006</v>
      </c>
      <c r="U53" s="29" t="str">
        <f ca="1">IFERROR(__xludf.dummyfunction("VLOOKUP(T53, IMPORTRANGE(""https://docs.google.com/spreadsheets/d/1yDAaXNsi4Mr5FtRQL4tbmSdIzhx6_m4wkOD7IG-k_eo/edit#gid=0"", ""Maths!M:N""), 2, FALSE)"),"Create a new shape sequence based on a geometric rule and describe its relationship to a number sequence.")</f>
        <v>Create a new shape sequence based on a geometric rule and describe its relationship to a number sequence.</v>
      </c>
      <c r="V53" s="16">
        <f ca="1">IFERROR(__xludf.dummyfunction("ArrayFormula(VLOOKUP(G53, IMPORTRANGE(""https://docs.google.com/spreadsheets/d/1p7R4vtkWt5VOBim4ltsDG9KTzSjrtKXsMtQGXPHyND0/edit#gid=795171502"", ""'Filter 30_05_2024'!A1:M2000""), {2, 3, 4, 5,6,7,8,9,10,11,12,13}, 0))"),4)</f>
        <v>4</v>
      </c>
      <c r="W53" s="16">
        <f ca="1">IFERROR(__xludf.dummyfunction("""COMPUTED_VALUE"""),6)</f>
        <v>6</v>
      </c>
      <c r="X53" s="16">
        <f ca="1">IFERROR(__xludf.dummyfunction("""COMPUTED_VALUE"""),2)</f>
        <v>2</v>
      </c>
      <c r="Y53" s="16">
        <f ca="1">IFERROR(__xludf.dummyfunction("""COMPUTED_VALUE"""),12)</f>
        <v>12</v>
      </c>
      <c r="Z53" s="16">
        <f ca="1">IFERROR(__xludf.dummyfunction("""COMPUTED_VALUE"""),4)</f>
        <v>4</v>
      </c>
      <c r="AA53" s="30">
        <f ca="1">IFERROR(__xludf.dummyfunction("""COMPUTED_VALUE"""),3)</f>
        <v>3</v>
      </c>
      <c r="AB53" s="30">
        <f ca="1">IFERROR(__xludf.dummyfunction("""COMPUTED_VALUE"""),1)</f>
        <v>1</v>
      </c>
      <c r="AC53" s="30">
        <f ca="1">IFERROR(__xludf.dummyfunction("""COMPUTED_VALUE"""),8)</f>
        <v>8</v>
      </c>
      <c r="AD53" s="16"/>
      <c r="AE53" s="30"/>
      <c r="AF53" s="30"/>
      <c r="AG53" s="30"/>
    </row>
    <row r="54" spans="1:33" ht="26.4">
      <c r="A54" s="25"/>
      <c r="B54" s="26" t="s">
        <v>29</v>
      </c>
      <c r="C54" s="26" t="s">
        <v>310</v>
      </c>
      <c r="D54" s="26">
        <v>6</v>
      </c>
      <c r="E54" s="27" t="s">
        <v>385</v>
      </c>
      <c r="F54" s="28"/>
      <c r="G54" s="26" t="s">
        <v>389</v>
      </c>
      <c r="H54" s="28" t="str">
        <f ca="1">IFERROR(__xludf.dummyfunction("IFERROR(
  VLOOKUP(G54, IMPORTRANGE(""https://docs.google.com/spreadsheets/d/14deopnvwcrKtEGCKuYXdUHJbeLDZlkiSSWWT0g7x2pM/edit#gid=849066331"", ""LU List Maths (Filter)!A:B""), 2, FALSE),
  IFERROR(
    VLOOKUP(G54, IMPORTRANGE(""https://docs.google.com/s"&amp;"preadsheets/d/14deopnvwcrKtEGCKuYXdUHJbeLDZlkiSSWWT0g7x2pM/edit#gid=849066331"", ""LU List Science (Filter)!A:B""), 2, FALSE),
    ""Not Found""
  )
)
"),"Relation between sequences: Adding up odd numbers")</f>
        <v>Relation between sequences: Adding up odd numbers</v>
      </c>
      <c r="I54" s="41"/>
      <c r="J54" s="29" t="str">
        <f t="shared" si="0"/>
        <v>LU001345.001</v>
      </c>
      <c r="K54" s="29" t="str">
        <f ca="1">IFERROR(__xludf.dummyfunction("VLOOKUP(J54, IMPORTRANGE(""https://docs.google.com/spreadsheets/d/1yDAaXNsi4Mr5FtRQL4tbmSdIzhx6_m4wkOD7IG-k_eo/edit#gid=0"", ""Maths!M:N""), 2, FALSE)"),"Recall the pattern that adding up consecutive odd numbers results in square numbers.")</f>
        <v>Recall the pattern that adding up consecutive odd numbers results in square numbers.</v>
      </c>
      <c r="L54" s="29" t="str">
        <f t="shared" si="1"/>
        <v>LU001345.002</v>
      </c>
      <c r="M54" s="29" t="str">
        <f ca="1">IFERROR(__xludf.dummyfunction("VLOOKUP(L54, IMPORTRANGE(""https://docs.google.com/spreadsheets/d/1yDAaXNsi4Mr5FtRQL4tbmSdIzhx6_m4wkOD7IG-k_eo/edit#gid=0"", ""Maths!M:N""), 2, FALSE)"),"Explain why the sum of consecutive odd numbers forms a sequence of square numbers.")</f>
        <v>Explain why the sum of consecutive odd numbers forms a sequence of square numbers.</v>
      </c>
      <c r="N54" s="29" t="str">
        <f t="shared" si="2"/>
        <v>LU001345.003</v>
      </c>
      <c r="O54" s="29" t="str">
        <f ca="1">IFERROR(__xludf.dummyfunction("VLOOKUP(N54, IMPORTRANGE(""https://docs.google.com/spreadsheets/d/1yDAaXNsi4Mr5FtRQL4tbmSdIzhx6_m4wkOD7IG-k_eo/edit#gid=0"", ""Maths!M:N""), 2, FALSE)"),"Calculate the sum of the first 'n' odd numbers and verify that it equals the square of 'n'.")</f>
        <v>Calculate the sum of the first 'n' odd numbers and verify that it equals the square of 'n'.</v>
      </c>
      <c r="P54" s="29" t="str">
        <f t="shared" si="3"/>
        <v>LU001345.004</v>
      </c>
      <c r="Q54" s="29" t="str">
        <f ca="1">IFERROR(__xludf.dummyfunction("VLOOKUP(P54, IMPORTRANGE(""https://docs.google.com/spreadsheets/d/1yDAaXNsi4Mr5FtRQL4tbmSdIzhx6_m4wkOD7IG-k_eo/edit#gid=0"", ""Maths!M:N""), 2, FALSE)"),"Analyze how the addition of odd numbers can be visualized to understand their relationship with square numbers.")</f>
        <v>Analyze how the addition of odd numbers can be visualized to understand their relationship with square numbers.</v>
      </c>
      <c r="R54" s="29" t="str">
        <f t="shared" si="4"/>
        <v>LU001345.005</v>
      </c>
      <c r="S54" s="29" t="str">
        <f ca="1">IFERROR(__xludf.dummyfunction("VLOOKUP(R54, IMPORTRANGE(""https://docs.google.com/spreadsheets/d/1yDAaXNsi4Mr5FtRQL4tbmSdIzhx6_m4wkOD7IG-k_eo/edit#gid=0"", ""Maths!M:N""), 2, FALSE)"),"Evaluate the validity of a sequence generated by adding odd numbers and justify why it forms square numbers.")</f>
        <v>Evaluate the validity of a sequence generated by adding odd numbers and justify why it forms square numbers.</v>
      </c>
      <c r="T54" s="29" t="str">
        <f t="shared" si="5"/>
        <v>LU001345.006</v>
      </c>
      <c r="U54" s="29" t="str">
        <f ca="1">IFERROR(__xludf.dummyfunction("VLOOKUP(T54, IMPORTRANGE(""https://docs.google.com/spreadsheets/d/1yDAaXNsi4Mr5FtRQL4tbmSdIzhx6_m4wkOD7IG-k_eo/edit#gid=0"", ""Maths!M:N""), 2, FALSE)"),"Develop a visual method to represent the sum of odd numbers and demonstrate its application to larger sequences.")</f>
        <v>Develop a visual method to represent the sum of odd numbers and demonstrate its application to larger sequences.</v>
      </c>
      <c r="V54" s="16">
        <f ca="1">IFERROR(__xludf.dummyfunction("ArrayFormula(VLOOKUP(G54, IMPORTRANGE(""https://docs.google.com/spreadsheets/d/1p7R4vtkWt5VOBim4ltsDG9KTzSjrtKXsMtQGXPHyND0/edit#gid=795171502"", ""'Filter 30_05_2024'!A1:M2000""), {2, 3, 4, 5,6,7,8,9,10,11,12,13}, 0))"),4)</f>
        <v>4</v>
      </c>
      <c r="W54" s="16">
        <f ca="1">IFERROR(__xludf.dummyfunction("""COMPUTED_VALUE"""),6)</f>
        <v>6</v>
      </c>
      <c r="X54" s="16">
        <f ca="1">IFERROR(__xludf.dummyfunction("""COMPUTED_VALUE"""),2)</f>
        <v>2</v>
      </c>
      <c r="Y54" s="16">
        <f ca="1">IFERROR(__xludf.dummyfunction("""COMPUTED_VALUE"""),12)</f>
        <v>12</v>
      </c>
      <c r="Z54" s="16">
        <f ca="1">IFERROR(__xludf.dummyfunction("""COMPUTED_VALUE"""),4)</f>
        <v>4</v>
      </c>
      <c r="AA54" s="30">
        <f ca="1">IFERROR(__xludf.dummyfunction("""COMPUTED_VALUE"""),3)</f>
        <v>3</v>
      </c>
      <c r="AB54" s="30">
        <f ca="1">IFERROR(__xludf.dummyfunction("""COMPUTED_VALUE"""),1)</f>
        <v>1</v>
      </c>
      <c r="AC54" s="30">
        <f ca="1">IFERROR(__xludf.dummyfunction("""COMPUTED_VALUE"""),8)</f>
        <v>8</v>
      </c>
      <c r="AD54" s="16"/>
      <c r="AE54" s="30"/>
      <c r="AF54" s="30"/>
      <c r="AG54" s="30"/>
    </row>
    <row r="55" spans="1:33" ht="13.8">
      <c r="A55" s="25"/>
      <c r="B55" s="26" t="s">
        <v>29</v>
      </c>
      <c r="C55" s="26" t="s">
        <v>310</v>
      </c>
      <c r="D55" s="26">
        <v>6</v>
      </c>
      <c r="E55" s="27" t="s">
        <v>385</v>
      </c>
      <c r="F55" s="28" t="s">
        <v>390</v>
      </c>
      <c r="G55" s="26" t="s">
        <v>391</v>
      </c>
      <c r="H55" s="28" t="str">
        <f ca="1">IFERROR(__xludf.dummyfunction("IFERROR(
  VLOOKUP(G55, IMPORTRANGE(""https://docs.google.com/spreadsheets/d/14deopnvwcrKtEGCKuYXdUHJbeLDZlkiSSWWT0g7x2pM/edit#gid=849066331"", ""LU List Maths (Filter)!A:B""), 2, FALSE),
  IFERROR(
    VLOOKUP(G55, IMPORTRANGE(""https://docs.google.com/s"&amp;"preadsheets/d/14deopnvwcrKtEGCKuYXdUHJbeLDZlkiSSWWT0g7x2pM/edit#gid=849066331"", ""LU List Science (Filter)!A:B""), 2, FALSE),
    ""Not Found""
  )
)
"),"Definition of magic square")</f>
        <v>Definition of magic square</v>
      </c>
      <c r="I55" s="28"/>
      <c r="J55" s="29" t="str">
        <f t="shared" si="0"/>
        <v>LU001067.001</v>
      </c>
      <c r="K55" s="29" t="str">
        <f ca="1">IFERROR(__xludf.dummyfunction("VLOOKUP(J55, IMPORTRANGE(""https://docs.google.com/spreadsheets/d/1yDAaXNsi4Mr5FtRQL4tbmSdIzhx6_m4wkOD7IG-k_eo/edit#gid=0"", ""Maths!M:N""), 2, FALSE)"),"State the definition of a magic square and its basic characteristics.")</f>
        <v>State the definition of a magic square and its basic characteristics.</v>
      </c>
      <c r="L55" s="29" t="str">
        <f t="shared" si="1"/>
        <v>LU001067.002</v>
      </c>
      <c r="M55" s="29" t="str">
        <f ca="1">IFERROR(__xludf.dummyfunction("VLOOKUP(L55, IMPORTRANGE(""https://docs.google.com/spreadsheets/d/1yDAaXNsi4Mr5FtRQL4tbmSdIzhx6_m4wkOD7IG-k_eo/edit#gid=0"", ""Maths!M:N""), 2, FALSE)"),"Interpret the characteristics and properties of magic squares through examples.")</f>
        <v>Interpret the characteristics and properties of magic squares through examples.</v>
      </c>
      <c r="N55" s="29" t="str">
        <f t="shared" si="2"/>
        <v>LU001067.003</v>
      </c>
      <c r="O55" s="29" t="str">
        <f ca="1">IFERROR(__xludf.dummyfunction("VLOOKUP(N55, IMPORTRANGE(""https://docs.google.com/spreadsheets/d/1yDAaXNsi4Mr5FtRQL4tbmSdIzhx6_m4wkOD7IG-k_eo/edit#gid=0"", ""Maths!M:N""), 2, FALSE)"),"Utilise magic squares in solving mathematical problems or puzzles.")</f>
        <v>Utilise magic squares in solving mathematical problems or puzzles.</v>
      </c>
      <c r="P55" s="29" t="str">
        <f t="shared" si="3"/>
        <v>LU001067.004</v>
      </c>
      <c r="Q55" s="29" t="str">
        <f ca="1">IFERROR(__xludf.dummyfunction("VLOOKUP(P55, IMPORTRANGE(""https://docs.google.com/spreadsheets/d/1yDAaXNsi4Mr5FtRQL4tbmSdIzhx6_m4wkOD7IG-k_eo/edit#gid=0"", ""Maths!M:N""), 2, FALSE)"),"Analyse the number patterns and arrangements in magic squares.")</f>
        <v>Analyse the number patterns and arrangements in magic squares.</v>
      </c>
      <c r="R55" s="29" t="str">
        <f t="shared" si="4"/>
        <v>LU001067.005</v>
      </c>
      <c r="S55" s="29" t="str">
        <f ca="1">IFERROR(__xludf.dummyfunction("VLOOKUP(R55, IMPORTRANGE(""https://docs.google.com/spreadsheets/d/1yDAaXNsi4Mr5FtRQL4tbmSdIzhx6_m4wkOD7IG-k_eo/edit#gid=0"", ""Maths!M:N""), 2, FALSE)"),"Evaluate various methods of constructing magic squares, assessing their complexity and effectiveness.")</f>
        <v>Evaluate various methods of constructing magic squares, assessing their complexity and effectiveness.</v>
      </c>
      <c r="T55" s="29" t="str">
        <f t="shared" si="5"/>
        <v>LU001067.006</v>
      </c>
      <c r="U55" s="29" t="str">
        <f ca="1">IFERROR(__xludf.dummyfunction("VLOOKUP(T55, IMPORTRANGE(""https://docs.google.com/spreadsheets/d/1yDAaXNsi4Mr5FtRQL4tbmSdIzhx6_m4wkOD7IG-k_eo/edit#gid=0"", ""Maths!M:N""), 2, FALSE)"),"Develop unique magic squares, demonstrating creativity and a deep understanding of the underlying principles.")</f>
        <v>Develop unique magic squares, demonstrating creativity and a deep understanding of the underlying principles.</v>
      </c>
      <c r="V55" s="16" t="str">
        <f ca="1">IFERROR(__xludf.dummyfunction("ArrayFormula(VLOOKUP(G55, IMPORTRANGE(""https://docs.google.com/spreadsheets/d/1p7R4vtkWt5VOBim4ltsDG9KTzSjrtKXsMtQGXPHyND0/edit#gid=795171502"", ""'Filter 30_05_2024'!A1:M2000""), {2, 3, 4, 5,6,7,8,9,10,11,12,13}, 0))"),"#N/A")</f>
        <v>#N/A</v>
      </c>
      <c r="W55" s="16" t="str">
        <f ca="1">IFERROR(__xludf.dummyfunction("""COMPUTED_VALUE"""),"#N/A")</f>
        <v>#N/A</v>
      </c>
      <c r="X55" s="16" t="str">
        <f ca="1">IFERROR(__xludf.dummyfunction("""COMPUTED_VALUE"""),"#N/A")</f>
        <v>#N/A</v>
      </c>
      <c r="Y55" s="16" t="str">
        <f ca="1">IFERROR(__xludf.dummyfunction("""COMPUTED_VALUE"""),"#N/A")</f>
        <v>#N/A</v>
      </c>
      <c r="Z55" s="16" t="str">
        <f ca="1">IFERROR(__xludf.dummyfunction("""COMPUTED_VALUE"""),"#N/A")</f>
        <v>#N/A</v>
      </c>
      <c r="AA55" s="30" t="str">
        <f ca="1">IFERROR(__xludf.dummyfunction("""COMPUTED_VALUE"""),"#N/A")</f>
        <v>#N/A</v>
      </c>
      <c r="AB55" s="30" t="str">
        <f ca="1">IFERROR(__xludf.dummyfunction("""COMPUTED_VALUE"""),"#N/A")</f>
        <v>#N/A</v>
      </c>
      <c r="AC55" s="30" t="str">
        <f ca="1">IFERROR(__xludf.dummyfunction("""COMPUTED_VALUE"""),"#N/A")</f>
        <v>#N/A</v>
      </c>
      <c r="AD55" s="16" t="str">
        <f ca="1">IFERROR(__xludf.dummyfunction("""COMPUTED_VALUE"""),"#N/A")</f>
        <v>#N/A</v>
      </c>
      <c r="AE55" s="30" t="str">
        <f ca="1">IFERROR(__xludf.dummyfunction("""COMPUTED_VALUE"""),"#N/A")</f>
        <v>#N/A</v>
      </c>
      <c r="AF55" s="30" t="str">
        <f ca="1">IFERROR(__xludf.dummyfunction("""COMPUTED_VALUE"""),"#N/A")</f>
        <v>#N/A</v>
      </c>
      <c r="AG55" s="30" t="str">
        <f ca="1">IFERROR(__xludf.dummyfunction("""COMPUTED_VALUE"""),"#N/A")</f>
        <v>#N/A</v>
      </c>
    </row>
    <row r="56" spans="1:33" ht="26.4">
      <c r="A56" s="34"/>
      <c r="B56" s="35" t="s">
        <v>29</v>
      </c>
      <c r="C56" s="35" t="s">
        <v>310</v>
      </c>
      <c r="D56" s="35">
        <v>6</v>
      </c>
      <c r="E56" s="36" t="s">
        <v>385</v>
      </c>
      <c r="F56" s="37" t="s">
        <v>392</v>
      </c>
      <c r="G56" s="35" t="s">
        <v>393</v>
      </c>
      <c r="H56" s="37" t="str">
        <f ca="1">IFERROR(__xludf.dummyfunction("IFERROR(
  VLOOKUP(G56, IMPORTRANGE(""https://docs.google.com/spreadsheets/d/14deopnvwcrKtEGCKuYXdUHJbeLDZlkiSSWWT0g7x2pM/edit#gid=849066331"", ""LU List Maths (Filter)!A:B""), 2, FALSE),
  IFERROR(
    VLOOKUP(G56, IMPORTRANGE(""https://docs.google.com/s"&amp;"preadsheets/d/14deopnvwcrKtEGCKuYXdUHJbeLDZlkiSSWWT0g7x2pM/edit#gid=849066331"", ""LU List Science (Filter)!A:B""), 2, FALSE),
    ""Not Found""
  )
)
"),"Generalization of rules of geometric patterns using variables (matchstick patterns, etc...)")</f>
        <v>Generalization of rules of geometric patterns using variables (matchstick patterns, etc...)</v>
      </c>
      <c r="I56" s="42"/>
      <c r="J56" s="29" t="str">
        <f t="shared" si="0"/>
        <v>LU000937.001</v>
      </c>
      <c r="K56" s="29" t="str">
        <f ca="1">IFERROR(__xludf.dummyfunction("VLOOKUP(J56, IMPORTRANGE(""https://docs.google.com/spreadsheets/d/1yDAaXNsi4Mr5FtRQL4tbmSdIzhx6_m4wkOD7IG-k_eo/edit#gid=0"", ""Maths!M:N""), 2, FALSE)"),"Recall the purpose of using variables to represent geometric rules.")</f>
        <v>Recall the purpose of using variables to represent geometric rules.</v>
      </c>
      <c r="L56" s="29" t="str">
        <f t="shared" si="1"/>
        <v>LU000937.002</v>
      </c>
      <c r="M56" s="29" t="str">
        <f ca="1">IFERROR(__xludf.dummyfunction("VLOOKUP(L56, IMPORTRANGE(""https://docs.google.com/spreadsheets/d/1yDAaXNsi4Mr5FtRQL4tbmSdIzhx6_m4wkOD7IG-k_eo/edit#gid=0"", ""Maths!M:N""), 2, FALSE)"),"Describe how variables and equations represent geometric patterns, such as matchstick patterns.")</f>
        <v>Describe how variables and equations represent geometric patterns, such as matchstick patterns.</v>
      </c>
      <c r="N56" s="29" t="str">
        <f t="shared" si="2"/>
        <v>LU000937.003</v>
      </c>
      <c r="O56" s="29" t="str">
        <f ca="1">IFERROR(__xludf.dummyfunction("VLOOKUP(N56, IMPORTRANGE(""https://docs.google.com/spreadsheets/d/1yDAaXNsi4Mr5FtRQL4tbmSdIzhx6_m4wkOD7IG-k_eo/edit#gid=0"", ""Maths!M:N""), 2, FALSE)"),"Use variables to form a rule for the given geometric pattern.")</f>
        <v>Use variables to form a rule for the given geometric pattern.</v>
      </c>
      <c r="P56" s="29" t="str">
        <f t="shared" si="3"/>
        <v>LU000937.004</v>
      </c>
      <c r="Q56" s="29" t="str">
        <f ca="1">IFERROR(__xludf.dummyfunction("VLOOKUP(P56, IMPORTRANGE(""https://docs.google.com/spreadsheets/d/1yDAaXNsi4Mr5FtRQL4tbmSdIzhx6_m4wkOD7IG-k_eo/edit#gid=0"", ""Maths!M:N""), 2, FALSE)"),"Examine geometric patterns to identify underlying rules.")</f>
        <v>Examine geometric patterns to identify underlying rules.</v>
      </c>
      <c r="R56" s="29" t="str">
        <f t="shared" si="4"/>
        <v>LU000937.005</v>
      </c>
      <c r="S56" s="29" t="str">
        <f ca="1">IFERROR(__xludf.dummyfunction("VLOOKUP(R56, IMPORTRANGE(""https://docs.google.com/spreadsheets/d/1yDAaXNsi4Mr5FtRQL4tbmSdIzhx6_m4wkOD7IG-k_eo/edit#gid=0"", ""Maths!M:N""), 2, FALSE)"),"Compare different variable expressions for representing the geometric patterns.")</f>
        <v>Compare different variable expressions for representing the geometric patterns.</v>
      </c>
      <c r="T56" s="29" t="str">
        <f t="shared" si="5"/>
        <v>LU000937.006</v>
      </c>
      <c r="U56" s="29" t="str">
        <f ca="1">IFERROR(__xludf.dummyfunction("VLOOKUP(T56, IMPORTRANGE(""https://docs.google.com/spreadsheets/d/1yDAaXNsi4Mr5FtRQL4tbmSdIzhx6_m4wkOD7IG-k_eo/edit#gid=0"", ""Maths!M:N""), 2, FALSE)"),"#N/A")</f>
        <v>#N/A</v>
      </c>
      <c r="V56" s="16">
        <f ca="1">IFERROR(__xludf.dummyfunction("ArrayFormula(VLOOKUP(G56, IMPORTRANGE(""https://docs.google.com/spreadsheets/d/1p7R4vtkWt5VOBim4ltsDG9KTzSjrtKXsMtQGXPHyND0/edit#gid=795171502"", ""'Filter 30_05_2024'!A1:M2000""), {2, 3, 4, 5,6,7,8,9,10,11,12,13}, 0))"),4)</f>
        <v>4</v>
      </c>
      <c r="W56" s="16">
        <f ca="1">IFERROR(__xludf.dummyfunction("""COMPUTED_VALUE"""),8)</f>
        <v>8</v>
      </c>
      <c r="X56" s="16">
        <f ca="1">IFERROR(__xludf.dummyfunction("""COMPUTED_VALUE"""),2)</f>
        <v>2</v>
      </c>
      <c r="Y56" s="16">
        <f ca="1">IFERROR(__xludf.dummyfunction("""COMPUTED_VALUE"""),14)</f>
        <v>14</v>
      </c>
      <c r="Z56" s="16">
        <f ca="1">IFERROR(__xludf.dummyfunction("""COMPUTED_VALUE"""),4)</f>
        <v>4</v>
      </c>
      <c r="AA56" s="30">
        <f ca="1">IFERROR(__xludf.dummyfunction("""COMPUTED_VALUE"""),8)</f>
        <v>8</v>
      </c>
      <c r="AB56" s="30">
        <f ca="1">IFERROR(__xludf.dummyfunction("""COMPUTED_VALUE"""),1)</f>
        <v>1</v>
      </c>
      <c r="AC56" s="30">
        <f ca="1">IFERROR(__xludf.dummyfunction("""COMPUTED_VALUE"""),13)</f>
        <v>13</v>
      </c>
      <c r="AD56" s="16"/>
      <c r="AE56" s="30"/>
      <c r="AF56" s="30"/>
      <c r="AG56" s="30"/>
    </row>
    <row r="57" spans="1:33" ht="13.8">
      <c r="A57" s="25"/>
      <c r="B57" s="26" t="s">
        <v>29</v>
      </c>
      <c r="C57" s="26" t="s">
        <v>310</v>
      </c>
      <c r="D57" s="26">
        <v>6</v>
      </c>
      <c r="E57" s="27" t="s">
        <v>394</v>
      </c>
      <c r="F57" s="32" t="s">
        <v>395</v>
      </c>
      <c r="G57" s="26" t="s">
        <v>396</v>
      </c>
      <c r="H57" s="28" t="str">
        <f ca="1">IFERROR(__xludf.dummyfunction("IFERROR(
  VLOOKUP(G57, IMPORTRANGE(""https://docs.google.com/spreadsheets/d/14deopnvwcrKtEGCKuYXdUHJbeLDZlkiSSWWT0g7x2pM/edit#gid=849066331"", ""LU List Maths (Filter)!A:B""), 2, FALSE),
  IFERROR(
    VLOOKUP(G57, IMPORTRANGE(""https://docs.google.com/s"&amp;"preadsheets/d/14deopnvwcrKtEGCKuYXdUHJbeLDZlkiSSWWT0g7x2pM/edit#gid=849066331"", ""LU List Science (Filter)!A:B""), 2, FALSE),
    ""Not Found""
  )
)
"),"Definition of negative numbers")</f>
        <v>Definition of negative numbers</v>
      </c>
      <c r="I57" s="28"/>
      <c r="J57" s="29" t="str">
        <f t="shared" si="0"/>
        <v>LU000907.001</v>
      </c>
      <c r="K57" s="29" t="str">
        <f ca="1">IFERROR(__xludf.dummyfunction("VLOOKUP(J57, IMPORTRANGE(""https://docs.google.com/spreadsheets/d/1yDAaXNsi4Mr5FtRQL4tbmSdIzhx6_m4wkOD7IG-k_eo/edit#gid=0"", ""Maths!M:N""), 2, FALSE)"),"State the definition of negative numbers as numbers less than zero.")</f>
        <v>State the definition of negative numbers as numbers less than zero.</v>
      </c>
      <c r="L57" s="29" t="str">
        <f t="shared" si="1"/>
        <v>LU000907.002</v>
      </c>
      <c r="M57" s="29" t="str">
        <f ca="1">IFERROR(__xludf.dummyfunction("VLOOKUP(L57, IMPORTRANGE(""https://docs.google.com/spreadsheets/d/1yDAaXNsi4Mr5FtRQL4tbmSdIzhx6_m4wkOD7IG-k_eo/edit#gid=0"", ""Maths!M:N""), 2, FALSE)"),"Describe the properties of negative numbers")</f>
        <v>Describe the properties of negative numbers</v>
      </c>
      <c r="N57" s="29" t="str">
        <f t="shared" si="2"/>
        <v>LU000907.003</v>
      </c>
      <c r="O57" s="29" t="str">
        <f ca="1">IFERROR(__xludf.dummyfunction("VLOOKUP(N57, IMPORTRANGE(""https://docs.google.com/spreadsheets/d/1yDAaXNsi4Mr5FtRQL4tbmSdIzhx6_m4wkOD7IG-k_eo/edit#gid=0"", ""Maths!M:N""), 2, FALSE)"),"Apply the knowledge of negative numbers to represent values below zero")</f>
        <v>Apply the knowledge of negative numbers to represent values below zero</v>
      </c>
      <c r="P57" s="29" t="str">
        <f t="shared" si="3"/>
        <v>LU000907.004</v>
      </c>
      <c r="Q57" s="29" t="str">
        <f ca="1">IFERROR(__xludf.dummyfunction("VLOOKUP(P57, IMPORTRANGE(""https://docs.google.com/spreadsheets/d/1yDAaXNsi4Mr5FtRQL4tbmSdIzhx6_m4wkOD7IG-k_eo/edit#gid=0"", ""Maths!M:N""), 2, FALSE)"),"Compare and contrast the use of negative numbers with positive numbers and zero.")</f>
        <v>Compare and contrast the use of negative numbers with positive numbers and zero.</v>
      </c>
      <c r="R57" s="29" t="str">
        <f t="shared" si="4"/>
        <v>LU000907.005</v>
      </c>
      <c r="S57" s="29" t="str">
        <f ca="1">IFERROR(__xludf.dummyfunction("VLOOKUP(R57, IMPORTRANGE(""https://docs.google.com/spreadsheets/d/1yDAaXNsi4Mr5FtRQL4tbmSdIzhx6_m4wkOD7IG-k_eo/edit#gid=0"", ""Maths!M:N""), 2, FALSE)"),"Analyse scenarios where negative numbers are applicable and discuss their significance.")</f>
        <v>Analyse scenarios where negative numbers are applicable and discuss their significance.</v>
      </c>
      <c r="T57" s="29" t="str">
        <f t="shared" si="5"/>
        <v>LU000907.006</v>
      </c>
      <c r="U57" s="29" t="str">
        <f ca="1">IFERROR(__xludf.dummyfunction("VLOOKUP(T57, IMPORTRANGE(""https://docs.google.com/spreadsheets/d/1yDAaXNsi4Mr5FtRQL4tbmSdIzhx6_m4wkOD7IG-k_eo/edit#gid=0"", ""Maths!M:N""), 2, FALSE)"),"Develop scenarios that require the integration of negative numbers in real-world decision-making")</f>
        <v>Develop scenarios that require the integration of negative numbers in real-world decision-making</v>
      </c>
      <c r="V57" s="16">
        <f ca="1">IFERROR(__xludf.dummyfunction("ArrayFormula(VLOOKUP(G57, IMPORTRANGE(""https://docs.google.com/spreadsheets/d/1p7R4vtkWt5VOBim4ltsDG9KTzSjrtKXsMtQGXPHyND0/edit#gid=795171502"", ""'Filter 30_05_2024'!A1:M2000""), {2, 3, 4, 5,6,7,8,9,10,11,12,13}, 0))"),6)</f>
        <v>6</v>
      </c>
      <c r="W57" s="16">
        <f ca="1">IFERROR(__xludf.dummyfunction("""COMPUTED_VALUE"""),11)</f>
        <v>11</v>
      </c>
      <c r="X57" s="16">
        <f ca="1">IFERROR(__xludf.dummyfunction("""COMPUTED_VALUE"""),19)</f>
        <v>19</v>
      </c>
      <c r="Y57" s="16">
        <f ca="1">IFERROR(__xludf.dummyfunction("""COMPUTED_VALUE"""),36)</f>
        <v>36</v>
      </c>
      <c r="Z57" s="16">
        <f ca="1">IFERROR(__xludf.dummyfunction("""COMPUTED_VALUE"""),8)</f>
        <v>8</v>
      </c>
      <c r="AA57" s="30">
        <f ca="1">IFERROR(__xludf.dummyfunction("""COMPUTED_VALUE"""),4)</f>
        <v>4</v>
      </c>
      <c r="AB57" s="30">
        <f ca="1">IFERROR(__xludf.dummyfunction("""COMPUTED_VALUE"""),6)</f>
        <v>6</v>
      </c>
      <c r="AC57" s="30">
        <f ca="1">IFERROR(__xludf.dummyfunction("""COMPUTED_VALUE"""),18)</f>
        <v>18</v>
      </c>
      <c r="AD57" s="16"/>
      <c r="AE57" s="30"/>
      <c r="AF57" s="30"/>
      <c r="AG57" s="30"/>
    </row>
    <row r="58" spans="1:33" ht="13.8">
      <c r="A58" s="25"/>
      <c r="B58" s="26" t="s">
        <v>29</v>
      </c>
      <c r="C58" s="26" t="s">
        <v>310</v>
      </c>
      <c r="D58" s="26">
        <v>6</v>
      </c>
      <c r="E58" s="27" t="s">
        <v>394</v>
      </c>
      <c r="F58" s="28" t="s">
        <v>397</v>
      </c>
      <c r="G58" s="26" t="s">
        <v>398</v>
      </c>
      <c r="H58" s="28" t="str">
        <f ca="1">IFERROR(__xludf.dummyfunction("IFERROR(
  VLOOKUP(G58, IMPORTRANGE(""https://docs.google.com/spreadsheets/d/14deopnvwcrKtEGCKuYXdUHJbeLDZlkiSSWWT0g7x2pM/edit#gid=849066331"", ""LU List Maths (Filter)!A:B""), 2, FALSE),
  IFERROR(
    VLOOKUP(G58, IMPORTRANGE(""https://docs.google.com/s"&amp;"preadsheets/d/14deopnvwcrKtEGCKuYXdUHJbeLDZlkiSSWWT0g7x2pM/edit#gid=849066331"", ""LU List Science (Filter)!A:B""), 2, FALSE),
    ""Not Found""
  )
)
"),"Definition of integers")</f>
        <v>Definition of integers</v>
      </c>
      <c r="I58" s="28"/>
      <c r="J58" s="29" t="str">
        <f t="shared" si="0"/>
        <v>LU000265.001</v>
      </c>
      <c r="K58" s="29" t="str">
        <f ca="1">IFERROR(__xludf.dummyfunction("VLOOKUP(J58, IMPORTRANGE(""https://docs.google.com/spreadsheets/d/1yDAaXNsi4Mr5FtRQL4tbmSdIzhx6_m4wkOD7IG-k_eo/edit#gid=0"", ""Maths!M:N""), 2, FALSE)"),"Define integers and their characteristics.")</f>
        <v>Define integers and their characteristics.</v>
      </c>
      <c r="L58" s="29" t="str">
        <f t="shared" si="1"/>
        <v>LU000265.002</v>
      </c>
      <c r="M58" s="29" t="str">
        <f ca="1">IFERROR(__xludf.dummyfunction("VLOOKUP(L58, IMPORTRANGE(""https://docs.google.com/spreadsheets/d/1yDAaXNsi4Mr5FtRQL4tbmSdIzhx6_m4wkOD7IG-k_eo/edit#gid=0"", ""Maths!M:N""), 2, FALSE)"),"Explain the concept of integers in relation to whole numbers and natural numbers.")</f>
        <v>Explain the concept of integers in relation to whole numbers and natural numbers.</v>
      </c>
      <c r="N58" s="29" t="str">
        <f t="shared" si="2"/>
        <v>LU000265.003</v>
      </c>
      <c r="O58" s="29" t="str">
        <f ca="1">IFERROR(__xludf.dummyfunction("VLOOKUP(N58, IMPORTRANGE(""https://docs.google.com/spreadsheets/d/1yDAaXNsi4Mr5FtRQL4tbmSdIzhx6_m4wkOD7IG-k_eo/edit#gid=0"", ""Maths!M:N""), 2, FALSE)"),"Apply the knowledge of integers to solve practical problems (like change in elevation, money, temperature, etc).")</f>
        <v>Apply the knowledge of integers to solve practical problems (like change in elevation, money, temperature, etc).</v>
      </c>
      <c r="P58" s="29" t="str">
        <f t="shared" si="3"/>
        <v>LU000265.004</v>
      </c>
      <c r="Q58" s="29" t="str">
        <f ca="1">IFERROR(__xludf.dummyfunction("VLOOKUP(P58, IMPORTRANGE(""https://docs.google.com/spreadsheets/d/1yDAaXNsi4Mr5FtRQL4tbmSdIzhx6_m4wkOD7IG-k_eo/edit#gid=0"", ""Maths!M:N""), 2, FALSE)"),"Analyse integer sequences and patterns to identify rules governing their progression.")</f>
        <v>Analyse integer sequences and patterns to identify rules governing their progression.</v>
      </c>
      <c r="R58" s="29" t="str">
        <f t="shared" si="4"/>
        <v>LU000265.005</v>
      </c>
      <c r="S58" s="29" t="str">
        <f ca="1">IFERROR(__xludf.dummyfunction("VLOOKUP(R58, IMPORTRANGE(""https://docs.google.com/spreadsheets/d/1yDAaXNsi4Mr5FtRQL4tbmSdIzhx6_m4wkOD7IG-k_eo/edit#gid=0"", ""Maths!M:N""), 2, FALSE)"),"Judge whether statements about integer are true or false.")</f>
        <v>Judge whether statements about integer are true or false.</v>
      </c>
      <c r="T58" s="29" t="str">
        <f t="shared" si="5"/>
        <v>LU000265.006</v>
      </c>
      <c r="U58" s="29" t="str">
        <f ca="1">IFERROR(__xludf.dummyfunction("VLOOKUP(T58, IMPORTRANGE(""https://docs.google.com/spreadsheets/d/1yDAaXNsi4Mr5FtRQL4tbmSdIzhx6_m4wkOD7IG-k_eo/edit#gid=0"", ""Maths!M:N""), 2, FALSE)"),"Create word problems that require the use of integers in various real life context.")</f>
        <v>Create word problems that require the use of integers in various real life context.</v>
      </c>
      <c r="V58" s="16">
        <f ca="1">IFERROR(__xludf.dummyfunction("ArrayFormula(VLOOKUP(G58, IMPORTRANGE(""https://docs.google.com/spreadsheets/d/1p7R4vtkWt5VOBim4ltsDG9KTzSjrtKXsMtQGXPHyND0/edit#gid=795171502"", ""'Filter 30_05_2024'!A1:M2000""), {2, 3, 4, 5,6,7,8,9,10,11,12,13}, 0))"),6)</f>
        <v>6</v>
      </c>
      <c r="W58" s="16">
        <f ca="1">IFERROR(__xludf.dummyfunction("""COMPUTED_VALUE"""),6)</f>
        <v>6</v>
      </c>
      <c r="X58" s="16">
        <f ca="1">IFERROR(__xludf.dummyfunction("""COMPUTED_VALUE"""),2)</f>
        <v>2</v>
      </c>
      <c r="Y58" s="16">
        <f ca="1">IFERROR(__xludf.dummyfunction("""COMPUTED_VALUE"""),14)</f>
        <v>14</v>
      </c>
      <c r="Z58" s="16">
        <f ca="1">IFERROR(__xludf.dummyfunction("""COMPUTED_VALUE"""),8)</f>
        <v>8</v>
      </c>
      <c r="AA58" s="30">
        <f ca="1">IFERROR(__xludf.dummyfunction("""COMPUTED_VALUE"""),3)</f>
        <v>3</v>
      </c>
      <c r="AB58" s="30">
        <f ca="1">IFERROR(__xludf.dummyfunction("""COMPUTED_VALUE"""),1)</f>
        <v>1</v>
      </c>
      <c r="AC58" s="30">
        <f ca="1">IFERROR(__xludf.dummyfunction("""COMPUTED_VALUE"""),12)</f>
        <v>12</v>
      </c>
      <c r="AD58" s="16"/>
      <c r="AE58" s="30"/>
      <c r="AF58" s="30"/>
      <c r="AG58" s="30"/>
    </row>
    <row r="59" spans="1:33" ht="13.8">
      <c r="A59" s="25"/>
      <c r="B59" s="26" t="s">
        <v>29</v>
      </c>
      <c r="C59" s="26" t="s">
        <v>310</v>
      </c>
      <c r="D59" s="26">
        <v>6</v>
      </c>
      <c r="E59" s="27" t="s">
        <v>394</v>
      </c>
      <c r="F59" s="28"/>
      <c r="G59" s="26" t="s">
        <v>399</v>
      </c>
      <c r="H59" s="28" t="str">
        <f ca="1">IFERROR(__xludf.dummyfunction("IFERROR(
  VLOOKUP(G59, IMPORTRANGE(""https://docs.google.com/spreadsheets/d/14deopnvwcrKtEGCKuYXdUHJbeLDZlkiSSWWT0g7x2pM/edit#gid=849066331"", ""LU List Maths (Filter)!A:B""), 2, FALSE),
  IFERROR(
    VLOOKUP(G59, IMPORTRANGE(""https://docs.google.com/s"&amp;"preadsheets/d/14deopnvwcrKtEGCKuYXdUHJbeLDZlkiSSWWT0g7x2pM/edit#gid=849066331"", ""LU List Science (Filter)!A:B""), 2, FALSE),
    ""Not Found""
  )
)
"),"Definition of positive integers")</f>
        <v>Definition of positive integers</v>
      </c>
      <c r="I59" s="28"/>
      <c r="J59" s="29" t="str">
        <f t="shared" si="0"/>
        <v>LU000266.001</v>
      </c>
      <c r="K59" s="29" t="str">
        <f ca="1">IFERROR(__xludf.dummyfunction("VLOOKUP(J59, IMPORTRANGE(""https://docs.google.com/spreadsheets/d/1yDAaXNsi4Mr5FtRQL4tbmSdIzhx6_m4wkOD7IG-k_eo/edit#gid=0"", ""Maths!M:N""), 2, FALSE)"),"Define positive integers and their characteristics.")</f>
        <v>Define positive integers and their characteristics.</v>
      </c>
      <c r="L59" s="29" t="str">
        <f t="shared" si="1"/>
        <v>LU000266.002</v>
      </c>
      <c r="M59" s="29" t="str">
        <f ca="1">IFERROR(__xludf.dummyfunction("VLOOKUP(L59, IMPORTRANGE(""https://docs.google.com/spreadsheets/d/1yDAaXNsi4Mr5FtRQL4tbmSdIzhx6_m4wkOD7IG-k_eo/edit#gid=0"", ""Maths!M:N""), 2, FALSE)"),"Explain the concept of positive integers and how they relate to whole numbers and natural numbers.")</f>
        <v>Explain the concept of positive integers and how they relate to whole numbers and natural numbers.</v>
      </c>
      <c r="N59" s="29" t="str">
        <f t="shared" si="2"/>
        <v>LU000266.003</v>
      </c>
      <c r="O59" s="29" t="str">
        <f ca="1">IFERROR(__xludf.dummyfunction("VLOOKUP(N59, IMPORTRANGE(""https://docs.google.com/spreadsheets/d/1yDAaXNsi4Mr5FtRQL4tbmSdIzhx6_m4wkOD7IG-k_eo/edit#gid=0"", ""Maths!M:N""), 2, FALSE)"),"Apply the concept of positive integers to solve basic addition problems.")</f>
        <v>Apply the concept of positive integers to solve basic addition problems.</v>
      </c>
      <c r="P59" s="29" t="str">
        <f t="shared" si="3"/>
        <v>LU000266.004</v>
      </c>
      <c r="Q59" s="29" t="str">
        <f ca="1">IFERROR(__xludf.dummyfunction("VLOOKUP(P59, IMPORTRANGE(""https://docs.google.com/spreadsheets/d/1yDAaXNsi4Mr5FtRQL4tbmSdIzhx6_m4wkOD7IG-k_eo/edit#gid=0"", ""Maths!M:N""), 2, FALSE)"),"Analyse patterns in sequences of positive integers and identify rules governing their progression.")</f>
        <v>Analyse patterns in sequences of positive integers and identify rules governing their progression.</v>
      </c>
      <c r="R59" s="29" t="str">
        <f t="shared" si="4"/>
        <v>LU000266.005</v>
      </c>
      <c r="S59" s="29" t="str">
        <f ca="1">IFERROR(__xludf.dummyfunction("VLOOKUP(R59, IMPORTRANGE(""https://docs.google.com/spreadsheets/d/1yDAaXNsi4Mr5FtRQL4tbmSdIzhx6_m4wkOD7IG-k_eo/edit#gid=0"", ""Maths!M:N""), 2, FALSE)"),"Judge whether statements about positive integer are true or false.")</f>
        <v>Judge whether statements about positive integer are true or false.</v>
      </c>
      <c r="T59" s="29" t="str">
        <f t="shared" si="5"/>
        <v>LU000266.006</v>
      </c>
      <c r="U59" s="29" t="str">
        <f ca="1">IFERROR(__xludf.dummyfunction("VLOOKUP(T59, IMPORTRANGE(""https://docs.google.com/spreadsheets/d/1yDAaXNsi4Mr5FtRQL4tbmSdIzhx6_m4wkOD7IG-k_eo/edit#gid=0"", ""Maths!M:N""), 2, FALSE)"),"Create word problems that require the use of positive integers in various real life context.")</f>
        <v>Create word problems that require the use of positive integers in various real life context.</v>
      </c>
      <c r="V59" s="16">
        <f ca="1">IFERROR(__xludf.dummyfunction("ArrayFormula(VLOOKUP(G59, IMPORTRANGE(""https://docs.google.com/spreadsheets/d/1p7R4vtkWt5VOBim4ltsDG9KTzSjrtKXsMtQGXPHyND0/edit#gid=795171502"", ""'Filter 30_05_2024'!A1:M2000""), {2, 3, 4, 5,6,7,8,9,10,11,12,13}, 0))"),4)</f>
        <v>4</v>
      </c>
      <c r="W59" s="16">
        <f ca="1">IFERROR(__xludf.dummyfunction("""COMPUTED_VALUE"""),6)</f>
        <v>6</v>
      </c>
      <c r="X59" s="16">
        <f ca="1">IFERROR(__xludf.dummyfunction("""COMPUTED_VALUE"""),2)</f>
        <v>2</v>
      </c>
      <c r="Y59" s="16">
        <f ca="1">IFERROR(__xludf.dummyfunction("""COMPUTED_VALUE"""),12)</f>
        <v>12</v>
      </c>
      <c r="Z59" s="16">
        <f ca="1">IFERROR(__xludf.dummyfunction("""COMPUTED_VALUE"""),5)</f>
        <v>5</v>
      </c>
      <c r="AA59" s="30">
        <f ca="1">IFERROR(__xludf.dummyfunction("""COMPUTED_VALUE"""),3)</f>
        <v>3</v>
      </c>
      <c r="AB59" s="30">
        <f ca="1">IFERROR(__xludf.dummyfunction("""COMPUTED_VALUE"""),1)</f>
        <v>1</v>
      </c>
      <c r="AC59" s="30">
        <f ca="1">IFERROR(__xludf.dummyfunction("""COMPUTED_VALUE"""),9)</f>
        <v>9</v>
      </c>
      <c r="AD59" s="16"/>
      <c r="AE59" s="30"/>
      <c r="AF59" s="30"/>
      <c r="AG59" s="30"/>
    </row>
    <row r="60" spans="1:33" ht="13.8">
      <c r="A60" s="25"/>
      <c r="B60" s="26" t="s">
        <v>29</v>
      </c>
      <c r="C60" s="26" t="s">
        <v>310</v>
      </c>
      <c r="D60" s="26">
        <v>6</v>
      </c>
      <c r="E60" s="27" t="s">
        <v>394</v>
      </c>
      <c r="F60" s="28"/>
      <c r="G60" s="26" t="s">
        <v>400</v>
      </c>
      <c r="H60" s="28" t="str">
        <f ca="1">IFERROR(__xludf.dummyfunction("IFERROR(
  VLOOKUP(G60, IMPORTRANGE(""https://docs.google.com/spreadsheets/d/14deopnvwcrKtEGCKuYXdUHJbeLDZlkiSSWWT0g7x2pM/edit#gid=849066331"", ""LU List Maths (Filter)!A:B""), 2, FALSE),
  IFERROR(
    VLOOKUP(G60, IMPORTRANGE(""https://docs.google.com/s"&amp;"preadsheets/d/14deopnvwcrKtEGCKuYXdUHJbeLDZlkiSSWWT0g7x2pM/edit#gid=849066331"", ""LU List Science (Filter)!A:B""), 2, FALSE),
    ""Not Found""
  )
)
"),"Definition of negative integers")</f>
        <v>Definition of negative integers</v>
      </c>
      <c r="I60" s="28"/>
      <c r="J60" s="29" t="str">
        <f t="shared" si="0"/>
        <v>LU000267.001</v>
      </c>
      <c r="K60" s="29" t="str">
        <f ca="1">IFERROR(__xludf.dummyfunction("VLOOKUP(J60, IMPORTRANGE(""https://docs.google.com/spreadsheets/d/1yDAaXNsi4Mr5FtRQL4tbmSdIzhx6_m4wkOD7IG-k_eo/edit#gid=0"", ""Maths!M:N""), 2, FALSE)"),"Define negative integers and their characteristics.")</f>
        <v>Define negative integers and their characteristics.</v>
      </c>
      <c r="L60" s="29" t="str">
        <f t="shared" si="1"/>
        <v>LU000267.002</v>
      </c>
      <c r="M60" s="29" t="str">
        <f ca="1">IFERROR(__xludf.dummyfunction("VLOOKUP(L60, IMPORTRANGE(""https://docs.google.com/spreadsheets/d/1yDAaXNsi4Mr5FtRQL4tbmSdIzhx6_m4wkOD7IG-k_eo/edit#gid=0"", ""Maths!M:N""), 2, FALSE)"),"Explain the concept of negative integers and how they relate to whole numbers and natural numbers.")</f>
        <v>Explain the concept of negative integers and how they relate to whole numbers and natural numbers.</v>
      </c>
      <c r="N60" s="29" t="str">
        <f t="shared" si="2"/>
        <v>LU000267.003</v>
      </c>
      <c r="O60" s="29" t="str">
        <f ca="1">IFERROR(__xludf.dummyfunction("VLOOKUP(N60, IMPORTRANGE(""https://docs.google.com/spreadsheets/d/1yDAaXNsi4Mr5FtRQL4tbmSdIzhx6_m4wkOD7IG-k_eo/edit#gid=0"", ""Maths!M:N""), 2, FALSE)"),"Apply the concept of negative integers to solve basic addition problems.")</f>
        <v>Apply the concept of negative integers to solve basic addition problems.</v>
      </c>
      <c r="P60" s="29" t="str">
        <f t="shared" si="3"/>
        <v>LU000267.004</v>
      </c>
      <c r="Q60" s="29" t="str">
        <f ca="1">IFERROR(__xludf.dummyfunction("VLOOKUP(P60, IMPORTRANGE(""https://docs.google.com/spreadsheets/d/1yDAaXNsi4Mr5FtRQL4tbmSdIzhx6_m4wkOD7IG-k_eo/edit#gid=0"", ""Maths!M:N""), 2, FALSE)"),"Analyse scenarios where negative integers are applicable and discuss their significance.")</f>
        <v>Analyse scenarios where negative integers are applicable and discuss their significance.</v>
      </c>
      <c r="R60" s="29" t="str">
        <f t="shared" si="4"/>
        <v>LU000267.005</v>
      </c>
      <c r="S60" s="29" t="str">
        <f ca="1">IFERROR(__xludf.dummyfunction("VLOOKUP(R60, IMPORTRANGE(""https://docs.google.com/spreadsheets/d/1yDAaXNsi4Mr5FtRQL4tbmSdIzhx6_m4wkOD7IG-k_eo/edit#gid=0"", ""Maths!M:N""), 2, FALSE)"),"Judge whether statements about negative integer are true or false.")</f>
        <v>Judge whether statements about negative integer are true or false.</v>
      </c>
      <c r="T60" s="29" t="str">
        <f t="shared" si="5"/>
        <v>LU000267.006</v>
      </c>
      <c r="U60" s="29" t="str">
        <f ca="1">IFERROR(__xludf.dummyfunction("VLOOKUP(T60, IMPORTRANGE(""https://docs.google.com/spreadsheets/d/1yDAaXNsi4Mr5FtRQL4tbmSdIzhx6_m4wkOD7IG-k_eo/edit#gid=0"", ""Maths!M:N""), 2, FALSE)"),"Create word problems that require the use of negative integers in various real life context.")</f>
        <v>Create word problems that require the use of negative integers in various real life context.</v>
      </c>
      <c r="V60" s="16">
        <f ca="1">IFERROR(__xludf.dummyfunction("ArrayFormula(VLOOKUP(G60, IMPORTRANGE(""https://docs.google.com/spreadsheets/d/1p7R4vtkWt5VOBim4ltsDG9KTzSjrtKXsMtQGXPHyND0/edit#gid=795171502"", ""'Filter 30_05_2024'!A1:M2000""), {2, 3, 4, 5,6,7,8,9,10,11,12,13}, 0))"),5)</f>
        <v>5</v>
      </c>
      <c r="W60" s="16">
        <f ca="1">IFERROR(__xludf.dummyfunction("""COMPUTED_VALUE"""),6)</f>
        <v>6</v>
      </c>
      <c r="X60" s="16">
        <f ca="1">IFERROR(__xludf.dummyfunction("""COMPUTED_VALUE"""),1)</f>
        <v>1</v>
      </c>
      <c r="Y60" s="16">
        <f ca="1">IFERROR(__xludf.dummyfunction("""COMPUTED_VALUE"""),12)</f>
        <v>12</v>
      </c>
      <c r="Z60" s="16">
        <f ca="1">IFERROR(__xludf.dummyfunction("""COMPUTED_VALUE"""),4)</f>
        <v>4</v>
      </c>
      <c r="AA60" s="30">
        <f ca="1">IFERROR(__xludf.dummyfunction("""COMPUTED_VALUE"""),3)</f>
        <v>3</v>
      </c>
      <c r="AB60" s="30">
        <f ca="1">IFERROR(__xludf.dummyfunction("""COMPUTED_VALUE"""),2)</f>
        <v>2</v>
      </c>
      <c r="AC60" s="30">
        <f ca="1">IFERROR(__xludf.dummyfunction("""COMPUTED_VALUE"""),9)</f>
        <v>9</v>
      </c>
      <c r="AD60" s="16"/>
      <c r="AE60" s="30"/>
      <c r="AF60" s="30"/>
      <c r="AG60" s="30"/>
    </row>
    <row r="61" spans="1:33" ht="13.8">
      <c r="A61" s="25"/>
      <c r="B61" s="26" t="s">
        <v>29</v>
      </c>
      <c r="C61" s="26" t="s">
        <v>310</v>
      </c>
      <c r="D61" s="26">
        <v>6</v>
      </c>
      <c r="E61" s="27" t="s">
        <v>394</v>
      </c>
      <c r="F61" s="28"/>
      <c r="G61" s="26" t="s">
        <v>401</v>
      </c>
      <c r="H61" s="28" t="str">
        <f ca="1">IFERROR(__xludf.dummyfunction("IFERROR(
  VLOOKUP(G61, IMPORTRANGE(""https://docs.google.com/spreadsheets/d/14deopnvwcrKtEGCKuYXdUHJbeLDZlkiSSWWT0g7x2pM/edit#gid=849066331"", ""LU List Maths (Filter)!A:B""), 2, FALSE),
  IFERROR(
    VLOOKUP(G61, IMPORTRANGE(""https://docs.google.com/s"&amp;"preadsheets/d/14deopnvwcrKtEGCKuYXdUHJbeLDZlkiSSWWT0g7x2pM/edit#gid=849066331"", ""LU List Science (Filter)!A:B""), 2, FALSE),
    ""Not Found""
  )
)
"),"Representation of integers on number line")</f>
        <v>Representation of integers on number line</v>
      </c>
      <c r="I61" s="28"/>
      <c r="J61" s="29" t="str">
        <f t="shared" si="0"/>
        <v>LU000270.001</v>
      </c>
      <c r="K61" s="29" t="str">
        <f ca="1">IFERROR(__xludf.dummyfunction("VLOOKUP(J61, IMPORTRANGE(""https://docs.google.com/spreadsheets/d/1yDAaXNsi4Mr5FtRQL4tbmSdIzhx6_m4wkOD7IG-k_eo/edit#gid=0"", ""Maths!M:N""), 2, FALSE)"),"Define a number line and its use in representing integers.")</f>
        <v>Define a number line and its use in representing integers.</v>
      </c>
      <c r="L61" s="29" t="str">
        <f t="shared" si="1"/>
        <v>LU000270.002</v>
      </c>
      <c r="M61" s="29" t="str">
        <f ca="1">IFERROR(__xludf.dummyfunction("VLOOKUP(L61, IMPORTRANGE(""https://docs.google.com/spreadsheets/d/1yDAaXNsi4Mr5FtRQL4tbmSdIzhx6_m4wkOD7IG-k_eo/edit#gid=0"", ""Maths!M:N""), 2, FALSE)"),"Explain the concept of integers' positions on a number line and how positive and negative integers are situated.")</f>
        <v>Explain the concept of integers' positions on a number line and how positive and negative integers are situated.</v>
      </c>
      <c r="N61" s="29" t="str">
        <f t="shared" si="2"/>
        <v>LU000270.003</v>
      </c>
      <c r="O61" s="29" t="str">
        <f ca="1">IFERROR(__xludf.dummyfunction("VLOOKUP(N61, IMPORTRANGE(""https://docs.google.com/spreadsheets/d/1yDAaXNsi4Mr5FtRQL4tbmSdIzhx6_m4wkOD7IG-k_eo/edit#gid=0"", ""Maths!M:N""), 2, FALSE)"),"Apply the knowledge of number lines to represent integers and locate their positions.")</f>
        <v>Apply the knowledge of number lines to represent integers and locate their positions.</v>
      </c>
      <c r="P61" s="29" t="str">
        <f t="shared" si="3"/>
        <v>LU000270.004</v>
      </c>
      <c r="Q61" s="29" t="str">
        <f ca="1">IFERROR(__xludf.dummyfunction("VLOOKUP(P61, IMPORTRANGE(""https://docs.google.com/spreadsheets/d/1yDAaXNsi4Mr5FtRQL4tbmSdIzhx6_m4wkOD7IG-k_eo/edit#gid=0"", ""Maths!M:N""), 2, FALSE)"),"Analyse the spacing and intervals on a number line to determine the difference between integer positions.")</f>
        <v>Analyse the spacing and intervals on a number line to determine the difference between integer positions.</v>
      </c>
      <c r="R61" s="29" t="str">
        <f t="shared" si="4"/>
        <v>LU000270.005</v>
      </c>
      <c r="S61" s="29" t="str">
        <f ca="1">IFERROR(__xludf.dummyfunction("VLOOKUP(R61, IMPORTRANGE(""https://docs.google.com/spreadsheets/d/1yDAaXNsi4Mr5FtRQL4tbmSdIzhx6_m4wkOD7IG-k_eo/edit#gid=0"", ""Maths!M:N""), 2, FALSE)"),"Evaluate the accuracy of solutions to integer addition problems and provide feedback on the approach.")</f>
        <v>Evaluate the accuracy of solutions to integer addition problems and provide feedback on the approach.</v>
      </c>
      <c r="T61" s="29" t="str">
        <f t="shared" si="5"/>
        <v>LU000270.006</v>
      </c>
      <c r="U61" s="29" t="str">
        <f ca="1">IFERROR(__xludf.dummyfunction("VLOOKUP(T61, IMPORTRANGE(""https://docs.google.com/spreadsheets/d/1yDAaXNsi4Mr5FtRQL4tbmSdIzhx6_m4wkOD7IG-k_eo/edit#gid=0"", ""Maths!M:N""), 2, FALSE)"),"Create a set of integer addition problems with varying sign combinations.")</f>
        <v>Create a set of integer addition problems with varying sign combinations.</v>
      </c>
      <c r="V61" s="16">
        <f ca="1">IFERROR(__xludf.dummyfunction("ArrayFormula(VLOOKUP(G61, IMPORTRANGE(""https://docs.google.com/spreadsheets/d/1p7R4vtkWt5VOBim4ltsDG9KTzSjrtKXsMtQGXPHyND0/edit#gid=795171502"", ""'Filter 30_05_2024'!A1:M2000""), {2, 3, 4, 5,6,7,8,9,10,11,12,13}, 0))"),6)</f>
        <v>6</v>
      </c>
      <c r="W61" s="16">
        <f ca="1">IFERROR(__xludf.dummyfunction("""COMPUTED_VALUE"""),6)</f>
        <v>6</v>
      </c>
      <c r="X61" s="16">
        <f ca="1">IFERROR(__xludf.dummyfunction("""COMPUTED_VALUE"""),2)</f>
        <v>2</v>
      </c>
      <c r="Y61" s="16">
        <f ca="1">IFERROR(__xludf.dummyfunction("""COMPUTED_VALUE"""),14)</f>
        <v>14</v>
      </c>
      <c r="Z61" s="16">
        <f ca="1">IFERROR(__xludf.dummyfunction("""COMPUTED_VALUE"""),7)</f>
        <v>7</v>
      </c>
      <c r="AA61" s="30">
        <f ca="1">IFERROR(__xludf.dummyfunction("""COMPUTED_VALUE"""),3)</f>
        <v>3</v>
      </c>
      <c r="AB61" s="30">
        <f ca="1">IFERROR(__xludf.dummyfunction("""COMPUTED_VALUE"""),1)</f>
        <v>1</v>
      </c>
      <c r="AC61" s="30">
        <f ca="1">IFERROR(__xludf.dummyfunction("""COMPUTED_VALUE"""),11)</f>
        <v>11</v>
      </c>
      <c r="AD61" s="16"/>
      <c r="AE61" s="30"/>
      <c r="AF61" s="30"/>
      <c r="AG61" s="30"/>
    </row>
    <row r="62" spans="1:33" ht="13.8">
      <c r="A62" s="25"/>
      <c r="B62" s="26" t="s">
        <v>29</v>
      </c>
      <c r="C62" s="26" t="s">
        <v>310</v>
      </c>
      <c r="D62" s="26">
        <v>6</v>
      </c>
      <c r="E62" s="27" t="s">
        <v>394</v>
      </c>
      <c r="F62" s="28"/>
      <c r="G62" s="26" t="s">
        <v>402</v>
      </c>
      <c r="H62" s="28" t="str">
        <f ca="1">IFERROR(__xludf.dummyfunction("IFERROR(
  VLOOKUP(G62, IMPORTRANGE(""https://docs.google.com/spreadsheets/d/14deopnvwcrKtEGCKuYXdUHJbeLDZlkiSSWWT0g7x2pM/edit#gid=849066331"", ""LU List Maths (Filter)!A:B""), 2, FALSE),
  IFERROR(
    VLOOKUP(G62, IMPORTRANGE(""https://docs.google.com/s"&amp;"preadsheets/d/14deopnvwcrKtEGCKuYXdUHJbeLDZlkiSSWWT0g7x2pM/edit#gid=849066331"", ""LU List Science (Filter)!A:B""), 2, FALSE),
    ""Not Found""
  )
)
"),"Absolute value of an integer")</f>
        <v>Absolute value of an integer</v>
      </c>
      <c r="I62" s="28"/>
      <c r="J62" s="29" t="str">
        <f t="shared" si="0"/>
        <v>LU000275.001</v>
      </c>
      <c r="K62" s="29" t="str">
        <f ca="1">IFERROR(__xludf.dummyfunction("VLOOKUP(J62, IMPORTRANGE(""https://docs.google.com/spreadsheets/d/1yDAaXNsi4Mr5FtRQL4tbmSdIzhx6_m4wkOD7IG-k_eo/edit#gid=0"", ""Maths!M:N""), 2, FALSE)"),"Define absolute value of an integer and its representation on the number line.")</f>
        <v>Define absolute value of an integer and its representation on the number line.</v>
      </c>
      <c r="L62" s="29" t="str">
        <f t="shared" si="1"/>
        <v>LU000275.002</v>
      </c>
      <c r="M62" s="29" t="str">
        <f ca="1">IFERROR(__xludf.dummyfunction("VLOOKUP(L62, IMPORTRANGE(""https://docs.google.com/spreadsheets/d/1yDAaXNsi4Mr5FtRQL4tbmSdIzhx6_m4wkOD7IG-k_eo/edit#gid=0"", ""Maths!M:N""), 2, FALSE)"),"Describe how the absolute value of an integer represents its distance from zero on the number line, disregarding its sign.")</f>
        <v>Describe how the absolute value of an integer represents its distance from zero on the number line, disregarding its sign.</v>
      </c>
      <c r="N62" s="29" t="str">
        <f t="shared" si="2"/>
        <v>LU000275.003</v>
      </c>
      <c r="O62" s="29" t="str">
        <f ca="1">IFERROR(__xludf.dummyfunction("VLOOKUP(N62, IMPORTRANGE(""https://docs.google.com/spreadsheets/d/1yDAaXNsi4Mr5FtRQL4tbmSdIzhx6_m4wkOD7IG-k_eo/edit#gid=0"", ""Maths!M:N""), 2, FALSE)"),"Apply the understanding of absolute value to find the absolute value of given integers.")</f>
        <v>Apply the understanding of absolute value to find the absolute value of given integers.</v>
      </c>
      <c r="P62" s="29" t="str">
        <f t="shared" si="3"/>
        <v>LU000275.004</v>
      </c>
      <c r="Q62" s="29" t="str">
        <f ca="1">IFERROR(__xludf.dummyfunction("VLOOKUP(P62, IMPORTRANGE(""https://docs.google.com/spreadsheets/d/1yDAaXNsi4Mr5FtRQL4tbmSdIzhx6_m4wkOD7IG-k_eo/edit#gid=0"", ""Maths!M:N""), 2, FALSE)"),"Analyse the absolute values of integers in various scenarios to determine their magnitudes.")</f>
        <v>Analyse the absolute values of integers in various scenarios to determine their magnitudes.</v>
      </c>
      <c r="R62" s="29" t="str">
        <f t="shared" si="4"/>
        <v>LU000275.005</v>
      </c>
      <c r="S62" s="29" t="str">
        <f ca="1">IFERROR(__xludf.dummyfunction("VLOOKUP(R62, IMPORTRANGE(""https://docs.google.com/spreadsheets/d/1yDAaXNsi4Mr5FtRQL4tbmSdIzhx6_m4wkOD7IG-k_eo/edit#gid=0"", ""Maths!M:N""), 2, FALSE)"),"#N/A")</f>
        <v>#N/A</v>
      </c>
      <c r="T62" s="29" t="str">
        <f t="shared" si="5"/>
        <v>LU000275.006</v>
      </c>
      <c r="U62" s="29" t="str">
        <f ca="1">IFERROR(__xludf.dummyfunction("VLOOKUP(T62, IMPORTRANGE(""https://docs.google.com/spreadsheets/d/1yDAaXNsi4Mr5FtRQL4tbmSdIzhx6_m4wkOD7IG-k_eo/edit#gid=0"", ""Maths!M:N""), 2, FALSE)"),"#N/A")</f>
        <v>#N/A</v>
      </c>
      <c r="V62" s="16" t="str">
        <f ca="1">IFERROR(__xludf.dummyfunction("ArrayFormula(VLOOKUP(G62, IMPORTRANGE(""https://docs.google.com/spreadsheets/d/1p7R4vtkWt5VOBim4ltsDG9KTzSjrtKXsMtQGXPHyND0/edit#gid=795171502"", ""'Filter 30_05_2024'!A1:M2000""), {2, 3, 4, 5,6,7,8,9,10,11,12,13}, 0))"),"#N/A")</f>
        <v>#N/A</v>
      </c>
      <c r="W62" s="16" t="str">
        <f ca="1">IFERROR(__xludf.dummyfunction("""COMPUTED_VALUE"""),"#N/A")</f>
        <v>#N/A</v>
      </c>
      <c r="X62" s="16" t="str">
        <f ca="1">IFERROR(__xludf.dummyfunction("""COMPUTED_VALUE"""),"#N/A")</f>
        <v>#N/A</v>
      </c>
      <c r="Y62" s="16" t="str">
        <f ca="1">IFERROR(__xludf.dummyfunction("""COMPUTED_VALUE"""),"#N/A")</f>
        <v>#N/A</v>
      </c>
      <c r="Z62" s="16" t="str">
        <f ca="1">IFERROR(__xludf.dummyfunction("""COMPUTED_VALUE"""),"#N/A")</f>
        <v>#N/A</v>
      </c>
      <c r="AA62" s="30" t="str">
        <f ca="1">IFERROR(__xludf.dummyfunction("""COMPUTED_VALUE"""),"#N/A")</f>
        <v>#N/A</v>
      </c>
      <c r="AB62" s="30" t="str">
        <f ca="1">IFERROR(__xludf.dummyfunction("""COMPUTED_VALUE"""),"#N/A")</f>
        <v>#N/A</v>
      </c>
      <c r="AC62" s="30" t="str">
        <f ca="1">IFERROR(__xludf.dummyfunction("""COMPUTED_VALUE"""),"#N/A")</f>
        <v>#N/A</v>
      </c>
      <c r="AD62" s="16" t="str">
        <f ca="1">IFERROR(__xludf.dummyfunction("""COMPUTED_VALUE"""),"#N/A")</f>
        <v>#N/A</v>
      </c>
      <c r="AE62" s="30" t="str">
        <f ca="1">IFERROR(__xludf.dummyfunction("""COMPUTED_VALUE"""),"#N/A")</f>
        <v>#N/A</v>
      </c>
      <c r="AF62" s="30" t="str">
        <f ca="1">IFERROR(__xludf.dummyfunction("""COMPUTED_VALUE"""),"#N/A")</f>
        <v>#N/A</v>
      </c>
      <c r="AG62" s="30" t="str">
        <f ca="1">IFERROR(__xludf.dummyfunction("""COMPUTED_VALUE"""),"#N/A")</f>
        <v>#N/A</v>
      </c>
    </row>
    <row r="63" spans="1:33" ht="13.8">
      <c r="A63" s="25"/>
      <c r="B63" s="26" t="s">
        <v>29</v>
      </c>
      <c r="C63" s="26" t="s">
        <v>310</v>
      </c>
      <c r="D63" s="26">
        <v>6</v>
      </c>
      <c r="E63" s="27" t="s">
        <v>394</v>
      </c>
      <c r="F63" s="28"/>
      <c r="G63" s="26" t="s">
        <v>403</v>
      </c>
      <c r="H63" s="28" t="str">
        <f ca="1">IFERROR(__xludf.dummyfunction("IFERROR(
  VLOOKUP(G63, IMPORTRANGE(""https://docs.google.com/spreadsheets/d/14deopnvwcrKtEGCKuYXdUHJbeLDZlkiSSWWT0g7x2pM/edit#gid=849066331"", ""LU List Maths (Filter)!A:B""), 2, FALSE),
  IFERROR(
    VLOOKUP(G63, IMPORTRANGE(""https://docs.google.com/s"&amp;"preadsheets/d/14deopnvwcrKtEGCKuYXdUHJbeLDZlkiSSWWT0g7x2pM/edit#gid=849066331"", ""LU List Science (Filter)!A:B""), 2, FALSE),
    ""Not Found""
  )
)
"),"Successor of integers")</f>
        <v>Successor of integers</v>
      </c>
      <c r="I63" s="28"/>
      <c r="J63" s="29" t="str">
        <f t="shared" si="0"/>
        <v>LU000268.001</v>
      </c>
      <c r="K63" s="29" t="str">
        <f ca="1">IFERROR(__xludf.dummyfunction("VLOOKUP(J63, IMPORTRANGE(""https://docs.google.com/spreadsheets/d/1yDAaXNsi4Mr5FtRQL4tbmSdIzhx6_m4wkOD7IG-k_eo/edit#gid=0"", ""Maths!M:N""), 2, FALSE)"),"Recall the definition of the successor of an integer and its relation to the given integer.")</f>
        <v>Recall the definition of the successor of an integer and its relation to the given integer.</v>
      </c>
      <c r="L63" s="29" t="str">
        <f t="shared" si="1"/>
        <v>LU000268.002</v>
      </c>
      <c r="M63" s="29" t="str">
        <f ca="1">IFERROR(__xludf.dummyfunction("VLOOKUP(L63, IMPORTRANGE(""https://docs.google.com/spreadsheets/d/1yDAaXNsi4Mr5FtRQL4tbmSdIzhx6_m4wkOD7IG-k_eo/edit#gid=0"", ""Maths!M:N""), 2, FALSE)"),"Explain the concept of the successor of an integer and how it is found using the number line.")</f>
        <v>Explain the concept of the successor of an integer and how it is found using the number line.</v>
      </c>
      <c r="N63" s="29" t="str">
        <f t="shared" si="2"/>
        <v>LU000268.003</v>
      </c>
      <c r="O63" s="29" t="str">
        <f ca="1">IFERROR(__xludf.dummyfunction("VLOOKUP(N63, IMPORTRANGE(""https://docs.google.com/spreadsheets/d/1yDAaXNsi4Mr5FtRQL4tbmSdIzhx6_m4wkOD7IG-k_eo/edit#gid=0"", ""Maths!M:N""), 2, FALSE)"),"Apply the understanding of the successor of integers to find the successors of given numbers.")</f>
        <v>Apply the understanding of the successor of integers to find the successors of given numbers.</v>
      </c>
      <c r="P63" s="29" t="str">
        <f t="shared" si="3"/>
        <v>LU000268.004</v>
      </c>
      <c r="Q63" s="29" t="str">
        <f ca="1">IFERROR(__xludf.dummyfunction("VLOOKUP(P63, IMPORTRANGE(""https://docs.google.com/spreadsheets/d/1yDAaXNsi4Mr5FtRQL4tbmSdIzhx6_m4wkOD7IG-k_eo/edit#gid=0"", ""Maths!M:N""), 2, FALSE)"),"Analyse patterns in the sequence of successors for positive and negative integers.")</f>
        <v>Analyse patterns in the sequence of successors for positive and negative integers.</v>
      </c>
      <c r="R63" s="29" t="str">
        <f t="shared" si="4"/>
        <v>LU000268.005</v>
      </c>
      <c r="S63" s="29" t="str">
        <f ca="1">IFERROR(__xludf.dummyfunction("VLOOKUP(R63, IMPORTRANGE(""https://docs.google.com/spreadsheets/d/1yDAaXNsi4Mr5FtRQL4tbmSdIzhx6_m4wkOD7IG-k_eo/edit#gid=0"", ""Maths!M:N""), 2, FALSE)"),"Assess the relationship between the successor of an integer and its position on the number line.")</f>
        <v>Assess the relationship between the successor of an integer and its position on the number line.</v>
      </c>
      <c r="T63" s="29" t="str">
        <f t="shared" si="5"/>
        <v>LU000268.006</v>
      </c>
      <c r="U63" s="29" t="str">
        <f ca="1">IFERROR(__xludf.dummyfunction("VLOOKUP(T63, IMPORTRANGE(""https://docs.google.com/spreadsheets/d/1yDAaXNsi4Mr5FtRQL4tbmSdIzhx6_m4wkOD7IG-k_eo/edit#gid=0"", ""Maths!M:N""), 2, FALSE)"),"#N/A")</f>
        <v>#N/A</v>
      </c>
      <c r="V63" s="16">
        <f ca="1">IFERROR(__xludf.dummyfunction("ArrayFormula(VLOOKUP(G63, IMPORTRANGE(""https://docs.google.com/spreadsheets/d/1p7R4vtkWt5VOBim4ltsDG9KTzSjrtKXsMtQGXPHyND0/edit#gid=795171502"", ""'Filter 30_05_2024'!A1:M2000""), {2, 3, 4, 5,6,7,8,9,10,11,12,13}, 0))"),4)</f>
        <v>4</v>
      </c>
      <c r="W63" s="16">
        <f ca="1">IFERROR(__xludf.dummyfunction("""COMPUTED_VALUE"""),2)</f>
        <v>2</v>
      </c>
      <c r="X63" s="16">
        <f ca="1">IFERROR(__xludf.dummyfunction("""COMPUTED_VALUE"""),2)</f>
        <v>2</v>
      </c>
      <c r="Y63" s="16">
        <f ca="1">IFERROR(__xludf.dummyfunction("""COMPUTED_VALUE"""),8)</f>
        <v>8</v>
      </c>
      <c r="Z63" s="16">
        <f ca="1">IFERROR(__xludf.dummyfunction("""COMPUTED_VALUE"""),4)</f>
        <v>4</v>
      </c>
      <c r="AA63" s="30">
        <f ca="1">IFERROR(__xludf.dummyfunction("""COMPUTED_VALUE"""),5)</f>
        <v>5</v>
      </c>
      <c r="AB63" s="30">
        <f ca="1">IFERROR(__xludf.dummyfunction("""COMPUTED_VALUE"""),1)</f>
        <v>1</v>
      </c>
      <c r="AC63" s="30">
        <f ca="1">IFERROR(__xludf.dummyfunction("""COMPUTED_VALUE"""),10)</f>
        <v>10</v>
      </c>
      <c r="AD63" s="16"/>
      <c r="AE63" s="30"/>
      <c r="AF63" s="30"/>
      <c r="AG63" s="30"/>
    </row>
    <row r="64" spans="1:33" ht="13.8">
      <c r="A64" s="25"/>
      <c r="B64" s="26" t="s">
        <v>29</v>
      </c>
      <c r="C64" s="26" t="s">
        <v>310</v>
      </c>
      <c r="D64" s="26">
        <v>6</v>
      </c>
      <c r="E64" s="27" t="s">
        <v>394</v>
      </c>
      <c r="F64" s="28"/>
      <c r="G64" s="26" t="s">
        <v>404</v>
      </c>
      <c r="H64" s="28" t="str">
        <f ca="1">IFERROR(__xludf.dummyfunction("IFERROR(
  VLOOKUP(G64, IMPORTRANGE(""https://docs.google.com/spreadsheets/d/14deopnvwcrKtEGCKuYXdUHJbeLDZlkiSSWWT0g7x2pM/edit#gid=849066331"", ""LU List Maths (Filter)!A:B""), 2, FALSE),
  IFERROR(
    VLOOKUP(G64, IMPORTRANGE(""https://docs.google.com/s"&amp;"preadsheets/d/14deopnvwcrKtEGCKuYXdUHJbeLDZlkiSSWWT0g7x2pM/edit#gid=849066331"", ""LU List Science (Filter)!A:B""), 2, FALSE),
    ""Not Found""
  )
)
"),"Predecessor of integers")</f>
        <v>Predecessor of integers</v>
      </c>
      <c r="I64" s="28"/>
      <c r="J64" s="29" t="str">
        <f t="shared" si="0"/>
        <v>LU000269.001</v>
      </c>
      <c r="K64" s="29" t="str">
        <f ca="1">IFERROR(__xludf.dummyfunction("VLOOKUP(J64, IMPORTRANGE(""https://docs.google.com/spreadsheets/d/1yDAaXNsi4Mr5FtRQL4tbmSdIzhx6_m4wkOD7IG-k_eo/edit#gid=0"", ""Maths!M:N""), 2, FALSE)"),"Recall the definition of the predecessor of an integer and its relation to the given integer.")</f>
        <v>Recall the definition of the predecessor of an integer and its relation to the given integer.</v>
      </c>
      <c r="L64" s="29" t="str">
        <f t="shared" si="1"/>
        <v>LU000269.002</v>
      </c>
      <c r="M64" s="29" t="str">
        <f ca="1">IFERROR(__xludf.dummyfunction("VLOOKUP(L64, IMPORTRANGE(""https://docs.google.com/spreadsheets/d/1yDAaXNsi4Mr5FtRQL4tbmSdIzhx6_m4wkOD7IG-k_eo/edit#gid=0"", ""Maths!M:N""), 2, FALSE)"),"Explain the concept of the predecessor of an integer and how it is found using the number line.")</f>
        <v>Explain the concept of the predecessor of an integer and how it is found using the number line.</v>
      </c>
      <c r="N64" s="29" t="str">
        <f t="shared" si="2"/>
        <v>LU000269.003</v>
      </c>
      <c r="O64" s="29" t="str">
        <f ca="1">IFERROR(__xludf.dummyfunction("VLOOKUP(N64, IMPORTRANGE(""https://docs.google.com/spreadsheets/d/1yDAaXNsi4Mr5FtRQL4tbmSdIzhx6_m4wkOD7IG-k_eo/edit#gid=0"", ""Maths!M:N""), 2, FALSE)"),"Apply the understanding of the predecessor of integers to find the predecessor of given numbers.")</f>
        <v>Apply the understanding of the predecessor of integers to find the predecessor of given numbers.</v>
      </c>
      <c r="P64" s="29" t="str">
        <f t="shared" si="3"/>
        <v>LU000269.004</v>
      </c>
      <c r="Q64" s="29" t="str">
        <f ca="1">IFERROR(__xludf.dummyfunction("VLOOKUP(P64, IMPORTRANGE(""https://docs.google.com/spreadsheets/d/1yDAaXNsi4Mr5FtRQL4tbmSdIzhx6_m4wkOD7IG-k_eo/edit#gid=0"", ""Maths!M:N""), 2, FALSE)"),"Analyse patterns in the sequence of predecessor for positive and negative integers.")</f>
        <v>Analyse patterns in the sequence of predecessor for positive and negative integers.</v>
      </c>
      <c r="R64" s="29" t="str">
        <f t="shared" si="4"/>
        <v>LU000269.005</v>
      </c>
      <c r="S64" s="29" t="str">
        <f ca="1">IFERROR(__xludf.dummyfunction("VLOOKUP(R64, IMPORTRANGE(""https://docs.google.com/spreadsheets/d/1yDAaXNsi4Mr5FtRQL4tbmSdIzhx6_m4wkOD7IG-k_eo/edit#gid=0"", ""Maths!M:N""), 2, FALSE)"),"Assess the relationship between the predecessor of an integer and its position on the number line.")</f>
        <v>Assess the relationship between the predecessor of an integer and its position on the number line.</v>
      </c>
      <c r="T64" s="29" t="str">
        <f t="shared" si="5"/>
        <v>LU000269.006</v>
      </c>
      <c r="U64" s="29" t="str">
        <f ca="1">IFERROR(__xludf.dummyfunction("VLOOKUP(T64, IMPORTRANGE(""https://docs.google.com/spreadsheets/d/1yDAaXNsi4Mr5FtRQL4tbmSdIzhx6_m4wkOD7IG-k_eo/edit#gid=0"", ""Maths!M:N""), 2, FALSE)"),"#N/A")</f>
        <v>#N/A</v>
      </c>
      <c r="V64" s="16">
        <f ca="1">IFERROR(__xludf.dummyfunction("ArrayFormula(VLOOKUP(G64, IMPORTRANGE(""https://docs.google.com/spreadsheets/d/1p7R4vtkWt5VOBim4ltsDG9KTzSjrtKXsMtQGXPHyND0/edit#gid=795171502"", ""'Filter 30_05_2024'!A1:M2000""), {2, 3, 4, 5,6,7,8,9,10,11,12,13}, 0))"),4)</f>
        <v>4</v>
      </c>
      <c r="W64" s="16">
        <f ca="1">IFERROR(__xludf.dummyfunction("""COMPUTED_VALUE"""),13)</f>
        <v>13</v>
      </c>
      <c r="X64" s="16">
        <f ca="1">IFERROR(__xludf.dummyfunction("""COMPUTED_VALUE"""),2)</f>
        <v>2</v>
      </c>
      <c r="Y64" s="16">
        <f ca="1">IFERROR(__xludf.dummyfunction("""COMPUTED_VALUE"""),19)</f>
        <v>19</v>
      </c>
      <c r="Z64" s="16">
        <f ca="1">IFERROR(__xludf.dummyfunction("""COMPUTED_VALUE"""),4)</f>
        <v>4</v>
      </c>
      <c r="AA64" s="30">
        <f ca="1">IFERROR(__xludf.dummyfunction("""COMPUTED_VALUE"""),5)</f>
        <v>5</v>
      </c>
      <c r="AB64" s="30">
        <f ca="1">IFERROR(__xludf.dummyfunction("""COMPUTED_VALUE"""),1)</f>
        <v>1</v>
      </c>
      <c r="AC64" s="30">
        <f ca="1">IFERROR(__xludf.dummyfunction("""COMPUTED_VALUE"""),10)</f>
        <v>10</v>
      </c>
      <c r="AD64" s="16"/>
      <c r="AE64" s="30"/>
      <c r="AF64" s="30"/>
      <c r="AG64" s="30"/>
    </row>
    <row r="65" spans="1:33" ht="13.8">
      <c r="A65" s="25"/>
      <c r="B65" s="26" t="s">
        <v>29</v>
      </c>
      <c r="C65" s="26" t="s">
        <v>310</v>
      </c>
      <c r="D65" s="26">
        <v>6</v>
      </c>
      <c r="E65" s="27" t="s">
        <v>394</v>
      </c>
      <c r="F65" s="28" t="s">
        <v>405</v>
      </c>
      <c r="G65" s="26" t="s">
        <v>406</v>
      </c>
      <c r="H65" s="28" t="str">
        <f ca="1">IFERROR(__xludf.dummyfunction("IFERROR(
  VLOOKUP(G65, IMPORTRANGE(""https://docs.google.com/spreadsheets/d/14deopnvwcrKtEGCKuYXdUHJbeLDZlkiSSWWT0g7x2pM/edit#gid=849066331"", ""LU List Maths (Filter)!A:B""), 2, FALSE),
  IFERROR(
    VLOOKUP(G65, IMPORTRANGE(""https://docs.google.com/s"&amp;"preadsheets/d/14deopnvwcrKtEGCKuYXdUHJbeLDZlkiSSWWT0g7x2pM/edit#gid=849066331"", ""LU List Science (Filter)!A:B""), 2, FALSE),
    ""Not Found""
  )
)
"),"Comparison of integers")</f>
        <v>Comparison of integers</v>
      </c>
      <c r="I65" s="28"/>
      <c r="J65" s="29" t="str">
        <f t="shared" si="0"/>
        <v>LU000908.001</v>
      </c>
      <c r="K65" s="29" t="str">
        <f ca="1">IFERROR(__xludf.dummyfunction("VLOOKUP(J65, IMPORTRANGE(""https://docs.google.com/spreadsheets/d/1yDAaXNsi4Mr5FtRQL4tbmSdIzhx6_m4wkOD7IG-k_eo/edit#gid=0"", ""Maths!M:N""), 2, FALSE)"),"List the order of integers on the number line.")</f>
        <v>List the order of integers on the number line.</v>
      </c>
      <c r="L65" s="29" t="str">
        <f t="shared" si="1"/>
        <v>LU000908.002</v>
      </c>
      <c r="M65" s="29" t="str">
        <f ca="1">IFERROR(__xludf.dummyfunction("VLOOKUP(L65, IMPORTRANGE(""https://docs.google.com/spreadsheets/d/1yDAaXNsi4Mr5FtRQL4tbmSdIzhx6_m4wkOD7IG-k_eo/edit#gid=0"", ""Maths!M:N""), 2, FALSE)"),"Summarize the rules for comparing integers in different contexts.")</f>
        <v>Summarize the rules for comparing integers in different contexts.</v>
      </c>
      <c r="N65" s="29" t="str">
        <f t="shared" si="2"/>
        <v>LU000908.003</v>
      </c>
      <c r="O65" s="29" t="str">
        <f ca="1">IFERROR(__xludf.dummyfunction("VLOOKUP(N65, IMPORTRANGE(""https://docs.google.com/spreadsheets/d/1yDAaXNsi4Mr5FtRQL4tbmSdIzhx6_m4wkOD7IG-k_eo/edit#gid=0"", ""Maths!M:N""), 2, FALSE)"),"Apply the knowledge of integer comparison to correctly order integers")</f>
        <v>Apply the knowledge of integer comparison to correctly order integers</v>
      </c>
      <c r="P65" s="29" t="str">
        <f t="shared" si="3"/>
        <v>LU000908.004</v>
      </c>
      <c r="Q65" s="29" t="str">
        <f ca="1">IFERROR(__xludf.dummyfunction("VLOOKUP(P65, IMPORTRANGE(""https://docs.google.com/spreadsheets/d/1yDAaXNsi4Mr5FtRQL4tbmSdIzhx6_m4wkOD7IG-k_eo/edit#gid=0"", ""Maths!M:N""), 2, FALSE)"),"Compare and contrast different strategies for comparing integers")</f>
        <v>Compare and contrast different strategies for comparing integers</v>
      </c>
      <c r="R65" s="29" t="str">
        <f t="shared" si="4"/>
        <v>LU000908.005</v>
      </c>
      <c r="S65" s="29" t="str">
        <f ca="1">IFERROR(__xludf.dummyfunction("VLOOKUP(R65, IMPORTRANGE(""https://docs.google.com/spreadsheets/d/1yDAaXNsi4Mr5FtRQL4tbmSdIzhx6_m4wkOD7IG-k_eo/edit#gid=0"", ""Maths!M:N""), 2, FALSE)"),"Evaluate the correctness of integer comparisons by cross-checking using alternative methods.")</f>
        <v>Evaluate the correctness of integer comparisons by cross-checking using alternative methods.</v>
      </c>
      <c r="T65" s="29" t="str">
        <f t="shared" si="5"/>
        <v>LU000908.006</v>
      </c>
      <c r="U65" s="29" t="str">
        <f ca="1">IFERROR(__xludf.dummyfunction("VLOOKUP(T65, IMPORTRANGE(""https://docs.google.com/spreadsheets/d/1yDAaXNsi4Mr5FtRQL4tbmSdIzhx6_m4wkOD7IG-k_eo/edit#gid=0"", ""Maths!M:N""), 2, FALSE)"),"Design sets of integer comparison problems that challenge to apply different strategies for ordering integers.")</f>
        <v>Design sets of integer comparison problems that challenge to apply different strategies for ordering integers.</v>
      </c>
      <c r="V65" s="16">
        <f ca="1">IFERROR(__xludf.dummyfunction("ArrayFormula(VLOOKUP(G65, IMPORTRANGE(""https://docs.google.com/spreadsheets/d/1p7R4vtkWt5VOBim4ltsDG9KTzSjrtKXsMtQGXPHyND0/edit#gid=795171502"", ""'Filter 30_05_2024'!A1:M2000""), {2, 3, 4, 5,6,7,8,9,10,11,12,13}, 0))"),3)</f>
        <v>3</v>
      </c>
      <c r="W65" s="16">
        <f ca="1">IFERROR(__xludf.dummyfunction("""COMPUTED_VALUE"""),6)</f>
        <v>6</v>
      </c>
      <c r="X65" s="16">
        <f ca="1">IFERROR(__xludf.dummyfunction("""COMPUTED_VALUE"""),2)</f>
        <v>2</v>
      </c>
      <c r="Y65" s="16">
        <f ca="1">IFERROR(__xludf.dummyfunction("""COMPUTED_VALUE"""),11)</f>
        <v>11</v>
      </c>
      <c r="Z65" s="16">
        <f ca="1">IFERROR(__xludf.dummyfunction("""COMPUTED_VALUE"""),6)</f>
        <v>6</v>
      </c>
      <c r="AA65" s="30">
        <f ca="1">IFERROR(__xludf.dummyfunction("""COMPUTED_VALUE"""),3)</f>
        <v>3</v>
      </c>
      <c r="AB65" s="30">
        <f ca="1">IFERROR(__xludf.dummyfunction("""COMPUTED_VALUE"""),1)</f>
        <v>1</v>
      </c>
      <c r="AC65" s="30">
        <f ca="1">IFERROR(__xludf.dummyfunction("""COMPUTED_VALUE"""),10)</f>
        <v>10</v>
      </c>
      <c r="AD65" s="16"/>
      <c r="AE65" s="30"/>
      <c r="AF65" s="30"/>
      <c r="AG65" s="30"/>
    </row>
    <row r="66" spans="1:33" ht="13.8">
      <c r="A66" s="25"/>
      <c r="B66" s="26" t="s">
        <v>29</v>
      </c>
      <c r="C66" s="26" t="s">
        <v>310</v>
      </c>
      <c r="D66" s="26">
        <v>6</v>
      </c>
      <c r="E66" s="27" t="s">
        <v>394</v>
      </c>
      <c r="F66" s="28"/>
      <c r="G66" s="26" t="s">
        <v>407</v>
      </c>
      <c r="H66" s="28" t="str">
        <f ca="1">IFERROR(__xludf.dummyfunction("IFERROR(
  VLOOKUP(G66, IMPORTRANGE(""https://docs.google.com/spreadsheets/d/14deopnvwcrKtEGCKuYXdUHJbeLDZlkiSSWWT0g7x2pM/edit#gid=849066331"", ""LU List Maths (Filter)!A:B""), 2, FALSE),
  IFERROR(
    VLOOKUP(G66, IMPORTRANGE(""https://docs.google.com/s"&amp;"preadsheets/d/14deopnvwcrKtEGCKuYXdUHJbeLDZlkiSSWWT0g7x2pM/edit#gid=849066331"", ""LU List Science (Filter)!A:B""), 2, FALSE),
    ""Not Found""
  )
)
"),"Order of integers")</f>
        <v>Order of integers</v>
      </c>
      <c r="I66" s="41"/>
      <c r="J66" s="29" t="str">
        <f t="shared" ref="J66:J129" si="6">G66 &amp; ".001"</f>
        <v>LU000273.001</v>
      </c>
      <c r="K66" s="29" t="str">
        <f ca="1">IFERROR(__xludf.dummyfunction("VLOOKUP(J66, IMPORTRANGE(""https://docs.google.com/spreadsheets/d/1yDAaXNsi4Mr5FtRQL4tbmSdIzhx6_m4wkOD7IG-k_eo/edit#gid=0"", ""Maths!M:N""), 2, FALSE)"),"Write the symbols used to compare integers and the rules for comparing integers with the same and different signs.")</f>
        <v>Write the symbols used to compare integers and the rules for comparing integers with the same and different signs.</v>
      </c>
      <c r="L66" s="29" t="str">
        <f t="shared" ref="L66:L129" si="7">G66 &amp; ".002"</f>
        <v>LU000273.002</v>
      </c>
      <c r="M66" s="29" t="str">
        <f ca="1">IFERROR(__xludf.dummyfunction("VLOOKUP(L66, IMPORTRANGE(""https://docs.google.com/spreadsheets/d/1yDAaXNsi4Mr5FtRQL4tbmSdIzhx6_m4wkOD7IG-k_eo/edit#gid=0"", ""Maths!M:N""), 2, FALSE)"),"Describe how integers are ordered using the number line")</f>
        <v>Describe how integers are ordered using the number line</v>
      </c>
      <c r="N66" s="29" t="str">
        <f t="shared" ref="N66:N129" si="8">G66 &amp; ".003"</f>
        <v>LU000273.003</v>
      </c>
      <c r="O66" s="29" t="str">
        <f ca="1">IFERROR(__xludf.dummyfunction("VLOOKUP(N66, IMPORTRANGE(""https://docs.google.com/spreadsheets/d/1yDAaXNsi4Mr5FtRQL4tbmSdIzhx6_m4wkOD7IG-k_eo/edit#gid=0"", ""Maths!M:N""), 2, FALSE)"),"Apply the understanding of ordering integers to compare/order integers using appropriate symbols.")</f>
        <v>Apply the understanding of ordering integers to compare/order integers using appropriate symbols.</v>
      </c>
      <c r="P66" s="29" t="str">
        <f t="shared" ref="P66:P129" si="9">G66 &amp; ".004"</f>
        <v>LU000273.004</v>
      </c>
      <c r="Q66" s="29" t="str">
        <f ca="1">IFERROR(__xludf.dummyfunction("VLOOKUP(P66, IMPORTRANGE(""https://docs.google.com/spreadsheets/d/1yDAaXNsi4Mr5FtRQL4tbmSdIzhx6_m4wkOD7IG-k_eo/edit#gid=0"", ""Maths!M:N""), 2, FALSE)"),"Analyse how the positions of integers on the number line correspond to their order.")</f>
        <v>Analyse how the positions of integers on the number line correspond to their order.</v>
      </c>
      <c r="R66" s="29" t="str">
        <f t="shared" ref="R66:R129" si="10">G66 &amp; ".005"</f>
        <v>LU000273.005</v>
      </c>
      <c r="S66" s="29" t="str">
        <f ca="1">IFERROR(__xludf.dummyfunction("VLOOKUP(R66, IMPORTRANGE(""https://docs.google.com/spreadsheets/d/1yDAaXNsi4Mr5FtRQL4tbmSdIzhx6_m4wkOD7IG-k_eo/edit#gid=0"", ""Maths!M:N""), 2, FALSE)"),"#N/A")</f>
        <v>#N/A</v>
      </c>
      <c r="T66" s="29" t="str">
        <f t="shared" ref="T66:T129" si="11">G66 &amp; ".006"</f>
        <v>LU000273.006</v>
      </c>
      <c r="U66" s="29" t="str">
        <f ca="1">IFERROR(__xludf.dummyfunction("VLOOKUP(T66, IMPORTRANGE(""https://docs.google.com/spreadsheets/d/1yDAaXNsi4Mr5FtRQL4tbmSdIzhx6_m4wkOD7IG-k_eo/edit#gid=0"", ""Maths!M:N""), 2, FALSE)"),"#N/A")</f>
        <v>#N/A</v>
      </c>
      <c r="V66" s="16">
        <f ca="1">IFERROR(__xludf.dummyfunction("ArrayFormula(VLOOKUP(G66, IMPORTRANGE(""https://docs.google.com/spreadsheets/d/1p7R4vtkWt5VOBim4ltsDG9KTzSjrtKXsMtQGXPHyND0/edit#gid=795171502"", ""'Filter 30_05_2024'!A1:M2000""), {2, 3, 4, 5,6,7,8,9,10,11,12,13}, 0))"),3)</f>
        <v>3</v>
      </c>
      <c r="W66" s="16">
        <f ca="1">IFERROR(__xludf.dummyfunction("""COMPUTED_VALUE"""),5)</f>
        <v>5</v>
      </c>
      <c r="X66" s="16">
        <f ca="1">IFERROR(__xludf.dummyfunction("""COMPUTED_VALUE"""),2)</f>
        <v>2</v>
      </c>
      <c r="Y66" s="16">
        <f ca="1">IFERROR(__xludf.dummyfunction("""COMPUTED_VALUE"""),10)</f>
        <v>10</v>
      </c>
      <c r="Z66" s="16">
        <f ca="1">IFERROR(__xludf.dummyfunction("""COMPUTED_VALUE"""),5)</f>
        <v>5</v>
      </c>
      <c r="AA66" s="30">
        <f ca="1">IFERROR(__xludf.dummyfunction("""COMPUTED_VALUE"""),4)</f>
        <v>4</v>
      </c>
      <c r="AB66" s="30">
        <f ca="1">IFERROR(__xludf.dummyfunction("""COMPUTED_VALUE"""),1)</f>
        <v>1</v>
      </c>
      <c r="AC66" s="30">
        <f ca="1">IFERROR(__xludf.dummyfunction("""COMPUTED_VALUE"""),10)</f>
        <v>10</v>
      </c>
      <c r="AD66" s="16"/>
      <c r="AE66" s="30"/>
      <c r="AF66" s="30"/>
      <c r="AG66" s="30"/>
    </row>
    <row r="67" spans="1:33" ht="13.8">
      <c r="A67" s="25"/>
      <c r="B67" s="26" t="s">
        <v>29</v>
      </c>
      <c r="C67" s="26" t="s">
        <v>310</v>
      </c>
      <c r="D67" s="26">
        <v>6</v>
      </c>
      <c r="E67" s="27" t="s">
        <v>394</v>
      </c>
      <c r="F67" s="28" t="s">
        <v>408</v>
      </c>
      <c r="G67" s="26" t="s">
        <v>409</v>
      </c>
      <c r="H67" s="28" t="str">
        <f ca="1">IFERROR(__xludf.dummyfunction("IFERROR(
  VLOOKUP(G67, IMPORTRANGE(""https://docs.google.com/spreadsheets/d/14deopnvwcrKtEGCKuYXdUHJbeLDZlkiSSWWT0g7x2pM/edit#gid=849066331"", ""LU List Maths (Filter)!A:B""), 2, FALSE),
  IFERROR(
    VLOOKUP(G67, IMPORTRANGE(""https://docs.google.com/s"&amp;"preadsheets/d/14deopnvwcrKtEGCKuYXdUHJbeLDZlkiSSWWT0g7x2pM/edit#gid=849066331"", ""LU List Science (Filter)!A:B""), 2, FALSE),
    ""Not Found""
  )
)
"),"Addition of integers using rules of signs")</f>
        <v>Addition of integers using rules of signs</v>
      </c>
      <c r="I67" s="28"/>
      <c r="J67" s="29" t="str">
        <f t="shared" si="6"/>
        <v>LU000271.001</v>
      </c>
      <c r="K67" s="29" t="str">
        <f ca="1">IFERROR(__xludf.dummyfunction("VLOOKUP(J67, IMPORTRANGE(""https://docs.google.com/spreadsheets/d/1yDAaXNsi4Mr5FtRQL4tbmSdIzhx6_m4wkOD7IG-k_eo/edit#gid=0"", ""Maths!M:N""), 2, FALSE)"),"Write the rules for adding integers with like and unlike signs.")</f>
        <v>Write the rules for adding integers with like and unlike signs.</v>
      </c>
      <c r="L67" s="29" t="str">
        <f t="shared" si="7"/>
        <v>LU000271.002</v>
      </c>
      <c r="M67" s="29" t="str">
        <f ca="1">IFERROR(__xludf.dummyfunction("VLOOKUP(L67, IMPORTRANGE(""https://docs.google.com/spreadsheets/d/1yDAaXNsi4Mr5FtRQL4tbmSdIzhx6_m4wkOD7IG-k_eo/edit#gid=0"", ""Maths!M:N""), 2, FALSE)"),"Explain the concept of adding integers and the rationale behind the rules for different sign combinations.")</f>
        <v>Explain the concept of adding integers and the rationale behind the rules for different sign combinations.</v>
      </c>
      <c r="N67" s="29" t="str">
        <f t="shared" si="8"/>
        <v>LU000271.003</v>
      </c>
      <c r="O67" s="29" t="str">
        <f ca="1">IFERROR(__xludf.dummyfunction("VLOOKUP(N67, IMPORTRANGE(""https://docs.google.com/spreadsheets/d/1yDAaXNsi4Mr5FtRQL4tbmSdIzhx6_m4wkOD7IG-k_eo/edit#gid=0"", ""Maths!M:N""), 2, FALSE)"),"Apply the rules of adding integers to solve arithmetic and practical addition problems.")</f>
        <v>Apply the rules of adding integers to solve arithmetic and practical addition problems.</v>
      </c>
      <c r="P67" s="29" t="str">
        <f t="shared" si="9"/>
        <v>LU000271.004</v>
      </c>
      <c r="Q67" s="29" t="str">
        <f ca="1">IFERROR(__xludf.dummyfunction("VLOOKUP(P67, IMPORTRANGE(""https://docs.google.com/spreadsheets/d/1yDAaXNsi4Mr5FtRQL4tbmSdIzhx6_m4wkOD7IG-k_eo/edit#gid=0"", ""Maths!M:N""), 2, FALSE)"),"Analyse complex addition expressions involving multiple integers and evaluate their outcomes.")</f>
        <v>Analyse complex addition expressions involving multiple integers and evaluate their outcomes.</v>
      </c>
      <c r="R67" s="29" t="str">
        <f t="shared" si="10"/>
        <v>LU000271.005</v>
      </c>
      <c r="S67" s="29" t="str">
        <f ca="1">IFERROR(__xludf.dummyfunction("VLOOKUP(R67, IMPORTRANGE(""https://docs.google.com/spreadsheets/d/1yDAaXNsi4Mr5FtRQL4tbmSdIzhx6_m4wkOD7IG-k_eo/edit#gid=0"", ""Maths!M:N""), 2, FALSE)"),"Evaluate the accuracy of solutions to integer addition problems and provide feedback on the approach.")</f>
        <v>Evaluate the accuracy of solutions to integer addition problems and provide feedback on the approach.</v>
      </c>
      <c r="T67" s="29" t="str">
        <f t="shared" si="11"/>
        <v>LU000271.006</v>
      </c>
      <c r="U67" s="29" t="str">
        <f ca="1">IFERROR(__xludf.dummyfunction("VLOOKUP(T67, IMPORTRANGE(""https://docs.google.com/spreadsheets/d/1yDAaXNsi4Mr5FtRQL4tbmSdIzhx6_m4wkOD7IG-k_eo/edit#gid=0"", ""Maths!M:N""), 2, FALSE)"),"Create a set of integer addition problems with varying sign combinations.")</f>
        <v>Create a set of integer addition problems with varying sign combinations.</v>
      </c>
      <c r="V67" s="16">
        <f ca="1">IFERROR(__xludf.dummyfunction("ArrayFormula(VLOOKUP(G67, IMPORTRANGE(""https://docs.google.com/spreadsheets/d/1p7R4vtkWt5VOBim4ltsDG9KTzSjrtKXsMtQGXPHyND0/edit#gid=795171502"", ""'Filter 30_05_2024'!A1:M2000""), {2, 3, 4, 5,6,7,8,9,10,11,12,13}, 0))"),12)</f>
        <v>12</v>
      </c>
      <c r="W67" s="16">
        <f ca="1">IFERROR(__xludf.dummyfunction("""COMPUTED_VALUE"""),10)</f>
        <v>10</v>
      </c>
      <c r="X67" s="16">
        <f ca="1">IFERROR(__xludf.dummyfunction("""COMPUTED_VALUE"""),2)</f>
        <v>2</v>
      </c>
      <c r="Y67" s="16">
        <f ca="1">IFERROR(__xludf.dummyfunction("""COMPUTED_VALUE"""),24)</f>
        <v>24</v>
      </c>
      <c r="Z67" s="16">
        <f ca="1">IFERROR(__xludf.dummyfunction("""COMPUTED_VALUE"""),8)</f>
        <v>8</v>
      </c>
      <c r="AA67" s="30">
        <f ca="1">IFERROR(__xludf.dummyfunction("""COMPUTED_VALUE"""),11)</f>
        <v>11</v>
      </c>
      <c r="AB67" s="30">
        <f ca="1">IFERROR(__xludf.dummyfunction("""COMPUTED_VALUE"""),1)</f>
        <v>1</v>
      </c>
      <c r="AC67" s="30">
        <f ca="1">IFERROR(__xludf.dummyfunction("""COMPUTED_VALUE"""),20)</f>
        <v>20</v>
      </c>
      <c r="AD67" s="16"/>
      <c r="AE67" s="30"/>
      <c r="AF67" s="30"/>
      <c r="AG67" s="30"/>
    </row>
    <row r="68" spans="1:33" ht="13.8">
      <c r="A68" s="25"/>
      <c r="B68" s="26" t="s">
        <v>29</v>
      </c>
      <c r="C68" s="26" t="s">
        <v>310</v>
      </c>
      <c r="D68" s="26">
        <v>6</v>
      </c>
      <c r="E68" s="27" t="s">
        <v>394</v>
      </c>
      <c r="F68" s="28"/>
      <c r="G68" s="26" t="s">
        <v>410</v>
      </c>
      <c r="H68" s="28" t="str">
        <f ca="1">IFERROR(__xludf.dummyfunction("IFERROR(
  VLOOKUP(G68, IMPORTRANGE(""https://docs.google.com/spreadsheets/d/14deopnvwcrKtEGCKuYXdUHJbeLDZlkiSSWWT0g7x2pM/edit#gid=849066331"", ""LU List Maths (Filter)!A:B""), 2, FALSE),
  IFERROR(
    VLOOKUP(G68, IMPORTRANGE(""https://docs.google.com/s"&amp;"preadsheets/d/14deopnvwcrKtEGCKuYXdUHJbeLDZlkiSSWWT0g7x2pM/edit#gid=849066331"", ""LU List Science (Filter)!A:B""), 2, FALSE),
    ""Not Found""
  )
)
"),"Addition of integers using number line")</f>
        <v>Addition of integers using number line</v>
      </c>
      <c r="I68" s="28"/>
      <c r="J68" s="29" t="str">
        <f t="shared" si="6"/>
        <v>LU000276.001</v>
      </c>
      <c r="K68" s="29" t="str">
        <f ca="1">IFERROR(__xludf.dummyfunction("VLOOKUP(J68, IMPORTRANGE(""https://docs.google.com/spreadsheets/d/1yDAaXNsi4Mr5FtRQL4tbmSdIzhx6_m4wkOD7IG-k_eo/edit#gid=0"", ""Maths!M:N""), 2, FALSE)"),"Recall the basic rules of adding positive and negative integers using a number line.")</f>
        <v>Recall the basic rules of adding positive and negative integers using a number line.</v>
      </c>
      <c r="L68" s="29" t="str">
        <f t="shared" si="7"/>
        <v>LU000276.002</v>
      </c>
      <c r="M68" s="29" t="str">
        <f ca="1">IFERROR(__xludf.dummyfunction("VLOOKUP(L68, IMPORTRANGE(""https://docs.google.com/spreadsheets/d/1yDAaXNsi4Mr5FtRQL4tbmSdIzhx6_m4wkOD7IG-k_eo/edit#gid=0"", ""Maths!M:N""), 2, FALSE)"),"Describe the purpose of using a number line for integer addition.")</f>
        <v>Describe the purpose of using a number line for integer addition.</v>
      </c>
      <c r="N68" s="29" t="str">
        <f t="shared" si="8"/>
        <v>LU000276.003</v>
      </c>
      <c r="O68" s="29" t="str">
        <f ca="1">IFERROR(__xludf.dummyfunction("VLOOKUP(N68, IMPORTRANGE(""https://docs.google.com/spreadsheets/d/1yDAaXNsi4Mr5FtRQL4tbmSdIzhx6_m4wkOD7IG-k_eo/edit#gid=0"", ""Maths!M:N""), 2, FALSE)"),"Apply integer addition using a number line to solve simple arithmetic and practical problems.")</f>
        <v>Apply integer addition using a number line to solve simple arithmetic and practical problems.</v>
      </c>
      <c r="P68" s="29" t="str">
        <f t="shared" si="9"/>
        <v>LU000276.004</v>
      </c>
      <c r="Q68" s="29" t="str">
        <f ca="1">IFERROR(__xludf.dummyfunction("VLOOKUP(P68, IMPORTRANGE(""https://docs.google.com/spreadsheets/d/1yDAaXNsi4Mr5FtRQL4tbmSdIzhx6_m4wkOD7IG-k_eo/edit#gid=0"", ""Maths!M:N""), 2, FALSE)"),"Analyse different visual methods for adding integers and compare their effectiveness.")</f>
        <v>Analyse different visual methods for adding integers and compare their effectiveness.</v>
      </c>
      <c r="R68" s="29" t="str">
        <f t="shared" si="10"/>
        <v>LU000276.005</v>
      </c>
      <c r="S68" s="29" t="str">
        <f ca="1">IFERROR(__xludf.dummyfunction("VLOOKUP(R68, IMPORTRANGE(""https://docs.google.com/spreadsheets/d/1yDAaXNsi4Mr5FtRQL4tbmSdIzhx6_m4wkOD7IG-k_eo/edit#gid=0"", ""Maths!M:N""), 2, FALSE)"),"Assess the correctness of solutions obtained through the number line method for integer addition.")</f>
        <v>Assess the correctness of solutions obtained through the number line method for integer addition.</v>
      </c>
      <c r="T68" s="29" t="str">
        <f t="shared" si="11"/>
        <v>LU000276.006</v>
      </c>
      <c r="U68" s="29" t="str">
        <f ca="1">IFERROR(__xludf.dummyfunction("VLOOKUP(T68, IMPORTRANGE(""https://docs.google.com/spreadsheets/d/1yDAaXNsi4Mr5FtRQL4tbmSdIzhx6_m4wkOD7IG-k_eo/edit#gid=0"", ""Maths!M:N""), 2, FALSE)"),"Devise original real-world scenarios or problems that require the application of integer addition using a number line")</f>
        <v>Devise original real-world scenarios or problems that require the application of integer addition using a number line</v>
      </c>
      <c r="V68" s="16">
        <f ca="1">IFERROR(__xludf.dummyfunction("ArrayFormula(VLOOKUP(G68, IMPORTRANGE(""https://docs.google.com/spreadsheets/d/1p7R4vtkWt5VOBim4ltsDG9KTzSjrtKXsMtQGXPHyND0/edit#gid=795171502"", ""'Filter 30_05_2024'!A1:M2000""), {2, 3, 4, 5,6,7,8,9,10,11,12,13}, 0))"),3)</f>
        <v>3</v>
      </c>
      <c r="W68" s="16">
        <f ca="1">IFERROR(__xludf.dummyfunction("""COMPUTED_VALUE"""),8)</f>
        <v>8</v>
      </c>
      <c r="X68" s="16">
        <f ca="1">IFERROR(__xludf.dummyfunction("""COMPUTED_VALUE"""),6)</f>
        <v>6</v>
      </c>
      <c r="Y68" s="16">
        <f ca="1">IFERROR(__xludf.dummyfunction("""COMPUTED_VALUE"""),17)</f>
        <v>17</v>
      </c>
      <c r="Z68" s="16">
        <f ca="1">IFERROR(__xludf.dummyfunction("""COMPUTED_VALUE"""),5)</f>
        <v>5</v>
      </c>
      <c r="AA68" s="30">
        <f ca="1">IFERROR(__xludf.dummyfunction("""COMPUTED_VALUE"""),3)</f>
        <v>3</v>
      </c>
      <c r="AB68" s="30">
        <f ca="1">IFERROR(__xludf.dummyfunction("""COMPUTED_VALUE"""),2)</f>
        <v>2</v>
      </c>
      <c r="AC68" s="30">
        <f ca="1">IFERROR(__xludf.dummyfunction("""COMPUTED_VALUE"""),10)</f>
        <v>10</v>
      </c>
      <c r="AD68" s="16"/>
      <c r="AE68" s="30"/>
      <c r="AF68" s="30"/>
      <c r="AG68" s="30"/>
    </row>
    <row r="69" spans="1:33" ht="13.8">
      <c r="A69" s="43"/>
      <c r="B69" s="44" t="s">
        <v>29</v>
      </c>
      <c r="C69" s="44" t="s">
        <v>310</v>
      </c>
      <c r="D69" s="44">
        <v>6</v>
      </c>
      <c r="E69" s="45" t="s">
        <v>394</v>
      </c>
      <c r="F69" s="46"/>
      <c r="G69" s="44" t="s">
        <v>411</v>
      </c>
      <c r="H69" s="46" t="str">
        <f ca="1">IFERROR(__xludf.dummyfunction("IFERROR(
  VLOOKUP(G69, IMPORTRANGE(""https://docs.google.com/spreadsheets/d/14deopnvwcrKtEGCKuYXdUHJbeLDZlkiSSWWT0g7x2pM/edit#gid=849066331"", ""LU List Maths (Filter)!A:B""), 2, FALSE),
  IFERROR(
    VLOOKUP(G69, IMPORTRANGE(""https://docs.google.com/s"&amp;"preadsheets/d/14deopnvwcrKtEGCKuYXdUHJbeLDZlkiSSWWT0g7x2pM/edit#gid=849066331"", ""LU List Science (Filter)!A:B""), 2, FALSE),
    ""Not Found""
  )
)
"),"Additive inverse of integers")</f>
        <v>Additive inverse of integers</v>
      </c>
      <c r="I69" s="46"/>
      <c r="J69" s="29" t="str">
        <f t="shared" si="6"/>
        <v>LU000274.001</v>
      </c>
      <c r="K69" s="29" t="str">
        <f ca="1">IFERROR(__xludf.dummyfunction("VLOOKUP(J69, IMPORTRANGE(""https://docs.google.com/spreadsheets/d/1yDAaXNsi4Mr5FtRQL4tbmSdIzhx6_m4wkOD7IG-k_eo/edit#gid=0"", ""Maths!M:N""), 2, FALSE)"),"Define the additive inverse of an integer and its relation to the original integer.")</f>
        <v>Define the additive inverse of an integer and its relation to the original integer.</v>
      </c>
      <c r="L69" s="29" t="str">
        <f t="shared" si="7"/>
        <v>LU000274.002</v>
      </c>
      <c r="M69" s="29" t="str">
        <f ca="1">IFERROR(__xludf.dummyfunction("VLOOKUP(L69, IMPORTRANGE(""https://docs.google.com/spreadsheets/d/1yDAaXNsi4Mr5FtRQL4tbmSdIzhx6_m4wkOD7IG-k_eo/edit#gid=0"", ""Maths!M:N""), 2, FALSE)"),"Describe how the additive inverse of an integer is the value that, when added to the original integer, results in zero.")</f>
        <v>Describe how the additive inverse of an integer is the value that, when added to the original integer, results in zero.</v>
      </c>
      <c r="N69" s="29" t="str">
        <f t="shared" si="8"/>
        <v>LU000274.003</v>
      </c>
      <c r="O69" s="29" t="str">
        <f ca="1">IFERROR(__xludf.dummyfunction("VLOOKUP(N69, IMPORTRANGE(""https://docs.google.com/spreadsheets/d/1yDAaXNsi4Mr5FtRQL4tbmSdIzhx6_m4wkOD7IG-k_eo/edit#gid=0"", ""Maths!M:N""), 2, FALSE)"),"Apply the knowledge of additive inverses to find the additive inverse of given integers.")</f>
        <v>Apply the knowledge of additive inverses to find the additive inverse of given integers.</v>
      </c>
      <c r="P69" s="29" t="str">
        <f t="shared" si="9"/>
        <v>LU000274.004</v>
      </c>
      <c r="Q69" s="29" t="str">
        <f ca="1">IFERROR(__xludf.dummyfunction("VLOOKUP(P69, IMPORTRANGE(""https://docs.google.com/spreadsheets/d/1yDAaXNsi4Mr5FtRQL4tbmSdIzhx6_m4wkOD7IG-k_eo/edit#gid=0"", ""Maths!M:N""), 2, FALSE)"),"Analyse how the additive inverse of an integer is located symmetrically across zero on the number line.")</f>
        <v>Analyse how the additive inverse of an integer is located symmetrically across zero on the number line.</v>
      </c>
      <c r="R69" s="29" t="str">
        <f t="shared" si="10"/>
        <v>LU000274.005</v>
      </c>
      <c r="S69" s="29" t="str">
        <f ca="1">IFERROR(__xludf.dummyfunction("VLOOKUP(R69, IMPORTRANGE(""https://docs.google.com/spreadsheets/d/1yDAaXNsi4Mr5FtRQL4tbmSdIzhx6_m4wkOD7IG-k_eo/edit#gid=0"", ""Maths!M:N""), 2, FALSE)"),"#N/A")</f>
        <v>#N/A</v>
      </c>
      <c r="T69" s="29" t="str">
        <f t="shared" si="11"/>
        <v>LU000274.006</v>
      </c>
      <c r="U69" s="29" t="str">
        <f ca="1">IFERROR(__xludf.dummyfunction("VLOOKUP(T69, IMPORTRANGE(""https://docs.google.com/spreadsheets/d/1yDAaXNsi4Mr5FtRQL4tbmSdIzhx6_m4wkOD7IG-k_eo/edit#gid=0"", ""Maths!M:N""), 2, FALSE)"),"#N/A")</f>
        <v>#N/A</v>
      </c>
      <c r="V69" s="16">
        <f ca="1">IFERROR(__xludf.dummyfunction("ArrayFormula(VLOOKUP(G69, IMPORTRANGE(""https://docs.google.com/spreadsheets/d/1p7R4vtkWt5VOBim4ltsDG9KTzSjrtKXsMtQGXPHyND0/edit#gid=795171502"", ""'Filter 30_05_2024'!A1:M2000""), {2, 3, 4, 5,6,7,8,9,10,11,12,13}, 0))"),5)</f>
        <v>5</v>
      </c>
      <c r="W69" s="16">
        <f ca="1">IFERROR(__xludf.dummyfunction("""COMPUTED_VALUE"""),3)</f>
        <v>3</v>
      </c>
      <c r="X69" s="16">
        <f ca="1">IFERROR(__xludf.dummyfunction("""COMPUTED_VALUE"""),2)</f>
        <v>2</v>
      </c>
      <c r="Y69" s="16">
        <f ca="1">IFERROR(__xludf.dummyfunction("""COMPUTED_VALUE"""),10)</f>
        <v>10</v>
      </c>
      <c r="Z69" s="16">
        <f ca="1">IFERROR(__xludf.dummyfunction("""COMPUTED_VALUE"""),4)</f>
        <v>4</v>
      </c>
      <c r="AA69" s="30">
        <f ca="1">IFERROR(__xludf.dummyfunction("""COMPUTED_VALUE"""),6)</f>
        <v>6</v>
      </c>
      <c r="AB69" s="30">
        <f ca="1">IFERROR(__xludf.dummyfunction("""COMPUTED_VALUE"""),1)</f>
        <v>1</v>
      </c>
      <c r="AC69" s="30">
        <f ca="1">IFERROR(__xludf.dummyfunction("""COMPUTED_VALUE"""),11)</f>
        <v>11</v>
      </c>
      <c r="AD69" s="16"/>
      <c r="AE69" s="30"/>
      <c r="AF69" s="30"/>
      <c r="AG69" s="30"/>
    </row>
    <row r="70" spans="1:33" ht="13.8">
      <c r="A70" s="43"/>
      <c r="B70" s="44" t="s">
        <v>29</v>
      </c>
      <c r="C70" s="44" t="s">
        <v>310</v>
      </c>
      <c r="D70" s="44">
        <v>6</v>
      </c>
      <c r="E70" s="45" t="s">
        <v>394</v>
      </c>
      <c r="F70" s="46" t="s">
        <v>412</v>
      </c>
      <c r="G70" s="45" t="s">
        <v>413</v>
      </c>
      <c r="H70" s="46" t="str">
        <f ca="1">IFERROR(__xludf.dummyfunction("IFERROR(
  VLOOKUP(G70, IMPORTRANGE(""https://docs.google.com/spreadsheets/d/14deopnvwcrKtEGCKuYXdUHJbeLDZlkiSSWWT0g7x2pM/edit#gid=849066331"", ""LU List Maths (Filter)!A:B""), 2, FALSE),
  IFERROR(
    VLOOKUP(G70, IMPORTRANGE(""https://docs.google.com/s"&amp;"preadsheets/d/14deopnvwcrKtEGCKuYXdUHJbeLDZlkiSSWWT0g7x2pM/edit#gid=849066331"", ""LU List Science (Filter)!A:B""), 2, FALSE),
    ""Not Found""
  )
)
"),"Closure property for addition of integers")</f>
        <v>Closure property for addition of integers</v>
      </c>
      <c r="I70" s="46"/>
      <c r="J70" s="29" t="str">
        <f t="shared" si="6"/>
        <v>LU000991.001</v>
      </c>
      <c r="K70" s="29" t="str">
        <f ca="1">IFERROR(__xludf.dummyfunction("VLOOKUP(J70, IMPORTRANGE(""https://docs.google.com/spreadsheets/d/1yDAaXNsi4Mr5FtRQL4tbmSdIzhx6_m4wkOD7IG-k_eo/edit#gid=0"", ""Maths!M:N""), 2, FALSE)"),"Recall the definition of the closure property for addition of integers.")</f>
        <v>Recall the definition of the closure property for addition of integers.</v>
      </c>
      <c r="L70" s="29" t="str">
        <f t="shared" si="7"/>
        <v>LU000991.002</v>
      </c>
      <c r="M70" s="29" t="str">
        <f ca="1">IFERROR(__xludf.dummyfunction("VLOOKUP(L70, IMPORTRANGE(""https://docs.google.com/spreadsheets/d/1yDAaXNsi4Mr5FtRQL4tbmSdIzhx6_m4wkOD7IG-k_eo/edit#gid=0"", ""Maths!M:N""), 2, FALSE)"),"Explain the concept of the closure property and how it applies to the addition of integers.")</f>
        <v>Explain the concept of the closure property and how it applies to the addition of integers.</v>
      </c>
      <c r="N70" s="29" t="str">
        <f t="shared" si="8"/>
        <v>LU000991.003</v>
      </c>
      <c r="O70" s="29" t="str">
        <f ca="1">IFERROR(__xludf.dummyfunction("VLOOKUP(N70, IMPORTRANGE(""https://docs.google.com/spreadsheets/d/1yDAaXNsi4Mr5FtRQL4tbmSdIzhx6_m4wkOD7IG-k_eo/edit#gid=0"", ""Maths!M:N""), 2, FALSE)"),"Apply the closure property to demonstrate that the sum of two integers is always an integer in practical addition calculations.")</f>
        <v>Apply the closure property to demonstrate that the sum of two integers is always an integer in practical addition calculations.</v>
      </c>
      <c r="P70" s="29" t="str">
        <f t="shared" si="9"/>
        <v>LU000991.004</v>
      </c>
      <c r="Q70" s="29" t="str">
        <f ca="1">IFERROR(__xludf.dummyfunction("VLOOKUP(P70, IMPORTRANGE(""https://docs.google.com/spreadsheets/d/1yDAaXNsi4Mr5FtRQL4tbmSdIzhx6_m4wkOD7IG-k_eo/edit#gid=0"", ""Maths!M:N""), 2, FALSE)"),"Analyze mathematical expressions to verify the closure property in action for addition of integers.")</f>
        <v>Analyze mathematical expressions to verify the closure property in action for addition of integers.</v>
      </c>
      <c r="R70" s="29" t="str">
        <f t="shared" si="10"/>
        <v>LU000991.005</v>
      </c>
      <c r="S70" s="29" t="str">
        <f ca="1">IFERROR(__xludf.dummyfunction("VLOOKUP(R70, IMPORTRANGE(""https://docs.google.com/spreadsheets/d/1yDAaXNsi4Mr5FtRQL4tbmSdIzhx6_m4wkOD7IG-k_eo/edit#gid=0"", ""Maths!M:N""), 2, FALSE)"),"Evaluate the correctness of statements regarding the closure property and its significance in integer addition.")</f>
        <v>Evaluate the correctness of statements regarding the closure property and its significance in integer addition.</v>
      </c>
      <c r="T70" s="29" t="str">
        <f t="shared" si="11"/>
        <v>LU000991.006</v>
      </c>
      <c r="U70" s="29" t="str">
        <f ca="1">IFERROR(__xludf.dummyfunction("VLOOKUP(T70, IMPORTRANGE(""https://docs.google.com/spreadsheets/d/1yDAaXNsi4Mr5FtRQL4tbmSdIzhx6_m4wkOD7IG-k_eo/edit#gid=0"", ""Maths!M:N""), 2, FALSE)"),"#N/A")</f>
        <v>#N/A</v>
      </c>
      <c r="V70" s="16">
        <f ca="1">IFERROR(__xludf.dummyfunction("ArrayFormula(VLOOKUP(G70, IMPORTRANGE(""https://docs.google.com/spreadsheets/d/1p7R4vtkWt5VOBim4ltsDG9KTzSjrtKXsMtQGXPHyND0/edit#gid=795171502"", ""'Filter 30_05_2024'!A1:M2000""), {2, 3, 4, 5,6,7,8,9,10,11,12,13}, 0))"),4)</f>
        <v>4</v>
      </c>
      <c r="W70" s="16">
        <f ca="1">IFERROR(__xludf.dummyfunction("""COMPUTED_VALUE"""),6)</f>
        <v>6</v>
      </c>
      <c r="X70" s="16">
        <f ca="1">IFERROR(__xludf.dummyfunction("""COMPUTED_VALUE"""),2)</f>
        <v>2</v>
      </c>
      <c r="Y70" s="16">
        <f ca="1">IFERROR(__xludf.dummyfunction("""COMPUTED_VALUE"""),12)</f>
        <v>12</v>
      </c>
      <c r="Z70" s="16">
        <f ca="1">IFERROR(__xludf.dummyfunction("""COMPUTED_VALUE"""),5)</f>
        <v>5</v>
      </c>
      <c r="AA70" s="30">
        <f ca="1">IFERROR(__xludf.dummyfunction("""COMPUTED_VALUE"""),3)</f>
        <v>3</v>
      </c>
      <c r="AB70" s="30">
        <f ca="1">IFERROR(__xludf.dummyfunction("""COMPUTED_VALUE"""),1)</f>
        <v>1</v>
      </c>
      <c r="AC70" s="30">
        <f ca="1">IFERROR(__xludf.dummyfunction("""COMPUTED_VALUE"""),9)</f>
        <v>9</v>
      </c>
      <c r="AD70" s="16"/>
      <c r="AE70" s="30"/>
      <c r="AF70" s="30"/>
      <c r="AG70" s="30"/>
    </row>
    <row r="71" spans="1:33" ht="13.8">
      <c r="A71" s="43"/>
      <c r="B71" s="44" t="s">
        <v>29</v>
      </c>
      <c r="C71" s="44" t="s">
        <v>310</v>
      </c>
      <c r="D71" s="44">
        <v>6</v>
      </c>
      <c r="E71" s="45" t="s">
        <v>394</v>
      </c>
      <c r="F71" s="46"/>
      <c r="G71" s="45" t="s">
        <v>414</v>
      </c>
      <c r="H71" s="46" t="str">
        <f ca="1">IFERROR(__xludf.dummyfunction("IFERROR(
  VLOOKUP(G71, IMPORTRANGE(""https://docs.google.com/spreadsheets/d/14deopnvwcrKtEGCKuYXdUHJbeLDZlkiSSWWT0g7x2pM/edit#gid=849066331"", ""LU List Maths (Filter)!A:B""), 2, FALSE),
  IFERROR(
    VLOOKUP(G71, IMPORTRANGE(""https://docs.google.com/s"&amp;"preadsheets/d/14deopnvwcrKtEGCKuYXdUHJbeLDZlkiSSWWT0g7x2pM/edit#gid=849066331"", ""LU List Science (Filter)!A:B""), 2, FALSE),
    ""Not Found""
  )
)
"),"Commutative property for addition of integers")</f>
        <v>Commutative property for addition of integers</v>
      </c>
      <c r="I71" s="46"/>
      <c r="J71" s="29" t="str">
        <f t="shared" si="6"/>
        <v>LU000995.001</v>
      </c>
      <c r="K71" s="29" t="str">
        <f ca="1">IFERROR(__xludf.dummyfunction("VLOOKUP(J71, IMPORTRANGE(""https://docs.google.com/spreadsheets/d/1yDAaXNsi4Mr5FtRQL4tbmSdIzhx6_m4wkOD7IG-k_eo/edit#gid=0"", ""Maths!M:N""), 2, FALSE)"),"Recall the statement of the commutative property for addition of integers.")</f>
        <v>Recall the statement of the commutative property for addition of integers.</v>
      </c>
      <c r="L71" s="29" t="str">
        <f t="shared" si="7"/>
        <v>LU000995.002</v>
      </c>
      <c r="M71" s="29" t="str">
        <f ca="1">IFERROR(__xludf.dummyfunction("VLOOKUP(L71, IMPORTRANGE(""https://docs.google.com/spreadsheets/d/1yDAaXNsi4Mr5FtRQL4tbmSdIzhx6_m4wkOD7IG-k_eo/edit#gid=0"", ""Maths!M:N""), 2, FALSE)"),"Explain the concept of the commutative property and its application to addition of integers.")</f>
        <v>Explain the concept of the commutative property and its application to addition of integers.</v>
      </c>
      <c r="N71" s="29" t="str">
        <f t="shared" si="8"/>
        <v>LU000995.003</v>
      </c>
      <c r="O71" s="29" t="str">
        <f ca="1">IFERROR(__xludf.dummyfunction("VLOOKUP(N71, IMPORTRANGE(""https://docs.google.com/spreadsheets/d/1yDAaXNsi4Mr5FtRQL4tbmSdIzhx6_m4wkOD7IG-k_eo/edit#gid=0"", ""Maths!M:N""), 2, FALSE)"),"Apply the commutative property to demonstrate that the sum of two integers remains the same regardless of the order in practical addition calculations.")</f>
        <v>Apply the commutative property to demonstrate that the sum of two integers remains the same regardless of the order in practical addition calculations.</v>
      </c>
      <c r="P71" s="29" t="str">
        <f t="shared" si="9"/>
        <v>LU000995.004</v>
      </c>
      <c r="Q71" s="29" t="str">
        <f ca="1">IFERROR(__xludf.dummyfunction("VLOOKUP(P71, IMPORTRANGE(""https://docs.google.com/spreadsheets/d/1yDAaXNsi4Mr5FtRQL4tbmSdIzhx6_m4wkOD7IG-k_eo/edit#gid=0"", ""Maths!M:N""), 2, FALSE)"),"Analyze mathematical expressions to verify the commutative property in action for addition of integers.")</f>
        <v>Analyze mathematical expressions to verify the commutative property in action for addition of integers.</v>
      </c>
      <c r="R71" s="29" t="str">
        <f t="shared" si="10"/>
        <v>LU000995.005</v>
      </c>
      <c r="S71" s="29" t="str">
        <f ca="1">IFERROR(__xludf.dummyfunction("VLOOKUP(R71, IMPORTRANGE(""https://docs.google.com/spreadsheets/d/1yDAaXNsi4Mr5FtRQL4tbmSdIzhx6_m4wkOD7IG-k_eo/edit#gid=0"", ""Maths!M:N""), 2, FALSE)"),"Evaluate the correctness of statements regarding the commutative property and its relevance in integer addition.")</f>
        <v>Evaluate the correctness of statements regarding the commutative property and its relevance in integer addition.</v>
      </c>
      <c r="T71" s="29" t="str">
        <f t="shared" si="11"/>
        <v>LU000995.006</v>
      </c>
      <c r="U71" s="29" t="str">
        <f ca="1">IFERROR(__xludf.dummyfunction("VLOOKUP(T71, IMPORTRANGE(""https://docs.google.com/spreadsheets/d/1yDAaXNsi4Mr5FtRQL4tbmSdIzhx6_m4wkOD7IG-k_eo/edit#gid=0"", ""Maths!M:N""), 2, FALSE)"),"#N/A")</f>
        <v>#N/A</v>
      </c>
      <c r="V71" s="16">
        <f ca="1">IFERROR(__xludf.dummyfunction("ArrayFormula(VLOOKUP(G71, IMPORTRANGE(""https://docs.google.com/spreadsheets/d/1p7R4vtkWt5VOBim4ltsDG9KTzSjrtKXsMtQGXPHyND0/edit#gid=795171502"", ""'Filter 30_05_2024'!A1:M2000""), {2, 3, 4, 5,6,7,8,9,10,11,12,13}, 0))"),14)</f>
        <v>14</v>
      </c>
      <c r="W71" s="16">
        <f ca="1">IFERROR(__xludf.dummyfunction("""COMPUTED_VALUE"""),9)</f>
        <v>9</v>
      </c>
      <c r="X71" s="16">
        <f ca="1">IFERROR(__xludf.dummyfunction("""COMPUTED_VALUE"""),5)</f>
        <v>5</v>
      </c>
      <c r="Y71" s="16">
        <f ca="1">IFERROR(__xludf.dummyfunction("""COMPUTED_VALUE"""),28)</f>
        <v>28</v>
      </c>
      <c r="Z71" s="16">
        <f ca="1">IFERROR(__xludf.dummyfunction("""COMPUTED_VALUE"""),4)</f>
        <v>4</v>
      </c>
      <c r="AA71" s="30">
        <f ca="1">IFERROR(__xludf.dummyfunction("""COMPUTED_VALUE"""),3)</f>
        <v>3</v>
      </c>
      <c r="AB71" s="30">
        <f ca="1">IFERROR(__xludf.dummyfunction("""COMPUTED_VALUE"""),2)</f>
        <v>2</v>
      </c>
      <c r="AC71" s="30">
        <f ca="1">IFERROR(__xludf.dummyfunction("""COMPUTED_VALUE"""),9)</f>
        <v>9</v>
      </c>
      <c r="AD71" s="16"/>
      <c r="AE71" s="30"/>
      <c r="AF71" s="30"/>
      <c r="AG71" s="30"/>
    </row>
    <row r="72" spans="1:33" ht="13.8">
      <c r="A72" s="43"/>
      <c r="B72" s="44" t="s">
        <v>29</v>
      </c>
      <c r="C72" s="44" t="s">
        <v>310</v>
      </c>
      <c r="D72" s="44">
        <v>6</v>
      </c>
      <c r="E72" s="45" t="s">
        <v>394</v>
      </c>
      <c r="F72" s="46"/>
      <c r="G72" s="44" t="s">
        <v>415</v>
      </c>
      <c r="H72" s="46" t="str">
        <f ca="1">IFERROR(__xludf.dummyfunction("IFERROR(
  VLOOKUP(G72, IMPORTRANGE(""https://docs.google.com/spreadsheets/d/14deopnvwcrKtEGCKuYXdUHJbeLDZlkiSSWWT0g7x2pM/edit#gid=849066331"", ""LU List Maths (Filter)!A:B""), 2, FALSE),
  IFERROR(
    VLOOKUP(G72, IMPORTRANGE(""https://docs.google.com/s"&amp;"preadsheets/d/14deopnvwcrKtEGCKuYXdUHJbeLDZlkiSSWWT0g7x2pM/edit#gid=849066331"", ""LU List Science (Filter)!A:B""), 2, FALSE),
    ""Not Found""
  )
)
"),"Associative property for addition of integers")</f>
        <v>Associative property for addition of integers</v>
      </c>
      <c r="I72" s="46"/>
      <c r="J72" s="29" t="str">
        <f t="shared" si="6"/>
        <v>LU001001.001</v>
      </c>
      <c r="K72" s="29" t="str">
        <f ca="1">IFERROR(__xludf.dummyfunction("VLOOKUP(J72, IMPORTRANGE(""https://docs.google.com/spreadsheets/d/1yDAaXNsi4Mr5FtRQL4tbmSdIzhx6_m4wkOD7IG-k_eo/edit#gid=0"", ""Maths!M:N""), 2, FALSE)"),"Recall the statement of the associative property for addition of integers.")</f>
        <v>Recall the statement of the associative property for addition of integers.</v>
      </c>
      <c r="L72" s="29" t="str">
        <f t="shared" si="7"/>
        <v>LU001001.002</v>
      </c>
      <c r="M72" s="29" t="str">
        <f ca="1">IFERROR(__xludf.dummyfunction("VLOOKUP(L72, IMPORTRANGE(""https://docs.google.com/spreadsheets/d/1yDAaXNsi4Mr5FtRQL4tbmSdIzhx6_m4wkOD7IG-k_eo/edit#gid=0"", ""Maths!M:N""), 2, FALSE)"),"Explain the concept of the associative property and how it applies to addition of integers.")</f>
        <v>Explain the concept of the associative property and how it applies to addition of integers.</v>
      </c>
      <c r="N72" s="29" t="str">
        <f t="shared" si="8"/>
        <v>LU001001.003</v>
      </c>
      <c r="O72" s="29" t="str">
        <f ca="1">IFERROR(__xludf.dummyfunction("VLOOKUP(N72, IMPORTRANGE(""https://docs.google.com/spreadsheets/d/1yDAaXNsi4Mr5FtRQL4tbmSdIzhx6_m4wkOD7IG-k_eo/edit#gid=0"", ""Maths!M:N""), 2, FALSE)"),"Apply the associative property to re-group and simplify integer addition expressions.")</f>
        <v>Apply the associative property to re-group and simplify integer addition expressions.</v>
      </c>
      <c r="P72" s="29" t="str">
        <f t="shared" si="9"/>
        <v>LU001001.004</v>
      </c>
      <c r="Q72" s="29" t="str">
        <f ca="1">IFERROR(__xludf.dummyfunction("VLOOKUP(P72, IMPORTRANGE(""https://docs.google.com/spreadsheets/d/1yDAaXNsi4Mr5FtRQL4tbmSdIzhx6_m4wkOD7IG-k_eo/edit#gid=0"", ""Maths!M:N""), 2, FALSE)"),"Analyze mathematical equations to demonstrate the use of the associative property and how it affects the grouping of integers in addition.")</f>
        <v>Analyze mathematical equations to demonstrate the use of the associative property and how it affects the grouping of integers in addition.</v>
      </c>
      <c r="R72" s="29" t="str">
        <f t="shared" si="10"/>
        <v>LU001001.005</v>
      </c>
      <c r="S72" s="29" t="str">
        <f ca="1">IFERROR(__xludf.dummyfunction("VLOOKUP(R72, IMPORTRANGE(""https://docs.google.com/spreadsheets/d/1yDAaXNsi4Mr5FtRQL4tbmSdIzhx6_m4wkOD7IG-k_eo/edit#gid=0"", ""Maths!M:N""), 2, FALSE)"),"Evaluate the correctness of solutions obtained using the associative property in integer addition problems and identify any errors.")</f>
        <v>Evaluate the correctness of solutions obtained using the associative property in integer addition problems and identify any errors.</v>
      </c>
      <c r="T72" s="29" t="str">
        <f t="shared" si="11"/>
        <v>LU001001.006</v>
      </c>
      <c r="U72" s="29" t="str">
        <f ca="1">IFERROR(__xludf.dummyfunction("VLOOKUP(T72, IMPORTRANGE(""https://docs.google.com/spreadsheets/d/1yDAaXNsi4Mr5FtRQL4tbmSdIzhx6_m4wkOD7IG-k_eo/edit#gid=0"", ""Maths!M:N""), 2, FALSE)"),"#N/A")</f>
        <v>#N/A</v>
      </c>
      <c r="V72" s="16">
        <f ca="1">IFERROR(__xludf.dummyfunction("ArrayFormula(VLOOKUP(G72, IMPORTRANGE(""https://docs.google.com/spreadsheets/d/1p7R4vtkWt5VOBim4ltsDG9KTzSjrtKXsMtQGXPHyND0/edit#gid=795171502"", ""'Filter 30_05_2024'!A1:M2000""), {2, 3, 4, 5,6,7,8,9,10,11,12,13}, 0))"),5)</f>
        <v>5</v>
      </c>
      <c r="W72" s="16">
        <f ca="1">IFERROR(__xludf.dummyfunction("""COMPUTED_VALUE"""),5)</f>
        <v>5</v>
      </c>
      <c r="X72" s="16">
        <f ca="1">IFERROR(__xludf.dummyfunction("""COMPUTED_VALUE"""),17)</f>
        <v>17</v>
      </c>
      <c r="Y72" s="16">
        <f ca="1">IFERROR(__xludf.dummyfunction("""COMPUTED_VALUE"""),27)</f>
        <v>27</v>
      </c>
      <c r="Z72" s="16">
        <f ca="1">IFERROR(__xludf.dummyfunction("""COMPUTED_VALUE"""),4)</f>
        <v>4</v>
      </c>
      <c r="AA72" s="30">
        <f ca="1">IFERROR(__xludf.dummyfunction("""COMPUTED_VALUE"""),5)</f>
        <v>5</v>
      </c>
      <c r="AB72" s="30">
        <f ca="1">IFERROR(__xludf.dummyfunction("""COMPUTED_VALUE"""),2)</f>
        <v>2</v>
      </c>
      <c r="AC72" s="30">
        <f ca="1">IFERROR(__xludf.dummyfunction("""COMPUTED_VALUE"""),11)</f>
        <v>11</v>
      </c>
      <c r="AD72" s="16"/>
      <c r="AE72" s="30"/>
      <c r="AF72" s="30"/>
      <c r="AG72" s="30"/>
    </row>
    <row r="73" spans="1:33" ht="13.8">
      <c r="A73" s="43"/>
      <c r="B73" s="44" t="s">
        <v>29</v>
      </c>
      <c r="C73" s="44" t="s">
        <v>310</v>
      </c>
      <c r="D73" s="44">
        <v>6</v>
      </c>
      <c r="E73" s="45" t="s">
        <v>394</v>
      </c>
      <c r="F73" s="46"/>
      <c r="G73" s="44" t="s">
        <v>416</v>
      </c>
      <c r="H73" s="46" t="str">
        <f ca="1">IFERROR(__xludf.dummyfunction("IFERROR(
  VLOOKUP(G73, IMPORTRANGE(""https://docs.google.com/spreadsheets/d/14deopnvwcrKtEGCKuYXdUHJbeLDZlkiSSWWT0g7x2pM/edit#gid=849066331"", ""LU List Maths (Filter)!A:B""), 2, FALSE),
  IFERROR(
    VLOOKUP(G73, IMPORTRANGE(""https://docs.google.com/s"&amp;"preadsheets/d/14deopnvwcrKtEGCKuYXdUHJbeLDZlkiSSWWT0g7x2pM/edit#gid=849066331"", ""LU List Science (Filter)!A:B""), 2, FALSE),
    ""Not Found""
  )
)
"),"Additive identity of integers")</f>
        <v>Additive identity of integers</v>
      </c>
      <c r="I73" s="46"/>
      <c r="J73" s="29" t="str">
        <f t="shared" si="6"/>
        <v>LU000354.001</v>
      </c>
      <c r="K73" s="29" t="str">
        <f ca="1">IFERROR(__xludf.dummyfunction("VLOOKUP(J73, IMPORTRANGE(""https://docs.google.com/spreadsheets/d/1yDAaXNsi4Mr5FtRQL4tbmSdIzhx6_m4wkOD7IG-k_eo/edit#gid=0"", ""Maths!M:N""), 2, FALSE)"),"Define the additive identity of integers and its mathematical representation.")</f>
        <v>Define the additive identity of integers and its mathematical representation.</v>
      </c>
      <c r="L73" s="29" t="str">
        <f t="shared" si="7"/>
        <v>LU000354.002</v>
      </c>
      <c r="M73" s="29" t="str">
        <f ca="1">IFERROR(__xludf.dummyfunction("VLOOKUP(L73, IMPORTRANGE(""https://docs.google.com/spreadsheets/d/1yDAaXNsi4Mr5FtRQL4tbmSdIzhx6_m4wkOD7IG-k_eo/edit#gid=0"", ""Maths!M:N""), 2, FALSE)"),"Explain the concept of additive identity in the context of integers and its role in addition operations.")</f>
        <v>Explain the concept of additive identity in the context of integers and its role in addition operations.</v>
      </c>
      <c r="N73" s="29" t="str">
        <f t="shared" si="8"/>
        <v>LU000354.003</v>
      </c>
      <c r="O73" s="29" t="str">
        <f ca="1">IFERROR(__xludf.dummyfunction("VLOOKUP(N73, IMPORTRANGE(""https://docs.google.com/spreadsheets/d/1yDAaXNsi4Mr5FtRQL4tbmSdIzhx6_m4wkOD7IG-k_eo/edit#gid=0"", ""Maths!M:N""), 2, FALSE)"),"Apply the additive identity property to simplify expressions involving integers.")</f>
        <v>Apply the additive identity property to simplify expressions involving integers.</v>
      </c>
      <c r="P73" s="29" t="str">
        <f t="shared" si="9"/>
        <v>LU000354.004</v>
      </c>
      <c r="Q73" s="29" t="str">
        <f ca="1">IFERROR(__xludf.dummyfunction("VLOOKUP(P73, IMPORTRANGE(""https://docs.google.com/spreadsheets/d/1yDAaXNsi4Mr5FtRQL4tbmSdIzhx6_m4wkOD7IG-k_eo/edit#gid=0"", ""Maths!M:N""), 2, FALSE)"),"Analyse a series of integer operations and identify instances where the additive identity property is used.")</f>
        <v>Analyse a series of integer operations and identify instances where the additive identity property is used.</v>
      </c>
      <c r="R73" s="29" t="str">
        <f t="shared" si="10"/>
        <v>LU000354.005</v>
      </c>
      <c r="S73" s="29" t="str">
        <f ca="1">IFERROR(__xludf.dummyfunction("VLOOKUP(R73, IMPORTRANGE(""https://docs.google.com/spreadsheets/d/1yDAaXNsi4Mr5FtRQL4tbmSdIzhx6_m4wkOD7IG-k_eo/edit#gid=0"", ""Maths!M:N""), 2, FALSE)"),"Evaluate the application of the additive identity property in a solution to an integer addition problem.")</f>
        <v>Evaluate the application of the additive identity property in a solution to an integer addition problem.</v>
      </c>
      <c r="T73" s="29" t="str">
        <f t="shared" si="11"/>
        <v>LU000354.006</v>
      </c>
      <c r="U73" s="29" t="str">
        <f ca="1">IFERROR(__xludf.dummyfunction("VLOOKUP(T73, IMPORTRANGE(""https://docs.google.com/spreadsheets/d/1yDAaXNsi4Mr5FtRQL4tbmSdIzhx6_m4wkOD7IG-k_eo/edit#gid=0"", ""Maths!M:N""), 2, FALSE)"),"Design a set of problems that require to utilise the additive identity property in creative ways.")</f>
        <v>Design a set of problems that require to utilise the additive identity property in creative ways.</v>
      </c>
      <c r="V73" s="16">
        <f ca="1">IFERROR(__xludf.dummyfunction("ArrayFormula(VLOOKUP(G73, IMPORTRANGE(""https://docs.google.com/spreadsheets/d/1p7R4vtkWt5VOBim4ltsDG9KTzSjrtKXsMtQGXPHyND0/edit#gid=795171502"", ""'Filter 30_05_2024'!A1:M2000""), {2, 3, 4, 5,6,7,8,9,10,11,12,13}, 0))"),4)</f>
        <v>4</v>
      </c>
      <c r="W73" s="16">
        <f ca="1">IFERROR(__xludf.dummyfunction("""COMPUTED_VALUE"""),7)</f>
        <v>7</v>
      </c>
      <c r="X73" s="16">
        <f ca="1">IFERROR(__xludf.dummyfunction("""COMPUTED_VALUE"""),2)</f>
        <v>2</v>
      </c>
      <c r="Y73" s="16">
        <f ca="1">IFERROR(__xludf.dummyfunction("""COMPUTED_VALUE"""),13)</f>
        <v>13</v>
      </c>
      <c r="Z73" s="16">
        <f ca="1">IFERROR(__xludf.dummyfunction("""COMPUTED_VALUE"""),4)</f>
        <v>4</v>
      </c>
      <c r="AA73" s="30">
        <f ca="1">IFERROR(__xludf.dummyfunction("""COMPUTED_VALUE"""),3)</f>
        <v>3</v>
      </c>
      <c r="AB73" s="30">
        <f ca="1">IFERROR(__xludf.dummyfunction("""COMPUTED_VALUE"""),1)</f>
        <v>1</v>
      </c>
      <c r="AC73" s="30">
        <f ca="1">IFERROR(__xludf.dummyfunction("""COMPUTED_VALUE"""),8)</f>
        <v>8</v>
      </c>
      <c r="AD73" s="16"/>
      <c r="AE73" s="30"/>
      <c r="AF73" s="30"/>
      <c r="AG73" s="30"/>
    </row>
    <row r="74" spans="1:33" ht="13.8">
      <c r="A74" s="25"/>
      <c r="B74" s="26" t="s">
        <v>29</v>
      </c>
      <c r="C74" s="26" t="s">
        <v>310</v>
      </c>
      <c r="D74" s="26">
        <v>6</v>
      </c>
      <c r="E74" s="27" t="s">
        <v>394</v>
      </c>
      <c r="F74" s="28" t="s">
        <v>417</v>
      </c>
      <c r="G74" s="26" t="s">
        <v>418</v>
      </c>
      <c r="H74" s="28" t="str">
        <f ca="1">IFERROR(__xludf.dummyfunction("IFERROR(
  VLOOKUP(G74, IMPORTRANGE(""https://docs.google.com/spreadsheets/d/14deopnvwcrKtEGCKuYXdUHJbeLDZlkiSSWWT0g7x2pM/edit#gid=849066331"", ""LU List Maths (Filter)!A:B""), 2, FALSE),
  IFERROR(
    VLOOKUP(G74, IMPORTRANGE(""https://docs.google.com/s"&amp;"preadsheets/d/14deopnvwcrKtEGCKuYXdUHJbeLDZlkiSSWWT0g7x2pM/edit#gid=849066331"", ""LU List Science (Filter)!A:B""), 2, FALSE),
    ""Not Found""
  )
)
"),"Subtraction of integers using rules of signs")</f>
        <v>Subtraction of integers using rules of signs</v>
      </c>
      <c r="I74" s="28"/>
      <c r="J74" s="29" t="str">
        <f t="shared" si="6"/>
        <v>LU000272.001</v>
      </c>
      <c r="K74" s="29" t="str">
        <f ca="1">IFERROR(__xludf.dummyfunction("VLOOKUP(J74, IMPORTRANGE(""https://docs.google.com/spreadsheets/d/1yDAaXNsi4Mr5FtRQL4tbmSdIzhx6_m4wkOD7IG-k_eo/edit#gid=0"", ""Maths!M:N""), 2, FALSE)"),"Write the rules for subtracting integers with like and unlike signs.")</f>
        <v>Write the rules for subtracting integers with like and unlike signs.</v>
      </c>
      <c r="L74" s="29" t="str">
        <f t="shared" si="7"/>
        <v>LU000272.002</v>
      </c>
      <c r="M74" s="29" t="str">
        <f ca="1">IFERROR(__xludf.dummyfunction("VLOOKUP(L74, IMPORTRANGE(""https://docs.google.com/spreadsheets/d/1yDAaXNsi4Mr5FtRQL4tbmSdIzhx6_m4wkOD7IG-k_eo/edit#gid=0"", ""Maths!M:N""), 2, FALSE)"),"Explain the concept of subtracting integers and the rationale behind the rules for different sign combinations.")</f>
        <v>Explain the concept of subtracting integers and the rationale behind the rules for different sign combinations.</v>
      </c>
      <c r="N74" s="29" t="str">
        <f t="shared" si="8"/>
        <v>LU000272.003</v>
      </c>
      <c r="O74" s="29" t="str">
        <f ca="1">IFERROR(__xludf.dummyfunction("VLOOKUP(N74, IMPORTRANGE(""https://docs.google.com/spreadsheets/d/1yDAaXNsi4Mr5FtRQL4tbmSdIzhx6_m4wkOD7IG-k_eo/edit#gid=0"", ""Maths!M:N""), 2, FALSE)"),"Apply the rules of subtracting integers to solve arithmetic and practical subtraction problems.")</f>
        <v>Apply the rules of subtracting integers to solve arithmetic and practical subtraction problems.</v>
      </c>
      <c r="P74" s="29" t="str">
        <f t="shared" si="9"/>
        <v>LU000272.004</v>
      </c>
      <c r="Q74" s="29" t="str">
        <f ca="1">IFERROR(__xludf.dummyfunction("VLOOKUP(P74, IMPORTRANGE(""https://docs.google.com/spreadsheets/d/1yDAaXNsi4Mr5FtRQL4tbmSdIzhx6_m4wkOD7IG-k_eo/edit#gid=0"", ""Maths!M:N""), 2, FALSE)"),"Analyse complex subtraction expressions involving multiple integers and evaluate their outcomes.")</f>
        <v>Analyse complex subtraction expressions involving multiple integers and evaluate their outcomes.</v>
      </c>
      <c r="R74" s="29" t="str">
        <f t="shared" si="10"/>
        <v>LU000272.005</v>
      </c>
      <c r="S74" s="29" t="str">
        <f ca="1">IFERROR(__xludf.dummyfunction("VLOOKUP(R74, IMPORTRANGE(""https://docs.google.com/spreadsheets/d/1yDAaXNsi4Mr5FtRQL4tbmSdIzhx6_m4wkOD7IG-k_eo/edit#gid=0"", ""Maths!M:N""), 2, FALSE)"),"Evaluate the accuracy of solutions to integer subtraction problems and provide feedback on the approach.")</f>
        <v>Evaluate the accuracy of solutions to integer subtraction problems and provide feedback on the approach.</v>
      </c>
      <c r="T74" s="29" t="str">
        <f t="shared" si="11"/>
        <v>LU000272.006</v>
      </c>
      <c r="U74" s="29" t="str">
        <f ca="1">IFERROR(__xludf.dummyfunction("VLOOKUP(T74, IMPORTRANGE(""https://docs.google.com/spreadsheets/d/1yDAaXNsi4Mr5FtRQL4tbmSdIzhx6_m4wkOD7IG-k_eo/edit#gid=0"", ""Maths!M:N""), 2, FALSE)"),"Create a set of integer subtraction problems with varying sign combinations.")</f>
        <v>Create a set of integer subtraction problems with varying sign combinations.</v>
      </c>
      <c r="V74" s="16">
        <f ca="1">IFERROR(__xludf.dummyfunction("ArrayFormula(VLOOKUP(G74, IMPORTRANGE(""https://docs.google.com/spreadsheets/d/1p7R4vtkWt5VOBim4ltsDG9KTzSjrtKXsMtQGXPHyND0/edit#gid=795171502"", ""'Filter 30_05_2024'!A1:M2000""), {2, 3, 4, 5,6,7,8,9,10,11,12,13}, 0))"),3)</f>
        <v>3</v>
      </c>
      <c r="W74" s="16">
        <f ca="1">IFERROR(__xludf.dummyfunction("""COMPUTED_VALUE"""),13)</f>
        <v>13</v>
      </c>
      <c r="X74" s="16">
        <f ca="1">IFERROR(__xludf.dummyfunction("""COMPUTED_VALUE"""),5)</f>
        <v>5</v>
      </c>
      <c r="Y74" s="16">
        <f ca="1">IFERROR(__xludf.dummyfunction("""COMPUTED_VALUE"""),21)</f>
        <v>21</v>
      </c>
      <c r="Z74" s="16">
        <f ca="1">IFERROR(__xludf.dummyfunction("""COMPUTED_VALUE"""),9)</f>
        <v>9</v>
      </c>
      <c r="AA74" s="30">
        <f ca="1">IFERROR(__xludf.dummyfunction("""COMPUTED_VALUE"""),8)</f>
        <v>8</v>
      </c>
      <c r="AB74" s="30">
        <f ca="1">IFERROR(__xludf.dummyfunction("""COMPUTED_VALUE"""),2)</f>
        <v>2</v>
      </c>
      <c r="AC74" s="30">
        <f ca="1">IFERROR(__xludf.dummyfunction("""COMPUTED_VALUE"""),19)</f>
        <v>19</v>
      </c>
      <c r="AD74" s="16"/>
      <c r="AE74" s="30"/>
      <c r="AF74" s="30"/>
      <c r="AG74" s="30"/>
    </row>
    <row r="75" spans="1:33" ht="13.8">
      <c r="A75" s="25"/>
      <c r="B75" s="26" t="s">
        <v>29</v>
      </c>
      <c r="C75" s="26" t="s">
        <v>310</v>
      </c>
      <c r="D75" s="26">
        <v>6</v>
      </c>
      <c r="E75" s="27" t="s">
        <v>394</v>
      </c>
      <c r="F75" s="28"/>
      <c r="G75" s="26" t="s">
        <v>419</v>
      </c>
      <c r="H75" s="28" t="str">
        <f ca="1">IFERROR(__xludf.dummyfunction("IFERROR(
  VLOOKUP(G75, IMPORTRANGE(""https://docs.google.com/spreadsheets/d/14deopnvwcrKtEGCKuYXdUHJbeLDZlkiSSWWT0g7x2pM/edit#gid=849066331"", ""LU List Maths (Filter)!A:B""), 2, FALSE),
  IFERROR(
    VLOOKUP(G75, IMPORTRANGE(""https://docs.google.com/s"&amp;"preadsheets/d/14deopnvwcrKtEGCKuYXdUHJbeLDZlkiSSWWT0g7x2pM/edit#gid=849066331"", ""LU List Science (Filter)!A:B""), 2, FALSE),
    ""Not Found""
  )
)
"),"Subtraction of integers using number line")</f>
        <v>Subtraction of integers using number line</v>
      </c>
      <c r="I75" s="28"/>
      <c r="J75" s="29" t="str">
        <f t="shared" si="6"/>
        <v>LU000277.001</v>
      </c>
      <c r="K75" s="29" t="str">
        <f ca="1">IFERROR(__xludf.dummyfunction("VLOOKUP(J75, IMPORTRANGE(""https://docs.google.com/spreadsheets/d/1yDAaXNsi4Mr5FtRQL4tbmSdIzhx6_m4wkOD7IG-k_eo/edit#gid=0"", ""Maths!M:N""), 2, FALSE)"),"Recall the rules for subtracting integers with the same and opposite signs")</f>
        <v>Recall the rules for subtracting integers with the same and opposite signs</v>
      </c>
      <c r="L75" s="29" t="str">
        <f t="shared" si="7"/>
        <v>LU000277.002</v>
      </c>
      <c r="M75" s="29" t="str">
        <f ca="1">IFERROR(__xludf.dummyfunction("VLOOKUP(L75, IMPORTRANGE(""https://docs.google.com/spreadsheets/d/1yDAaXNsi4Mr5FtRQL4tbmSdIzhx6_m4wkOD7IG-k_eo/edit#gid=0"", ""Maths!M:N""), 2, FALSE)"),"Explain the purpose of using a number line for subtracting integers.")</f>
        <v>Explain the purpose of using a number line for subtracting integers.</v>
      </c>
      <c r="N75" s="29" t="str">
        <f t="shared" si="8"/>
        <v>LU000277.003</v>
      </c>
      <c r="O75" s="29" t="str">
        <f ca="1">IFERROR(__xludf.dummyfunction("VLOOKUP(N75, IMPORTRANGE(""https://docs.google.com/spreadsheets/d/1yDAaXNsi4Mr5FtRQL4tbmSdIzhx6_m4wkOD7IG-k_eo/edit#gid=0"", ""Maths!M:N""), 2, FALSE)"),"Apply integer subtraction using a number line to solve basic arithmetic and practical problems.")</f>
        <v>Apply integer subtraction using a number line to solve basic arithmetic and practical problems.</v>
      </c>
      <c r="P75" s="29" t="str">
        <f t="shared" si="9"/>
        <v>LU000277.004</v>
      </c>
      <c r="Q75" s="29" t="str">
        <f ca="1">IFERROR(__xludf.dummyfunction("VLOOKUP(P75, IMPORTRANGE(""https://docs.google.com/spreadsheets/d/1yDAaXNsi4Mr5FtRQL4tbmSdIzhx6_m4wkOD7IG-k_eo/edit#gid=0"", ""Maths!M:N""), 2, FALSE)"),"Analyse different visual methods for subtracting integers and compare their effectiveness.")</f>
        <v>Analyse different visual methods for subtracting integers and compare their effectiveness.</v>
      </c>
      <c r="R75" s="29" t="str">
        <f t="shared" si="10"/>
        <v>LU000277.005</v>
      </c>
      <c r="S75" s="29" t="str">
        <f ca="1">IFERROR(__xludf.dummyfunction("VLOOKUP(R75, IMPORTRANGE(""https://docs.google.com/spreadsheets/d/1yDAaXNsi4Mr5FtRQL4tbmSdIzhx6_m4wkOD7IG-k_eo/edit#gid=0"", ""Maths!M:N""), 2, FALSE)"),"Assess the correctness of solutions obtained through the number line method for integer subtraction.")</f>
        <v>Assess the correctness of solutions obtained through the number line method for integer subtraction.</v>
      </c>
      <c r="T75" s="29" t="str">
        <f t="shared" si="11"/>
        <v>LU000277.006</v>
      </c>
      <c r="U75" s="29" t="str">
        <f ca="1">IFERROR(__xludf.dummyfunction("VLOOKUP(T75, IMPORTRANGE(""https://docs.google.com/spreadsheets/d/1yDAaXNsi4Mr5FtRQL4tbmSdIzhx6_m4wkOD7IG-k_eo/edit#gid=0"", ""Maths!M:N""), 2, FALSE)"),"Devise original real-world scenarios or problems that require the application of integer subtraction using a number line")</f>
        <v>Devise original real-world scenarios or problems that require the application of integer subtraction using a number line</v>
      </c>
      <c r="V75" s="16">
        <f ca="1">IFERROR(__xludf.dummyfunction("ArrayFormula(VLOOKUP(G75, IMPORTRANGE(""https://docs.google.com/spreadsheets/d/1p7R4vtkWt5VOBim4ltsDG9KTzSjrtKXsMtQGXPHyND0/edit#gid=795171502"", ""'Filter 30_05_2024'!A1:M2000""), {2, 3, 4, 5,6,7,8,9,10,11,12,13}, 0))"),4)</f>
        <v>4</v>
      </c>
      <c r="W75" s="16">
        <f ca="1">IFERROR(__xludf.dummyfunction("""COMPUTED_VALUE"""),10)</f>
        <v>10</v>
      </c>
      <c r="X75" s="16">
        <f ca="1">IFERROR(__xludf.dummyfunction("""COMPUTED_VALUE"""),2)</f>
        <v>2</v>
      </c>
      <c r="Y75" s="16">
        <f ca="1">IFERROR(__xludf.dummyfunction("""COMPUTED_VALUE"""),16)</f>
        <v>16</v>
      </c>
      <c r="Z75" s="16">
        <f ca="1">IFERROR(__xludf.dummyfunction("""COMPUTED_VALUE"""),4)</f>
        <v>4</v>
      </c>
      <c r="AA75" s="30">
        <f ca="1">IFERROR(__xludf.dummyfunction("""COMPUTED_VALUE"""),3)</f>
        <v>3</v>
      </c>
      <c r="AB75" s="30">
        <f ca="1">IFERROR(__xludf.dummyfunction("""COMPUTED_VALUE"""),1)</f>
        <v>1</v>
      </c>
      <c r="AC75" s="30">
        <f ca="1">IFERROR(__xludf.dummyfunction("""COMPUTED_VALUE"""),8)</f>
        <v>8</v>
      </c>
      <c r="AD75" s="16"/>
      <c r="AE75" s="30"/>
      <c r="AF75" s="30"/>
      <c r="AG75" s="30"/>
    </row>
    <row r="76" spans="1:33" ht="26.4">
      <c r="A76" s="25"/>
      <c r="B76" s="26" t="s">
        <v>29</v>
      </c>
      <c r="C76" s="26" t="s">
        <v>310</v>
      </c>
      <c r="D76" s="26">
        <v>6</v>
      </c>
      <c r="E76" s="27" t="s">
        <v>394</v>
      </c>
      <c r="F76" s="28" t="s">
        <v>420</v>
      </c>
      <c r="G76" s="40" t="s">
        <v>421</v>
      </c>
      <c r="H76" s="28" t="str">
        <f ca="1">IFERROR(__xludf.dummyfunction("IFERROR(
  VLOOKUP(G76, IMPORTRANGE(""https://docs.google.com/spreadsheets/d/14deopnvwcrKtEGCKuYXdUHJbeLDZlkiSSWWT0g7x2pM/edit#gid=849066331"", ""LU List Maths (Filter)!A:B""), 2, FALSE),
  IFERROR(
    VLOOKUP(G76, IMPORTRANGE(""https://docs.google.com/s"&amp;"preadsheets/d/14deopnvwcrKtEGCKuYXdUHJbeLDZlkiSSWWT0g7x2pM/edit#gid=849066331"", ""LU List Science (Filter)!A:B""), 2, FALSE),
    ""Not Found""
  )
)
"),"Mixed operation of addition and subtraction of three or more integers")</f>
        <v>Mixed operation of addition and subtraction of three or more integers</v>
      </c>
      <c r="I76" s="28"/>
      <c r="J76" s="29" t="str">
        <f t="shared" si="6"/>
        <v>LU000914.001</v>
      </c>
      <c r="K76" s="29" t="str">
        <f ca="1">IFERROR(__xludf.dummyfunction("VLOOKUP(J76, IMPORTRANGE(""https://docs.google.com/spreadsheets/d/1yDAaXNsi4Mr5FtRQL4tbmSdIzhx6_m4wkOD7IG-k_eo/edit#gid=0"", ""Maths!M:N""), 2, FALSE)"),"State the rules for adding and subtracting three and more integers.")</f>
        <v>State the rules for adding and subtracting three and more integers.</v>
      </c>
      <c r="L76" s="29" t="str">
        <f t="shared" si="7"/>
        <v>LU000914.002</v>
      </c>
      <c r="M76" s="29" t="str">
        <f ca="1">IFERROR(__xludf.dummyfunction("VLOOKUP(L76, IMPORTRANGE(""https://docs.google.com/spreadsheets/d/1yDAaXNsi4Mr5FtRQL4tbmSdIzhx6_m4wkOD7IG-k_eo/edit#gid=0"", ""Maths!M:N""), 2, FALSE)"),"Explain the concept of performing mixed operations involving addition and subtraction of three or more integers.")</f>
        <v>Explain the concept of performing mixed operations involving addition and subtraction of three or more integers.</v>
      </c>
      <c r="N76" s="29" t="str">
        <f t="shared" si="8"/>
        <v>LU000914.003</v>
      </c>
      <c r="O76" s="29" t="str">
        <f ca="1">IFERROR(__xludf.dummyfunction("VLOOKUP(N76, IMPORTRANGE(""https://docs.google.com/spreadsheets/d/1yDAaXNsi4Mr5FtRQL4tbmSdIzhx6_m4wkOD7IG-k_eo/edit#gid=0"", ""Maths!M:N""), 2, FALSE)"),"Apply the rules of addition and subtraction to solve arithmetic and real life problems involving three or more integers.")</f>
        <v>Apply the rules of addition and subtraction to solve arithmetic and real life problems involving three or more integers.</v>
      </c>
      <c r="P76" s="29" t="str">
        <f t="shared" si="9"/>
        <v>LU000914.004</v>
      </c>
      <c r="Q76" s="29" t="str">
        <f ca="1">IFERROR(__xludf.dummyfunction("VLOOKUP(P76, IMPORTRANGE(""https://docs.google.com/spreadsheets/d/1yDAaXNsi4Mr5FtRQL4tbmSdIzhx6_m4wkOD7IG-k_eo/edit#gid=0"", ""Maths!M:N""), 2, FALSE)"),"Analyze errors in a given set of mixed operations involving integers and explain the correct procedures.")</f>
        <v>Analyze errors in a given set of mixed operations involving integers and explain the correct procedures.</v>
      </c>
      <c r="R76" s="29" t="str">
        <f t="shared" si="10"/>
        <v>LU000914.005</v>
      </c>
      <c r="S76" s="29" t="str">
        <f ca="1">IFERROR(__xludf.dummyfunction("VLOOKUP(R76, IMPORTRANGE(""https://docs.google.com/spreadsheets/d/1yDAaXNsi4Mr5FtRQL4tbmSdIzhx6_m4wkOD7IG-k_eo/edit#gid=0"", ""Maths!M:N""), 2, FALSE)"),"Evaluate the accuracy of solutions to mixed operations with integers.")</f>
        <v>Evaluate the accuracy of solutions to mixed operations with integers.</v>
      </c>
      <c r="T76" s="29" t="str">
        <f t="shared" si="11"/>
        <v>LU000914.006</v>
      </c>
      <c r="U76" s="29" t="str">
        <f ca="1">IFERROR(__xludf.dummyfunction("VLOOKUP(T76, IMPORTRANGE(""https://docs.google.com/spreadsheets/d/1yDAaXNsi4Mr5FtRQL4tbmSdIzhx6_m4wkOD7IG-k_eo/edit#gid=0"", ""Maths!M:N""), 2, FALSE)"),"Develop and solve a set of original problems that involve mixed operations with three or more integers.")</f>
        <v>Develop and solve a set of original problems that involve mixed operations with three or more integers.</v>
      </c>
      <c r="V76" s="16">
        <f ca="1">IFERROR(__xludf.dummyfunction("ArrayFormula(VLOOKUP(G76, IMPORTRANGE(""https://docs.google.com/spreadsheets/d/1p7R4vtkWt5VOBim4ltsDG9KTzSjrtKXsMtQGXPHyND0/edit#gid=795171502"", ""'Filter 30_05_2024'!A1:M2000""), {2, 3, 4, 5,6,7,8,9,10,11,12,13}, 0))"),4)</f>
        <v>4</v>
      </c>
      <c r="W76" s="16">
        <f ca="1">IFERROR(__xludf.dummyfunction("""COMPUTED_VALUE"""),4)</f>
        <v>4</v>
      </c>
      <c r="X76" s="16">
        <f ca="1">IFERROR(__xludf.dummyfunction("""COMPUTED_VALUE"""),2)</f>
        <v>2</v>
      </c>
      <c r="Y76" s="16">
        <f ca="1">IFERROR(__xludf.dummyfunction("""COMPUTED_VALUE"""),10)</f>
        <v>10</v>
      </c>
      <c r="Z76" s="16">
        <f ca="1">IFERROR(__xludf.dummyfunction("""COMPUTED_VALUE"""),4)</f>
        <v>4</v>
      </c>
      <c r="AA76" s="30">
        <f ca="1">IFERROR(__xludf.dummyfunction("""COMPUTED_VALUE"""),5)</f>
        <v>5</v>
      </c>
      <c r="AB76" s="30">
        <f ca="1">IFERROR(__xludf.dummyfunction("""COMPUTED_VALUE"""),1)</f>
        <v>1</v>
      </c>
      <c r="AC76" s="30">
        <f ca="1">IFERROR(__xludf.dummyfunction("""COMPUTED_VALUE"""),10)</f>
        <v>10</v>
      </c>
      <c r="AD76" s="16"/>
      <c r="AE76" s="30"/>
      <c r="AF76" s="30"/>
      <c r="AG76" s="30"/>
    </row>
    <row r="77" spans="1:33" ht="15.6">
      <c r="A77" s="25"/>
      <c r="B77" s="26" t="s">
        <v>29</v>
      </c>
      <c r="C77" s="26" t="s">
        <v>310</v>
      </c>
      <c r="D77" s="26">
        <v>6</v>
      </c>
      <c r="E77" s="26" t="s">
        <v>422</v>
      </c>
      <c r="F77" s="28" t="s">
        <v>423</v>
      </c>
      <c r="G77" s="33" t="s">
        <v>424</v>
      </c>
      <c r="H77" s="28" t="str">
        <f ca="1">IFERROR(__xludf.dummyfunction("IFERROR(
  VLOOKUP(G77, IMPORTRANGE(""https://docs.google.com/spreadsheets/d/14deopnvwcrKtEGCKuYXdUHJbeLDZlkiSSWWT0g7x2pM/edit#gid=849066331"", ""LU List Maths (Filter)!A:B""), 2, FALSE),
  IFERROR(
    VLOOKUP(G77, IMPORTRANGE(""https://docs.google.com/s"&amp;"preadsheets/d/14deopnvwcrKtEGCKuYXdUHJbeLDZlkiSSWWT0g7x2pM/edit#gid=849066331"", ""LU List Science (Filter)!A:B""), 2, FALSE),
    ""Not Found""
  )
)
"),"Definition and elements of a set")</f>
        <v>Definition and elements of a set</v>
      </c>
      <c r="I77" s="28"/>
      <c r="J77" s="29" t="str">
        <f t="shared" si="6"/>
        <v>LU001376.001</v>
      </c>
      <c r="K77" s="29" t="str">
        <f ca="1">IFERROR(__xludf.dummyfunction("VLOOKUP(J77, IMPORTRANGE(""https://docs.google.com/spreadsheets/d/1yDAaXNsi4Mr5FtRQL4tbmSdIzhx6_m4wkOD7IG-k_eo/edit#gid=0"", ""Maths!M:N""), 2, FALSE)"),"(LU001376.001); Default - Remember")</f>
        <v>(LU001376.001); Default - Remember</v>
      </c>
      <c r="L77" s="29" t="str">
        <f t="shared" si="7"/>
        <v>LU001376.002</v>
      </c>
      <c r="M77" s="29" t="str">
        <f ca="1">IFERROR(__xludf.dummyfunction("VLOOKUP(L77, IMPORTRANGE(""https://docs.google.com/spreadsheets/d/1yDAaXNsi4Mr5FtRQL4tbmSdIzhx6_m4wkOD7IG-k_eo/edit#gid=0"", ""Maths!M:N""), 2, FALSE)"),"(LU001376.002); Default - Understand")</f>
        <v>(LU001376.002); Default - Understand</v>
      </c>
      <c r="N77" s="29" t="str">
        <f t="shared" si="8"/>
        <v>LU001376.003</v>
      </c>
      <c r="O77" s="29" t="str">
        <f ca="1">IFERROR(__xludf.dummyfunction("VLOOKUP(N77, IMPORTRANGE(""https://docs.google.com/spreadsheets/d/1yDAaXNsi4Mr5FtRQL4tbmSdIzhx6_m4wkOD7IG-k_eo/edit#gid=0"", ""Maths!M:N""), 2, FALSE)"),"(LU001376.003); Default - Apply")</f>
        <v>(LU001376.003); Default - Apply</v>
      </c>
      <c r="P77" s="29" t="str">
        <f t="shared" si="9"/>
        <v>LU001376.004</v>
      </c>
      <c r="Q77" s="29" t="str">
        <f ca="1">IFERROR(__xludf.dummyfunction("VLOOKUP(P77, IMPORTRANGE(""https://docs.google.com/spreadsheets/d/1yDAaXNsi4Mr5FtRQL4tbmSdIzhx6_m4wkOD7IG-k_eo/edit#gid=0"", ""Maths!M:N""), 2, FALSE)"),"(LU001376.004); Default - Analyse")</f>
        <v>(LU001376.004); Default - Analyse</v>
      </c>
      <c r="R77" s="29" t="str">
        <f t="shared" si="10"/>
        <v>LU001376.005</v>
      </c>
      <c r="S77" s="29" t="str">
        <f ca="1">IFERROR(__xludf.dummyfunction("VLOOKUP(R77, IMPORTRANGE(""https://docs.google.com/spreadsheets/d/1yDAaXNsi4Mr5FtRQL4tbmSdIzhx6_m4wkOD7IG-k_eo/edit#gid=0"", ""Maths!M:N""), 2, FALSE)"),"(LU001376.005); Default - Evaluate")</f>
        <v>(LU001376.005); Default - Evaluate</v>
      </c>
      <c r="T77" s="29" t="str">
        <f t="shared" si="11"/>
        <v>LU001376.006</v>
      </c>
      <c r="U77" s="29" t="str">
        <f ca="1">IFERROR(__xludf.dummyfunction("VLOOKUP(T77, IMPORTRANGE(""https://docs.google.com/spreadsheets/d/1yDAaXNsi4Mr5FtRQL4tbmSdIzhx6_m4wkOD7IG-k_eo/edit#gid=0"", ""Maths!M:N""), 2, FALSE)"),"(LU001376.006); Default - Create")</f>
        <v>(LU001376.006); Default - Create</v>
      </c>
      <c r="V77" s="16" t="str">
        <f ca="1">IFERROR(__xludf.dummyfunction("ArrayFormula(VLOOKUP(G77, IMPORTRANGE(""https://docs.google.com/spreadsheets/d/1p7R4vtkWt5VOBim4ltsDG9KTzSjrtKXsMtQGXPHyND0/edit#gid=795171502"", ""'Filter 30_05_2024'!A1:M2000""), {2, 3, 4, 5,6,7,8,9,10,11,12,13}, 0))"),"#N/A")</f>
        <v>#N/A</v>
      </c>
      <c r="W77" s="16" t="str">
        <f ca="1">IFERROR(__xludf.dummyfunction("""COMPUTED_VALUE"""),"#N/A")</f>
        <v>#N/A</v>
      </c>
      <c r="X77" s="16" t="str">
        <f ca="1">IFERROR(__xludf.dummyfunction("""COMPUTED_VALUE"""),"#N/A")</f>
        <v>#N/A</v>
      </c>
      <c r="Y77" s="16" t="str">
        <f ca="1">IFERROR(__xludf.dummyfunction("""COMPUTED_VALUE"""),"#N/A")</f>
        <v>#N/A</v>
      </c>
      <c r="Z77" s="16" t="str">
        <f ca="1">IFERROR(__xludf.dummyfunction("""COMPUTED_VALUE"""),"#N/A")</f>
        <v>#N/A</v>
      </c>
      <c r="AA77" s="30" t="str">
        <f ca="1">IFERROR(__xludf.dummyfunction("""COMPUTED_VALUE"""),"#N/A")</f>
        <v>#N/A</v>
      </c>
      <c r="AB77" s="30" t="str">
        <f ca="1">IFERROR(__xludf.dummyfunction("""COMPUTED_VALUE"""),"#N/A")</f>
        <v>#N/A</v>
      </c>
      <c r="AC77" s="30" t="str">
        <f ca="1">IFERROR(__xludf.dummyfunction("""COMPUTED_VALUE"""),"#N/A")</f>
        <v>#N/A</v>
      </c>
      <c r="AD77" s="16" t="str">
        <f ca="1">IFERROR(__xludf.dummyfunction("""COMPUTED_VALUE"""),"#N/A")</f>
        <v>#N/A</v>
      </c>
      <c r="AE77" s="30" t="str">
        <f ca="1">IFERROR(__xludf.dummyfunction("""COMPUTED_VALUE"""),"#N/A")</f>
        <v>#N/A</v>
      </c>
      <c r="AF77" s="30" t="str">
        <f ca="1">IFERROR(__xludf.dummyfunction("""COMPUTED_VALUE"""),"#N/A")</f>
        <v>#N/A</v>
      </c>
      <c r="AG77" s="30" t="str">
        <f ca="1">IFERROR(__xludf.dummyfunction("""COMPUTED_VALUE"""),"#N/A")</f>
        <v>#N/A</v>
      </c>
    </row>
    <row r="78" spans="1:33" ht="15.6">
      <c r="A78" s="25"/>
      <c r="B78" s="26" t="s">
        <v>29</v>
      </c>
      <c r="C78" s="26" t="s">
        <v>310</v>
      </c>
      <c r="D78" s="26">
        <v>6</v>
      </c>
      <c r="E78" s="26" t="s">
        <v>422</v>
      </c>
      <c r="F78" s="28" t="s">
        <v>425</v>
      </c>
      <c r="G78" s="33" t="s">
        <v>426</v>
      </c>
      <c r="H78" s="28" t="str">
        <f ca="1">IFERROR(__xludf.dummyfunction("IFERROR(
  VLOOKUP(G78, IMPORTRANGE(""https://docs.google.com/spreadsheets/d/14deopnvwcrKtEGCKuYXdUHJbeLDZlkiSSWWT0g7x2pM/edit#gid=849066331"", ""LU List Maths (Filter)!A:B""), 2, FALSE),
  IFERROR(
    VLOOKUP(G78, IMPORTRANGE(""https://docs.google.com/s"&amp;"preadsheets/d/14deopnvwcrKtEGCKuYXdUHJbeLDZlkiSSWWT0g7x2pM/edit#gid=849066331"", ""LU List Science (Filter)!A:B""), 2, FALSE),
    ""Not Found""
  )
)
"),"Representations of sets: Description method")</f>
        <v>Representations of sets: Description method</v>
      </c>
      <c r="I78" s="41"/>
      <c r="J78" s="29" t="str">
        <f t="shared" si="6"/>
        <v>LU001377.001</v>
      </c>
      <c r="K78" s="29" t="str">
        <f ca="1">IFERROR(__xludf.dummyfunction("VLOOKUP(J78, IMPORTRANGE(""https://docs.google.com/spreadsheets/d/1yDAaXNsi4Mr5FtRQL4tbmSdIzhx6_m4wkOD7IG-k_eo/edit#gid=0"", ""Maths!M:N""), 2, FALSE)"),"(LU001377.001); Default - Remember")</f>
        <v>(LU001377.001); Default - Remember</v>
      </c>
      <c r="L78" s="29" t="str">
        <f t="shared" si="7"/>
        <v>LU001377.002</v>
      </c>
      <c r="M78" s="29" t="str">
        <f ca="1">IFERROR(__xludf.dummyfunction("VLOOKUP(L78, IMPORTRANGE(""https://docs.google.com/spreadsheets/d/1yDAaXNsi4Mr5FtRQL4tbmSdIzhx6_m4wkOD7IG-k_eo/edit#gid=0"", ""Maths!M:N""), 2, FALSE)"),"(LU001377.002); Default - Understand")</f>
        <v>(LU001377.002); Default - Understand</v>
      </c>
      <c r="N78" s="29" t="str">
        <f t="shared" si="8"/>
        <v>LU001377.003</v>
      </c>
      <c r="O78" s="29" t="str">
        <f ca="1">IFERROR(__xludf.dummyfunction("VLOOKUP(N78, IMPORTRANGE(""https://docs.google.com/spreadsheets/d/1yDAaXNsi4Mr5FtRQL4tbmSdIzhx6_m4wkOD7IG-k_eo/edit#gid=0"", ""Maths!M:N""), 2, FALSE)"),"(LU001377.003); Default - Apply")</f>
        <v>(LU001377.003); Default - Apply</v>
      </c>
      <c r="P78" s="29" t="str">
        <f t="shared" si="9"/>
        <v>LU001377.004</v>
      </c>
      <c r="Q78" s="29" t="str">
        <f ca="1">IFERROR(__xludf.dummyfunction("VLOOKUP(P78, IMPORTRANGE(""https://docs.google.com/spreadsheets/d/1yDAaXNsi4Mr5FtRQL4tbmSdIzhx6_m4wkOD7IG-k_eo/edit#gid=0"", ""Maths!M:N""), 2, FALSE)"),"(LU001377.004); Default - Analyse")</f>
        <v>(LU001377.004); Default - Analyse</v>
      </c>
      <c r="R78" s="29" t="str">
        <f t="shared" si="10"/>
        <v>LU001377.005</v>
      </c>
      <c r="S78" s="29" t="str">
        <f ca="1">IFERROR(__xludf.dummyfunction("VLOOKUP(R78, IMPORTRANGE(""https://docs.google.com/spreadsheets/d/1yDAaXNsi4Mr5FtRQL4tbmSdIzhx6_m4wkOD7IG-k_eo/edit#gid=0"", ""Maths!M:N""), 2, FALSE)"),"(LU001377.005); Default - Evaluate")</f>
        <v>(LU001377.005); Default - Evaluate</v>
      </c>
      <c r="T78" s="29" t="str">
        <f t="shared" si="11"/>
        <v>LU001377.006</v>
      </c>
      <c r="U78" s="29" t="str">
        <f ca="1">IFERROR(__xludf.dummyfunction("VLOOKUP(T78, IMPORTRANGE(""https://docs.google.com/spreadsheets/d/1yDAaXNsi4Mr5FtRQL4tbmSdIzhx6_m4wkOD7IG-k_eo/edit#gid=0"", ""Maths!M:N""), 2, FALSE)"),"(LU001377.006); Default - Create")</f>
        <v>(LU001377.006); Default - Create</v>
      </c>
      <c r="V78" s="16" t="str">
        <f ca="1">IFERROR(__xludf.dummyfunction("ArrayFormula(VLOOKUP(G78, IMPORTRANGE(""https://docs.google.com/spreadsheets/d/1p7R4vtkWt5VOBim4ltsDG9KTzSjrtKXsMtQGXPHyND0/edit#gid=795171502"", ""'Filter 30_05_2024'!A1:M2000""), {2, 3, 4, 5,6,7,8,9,10,11,12,13}, 0))"),"#N/A")</f>
        <v>#N/A</v>
      </c>
      <c r="W78" s="16" t="str">
        <f ca="1">IFERROR(__xludf.dummyfunction("""COMPUTED_VALUE"""),"#N/A")</f>
        <v>#N/A</v>
      </c>
      <c r="X78" s="16" t="str">
        <f ca="1">IFERROR(__xludf.dummyfunction("""COMPUTED_VALUE"""),"#N/A")</f>
        <v>#N/A</v>
      </c>
      <c r="Y78" s="16" t="str">
        <f ca="1">IFERROR(__xludf.dummyfunction("""COMPUTED_VALUE"""),"#N/A")</f>
        <v>#N/A</v>
      </c>
      <c r="Z78" s="16" t="str">
        <f ca="1">IFERROR(__xludf.dummyfunction("""COMPUTED_VALUE"""),"#N/A")</f>
        <v>#N/A</v>
      </c>
      <c r="AA78" s="30" t="str">
        <f ca="1">IFERROR(__xludf.dummyfunction("""COMPUTED_VALUE"""),"#N/A")</f>
        <v>#N/A</v>
      </c>
      <c r="AB78" s="30" t="str">
        <f ca="1">IFERROR(__xludf.dummyfunction("""COMPUTED_VALUE"""),"#N/A")</f>
        <v>#N/A</v>
      </c>
      <c r="AC78" s="30" t="str">
        <f ca="1">IFERROR(__xludf.dummyfunction("""COMPUTED_VALUE"""),"#N/A")</f>
        <v>#N/A</v>
      </c>
      <c r="AD78" s="16" t="str">
        <f ca="1">IFERROR(__xludf.dummyfunction("""COMPUTED_VALUE"""),"#N/A")</f>
        <v>#N/A</v>
      </c>
      <c r="AE78" s="30" t="str">
        <f ca="1">IFERROR(__xludf.dummyfunction("""COMPUTED_VALUE"""),"#N/A")</f>
        <v>#N/A</v>
      </c>
      <c r="AF78" s="30" t="str">
        <f ca="1">IFERROR(__xludf.dummyfunction("""COMPUTED_VALUE"""),"#N/A")</f>
        <v>#N/A</v>
      </c>
      <c r="AG78" s="30" t="str">
        <f ca="1">IFERROR(__xludf.dummyfunction("""COMPUTED_VALUE"""),"#N/A")</f>
        <v>#N/A</v>
      </c>
    </row>
    <row r="79" spans="1:33" ht="26.4">
      <c r="A79" s="25"/>
      <c r="B79" s="26" t="s">
        <v>29</v>
      </c>
      <c r="C79" s="26" t="s">
        <v>310</v>
      </c>
      <c r="D79" s="26">
        <v>6</v>
      </c>
      <c r="E79" s="26" t="s">
        <v>422</v>
      </c>
      <c r="F79" s="28"/>
      <c r="G79" s="33" t="s">
        <v>427</v>
      </c>
      <c r="H79" s="28" t="str">
        <f ca="1">IFERROR(__xludf.dummyfunction("IFERROR(
  VLOOKUP(G79, IMPORTRANGE(""https://docs.google.com/spreadsheets/d/14deopnvwcrKtEGCKuYXdUHJbeLDZlkiSSWWT0g7x2pM/edit#gid=849066331"", ""LU List Maths (Filter)!A:B""), 2, FALSE),
  IFERROR(
    VLOOKUP(G79, IMPORTRANGE(""https://docs.google.com/s"&amp;"preadsheets/d/14deopnvwcrKtEGCKuYXdUHJbeLDZlkiSSWWT0g7x2pM/edit#gid=849066331"", ""LU List Science (Filter)!A:B""), 2, FALSE),
    ""Not Found""
  )
)
"),"Representations of sets: Roster or Tabular form")</f>
        <v>Representations of sets: Roster or Tabular form</v>
      </c>
      <c r="I79" s="41"/>
      <c r="J79" s="29" t="str">
        <f t="shared" si="6"/>
        <v>LU001378.001</v>
      </c>
      <c r="K79" s="29" t="str">
        <f ca="1">IFERROR(__xludf.dummyfunction("VLOOKUP(J79, IMPORTRANGE(""https://docs.google.com/spreadsheets/d/1yDAaXNsi4Mr5FtRQL4tbmSdIzhx6_m4wkOD7IG-k_eo/edit#gid=0"", ""Maths!M:N""), 2, FALSE)"),"(LU001378.001); Default - Remember")</f>
        <v>(LU001378.001); Default - Remember</v>
      </c>
      <c r="L79" s="29" t="str">
        <f t="shared" si="7"/>
        <v>LU001378.002</v>
      </c>
      <c r="M79" s="29" t="str">
        <f ca="1">IFERROR(__xludf.dummyfunction("VLOOKUP(L79, IMPORTRANGE(""https://docs.google.com/spreadsheets/d/1yDAaXNsi4Mr5FtRQL4tbmSdIzhx6_m4wkOD7IG-k_eo/edit#gid=0"", ""Maths!M:N""), 2, FALSE)"),"(LU001378.002); Default - Understand")</f>
        <v>(LU001378.002); Default - Understand</v>
      </c>
      <c r="N79" s="29" t="str">
        <f t="shared" si="8"/>
        <v>LU001378.003</v>
      </c>
      <c r="O79" s="29" t="str">
        <f ca="1">IFERROR(__xludf.dummyfunction("VLOOKUP(N79, IMPORTRANGE(""https://docs.google.com/spreadsheets/d/1yDAaXNsi4Mr5FtRQL4tbmSdIzhx6_m4wkOD7IG-k_eo/edit#gid=0"", ""Maths!M:N""), 2, FALSE)"),"(LU001378.003); Default - Apply")</f>
        <v>(LU001378.003); Default - Apply</v>
      </c>
      <c r="P79" s="29" t="str">
        <f t="shared" si="9"/>
        <v>LU001378.004</v>
      </c>
      <c r="Q79" s="29" t="str">
        <f ca="1">IFERROR(__xludf.dummyfunction("VLOOKUP(P79, IMPORTRANGE(""https://docs.google.com/spreadsheets/d/1yDAaXNsi4Mr5FtRQL4tbmSdIzhx6_m4wkOD7IG-k_eo/edit#gid=0"", ""Maths!M:N""), 2, FALSE)"),"(LU001378.004); Default - Analyse")</f>
        <v>(LU001378.004); Default - Analyse</v>
      </c>
      <c r="R79" s="29" t="str">
        <f t="shared" si="10"/>
        <v>LU001378.005</v>
      </c>
      <c r="S79" s="29" t="str">
        <f ca="1">IFERROR(__xludf.dummyfunction("VLOOKUP(R79, IMPORTRANGE(""https://docs.google.com/spreadsheets/d/1yDAaXNsi4Mr5FtRQL4tbmSdIzhx6_m4wkOD7IG-k_eo/edit#gid=0"", ""Maths!M:N""), 2, FALSE)"),"(LU001378.005); Default - Evaluate")</f>
        <v>(LU001378.005); Default - Evaluate</v>
      </c>
      <c r="T79" s="29" t="str">
        <f t="shared" si="11"/>
        <v>LU001378.006</v>
      </c>
      <c r="U79" s="29" t="str">
        <f ca="1">IFERROR(__xludf.dummyfunction("VLOOKUP(T79, IMPORTRANGE(""https://docs.google.com/spreadsheets/d/1yDAaXNsi4Mr5FtRQL4tbmSdIzhx6_m4wkOD7IG-k_eo/edit#gid=0"", ""Maths!M:N""), 2, FALSE)"),"(LU001378.006); Default - Create")</f>
        <v>(LU001378.006); Default - Create</v>
      </c>
      <c r="V79" s="16" t="str">
        <f ca="1">IFERROR(__xludf.dummyfunction("ArrayFormula(VLOOKUP(G79, IMPORTRANGE(""https://docs.google.com/spreadsheets/d/1p7R4vtkWt5VOBim4ltsDG9KTzSjrtKXsMtQGXPHyND0/edit#gid=795171502"", ""'Filter 30_05_2024'!A1:M2000""), {2, 3, 4, 5,6,7,8,9,10,11,12,13}, 0))"),"#N/A")</f>
        <v>#N/A</v>
      </c>
      <c r="W79" s="16" t="str">
        <f ca="1">IFERROR(__xludf.dummyfunction("""COMPUTED_VALUE"""),"#N/A")</f>
        <v>#N/A</v>
      </c>
      <c r="X79" s="16" t="str">
        <f ca="1">IFERROR(__xludf.dummyfunction("""COMPUTED_VALUE"""),"#N/A")</f>
        <v>#N/A</v>
      </c>
      <c r="Y79" s="16" t="str">
        <f ca="1">IFERROR(__xludf.dummyfunction("""COMPUTED_VALUE"""),"#N/A")</f>
        <v>#N/A</v>
      </c>
      <c r="Z79" s="16" t="str">
        <f ca="1">IFERROR(__xludf.dummyfunction("""COMPUTED_VALUE"""),"#N/A")</f>
        <v>#N/A</v>
      </c>
      <c r="AA79" s="30" t="str">
        <f ca="1">IFERROR(__xludf.dummyfunction("""COMPUTED_VALUE"""),"#N/A")</f>
        <v>#N/A</v>
      </c>
      <c r="AB79" s="30" t="str">
        <f ca="1">IFERROR(__xludf.dummyfunction("""COMPUTED_VALUE"""),"#N/A")</f>
        <v>#N/A</v>
      </c>
      <c r="AC79" s="30" t="str">
        <f ca="1">IFERROR(__xludf.dummyfunction("""COMPUTED_VALUE"""),"#N/A")</f>
        <v>#N/A</v>
      </c>
      <c r="AD79" s="16" t="str">
        <f ca="1">IFERROR(__xludf.dummyfunction("""COMPUTED_VALUE"""),"#N/A")</f>
        <v>#N/A</v>
      </c>
      <c r="AE79" s="30" t="str">
        <f ca="1">IFERROR(__xludf.dummyfunction("""COMPUTED_VALUE"""),"#N/A")</f>
        <v>#N/A</v>
      </c>
      <c r="AF79" s="30" t="str">
        <f ca="1">IFERROR(__xludf.dummyfunction("""COMPUTED_VALUE"""),"#N/A")</f>
        <v>#N/A</v>
      </c>
      <c r="AG79" s="30" t="str">
        <f ca="1">IFERROR(__xludf.dummyfunction("""COMPUTED_VALUE"""),"#N/A")</f>
        <v>#N/A</v>
      </c>
    </row>
    <row r="80" spans="1:33" ht="26.4">
      <c r="A80" s="25"/>
      <c r="B80" s="26" t="s">
        <v>29</v>
      </c>
      <c r="C80" s="26" t="s">
        <v>310</v>
      </c>
      <c r="D80" s="26">
        <v>6</v>
      </c>
      <c r="E80" s="26" t="s">
        <v>422</v>
      </c>
      <c r="F80" s="28"/>
      <c r="G80" s="33" t="s">
        <v>428</v>
      </c>
      <c r="H80" s="28" t="str">
        <f ca="1">IFERROR(__xludf.dummyfunction("IFERROR(
  VLOOKUP(G80, IMPORTRANGE(""https://docs.google.com/spreadsheets/d/14deopnvwcrKtEGCKuYXdUHJbeLDZlkiSSWWT0g7x2pM/edit#gid=849066331"", ""LU List Maths (Filter)!A:B""), 2, FALSE),
  IFERROR(
    VLOOKUP(G80, IMPORTRANGE(""https://docs.google.com/s"&amp;"preadsheets/d/14deopnvwcrKtEGCKuYXdUHJbeLDZlkiSSWWT0g7x2pM/edit#gid=849066331"", ""LU List Science (Filter)!A:B""), 2, FALSE),
    ""Not Found""
  )
)
"),"Representations of sets: Rule or Set-builder form")</f>
        <v>Representations of sets: Rule or Set-builder form</v>
      </c>
      <c r="I80" s="28"/>
      <c r="J80" s="29" t="str">
        <f t="shared" si="6"/>
        <v>LU001379.001</v>
      </c>
      <c r="K80" s="29" t="str">
        <f ca="1">IFERROR(__xludf.dummyfunction("VLOOKUP(J80, IMPORTRANGE(""https://docs.google.com/spreadsheets/d/1yDAaXNsi4Mr5FtRQL4tbmSdIzhx6_m4wkOD7IG-k_eo/edit#gid=0"", ""Maths!M:N""), 2, FALSE)"),"(LU001379.001); Default - Remember")</f>
        <v>(LU001379.001); Default - Remember</v>
      </c>
      <c r="L80" s="29" t="str">
        <f t="shared" si="7"/>
        <v>LU001379.002</v>
      </c>
      <c r="M80" s="29" t="str">
        <f ca="1">IFERROR(__xludf.dummyfunction("VLOOKUP(L80, IMPORTRANGE(""https://docs.google.com/spreadsheets/d/1yDAaXNsi4Mr5FtRQL4tbmSdIzhx6_m4wkOD7IG-k_eo/edit#gid=0"", ""Maths!M:N""), 2, FALSE)"),"(LU001379.002); Default - Understand")</f>
        <v>(LU001379.002); Default - Understand</v>
      </c>
      <c r="N80" s="29" t="str">
        <f t="shared" si="8"/>
        <v>LU001379.003</v>
      </c>
      <c r="O80" s="29" t="str">
        <f ca="1">IFERROR(__xludf.dummyfunction("VLOOKUP(N80, IMPORTRANGE(""https://docs.google.com/spreadsheets/d/1yDAaXNsi4Mr5FtRQL4tbmSdIzhx6_m4wkOD7IG-k_eo/edit#gid=0"", ""Maths!M:N""), 2, FALSE)"),"(LU001379.003); Default - Apply")</f>
        <v>(LU001379.003); Default - Apply</v>
      </c>
      <c r="P80" s="29" t="str">
        <f t="shared" si="9"/>
        <v>LU001379.004</v>
      </c>
      <c r="Q80" s="29" t="str">
        <f ca="1">IFERROR(__xludf.dummyfunction("VLOOKUP(P80, IMPORTRANGE(""https://docs.google.com/spreadsheets/d/1yDAaXNsi4Mr5FtRQL4tbmSdIzhx6_m4wkOD7IG-k_eo/edit#gid=0"", ""Maths!M:N""), 2, FALSE)"),"(LU001379.004); Default - Analyse")</f>
        <v>(LU001379.004); Default - Analyse</v>
      </c>
      <c r="R80" s="29" t="str">
        <f t="shared" si="10"/>
        <v>LU001379.005</v>
      </c>
      <c r="S80" s="29" t="str">
        <f ca="1">IFERROR(__xludf.dummyfunction("VLOOKUP(R80, IMPORTRANGE(""https://docs.google.com/spreadsheets/d/1yDAaXNsi4Mr5FtRQL4tbmSdIzhx6_m4wkOD7IG-k_eo/edit#gid=0"", ""Maths!M:N""), 2, FALSE)"),"(LU001379.005); Default - Evaluate")</f>
        <v>(LU001379.005); Default - Evaluate</v>
      </c>
      <c r="T80" s="29" t="str">
        <f t="shared" si="11"/>
        <v>LU001379.006</v>
      </c>
      <c r="U80" s="29" t="str">
        <f ca="1">IFERROR(__xludf.dummyfunction("VLOOKUP(T80, IMPORTRANGE(""https://docs.google.com/spreadsheets/d/1yDAaXNsi4Mr5FtRQL4tbmSdIzhx6_m4wkOD7IG-k_eo/edit#gid=0"", ""Maths!M:N""), 2, FALSE)"),"(LU001379.006); Default - Create")</f>
        <v>(LU001379.006); Default - Create</v>
      </c>
      <c r="V80" s="16" t="str">
        <f ca="1">IFERROR(__xludf.dummyfunction("ArrayFormula(VLOOKUP(G80, IMPORTRANGE(""https://docs.google.com/spreadsheets/d/1p7R4vtkWt5VOBim4ltsDG9KTzSjrtKXsMtQGXPHyND0/edit#gid=795171502"", ""'Filter 30_05_2024'!A1:M2000""), {2, 3, 4, 5,6,7,8,9,10,11,12,13}, 0))"),"#N/A")</f>
        <v>#N/A</v>
      </c>
      <c r="W80" s="16" t="str">
        <f ca="1">IFERROR(__xludf.dummyfunction("""COMPUTED_VALUE"""),"#N/A")</f>
        <v>#N/A</v>
      </c>
      <c r="X80" s="16" t="str">
        <f ca="1">IFERROR(__xludf.dummyfunction("""COMPUTED_VALUE"""),"#N/A")</f>
        <v>#N/A</v>
      </c>
      <c r="Y80" s="16" t="str">
        <f ca="1">IFERROR(__xludf.dummyfunction("""COMPUTED_VALUE"""),"#N/A")</f>
        <v>#N/A</v>
      </c>
      <c r="Z80" s="16" t="str">
        <f ca="1">IFERROR(__xludf.dummyfunction("""COMPUTED_VALUE"""),"#N/A")</f>
        <v>#N/A</v>
      </c>
      <c r="AA80" s="30" t="str">
        <f ca="1">IFERROR(__xludf.dummyfunction("""COMPUTED_VALUE"""),"#N/A")</f>
        <v>#N/A</v>
      </c>
      <c r="AB80" s="30" t="str">
        <f ca="1">IFERROR(__xludf.dummyfunction("""COMPUTED_VALUE"""),"#N/A")</f>
        <v>#N/A</v>
      </c>
      <c r="AC80" s="30" t="str">
        <f ca="1">IFERROR(__xludf.dummyfunction("""COMPUTED_VALUE"""),"#N/A")</f>
        <v>#N/A</v>
      </c>
      <c r="AD80" s="16" t="str">
        <f ca="1">IFERROR(__xludf.dummyfunction("""COMPUTED_VALUE"""),"#N/A")</f>
        <v>#N/A</v>
      </c>
      <c r="AE80" s="30" t="str">
        <f ca="1">IFERROR(__xludf.dummyfunction("""COMPUTED_VALUE"""),"#N/A")</f>
        <v>#N/A</v>
      </c>
      <c r="AF80" s="30" t="str">
        <f ca="1">IFERROR(__xludf.dummyfunction("""COMPUTED_VALUE"""),"#N/A")</f>
        <v>#N/A</v>
      </c>
      <c r="AG80" s="30" t="str">
        <f ca="1">IFERROR(__xludf.dummyfunction("""COMPUTED_VALUE"""),"#N/A")</f>
        <v>#N/A</v>
      </c>
    </row>
    <row r="81" spans="1:33" ht="15.6">
      <c r="A81" s="25"/>
      <c r="B81" s="26" t="s">
        <v>29</v>
      </c>
      <c r="C81" s="26" t="s">
        <v>310</v>
      </c>
      <c r="D81" s="26">
        <v>6</v>
      </c>
      <c r="E81" s="26" t="s">
        <v>422</v>
      </c>
      <c r="F81" s="28" t="s">
        <v>429</v>
      </c>
      <c r="G81" s="33" t="s">
        <v>430</v>
      </c>
      <c r="H81" s="28" t="str">
        <f ca="1">IFERROR(__xludf.dummyfunction("IFERROR(
  VLOOKUP(G81, IMPORTRANGE(""https://docs.google.com/spreadsheets/d/14deopnvwcrKtEGCKuYXdUHJbeLDZlkiSSWWT0g7x2pM/edit#gid=849066331"", ""LU List Maths (Filter)!A:B""), 2, FALSE),
  IFERROR(
    VLOOKUP(G81, IMPORTRANGE(""https://docs.google.com/s"&amp;"preadsheets/d/14deopnvwcrKtEGCKuYXdUHJbeLDZlkiSSWWT0g7x2pM/edit#gid=849066331"", ""LU List Science (Filter)!A:B""), 2, FALSE),
    ""Not Found""
  )
)
"),"Types of sets : Empty set and Singleton set")</f>
        <v>Types of sets : Empty set and Singleton set</v>
      </c>
      <c r="I81" s="41"/>
      <c r="J81" s="29" t="str">
        <f t="shared" si="6"/>
        <v>LU001380.001</v>
      </c>
      <c r="K81" s="29" t="str">
        <f ca="1">IFERROR(__xludf.dummyfunction("VLOOKUP(J81, IMPORTRANGE(""https://docs.google.com/spreadsheets/d/1yDAaXNsi4Mr5FtRQL4tbmSdIzhx6_m4wkOD7IG-k_eo/edit#gid=0"", ""Maths!M:N""), 2, FALSE)"),"(LU001380.001); Default - Remember")</f>
        <v>(LU001380.001); Default - Remember</v>
      </c>
      <c r="L81" s="29" t="str">
        <f t="shared" si="7"/>
        <v>LU001380.002</v>
      </c>
      <c r="M81" s="29" t="str">
        <f ca="1">IFERROR(__xludf.dummyfunction("VLOOKUP(L81, IMPORTRANGE(""https://docs.google.com/spreadsheets/d/1yDAaXNsi4Mr5FtRQL4tbmSdIzhx6_m4wkOD7IG-k_eo/edit#gid=0"", ""Maths!M:N""), 2, FALSE)"),"(LU001380.002); Default - Understand")</f>
        <v>(LU001380.002); Default - Understand</v>
      </c>
      <c r="N81" s="29" t="str">
        <f t="shared" si="8"/>
        <v>LU001380.003</v>
      </c>
      <c r="O81" s="29" t="str">
        <f ca="1">IFERROR(__xludf.dummyfunction("VLOOKUP(N81, IMPORTRANGE(""https://docs.google.com/spreadsheets/d/1yDAaXNsi4Mr5FtRQL4tbmSdIzhx6_m4wkOD7IG-k_eo/edit#gid=0"", ""Maths!M:N""), 2, FALSE)"),"(LU001380.003); Default - Apply")</f>
        <v>(LU001380.003); Default - Apply</v>
      </c>
      <c r="P81" s="29" t="str">
        <f t="shared" si="9"/>
        <v>LU001380.004</v>
      </c>
      <c r="Q81" s="29" t="str">
        <f ca="1">IFERROR(__xludf.dummyfunction("VLOOKUP(P81, IMPORTRANGE(""https://docs.google.com/spreadsheets/d/1yDAaXNsi4Mr5FtRQL4tbmSdIzhx6_m4wkOD7IG-k_eo/edit#gid=0"", ""Maths!M:N""), 2, FALSE)"),"(LU001380.004); Default - Analyse")</f>
        <v>(LU001380.004); Default - Analyse</v>
      </c>
      <c r="R81" s="29" t="str">
        <f t="shared" si="10"/>
        <v>LU001380.005</v>
      </c>
      <c r="S81" s="29" t="str">
        <f ca="1">IFERROR(__xludf.dummyfunction("VLOOKUP(R81, IMPORTRANGE(""https://docs.google.com/spreadsheets/d/1yDAaXNsi4Mr5FtRQL4tbmSdIzhx6_m4wkOD7IG-k_eo/edit#gid=0"", ""Maths!M:N""), 2, FALSE)"),"(LU001380.005); Default - Evaluate")</f>
        <v>(LU001380.005); Default - Evaluate</v>
      </c>
      <c r="T81" s="29" t="str">
        <f t="shared" si="11"/>
        <v>LU001380.006</v>
      </c>
      <c r="U81" s="29" t="str">
        <f ca="1">IFERROR(__xludf.dummyfunction("VLOOKUP(T81, IMPORTRANGE(""https://docs.google.com/spreadsheets/d/1yDAaXNsi4Mr5FtRQL4tbmSdIzhx6_m4wkOD7IG-k_eo/edit#gid=0"", ""Maths!M:N""), 2, FALSE)"),"(LU001380.006); Default - Create")</f>
        <v>(LU001380.006); Default - Create</v>
      </c>
      <c r="V81" s="16" t="str">
        <f ca="1">IFERROR(__xludf.dummyfunction("ArrayFormula(VLOOKUP(G81, IMPORTRANGE(""https://docs.google.com/spreadsheets/d/1p7R4vtkWt5VOBim4ltsDG9KTzSjrtKXsMtQGXPHyND0/edit#gid=795171502"", ""'Filter 30_05_2024'!A1:M2000""), {2, 3, 4, 5,6,7,8,9,10,11,12,13}, 0))"),"#N/A")</f>
        <v>#N/A</v>
      </c>
      <c r="W81" s="16" t="str">
        <f ca="1">IFERROR(__xludf.dummyfunction("""COMPUTED_VALUE"""),"#N/A")</f>
        <v>#N/A</v>
      </c>
      <c r="X81" s="16" t="str">
        <f ca="1">IFERROR(__xludf.dummyfunction("""COMPUTED_VALUE"""),"#N/A")</f>
        <v>#N/A</v>
      </c>
      <c r="Y81" s="16" t="str">
        <f ca="1">IFERROR(__xludf.dummyfunction("""COMPUTED_VALUE"""),"#N/A")</f>
        <v>#N/A</v>
      </c>
      <c r="Z81" s="16" t="str">
        <f ca="1">IFERROR(__xludf.dummyfunction("""COMPUTED_VALUE"""),"#N/A")</f>
        <v>#N/A</v>
      </c>
      <c r="AA81" s="30" t="str">
        <f ca="1">IFERROR(__xludf.dummyfunction("""COMPUTED_VALUE"""),"#N/A")</f>
        <v>#N/A</v>
      </c>
      <c r="AB81" s="30" t="str">
        <f ca="1">IFERROR(__xludf.dummyfunction("""COMPUTED_VALUE"""),"#N/A")</f>
        <v>#N/A</v>
      </c>
      <c r="AC81" s="30" t="str">
        <f ca="1">IFERROR(__xludf.dummyfunction("""COMPUTED_VALUE"""),"#N/A")</f>
        <v>#N/A</v>
      </c>
      <c r="AD81" s="16" t="str">
        <f ca="1">IFERROR(__xludf.dummyfunction("""COMPUTED_VALUE"""),"#N/A")</f>
        <v>#N/A</v>
      </c>
      <c r="AE81" s="30" t="str">
        <f ca="1">IFERROR(__xludf.dummyfunction("""COMPUTED_VALUE"""),"#N/A")</f>
        <v>#N/A</v>
      </c>
      <c r="AF81" s="30" t="str">
        <f ca="1">IFERROR(__xludf.dummyfunction("""COMPUTED_VALUE"""),"#N/A")</f>
        <v>#N/A</v>
      </c>
      <c r="AG81" s="30" t="str">
        <f ca="1">IFERROR(__xludf.dummyfunction("""COMPUTED_VALUE"""),"#N/A")</f>
        <v>#N/A</v>
      </c>
    </row>
    <row r="82" spans="1:33" ht="15.6">
      <c r="A82" s="25"/>
      <c r="B82" s="26" t="s">
        <v>29</v>
      </c>
      <c r="C82" s="26" t="s">
        <v>310</v>
      </c>
      <c r="D82" s="26">
        <v>6</v>
      </c>
      <c r="E82" s="26" t="s">
        <v>422</v>
      </c>
      <c r="F82" s="28"/>
      <c r="G82" s="33" t="s">
        <v>431</v>
      </c>
      <c r="H82" s="28" t="str">
        <f ca="1">IFERROR(__xludf.dummyfunction("IFERROR(
  VLOOKUP(G82, IMPORTRANGE(""https://docs.google.com/spreadsheets/d/14deopnvwcrKtEGCKuYXdUHJbeLDZlkiSSWWT0g7x2pM/edit#gid=849066331"", ""LU List Maths (Filter)!A:B""), 2, FALSE),
  IFERROR(
    VLOOKUP(G82, IMPORTRANGE(""https://docs.google.com/s"&amp;"preadsheets/d/14deopnvwcrKtEGCKuYXdUHJbeLDZlkiSSWWT0g7x2pM/edit#gid=849066331"", ""LU List Science (Filter)!A:B""), 2, FALSE),
    ""Not Found""
  )
)
"),"Types of sets: Finitie and Infinite Sets")</f>
        <v>Types of sets: Finitie and Infinite Sets</v>
      </c>
      <c r="I82" s="28"/>
      <c r="J82" s="29" t="str">
        <f t="shared" si="6"/>
        <v>LU001381.001</v>
      </c>
      <c r="K82" s="29" t="str">
        <f ca="1">IFERROR(__xludf.dummyfunction("VLOOKUP(J82, IMPORTRANGE(""https://docs.google.com/spreadsheets/d/1yDAaXNsi4Mr5FtRQL4tbmSdIzhx6_m4wkOD7IG-k_eo/edit#gid=0"", ""Maths!M:N""), 2, FALSE)"),"(LU001381.001); Default - Remember")</f>
        <v>(LU001381.001); Default - Remember</v>
      </c>
      <c r="L82" s="29" t="str">
        <f t="shared" si="7"/>
        <v>LU001381.002</v>
      </c>
      <c r="M82" s="29" t="str">
        <f ca="1">IFERROR(__xludf.dummyfunction("VLOOKUP(L82, IMPORTRANGE(""https://docs.google.com/spreadsheets/d/1yDAaXNsi4Mr5FtRQL4tbmSdIzhx6_m4wkOD7IG-k_eo/edit#gid=0"", ""Maths!M:N""), 2, FALSE)"),"(LU001381.002); Default - Understand")</f>
        <v>(LU001381.002); Default - Understand</v>
      </c>
      <c r="N82" s="29" t="str">
        <f t="shared" si="8"/>
        <v>LU001381.003</v>
      </c>
      <c r="O82" s="29" t="str">
        <f ca="1">IFERROR(__xludf.dummyfunction("VLOOKUP(N82, IMPORTRANGE(""https://docs.google.com/spreadsheets/d/1yDAaXNsi4Mr5FtRQL4tbmSdIzhx6_m4wkOD7IG-k_eo/edit#gid=0"", ""Maths!M:N""), 2, FALSE)"),"(LU001381.003); Default - Apply")</f>
        <v>(LU001381.003); Default - Apply</v>
      </c>
      <c r="P82" s="29" t="str">
        <f t="shared" si="9"/>
        <v>LU001381.004</v>
      </c>
      <c r="Q82" s="29" t="str">
        <f ca="1">IFERROR(__xludf.dummyfunction("VLOOKUP(P82, IMPORTRANGE(""https://docs.google.com/spreadsheets/d/1yDAaXNsi4Mr5FtRQL4tbmSdIzhx6_m4wkOD7IG-k_eo/edit#gid=0"", ""Maths!M:N""), 2, FALSE)"),"(LU001381.004); Default - Analyse")</f>
        <v>(LU001381.004); Default - Analyse</v>
      </c>
      <c r="R82" s="29" t="str">
        <f t="shared" si="10"/>
        <v>LU001381.005</v>
      </c>
      <c r="S82" s="29" t="str">
        <f ca="1">IFERROR(__xludf.dummyfunction("VLOOKUP(R82, IMPORTRANGE(""https://docs.google.com/spreadsheets/d/1yDAaXNsi4Mr5FtRQL4tbmSdIzhx6_m4wkOD7IG-k_eo/edit#gid=0"", ""Maths!M:N""), 2, FALSE)"),"(LU001381.005); Default - Evaluate")</f>
        <v>(LU001381.005); Default - Evaluate</v>
      </c>
      <c r="T82" s="29" t="str">
        <f t="shared" si="11"/>
        <v>LU001381.006</v>
      </c>
      <c r="U82" s="29" t="str">
        <f ca="1">IFERROR(__xludf.dummyfunction("VLOOKUP(T82, IMPORTRANGE(""https://docs.google.com/spreadsheets/d/1yDAaXNsi4Mr5FtRQL4tbmSdIzhx6_m4wkOD7IG-k_eo/edit#gid=0"", ""Maths!M:N""), 2, FALSE)"),"(LU001381.006); Default - Create")</f>
        <v>(LU001381.006); Default - Create</v>
      </c>
      <c r="V82" s="16" t="str">
        <f ca="1">IFERROR(__xludf.dummyfunction("ArrayFormula(VLOOKUP(G82, IMPORTRANGE(""https://docs.google.com/spreadsheets/d/1p7R4vtkWt5VOBim4ltsDG9KTzSjrtKXsMtQGXPHyND0/edit#gid=795171502"", ""'Filter 30_05_2024'!A1:M2000""), {2, 3, 4, 5,6,7,8,9,10,11,12,13}, 0))"),"#N/A")</f>
        <v>#N/A</v>
      </c>
      <c r="W82" s="16" t="str">
        <f ca="1">IFERROR(__xludf.dummyfunction("""COMPUTED_VALUE"""),"#N/A")</f>
        <v>#N/A</v>
      </c>
      <c r="X82" s="16" t="str">
        <f ca="1">IFERROR(__xludf.dummyfunction("""COMPUTED_VALUE"""),"#N/A")</f>
        <v>#N/A</v>
      </c>
      <c r="Y82" s="16" t="str">
        <f ca="1">IFERROR(__xludf.dummyfunction("""COMPUTED_VALUE"""),"#N/A")</f>
        <v>#N/A</v>
      </c>
      <c r="Z82" s="16" t="str">
        <f ca="1">IFERROR(__xludf.dummyfunction("""COMPUTED_VALUE"""),"#N/A")</f>
        <v>#N/A</v>
      </c>
      <c r="AA82" s="30" t="str">
        <f ca="1">IFERROR(__xludf.dummyfunction("""COMPUTED_VALUE"""),"#N/A")</f>
        <v>#N/A</v>
      </c>
      <c r="AB82" s="30" t="str">
        <f ca="1">IFERROR(__xludf.dummyfunction("""COMPUTED_VALUE"""),"#N/A")</f>
        <v>#N/A</v>
      </c>
      <c r="AC82" s="30" t="str">
        <f ca="1">IFERROR(__xludf.dummyfunction("""COMPUTED_VALUE"""),"#N/A")</f>
        <v>#N/A</v>
      </c>
      <c r="AD82" s="16" t="str">
        <f ca="1">IFERROR(__xludf.dummyfunction("""COMPUTED_VALUE"""),"#N/A")</f>
        <v>#N/A</v>
      </c>
      <c r="AE82" s="30" t="str">
        <f ca="1">IFERROR(__xludf.dummyfunction("""COMPUTED_VALUE"""),"#N/A")</f>
        <v>#N/A</v>
      </c>
      <c r="AF82" s="30" t="str">
        <f ca="1">IFERROR(__xludf.dummyfunction("""COMPUTED_VALUE"""),"#N/A")</f>
        <v>#N/A</v>
      </c>
      <c r="AG82" s="30" t="str">
        <f ca="1">IFERROR(__xludf.dummyfunction("""COMPUTED_VALUE"""),"#N/A")</f>
        <v>#N/A</v>
      </c>
    </row>
    <row r="83" spans="1:33" ht="15.6">
      <c r="A83" s="25"/>
      <c r="B83" s="26" t="s">
        <v>29</v>
      </c>
      <c r="C83" s="26" t="s">
        <v>310</v>
      </c>
      <c r="D83" s="26">
        <v>6</v>
      </c>
      <c r="E83" s="26" t="s">
        <v>422</v>
      </c>
      <c r="F83" s="32" t="s">
        <v>432</v>
      </c>
      <c r="G83" s="33" t="s">
        <v>433</v>
      </c>
      <c r="H83" s="28" t="str">
        <f ca="1">IFERROR(__xludf.dummyfunction("IFERROR(
  VLOOKUP(G83, IMPORTRANGE(""https://docs.google.com/spreadsheets/d/14deopnvwcrKtEGCKuYXdUHJbeLDZlkiSSWWT0g7x2pM/edit#gid=849066331"", ""LU List Maths (Filter)!A:B""), 2, FALSE),
  IFERROR(
    VLOOKUP(G83, IMPORTRANGE(""https://docs.google.com/s"&amp;"preadsheets/d/14deopnvwcrKtEGCKuYXdUHJbeLDZlkiSSWWT0g7x2pM/edit#gid=849066331"", ""LU List Science (Filter)!A:B""), 2, FALSE),
    ""Not Found""
  )
)
"),"Cardinal number of a set")</f>
        <v>Cardinal number of a set</v>
      </c>
      <c r="I83" s="41"/>
      <c r="J83" s="29" t="str">
        <f t="shared" si="6"/>
        <v>LU001382.001</v>
      </c>
      <c r="K83" s="29" t="str">
        <f ca="1">IFERROR(__xludf.dummyfunction("VLOOKUP(J83, IMPORTRANGE(""https://docs.google.com/spreadsheets/d/1yDAaXNsi4Mr5FtRQL4tbmSdIzhx6_m4wkOD7IG-k_eo/edit#gid=0"", ""Maths!M:N""), 2, FALSE)"),"(LU001382.001); Default - Remember")</f>
        <v>(LU001382.001); Default - Remember</v>
      </c>
      <c r="L83" s="29" t="str">
        <f t="shared" si="7"/>
        <v>LU001382.002</v>
      </c>
      <c r="M83" s="29" t="str">
        <f ca="1">IFERROR(__xludf.dummyfunction("VLOOKUP(L83, IMPORTRANGE(""https://docs.google.com/spreadsheets/d/1yDAaXNsi4Mr5FtRQL4tbmSdIzhx6_m4wkOD7IG-k_eo/edit#gid=0"", ""Maths!M:N""), 2, FALSE)"),"(LU001382.002); Default - Understand")</f>
        <v>(LU001382.002); Default - Understand</v>
      </c>
      <c r="N83" s="29" t="str">
        <f t="shared" si="8"/>
        <v>LU001382.003</v>
      </c>
      <c r="O83" s="29" t="str">
        <f ca="1">IFERROR(__xludf.dummyfunction("VLOOKUP(N83, IMPORTRANGE(""https://docs.google.com/spreadsheets/d/1yDAaXNsi4Mr5FtRQL4tbmSdIzhx6_m4wkOD7IG-k_eo/edit#gid=0"", ""Maths!M:N""), 2, FALSE)"),"(LU001382.003); Default - Apply")</f>
        <v>(LU001382.003); Default - Apply</v>
      </c>
      <c r="P83" s="29" t="str">
        <f t="shared" si="9"/>
        <v>LU001382.004</v>
      </c>
      <c r="Q83" s="29" t="str">
        <f ca="1">IFERROR(__xludf.dummyfunction("VLOOKUP(P83, IMPORTRANGE(""https://docs.google.com/spreadsheets/d/1yDAaXNsi4Mr5FtRQL4tbmSdIzhx6_m4wkOD7IG-k_eo/edit#gid=0"", ""Maths!M:N""), 2, FALSE)"),"(LU001382.004); Default - Analyse")</f>
        <v>(LU001382.004); Default - Analyse</v>
      </c>
      <c r="R83" s="29" t="str">
        <f t="shared" si="10"/>
        <v>LU001382.005</v>
      </c>
      <c r="S83" s="29" t="str">
        <f ca="1">IFERROR(__xludf.dummyfunction("VLOOKUP(R83, IMPORTRANGE(""https://docs.google.com/spreadsheets/d/1yDAaXNsi4Mr5FtRQL4tbmSdIzhx6_m4wkOD7IG-k_eo/edit#gid=0"", ""Maths!M:N""), 2, FALSE)"),"(LU001382.005); Default - Evaluate")</f>
        <v>(LU001382.005); Default - Evaluate</v>
      </c>
      <c r="T83" s="29" t="str">
        <f t="shared" si="11"/>
        <v>LU001382.006</v>
      </c>
      <c r="U83" s="29" t="str">
        <f ca="1">IFERROR(__xludf.dummyfunction("VLOOKUP(T83, IMPORTRANGE(""https://docs.google.com/spreadsheets/d/1yDAaXNsi4Mr5FtRQL4tbmSdIzhx6_m4wkOD7IG-k_eo/edit#gid=0"", ""Maths!M:N""), 2, FALSE)"),"(LU001382.006); Default - Create")</f>
        <v>(LU001382.006); Default - Create</v>
      </c>
      <c r="V83" s="16" t="str">
        <f ca="1">IFERROR(__xludf.dummyfunction("ArrayFormula(VLOOKUP(G83, IMPORTRANGE(""https://docs.google.com/spreadsheets/d/1p7R4vtkWt5VOBim4ltsDG9KTzSjrtKXsMtQGXPHyND0/edit#gid=795171502"", ""'Filter 30_05_2024'!A1:M2000""), {2, 3, 4, 5,6,7,8,9,10,11,12,13}, 0))"),"#N/A")</f>
        <v>#N/A</v>
      </c>
      <c r="W83" s="16" t="str">
        <f ca="1">IFERROR(__xludf.dummyfunction("""COMPUTED_VALUE"""),"#N/A")</f>
        <v>#N/A</v>
      </c>
      <c r="X83" s="16" t="str">
        <f ca="1">IFERROR(__xludf.dummyfunction("""COMPUTED_VALUE"""),"#N/A")</f>
        <v>#N/A</v>
      </c>
      <c r="Y83" s="16" t="str">
        <f ca="1">IFERROR(__xludf.dummyfunction("""COMPUTED_VALUE"""),"#N/A")</f>
        <v>#N/A</v>
      </c>
      <c r="Z83" s="16" t="str">
        <f ca="1">IFERROR(__xludf.dummyfunction("""COMPUTED_VALUE"""),"#N/A")</f>
        <v>#N/A</v>
      </c>
      <c r="AA83" s="30" t="str">
        <f ca="1">IFERROR(__xludf.dummyfunction("""COMPUTED_VALUE"""),"#N/A")</f>
        <v>#N/A</v>
      </c>
      <c r="AB83" s="30" t="str">
        <f ca="1">IFERROR(__xludf.dummyfunction("""COMPUTED_VALUE"""),"#N/A")</f>
        <v>#N/A</v>
      </c>
      <c r="AC83" s="30" t="str">
        <f ca="1">IFERROR(__xludf.dummyfunction("""COMPUTED_VALUE"""),"#N/A")</f>
        <v>#N/A</v>
      </c>
      <c r="AD83" s="16" t="str">
        <f ca="1">IFERROR(__xludf.dummyfunction("""COMPUTED_VALUE"""),"#N/A")</f>
        <v>#N/A</v>
      </c>
      <c r="AE83" s="30" t="str">
        <f ca="1">IFERROR(__xludf.dummyfunction("""COMPUTED_VALUE"""),"#N/A")</f>
        <v>#N/A</v>
      </c>
      <c r="AF83" s="30" t="str">
        <f ca="1">IFERROR(__xludf.dummyfunction("""COMPUTED_VALUE"""),"#N/A")</f>
        <v>#N/A</v>
      </c>
      <c r="AG83" s="30" t="str">
        <f ca="1">IFERROR(__xludf.dummyfunction("""COMPUTED_VALUE"""),"#N/A")</f>
        <v>#N/A</v>
      </c>
    </row>
    <row r="84" spans="1:33" ht="13.8">
      <c r="A84" s="25"/>
      <c r="B84" s="26" t="s">
        <v>29</v>
      </c>
      <c r="C84" s="26" t="s">
        <v>310</v>
      </c>
      <c r="D84" s="26">
        <v>6</v>
      </c>
      <c r="E84" s="27" t="s">
        <v>434</v>
      </c>
      <c r="F84" s="28" t="s">
        <v>435</v>
      </c>
      <c r="G84" s="26" t="s">
        <v>436</v>
      </c>
      <c r="H84" s="28" t="str">
        <f ca="1">IFERROR(__xludf.dummyfunction("IFERROR(
  VLOOKUP(G84, IMPORTRANGE(""https://docs.google.com/spreadsheets/d/14deopnvwcrKtEGCKuYXdUHJbeLDZlkiSSWWT0g7x2pM/edit#gid=849066331"", ""LU List Maths (Filter)!A:B""), 2, FALSE),
  IFERROR(
    VLOOKUP(G84, IMPORTRANGE(""https://docs.google.com/s"&amp;"preadsheets/d/14deopnvwcrKtEGCKuYXdUHJbeLDZlkiSSWWT0g7x2pM/edit#gid=849066331"", ""LU List Science (Filter)!A:B""), 2, FALSE),
    ""Not Found""
  )
)
"),"Definition of fraction")</f>
        <v>Definition of fraction</v>
      </c>
      <c r="I84" s="28"/>
      <c r="J84" s="29" t="str">
        <f t="shared" si="6"/>
        <v>LU000278.001</v>
      </c>
      <c r="K84" s="29" t="str">
        <f ca="1">IFERROR(__xludf.dummyfunction("VLOOKUP(J84, IMPORTRANGE(""https://docs.google.com/spreadsheets/d/1yDAaXNsi4Mr5FtRQL4tbmSdIzhx6_m4wkOD7IG-k_eo/edit#gid=0"", ""Maths!M:N""), 2, FALSE)"),"Describe a fraction and its components. (numerator, fractional bar, and denominator)")</f>
        <v>Describe a fraction and its components. (numerator, fractional bar, and denominator)</v>
      </c>
      <c r="L84" s="29" t="str">
        <f t="shared" si="7"/>
        <v>LU000278.002</v>
      </c>
      <c r="M84" s="29" t="str">
        <f ca="1">IFERROR(__xludf.dummyfunction("VLOOKUP(L84, IMPORTRANGE(""https://docs.google.com/spreadsheets/d/1yDAaXNsi4Mr5FtRQL4tbmSdIzhx6_m4wkOD7IG-k_eo/edit#gid=0"", ""Maths!M:N""), 2, FALSE)"),"Identify the numerator and denominator of a given fraction.")</f>
        <v>Identify the numerator and denominator of a given fraction.</v>
      </c>
      <c r="N84" s="29" t="str">
        <f t="shared" si="8"/>
        <v>LU000278.003</v>
      </c>
      <c r="O84" s="29" t="str">
        <f ca="1">IFERROR(__xludf.dummyfunction("VLOOKUP(N84, IMPORTRANGE(""https://docs.google.com/spreadsheets/d/1yDAaXNsi4Mr5FtRQL4tbmSdIzhx6_m4wkOD7IG-k_eo/edit#gid=0"", ""Maths!M:N""), 2, FALSE)"),"Describe real-life situations that can be expressed using fractions.")</f>
        <v>Describe real-life situations that can be expressed using fractions.</v>
      </c>
      <c r="P84" s="29" t="str">
        <f t="shared" si="9"/>
        <v>LU000278.004</v>
      </c>
      <c r="Q84" s="29" t="str">
        <f ca="1">IFERROR(__xludf.dummyfunction("VLOOKUP(P84, IMPORTRANGE(""https://docs.google.com/spreadsheets/d/1yDAaXNsi4Mr5FtRQL4tbmSdIzhx6_m4wkOD7IG-k_eo/edit#gid=0"", ""Maths!M:N""), 2, FALSE)"),"Analyse the relationship between the numerator and denominator in a fraction to determine its value and size relative to a whole.")</f>
        <v>Analyse the relationship between the numerator and denominator in a fraction to determine its value and size relative to a whole.</v>
      </c>
      <c r="R84" s="29" t="str">
        <f t="shared" si="10"/>
        <v>LU000278.005</v>
      </c>
      <c r="S84" s="29" t="str">
        <f ca="1">IFERROR(__xludf.dummyfunction("VLOOKUP(R84, IMPORTRANGE(""https://docs.google.com/spreadsheets/d/1yDAaXNsi4Mr5FtRQL4tbmSdIzhx6_m4wkOD7IG-k_eo/edit#gid=0"", ""Maths!M:N""), 2, FALSE)"),"Evaluate the significance of unit fractions and their role in representing the smallest parts of a whole.")</f>
        <v>Evaluate the significance of unit fractions and their role in representing the smallest parts of a whole.</v>
      </c>
      <c r="T84" s="29" t="str">
        <f t="shared" si="11"/>
        <v>LU000278.006</v>
      </c>
      <c r="U84" s="29" t="str">
        <f ca="1">IFERROR(__xludf.dummyfunction("VLOOKUP(T84, IMPORTRANGE(""https://docs.google.com/spreadsheets/d/1yDAaXNsi4Mr5FtRQL4tbmSdIzhx6_m4wkOD7IG-k_eo/edit#gid=0"", ""Maths!M:N""), 2, FALSE)"),"#N/A")</f>
        <v>#N/A</v>
      </c>
      <c r="V84" s="16">
        <f ca="1">IFERROR(__xludf.dummyfunction("ArrayFormula(VLOOKUP(G84, IMPORTRANGE(""https://docs.google.com/spreadsheets/d/1p7R4vtkWt5VOBim4ltsDG9KTzSjrtKXsMtQGXPHyND0/edit#gid=795171502"", ""'Filter 30_05_2024'!A1:M2000""), {2, 3, 4, 5,6,7,8,9,10,11,12,13}, 0))"),7)</f>
        <v>7</v>
      </c>
      <c r="W84" s="16">
        <f ca="1">IFERROR(__xludf.dummyfunction("""COMPUTED_VALUE"""),10)</f>
        <v>10</v>
      </c>
      <c r="X84" s="16">
        <f ca="1">IFERROR(__xludf.dummyfunction("""COMPUTED_VALUE"""),2)</f>
        <v>2</v>
      </c>
      <c r="Y84" s="16">
        <f ca="1">IFERROR(__xludf.dummyfunction("""COMPUTED_VALUE"""),19)</f>
        <v>19</v>
      </c>
      <c r="Z84" s="16">
        <f ca="1">IFERROR(__xludf.dummyfunction("""COMPUTED_VALUE"""),4)</f>
        <v>4</v>
      </c>
      <c r="AA84" s="30">
        <f ca="1">IFERROR(__xludf.dummyfunction("""COMPUTED_VALUE"""),3)</f>
        <v>3</v>
      </c>
      <c r="AB84" s="30">
        <f ca="1">IFERROR(__xludf.dummyfunction("""COMPUTED_VALUE"""),1)</f>
        <v>1</v>
      </c>
      <c r="AC84" s="30">
        <f ca="1">IFERROR(__xludf.dummyfunction("""COMPUTED_VALUE"""),8)</f>
        <v>8</v>
      </c>
      <c r="AD84" s="16"/>
      <c r="AE84" s="30"/>
      <c r="AF84" s="30"/>
      <c r="AG84" s="30"/>
    </row>
    <row r="85" spans="1:33" ht="13.8">
      <c r="A85" s="25"/>
      <c r="B85" s="26" t="s">
        <v>29</v>
      </c>
      <c r="C85" s="26" t="s">
        <v>310</v>
      </c>
      <c r="D85" s="26">
        <v>6</v>
      </c>
      <c r="E85" s="27" t="s">
        <v>434</v>
      </c>
      <c r="F85" s="28" t="s">
        <v>437</v>
      </c>
      <c r="G85" s="26" t="s">
        <v>438</v>
      </c>
      <c r="H85" s="28" t="str">
        <f ca="1">IFERROR(__xludf.dummyfunction("IFERROR(
  VLOOKUP(G85, IMPORTRANGE(""https://docs.google.com/spreadsheets/d/14deopnvwcrKtEGCKuYXdUHJbeLDZlkiSSWWT0g7x2pM/edit#gid=849066331"", ""LU List Maths (Filter)!A:B""), 2, FALSE),
  IFERROR(
    VLOOKUP(G85, IMPORTRANGE(""https://docs.google.com/s"&amp;"preadsheets/d/14deopnvwcrKtEGCKuYXdUHJbeLDZlkiSSWWT0g7x2pM/edit#gid=849066331"", ""LU List Science (Filter)!A:B""), 2, FALSE),
    ""Not Found""
  )
)
"),"Representation of fractions on a number line")</f>
        <v>Representation of fractions on a number line</v>
      </c>
      <c r="I85" s="28"/>
      <c r="J85" s="29" t="str">
        <f t="shared" si="6"/>
        <v>LU000280.001</v>
      </c>
      <c r="K85" s="29" t="str">
        <f ca="1">IFERROR(__xludf.dummyfunction("VLOOKUP(J85, IMPORTRANGE(""https://docs.google.com/spreadsheets/d/1yDAaXNsi4Mr5FtRQL4tbmSdIzhx6_m4wkOD7IG-k_eo/edit#gid=0"", ""Maths!M:N""), 2, FALSE)"),"Recall the concept of representing fractions on a number line using divisions between whole numbers.")</f>
        <v>Recall the concept of representing fractions on a number line using divisions between whole numbers.</v>
      </c>
      <c r="L85" s="29" t="str">
        <f t="shared" si="7"/>
        <v>LU000280.002</v>
      </c>
      <c r="M85" s="29" t="str">
        <f ca="1">IFERROR(__xludf.dummyfunction("VLOOKUP(L85, IMPORTRANGE(""https://docs.google.com/spreadsheets/d/1yDAaXNsi4Mr5FtRQL4tbmSdIzhx6_m4wkOD7IG-k_eo/edit#gid=0"", ""Maths!M:N""), 2, FALSE)"),"Identify fractions on a number line.")</f>
        <v>Identify fractions on a number line.</v>
      </c>
      <c r="N85" s="29" t="str">
        <f t="shared" si="8"/>
        <v>LU000280.003</v>
      </c>
      <c r="O85" s="29" t="str">
        <f ca="1">IFERROR(__xludf.dummyfunction("VLOOKUP(N85, IMPORTRANGE(""https://docs.google.com/spreadsheets/d/1yDAaXNsi4Mr5FtRQL4tbmSdIzhx6_m4wkOD7IG-k_eo/edit#gid=0"", ""Maths!M:N""), 2, FALSE)"),"Represent fractions on the number line.")</f>
        <v>Represent fractions on the number line.</v>
      </c>
      <c r="P85" s="29" t="str">
        <f t="shared" si="9"/>
        <v>LU000280.004</v>
      </c>
      <c r="Q85" s="29" t="str">
        <f ca="1">IFERROR(__xludf.dummyfunction("VLOOKUP(P85, IMPORTRANGE(""https://docs.google.com/spreadsheets/d/1yDAaXNsi4Mr5FtRQL4tbmSdIzhx6_m4wkOD7IG-k_eo/edit#gid=0"", ""Maths!M:N""), 2, FALSE)"),"Analyse the relationship between the position of fractions on a number line and their numerical values.")</f>
        <v>Analyse the relationship between the position of fractions on a number line and their numerical values.</v>
      </c>
      <c r="R85" s="29" t="str">
        <f t="shared" si="10"/>
        <v>LU000280.005</v>
      </c>
      <c r="S85" s="29" t="str">
        <f ca="1">IFERROR(__xludf.dummyfunction("VLOOKUP(R85, IMPORTRANGE(""https://docs.google.com/spreadsheets/d/1yDAaXNsi4Mr5FtRQL4tbmSdIzhx6_m4wkOD7IG-k_eo/edit#gid=0"", ""Maths!M:N""), 2, FALSE)"),"#N/A")</f>
        <v>#N/A</v>
      </c>
      <c r="T85" s="29" t="str">
        <f t="shared" si="11"/>
        <v>LU000280.006</v>
      </c>
      <c r="U85" s="29" t="str">
        <f ca="1">IFERROR(__xludf.dummyfunction("VLOOKUP(T85, IMPORTRANGE(""https://docs.google.com/spreadsheets/d/1yDAaXNsi4Mr5FtRQL4tbmSdIzhx6_m4wkOD7IG-k_eo/edit#gid=0"", ""Maths!M:N""), 2, FALSE)"),"#N/A")</f>
        <v>#N/A</v>
      </c>
      <c r="V85" s="16">
        <f ca="1">IFERROR(__xludf.dummyfunction("ArrayFormula(VLOOKUP(G85, IMPORTRANGE(""https://docs.google.com/spreadsheets/d/1p7R4vtkWt5VOBim4ltsDG9KTzSjrtKXsMtQGXPHyND0/edit#gid=795171502"", ""'Filter 30_05_2024'!A1:M2000""), {2, 3, 4, 5,6,7,8,9,10,11,12,13}, 0))"),7)</f>
        <v>7</v>
      </c>
      <c r="W85" s="16">
        <f ca="1">IFERROR(__xludf.dummyfunction("""COMPUTED_VALUE"""),6)</f>
        <v>6</v>
      </c>
      <c r="X85" s="16">
        <f ca="1">IFERROR(__xludf.dummyfunction("""COMPUTED_VALUE"""),6)</f>
        <v>6</v>
      </c>
      <c r="Y85" s="16">
        <f ca="1">IFERROR(__xludf.dummyfunction("""COMPUTED_VALUE"""),19)</f>
        <v>19</v>
      </c>
      <c r="Z85" s="16">
        <f ca="1">IFERROR(__xludf.dummyfunction("""COMPUTED_VALUE"""),6)</f>
        <v>6</v>
      </c>
      <c r="AA85" s="30">
        <f ca="1">IFERROR(__xludf.dummyfunction("""COMPUTED_VALUE"""),3)</f>
        <v>3</v>
      </c>
      <c r="AB85" s="30">
        <f ca="1">IFERROR(__xludf.dummyfunction("""COMPUTED_VALUE"""),1)</f>
        <v>1</v>
      </c>
      <c r="AC85" s="30">
        <f ca="1">IFERROR(__xludf.dummyfunction("""COMPUTED_VALUE"""),10)</f>
        <v>10</v>
      </c>
      <c r="AD85" s="16"/>
      <c r="AE85" s="30"/>
      <c r="AF85" s="30"/>
      <c r="AG85" s="30"/>
    </row>
    <row r="86" spans="1:33" ht="26.4">
      <c r="A86" s="25"/>
      <c r="B86" s="26" t="s">
        <v>29</v>
      </c>
      <c r="C86" s="26" t="s">
        <v>310</v>
      </c>
      <c r="D86" s="26">
        <v>6</v>
      </c>
      <c r="E86" s="27" t="s">
        <v>434</v>
      </c>
      <c r="F86" s="28"/>
      <c r="G86" s="26" t="s">
        <v>439</v>
      </c>
      <c r="H86" s="28" t="str">
        <f ca="1">IFERROR(__xludf.dummyfunction("IFERROR(
  VLOOKUP(G86, IMPORTRANGE(""https://docs.google.com/spreadsheets/d/14deopnvwcrKtEGCKuYXdUHJbeLDZlkiSSWWT0g7x2pM/edit#gid=849066331"", ""LU List Maths (Filter)!A:B""), 2, FALSE),
  IFERROR(
    VLOOKUP(G86, IMPORTRANGE(""https://docs.google.com/s"&amp;"preadsheets/d/14deopnvwcrKtEGCKuYXdUHJbeLDZlkiSSWWT0g7x2pM/edit#gid=849066331"", ""LU List Science (Filter)!A:B""), 2, FALSE),
    ""Not Found""
  )
)
"),"Represent fractions using numbers, figures or words")</f>
        <v>Represent fractions using numbers, figures or words</v>
      </c>
      <c r="I86" s="28"/>
      <c r="J86" s="29" t="str">
        <f t="shared" si="6"/>
        <v>LU000279.001</v>
      </c>
      <c r="K86" s="29" t="str">
        <f ca="1">IFERROR(__xludf.dummyfunction("VLOOKUP(J86, IMPORTRANGE(""https://docs.google.com/spreadsheets/d/1yDAaXNsi4Mr5FtRQL4tbmSdIzhx6_m4wkOD7IG-k_eo/edit#gid=0"", ""Maths!M:N""), 2, FALSE)"),"Recall the method of representing fractions using numbers, figures, or words.")</f>
        <v>Recall the method of representing fractions using numbers, figures, or words.</v>
      </c>
      <c r="L86" s="29" t="str">
        <f t="shared" si="7"/>
        <v>LU000279.002</v>
      </c>
      <c r="M86" s="29" t="str">
        <f ca="1">IFERROR(__xludf.dummyfunction("VLOOKUP(L86, IMPORTRANGE(""https://docs.google.com/spreadsheets/d/1yDAaXNsi4Mr5FtRQL4tbmSdIzhx6_m4wkOD7IG-k_eo/edit#gid=0"", ""Maths!M:N""), 2, FALSE)"),"Represent various fractions using numbers, figures or words.")</f>
        <v>Represent various fractions using numbers, figures or words.</v>
      </c>
      <c r="N86" s="29" t="str">
        <f t="shared" si="8"/>
        <v>LU000279.003</v>
      </c>
      <c r="O86" s="29" t="str">
        <f ca="1">IFERROR(__xludf.dummyfunction("VLOOKUP(N86, IMPORTRANGE(""https://docs.google.com/spreadsheets/d/1yDAaXNsi4Mr5FtRQL4tbmSdIzhx6_m4wkOD7IG-k_eo/edit#gid=0"", ""Maths!M:N""), 2, FALSE)"),"Identify the fractions represented by the shaded portion in a given figure.")</f>
        <v>Identify the fractions represented by the shaded portion in a given figure.</v>
      </c>
      <c r="P86" s="29" t="str">
        <f t="shared" si="9"/>
        <v>LU000279.004</v>
      </c>
      <c r="Q86" s="29" t="str">
        <f ca="1">IFERROR(__xludf.dummyfunction("VLOOKUP(P86, IMPORTRANGE(""https://docs.google.com/spreadsheets/d/1yDAaXNsi4Mr5FtRQL4tbmSdIzhx6_m4wkOD7IG-k_eo/edit#gid=0"", ""Maths!M:N""), 2, FALSE)"),"Colour the parts of a figure according to the given fraction.")</f>
        <v>Colour the parts of a figure according to the given fraction.</v>
      </c>
      <c r="R86" s="29" t="str">
        <f t="shared" si="10"/>
        <v>LU000279.005</v>
      </c>
      <c r="S86" s="29" t="str">
        <f ca="1">IFERROR(__xludf.dummyfunction("VLOOKUP(R86, IMPORTRANGE(""https://docs.google.com/spreadsheets/d/1yDAaXNsi4Mr5FtRQL4tbmSdIzhx6_m4wkOD7IG-k_eo/edit#gid=0"", ""Maths!M:N""), 2, FALSE)"),"#N/A")</f>
        <v>#N/A</v>
      </c>
      <c r="T86" s="29" t="str">
        <f t="shared" si="11"/>
        <v>LU000279.006</v>
      </c>
      <c r="U86" s="29" t="str">
        <f ca="1">IFERROR(__xludf.dummyfunction("VLOOKUP(T86, IMPORTRANGE(""https://docs.google.com/spreadsheets/d/1yDAaXNsi4Mr5FtRQL4tbmSdIzhx6_m4wkOD7IG-k_eo/edit#gid=0"", ""Maths!M:N""), 2, FALSE)"),"Construct a visual model to represent a fraction.")</f>
        <v>Construct a visual model to represent a fraction.</v>
      </c>
      <c r="V86" s="16">
        <f ca="1">IFERROR(__xludf.dummyfunction("ArrayFormula(VLOOKUP(G86, IMPORTRANGE(""https://docs.google.com/spreadsheets/d/1p7R4vtkWt5VOBim4ltsDG9KTzSjrtKXsMtQGXPHyND0/edit#gid=795171502"", ""'Filter 30_05_2024'!A1:M2000""), {2, 3, 4, 5,6,7,8,9,10,11,12,13}, 0))"),6)</f>
        <v>6</v>
      </c>
      <c r="W86" s="16">
        <f ca="1">IFERROR(__xludf.dummyfunction("""COMPUTED_VALUE"""),3)</f>
        <v>3</v>
      </c>
      <c r="X86" s="16">
        <f ca="1">IFERROR(__xludf.dummyfunction("""COMPUTED_VALUE"""),1)</f>
        <v>1</v>
      </c>
      <c r="Y86" s="16">
        <f ca="1">IFERROR(__xludf.dummyfunction("""COMPUTED_VALUE"""),10)</f>
        <v>10</v>
      </c>
      <c r="Z86" s="16">
        <f ca="1">IFERROR(__xludf.dummyfunction("""COMPUTED_VALUE"""),6)</f>
        <v>6</v>
      </c>
      <c r="AA86" s="30">
        <f ca="1">IFERROR(__xludf.dummyfunction("""COMPUTED_VALUE"""),6)</f>
        <v>6</v>
      </c>
      <c r="AB86" s="30">
        <f ca="1">IFERROR(__xludf.dummyfunction("""COMPUTED_VALUE"""),2)</f>
        <v>2</v>
      </c>
      <c r="AC86" s="30">
        <f ca="1">IFERROR(__xludf.dummyfunction("""COMPUTED_VALUE"""),14)</f>
        <v>14</v>
      </c>
      <c r="AD86" s="16"/>
      <c r="AE86" s="30"/>
      <c r="AF86" s="30"/>
      <c r="AG86" s="30"/>
    </row>
    <row r="87" spans="1:33" ht="26.4">
      <c r="A87" s="25"/>
      <c r="B87" s="26" t="s">
        <v>29</v>
      </c>
      <c r="C87" s="26" t="s">
        <v>310</v>
      </c>
      <c r="D87" s="26">
        <v>6</v>
      </c>
      <c r="E87" s="27" t="s">
        <v>434</v>
      </c>
      <c r="F87" s="28" t="s">
        <v>440</v>
      </c>
      <c r="G87" s="26" t="s">
        <v>441</v>
      </c>
      <c r="H87" s="28" t="str">
        <f ca="1">IFERROR(__xludf.dummyfunction("IFERROR(
  VLOOKUP(G87, IMPORTRANGE(""https://docs.google.com/spreadsheets/d/14deopnvwcrKtEGCKuYXdUHJbeLDZlkiSSWWT0g7x2pM/edit#gid=849066331"", ""LU List Maths (Filter)!A:B""), 2, FALSE),
  IFERROR(
    VLOOKUP(G87, IMPORTRANGE(""https://docs.google.com/s"&amp;"preadsheets/d/14deopnvwcrKtEGCKuYXdUHJbeLDZlkiSSWWT0g7x2pM/edit#gid=849066331"", ""LU List Science (Filter)!A:B""), 2, FALSE),
    ""Not Found""
  )
)
"),"Definition of proper fractions")</f>
        <v>Definition of proper fractions</v>
      </c>
      <c r="I87" s="28"/>
      <c r="J87" s="29" t="str">
        <f t="shared" si="6"/>
        <v>LU000281.001</v>
      </c>
      <c r="K87" s="29" t="str">
        <f ca="1">IFERROR(__xludf.dummyfunction("VLOOKUP(J87, IMPORTRANGE(""https://docs.google.com/spreadsheets/d/1yDAaXNsi4Mr5FtRQL4tbmSdIzhx6_m4wkOD7IG-k_eo/edit#gid=0"", ""Maths!M:N""), 2, FALSE)"),"Define proper fractions with examples.")</f>
        <v>Define proper fractions with examples.</v>
      </c>
      <c r="L87" s="29" t="str">
        <f t="shared" si="7"/>
        <v>LU000281.002</v>
      </c>
      <c r="M87" s="29" t="str">
        <f ca="1">IFERROR(__xludf.dummyfunction("VLOOKUP(L87, IMPORTRANGE(""https://docs.google.com/spreadsheets/d/1yDAaXNsi4Mr5FtRQL4tbmSdIzhx6_m4wkOD7IG-k_eo/edit#gid=0"", ""Maths!M:N""), 2, FALSE)"),"Identify proper fractions from the given set of fractions.")</f>
        <v>Identify proper fractions from the given set of fractions.</v>
      </c>
      <c r="N87" s="29" t="str">
        <f t="shared" si="8"/>
        <v>LU000281.003</v>
      </c>
      <c r="O87" s="29" t="str">
        <f ca="1">IFERROR(__xludf.dummyfunction("VLOOKUP(N87, IMPORTRANGE(""https://docs.google.com/spreadsheets/d/1yDAaXNsi4Mr5FtRQL4tbmSdIzhx6_m4wkOD7IG-k_eo/edit#gid=0"", ""Maths!M:N""), 2, FALSE)"),"Represent proper fractions visually.")</f>
        <v>Represent proper fractions visually.</v>
      </c>
      <c r="P87" s="29" t="str">
        <f t="shared" si="9"/>
        <v>LU000281.004</v>
      </c>
      <c r="Q87" s="29" t="str">
        <f ca="1">IFERROR(__xludf.dummyfunction("VLOOKUP(P87, IMPORTRANGE(""https://docs.google.com/spreadsheets/d/1yDAaXNsi4Mr5FtRQL4tbmSdIzhx6_m4wkOD7IG-k_eo/edit#gid=0"", ""Maths!M:N""), 2, FALSE)"),"Write a proper fraction whose numerator and denominator satisfy a given condition.")</f>
        <v>Write a proper fraction whose numerator and denominator satisfy a given condition.</v>
      </c>
      <c r="R87" s="29" t="str">
        <f t="shared" si="10"/>
        <v>LU000281.005</v>
      </c>
      <c r="S87" s="29" t="str">
        <f ca="1">IFERROR(__xludf.dummyfunction("VLOOKUP(R87, IMPORTRANGE(""https://docs.google.com/spreadsheets/d/1yDAaXNsi4Mr5FtRQL4tbmSdIzhx6_m4wkOD7IG-k_eo/edit#gid=0"", ""Maths!M:N""), 2, FALSE)"),"Importance of proper fractions in representing parts of a whole and their relevance in real-world scenarios.")</f>
        <v>Importance of proper fractions in representing parts of a whole and their relevance in real-world scenarios.</v>
      </c>
      <c r="T87" s="29" t="str">
        <f t="shared" si="11"/>
        <v>LU000281.006</v>
      </c>
      <c r="U87" s="29" t="str">
        <f ca="1">IFERROR(__xludf.dummyfunction("VLOOKUP(T87, IMPORTRANGE(""https://docs.google.com/spreadsheets/d/1yDAaXNsi4Mr5FtRQL4tbmSdIzhx6_m4wkOD7IG-k_eo/edit#gid=0"", ""Maths!M:N""), 2, FALSE)"),"Develop real life examples of proper fractions and illustrate their representation using visual aids.")</f>
        <v>Develop real life examples of proper fractions and illustrate their representation using visual aids.</v>
      </c>
      <c r="V87" s="16">
        <f ca="1">IFERROR(__xludf.dummyfunction("ArrayFormula(VLOOKUP(G87, IMPORTRANGE(""https://docs.google.com/spreadsheets/d/1p7R4vtkWt5VOBim4ltsDG9KTzSjrtKXsMtQGXPHyND0/edit#gid=795171502"", ""'Filter 30_05_2024'!A1:M2000""), {2, 3, 4, 5,6,7,8,9,10,11,12,13}, 0))"),5)</f>
        <v>5</v>
      </c>
      <c r="W87" s="16">
        <f ca="1">IFERROR(__xludf.dummyfunction("""COMPUTED_VALUE"""),6)</f>
        <v>6</v>
      </c>
      <c r="X87" s="16">
        <f ca="1">IFERROR(__xludf.dummyfunction("""COMPUTED_VALUE"""),10)</f>
        <v>10</v>
      </c>
      <c r="Y87" s="16">
        <f ca="1">IFERROR(__xludf.dummyfunction("""COMPUTED_VALUE"""),21)</f>
        <v>21</v>
      </c>
      <c r="Z87" s="16">
        <f ca="1">IFERROR(__xludf.dummyfunction("""COMPUTED_VALUE"""),12)</f>
        <v>12</v>
      </c>
      <c r="AA87" s="30">
        <f ca="1">IFERROR(__xludf.dummyfunction("""COMPUTED_VALUE"""),3)</f>
        <v>3</v>
      </c>
      <c r="AB87" s="30">
        <f ca="1">IFERROR(__xludf.dummyfunction("""COMPUTED_VALUE"""),4)</f>
        <v>4</v>
      </c>
      <c r="AC87" s="30">
        <f ca="1">IFERROR(__xludf.dummyfunction("""COMPUTED_VALUE"""),19)</f>
        <v>19</v>
      </c>
      <c r="AD87" s="16"/>
      <c r="AE87" s="30"/>
      <c r="AF87" s="30"/>
      <c r="AG87" s="30"/>
    </row>
    <row r="88" spans="1:33" ht="13.8">
      <c r="A88" s="25"/>
      <c r="B88" s="26" t="s">
        <v>29</v>
      </c>
      <c r="C88" s="26" t="s">
        <v>310</v>
      </c>
      <c r="D88" s="26">
        <v>6</v>
      </c>
      <c r="E88" s="27" t="s">
        <v>434</v>
      </c>
      <c r="F88" s="28"/>
      <c r="G88" s="26" t="s">
        <v>442</v>
      </c>
      <c r="H88" s="28" t="str">
        <f ca="1">IFERROR(__xludf.dummyfunction("IFERROR(
  VLOOKUP(G88, IMPORTRANGE(""https://docs.google.com/spreadsheets/d/14deopnvwcrKtEGCKuYXdUHJbeLDZlkiSSWWT0g7x2pM/edit#gid=849066331"", ""LU List Maths (Filter)!A:B""), 2, FALSE),
  IFERROR(
    VLOOKUP(G88, IMPORTRANGE(""https://docs.google.com/s"&amp;"preadsheets/d/14deopnvwcrKtEGCKuYXdUHJbeLDZlkiSSWWT0g7x2pM/edit#gid=849066331"", ""LU List Science (Filter)!A:B""), 2, FALSE),
    ""Not Found""
  )
)
"),"Definition of improper fractions")</f>
        <v>Definition of improper fractions</v>
      </c>
      <c r="I88" s="28"/>
      <c r="J88" s="29" t="str">
        <f t="shared" si="6"/>
        <v>LU000282.001</v>
      </c>
      <c r="K88" s="29" t="str">
        <f ca="1">IFERROR(__xludf.dummyfunction("VLOOKUP(J88, IMPORTRANGE(""https://docs.google.com/spreadsheets/d/1yDAaXNsi4Mr5FtRQL4tbmSdIzhx6_m4wkOD7IG-k_eo/edit#gid=0"", ""Maths!M:N""), 2, FALSE)"),"Define improper fractions with examples.")</f>
        <v>Define improper fractions with examples.</v>
      </c>
      <c r="L88" s="29" t="str">
        <f t="shared" si="7"/>
        <v>LU000282.002</v>
      </c>
      <c r="M88" s="29" t="str">
        <f ca="1">IFERROR(__xludf.dummyfunction("VLOOKUP(L88, IMPORTRANGE(""https://docs.google.com/spreadsheets/d/1yDAaXNsi4Mr5FtRQL4tbmSdIzhx6_m4wkOD7IG-k_eo/edit#gid=0"", ""Maths!M:N""), 2, FALSE)"),"Identify improper fractions from the given set of fractions.")</f>
        <v>Identify improper fractions from the given set of fractions.</v>
      </c>
      <c r="N88" s="29" t="str">
        <f t="shared" si="8"/>
        <v>LU000282.003</v>
      </c>
      <c r="O88" s="29" t="str">
        <f ca="1">IFERROR(__xludf.dummyfunction("VLOOKUP(N88, IMPORTRANGE(""https://docs.google.com/spreadsheets/d/1yDAaXNsi4Mr5FtRQL4tbmSdIzhx6_m4wkOD7IG-k_eo/edit#gid=0"", ""Maths!M:N""), 2, FALSE)"),"Represent improper fractions visually.")</f>
        <v>Represent improper fractions visually.</v>
      </c>
      <c r="P88" s="29" t="str">
        <f t="shared" si="9"/>
        <v>LU000282.004</v>
      </c>
      <c r="Q88" s="29" t="str">
        <f ca="1">IFERROR(__xludf.dummyfunction("VLOOKUP(P88, IMPORTRANGE(""https://docs.google.com/spreadsheets/d/1yDAaXNsi4Mr5FtRQL4tbmSdIzhx6_m4wkOD7IG-k_eo/edit#gid=0"", ""Maths!M:N""), 2, FALSE)"),"Write a improper fraction whose numerator and denominator satisfy a given condition.")</f>
        <v>Write a improper fraction whose numerator and denominator satisfy a given condition.</v>
      </c>
      <c r="R88" s="29" t="str">
        <f t="shared" si="10"/>
        <v>LU000282.005</v>
      </c>
      <c r="S88" s="29" t="str">
        <f ca="1">IFERROR(__xludf.dummyfunction("VLOOKUP(R88, IMPORTRANGE(""https://docs.google.com/spreadsheets/d/1yDAaXNsi4Mr5FtRQL4tbmSdIzhx6_m4wkOD7IG-k_eo/edit#gid=0"", ""Maths!M:N""), 2, FALSE)"),"Evaluate the significance of improper fractions in representing quantities greater than a whole and their relevance in real-world scenarios.")</f>
        <v>Evaluate the significance of improper fractions in representing quantities greater than a whole and their relevance in real-world scenarios.</v>
      </c>
      <c r="T88" s="29" t="str">
        <f t="shared" si="11"/>
        <v>LU000282.006</v>
      </c>
      <c r="U88" s="29" t="str">
        <f ca="1">IFERROR(__xludf.dummyfunction("VLOOKUP(T88, IMPORTRANGE(""https://docs.google.com/spreadsheets/d/1yDAaXNsi4Mr5FtRQL4tbmSdIzhx6_m4wkOD7IG-k_eo/edit#gid=0"", ""Maths!M:N""), 2, FALSE)"),"Develop real life examples of improper fractions and illustrate their representation using visual aids.")</f>
        <v>Develop real life examples of improper fractions and illustrate their representation using visual aids.</v>
      </c>
      <c r="V88" s="16">
        <f ca="1">IFERROR(__xludf.dummyfunction("ArrayFormula(VLOOKUP(G88, IMPORTRANGE(""https://docs.google.com/spreadsheets/d/1p7R4vtkWt5VOBim4ltsDG9KTzSjrtKXsMtQGXPHyND0/edit#gid=795171502"", ""'Filter 30_05_2024'!A1:M2000""), {2, 3, 4, 5,6,7,8,9,10,11,12,13}, 0))"),6)</f>
        <v>6</v>
      </c>
      <c r="W88" s="16">
        <f ca="1">IFERROR(__xludf.dummyfunction("""COMPUTED_VALUE"""),9)</f>
        <v>9</v>
      </c>
      <c r="X88" s="16">
        <f ca="1">IFERROR(__xludf.dummyfunction("""COMPUTED_VALUE"""),2)</f>
        <v>2</v>
      </c>
      <c r="Y88" s="16">
        <f ca="1">IFERROR(__xludf.dummyfunction("""COMPUTED_VALUE"""),17)</f>
        <v>17</v>
      </c>
      <c r="Z88" s="16">
        <f ca="1">IFERROR(__xludf.dummyfunction("""COMPUTED_VALUE"""),2)</f>
        <v>2</v>
      </c>
      <c r="AA88" s="30">
        <f ca="1">IFERROR(__xludf.dummyfunction("""COMPUTED_VALUE"""),3)</f>
        <v>3</v>
      </c>
      <c r="AB88" s="30"/>
      <c r="AC88" s="30">
        <f ca="1">IFERROR(__xludf.dummyfunction("""COMPUTED_VALUE"""),5)</f>
        <v>5</v>
      </c>
      <c r="AD88" s="16"/>
      <c r="AE88" s="30"/>
      <c r="AF88" s="30"/>
      <c r="AG88" s="30"/>
    </row>
    <row r="89" spans="1:33" ht="13.8">
      <c r="A89" s="25"/>
      <c r="B89" s="26" t="s">
        <v>29</v>
      </c>
      <c r="C89" s="26" t="s">
        <v>310</v>
      </c>
      <c r="D89" s="26">
        <v>6</v>
      </c>
      <c r="E89" s="27" t="s">
        <v>434</v>
      </c>
      <c r="F89" s="28"/>
      <c r="G89" s="26" t="s">
        <v>443</v>
      </c>
      <c r="H89" s="28" t="str">
        <f ca="1">IFERROR(__xludf.dummyfunction("IFERROR(
  VLOOKUP(G89, IMPORTRANGE(""https://docs.google.com/spreadsheets/d/14deopnvwcrKtEGCKuYXdUHJbeLDZlkiSSWWT0g7x2pM/edit#gid=849066331"", ""LU List Maths (Filter)!A:B""), 2, FALSE),
  IFERROR(
    VLOOKUP(G89, IMPORTRANGE(""https://docs.google.com/s"&amp;"preadsheets/d/14deopnvwcrKtEGCKuYXdUHJbeLDZlkiSSWWT0g7x2pM/edit#gid=849066331"", ""LU List Science (Filter)!A:B""), 2, FALSE),
    ""Not Found""
  )
)
"),"Definition of mixed fractions")</f>
        <v>Definition of mixed fractions</v>
      </c>
      <c r="I89" s="28"/>
      <c r="J89" s="29" t="str">
        <f t="shared" si="6"/>
        <v>LU000283.001</v>
      </c>
      <c r="K89" s="29" t="str">
        <f ca="1">IFERROR(__xludf.dummyfunction("VLOOKUP(J89, IMPORTRANGE(""https://docs.google.com/spreadsheets/d/1yDAaXNsi4Mr5FtRQL4tbmSdIzhx6_m4wkOD7IG-k_eo/edit#gid=0"", ""Maths!M:N""), 2, FALSE)"),"Define a mixed fraction with examples.")</f>
        <v>Define a mixed fraction with examples.</v>
      </c>
      <c r="L89" s="29" t="str">
        <f t="shared" si="7"/>
        <v>LU000283.002</v>
      </c>
      <c r="M89" s="29" t="str">
        <f ca="1">IFERROR(__xludf.dummyfunction("VLOOKUP(L89, IMPORTRANGE(""https://docs.google.com/spreadsheets/d/1yDAaXNsi4Mr5FtRQL4tbmSdIzhx6_m4wkOD7IG-k_eo/edit#gid=0"", ""Maths!M:N""), 2, FALSE)"),"Identify a mixed fraction from a set of given fractions.")</f>
        <v>Identify a mixed fraction from a set of given fractions.</v>
      </c>
      <c r="N89" s="29" t="str">
        <f t="shared" si="8"/>
        <v>LU000283.003</v>
      </c>
      <c r="O89" s="29" t="str">
        <f ca="1">IFERROR(__xludf.dummyfunction("VLOOKUP(N89, IMPORTRANGE(""https://docs.google.com/spreadsheets/d/1yDAaXNsi4Mr5FtRQL4tbmSdIzhx6_m4wkOD7IG-k_eo/edit#gid=0"", ""Maths!M:N""), 2, FALSE)"),"Recognise mixed fractions as the sum of a whole number and a proper fraction.")</f>
        <v>Recognise mixed fractions as the sum of a whole number and a proper fraction.</v>
      </c>
      <c r="P89" s="29" t="str">
        <f t="shared" si="9"/>
        <v>LU000283.004</v>
      </c>
      <c r="Q89" s="29" t="str">
        <f ca="1">IFERROR(__xludf.dummyfunction("VLOOKUP(P89, IMPORTRANGE(""https://docs.google.com/spreadsheets/d/1yDAaXNsi4Mr5FtRQL4tbmSdIzhx6_m4wkOD7IG-k_eo/edit#gid=0"", ""Maths!M:N""), 2, FALSE)"),"Analyse mixed fractions to identify the whole number part, the numerator, and the denominator and understand their relationship.")</f>
        <v>Analyse mixed fractions to identify the whole number part, the numerator, and the denominator and understand their relationship.</v>
      </c>
      <c r="R89" s="29" t="str">
        <f t="shared" si="10"/>
        <v>LU000283.005</v>
      </c>
      <c r="S89" s="29" t="str">
        <f ca="1">IFERROR(__xludf.dummyfunction("VLOOKUP(R89, IMPORTRANGE(""https://docs.google.com/spreadsheets/d/1yDAaXNsi4Mr5FtRQL4tbmSdIzhx6_m4wkOD7IG-k_eo/edit#gid=0"", ""Maths!M:N""), 2, FALSE)"),"Evaluate the significance of mixed fractions in practical situations where whole numbers and fractions are combined.")</f>
        <v>Evaluate the significance of mixed fractions in practical situations where whole numbers and fractions are combined.</v>
      </c>
      <c r="T89" s="29" t="str">
        <f t="shared" si="11"/>
        <v>LU000283.006</v>
      </c>
      <c r="U89" s="29" t="str">
        <f ca="1">IFERROR(__xludf.dummyfunction("VLOOKUP(T89, IMPORTRANGE(""https://docs.google.com/spreadsheets/d/1yDAaXNsi4Mr5FtRQL4tbmSdIzhx6_m4wkOD7IG-k_eo/edit#gid=0"", ""Maths!M:N""), 2, FALSE)"),"Write examples of mixed fractions, both in numeric and visual form, showcasing the combination of whole numbers and proper fractions.")</f>
        <v>Write examples of mixed fractions, both in numeric and visual form, showcasing the combination of whole numbers and proper fractions.</v>
      </c>
      <c r="V89" s="16">
        <f ca="1">IFERROR(__xludf.dummyfunction("ArrayFormula(VLOOKUP(G89, IMPORTRANGE(""https://docs.google.com/spreadsheets/d/1p7R4vtkWt5VOBim4ltsDG9KTzSjrtKXsMtQGXPHyND0/edit#gid=795171502"", ""'Filter 30_05_2024'!A1:M2000""), {2, 3, 4, 5,6,7,8,9,10,11,12,13}, 0))"),2)</f>
        <v>2</v>
      </c>
      <c r="W89" s="16">
        <f ca="1">IFERROR(__xludf.dummyfunction("""COMPUTED_VALUE"""),2)</f>
        <v>2</v>
      </c>
      <c r="X89" s="16">
        <f ca="1">IFERROR(__xludf.dummyfunction("""COMPUTED_VALUE"""),2)</f>
        <v>2</v>
      </c>
      <c r="Y89" s="16">
        <f ca="1">IFERROR(__xludf.dummyfunction("""COMPUTED_VALUE"""),6)</f>
        <v>6</v>
      </c>
      <c r="Z89" s="16">
        <f ca="1">IFERROR(__xludf.dummyfunction("""COMPUTED_VALUE"""),6)</f>
        <v>6</v>
      </c>
      <c r="AA89" s="30">
        <f ca="1">IFERROR(__xludf.dummyfunction("""COMPUTED_VALUE"""),7)</f>
        <v>7</v>
      </c>
      <c r="AB89" s="30">
        <f ca="1">IFERROR(__xludf.dummyfunction("""COMPUTED_VALUE"""),1)</f>
        <v>1</v>
      </c>
      <c r="AC89" s="30">
        <f ca="1">IFERROR(__xludf.dummyfunction("""COMPUTED_VALUE"""),14)</f>
        <v>14</v>
      </c>
      <c r="AD89" s="16"/>
      <c r="AE89" s="30"/>
      <c r="AF89" s="30"/>
      <c r="AG89" s="30"/>
    </row>
    <row r="90" spans="1:33" ht="26.4">
      <c r="A90" s="25"/>
      <c r="B90" s="26" t="s">
        <v>29</v>
      </c>
      <c r="C90" s="26" t="s">
        <v>310</v>
      </c>
      <c r="D90" s="26">
        <v>6</v>
      </c>
      <c r="E90" s="27" t="s">
        <v>434</v>
      </c>
      <c r="F90" s="28" t="s">
        <v>444</v>
      </c>
      <c r="G90" s="26" t="s">
        <v>445</v>
      </c>
      <c r="H90" s="28" t="str">
        <f ca="1">IFERROR(__xludf.dummyfunction("IFERROR(
  VLOOKUP(G90, IMPORTRANGE(""https://docs.google.com/spreadsheets/d/14deopnvwcrKtEGCKuYXdUHJbeLDZlkiSSWWT0g7x2pM/edit#gid=849066331"", ""LU List Maths (Filter)!A:B""), 2, FALSE),
  IFERROR(
    VLOOKUP(G90, IMPORTRANGE(""https://docs.google.com/s"&amp;"preadsheets/d/14deopnvwcrKtEGCKuYXdUHJbeLDZlkiSSWWT0g7x2pM/edit#gid=849066331"", ""LU List Science (Filter)!A:B""), 2, FALSE),
    ""Not Found""
  )
)
"),"Conversion of improper fraction to mixed fraction ")</f>
        <v xml:space="preserve">Conversion of improper fraction to mixed fraction </v>
      </c>
      <c r="I90" s="28"/>
      <c r="J90" s="29" t="str">
        <f t="shared" si="6"/>
        <v>LU000975.001</v>
      </c>
      <c r="K90" s="29" t="str">
        <f ca="1">IFERROR(__xludf.dummyfunction("VLOOKUP(J90, IMPORTRANGE(""https://docs.google.com/spreadsheets/d/1yDAaXNsi4Mr5FtRQL4tbmSdIzhx6_m4wkOD7IG-k_eo/edit#gid=0"", ""Maths!M:N""), 2, FALSE)"),"Recall the steps involved in converting an improper fraction to a mixed fraction.")</f>
        <v>Recall the steps involved in converting an improper fraction to a mixed fraction.</v>
      </c>
      <c r="L90" s="29" t="str">
        <f t="shared" si="7"/>
        <v>LU000975.002</v>
      </c>
      <c r="M90" s="29" t="str">
        <f ca="1">IFERROR(__xludf.dummyfunction("VLOOKUP(L90, IMPORTRANGE(""https://docs.google.com/spreadsheets/d/1yDAaXNsi4Mr5FtRQL4tbmSdIzhx6_m4wkOD7IG-k_eo/edit#gid=0"", ""Maths!M:N""), 2, FALSE)"),"Explain the concept of improper fractions and mixed fractions, including their relationship, and why conversion is necessary.")</f>
        <v>Explain the concept of improper fractions and mixed fractions, including their relationship, and why conversion is necessary.</v>
      </c>
      <c r="N90" s="29" t="str">
        <f t="shared" si="8"/>
        <v>LU000975.003</v>
      </c>
      <c r="O90" s="29" t="str">
        <f ca="1">IFERROR(__xludf.dummyfunction("VLOOKUP(N90, IMPORTRANGE(""https://docs.google.com/spreadsheets/d/1yDAaXNsi4Mr5FtRQL4tbmSdIzhx6_m4wkOD7IG-k_eo/edit#gid=0"", ""Maths!M:N""), 2, FALSE)"),"Apply the conversion process accurately to transform improper fractions into mixed fractions.")</f>
        <v>Apply the conversion process accurately to transform improper fractions into mixed fractions.</v>
      </c>
      <c r="P90" s="29" t="str">
        <f t="shared" si="9"/>
        <v>LU000975.004</v>
      </c>
      <c r="Q90" s="29" t="str">
        <f ca="1">IFERROR(__xludf.dummyfunction("VLOOKUP(P90, IMPORTRANGE(""https://docs.google.com/spreadsheets/d/1yDAaXNsi4Mr5FtRQL4tbmSdIzhx6_m4wkOD7IG-k_eo/edit#gid=0"", ""Maths!M:N""), 2, FALSE)"),"Analyze improper fractions to determine their equivalent mixed fraction representations.")</f>
        <v>Analyze improper fractions to determine their equivalent mixed fraction representations.</v>
      </c>
      <c r="R90" s="29" t="str">
        <f t="shared" si="10"/>
        <v>LU000975.005</v>
      </c>
      <c r="S90" s="29" t="str">
        <f ca="1">IFERROR(__xludf.dummyfunction("VLOOKUP(R90, IMPORTRANGE(""https://docs.google.com/spreadsheets/d/1yDAaXNsi4Mr5FtRQL4tbmSdIzhx6_m4wkOD7IG-k_eo/edit#gid=0"", ""Maths!M:N""), 2, FALSE)"),"Evaluate the correctness of converted mixed fractions, providing explanations for errors.")</f>
        <v>Evaluate the correctness of converted mixed fractions, providing explanations for errors.</v>
      </c>
      <c r="T90" s="29" t="str">
        <f t="shared" si="11"/>
        <v>LU000975.006</v>
      </c>
      <c r="U90" s="29" t="str">
        <f ca="1">IFERROR(__xludf.dummyfunction("VLOOKUP(T90, IMPORTRANGE(""https://docs.google.com/spreadsheets/d/1yDAaXNsi4Mr5FtRQL4tbmSdIzhx6_m4wkOD7IG-k_eo/edit#gid=0"", ""Maths!M:N""), 2, FALSE)"),"#N/A")</f>
        <v>#N/A</v>
      </c>
      <c r="V90" s="16">
        <f ca="1">IFERROR(__xludf.dummyfunction("ArrayFormula(VLOOKUP(G90, IMPORTRANGE(""https://docs.google.com/spreadsheets/d/1p7R4vtkWt5VOBim4ltsDG9KTzSjrtKXsMtQGXPHyND0/edit#gid=795171502"", ""'Filter 30_05_2024'!A1:M2000""), {2, 3, 4, 5,6,7,8,9,10,11,12,13}, 0))"),4)</f>
        <v>4</v>
      </c>
      <c r="W90" s="16">
        <f ca="1">IFERROR(__xludf.dummyfunction("""COMPUTED_VALUE"""),7)</f>
        <v>7</v>
      </c>
      <c r="X90" s="16">
        <f ca="1">IFERROR(__xludf.dummyfunction("""COMPUTED_VALUE"""),2)</f>
        <v>2</v>
      </c>
      <c r="Y90" s="16">
        <f ca="1">IFERROR(__xludf.dummyfunction("""COMPUTED_VALUE"""),13)</f>
        <v>13</v>
      </c>
      <c r="Z90" s="16">
        <f ca="1">IFERROR(__xludf.dummyfunction("""COMPUTED_VALUE"""),8)</f>
        <v>8</v>
      </c>
      <c r="AA90" s="30">
        <f ca="1">IFERROR(__xludf.dummyfunction("""COMPUTED_VALUE"""),8)</f>
        <v>8</v>
      </c>
      <c r="AB90" s="30">
        <f ca="1">IFERROR(__xludf.dummyfunction("""COMPUTED_VALUE"""),1)</f>
        <v>1</v>
      </c>
      <c r="AC90" s="30">
        <f ca="1">IFERROR(__xludf.dummyfunction("""COMPUTED_VALUE"""),17)</f>
        <v>17</v>
      </c>
      <c r="AD90" s="16"/>
      <c r="AE90" s="30"/>
      <c r="AF90" s="30"/>
      <c r="AG90" s="30"/>
    </row>
    <row r="91" spans="1:33" ht="26.4">
      <c r="A91" s="25"/>
      <c r="B91" s="26" t="s">
        <v>29</v>
      </c>
      <c r="C91" s="26" t="s">
        <v>310</v>
      </c>
      <c r="D91" s="26">
        <v>6</v>
      </c>
      <c r="E91" s="27" t="s">
        <v>434</v>
      </c>
      <c r="F91" s="28"/>
      <c r="G91" s="26" t="s">
        <v>446</v>
      </c>
      <c r="H91" s="28" t="str">
        <f ca="1">IFERROR(__xludf.dummyfunction("IFERROR(
  VLOOKUP(G91, IMPORTRANGE(""https://docs.google.com/spreadsheets/d/14deopnvwcrKtEGCKuYXdUHJbeLDZlkiSSWWT0g7x2pM/edit#gid=849066331"", ""LU List Maths (Filter)!A:B""), 2, FALSE),
  IFERROR(
    VLOOKUP(G91, IMPORTRANGE(""https://docs.google.com/s"&amp;"preadsheets/d/14deopnvwcrKtEGCKuYXdUHJbeLDZlkiSSWWT0g7x2pM/edit#gid=849066331"", ""LU List Science (Filter)!A:B""), 2, FALSE),
    ""Not Found""
  )
)
"),"Conversion of mixed fraction to improper fraction ")</f>
        <v xml:space="preserve">Conversion of mixed fraction to improper fraction </v>
      </c>
      <c r="I91" s="28"/>
      <c r="J91" s="29" t="str">
        <f t="shared" si="6"/>
        <v>LU000976.001</v>
      </c>
      <c r="K91" s="29" t="str">
        <f ca="1">IFERROR(__xludf.dummyfunction("VLOOKUP(J91, IMPORTRANGE(""https://docs.google.com/spreadsheets/d/1yDAaXNsi4Mr5FtRQL4tbmSdIzhx6_m4wkOD7IG-k_eo/edit#gid=0"", ""Maths!M:N""), 2, FALSE)"),"Recall the steps for converting mixed fractions to improper fractions.")</f>
        <v>Recall the steps for converting mixed fractions to improper fractions.</v>
      </c>
      <c r="L91" s="29" t="str">
        <f t="shared" si="7"/>
        <v>LU000976.002</v>
      </c>
      <c r="M91" s="29" t="str">
        <f ca="1">IFERROR(__xludf.dummyfunction("VLOOKUP(L91, IMPORTRANGE(""https://docs.google.com/spreadsheets/d/1yDAaXNsi4Mr5FtRQL4tbmSdIzhx6_m4wkOD7IG-k_eo/edit#gid=0"", ""Maths!M:N""), 2, FALSE)"),"Explain the concept of mixed fractions and improper fractions and why conversion is necessary.")</f>
        <v>Explain the concept of mixed fractions and improper fractions and why conversion is necessary.</v>
      </c>
      <c r="N91" s="29" t="str">
        <f t="shared" si="8"/>
        <v>LU000976.003</v>
      </c>
      <c r="O91" s="29" t="str">
        <f ca="1">IFERROR(__xludf.dummyfunction("VLOOKUP(N91, IMPORTRANGE(""https://docs.google.com/spreadsheets/d/1yDAaXNsi4Mr5FtRQL4tbmSdIzhx6_m4wkOD7IG-k_eo/edit#gid=0"", ""Maths!M:N""), 2, FALSE)"),"Apply the conversion process accurately to transform mixed fractions into improper fractions.")</f>
        <v>Apply the conversion process accurately to transform mixed fractions into improper fractions.</v>
      </c>
      <c r="P91" s="29" t="str">
        <f t="shared" si="9"/>
        <v>LU000976.004</v>
      </c>
      <c r="Q91" s="29" t="str">
        <f ca="1">IFERROR(__xludf.dummyfunction("VLOOKUP(P91, IMPORTRANGE(""https://docs.google.com/spreadsheets/d/1yDAaXNsi4Mr5FtRQL4tbmSdIzhx6_m4wkOD7IG-k_eo/edit#gid=0"", ""Maths!M:N""), 2, FALSE)"),"Analyze mixed fractions to determine their equivalent improper fraction representations.")</f>
        <v>Analyze mixed fractions to determine their equivalent improper fraction representations.</v>
      </c>
      <c r="R91" s="29" t="str">
        <f t="shared" si="10"/>
        <v>LU000976.005</v>
      </c>
      <c r="S91" s="29" t="str">
        <f ca="1">IFERROR(__xludf.dummyfunction("VLOOKUP(R91, IMPORTRANGE(""https://docs.google.com/spreadsheets/d/1yDAaXNsi4Mr5FtRQL4tbmSdIzhx6_m4wkOD7IG-k_eo/edit#gid=0"", ""Maths!M:N""), 2, FALSE)"),"Evaluate the correctness of converted improper fractions, providing explanations for errors.")</f>
        <v>Evaluate the correctness of converted improper fractions, providing explanations for errors.</v>
      </c>
      <c r="T91" s="29" t="str">
        <f t="shared" si="11"/>
        <v>LU000976.006</v>
      </c>
      <c r="U91" s="29" t="str">
        <f ca="1">IFERROR(__xludf.dummyfunction("VLOOKUP(T91, IMPORTRANGE(""https://docs.google.com/spreadsheets/d/1yDAaXNsi4Mr5FtRQL4tbmSdIzhx6_m4wkOD7IG-k_eo/edit#gid=0"", ""Maths!M:N""), 2, FALSE)"),"#N/A")</f>
        <v>#N/A</v>
      </c>
      <c r="V91" s="16">
        <f ca="1">IFERROR(__xludf.dummyfunction("ArrayFormula(VLOOKUP(G91, IMPORTRANGE(""https://docs.google.com/spreadsheets/d/1p7R4vtkWt5VOBim4ltsDG9KTzSjrtKXsMtQGXPHyND0/edit#gid=795171502"", ""'Filter 30_05_2024'!A1:M2000""), {2, 3, 4, 5,6,7,8,9,10,11,12,13}, 0))"),4)</f>
        <v>4</v>
      </c>
      <c r="W91" s="16">
        <f ca="1">IFERROR(__xludf.dummyfunction("""COMPUTED_VALUE"""),2)</f>
        <v>2</v>
      </c>
      <c r="X91" s="16">
        <f ca="1">IFERROR(__xludf.dummyfunction("""COMPUTED_VALUE"""),2)</f>
        <v>2</v>
      </c>
      <c r="Y91" s="16">
        <f ca="1">IFERROR(__xludf.dummyfunction("""COMPUTED_VALUE"""),8)</f>
        <v>8</v>
      </c>
      <c r="Z91" s="16">
        <f ca="1">IFERROR(__xludf.dummyfunction("""COMPUTED_VALUE"""),8)</f>
        <v>8</v>
      </c>
      <c r="AA91" s="30">
        <f ca="1">IFERROR(__xludf.dummyfunction("""COMPUTED_VALUE"""),7)</f>
        <v>7</v>
      </c>
      <c r="AB91" s="30">
        <f ca="1">IFERROR(__xludf.dummyfunction("""COMPUTED_VALUE"""),1)</f>
        <v>1</v>
      </c>
      <c r="AC91" s="30">
        <f ca="1">IFERROR(__xludf.dummyfunction("""COMPUTED_VALUE"""),16)</f>
        <v>16</v>
      </c>
      <c r="AD91" s="16"/>
      <c r="AE91" s="30"/>
      <c r="AF91" s="30"/>
      <c r="AG91" s="30"/>
    </row>
    <row r="92" spans="1:33" ht="13.8">
      <c r="A92" s="25"/>
      <c r="B92" s="26" t="s">
        <v>29</v>
      </c>
      <c r="C92" s="26" t="s">
        <v>310</v>
      </c>
      <c r="D92" s="26">
        <v>6</v>
      </c>
      <c r="E92" s="27" t="s">
        <v>434</v>
      </c>
      <c r="F92" s="28" t="s">
        <v>447</v>
      </c>
      <c r="G92" s="26" t="s">
        <v>448</v>
      </c>
      <c r="H92" s="28" t="str">
        <f ca="1">IFERROR(__xludf.dummyfunction("IFERROR(
  VLOOKUP(G92, IMPORTRANGE(""https://docs.google.com/spreadsheets/d/14deopnvwcrKtEGCKuYXdUHJbeLDZlkiSSWWT0g7x2pM/edit#gid=849066331"", ""LU List Maths (Filter)!A:B""), 2, FALSE),
  IFERROR(
    VLOOKUP(G92, IMPORTRANGE(""https://docs.google.com/s"&amp;"preadsheets/d/14deopnvwcrKtEGCKuYXdUHJbeLDZlkiSSWWT0g7x2pM/edit#gid=849066331"", ""LU List Science (Filter)!A:B""), 2, FALSE),
    ""Not Found""
  )
)
"),"Definition of equivalent fractions")</f>
        <v>Definition of equivalent fractions</v>
      </c>
      <c r="I92" s="28"/>
      <c r="J92" s="29" t="str">
        <f t="shared" si="6"/>
        <v>LU000285.001</v>
      </c>
      <c r="K92" s="29" t="str">
        <f ca="1">IFERROR(__xludf.dummyfunction("VLOOKUP(J92, IMPORTRANGE(""https://docs.google.com/spreadsheets/d/1yDAaXNsi4Mr5FtRQL4tbmSdIzhx6_m4wkOD7IG-k_eo/edit#gid=0"", ""Maths!M:N""), 2, FALSE)"),"Define equivalent fractions with examples.")</f>
        <v>Define equivalent fractions with examples.</v>
      </c>
      <c r="L92" s="29" t="str">
        <f t="shared" si="7"/>
        <v>LU000285.002</v>
      </c>
      <c r="M92" s="29" t="str">
        <f ca="1">IFERROR(__xludf.dummyfunction("VLOOKUP(L92, IMPORTRANGE(""https://docs.google.com/spreadsheets/d/1yDAaXNsi4Mr5FtRQL4tbmSdIzhx6_m4wkOD7IG-k_eo/edit#gid=0"", ""Maths!M:N""), 2, FALSE)"),"Identify the equivalent fractions from a given list of fractions.")</f>
        <v>Identify the equivalent fractions from a given list of fractions.</v>
      </c>
      <c r="N92" s="29" t="str">
        <f t="shared" si="8"/>
        <v>LU000285.003</v>
      </c>
      <c r="O92" s="29" t="str">
        <f ca="1">IFERROR(__xludf.dummyfunction("VLOOKUP(N92, IMPORTRANGE(""https://docs.google.com/spreadsheets/d/1yDAaXNsi4Mr5FtRQL4tbmSdIzhx6_m4wkOD7IG-k_eo/edit#gid=0"", ""Maths!M:N""), 2, FALSE)"),"Determine equivalent fractions for a given fraction.")</f>
        <v>Determine equivalent fractions for a given fraction.</v>
      </c>
      <c r="P92" s="29" t="str">
        <f t="shared" si="9"/>
        <v>LU000285.004</v>
      </c>
      <c r="Q92" s="29" t="str">
        <f ca="1">IFERROR(__xludf.dummyfunction("VLOOKUP(P92, IMPORTRANGE(""https://docs.google.com/spreadsheets/d/1yDAaXNsi4Mr5FtRQL4tbmSdIzhx6_m4wkOD7IG-k_eo/edit#gid=0"", ""Maths!M:N""), 2, FALSE)"),"Convert a fraction to an equivalent fraction with specific numerator and denominator.")</f>
        <v>Convert a fraction to an equivalent fraction with specific numerator and denominator.</v>
      </c>
      <c r="R92" s="29" t="str">
        <f t="shared" si="10"/>
        <v>LU000285.005</v>
      </c>
      <c r="S92" s="29" t="str">
        <f ca="1">IFERROR(__xludf.dummyfunction("VLOOKUP(R92, IMPORTRANGE(""https://docs.google.com/spreadsheets/d/1yDAaXNsi4Mr5FtRQL4tbmSdIzhx6_m4wkOD7IG-k_eo/edit#gid=0"", ""Maths!M:N""), 2, FALSE)"),"Justify that equivalent fractions lie on the same point on a number line and represent them accordingly.")</f>
        <v>Justify that equivalent fractions lie on the same point on a number line and represent them accordingly.</v>
      </c>
      <c r="T92" s="29" t="str">
        <f t="shared" si="11"/>
        <v>LU000285.006</v>
      </c>
      <c r="U92" s="29" t="str">
        <f ca="1">IFERROR(__xludf.dummyfunction("VLOOKUP(T92, IMPORTRANGE(""https://docs.google.com/spreadsheets/d/1yDAaXNsi4Mr5FtRQL4tbmSdIzhx6_m4wkOD7IG-k_eo/edit#gid=0"", ""Maths!M:N""), 2, FALSE)"),"Determine whether two fractions are equivalent or not by finding the cross product of numerators and denominators.")</f>
        <v>Determine whether two fractions are equivalent or not by finding the cross product of numerators and denominators.</v>
      </c>
      <c r="V92" s="16">
        <f ca="1">IFERROR(__xludf.dummyfunction("ArrayFormula(VLOOKUP(G92, IMPORTRANGE(""https://docs.google.com/spreadsheets/d/1p7R4vtkWt5VOBim4ltsDG9KTzSjrtKXsMtQGXPHyND0/edit#gid=795171502"", ""'Filter 30_05_2024'!A1:M2000""), {2, 3, 4, 5,6,7,8,9,10,11,12,13}, 0))"),13)</f>
        <v>13</v>
      </c>
      <c r="W92" s="16">
        <f ca="1">IFERROR(__xludf.dummyfunction("""COMPUTED_VALUE"""),6)</f>
        <v>6</v>
      </c>
      <c r="X92" s="16">
        <f ca="1">IFERROR(__xludf.dummyfunction("""COMPUTED_VALUE"""),10)</f>
        <v>10</v>
      </c>
      <c r="Y92" s="16">
        <f ca="1">IFERROR(__xludf.dummyfunction("""COMPUTED_VALUE"""),29)</f>
        <v>29</v>
      </c>
      <c r="Z92" s="16">
        <f ca="1">IFERROR(__xludf.dummyfunction("""COMPUTED_VALUE"""),5)</f>
        <v>5</v>
      </c>
      <c r="AA92" s="30">
        <f ca="1">IFERROR(__xludf.dummyfunction("""COMPUTED_VALUE"""),12)</f>
        <v>12</v>
      </c>
      <c r="AB92" s="30">
        <f ca="1">IFERROR(__xludf.dummyfunction("""COMPUTED_VALUE"""),6)</f>
        <v>6</v>
      </c>
      <c r="AC92" s="30">
        <f ca="1">IFERROR(__xludf.dummyfunction("""COMPUTED_VALUE"""),23)</f>
        <v>23</v>
      </c>
      <c r="AD92" s="16"/>
      <c r="AE92" s="30"/>
      <c r="AF92" s="30"/>
      <c r="AG92" s="30"/>
    </row>
    <row r="93" spans="1:33" ht="13.8">
      <c r="A93" s="25"/>
      <c r="B93" s="26" t="s">
        <v>29</v>
      </c>
      <c r="C93" s="26" t="s">
        <v>310</v>
      </c>
      <c r="D93" s="26">
        <v>6</v>
      </c>
      <c r="E93" s="27" t="s">
        <v>434</v>
      </c>
      <c r="F93" s="28"/>
      <c r="G93" s="26" t="s">
        <v>449</v>
      </c>
      <c r="H93" s="28" t="str">
        <f ca="1">IFERROR(__xludf.dummyfunction("IFERROR(
  VLOOKUP(G93, IMPORTRANGE(""https://docs.google.com/spreadsheets/d/14deopnvwcrKtEGCKuYXdUHJbeLDZlkiSSWWT0g7x2pM/edit#gid=849066331"", ""LU List Maths (Filter)!A:B""), 2, FALSE),
  IFERROR(
    VLOOKUP(G93, IMPORTRANGE(""https://docs.google.com/s"&amp;"preadsheets/d/14deopnvwcrKtEGCKuYXdUHJbeLDZlkiSSWWT0g7x2pM/edit#gid=849066331"", ""LU List Science (Filter)!A:B""), 2, FALSE),
    ""Not Found""
  )
)
"),"Simplest (or Lowest) form of a fraction")</f>
        <v>Simplest (or Lowest) form of a fraction</v>
      </c>
      <c r="I93" s="28"/>
      <c r="J93" s="29" t="str">
        <f t="shared" si="6"/>
        <v>LU000291.001</v>
      </c>
      <c r="K93" s="29" t="str">
        <f ca="1">IFERROR(__xludf.dummyfunction("VLOOKUP(J93, IMPORTRANGE(""https://docs.google.com/spreadsheets/d/1yDAaXNsi4Mr5FtRQL4tbmSdIzhx6_m4wkOD7IG-k_eo/edit#gid=0"", ""Maths!M:N""), 2, FALSE)"),"Recall the definition of simplest (or lowest) form of a fraction.")</f>
        <v>Recall the definition of simplest (or lowest) form of a fraction.</v>
      </c>
      <c r="L93" s="29" t="str">
        <f t="shared" si="7"/>
        <v>LU000291.002</v>
      </c>
      <c r="M93" s="29" t="str">
        <f ca="1">IFERROR(__xludf.dummyfunction("VLOOKUP(L93, IMPORTRANGE(""https://docs.google.com/spreadsheets/d/1yDAaXNsi4Mr5FtRQL4tbmSdIzhx6_m4wkOD7IG-k_eo/edit#gid=0"", ""Maths!M:N""), 2, FALSE)"),"Explain the concept of reducing a fraction to its simplest form.")</f>
        <v>Explain the concept of reducing a fraction to its simplest form.</v>
      </c>
      <c r="N93" s="29" t="str">
        <f t="shared" si="8"/>
        <v>LU000291.003</v>
      </c>
      <c r="O93" s="29" t="str">
        <f ca="1">IFERROR(__xludf.dummyfunction("VLOOKUP(N93, IMPORTRANGE(""https://docs.google.com/spreadsheets/d/1yDAaXNsi4Mr5FtRQL4tbmSdIzhx6_m4wkOD7IG-k_eo/edit#gid=0"", ""Maths!M:N""), 2, FALSE)"),"Determine the simplest form of fraction by dividing its numerator and denominator by the highest common factor.")</f>
        <v>Determine the simplest form of fraction by dividing its numerator and denominator by the highest common factor.</v>
      </c>
      <c r="P93" s="29" t="str">
        <f t="shared" si="9"/>
        <v>LU000291.004</v>
      </c>
      <c r="Q93" s="29" t="str">
        <f ca="1">IFERROR(__xludf.dummyfunction("VLOOKUP(P93, IMPORTRANGE(""https://docs.google.com/spreadsheets/d/1yDAaXNsi4Mr5FtRQL4tbmSdIzhx6_m4wkOD7IG-k_eo/edit#gid=0"", ""Maths!M:N""), 2, FALSE)"),"Analyse the common factors between the numerator and denominator of a fraction to determine whether it is in the simplest form.")</f>
        <v>Analyse the common factors between the numerator and denominator of a fraction to determine whether it is in the simplest form.</v>
      </c>
      <c r="R93" s="29" t="str">
        <f t="shared" si="10"/>
        <v>LU000291.005</v>
      </c>
      <c r="S93" s="29" t="str">
        <f ca="1">IFERROR(__xludf.dummyfunction("VLOOKUP(R93, IMPORTRANGE(""https://docs.google.com/spreadsheets/d/1yDAaXNsi4Mr5FtRQL4tbmSdIzhx6_m4wkOD7IG-k_eo/edit#gid=0"", ""Maths!M:N""), 2, FALSE)"),"#N/A")</f>
        <v>#N/A</v>
      </c>
      <c r="T93" s="29" t="str">
        <f t="shared" si="11"/>
        <v>LU000291.006</v>
      </c>
      <c r="U93" s="29" t="str">
        <f ca="1">IFERROR(__xludf.dummyfunction("VLOOKUP(T93, IMPORTRANGE(""https://docs.google.com/spreadsheets/d/1yDAaXNsi4Mr5FtRQL4tbmSdIzhx6_m4wkOD7IG-k_eo/edit#gid=0"", ""Maths!M:N""), 2, FALSE)"),"#N/A")</f>
        <v>#N/A</v>
      </c>
      <c r="V93" s="16">
        <f ca="1">IFERROR(__xludf.dummyfunction("ArrayFormula(VLOOKUP(G93, IMPORTRANGE(""https://docs.google.com/spreadsheets/d/1p7R4vtkWt5VOBim4ltsDG9KTzSjrtKXsMtQGXPHyND0/edit#gid=795171502"", ""'Filter 30_05_2024'!A1:M2000""), {2, 3, 4, 5,6,7,8,9,10,11,12,13}, 0))"),4)</f>
        <v>4</v>
      </c>
      <c r="W93" s="16">
        <f ca="1">IFERROR(__xludf.dummyfunction("""COMPUTED_VALUE"""),9)</f>
        <v>9</v>
      </c>
      <c r="X93" s="16">
        <f ca="1">IFERROR(__xludf.dummyfunction("""COMPUTED_VALUE"""),2)</f>
        <v>2</v>
      </c>
      <c r="Y93" s="16">
        <f ca="1">IFERROR(__xludf.dummyfunction("""COMPUTED_VALUE"""),15)</f>
        <v>15</v>
      </c>
      <c r="Z93" s="16">
        <f ca="1">IFERROR(__xludf.dummyfunction("""COMPUTED_VALUE"""),4)</f>
        <v>4</v>
      </c>
      <c r="AA93" s="30">
        <f ca="1">IFERROR(__xludf.dummyfunction("""COMPUTED_VALUE"""),5)</f>
        <v>5</v>
      </c>
      <c r="AB93" s="30">
        <f ca="1">IFERROR(__xludf.dummyfunction("""COMPUTED_VALUE"""),1)</f>
        <v>1</v>
      </c>
      <c r="AC93" s="30">
        <f ca="1">IFERROR(__xludf.dummyfunction("""COMPUTED_VALUE"""),10)</f>
        <v>10</v>
      </c>
      <c r="AD93" s="16"/>
      <c r="AE93" s="30"/>
      <c r="AF93" s="30"/>
      <c r="AG93" s="30"/>
    </row>
    <row r="94" spans="1:33" ht="13.8">
      <c r="A94" s="25"/>
      <c r="B94" s="26" t="s">
        <v>29</v>
      </c>
      <c r="C94" s="26" t="s">
        <v>310</v>
      </c>
      <c r="D94" s="26">
        <v>6</v>
      </c>
      <c r="E94" s="27" t="s">
        <v>434</v>
      </c>
      <c r="F94" s="28"/>
      <c r="G94" s="26" t="s">
        <v>450</v>
      </c>
      <c r="H94" s="28" t="str">
        <f ca="1">IFERROR(__xludf.dummyfunction("IFERROR(
  VLOOKUP(G94, IMPORTRANGE(""https://docs.google.com/spreadsheets/d/14deopnvwcrKtEGCKuYXdUHJbeLDZlkiSSWWT0g7x2pM/edit#gid=849066331"", ""LU List Maths (Filter)!A:B""), 2, FALSE),
  IFERROR(
    VLOOKUP(G94, IMPORTRANGE(""https://docs.google.com/s"&amp;"preadsheets/d/14deopnvwcrKtEGCKuYXdUHJbeLDZlkiSSWWT0g7x2pM/edit#gid=849066331"", ""LU List Science (Filter)!A:B""), 2, FALSE),
    ""Not Found""
  )
)
"),"Definition of like and unlike fractions")</f>
        <v>Definition of like and unlike fractions</v>
      </c>
      <c r="I94" s="28"/>
      <c r="J94" s="29" t="str">
        <f t="shared" si="6"/>
        <v>LU000286.001</v>
      </c>
      <c r="K94" s="29" t="str">
        <f ca="1">IFERROR(__xludf.dummyfunction("VLOOKUP(J94, IMPORTRANGE(""https://docs.google.com/spreadsheets/d/1yDAaXNsi4Mr5FtRQL4tbmSdIzhx6_m4wkOD7IG-k_eo/edit#gid=0"", ""Maths!M:N""), 2, FALSE)"),"Define like and unlike fractions with examples.")</f>
        <v>Define like and unlike fractions with examples.</v>
      </c>
      <c r="L94" s="29" t="str">
        <f t="shared" si="7"/>
        <v>LU000286.002</v>
      </c>
      <c r="M94" s="29" t="str">
        <f ca="1">IFERROR(__xludf.dummyfunction("VLOOKUP(L94, IMPORTRANGE(""https://docs.google.com/spreadsheets/d/1yDAaXNsi4Mr5FtRQL4tbmSdIzhx6_m4wkOD7IG-k_eo/edit#gid=0"", ""Maths!M:N""), 2, FALSE)"),"Identify like or unlike fractions from a given set of fractions.")</f>
        <v>Identify like or unlike fractions from a given set of fractions.</v>
      </c>
      <c r="N94" s="29" t="str">
        <f t="shared" si="8"/>
        <v>LU000286.003</v>
      </c>
      <c r="O94" s="29" t="str">
        <f ca="1">IFERROR(__xludf.dummyfunction("VLOOKUP(N94, IMPORTRANGE(""https://docs.google.com/spreadsheets/d/1yDAaXNsi4Mr5FtRQL4tbmSdIzhx6_m4wkOD7IG-k_eo/edit#gid=0"", ""Maths!M:N""), 2, FALSE)"),"Convert unlike fractions to like fractions by finding their equivalent fractions.")</f>
        <v>Convert unlike fractions to like fractions by finding their equivalent fractions.</v>
      </c>
      <c r="P94" s="29" t="str">
        <f t="shared" si="9"/>
        <v>LU000286.004</v>
      </c>
      <c r="Q94" s="29" t="str">
        <f ca="1">IFERROR(__xludf.dummyfunction("VLOOKUP(P94, IMPORTRANGE(""https://docs.google.com/spreadsheets/d/1yDAaXNsi4Mr5FtRQL4tbmSdIzhx6_m4wkOD7IG-k_eo/edit#gid=0"", ""Maths!M:N""), 2, FALSE)"),"Analyse real-life examples of fractions to determine whether they are like or unlike based on their denominators.")</f>
        <v>Analyse real-life examples of fractions to determine whether they are like or unlike based on their denominators.</v>
      </c>
      <c r="R94" s="29" t="str">
        <f t="shared" si="10"/>
        <v>LU000286.005</v>
      </c>
      <c r="S94" s="29" t="str">
        <f ca="1">IFERROR(__xludf.dummyfunction("VLOOKUP(R94, IMPORTRANGE(""https://docs.google.com/spreadsheets/d/1yDAaXNsi4Mr5FtRQL4tbmSdIzhx6_m4wkOD7IG-k_eo/edit#gid=0"", ""Maths!M:N""), 2, FALSE)"),"Evaluate the significance of like and unlike fractions in solving real-world problems involving fractions.")</f>
        <v>Evaluate the significance of like and unlike fractions in solving real-world problems involving fractions.</v>
      </c>
      <c r="T94" s="29" t="str">
        <f t="shared" si="11"/>
        <v>LU000286.006</v>
      </c>
      <c r="U94" s="29" t="str">
        <f ca="1">IFERROR(__xludf.dummyfunction("VLOOKUP(T94, IMPORTRANGE(""https://docs.google.com/spreadsheets/d/1yDAaXNsi4Mr5FtRQL4tbmSdIzhx6_m4wkOD7IG-k_eo/edit#gid=0"", ""Maths!M:N""), 2, FALSE)"),"Develop visual representations showcasing examples of like and unlike fractions.")</f>
        <v>Develop visual representations showcasing examples of like and unlike fractions.</v>
      </c>
      <c r="V94" s="16">
        <f ca="1">IFERROR(__xludf.dummyfunction("ArrayFormula(VLOOKUP(G94, IMPORTRANGE(""https://docs.google.com/spreadsheets/d/1p7R4vtkWt5VOBim4ltsDG9KTzSjrtKXsMtQGXPHyND0/edit#gid=795171502"", ""'Filter 30_05_2024'!A1:M2000""), {2, 3, 4, 5,6,7,8,9,10,11,12,13}, 0))"),10)</f>
        <v>10</v>
      </c>
      <c r="W94" s="16">
        <f ca="1">IFERROR(__xludf.dummyfunction("""COMPUTED_VALUE"""),6)</f>
        <v>6</v>
      </c>
      <c r="X94" s="16">
        <f ca="1">IFERROR(__xludf.dummyfunction("""COMPUTED_VALUE"""),2)</f>
        <v>2</v>
      </c>
      <c r="Y94" s="16">
        <f ca="1">IFERROR(__xludf.dummyfunction("""COMPUTED_VALUE"""),18)</f>
        <v>18</v>
      </c>
      <c r="Z94" s="16">
        <f ca="1">IFERROR(__xludf.dummyfunction("""COMPUTED_VALUE"""),4)</f>
        <v>4</v>
      </c>
      <c r="AA94" s="30">
        <f ca="1">IFERROR(__xludf.dummyfunction("""COMPUTED_VALUE"""),3)</f>
        <v>3</v>
      </c>
      <c r="AB94" s="30">
        <f ca="1">IFERROR(__xludf.dummyfunction("""COMPUTED_VALUE"""),1)</f>
        <v>1</v>
      </c>
      <c r="AC94" s="30">
        <f ca="1">IFERROR(__xludf.dummyfunction("""COMPUTED_VALUE"""),8)</f>
        <v>8</v>
      </c>
      <c r="AD94" s="16"/>
      <c r="AE94" s="30"/>
      <c r="AF94" s="30"/>
      <c r="AG94" s="30"/>
    </row>
    <row r="95" spans="1:33" ht="13.8">
      <c r="A95" s="25"/>
      <c r="B95" s="26" t="s">
        <v>29</v>
      </c>
      <c r="C95" s="26" t="s">
        <v>310</v>
      </c>
      <c r="D95" s="26">
        <v>6</v>
      </c>
      <c r="E95" s="27" t="s">
        <v>434</v>
      </c>
      <c r="F95" s="28"/>
      <c r="G95" s="26" t="s">
        <v>451</v>
      </c>
      <c r="H95" s="28" t="str">
        <f ca="1">IFERROR(__xludf.dummyfunction("IFERROR(
  VLOOKUP(G95, IMPORTRANGE(""https://docs.google.com/spreadsheets/d/14deopnvwcrKtEGCKuYXdUHJbeLDZlkiSSWWT0g7x2pM/edit#gid=849066331"", ""LU List Maths (Filter)!A:B""), 2, FALSE),
  IFERROR(
    VLOOKUP(G95, IMPORTRANGE(""https://docs.google.com/s"&amp;"preadsheets/d/14deopnvwcrKtEGCKuYXdUHJbeLDZlkiSSWWT0g7x2pM/edit#gid=849066331"", ""LU List Science (Filter)!A:B""), 2, FALSE),
    ""Not Found""
  )
)
"),"Comparison of fractions")</f>
        <v>Comparison of fractions</v>
      </c>
      <c r="I95" s="28"/>
      <c r="J95" s="29" t="str">
        <f t="shared" si="6"/>
        <v>LU000287.001</v>
      </c>
      <c r="K95" s="29" t="str">
        <f ca="1">IFERROR(__xludf.dummyfunction("VLOOKUP(J95, IMPORTRANGE(""https://docs.google.com/spreadsheets/d/1yDAaXNsi4Mr5FtRQL4tbmSdIzhx6_m4wkOD7IG-k_eo/edit#gid=0"", ""Maths!M:N""), 2, FALSE)"),"Recall the methods of comparing fractions using common denominators and cross-multiplication.")</f>
        <v>Recall the methods of comparing fractions using common denominators and cross-multiplication.</v>
      </c>
      <c r="L95" s="29" t="str">
        <f t="shared" si="7"/>
        <v>LU000287.002</v>
      </c>
      <c r="M95" s="29" t="str">
        <f ca="1">IFERROR(__xludf.dummyfunction("VLOOKUP(L95, IMPORTRANGE(""https://docs.google.com/spreadsheets/d/1yDAaXNsi4Mr5FtRQL4tbmSdIzhx6_m4wkOD7IG-k_eo/edit#gid=0"", ""Maths!M:N""), 2, FALSE)"),"Compare two fractions by the cross-multiplication method or by taking the LCM, and record comparisons using &lt;, &gt;, or = sign.")</f>
        <v>Compare two fractions by the cross-multiplication method or by taking the LCM, and record comparisons using &lt;, &gt;, or = sign.</v>
      </c>
      <c r="N95" s="29" t="str">
        <f t="shared" si="8"/>
        <v>LU000287.003</v>
      </c>
      <c r="O95" s="29" t="str">
        <f ca="1">IFERROR(__xludf.dummyfunction("VLOOKUP(N95, IMPORTRANGE(""https://docs.google.com/spreadsheets/d/1yDAaXNsi4Mr5FtRQL4tbmSdIzhx6_m4wkOD7IG-k_eo/edit#gid=0"", ""Maths!M:N""), 2, FALSE)"),"Compare fractions and arrange them in either ascending or descending order.")</f>
        <v>Compare fractions and arrange them in either ascending or descending order.</v>
      </c>
      <c r="P95" s="29" t="str">
        <f t="shared" si="9"/>
        <v>LU000287.004</v>
      </c>
      <c r="Q95" s="29" t="str">
        <f ca="1">IFERROR(__xludf.dummyfunction("VLOOKUP(P95, IMPORTRANGE(""https://docs.google.com/spreadsheets/d/1yDAaXNsi4Mr5FtRQL4tbmSdIzhx6_m4wkOD7IG-k_eo/edit#gid=0"", ""Maths!M:N""), 2, FALSE)"),"Solve word problems based on the comparison of fractions.")</f>
        <v>Solve word problems based on the comparison of fractions.</v>
      </c>
      <c r="R95" s="29" t="str">
        <f t="shared" si="10"/>
        <v>LU000287.005</v>
      </c>
      <c r="S95" s="29" t="str">
        <f ca="1">IFERROR(__xludf.dummyfunction("VLOOKUP(R95, IMPORTRANGE(""https://docs.google.com/spreadsheets/d/1yDAaXNsi4Mr5FtRQL4tbmSdIzhx6_m4wkOD7IG-k_eo/edit#gid=0"", ""Maths!M:N""), 2, FALSE)"),"Evaluate the effectiveness of different methods for comparing fractions in solving mathematical problems.")</f>
        <v>Evaluate the effectiveness of different methods for comparing fractions in solving mathematical problems.</v>
      </c>
      <c r="T95" s="29" t="str">
        <f t="shared" si="11"/>
        <v>LU000287.006</v>
      </c>
      <c r="U95" s="29" t="str">
        <f ca="1">IFERROR(__xludf.dummyfunction("VLOOKUP(T95, IMPORTRANGE(""https://docs.google.com/spreadsheets/d/1yDAaXNsi4Mr5FtRQL4tbmSdIzhx6_m4wkOD7IG-k_eo/edit#gid=0"", ""Maths!M:N""), 2, FALSE)"),"Generate a set of fractions and create activities that require students to compare and arrange them based on their magnitudes.")</f>
        <v>Generate a set of fractions and create activities that require students to compare and arrange them based on their magnitudes.</v>
      </c>
      <c r="V95" s="16">
        <f ca="1">IFERROR(__xludf.dummyfunction("ArrayFormula(VLOOKUP(G95, IMPORTRANGE(""https://docs.google.com/spreadsheets/d/1p7R4vtkWt5VOBim4ltsDG9KTzSjrtKXsMtQGXPHyND0/edit#gid=795171502"", ""'Filter 30_05_2024'!A1:M2000""), {2, 3, 4, 5,6,7,8,9,10,11,12,13}, 0))"),5)</f>
        <v>5</v>
      </c>
      <c r="W95" s="16">
        <f ca="1">IFERROR(__xludf.dummyfunction("""COMPUTED_VALUE"""),11)</f>
        <v>11</v>
      </c>
      <c r="X95" s="16">
        <f ca="1">IFERROR(__xludf.dummyfunction("""COMPUTED_VALUE"""),6)</f>
        <v>6</v>
      </c>
      <c r="Y95" s="16">
        <f ca="1">IFERROR(__xludf.dummyfunction("""COMPUTED_VALUE"""),22)</f>
        <v>22</v>
      </c>
      <c r="Z95" s="16">
        <f ca="1">IFERROR(__xludf.dummyfunction("""COMPUTED_VALUE"""),8)</f>
        <v>8</v>
      </c>
      <c r="AA95" s="30">
        <f ca="1">IFERROR(__xludf.dummyfunction("""COMPUTED_VALUE"""),11)</f>
        <v>11</v>
      </c>
      <c r="AB95" s="30">
        <f ca="1">IFERROR(__xludf.dummyfunction("""COMPUTED_VALUE"""),3)</f>
        <v>3</v>
      </c>
      <c r="AC95" s="30">
        <f ca="1">IFERROR(__xludf.dummyfunction("""COMPUTED_VALUE"""),22)</f>
        <v>22</v>
      </c>
      <c r="AD95" s="16"/>
      <c r="AE95" s="30"/>
      <c r="AF95" s="30"/>
      <c r="AG95" s="30"/>
    </row>
    <row r="96" spans="1:33" ht="26.4">
      <c r="A96" s="25"/>
      <c r="B96" s="26" t="s">
        <v>29</v>
      </c>
      <c r="C96" s="26" t="s">
        <v>310</v>
      </c>
      <c r="D96" s="26">
        <v>6</v>
      </c>
      <c r="E96" s="27" t="s">
        <v>434</v>
      </c>
      <c r="F96" s="28" t="s">
        <v>452</v>
      </c>
      <c r="G96" s="26" t="s">
        <v>453</v>
      </c>
      <c r="H96" s="28" t="str">
        <f ca="1">IFERROR(__xludf.dummyfunction("IFERROR(
  VLOOKUP(G96, IMPORTRANGE(""https://docs.google.com/spreadsheets/d/14deopnvwcrKtEGCKuYXdUHJbeLDZlkiSSWWT0g7x2pM/edit#gid=849066331"", ""LU List Maths (Filter)!A:B""), 2, FALSE),
  IFERROR(
    VLOOKUP(G96, IMPORTRANGE(""https://docs.google.com/s"&amp;"preadsheets/d/14deopnvwcrKtEGCKuYXdUHJbeLDZlkiSSWWT0g7x2pM/edit#gid=849066331"", ""LU List Science (Filter)!A:B""), 2, FALSE),
    ""Not Found""
  )
)
"),"Addition of fractions with the same denominators")</f>
        <v>Addition of fractions with the same denominators</v>
      </c>
      <c r="I96" s="28"/>
      <c r="J96" s="29" t="str">
        <f t="shared" si="6"/>
        <v>LU000977.001</v>
      </c>
      <c r="K96" s="29" t="str">
        <f ca="1">IFERROR(__xludf.dummyfunction("VLOOKUP(J96, IMPORTRANGE(""https://docs.google.com/spreadsheets/d/1yDAaXNsi4Mr5FtRQL4tbmSdIzhx6_m4wkOD7IG-k_eo/edit#gid=0"", ""Maths!M:N""), 2, FALSE)"),"Recall rules for adding like fractions with the same denominators.")</f>
        <v>Recall rules for adding like fractions with the same denominators.</v>
      </c>
      <c r="L96" s="29" t="str">
        <f t="shared" si="7"/>
        <v>LU000977.002</v>
      </c>
      <c r="M96" s="29" t="str">
        <f ca="1">IFERROR(__xludf.dummyfunction("VLOOKUP(L96, IMPORTRANGE(""https://docs.google.com/spreadsheets/d/1yDAaXNsi4Mr5FtRQL4tbmSdIzhx6_m4wkOD7IG-k_eo/edit#gid=0"", ""Maths!M:N""), 2, FALSE)"),"Explain the concept of like fractions and why the denominators must be the same for addition.")</f>
        <v>Explain the concept of like fractions and why the denominators must be the same for addition.</v>
      </c>
      <c r="N96" s="29" t="str">
        <f t="shared" si="8"/>
        <v>LU000977.003</v>
      </c>
      <c r="O96" s="29" t="str">
        <f ca="1">IFERROR(__xludf.dummyfunction("VLOOKUP(N96, IMPORTRANGE(""https://docs.google.com/spreadsheets/d/1yDAaXNsi4Mr5FtRQL4tbmSdIzhx6_m4wkOD7IG-k_eo/edit#gid=0"", ""Maths!M:N""), 2, FALSE)"),"Apply addition techniques to add like fractions accurately.")</f>
        <v>Apply addition techniques to add like fractions accurately.</v>
      </c>
      <c r="P96" s="29" t="str">
        <f t="shared" si="9"/>
        <v>LU000977.004</v>
      </c>
      <c r="Q96" s="29" t="str">
        <f ca="1">IFERROR(__xludf.dummyfunction("VLOOKUP(P96, IMPORTRANGE(""https://docs.google.com/spreadsheets/d/1yDAaXNsi4Mr5FtRQL4tbmSdIzhx6_m4wkOD7IG-k_eo/edit#gid=0"", ""Maths!M:N""), 2, FALSE)"),"Analyze like fractions to determine their compatibility for addition.")</f>
        <v>Analyze like fractions to determine their compatibility for addition.</v>
      </c>
      <c r="R96" s="29" t="str">
        <f t="shared" si="10"/>
        <v>LU000977.005</v>
      </c>
      <c r="S96" s="29" t="str">
        <f ca="1">IFERROR(__xludf.dummyfunction("VLOOKUP(R96, IMPORTRANGE(""https://docs.google.com/spreadsheets/d/1yDAaXNsi4Mr5FtRQL4tbmSdIzhx6_m4wkOD7IG-k_eo/edit#gid=0"", ""Maths!M:N""), 2, FALSE)"),"Evaluate the correctness of added like fractions, providing explanations for errors.")</f>
        <v>Evaluate the correctness of added like fractions, providing explanations for errors.</v>
      </c>
      <c r="T96" s="29" t="str">
        <f t="shared" si="11"/>
        <v>LU000977.006</v>
      </c>
      <c r="U96" s="29" t="str">
        <f ca="1">IFERROR(__xludf.dummyfunction("VLOOKUP(T96, IMPORTRANGE(""https://docs.google.com/spreadsheets/d/1yDAaXNsi4Mr5FtRQL4tbmSdIzhx6_m4wkOD7IG-k_eo/edit#gid=0"", ""Maths!M:N""), 2, FALSE)"),"#N/A")</f>
        <v>#N/A</v>
      </c>
      <c r="V96" s="16">
        <f ca="1">IFERROR(__xludf.dummyfunction("ArrayFormula(VLOOKUP(G96, IMPORTRANGE(""https://docs.google.com/spreadsheets/d/1p7R4vtkWt5VOBim4ltsDG9KTzSjrtKXsMtQGXPHyND0/edit#gid=795171502"", ""'Filter 30_05_2024'!A1:M2000""), {2, 3, 4, 5,6,7,8,9,10,11,12,13}, 0))"),4)</f>
        <v>4</v>
      </c>
      <c r="W96" s="16">
        <f ca="1">IFERROR(__xludf.dummyfunction("""COMPUTED_VALUE"""),2)</f>
        <v>2</v>
      </c>
      <c r="X96" s="16">
        <f ca="1">IFERROR(__xludf.dummyfunction("""COMPUTED_VALUE"""),2)</f>
        <v>2</v>
      </c>
      <c r="Y96" s="16">
        <f ca="1">IFERROR(__xludf.dummyfunction("""COMPUTED_VALUE"""),8)</f>
        <v>8</v>
      </c>
      <c r="Z96" s="16">
        <f ca="1">IFERROR(__xludf.dummyfunction("""COMPUTED_VALUE"""),4)</f>
        <v>4</v>
      </c>
      <c r="AA96" s="30">
        <f ca="1">IFERROR(__xludf.dummyfunction("""COMPUTED_VALUE"""),9)</f>
        <v>9</v>
      </c>
      <c r="AB96" s="30">
        <f ca="1">IFERROR(__xludf.dummyfunction("""COMPUTED_VALUE"""),1)</f>
        <v>1</v>
      </c>
      <c r="AC96" s="30">
        <f ca="1">IFERROR(__xludf.dummyfunction("""COMPUTED_VALUE"""),14)</f>
        <v>14</v>
      </c>
      <c r="AD96" s="16"/>
      <c r="AE96" s="30"/>
      <c r="AF96" s="30"/>
      <c r="AG96" s="30"/>
    </row>
    <row r="97" spans="1:33" ht="26.4">
      <c r="A97" s="25"/>
      <c r="B97" s="26" t="s">
        <v>29</v>
      </c>
      <c r="C97" s="26" t="s">
        <v>310</v>
      </c>
      <c r="D97" s="26">
        <v>6</v>
      </c>
      <c r="E97" s="27" t="s">
        <v>434</v>
      </c>
      <c r="F97" s="28"/>
      <c r="G97" s="26" t="s">
        <v>454</v>
      </c>
      <c r="H97" s="28" t="str">
        <f ca="1">IFERROR(__xludf.dummyfunction("IFERROR(
  VLOOKUP(G97, IMPORTRANGE(""https://docs.google.com/spreadsheets/d/14deopnvwcrKtEGCKuYXdUHJbeLDZlkiSSWWT0g7x2pM/edit#gid=849066331"", ""LU List Maths (Filter)!A:B""), 2, FALSE),
  IFERROR(
    VLOOKUP(G97, IMPORTRANGE(""https://docs.google.com/s"&amp;"preadsheets/d/14deopnvwcrKtEGCKuYXdUHJbeLDZlkiSSWWT0g7x2pM/edit#gid=849066331"", ""LU List Science (Filter)!A:B""), 2, FALSE),
    ""Not Found""
  )
)
"),"Subtraction of fractions with the same denominators")</f>
        <v>Subtraction of fractions with the same denominators</v>
      </c>
      <c r="I97" s="28"/>
      <c r="J97" s="29" t="str">
        <f t="shared" si="6"/>
        <v>LU000978.001</v>
      </c>
      <c r="K97" s="29" t="str">
        <f ca="1">IFERROR(__xludf.dummyfunction("VLOOKUP(J97, IMPORTRANGE(""https://docs.google.com/spreadsheets/d/1yDAaXNsi4Mr5FtRQL4tbmSdIzhx6_m4wkOD7IG-k_eo/edit#gid=0"", ""Maths!M:N""), 2, FALSE)"),"Recall rules for subtracting like fractions with the same denominators.")</f>
        <v>Recall rules for subtracting like fractions with the same denominators.</v>
      </c>
      <c r="L97" s="29" t="str">
        <f t="shared" si="7"/>
        <v>LU000978.002</v>
      </c>
      <c r="M97" s="29" t="str">
        <f ca="1">IFERROR(__xludf.dummyfunction("VLOOKUP(L97, IMPORTRANGE(""https://docs.google.com/spreadsheets/d/1yDAaXNsi4Mr5FtRQL4tbmSdIzhx6_m4wkOD7IG-k_eo/edit#gid=0"", ""Maths!M:N""), 2, FALSE)"),"Explain the concept of like fractions and the need for common denominators in subtraction.")</f>
        <v>Explain the concept of like fractions and the need for common denominators in subtraction.</v>
      </c>
      <c r="N97" s="29" t="str">
        <f t="shared" si="8"/>
        <v>LU000978.003</v>
      </c>
      <c r="O97" s="29" t="str">
        <f ca="1">IFERROR(__xludf.dummyfunction("VLOOKUP(N97, IMPORTRANGE(""https://docs.google.com/spreadsheets/d/1yDAaXNsi4Mr5FtRQL4tbmSdIzhx6_m4wkOD7IG-k_eo/edit#gid=0"", ""Maths!M:N""), 2, FALSE)"),"Apply subtraction techniques to subtract like fractions accurately.")</f>
        <v>Apply subtraction techniques to subtract like fractions accurately.</v>
      </c>
      <c r="P97" s="29" t="str">
        <f t="shared" si="9"/>
        <v>LU000978.004</v>
      </c>
      <c r="Q97" s="29" t="str">
        <f ca="1">IFERROR(__xludf.dummyfunction("VLOOKUP(P97, IMPORTRANGE(""https://docs.google.com/spreadsheets/d/1yDAaXNsi4Mr5FtRQL4tbmSdIzhx6_m4wkOD7IG-k_eo/edit#gid=0"", ""Maths!M:N""), 2, FALSE)"),"Analyze like fractions to determine their suitability for subtraction.")</f>
        <v>Analyze like fractions to determine their suitability for subtraction.</v>
      </c>
      <c r="R97" s="29" t="str">
        <f t="shared" si="10"/>
        <v>LU000978.005</v>
      </c>
      <c r="S97" s="29" t="str">
        <f ca="1">IFERROR(__xludf.dummyfunction("VLOOKUP(R97, IMPORTRANGE(""https://docs.google.com/spreadsheets/d/1yDAaXNsi4Mr5FtRQL4tbmSdIzhx6_m4wkOD7IG-k_eo/edit#gid=0"", ""Maths!M:N""), 2, FALSE)"),"Evaluate the correctness of subtracted like fractions, providing explanations for errors.")</f>
        <v>Evaluate the correctness of subtracted like fractions, providing explanations for errors.</v>
      </c>
      <c r="T97" s="29" t="str">
        <f t="shared" si="11"/>
        <v>LU000978.006</v>
      </c>
      <c r="U97" s="29" t="str">
        <f ca="1">IFERROR(__xludf.dummyfunction("VLOOKUP(T97, IMPORTRANGE(""https://docs.google.com/spreadsheets/d/1yDAaXNsi4Mr5FtRQL4tbmSdIzhx6_m4wkOD7IG-k_eo/edit#gid=0"", ""Maths!M:N""), 2, FALSE)"),"#N/A")</f>
        <v>#N/A</v>
      </c>
      <c r="V97" s="16">
        <f ca="1">IFERROR(__xludf.dummyfunction("ArrayFormula(VLOOKUP(G97, IMPORTRANGE(""https://docs.google.com/spreadsheets/d/1p7R4vtkWt5VOBim4ltsDG9KTzSjrtKXsMtQGXPHyND0/edit#gid=795171502"", ""'Filter 30_05_2024'!A1:M2000""), {2, 3, 4, 5,6,7,8,9,10,11,12,13}, 0))"),4)</f>
        <v>4</v>
      </c>
      <c r="W97" s="16">
        <f ca="1">IFERROR(__xludf.dummyfunction("""COMPUTED_VALUE"""),1)</f>
        <v>1</v>
      </c>
      <c r="X97" s="16">
        <f ca="1">IFERROR(__xludf.dummyfunction("""COMPUTED_VALUE"""),2)</f>
        <v>2</v>
      </c>
      <c r="Y97" s="16">
        <f ca="1">IFERROR(__xludf.dummyfunction("""COMPUTED_VALUE"""),7)</f>
        <v>7</v>
      </c>
      <c r="Z97" s="16">
        <f ca="1">IFERROR(__xludf.dummyfunction("""COMPUTED_VALUE"""),4)</f>
        <v>4</v>
      </c>
      <c r="AA97" s="30">
        <f ca="1">IFERROR(__xludf.dummyfunction("""COMPUTED_VALUE"""),9)</f>
        <v>9</v>
      </c>
      <c r="AB97" s="30">
        <f ca="1">IFERROR(__xludf.dummyfunction("""COMPUTED_VALUE"""),1)</f>
        <v>1</v>
      </c>
      <c r="AC97" s="30">
        <f ca="1">IFERROR(__xludf.dummyfunction("""COMPUTED_VALUE"""),14)</f>
        <v>14</v>
      </c>
      <c r="AD97" s="16"/>
      <c r="AE97" s="30"/>
      <c r="AF97" s="30"/>
      <c r="AG97" s="30"/>
    </row>
    <row r="98" spans="1:33" ht="26.4">
      <c r="A98" s="25"/>
      <c r="B98" s="26" t="s">
        <v>29</v>
      </c>
      <c r="C98" s="26" t="s">
        <v>310</v>
      </c>
      <c r="D98" s="26">
        <v>6</v>
      </c>
      <c r="E98" s="27" t="s">
        <v>434</v>
      </c>
      <c r="F98" s="28" t="s">
        <v>455</v>
      </c>
      <c r="G98" s="26" t="s">
        <v>456</v>
      </c>
      <c r="H98" s="28" t="str">
        <f ca="1">IFERROR(__xludf.dummyfunction("IFERROR(
  VLOOKUP(G98, IMPORTRANGE(""https://docs.google.com/spreadsheets/d/14deopnvwcrKtEGCKuYXdUHJbeLDZlkiSSWWT0g7x2pM/edit#gid=849066331"", ""LU List Maths (Filter)!A:B""), 2, FALSE),
  IFERROR(
    VLOOKUP(G98, IMPORTRANGE(""https://docs.google.com/s"&amp;"preadsheets/d/14deopnvwcrKtEGCKuYXdUHJbeLDZlkiSSWWT0g7x2pM/edit#gid=849066331"", ""LU List Science (Filter)!A:B""), 2, FALSE),
    ""Not Found""
  )
)
"),"Addition of fractions with the different denominators")</f>
        <v>Addition of fractions with the different denominators</v>
      </c>
      <c r="I98" s="28"/>
      <c r="J98" s="29" t="str">
        <f t="shared" si="6"/>
        <v>LU000979.001</v>
      </c>
      <c r="K98" s="29" t="str">
        <f ca="1">IFERROR(__xludf.dummyfunction("VLOOKUP(J98, IMPORTRANGE(""https://docs.google.com/spreadsheets/d/1yDAaXNsi4Mr5FtRQL4tbmSdIzhx6_m4wkOD7IG-k_eo/edit#gid=0"", ""Maths!M:N""), 2, FALSE)"),"Recall rules for adding unlike fractions with different denominators.")</f>
        <v>Recall rules for adding unlike fractions with different denominators.</v>
      </c>
      <c r="L98" s="29" t="str">
        <f t="shared" si="7"/>
        <v>LU000979.002</v>
      </c>
      <c r="M98" s="29" t="str">
        <f ca="1">IFERROR(__xludf.dummyfunction("VLOOKUP(L98, IMPORTRANGE(""https://docs.google.com/spreadsheets/d/1yDAaXNsi4Mr5FtRQL4tbmSdIzhx6_m4wkOD7IG-k_eo/edit#gid=0"", ""Maths!M:N""), 2, FALSE)"),"Explain the concept of unlike fractions and the need for a common denominator.")</f>
        <v>Explain the concept of unlike fractions and the need for a common denominator.</v>
      </c>
      <c r="N98" s="29" t="str">
        <f t="shared" si="8"/>
        <v>LU000979.003</v>
      </c>
      <c r="O98" s="29" t="str">
        <f ca="1">IFERROR(__xludf.dummyfunction("VLOOKUP(N98, IMPORTRANGE(""https://docs.google.com/spreadsheets/d/1yDAaXNsi4Mr5FtRQL4tbmSdIzhx6_m4wkOD7IG-k_eo/edit#gid=0"", ""Maths!M:N""), 2, FALSE)"),"Apply addition techniques to add unlike fractions accurately.")</f>
        <v>Apply addition techniques to add unlike fractions accurately.</v>
      </c>
      <c r="P98" s="29" t="str">
        <f t="shared" si="9"/>
        <v>LU000979.004</v>
      </c>
      <c r="Q98" s="29" t="str">
        <f ca="1">IFERROR(__xludf.dummyfunction("VLOOKUP(P98, IMPORTRANGE(""https://docs.google.com/spreadsheets/d/1yDAaXNsi4Mr5FtRQL4tbmSdIzhx6_m4wkOD7IG-k_eo/edit#gid=0"", ""Maths!M:N""), 2, FALSE)"),"Analyze fractions to find the least common denominator and successfully add them.")</f>
        <v>Analyze fractions to find the least common denominator and successfully add them.</v>
      </c>
      <c r="R98" s="29" t="str">
        <f t="shared" si="10"/>
        <v>LU000979.005</v>
      </c>
      <c r="S98" s="29" t="str">
        <f ca="1">IFERROR(__xludf.dummyfunction("VLOOKUP(R98, IMPORTRANGE(""https://docs.google.com/spreadsheets/d/1yDAaXNsi4Mr5FtRQL4tbmSdIzhx6_m4wkOD7IG-k_eo/edit#gid=0"", ""Maths!M:N""), 2, FALSE)"),"Evaluate the correctness of added unlike fractions, explaining errors.")</f>
        <v>Evaluate the correctness of added unlike fractions, explaining errors.</v>
      </c>
      <c r="T98" s="29" t="str">
        <f t="shared" si="11"/>
        <v>LU000979.006</v>
      </c>
      <c r="U98" s="29" t="str">
        <f ca="1">IFERROR(__xludf.dummyfunction("VLOOKUP(T98, IMPORTRANGE(""https://docs.google.com/spreadsheets/d/1yDAaXNsi4Mr5FtRQL4tbmSdIzhx6_m4wkOD7IG-k_eo/edit#gid=0"", ""Maths!M:N""), 2, FALSE)"),"#N/A")</f>
        <v>#N/A</v>
      </c>
      <c r="V98" s="16">
        <f ca="1">IFERROR(__xludf.dummyfunction("ArrayFormula(VLOOKUP(G98, IMPORTRANGE(""https://docs.google.com/spreadsheets/d/1p7R4vtkWt5VOBim4ltsDG9KTzSjrtKXsMtQGXPHyND0/edit#gid=795171502"", ""'Filter 30_05_2024'!A1:M2000""), {2, 3, 4, 5,6,7,8,9,10,11,12,13}, 0))"),4)</f>
        <v>4</v>
      </c>
      <c r="W98" s="16">
        <f ca="1">IFERROR(__xludf.dummyfunction("""COMPUTED_VALUE"""),15)</f>
        <v>15</v>
      </c>
      <c r="X98" s="16">
        <f ca="1">IFERROR(__xludf.dummyfunction("""COMPUTED_VALUE"""),2)</f>
        <v>2</v>
      </c>
      <c r="Y98" s="16">
        <f ca="1">IFERROR(__xludf.dummyfunction("""COMPUTED_VALUE"""),21)</f>
        <v>21</v>
      </c>
      <c r="Z98" s="16">
        <f ca="1">IFERROR(__xludf.dummyfunction("""COMPUTED_VALUE"""),4)</f>
        <v>4</v>
      </c>
      <c r="AA98" s="30">
        <f ca="1">IFERROR(__xludf.dummyfunction("""COMPUTED_VALUE"""),6)</f>
        <v>6</v>
      </c>
      <c r="AB98" s="30">
        <f ca="1">IFERROR(__xludf.dummyfunction("""COMPUTED_VALUE"""),1)</f>
        <v>1</v>
      </c>
      <c r="AC98" s="30">
        <f ca="1">IFERROR(__xludf.dummyfunction("""COMPUTED_VALUE"""),11)</f>
        <v>11</v>
      </c>
      <c r="AD98" s="16"/>
      <c r="AE98" s="30"/>
      <c r="AF98" s="30"/>
      <c r="AG98" s="30"/>
    </row>
    <row r="99" spans="1:33" ht="26.4">
      <c r="A99" s="25"/>
      <c r="B99" s="26" t="s">
        <v>29</v>
      </c>
      <c r="C99" s="26" t="s">
        <v>310</v>
      </c>
      <c r="D99" s="26">
        <v>6</v>
      </c>
      <c r="E99" s="27" t="s">
        <v>434</v>
      </c>
      <c r="F99" s="28"/>
      <c r="G99" s="26" t="s">
        <v>457</v>
      </c>
      <c r="H99" s="28" t="str">
        <f ca="1">IFERROR(__xludf.dummyfunction("IFERROR(
  VLOOKUP(G99, IMPORTRANGE(""https://docs.google.com/spreadsheets/d/14deopnvwcrKtEGCKuYXdUHJbeLDZlkiSSWWT0g7x2pM/edit#gid=849066331"", ""LU List Maths (Filter)!A:B""), 2, FALSE),
  IFERROR(
    VLOOKUP(G99, IMPORTRANGE(""https://docs.google.com/s"&amp;"preadsheets/d/14deopnvwcrKtEGCKuYXdUHJbeLDZlkiSSWWT0g7x2pM/edit#gid=849066331"", ""LU List Science (Filter)!A:B""), 2, FALSE),
    ""Not Found""
  )
)
"),"Subtraction of fractions with the different denominators")</f>
        <v>Subtraction of fractions with the different denominators</v>
      </c>
      <c r="I99" s="28"/>
      <c r="J99" s="29" t="str">
        <f t="shared" si="6"/>
        <v>LU000980.001</v>
      </c>
      <c r="K99" s="29" t="str">
        <f ca="1">IFERROR(__xludf.dummyfunction("VLOOKUP(J99, IMPORTRANGE(""https://docs.google.com/spreadsheets/d/1yDAaXNsi4Mr5FtRQL4tbmSdIzhx6_m4wkOD7IG-k_eo/edit#gid=0"", ""Maths!M:N""), 2, FALSE)"),"Recall rules for subtracting unlike fractions with different denominators.")</f>
        <v>Recall rules for subtracting unlike fractions with different denominators.</v>
      </c>
      <c r="L99" s="29" t="str">
        <f t="shared" si="7"/>
        <v>LU000980.002</v>
      </c>
      <c r="M99" s="29" t="str">
        <f ca="1">IFERROR(__xludf.dummyfunction("VLOOKUP(L99, IMPORTRANGE(""https://docs.google.com/spreadsheets/d/1yDAaXNsi4Mr5FtRQL4tbmSdIzhx6_m4wkOD7IG-k_eo/edit#gid=0"", ""Maths!M:N""), 2, FALSE)"),"Explain the concept of unlike fractions and the need for a common denominator in subtraction.")</f>
        <v>Explain the concept of unlike fractions and the need for a common denominator in subtraction.</v>
      </c>
      <c r="N99" s="29" t="str">
        <f t="shared" si="8"/>
        <v>LU000980.003</v>
      </c>
      <c r="O99" s="29" t="str">
        <f ca="1">IFERROR(__xludf.dummyfunction("VLOOKUP(N99, IMPORTRANGE(""https://docs.google.com/spreadsheets/d/1yDAaXNsi4Mr5FtRQL4tbmSdIzhx6_m4wkOD7IG-k_eo/edit#gid=0"", ""Maths!M:N""), 2, FALSE)"),"Apply subtraction techniques to subtract unlike fractions accurately.")</f>
        <v>Apply subtraction techniques to subtract unlike fractions accurately.</v>
      </c>
      <c r="P99" s="29" t="str">
        <f t="shared" si="9"/>
        <v>LU000980.004</v>
      </c>
      <c r="Q99" s="29" t="str">
        <f ca="1">IFERROR(__xludf.dummyfunction("VLOOKUP(P99, IMPORTRANGE(""https://docs.google.com/spreadsheets/d/1yDAaXNsi4Mr5FtRQL4tbmSdIzhx6_m4wkOD7IG-k_eo/edit#gid=0"", ""Maths!M:N""), 2, FALSE)"),"Analyze fractions to find the least common denominator and successfully subtract them.")</f>
        <v>Analyze fractions to find the least common denominator and successfully subtract them.</v>
      </c>
      <c r="R99" s="29" t="str">
        <f t="shared" si="10"/>
        <v>LU000980.005</v>
      </c>
      <c r="S99" s="29" t="str">
        <f ca="1">IFERROR(__xludf.dummyfunction("VLOOKUP(R99, IMPORTRANGE(""https://docs.google.com/spreadsheets/d/1yDAaXNsi4Mr5FtRQL4tbmSdIzhx6_m4wkOD7IG-k_eo/edit#gid=0"", ""Maths!M:N""), 2, FALSE)"),"Evaluate the correctness of subtracted unlike fractions, providing explanations for errors.")</f>
        <v>Evaluate the correctness of subtracted unlike fractions, providing explanations for errors.</v>
      </c>
      <c r="T99" s="29" t="str">
        <f t="shared" si="11"/>
        <v>LU000980.006</v>
      </c>
      <c r="U99" s="29" t="str">
        <f ca="1">IFERROR(__xludf.dummyfunction("VLOOKUP(T99, IMPORTRANGE(""https://docs.google.com/spreadsheets/d/1yDAaXNsi4Mr5FtRQL4tbmSdIzhx6_m4wkOD7IG-k_eo/edit#gid=0"", ""Maths!M:N""), 2, FALSE)"),"#N/A")</f>
        <v>#N/A</v>
      </c>
      <c r="V99" s="16">
        <f ca="1">IFERROR(__xludf.dummyfunction("ArrayFormula(VLOOKUP(G99, IMPORTRANGE(""https://docs.google.com/spreadsheets/d/1p7R4vtkWt5VOBim4ltsDG9KTzSjrtKXsMtQGXPHyND0/edit#gid=795171502"", ""'Filter 30_05_2024'!A1:M2000""), {2, 3, 4, 5,6,7,8,9,10,11,12,13}, 0))"),4)</f>
        <v>4</v>
      </c>
      <c r="W99" s="16">
        <f ca="1">IFERROR(__xludf.dummyfunction("""COMPUTED_VALUE"""),16)</f>
        <v>16</v>
      </c>
      <c r="X99" s="16">
        <f ca="1">IFERROR(__xludf.dummyfunction("""COMPUTED_VALUE"""),2)</f>
        <v>2</v>
      </c>
      <c r="Y99" s="16">
        <f ca="1">IFERROR(__xludf.dummyfunction("""COMPUTED_VALUE"""),22)</f>
        <v>22</v>
      </c>
      <c r="Z99" s="16">
        <f ca="1">IFERROR(__xludf.dummyfunction("""COMPUTED_VALUE"""),4)</f>
        <v>4</v>
      </c>
      <c r="AA99" s="30">
        <f ca="1">IFERROR(__xludf.dummyfunction("""COMPUTED_VALUE"""),10)</f>
        <v>10</v>
      </c>
      <c r="AB99" s="30">
        <f ca="1">IFERROR(__xludf.dummyfunction("""COMPUTED_VALUE"""),1)</f>
        <v>1</v>
      </c>
      <c r="AC99" s="30">
        <f ca="1">IFERROR(__xludf.dummyfunction("""COMPUTED_VALUE"""),15)</f>
        <v>15</v>
      </c>
      <c r="AD99" s="16"/>
      <c r="AE99" s="30"/>
      <c r="AF99" s="30"/>
      <c r="AG99" s="30"/>
    </row>
    <row r="100" spans="1:33" ht="26.4">
      <c r="A100" s="25"/>
      <c r="B100" s="26" t="s">
        <v>29</v>
      </c>
      <c r="C100" s="26" t="s">
        <v>310</v>
      </c>
      <c r="D100" s="26">
        <v>6</v>
      </c>
      <c r="E100" s="27" t="s">
        <v>434</v>
      </c>
      <c r="F100" s="28" t="s">
        <v>458</v>
      </c>
      <c r="G100" s="26" t="s">
        <v>459</v>
      </c>
      <c r="H100" s="28" t="str">
        <f ca="1">IFERROR(__xludf.dummyfunction("IFERROR(
  VLOOKUP(G100, IMPORTRANGE(""https://docs.google.com/spreadsheets/d/14deopnvwcrKtEGCKuYXdUHJbeLDZlkiSSWWT0g7x2pM/edit#gid=849066331"", ""LU List Maths (Filter)!A:B""), 2, FALSE),
  IFERROR(
    VLOOKUP(G100, IMPORTRANGE(""https://docs.google.com"&amp;"/spreadsheets/d/14deopnvwcrKtEGCKuYXdUHJbeLDZlkiSSWWT0g7x2pM/edit#gid=849066331"", ""LU List Science (Filter)!A:B""), 2, FALSE),
    ""Not Found""
  )
)
"),"Addition of mixed fractions")</f>
        <v>Addition of mixed fractions</v>
      </c>
      <c r="I100" s="28"/>
      <c r="J100" s="29" t="str">
        <f t="shared" si="6"/>
        <v>LU000981.001</v>
      </c>
      <c r="K100" s="29" t="str">
        <f ca="1">IFERROR(__xludf.dummyfunction("VLOOKUP(J100, IMPORTRANGE(""https://docs.google.com/spreadsheets/d/1yDAaXNsi4Mr5FtRQL4tbmSdIzhx6_m4wkOD7IG-k_eo/edit#gid=0"", ""Maths!M:N""), 2, FALSE)"),"Recall rules for adding mixed fractions with proper and improper fractions.")</f>
        <v>Recall rules for adding mixed fractions with proper and improper fractions.</v>
      </c>
      <c r="L100" s="29" t="str">
        <f t="shared" si="7"/>
        <v>LU000981.002</v>
      </c>
      <c r="M100" s="29" t="str">
        <f ca="1">IFERROR(__xludf.dummyfunction("VLOOKUP(L100, IMPORTRANGE(""https://docs.google.com/spreadsheets/d/1yDAaXNsi4Mr5FtRQL4tbmSdIzhx6_m4wkOD7IG-k_eo/edit#gid=0"", ""Maths!M:N""), 2, FALSE)"),"Explain the concept of mixed fractions and the steps for adding them, including finding a common denominator.")</f>
        <v>Explain the concept of mixed fractions and the steps for adding them, including finding a common denominator.</v>
      </c>
      <c r="N100" s="29" t="str">
        <f t="shared" si="8"/>
        <v>LU000981.003</v>
      </c>
      <c r="O100" s="29" t="str">
        <f ca="1">IFERROR(__xludf.dummyfunction("VLOOKUP(N100, IMPORTRANGE(""https://docs.google.com/spreadsheets/d/1yDAaXNsi4Mr5FtRQL4tbmSdIzhx6_m4wkOD7IG-k_eo/edit#gid=0"", ""Maths!M:N""), 2, FALSE)"),"Apply addition techniques to add mixed fractions accurately, converting to improper fractions when needed.")</f>
        <v>Apply addition techniques to add mixed fractions accurately, converting to improper fractions when needed.</v>
      </c>
      <c r="P100" s="29" t="str">
        <f t="shared" si="9"/>
        <v>LU000981.004</v>
      </c>
      <c r="Q100" s="29" t="str">
        <f ca="1">IFERROR(__xludf.dummyfunction("VLOOKUP(P100, IMPORTRANGE(""https://docs.google.com/spreadsheets/d/1yDAaXNsi4Mr5FtRQL4tbmSdIzhx6_m4wkOD7IG-k_eo/edit#gid=0"", ""Maths!M:N""), 2, FALSE)"),"Analyze mixed fractions to find the least common denominator and add them correctly.")</f>
        <v>Analyze mixed fractions to find the least common denominator and add them correctly.</v>
      </c>
      <c r="R100" s="29" t="str">
        <f t="shared" si="10"/>
        <v>LU000981.005</v>
      </c>
      <c r="S100" s="29" t="str">
        <f ca="1">IFERROR(__xludf.dummyfunction("VLOOKUP(R100, IMPORTRANGE(""https://docs.google.com/spreadsheets/d/1yDAaXNsi4Mr5FtRQL4tbmSdIzhx6_m4wkOD7IG-k_eo/edit#gid=0"", ""Maths!M:N""), 2, FALSE)"),"Evaluate the correctness of added mixed fractions, explaining errors.")</f>
        <v>Evaluate the correctness of added mixed fractions, explaining errors.</v>
      </c>
      <c r="T100" s="29" t="str">
        <f t="shared" si="11"/>
        <v>LU000981.006</v>
      </c>
      <c r="U100" s="29" t="str">
        <f ca="1">IFERROR(__xludf.dummyfunction("VLOOKUP(T100, IMPORTRANGE(""https://docs.google.com/spreadsheets/d/1yDAaXNsi4Mr5FtRQL4tbmSdIzhx6_m4wkOD7IG-k_eo/edit#gid=0"", ""Maths!M:N""), 2, FALSE)"),"#N/A")</f>
        <v>#N/A</v>
      </c>
      <c r="V100" s="16">
        <f ca="1">IFERROR(__xludf.dummyfunction("ArrayFormula(VLOOKUP(G100, IMPORTRANGE(""https://docs.google.com/spreadsheets/d/1p7R4vtkWt5VOBim4ltsDG9KTzSjrtKXsMtQGXPHyND0/edit#gid=795171502"", ""'Filter 30_05_2024'!A1:M2000""), {2, 3, 4, 5,6,7,8,9,10,11,12,13}, 0))"),10)</f>
        <v>10</v>
      </c>
      <c r="W100" s="16">
        <f ca="1">IFERROR(__xludf.dummyfunction("""COMPUTED_VALUE"""),11)</f>
        <v>11</v>
      </c>
      <c r="X100" s="16">
        <f ca="1">IFERROR(__xludf.dummyfunction("""COMPUTED_VALUE"""),5)</f>
        <v>5</v>
      </c>
      <c r="Y100" s="16">
        <f ca="1">IFERROR(__xludf.dummyfunction("""COMPUTED_VALUE"""),26)</f>
        <v>26</v>
      </c>
      <c r="Z100" s="16">
        <f ca="1">IFERROR(__xludf.dummyfunction("""COMPUTED_VALUE"""),6)</f>
        <v>6</v>
      </c>
      <c r="AA100" s="30">
        <f ca="1">IFERROR(__xludf.dummyfunction("""COMPUTED_VALUE"""),6)</f>
        <v>6</v>
      </c>
      <c r="AB100" s="30">
        <f ca="1">IFERROR(__xludf.dummyfunction("""COMPUTED_VALUE"""),2)</f>
        <v>2</v>
      </c>
      <c r="AC100" s="30">
        <f ca="1">IFERROR(__xludf.dummyfunction("""COMPUTED_VALUE"""),14)</f>
        <v>14</v>
      </c>
      <c r="AD100" s="16"/>
      <c r="AE100" s="30"/>
      <c r="AF100" s="30"/>
      <c r="AG100" s="30"/>
    </row>
    <row r="101" spans="1:33" ht="13.8">
      <c r="A101" s="25"/>
      <c r="B101" s="26" t="s">
        <v>29</v>
      </c>
      <c r="C101" s="26" t="s">
        <v>310</v>
      </c>
      <c r="D101" s="26">
        <v>6</v>
      </c>
      <c r="E101" s="27" t="s">
        <v>434</v>
      </c>
      <c r="F101" s="28"/>
      <c r="G101" s="26" t="s">
        <v>460</v>
      </c>
      <c r="H101" s="28" t="str">
        <f ca="1">IFERROR(__xludf.dummyfunction("IFERROR(
  VLOOKUP(G101, IMPORTRANGE(""https://docs.google.com/spreadsheets/d/14deopnvwcrKtEGCKuYXdUHJbeLDZlkiSSWWT0g7x2pM/edit#gid=849066331"", ""LU List Maths (Filter)!A:B""), 2, FALSE),
  IFERROR(
    VLOOKUP(G101, IMPORTRANGE(""https://docs.google.com"&amp;"/spreadsheets/d/14deopnvwcrKtEGCKuYXdUHJbeLDZlkiSSWWT0g7x2pM/edit#gid=849066331"", ""LU List Science (Filter)!A:B""), 2, FALSE),
    ""Not Found""
  )
)
"),"Subtraction of mixed fractions")</f>
        <v>Subtraction of mixed fractions</v>
      </c>
      <c r="I101" s="28"/>
      <c r="J101" s="29" t="str">
        <f t="shared" si="6"/>
        <v>LU000982.001</v>
      </c>
      <c r="K101" s="29" t="str">
        <f ca="1">IFERROR(__xludf.dummyfunction("VLOOKUP(J101, IMPORTRANGE(""https://docs.google.com/spreadsheets/d/1yDAaXNsi4Mr5FtRQL4tbmSdIzhx6_m4wkOD7IG-k_eo/edit#gid=0"", ""Maths!M:N""), 2, FALSE)"),"Recall rules for subtracting mixed fractions with proper and improper fractions.")</f>
        <v>Recall rules for subtracting mixed fractions with proper and improper fractions.</v>
      </c>
      <c r="L101" s="29" t="str">
        <f t="shared" si="7"/>
        <v>LU000982.002</v>
      </c>
      <c r="M101" s="29" t="str">
        <f ca="1">IFERROR(__xludf.dummyfunction("VLOOKUP(L101, IMPORTRANGE(""https://docs.google.com/spreadsheets/d/1yDAaXNsi4Mr5FtRQL4tbmSdIzhx6_m4wkOD7IG-k_eo/edit#gid=0"", ""Maths!M:N""), 2, FALSE)"),"Explain the concept of mixed fractions and the steps for subtracting them, including finding a common denominator.")</f>
        <v>Explain the concept of mixed fractions and the steps for subtracting them, including finding a common denominator.</v>
      </c>
      <c r="N101" s="29" t="str">
        <f t="shared" si="8"/>
        <v>LU000982.003</v>
      </c>
      <c r="O101" s="29" t="str">
        <f ca="1">IFERROR(__xludf.dummyfunction("VLOOKUP(N101, IMPORTRANGE(""https://docs.google.com/spreadsheets/d/1yDAaXNsi4Mr5FtRQL4tbmSdIzhx6_m4wkOD7IG-k_eo/edit#gid=0"", ""Maths!M:N""), 2, FALSE)"),"Apply subtraction techniques to subtract mixed fractions accurately, converting to improper fractions when needed.")</f>
        <v>Apply subtraction techniques to subtract mixed fractions accurately, converting to improper fractions when needed.</v>
      </c>
      <c r="P101" s="29" t="str">
        <f t="shared" si="9"/>
        <v>LU000982.004</v>
      </c>
      <c r="Q101" s="29" t="str">
        <f ca="1">IFERROR(__xludf.dummyfunction("VLOOKUP(P101, IMPORTRANGE(""https://docs.google.com/spreadsheets/d/1yDAaXNsi4Mr5FtRQL4tbmSdIzhx6_m4wkOD7IG-k_eo/edit#gid=0"", ""Maths!M:N""), 2, FALSE)"),"Analyze mixed fractions to find the least common denominator and subtract them correctly.")</f>
        <v>Analyze mixed fractions to find the least common denominator and subtract them correctly.</v>
      </c>
      <c r="R101" s="29" t="str">
        <f t="shared" si="10"/>
        <v>LU000982.005</v>
      </c>
      <c r="S101" s="29" t="str">
        <f ca="1">IFERROR(__xludf.dummyfunction("VLOOKUP(R101, IMPORTRANGE(""https://docs.google.com/spreadsheets/d/1yDAaXNsi4Mr5FtRQL4tbmSdIzhx6_m4wkOD7IG-k_eo/edit#gid=0"", ""Maths!M:N""), 2, FALSE)"),"Evaluate the correctness of subtracted mixed fractions, explaining errors.")</f>
        <v>Evaluate the correctness of subtracted mixed fractions, explaining errors.</v>
      </c>
      <c r="T101" s="29" t="str">
        <f t="shared" si="11"/>
        <v>LU000982.006</v>
      </c>
      <c r="U101" s="29" t="str">
        <f ca="1">IFERROR(__xludf.dummyfunction("VLOOKUP(T101, IMPORTRANGE(""https://docs.google.com/spreadsheets/d/1yDAaXNsi4Mr5FtRQL4tbmSdIzhx6_m4wkOD7IG-k_eo/edit#gid=0"", ""Maths!M:N""), 2, FALSE)"),"#N/A")</f>
        <v>#N/A</v>
      </c>
      <c r="V101" s="16">
        <f ca="1">IFERROR(__xludf.dummyfunction("ArrayFormula(VLOOKUP(G101, IMPORTRANGE(""https://docs.google.com/spreadsheets/d/1p7R4vtkWt5VOBim4ltsDG9KTzSjrtKXsMtQGXPHyND0/edit#gid=795171502"", ""'Filter 30_05_2024'!A1:M2000""), {2, 3, 4, 5,6,7,8,9,10,11,12,13}, 0))"),4)</f>
        <v>4</v>
      </c>
      <c r="W101" s="16">
        <f ca="1">IFERROR(__xludf.dummyfunction("""COMPUTED_VALUE"""),17)</f>
        <v>17</v>
      </c>
      <c r="X101" s="16">
        <f ca="1">IFERROR(__xludf.dummyfunction("""COMPUTED_VALUE"""),3)</f>
        <v>3</v>
      </c>
      <c r="Y101" s="16">
        <f ca="1">IFERROR(__xludf.dummyfunction("""COMPUTED_VALUE"""),24)</f>
        <v>24</v>
      </c>
      <c r="Z101" s="16">
        <f ca="1">IFERROR(__xludf.dummyfunction("""COMPUTED_VALUE"""),4)</f>
        <v>4</v>
      </c>
      <c r="AA101" s="30">
        <f ca="1">IFERROR(__xludf.dummyfunction("""COMPUTED_VALUE"""),14)</f>
        <v>14</v>
      </c>
      <c r="AB101" s="30">
        <f ca="1">IFERROR(__xludf.dummyfunction("""COMPUTED_VALUE"""),6)</f>
        <v>6</v>
      </c>
      <c r="AC101" s="30">
        <f ca="1">IFERROR(__xludf.dummyfunction("""COMPUTED_VALUE"""),24)</f>
        <v>24</v>
      </c>
      <c r="AD101" s="16"/>
      <c r="AE101" s="30">
        <f ca="1">IFERROR(__xludf.dummyfunction("""COMPUTED_VALUE"""),1)</f>
        <v>1</v>
      </c>
      <c r="AF101" s="30"/>
      <c r="AG101" s="30">
        <f ca="1">IFERROR(__xludf.dummyfunction("""COMPUTED_VALUE"""),1)</f>
        <v>1</v>
      </c>
    </row>
    <row r="102" spans="1:33" ht="26.4">
      <c r="A102" s="25"/>
      <c r="B102" s="26" t="s">
        <v>29</v>
      </c>
      <c r="C102" s="26" t="s">
        <v>310</v>
      </c>
      <c r="D102" s="26">
        <v>6</v>
      </c>
      <c r="E102" s="27" t="s">
        <v>434</v>
      </c>
      <c r="F102" s="28"/>
      <c r="G102" s="47" t="s">
        <v>461</v>
      </c>
      <c r="H102" s="28" t="str">
        <f ca="1">IFERROR(__xludf.dummyfunction("IFERROR(
  VLOOKUP(G102, IMPORTRANGE(""https://docs.google.com/spreadsheets/d/14deopnvwcrKtEGCKuYXdUHJbeLDZlkiSSWWT0g7x2pM/edit#gid=849066331"", ""LU List Maths (Filter)!A:B""), 2, FALSE),
  IFERROR(
    VLOOKUP(G102, IMPORTRANGE(""https://docs.google.com"&amp;"/spreadsheets/d/14deopnvwcrKtEGCKuYXdUHJbeLDZlkiSSWWT0g7x2pM/edit#gid=849066331"", ""LU List Science (Filter)!A:B""), 2, FALSE),
    ""Not Found""
  )
)
"),"Mixed operation of addition and subtraction of three or more fractions")</f>
        <v>Mixed operation of addition and subtraction of three or more fractions</v>
      </c>
      <c r="I102" s="28"/>
      <c r="J102" s="29" t="str">
        <f t="shared" si="6"/>
        <v>LU001135.001</v>
      </c>
      <c r="K102" s="29" t="str">
        <f ca="1">IFERROR(__xludf.dummyfunction("VLOOKUP(J102, IMPORTRANGE(""https://docs.google.com/spreadsheets/d/1yDAaXNsi4Mr5FtRQL4tbmSdIzhx6_m4wkOD7IG-k_eo/edit#gid=0"", ""Maths!M:N""), 2, FALSE)"),"List the steps for performing mixed operations of addition and subtraction with three or more fractions.")</f>
        <v>List the steps for performing mixed operations of addition and subtraction with three or more fractions.</v>
      </c>
      <c r="L102" s="29" t="str">
        <f t="shared" si="7"/>
        <v>LU001135.002</v>
      </c>
      <c r="M102" s="29" t="str">
        <f ca="1">IFERROR(__xludf.dummyfunction("VLOOKUP(L102, IMPORTRANGE(""https://docs.google.com/spreadsheets/d/1yDAaXNsi4Mr5FtRQL4tbmSdIzhx6_m4wkOD7IG-k_eo/edit#gid=0"", ""Maths!M:N""), 2, FALSE)"),"Describe the process of adding and subtracting three or more fractions.")</f>
        <v>Describe the process of adding and subtracting three or more fractions.</v>
      </c>
      <c r="N102" s="29" t="str">
        <f t="shared" si="8"/>
        <v>LU001135.003</v>
      </c>
      <c r="O102" s="29" t="str">
        <f ca="1">IFERROR(__xludf.dummyfunction("VLOOKUP(N102, IMPORTRANGE(""https://docs.google.com/spreadsheets/d/1yDAaXNsi4Mr5FtRQL4tbmSdIzhx6_m4wkOD7IG-k_eo/edit#gid=0"", ""Maths!M:N""), 2, FALSE)"),"Solve problems involving the addition and subtraction of three or more fractions.")</f>
        <v>Solve problems involving the addition and subtraction of three or more fractions.</v>
      </c>
      <c r="P102" s="29" t="str">
        <f t="shared" si="9"/>
        <v>LU001135.004</v>
      </c>
      <c r="Q102" s="29" t="str">
        <f ca="1">IFERROR(__xludf.dummyfunction("VLOOKUP(P102, IMPORTRANGE(""https://docs.google.com/spreadsheets/d/1yDAaXNsi4Mr5FtRQL4tbmSdIzhx6_m4wkOD7IG-k_eo/edit#gid=0"", ""Maths!M:N""), 2, FALSE)"),"Analyse mathematical expressions that combine addition and subtraction of three or more fractions to understand the sequence of operations.")</f>
        <v>Analyse mathematical expressions that combine addition and subtraction of three or more fractions to understand the sequence of operations.</v>
      </c>
      <c r="R102" s="29" t="str">
        <f t="shared" si="10"/>
        <v>LU001135.005</v>
      </c>
      <c r="S102" s="29" t="str">
        <f ca="1">IFERROR(__xludf.dummyfunction("VLOOKUP(R102, IMPORTRANGE(""https://docs.google.com/spreadsheets/d/1yDAaXNsi4Mr5FtRQL4tbmSdIzhx6_m4wkOD7IG-k_eo/edit#gid=0"", ""Maths!M:N""), 2, FALSE)"),"Evaluate the solutions of mixed operation problems involving three or more fractions for accuracy.")</f>
        <v>Evaluate the solutions of mixed operation problems involving three or more fractions for accuracy.</v>
      </c>
      <c r="T102" s="29" t="str">
        <f t="shared" si="11"/>
        <v>LU001135.006</v>
      </c>
      <c r="U102" s="29" t="str">
        <f ca="1">IFERROR(__xludf.dummyfunction("VLOOKUP(T102, IMPORTRANGE(""https://docs.google.com/spreadsheets/d/1yDAaXNsi4Mr5FtRQL4tbmSdIzhx6_m4wkOD7IG-k_eo/edit#gid=0"", ""Maths!M:N""), 2, FALSE)"),"Construct complex problems that require the addition and subtraction of three or more fractions, demonstrating application and understanding.")</f>
        <v>Construct complex problems that require the addition and subtraction of three or more fractions, demonstrating application and understanding.</v>
      </c>
      <c r="V102" s="16" t="str">
        <f ca="1">IFERROR(__xludf.dummyfunction("ArrayFormula(VLOOKUP(G102, IMPORTRANGE(""https://docs.google.com/spreadsheets/d/1p7R4vtkWt5VOBim4ltsDG9KTzSjrtKXsMtQGXPHyND0/edit#gid=795171502"", ""'Filter 30_05_2024'!A1:M2000""), {2, 3, 4, 5,6,7,8,9,10,11,12,13}, 0))"),"#N/A")</f>
        <v>#N/A</v>
      </c>
      <c r="W102" s="16" t="str">
        <f ca="1">IFERROR(__xludf.dummyfunction("""COMPUTED_VALUE"""),"#N/A")</f>
        <v>#N/A</v>
      </c>
      <c r="X102" s="16" t="str">
        <f ca="1">IFERROR(__xludf.dummyfunction("""COMPUTED_VALUE"""),"#N/A")</f>
        <v>#N/A</v>
      </c>
      <c r="Y102" s="16" t="str">
        <f ca="1">IFERROR(__xludf.dummyfunction("""COMPUTED_VALUE"""),"#N/A")</f>
        <v>#N/A</v>
      </c>
      <c r="Z102" s="16" t="str">
        <f ca="1">IFERROR(__xludf.dummyfunction("""COMPUTED_VALUE"""),"#N/A")</f>
        <v>#N/A</v>
      </c>
      <c r="AA102" s="30" t="str">
        <f ca="1">IFERROR(__xludf.dummyfunction("""COMPUTED_VALUE"""),"#N/A")</f>
        <v>#N/A</v>
      </c>
      <c r="AB102" s="30" t="str">
        <f ca="1">IFERROR(__xludf.dummyfunction("""COMPUTED_VALUE"""),"#N/A")</f>
        <v>#N/A</v>
      </c>
      <c r="AC102" s="30" t="str">
        <f ca="1">IFERROR(__xludf.dummyfunction("""COMPUTED_VALUE"""),"#N/A")</f>
        <v>#N/A</v>
      </c>
      <c r="AD102" s="16" t="str">
        <f ca="1">IFERROR(__xludf.dummyfunction("""COMPUTED_VALUE"""),"#N/A")</f>
        <v>#N/A</v>
      </c>
      <c r="AE102" s="30" t="str">
        <f ca="1">IFERROR(__xludf.dummyfunction("""COMPUTED_VALUE"""),"#N/A")</f>
        <v>#N/A</v>
      </c>
      <c r="AF102" s="30" t="str">
        <f ca="1">IFERROR(__xludf.dummyfunction("""COMPUTED_VALUE"""),"#N/A")</f>
        <v>#N/A</v>
      </c>
      <c r="AG102" s="30" t="str">
        <f ca="1">IFERROR(__xludf.dummyfunction("""COMPUTED_VALUE"""),"#N/A")</f>
        <v>#N/A</v>
      </c>
    </row>
    <row r="103" spans="1:33" ht="13.8">
      <c r="A103" s="25"/>
      <c r="B103" s="26" t="s">
        <v>29</v>
      </c>
      <c r="C103" s="26" t="s">
        <v>310</v>
      </c>
      <c r="D103" s="26">
        <v>6</v>
      </c>
      <c r="E103" s="27" t="s">
        <v>462</v>
      </c>
      <c r="F103" s="28" t="s">
        <v>463</v>
      </c>
      <c r="G103" s="26" t="s">
        <v>464</v>
      </c>
      <c r="H103" s="28" t="str">
        <f ca="1">IFERROR(__xludf.dummyfunction("IFERROR(
  VLOOKUP(G103, IMPORTRANGE(""https://docs.google.com/spreadsheets/d/14deopnvwcrKtEGCKuYXdUHJbeLDZlkiSSWWT0g7x2pM/edit#gid=849066331"", ""LU List Maths (Filter)!A:B""), 2, FALSE),
  IFERROR(
    VLOOKUP(G103, IMPORTRANGE(""https://docs.google.com"&amp;"/spreadsheets/d/14deopnvwcrKtEGCKuYXdUHJbeLDZlkiSSWWT0g7x2pM/edit#gid=849066331"", ""LU List Science (Filter)!A:B""), 2, FALSE),
    ""Not Found""
  )
)
"),"Definition of decimal number")</f>
        <v>Definition of decimal number</v>
      </c>
      <c r="I103" s="28"/>
      <c r="J103" s="29" t="str">
        <f t="shared" si="6"/>
        <v>LU000292.001</v>
      </c>
      <c r="K103" s="29" t="str">
        <f ca="1">IFERROR(__xludf.dummyfunction("VLOOKUP(J103, IMPORTRANGE(""https://docs.google.com/spreadsheets/d/1yDAaXNsi4Mr5FtRQL4tbmSdIzhx6_m4wkOD7IG-k_eo/edit#gid=0"", ""Maths!M:N""), 2, FALSE)"),"Definition of a decimal number and identify its key components (such as digits, decimal point, place value)")</f>
        <v>Definition of a decimal number and identify its key components (such as digits, decimal point, place value)</v>
      </c>
      <c r="L103" s="29" t="str">
        <f t="shared" si="7"/>
        <v>LU000292.002</v>
      </c>
      <c r="M103" s="29" t="str">
        <f ca="1">IFERROR(__xludf.dummyfunction("VLOOKUP(L103, IMPORTRANGE(""https://docs.google.com/spreadsheets/d/1yDAaXNsi4Mr5FtRQL4tbmSdIzhx6_m4wkOD7IG-k_eo/edit#gid=0"", ""Maths!M:N""), 2, FALSE)"),"Describe how a decimal number combines a whole number part and a fraction part using a decimal point to separate them.")</f>
        <v>Describe how a decimal number combines a whole number part and a fraction part using a decimal point to separate them.</v>
      </c>
      <c r="N103" s="29" t="str">
        <f t="shared" si="8"/>
        <v>LU000292.003</v>
      </c>
      <c r="O103" s="29" t="str">
        <f ca="1">IFERROR(__xludf.dummyfunction("VLOOKUP(N103, IMPORTRANGE(""https://docs.google.com/spreadsheets/d/1yDAaXNsi4Mr5FtRQL4tbmSdIzhx6_m4wkOD7IG-k_eo/edit#gid=0"", ""Maths!M:N""), 2, FALSE)"),"Apply the understanding of decimal numbers to correctly identify decimal numbers from a given set of numbers.")</f>
        <v>Apply the understanding of decimal numbers to correctly identify decimal numbers from a given set of numbers.</v>
      </c>
      <c r="P103" s="29" t="str">
        <f t="shared" si="9"/>
        <v>LU000292.004</v>
      </c>
      <c r="Q103" s="29" t="str">
        <f ca="1">IFERROR(__xludf.dummyfunction("VLOOKUP(P103, IMPORTRANGE(""https://docs.google.com/spreadsheets/d/1yDAaXNsi4Mr5FtRQL4tbmSdIzhx6_m4wkOD7IG-k_eo/edit#gid=0"", ""Maths!M:N""), 2, FALSE)"),"Examine how the position of digits in a decimal number relates to place value")</f>
        <v>Examine how the position of digits in a decimal number relates to place value</v>
      </c>
      <c r="R103" s="29" t="str">
        <f t="shared" si="10"/>
        <v>LU000292.005</v>
      </c>
      <c r="S103" s="29" t="str">
        <f ca="1">IFERROR(__xludf.dummyfunction("VLOOKUP(R103, IMPORTRANGE(""https://docs.google.com/spreadsheets/d/1yDAaXNsi4Mr5FtRQL4tbmSdIzhx6_m4wkOD7IG-k_eo/edit#gid=0"", ""Maths!M:N""), 2, FALSE)"),"#N/A")</f>
        <v>#N/A</v>
      </c>
      <c r="T103" s="29" t="str">
        <f t="shared" si="11"/>
        <v>LU000292.006</v>
      </c>
      <c r="U103" s="29" t="str">
        <f ca="1">IFERROR(__xludf.dummyfunction("VLOOKUP(T103, IMPORTRANGE(""https://docs.google.com/spreadsheets/d/1yDAaXNsi4Mr5FtRQL4tbmSdIzhx6_m4wkOD7IG-k_eo/edit#gid=0"", ""Maths!M:N""), 2, FALSE)"),"Develop situations involving measurements, financial transactions or scientific data and create suitable decimal numbers for each context.")</f>
        <v>Develop situations involving measurements, financial transactions or scientific data and create suitable decimal numbers for each context.</v>
      </c>
      <c r="V103" s="16">
        <f ca="1">IFERROR(__xludf.dummyfunction("ArrayFormula(VLOOKUP(G103, IMPORTRANGE(""https://docs.google.com/spreadsheets/d/1p7R4vtkWt5VOBim4ltsDG9KTzSjrtKXsMtQGXPHyND0/edit#gid=795171502"", ""'Filter 30_05_2024'!A1:M2000""), {2, 3, 4, 5,6,7,8,9,10,11,12,13}, 0))"),4)</f>
        <v>4</v>
      </c>
      <c r="W103" s="16">
        <f ca="1">IFERROR(__xludf.dummyfunction("""COMPUTED_VALUE"""),6)</f>
        <v>6</v>
      </c>
      <c r="X103" s="16">
        <f ca="1">IFERROR(__xludf.dummyfunction("""COMPUTED_VALUE"""),2)</f>
        <v>2</v>
      </c>
      <c r="Y103" s="16">
        <f ca="1">IFERROR(__xludf.dummyfunction("""COMPUTED_VALUE"""),12)</f>
        <v>12</v>
      </c>
      <c r="Z103" s="16">
        <f ca="1">IFERROR(__xludf.dummyfunction("""COMPUTED_VALUE"""),4)</f>
        <v>4</v>
      </c>
      <c r="AA103" s="30">
        <f ca="1">IFERROR(__xludf.dummyfunction("""COMPUTED_VALUE"""),3)</f>
        <v>3</v>
      </c>
      <c r="AB103" s="30">
        <f ca="1">IFERROR(__xludf.dummyfunction("""COMPUTED_VALUE"""),1)</f>
        <v>1</v>
      </c>
      <c r="AC103" s="30">
        <f ca="1">IFERROR(__xludf.dummyfunction("""COMPUTED_VALUE"""),8)</f>
        <v>8</v>
      </c>
      <c r="AD103" s="16"/>
      <c r="AE103" s="30"/>
      <c r="AF103" s="30"/>
      <c r="AG103" s="30"/>
    </row>
    <row r="104" spans="1:33" ht="13.8">
      <c r="A104" s="25"/>
      <c r="B104" s="26" t="s">
        <v>29</v>
      </c>
      <c r="C104" s="26" t="s">
        <v>310</v>
      </c>
      <c r="D104" s="26">
        <v>6</v>
      </c>
      <c r="E104" s="27" t="s">
        <v>462</v>
      </c>
      <c r="F104" s="28"/>
      <c r="G104" s="26" t="s">
        <v>465</v>
      </c>
      <c r="H104" s="28" t="str">
        <f ca="1">IFERROR(__xludf.dummyfunction("IFERROR(
  VLOOKUP(G104, IMPORTRANGE(""https://docs.google.com/spreadsheets/d/14deopnvwcrKtEGCKuYXdUHJbeLDZlkiSSWWT0g7x2pM/edit#gid=849066331"", ""LU List Maths (Filter)!A:B""), 2, FALSE),
  IFERROR(
    VLOOKUP(G104, IMPORTRANGE(""https://docs.google.com"&amp;"/spreadsheets/d/14deopnvwcrKtEGCKuYXdUHJbeLDZlkiSSWWT0g7x2pM/edit#gid=849066331"", ""LU List Science (Filter)!A:B""), 2, FALSE),
    ""Not Found""
  )
)
"),"Place value system in decimal numbers")</f>
        <v>Place value system in decimal numbers</v>
      </c>
      <c r="I104" s="28"/>
      <c r="J104" s="29" t="str">
        <f t="shared" si="6"/>
        <v>LU000293.001</v>
      </c>
      <c r="K104" s="29" t="str">
        <f ca="1">IFERROR(__xludf.dummyfunction("VLOOKUP(J104, IMPORTRANGE(""https://docs.google.com/spreadsheets/d/1yDAaXNsi4Mr5FtRQL4tbmSdIzhx6_m4wkOD7IG-k_eo/edit#gid=0"", ""Maths!M:N""), 2, FALSE)"),"Define the place value system in decimal numbers and identify the role of each digit's position.")</f>
        <v>Define the place value system in decimal numbers and identify the role of each digit's position.</v>
      </c>
      <c r="L104" s="29" t="str">
        <f t="shared" si="7"/>
        <v>LU000293.002</v>
      </c>
      <c r="M104" s="29" t="str">
        <f ca="1">IFERROR(__xludf.dummyfunction("VLOOKUP(L104, IMPORTRANGE(""https://docs.google.com/spreadsheets/d/1yDAaXNsi4Mr5FtRQL4tbmSdIzhx6_m4wkOD7IG-k_eo/edit#gid=0"", ""Maths!M:N""), 2, FALSE)"),"Describe how the place value system assigns different weights to digits according to their positions")</f>
        <v>Describe how the place value system assigns different weights to digits according to their positions</v>
      </c>
      <c r="N104" s="29" t="str">
        <f t="shared" si="8"/>
        <v>LU000293.003</v>
      </c>
      <c r="O104" s="29" t="str">
        <f ca="1">IFERROR(__xludf.dummyfunction("VLOOKUP(N104, IMPORTRANGE(""https://docs.google.com/spreadsheets/d/1yDAaXNsi4Mr5FtRQL4tbmSdIzhx6_m4wkOD7IG-k_eo/edit#gid=0"", ""Maths!M:N""), 2, FALSE)"),"Apply the understanding of the place value system to correctly determine the value of specific digits within given decimal numbers.")</f>
        <v>Apply the understanding of the place value system to correctly determine the value of specific digits within given decimal numbers.</v>
      </c>
      <c r="P104" s="29" t="str">
        <f t="shared" si="9"/>
        <v>LU000293.004</v>
      </c>
      <c r="Q104" s="29" t="str">
        <f ca="1">IFERROR(__xludf.dummyfunction("VLOOKUP(P104, IMPORTRANGE(""https://docs.google.com/spreadsheets/d/1yDAaXNsi4Mr5FtRQL4tbmSdIzhx6_m4wkOD7IG-k_eo/edit#gid=0"", ""Maths!M:N""), 2, FALSE)"),"Examine how changing the position of a digit within a decimal number affects its place value")</f>
        <v>Examine how changing the position of a digit within a decimal number affects its place value</v>
      </c>
      <c r="R104" s="29" t="str">
        <f t="shared" si="10"/>
        <v>LU000293.005</v>
      </c>
      <c r="S104" s="29" t="str">
        <f ca="1">IFERROR(__xludf.dummyfunction("VLOOKUP(R104, IMPORTRANGE(""https://docs.google.com/spreadsheets/d/1yDAaXNsi4Mr5FtRQL4tbmSdIzhx6_m4wkOD7IG-k_eo/edit#gid=0"", ""Maths!M:N""), 2, FALSE)"),"Assess the correctness of solutions provided for determining the value of a specific digit within a decimal number")</f>
        <v>Assess the correctness of solutions provided for determining the value of a specific digit within a decimal number</v>
      </c>
      <c r="T104" s="29" t="str">
        <f t="shared" si="11"/>
        <v>LU000293.006</v>
      </c>
      <c r="U104" s="29" t="str">
        <f ca="1">IFERROR(__xludf.dummyfunction("VLOOKUP(T104, IMPORTRANGE(""https://docs.google.com/spreadsheets/d/1yDAaXNsi4Mr5FtRQL4tbmSdIzhx6_m4wkOD7IG-k_eo/edit#gid=0"", ""Maths!M:N""), 2, FALSE)"),"Create a set of decimal numbers and identify the place value and value of selected digits within each number.")</f>
        <v>Create a set of decimal numbers and identify the place value and value of selected digits within each number.</v>
      </c>
      <c r="V104" s="16">
        <f ca="1">IFERROR(__xludf.dummyfunction("ArrayFormula(VLOOKUP(G104, IMPORTRANGE(""https://docs.google.com/spreadsheets/d/1p7R4vtkWt5VOBim4ltsDG9KTzSjrtKXsMtQGXPHyND0/edit#gid=795171502"", ""'Filter 30_05_2024'!A1:M2000""), {2, 3, 4, 5,6,7,8,9,10,11,12,13}, 0))"),3)</f>
        <v>3</v>
      </c>
      <c r="W104" s="16">
        <f ca="1">IFERROR(__xludf.dummyfunction("""COMPUTED_VALUE"""),6)</f>
        <v>6</v>
      </c>
      <c r="X104" s="16">
        <f ca="1">IFERROR(__xludf.dummyfunction("""COMPUTED_VALUE"""),2)</f>
        <v>2</v>
      </c>
      <c r="Y104" s="16">
        <f ca="1">IFERROR(__xludf.dummyfunction("""COMPUTED_VALUE"""),11)</f>
        <v>11</v>
      </c>
      <c r="Z104" s="16">
        <f ca="1">IFERROR(__xludf.dummyfunction("""COMPUTED_VALUE"""),9)</f>
        <v>9</v>
      </c>
      <c r="AA104" s="30">
        <f ca="1">IFERROR(__xludf.dummyfunction("""COMPUTED_VALUE"""),3)</f>
        <v>3</v>
      </c>
      <c r="AB104" s="30">
        <f ca="1">IFERROR(__xludf.dummyfunction("""COMPUTED_VALUE"""),1)</f>
        <v>1</v>
      </c>
      <c r="AC104" s="30">
        <f ca="1">IFERROR(__xludf.dummyfunction("""COMPUTED_VALUE"""),13)</f>
        <v>13</v>
      </c>
      <c r="AD104" s="16"/>
      <c r="AE104" s="30"/>
      <c r="AF104" s="30"/>
      <c r="AG104" s="30"/>
    </row>
    <row r="105" spans="1:33" ht="13.8">
      <c r="A105" s="25"/>
      <c r="B105" s="26" t="s">
        <v>29</v>
      </c>
      <c r="C105" s="26" t="s">
        <v>310</v>
      </c>
      <c r="D105" s="26">
        <v>6</v>
      </c>
      <c r="E105" s="27" t="s">
        <v>462</v>
      </c>
      <c r="F105" s="28"/>
      <c r="G105" s="26" t="s">
        <v>466</v>
      </c>
      <c r="H105" s="28" t="str">
        <f ca="1">IFERROR(__xludf.dummyfunction("IFERROR(
  VLOOKUP(G105, IMPORTRANGE(""https://docs.google.com/spreadsheets/d/14deopnvwcrKtEGCKuYXdUHJbeLDZlkiSSWWT0g7x2pM/edit#gid=849066331"", ""LU List Maths (Filter)!A:B""), 2, FALSE),
  IFERROR(
    VLOOKUP(G105, IMPORTRANGE(""https://docs.google.com"&amp;"/spreadsheets/d/14deopnvwcrKtEGCKuYXdUHJbeLDZlkiSSWWT0g7x2pM/edit#gid=849066331"", ""LU List Science (Filter)!A:B""), 2, FALSE),
    ""Not Found""
  )
)
"),"Expansion of decimal number upto thousandths")</f>
        <v>Expansion of decimal number upto thousandths</v>
      </c>
      <c r="I105" s="28"/>
      <c r="J105" s="29" t="str">
        <f t="shared" si="6"/>
        <v>LU000294.001</v>
      </c>
      <c r="K105" s="29" t="str">
        <f ca="1">IFERROR(__xludf.dummyfunction("VLOOKUP(J105, IMPORTRANGE(""https://docs.google.com/spreadsheets/d/1yDAaXNsi4Mr5FtRQL4tbmSdIzhx6_m4wkOD7IG-k_eo/edit#gid=0"", ""Maths!M:N""), 2, FALSE)"),"State the place values of decimal numbers up to thousandths.")</f>
        <v>State the place values of decimal numbers up to thousandths.</v>
      </c>
      <c r="L105" s="29" t="str">
        <f t="shared" si="7"/>
        <v>LU000294.002</v>
      </c>
      <c r="M105" s="29" t="str">
        <f ca="1">IFERROR(__xludf.dummyfunction("VLOOKUP(L105, IMPORTRANGE(""https://docs.google.com/spreadsheets/d/1yDAaXNsi4Mr5FtRQL4tbmSdIzhx6_m4wkOD7IG-k_eo/edit#gid=0"", ""Maths!M:N""), 2, FALSE)"),"Explain the concept of place value in decimal numbers and how it extends to thousandths.")</f>
        <v>Explain the concept of place value in decimal numbers and how it extends to thousandths.</v>
      </c>
      <c r="N105" s="29" t="str">
        <f t="shared" si="8"/>
        <v>LU000294.003</v>
      </c>
      <c r="O105" s="29" t="str">
        <f ca="1">IFERROR(__xludf.dummyfunction("VLOOKUP(N105, IMPORTRANGE(""https://docs.google.com/spreadsheets/d/1yDAaXNsi4Mr5FtRQL4tbmSdIzhx6_m4wkOD7IG-k_eo/edit#gid=0"", ""Maths!M:N""), 2, FALSE)"),"Apply the rules for expanding decimal numbers to solve problems.")</f>
        <v>Apply the rules for expanding decimal numbers to solve problems.</v>
      </c>
      <c r="P105" s="29" t="str">
        <f t="shared" si="9"/>
        <v>LU000294.004</v>
      </c>
      <c r="Q105" s="29" t="str">
        <f ca="1">IFERROR(__xludf.dummyfunction("VLOOKUP(P105, IMPORTRANGE(""https://docs.google.com/spreadsheets/d/1yDAaXNsi4Mr5FtRQL4tbmSdIzhx6_m4wkOD7IG-k_eo/edit#gid=0"", ""Maths!M:N""), 2, FALSE)"),"Analyse the process of expanding decimal numbers up to thousandths.")</f>
        <v>Analyse the process of expanding decimal numbers up to thousandths.</v>
      </c>
      <c r="R105" s="29" t="str">
        <f t="shared" si="10"/>
        <v>LU000294.005</v>
      </c>
      <c r="S105" s="29" t="str">
        <f ca="1">IFERROR(__xludf.dummyfunction("VLOOKUP(R105, IMPORTRANGE(""https://docs.google.com/spreadsheets/d/1yDAaXNsi4Mr5FtRQL4tbmSdIzhx6_m4wkOD7IG-k_eo/edit#gid=0"", ""Maths!M:N""), 2, FALSE)"),"#N/A")</f>
        <v>#N/A</v>
      </c>
      <c r="T105" s="29" t="str">
        <f t="shared" si="11"/>
        <v>LU000294.006</v>
      </c>
      <c r="U105" s="29" t="str">
        <f ca="1">IFERROR(__xludf.dummyfunction("VLOOKUP(T105, IMPORTRANGE(""https://docs.google.com/spreadsheets/d/1yDAaXNsi4Mr5FtRQL4tbmSdIzhx6_m4wkOD7IG-k_eo/edit#gid=0"", ""Maths!M:N""), 2, FALSE)"),"Create a real-world scenario where knowledge of expanding decimal numbers is essential to solve a problem.")</f>
        <v>Create a real-world scenario where knowledge of expanding decimal numbers is essential to solve a problem.</v>
      </c>
      <c r="V105" s="16">
        <f ca="1">IFERROR(__xludf.dummyfunction("ArrayFormula(VLOOKUP(G105, IMPORTRANGE(""https://docs.google.com/spreadsheets/d/1p7R4vtkWt5VOBim4ltsDG9KTzSjrtKXsMtQGXPHyND0/edit#gid=795171502"", ""'Filter 30_05_2024'!A1:M2000""), {2, 3, 4, 5,6,7,8,9,10,11,12,13}, 0))"),4)</f>
        <v>4</v>
      </c>
      <c r="W105" s="16">
        <f ca="1">IFERROR(__xludf.dummyfunction("""COMPUTED_VALUE"""),7)</f>
        <v>7</v>
      </c>
      <c r="X105" s="16">
        <f ca="1">IFERROR(__xludf.dummyfunction("""COMPUTED_VALUE"""),2)</f>
        <v>2</v>
      </c>
      <c r="Y105" s="16">
        <f ca="1">IFERROR(__xludf.dummyfunction("""COMPUTED_VALUE"""),13)</f>
        <v>13</v>
      </c>
      <c r="Z105" s="16">
        <f ca="1">IFERROR(__xludf.dummyfunction("""COMPUTED_VALUE"""),4)</f>
        <v>4</v>
      </c>
      <c r="AA105" s="30">
        <f ca="1">IFERROR(__xludf.dummyfunction("""COMPUTED_VALUE"""),3)</f>
        <v>3</v>
      </c>
      <c r="AB105" s="30">
        <f ca="1">IFERROR(__xludf.dummyfunction("""COMPUTED_VALUE"""),1)</f>
        <v>1</v>
      </c>
      <c r="AC105" s="30">
        <f ca="1">IFERROR(__xludf.dummyfunction("""COMPUTED_VALUE"""),8)</f>
        <v>8</v>
      </c>
      <c r="AD105" s="16"/>
      <c r="AE105" s="30"/>
      <c r="AF105" s="30"/>
      <c r="AG105" s="30"/>
    </row>
    <row r="106" spans="1:33" ht="13.8">
      <c r="A106" s="25"/>
      <c r="B106" s="26" t="s">
        <v>29</v>
      </c>
      <c r="C106" s="26" t="s">
        <v>310</v>
      </c>
      <c r="D106" s="26">
        <v>6</v>
      </c>
      <c r="E106" s="27" t="s">
        <v>462</v>
      </c>
      <c r="F106" s="28" t="s">
        <v>467</v>
      </c>
      <c r="G106" s="26" t="s">
        <v>468</v>
      </c>
      <c r="H106" s="28" t="str">
        <f ca="1">IFERROR(__xludf.dummyfunction("IFERROR(
  VLOOKUP(G106, IMPORTRANGE(""https://docs.google.com/spreadsheets/d/14deopnvwcrKtEGCKuYXdUHJbeLDZlkiSSWWT0g7x2pM/edit#gid=849066331"", ""LU List Maths (Filter)!A:B""), 2, FALSE),
  IFERROR(
    VLOOKUP(G106, IMPORTRANGE(""https://docs.google.com"&amp;"/spreadsheets/d/14deopnvwcrKtEGCKuYXdUHJbeLDZlkiSSWWT0g7x2pM/edit#gid=849066331"", ""LU List Science (Filter)!A:B""), 2, FALSE),
    ""Not Found""
  )
)
"),"Like decimals")</f>
        <v>Like decimals</v>
      </c>
      <c r="I106" s="28"/>
      <c r="J106" s="29" t="str">
        <f t="shared" si="6"/>
        <v>LU000304.001</v>
      </c>
      <c r="K106" s="29" t="str">
        <f ca="1">IFERROR(__xludf.dummyfunction("VLOOKUP(J106, IMPORTRANGE(""https://docs.google.com/spreadsheets/d/1yDAaXNsi4Mr5FtRQL4tbmSdIzhx6_m4wkOD7IG-k_eo/edit#gid=0"", ""Maths!M:N""), 2, FALSE)"),"State the definition of like decimals and highlight their shared characteristics.")</f>
        <v>State the definition of like decimals and highlight their shared characteristics.</v>
      </c>
      <c r="L106" s="29" t="str">
        <f t="shared" si="7"/>
        <v>LU000304.002</v>
      </c>
      <c r="M106" s="29" t="str">
        <f ca="1">IFERROR(__xludf.dummyfunction("VLOOKUP(L106, IMPORTRANGE(""https://docs.google.com/spreadsheets/d/1yDAaXNsi4Mr5FtRQL4tbmSdIzhx6_m4wkOD7IG-k_eo/edit#gid=0"", ""Maths!M:N""), 2, FALSE)"),"Explain the concept of like decimals by describing their characteristic of having the same number of decimal places.")</f>
        <v>Explain the concept of like decimals by describing their characteristic of having the same number of decimal places.</v>
      </c>
      <c r="N106" s="29" t="str">
        <f t="shared" si="8"/>
        <v>LU000304.003</v>
      </c>
      <c r="O106" s="29" t="str">
        <f ca="1">IFERROR(__xludf.dummyfunction("VLOOKUP(N106, IMPORTRANGE(""https://docs.google.com/spreadsheets/d/1yDAaXNsi4Mr5FtRQL4tbmSdIzhx6_m4wkOD7IG-k_eo/edit#gid=0"", ""Maths!M:N""), 2, FALSE)"),"Apply the understanding of like decimals to solve numerical problems (like comparison, addition, subtraction).")</f>
        <v>Apply the understanding of like decimals to solve numerical problems (like comparison, addition, subtraction).</v>
      </c>
      <c r="P106" s="29" t="str">
        <f t="shared" si="9"/>
        <v>LU000304.004</v>
      </c>
      <c r="Q106" s="29" t="str">
        <f ca="1">IFERROR(__xludf.dummyfunction("VLOOKUP(P106, IMPORTRANGE(""https://docs.google.com/spreadsheets/d/1yDAaXNsi4Mr5FtRQL4tbmSdIzhx6_m4wkOD7IG-k_eo/edit#gid=0"", ""Maths!M:N""), 2, FALSE)"),"Analyse the significance of like decimals in mathematical calculations and discuss their role in ensuring accurate results.")</f>
        <v>Analyse the significance of like decimals in mathematical calculations and discuss their role in ensuring accurate results.</v>
      </c>
      <c r="R106" s="29" t="str">
        <f t="shared" si="10"/>
        <v>LU000304.005</v>
      </c>
      <c r="S106" s="29" t="str">
        <f ca="1">IFERROR(__xludf.dummyfunction("VLOOKUP(R106, IMPORTRANGE(""https://docs.google.com/spreadsheets/d/1yDAaXNsi4Mr5FtRQL4tbmSdIzhx6_m4wkOD7IG-k_eo/edit#gid=0"", ""Maths!M:N""), 2, FALSE)"),"#N/A")</f>
        <v>#N/A</v>
      </c>
      <c r="T106" s="29" t="str">
        <f t="shared" si="11"/>
        <v>LU000304.006</v>
      </c>
      <c r="U106" s="29" t="str">
        <f ca="1">IFERROR(__xludf.dummyfunction("VLOOKUP(T106, IMPORTRANGE(""https://docs.google.com/spreadsheets/d/1yDAaXNsi4Mr5FtRQL4tbmSdIzhx6_m4wkOD7IG-k_eo/edit#gid=0"", ""Maths!M:N""), 2, FALSE)"),"Create a set of like decimal numbers and generate meaningful scenarios that involve the comparison or calculation using like decimals.")</f>
        <v>Create a set of like decimal numbers and generate meaningful scenarios that involve the comparison or calculation using like decimals.</v>
      </c>
      <c r="V106" s="16" t="str">
        <f ca="1">IFERROR(__xludf.dummyfunction("ArrayFormula(VLOOKUP(G106, IMPORTRANGE(""https://docs.google.com/spreadsheets/d/1p7R4vtkWt5VOBim4ltsDG9KTzSjrtKXsMtQGXPHyND0/edit#gid=795171502"", ""'Filter 30_05_2024'!A1:M2000""), {2, 3, 4, 5,6,7,8,9,10,11,12,13}, 0))"),"#N/A")</f>
        <v>#N/A</v>
      </c>
      <c r="W106" s="16" t="str">
        <f ca="1">IFERROR(__xludf.dummyfunction("""COMPUTED_VALUE"""),"#N/A")</f>
        <v>#N/A</v>
      </c>
      <c r="X106" s="16" t="str">
        <f ca="1">IFERROR(__xludf.dummyfunction("""COMPUTED_VALUE"""),"#N/A")</f>
        <v>#N/A</v>
      </c>
      <c r="Y106" s="16" t="str">
        <f ca="1">IFERROR(__xludf.dummyfunction("""COMPUTED_VALUE"""),"#N/A")</f>
        <v>#N/A</v>
      </c>
      <c r="Z106" s="16" t="str">
        <f ca="1">IFERROR(__xludf.dummyfunction("""COMPUTED_VALUE"""),"#N/A")</f>
        <v>#N/A</v>
      </c>
      <c r="AA106" s="30" t="str">
        <f ca="1">IFERROR(__xludf.dummyfunction("""COMPUTED_VALUE"""),"#N/A")</f>
        <v>#N/A</v>
      </c>
      <c r="AB106" s="30" t="str">
        <f ca="1">IFERROR(__xludf.dummyfunction("""COMPUTED_VALUE"""),"#N/A")</f>
        <v>#N/A</v>
      </c>
      <c r="AC106" s="30" t="str">
        <f ca="1">IFERROR(__xludf.dummyfunction("""COMPUTED_VALUE"""),"#N/A")</f>
        <v>#N/A</v>
      </c>
      <c r="AD106" s="16" t="str">
        <f ca="1">IFERROR(__xludf.dummyfunction("""COMPUTED_VALUE"""),"#N/A")</f>
        <v>#N/A</v>
      </c>
      <c r="AE106" s="30" t="str">
        <f ca="1">IFERROR(__xludf.dummyfunction("""COMPUTED_VALUE"""),"#N/A")</f>
        <v>#N/A</v>
      </c>
      <c r="AF106" s="30" t="str">
        <f ca="1">IFERROR(__xludf.dummyfunction("""COMPUTED_VALUE"""),"#N/A")</f>
        <v>#N/A</v>
      </c>
      <c r="AG106" s="30" t="str">
        <f ca="1">IFERROR(__xludf.dummyfunction("""COMPUTED_VALUE"""),"#N/A")</f>
        <v>#N/A</v>
      </c>
    </row>
    <row r="107" spans="1:33" ht="13.8">
      <c r="A107" s="25"/>
      <c r="B107" s="26" t="s">
        <v>29</v>
      </c>
      <c r="C107" s="26" t="s">
        <v>310</v>
      </c>
      <c r="D107" s="26">
        <v>6</v>
      </c>
      <c r="E107" s="27" t="s">
        <v>462</v>
      </c>
      <c r="F107" s="28"/>
      <c r="G107" s="26" t="s">
        <v>469</v>
      </c>
      <c r="H107" s="28" t="str">
        <f ca="1">IFERROR(__xludf.dummyfunction("IFERROR(
  VLOOKUP(G107, IMPORTRANGE(""https://docs.google.com/spreadsheets/d/14deopnvwcrKtEGCKuYXdUHJbeLDZlkiSSWWT0g7x2pM/edit#gid=849066331"", ""LU List Maths (Filter)!A:B""), 2, FALSE),
  IFERROR(
    VLOOKUP(G107, IMPORTRANGE(""https://docs.google.com"&amp;"/spreadsheets/d/14deopnvwcrKtEGCKuYXdUHJbeLDZlkiSSWWT0g7x2pM/edit#gid=849066331"", ""LU List Science (Filter)!A:B""), 2, FALSE),
    ""Not Found""
  )
)
"),"Unlike decimals")</f>
        <v>Unlike decimals</v>
      </c>
      <c r="I107" s="28"/>
      <c r="J107" s="29" t="str">
        <f t="shared" si="6"/>
        <v>LU000305.001</v>
      </c>
      <c r="K107" s="29" t="str">
        <f ca="1">IFERROR(__xludf.dummyfunction("VLOOKUP(J107, IMPORTRANGE(""https://docs.google.com/spreadsheets/d/1yDAaXNsi4Mr5FtRQL4tbmSdIzhx6_m4wkOD7IG-k_eo/edit#gid=0"", ""Maths!M:N""), 2, FALSE)"),"State the definition of unlike decimals and emphasize their distinct feature that necessitates conversion to a common decimal place.")</f>
        <v>State the definition of unlike decimals and emphasize their distinct feature that necessitates conversion to a common decimal place.</v>
      </c>
      <c r="L107" s="29" t="str">
        <f t="shared" si="7"/>
        <v>LU000305.002</v>
      </c>
      <c r="M107" s="29" t="str">
        <f ca="1">IFERROR(__xludf.dummyfunction("VLOOKUP(L107, IMPORTRANGE(""https://docs.google.com/spreadsheets/d/1yDAaXNsi4Mr5FtRQL4tbmSdIzhx6_m4wkOD7IG-k_eo/edit#gid=0"", ""Maths!M:N""), 2, FALSE)"),"Describe how unlike decimals have varying numbers of decimal places, making direct operations difficult.")</f>
        <v>Describe how unlike decimals have varying numbers of decimal places, making direct operations difficult.</v>
      </c>
      <c r="N107" s="29" t="str">
        <f t="shared" si="8"/>
        <v>LU000305.003</v>
      </c>
      <c r="O107" s="29" t="str">
        <f ca="1">IFERROR(__xludf.dummyfunction("VLOOKUP(N107, IMPORTRANGE(""https://docs.google.com/spreadsheets/d/1yDAaXNsi4Mr5FtRQL4tbmSdIzhx6_m4wkOD7IG-k_eo/edit#gid=0"", ""Maths!M:N""), 2, FALSE)"),"Apply the understanding of unlike decimals to perform conversions to a common decimal place.")</f>
        <v>Apply the understanding of unlike decimals to perform conversions to a common decimal place.</v>
      </c>
      <c r="P107" s="29" t="str">
        <f t="shared" si="9"/>
        <v>LU000305.004</v>
      </c>
      <c r="Q107" s="29" t="str">
        <f ca="1">IFERROR(__xludf.dummyfunction("VLOOKUP(P107, IMPORTRANGE(""https://docs.google.com/spreadsheets/d/1yDAaXNsi4Mr5FtRQL4tbmSdIzhx6_m4wkOD7IG-k_eo/edit#gid=0"", ""Maths!M:N""), 2, FALSE)"),"Examine how converting unlike decimals to a common decimal place before operations maintains accuracy in calculations.")</f>
        <v>Examine how converting unlike decimals to a common decimal place before operations maintains accuracy in calculations.</v>
      </c>
      <c r="R107" s="29" t="str">
        <f t="shared" si="10"/>
        <v>LU000305.005</v>
      </c>
      <c r="S107" s="29" t="str">
        <f ca="1">IFERROR(__xludf.dummyfunction("VLOOKUP(R107, IMPORTRANGE(""https://docs.google.com/spreadsheets/d/1yDAaXNsi4Mr5FtRQL4tbmSdIzhx6_m4wkOD7IG-k_eo/edit#gid=0"", ""Maths!M:N""), 2, FALSE)"),"#N/A")</f>
        <v>#N/A</v>
      </c>
      <c r="T107" s="29" t="str">
        <f t="shared" si="11"/>
        <v>LU000305.006</v>
      </c>
      <c r="U107" s="29" t="str">
        <f ca="1">IFERROR(__xludf.dummyfunction("VLOOKUP(T107, IMPORTRANGE(""https://docs.google.com/spreadsheets/d/1yDAaXNsi4Mr5FtRQL4tbmSdIzhx6_m4wkOD7IG-k_eo/edit#gid=0"", ""Maths!M:N""), 2, FALSE)"),"Create a set of unlike decimal number pairs and convert them to a common decimal place before performing addition or subtraction operations.")</f>
        <v>Create a set of unlike decimal number pairs and convert them to a common decimal place before performing addition or subtraction operations.</v>
      </c>
      <c r="V107" s="16" t="str">
        <f ca="1">IFERROR(__xludf.dummyfunction("ArrayFormula(VLOOKUP(G107, IMPORTRANGE(""https://docs.google.com/spreadsheets/d/1p7R4vtkWt5VOBim4ltsDG9KTzSjrtKXsMtQGXPHyND0/edit#gid=795171502"", ""'Filter 30_05_2024'!A1:M2000""), {2, 3, 4, 5,6,7,8,9,10,11,12,13}, 0))"),"#N/A")</f>
        <v>#N/A</v>
      </c>
      <c r="W107" s="16" t="str">
        <f ca="1">IFERROR(__xludf.dummyfunction("""COMPUTED_VALUE"""),"#N/A")</f>
        <v>#N/A</v>
      </c>
      <c r="X107" s="16" t="str">
        <f ca="1">IFERROR(__xludf.dummyfunction("""COMPUTED_VALUE"""),"#N/A")</f>
        <v>#N/A</v>
      </c>
      <c r="Y107" s="16" t="str">
        <f ca="1">IFERROR(__xludf.dummyfunction("""COMPUTED_VALUE"""),"#N/A")</f>
        <v>#N/A</v>
      </c>
      <c r="Z107" s="16" t="str">
        <f ca="1">IFERROR(__xludf.dummyfunction("""COMPUTED_VALUE"""),"#N/A")</f>
        <v>#N/A</v>
      </c>
      <c r="AA107" s="30" t="str">
        <f ca="1">IFERROR(__xludf.dummyfunction("""COMPUTED_VALUE"""),"#N/A")</f>
        <v>#N/A</v>
      </c>
      <c r="AB107" s="30" t="str">
        <f ca="1">IFERROR(__xludf.dummyfunction("""COMPUTED_VALUE"""),"#N/A")</f>
        <v>#N/A</v>
      </c>
      <c r="AC107" s="30" t="str">
        <f ca="1">IFERROR(__xludf.dummyfunction("""COMPUTED_VALUE"""),"#N/A")</f>
        <v>#N/A</v>
      </c>
      <c r="AD107" s="16" t="str">
        <f ca="1">IFERROR(__xludf.dummyfunction("""COMPUTED_VALUE"""),"#N/A")</f>
        <v>#N/A</v>
      </c>
      <c r="AE107" s="30" t="str">
        <f ca="1">IFERROR(__xludf.dummyfunction("""COMPUTED_VALUE"""),"#N/A")</f>
        <v>#N/A</v>
      </c>
      <c r="AF107" s="30" t="str">
        <f ca="1">IFERROR(__xludf.dummyfunction("""COMPUTED_VALUE"""),"#N/A")</f>
        <v>#N/A</v>
      </c>
      <c r="AG107" s="30" t="str">
        <f ca="1">IFERROR(__xludf.dummyfunction("""COMPUTED_VALUE"""),"#N/A")</f>
        <v>#N/A</v>
      </c>
    </row>
    <row r="108" spans="1:33" ht="26.4">
      <c r="A108" s="25"/>
      <c r="B108" s="26" t="s">
        <v>29</v>
      </c>
      <c r="C108" s="26" t="s">
        <v>310</v>
      </c>
      <c r="D108" s="26">
        <v>6</v>
      </c>
      <c r="E108" s="27" t="s">
        <v>462</v>
      </c>
      <c r="F108" s="28" t="s">
        <v>470</v>
      </c>
      <c r="G108" s="26" t="s">
        <v>471</v>
      </c>
      <c r="H108" s="28" t="str">
        <f ca="1">IFERROR(__xludf.dummyfunction("IFERROR(
  VLOOKUP(G108, IMPORTRANGE(""https://docs.google.com/spreadsheets/d/14deopnvwcrKtEGCKuYXdUHJbeLDZlkiSSWWT0g7x2pM/edit#gid=849066331"", ""LU List Maths (Filter)!A:B""), 2, FALSE),
  IFERROR(
    VLOOKUP(G108, IMPORTRANGE(""https://docs.google.com"&amp;"/spreadsheets/d/14deopnvwcrKtEGCKuYXdUHJbeLDZlkiSSWWT0g7x2pM/edit#gid=849066331"", ""LU List Science (Filter)!A:B""), 2, FALSE),
    ""Not Found""
  )
)
"),"Representation of decimal numbers on number line")</f>
        <v>Representation of decimal numbers on number line</v>
      </c>
      <c r="I108" s="28"/>
      <c r="J108" s="29" t="str">
        <f t="shared" si="6"/>
        <v>LU000295.001</v>
      </c>
      <c r="K108" s="29" t="str">
        <f ca="1">IFERROR(__xludf.dummyfunction("VLOOKUP(J108, IMPORTRANGE(""https://docs.google.com/spreadsheets/d/1yDAaXNsi4Mr5FtRQL4tbmSdIzhx6_m4wkOD7IG-k_eo/edit#gid=0"", ""Maths!M:N""), 2, FALSE)"),"State the concept of representing decimal numbers on a number line and identify the positions of decimal numbers like 0.5 and 2.75.")</f>
        <v>State the concept of representing decimal numbers on a number line and identify the positions of decimal numbers like 0.5 and 2.75.</v>
      </c>
      <c r="L108" s="29" t="str">
        <f t="shared" si="7"/>
        <v>LU000295.002</v>
      </c>
      <c r="M108" s="29" t="str">
        <f ca="1">IFERROR(__xludf.dummyfunction("VLOOKUP(L108, IMPORTRANGE(""https://docs.google.com/spreadsheets/d/1yDAaXNsi4Mr5FtRQL4tbmSdIzhx6_m4wkOD7IG-k_eo/edit#gid=0"", ""Maths!M:N""), 2, FALSE)"),"Describe how a number line visually displays the relative sizes of decimal numbers.")</f>
        <v>Describe how a number line visually displays the relative sizes of decimal numbers.</v>
      </c>
      <c r="N108" s="29" t="str">
        <f t="shared" si="8"/>
        <v>LU000295.003</v>
      </c>
      <c r="O108" s="29" t="str">
        <f ca="1">IFERROR(__xludf.dummyfunction("VLOOKUP(N108, IMPORTRANGE(""https://docs.google.com/spreadsheets/d/1yDAaXNsi4Mr5FtRQL4tbmSdIzhx6_m4wkOD7IG-k_eo/edit#gid=0"", ""Maths!M:N""), 2, FALSE)"),"Plot decimal numbers on a number line,")</f>
        <v>Plot decimal numbers on a number line,</v>
      </c>
      <c r="P108" s="29" t="str">
        <f t="shared" si="9"/>
        <v>LU000295.004</v>
      </c>
      <c r="Q108" s="29" t="str">
        <f ca="1">IFERROR(__xludf.dummyfunction("VLOOKUP(P108, IMPORTRANGE(""https://docs.google.com/spreadsheets/d/1yDAaXNsi4Mr5FtRQL4tbmSdIzhx6_m4wkOD7IG-k_eo/edit#gid=0"", ""Maths!M:N""), 2, FALSE)"),"Examine the positions of decimal numbers on a number line, discussing which is greater and why based on their positions.")</f>
        <v>Examine the positions of decimal numbers on a number line, discussing which is greater and why based on their positions.</v>
      </c>
      <c r="R108" s="29" t="str">
        <f t="shared" si="10"/>
        <v>LU000295.005</v>
      </c>
      <c r="S108" s="29" t="str">
        <f ca="1">IFERROR(__xludf.dummyfunction("VLOOKUP(R108, IMPORTRANGE(""https://docs.google.com/spreadsheets/d/1yDAaXNsi4Mr5FtRQL4tbmSdIzhx6_m4wkOD7IG-k_eo/edit#gid=0"", ""Maths!M:N""), 2, FALSE)"),"Assess the correctness of plotted decimal values on a number line")</f>
        <v>Assess the correctness of plotted decimal values on a number line</v>
      </c>
      <c r="T108" s="29" t="str">
        <f t="shared" si="11"/>
        <v>LU000295.006</v>
      </c>
      <c r="U108" s="29" t="str">
        <f ca="1">IFERROR(__xludf.dummyfunction("VLOOKUP(T108, IMPORTRANGE(""https://docs.google.com/spreadsheets/d/1yDAaXNsi4Mr5FtRQL4tbmSdIzhx6_m4wkOD7IG-k_eo/edit#gid=0"", ""Maths!M:N""), 2, FALSE)"),"Design real-world scenarios (such as measuring distances, marking temperature changes, or comparing prices) and plot corresponding decimal numbers that appropriately reflect these situations on a number line.")</f>
        <v>Design real-world scenarios (such as measuring distances, marking temperature changes, or comparing prices) and plot corresponding decimal numbers that appropriately reflect these situations on a number line.</v>
      </c>
      <c r="V108" s="16">
        <f ca="1">IFERROR(__xludf.dummyfunction("ArrayFormula(VLOOKUP(G108, IMPORTRANGE(""https://docs.google.com/spreadsheets/d/1p7R4vtkWt5VOBim4ltsDG9KTzSjrtKXsMtQGXPHyND0/edit#gid=795171502"", ""'Filter 30_05_2024'!A1:M2000""), {2, 3, 4, 5,6,7,8,9,10,11,12,13}, 0))"),4)</f>
        <v>4</v>
      </c>
      <c r="W108" s="16">
        <f ca="1">IFERROR(__xludf.dummyfunction("""COMPUTED_VALUE"""),6)</f>
        <v>6</v>
      </c>
      <c r="X108" s="16">
        <f ca="1">IFERROR(__xludf.dummyfunction("""COMPUTED_VALUE"""),2)</f>
        <v>2</v>
      </c>
      <c r="Y108" s="16">
        <f ca="1">IFERROR(__xludf.dummyfunction("""COMPUTED_VALUE"""),12)</f>
        <v>12</v>
      </c>
      <c r="Z108" s="16">
        <f ca="1">IFERROR(__xludf.dummyfunction("""COMPUTED_VALUE"""),4)</f>
        <v>4</v>
      </c>
      <c r="AA108" s="30">
        <f ca="1">IFERROR(__xludf.dummyfunction("""COMPUTED_VALUE"""),3)</f>
        <v>3</v>
      </c>
      <c r="AB108" s="30">
        <f ca="1">IFERROR(__xludf.dummyfunction("""COMPUTED_VALUE"""),1)</f>
        <v>1</v>
      </c>
      <c r="AC108" s="30">
        <f ca="1">IFERROR(__xludf.dummyfunction("""COMPUTED_VALUE"""),8)</f>
        <v>8</v>
      </c>
      <c r="AD108" s="16"/>
      <c r="AE108" s="30"/>
      <c r="AF108" s="30"/>
      <c r="AG108" s="30"/>
    </row>
    <row r="109" spans="1:33" ht="26.4">
      <c r="A109" s="25"/>
      <c r="B109" s="26" t="s">
        <v>29</v>
      </c>
      <c r="C109" s="26" t="s">
        <v>310</v>
      </c>
      <c r="D109" s="26">
        <v>6</v>
      </c>
      <c r="E109" s="27" t="s">
        <v>462</v>
      </c>
      <c r="F109" s="28" t="s">
        <v>472</v>
      </c>
      <c r="G109" s="48" t="s">
        <v>473</v>
      </c>
      <c r="H109" s="28" t="str">
        <f ca="1">IFERROR(__xludf.dummyfunction("IFERROR(
  VLOOKUP(G109, IMPORTRANGE(""https://docs.google.com/spreadsheets/d/14deopnvwcrKtEGCKuYXdUHJbeLDZlkiSSWWT0g7x2pM/edit#gid=849066331"", ""LU List Maths (Filter)!A:B""), 2, FALSE),
  IFERROR(
    VLOOKUP(G109, IMPORTRANGE(""https://docs.google.com"&amp;"/spreadsheets/d/14deopnvwcrKtEGCKuYXdUHJbeLDZlkiSSWWT0g7x2pM/edit#gid=849066331"", ""LU List Science (Filter)!A:B""), 2, FALSE),
    ""Not Found""
  )
)
"),"Convert decimal number to fractional form")</f>
        <v>Convert decimal number to fractional form</v>
      </c>
      <c r="I109" s="41"/>
      <c r="J109" s="29" t="str">
        <f t="shared" si="6"/>
        <v>LU000096.001</v>
      </c>
      <c r="K109" s="29" t="str">
        <f ca="1">IFERROR(__xludf.dummyfunction("VLOOKUP(J109, IMPORTRANGE(""https://docs.google.com/spreadsheets/d/1yDAaXNsi4Mr5FtRQL4tbmSdIzhx6_m4wkOD7IG-k_eo/edit#gid=0"", ""Maths!M:N""), 2, FALSE)"),"State that a decimal number can be converted into a fraction.")</f>
        <v>State that a decimal number can be converted into a fraction.</v>
      </c>
      <c r="L109" s="29" t="str">
        <f t="shared" si="7"/>
        <v>LU000096.002</v>
      </c>
      <c r="M109" s="29" t="str">
        <f ca="1">IFERROR(__xludf.dummyfunction("VLOOKUP(L109, IMPORTRANGE(""https://docs.google.com/spreadsheets/d/1yDAaXNsi4Mr5FtRQL4tbmSdIzhx6_m4wkOD7IG-k_eo/edit#gid=0"", ""Maths!M:N""), 2, FALSE)"),"Explain that the place value of decimal digits determines the fraction's numerator and denominator.")</f>
        <v>Explain that the place value of decimal digits determines the fraction's numerator and denominator.</v>
      </c>
      <c r="N109" s="29" t="str">
        <f t="shared" si="8"/>
        <v>LU000096.003</v>
      </c>
      <c r="O109" s="29" t="str">
        <f ca="1">IFERROR(__xludf.dummyfunction("VLOOKUP(N109, IMPORTRANGE(""https://docs.google.com/spreadsheets/d/1yDAaXNsi4Mr5FtRQL4tbmSdIzhx6_m4wkOD7IG-k_eo/edit#gid=0"", ""Maths!M:N""), 2, FALSE)"),"Use the knowledge of converting simple decimals to fractions to express decimal numbers in fractional form.")</f>
        <v>Use the knowledge of converting simple decimals to fractions to express decimal numbers in fractional form.</v>
      </c>
      <c r="P109" s="29" t="str">
        <f t="shared" si="9"/>
        <v>LU000096.004</v>
      </c>
      <c r="Q109" s="29" t="str">
        <f ca="1">IFERROR(__xludf.dummyfunction("VLOOKUP(P109, IMPORTRANGE(""https://docs.google.com/spreadsheets/d/1yDAaXNsi4Mr5FtRQL4tbmSdIzhx6_m4wkOD7IG-k_eo/edit#gid=0"", ""Maths!M:N""), 2, FALSE)"),"Examine the relationship between the decimal part and the fractional part in a converted decimal fraction.")</f>
        <v>Examine the relationship between the decimal part and the fractional part in a converted decimal fraction.</v>
      </c>
      <c r="R109" s="29" t="str">
        <f t="shared" si="10"/>
        <v>LU000096.005</v>
      </c>
      <c r="S109" s="29" t="str">
        <f ca="1">IFERROR(__xludf.dummyfunction("VLOOKUP(R109, IMPORTRANGE(""https://docs.google.com/spreadsheets/d/1yDAaXNsi4Mr5FtRQL4tbmSdIzhx6_m4wkOD7IG-k_eo/edit#gid=0"", ""Maths!M:N""), 2, FALSE)"),"Assess the correctness of converting decimal numbers to fractions in real-life scenarios.")</f>
        <v>Assess the correctness of converting decimal numbers to fractions in real-life scenarios.</v>
      </c>
      <c r="T109" s="29" t="str">
        <f t="shared" si="11"/>
        <v>LU000096.006</v>
      </c>
      <c r="U109" s="29" t="str">
        <f ca="1">IFERROR(__xludf.dummyfunction("VLOOKUP(T109, IMPORTRANGE(""https://docs.google.com/spreadsheets/d/1yDAaXNsi4Mr5FtRQL4tbmSdIzhx6_m4wkOD7IG-k_eo/edit#gid=0"", ""Maths!M:N""), 2, FALSE)"),"Create word problems or scenarios that require converting decimal numbers into fractions.")</f>
        <v>Create word problems or scenarios that require converting decimal numbers into fractions.</v>
      </c>
      <c r="V109" s="16" t="str">
        <f ca="1">IFERROR(__xludf.dummyfunction("ArrayFormula(VLOOKUP(G109, IMPORTRANGE(""https://docs.google.com/spreadsheets/d/1p7R4vtkWt5VOBim4ltsDG9KTzSjrtKXsMtQGXPHyND0/edit#gid=795171502"", ""'Filter 30_05_2024'!A1:M2000""), {2, 3, 4, 5,6,7,8,9,10,11,12,13}, 0))"),"#N/A")</f>
        <v>#N/A</v>
      </c>
      <c r="W109" s="16" t="str">
        <f ca="1">IFERROR(__xludf.dummyfunction("""COMPUTED_VALUE"""),"#N/A")</f>
        <v>#N/A</v>
      </c>
      <c r="X109" s="16" t="str">
        <f ca="1">IFERROR(__xludf.dummyfunction("""COMPUTED_VALUE"""),"#N/A")</f>
        <v>#N/A</v>
      </c>
      <c r="Y109" s="16" t="str">
        <f ca="1">IFERROR(__xludf.dummyfunction("""COMPUTED_VALUE"""),"#N/A")</f>
        <v>#N/A</v>
      </c>
      <c r="Z109" s="16" t="str">
        <f ca="1">IFERROR(__xludf.dummyfunction("""COMPUTED_VALUE"""),"#N/A")</f>
        <v>#N/A</v>
      </c>
      <c r="AA109" s="30" t="str">
        <f ca="1">IFERROR(__xludf.dummyfunction("""COMPUTED_VALUE"""),"#N/A")</f>
        <v>#N/A</v>
      </c>
      <c r="AB109" s="30" t="str">
        <f ca="1">IFERROR(__xludf.dummyfunction("""COMPUTED_VALUE"""),"#N/A")</f>
        <v>#N/A</v>
      </c>
      <c r="AC109" s="30" t="str">
        <f ca="1">IFERROR(__xludf.dummyfunction("""COMPUTED_VALUE"""),"#N/A")</f>
        <v>#N/A</v>
      </c>
      <c r="AD109" s="16" t="str">
        <f ca="1">IFERROR(__xludf.dummyfunction("""COMPUTED_VALUE"""),"#N/A")</f>
        <v>#N/A</v>
      </c>
      <c r="AE109" s="30" t="str">
        <f ca="1">IFERROR(__xludf.dummyfunction("""COMPUTED_VALUE"""),"#N/A")</f>
        <v>#N/A</v>
      </c>
      <c r="AF109" s="30" t="str">
        <f ca="1">IFERROR(__xludf.dummyfunction("""COMPUTED_VALUE"""),"#N/A")</f>
        <v>#N/A</v>
      </c>
      <c r="AG109" s="30" t="str">
        <f ca="1">IFERROR(__xludf.dummyfunction("""COMPUTED_VALUE"""),"#N/A")</f>
        <v>#N/A</v>
      </c>
    </row>
    <row r="110" spans="1:33" ht="55.2">
      <c r="A110" s="25"/>
      <c r="B110" s="26" t="s">
        <v>29</v>
      </c>
      <c r="C110" s="26" t="s">
        <v>310</v>
      </c>
      <c r="D110" s="26">
        <v>6</v>
      </c>
      <c r="E110" s="27" t="s">
        <v>462</v>
      </c>
      <c r="F110" s="28"/>
      <c r="G110" s="48" t="s">
        <v>474</v>
      </c>
      <c r="H110" s="28" t="str">
        <f ca="1">IFERROR(__xludf.dummyfunction("IFERROR(
  VLOOKUP(G110, IMPORTRANGE(""https://docs.google.com/spreadsheets/d/14deopnvwcrKtEGCKuYXdUHJbeLDZlkiSSWWT0g7x2pM/edit#gid=849066331"", ""LU List Maths (Filter)!A:B""), 2, FALSE),
  IFERROR(
    VLOOKUP(G110, IMPORTRANGE(""https://docs.google.com"&amp;"/spreadsheets/d/14deopnvwcrKtEGCKuYXdUHJbeLDZlkiSSWWT0g7x2pM/edit#gid=849066331"", ""LU List Science (Filter)!A:B""), 2, FALSE),
    ""Not Found""
  )
)
"),"Convert fractional form to decimal number")</f>
        <v>Convert fractional form to decimal number</v>
      </c>
      <c r="I110" s="41"/>
      <c r="J110" s="29" t="str">
        <f t="shared" si="6"/>
        <v>LU000097.001</v>
      </c>
      <c r="K110" s="49" t="str">
        <f ca="1">IFERROR(__xludf.dummyfunction("VLOOKUP(J110, IMPORTRANGE(""https://docs.google.com/spreadsheets/d/1yDAaXNsi4Mr5FtRQL4tbmSdIzhx6_m4wkOD7IG-k_eo/edit#gid=0"", ""Maths!M:N""), 2, FALSE)"),"State the basic fraction-to-decimal conversions (such as 1/2 equals 0.5)
")</f>
        <v xml:space="preserve">State the basic fraction-to-decimal conversions (such as 1/2 equals 0.5)
</v>
      </c>
      <c r="L110" s="29" t="str">
        <f t="shared" si="7"/>
        <v>LU000097.002</v>
      </c>
      <c r="M110" s="29" t="str">
        <f ca="1">IFERROR(__xludf.dummyfunction("VLOOKUP(L110, IMPORTRANGE(""https://docs.google.com/spreadsheets/d/1yDAaXNsi4Mr5FtRQL4tbmSdIzhx6_m4wkOD7IG-k_eo/edit#gid=0"", ""Maths!M:N""), 2, FALSE)"),"Explain the connection between fractions and decimals, understanding that fractions can be represented as decimals.")</f>
        <v>Explain the connection between fractions and decimals, understanding that fractions can be represented as decimals.</v>
      </c>
      <c r="N110" s="29" t="str">
        <f t="shared" si="8"/>
        <v>LU000097.003</v>
      </c>
      <c r="O110" s="29" t="str">
        <f ca="1">IFERROR(__xludf.dummyfunction("VLOOKUP(N110, IMPORTRANGE(""https://docs.google.com/spreadsheets/d/1yDAaXNsi4Mr5FtRQL4tbmSdIzhx6_m4wkOD7IG-k_eo/edit#gid=0"", ""Maths!M:N""), 2, FALSE)"),"Apply fraction-to-decimal conversions to solve real-world problems involving measurements and calculations.")</f>
        <v>Apply fraction-to-decimal conversions to solve real-world problems involving measurements and calculations.</v>
      </c>
      <c r="P110" s="29" t="str">
        <f t="shared" si="9"/>
        <v>LU000097.004</v>
      </c>
      <c r="Q110" s="29" t="str">
        <f ca="1">IFERROR(__xludf.dummyfunction("VLOOKUP(P110, IMPORTRANGE(""https://docs.google.com/spreadsheets/d/1yDAaXNsi4Mr5FtRQL4tbmSdIzhx6_m4wkOD7IG-k_eo/edit#gid=0"", ""Maths!M:N""), 2, FALSE)"),"Examine and analyze the patterns in decimal representations of fractions")</f>
        <v>Examine and analyze the patterns in decimal representations of fractions</v>
      </c>
      <c r="R110" s="29" t="str">
        <f t="shared" si="10"/>
        <v>LU000097.005</v>
      </c>
      <c r="S110" s="29" t="str">
        <f ca="1">IFERROR(__xludf.dummyfunction("VLOOKUP(R110, IMPORTRANGE(""https://docs.google.com/spreadsheets/d/1yDAaXNsi4Mr5FtRQL4tbmSdIzhx6_m4wkOD7IG-k_eo/edit#gid=0"", ""Maths!M:N""), 2, FALSE)"),"Assess the accuracy of converting various fractions into decimal form.")</f>
        <v>Assess the accuracy of converting various fractions into decimal form.</v>
      </c>
      <c r="T110" s="29" t="str">
        <f t="shared" si="11"/>
        <v>LU000097.006</v>
      </c>
      <c r="U110" s="29" t="str">
        <f ca="1">IFERROR(__xludf.dummyfunction("VLOOKUP(T110, IMPORTRANGE(""https://docs.google.com/spreadsheets/d/1yDAaXNsi4Mr5FtRQL4tbmSdIzhx6_m4wkOD7IG-k_eo/edit#gid=0"", ""Maths!M:N""), 2, FALSE)"),"Create problems that require students to convert fractions into decimal form.")</f>
        <v>Create problems that require students to convert fractions into decimal form.</v>
      </c>
      <c r="V110" s="16" t="str">
        <f ca="1">IFERROR(__xludf.dummyfunction("ArrayFormula(VLOOKUP(G110, IMPORTRANGE(""https://docs.google.com/spreadsheets/d/1p7R4vtkWt5VOBim4ltsDG9KTzSjrtKXsMtQGXPHyND0/edit#gid=795171502"", ""'Filter 30_05_2024'!A1:M2000""), {2, 3, 4, 5,6,7,8,9,10,11,12,13}, 0))"),"#N/A")</f>
        <v>#N/A</v>
      </c>
      <c r="W110" s="16" t="str">
        <f ca="1">IFERROR(__xludf.dummyfunction("""COMPUTED_VALUE"""),"#N/A")</f>
        <v>#N/A</v>
      </c>
      <c r="X110" s="16" t="str">
        <f ca="1">IFERROR(__xludf.dummyfunction("""COMPUTED_VALUE"""),"#N/A")</f>
        <v>#N/A</v>
      </c>
      <c r="Y110" s="16" t="str">
        <f ca="1">IFERROR(__xludf.dummyfunction("""COMPUTED_VALUE"""),"#N/A")</f>
        <v>#N/A</v>
      </c>
      <c r="Z110" s="16" t="str">
        <f ca="1">IFERROR(__xludf.dummyfunction("""COMPUTED_VALUE"""),"#N/A")</f>
        <v>#N/A</v>
      </c>
      <c r="AA110" s="30" t="str">
        <f ca="1">IFERROR(__xludf.dummyfunction("""COMPUTED_VALUE"""),"#N/A")</f>
        <v>#N/A</v>
      </c>
      <c r="AB110" s="30" t="str">
        <f ca="1">IFERROR(__xludf.dummyfunction("""COMPUTED_VALUE"""),"#N/A")</f>
        <v>#N/A</v>
      </c>
      <c r="AC110" s="30" t="str">
        <f ca="1">IFERROR(__xludf.dummyfunction("""COMPUTED_VALUE"""),"#N/A")</f>
        <v>#N/A</v>
      </c>
      <c r="AD110" s="16" t="str">
        <f ca="1">IFERROR(__xludf.dummyfunction("""COMPUTED_VALUE"""),"#N/A")</f>
        <v>#N/A</v>
      </c>
      <c r="AE110" s="30" t="str">
        <f ca="1">IFERROR(__xludf.dummyfunction("""COMPUTED_VALUE"""),"#N/A")</f>
        <v>#N/A</v>
      </c>
      <c r="AF110" s="30" t="str">
        <f ca="1">IFERROR(__xludf.dummyfunction("""COMPUTED_VALUE"""),"#N/A")</f>
        <v>#N/A</v>
      </c>
      <c r="AG110" s="30" t="str">
        <f ca="1">IFERROR(__xludf.dummyfunction("""COMPUTED_VALUE"""),"#N/A")</f>
        <v>#N/A</v>
      </c>
    </row>
    <row r="111" spans="1:33" ht="13.8">
      <c r="A111" s="25"/>
      <c r="B111" s="26" t="s">
        <v>29</v>
      </c>
      <c r="C111" s="26" t="s">
        <v>310</v>
      </c>
      <c r="D111" s="26">
        <v>6</v>
      </c>
      <c r="E111" s="27" t="s">
        <v>462</v>
      </c>
      <c r="F111" s="28" t="s">
        <v>475</v>
      </c>
      <c r="G111" s="26" t="s">
        <v>476</v>
      </c>
      <c r="H111" s="28" t="str">
        <f ca="1">IFERROR(__xludf.dummyfunction("IFERROR(
  VLOOKUP(G111, IMPORTRANGE(""https://docs.google.com/spreadsheets/d/14deopnvwcrKtEGCKuYXdUHJbeLDZlkiSSWWT0g7x2pM/edit#gid=849066331"", ""LU List Maths (Filter)!A:B""), 2, FALSE),
  IFERROR(
    VLOOKUP(G111, IMPORTRANGE(""https://docs.google.com"&amp;"/spreadsheets/d/14deopnvwcrKtEGCKuYXdUHJbeLDZlkiSSWWT0g7x2pM/edit#gid=849066331"", ""LU List Science (Filter)!A:B""), 2, FALSE),
    ""Not Found""
  )
)
"),"Comparison of decimal numbers")</f>
        <v>Comparison of decimal numbers</v>
      </c>
      <c r="I111" s="28"/>
      <c r="J111" s="29" t="str">
        <f t="shared" si="6"/>
        <v>LU000297.001</v>
      </c>
      <c r="K111" s="29" t="str">
        <f ca="1">IFERROR(__xludf.dummyfunction("VLOOKUP(J111, IMPORTRANGE(""https://docs.google.com/spreadsheets/d/1yDAaXNsi4Mr5FtRQL4tbmSdIzhx6_m4wkOD7IG-k_eo/edit#gid=0"", ""Maths!M:N""), 2, FALSE)"),"State the methods of comparing decimal numbers using visual models")</f>
        <v>State the methods of comparing decimal numbers using visual models</v>
      </c>
      <c r="L111" s="29" t="str">
        <f t="shared" si="7"/>
        <v>LU000297.002</v>
      </c>
      <c r="M111" s="29" t="str">
        <f ca="1">IFERROR(__xludf.dummyfunction("VLOOKUP(L111, IMPORTRANGE(""https://docs.google.com/spreadsheets/d/1yDAaXNsi4Mr5FtRQL4tbmSdIzhx6_m4wkOD7IG-k_eo/edit#gid=0"", ""Maths!M:N""), 2, FALSE)"),"Compare two decimal numbers numerically, and record comparisons using &lt;, &gt;, or = sign.")</f>
        <v>Compare two decimal numbers numerically, and record comparisons using &lt;, &gt;, or = sign.</v>
      </c>
      <c r="N111" s="29" t="str">
        <f t="shared" si="8"/>
        <v>LU000297.003</v>
      </c>
      <c r="O111" s="29" t="str">
        <f ca="1">IFERROR(__xludf.dummyfunction("VLOOKUP(N111, IMPORTRANGE(""https://docs.google.com/spreadsheets/d/1yDAaXNsi4Mr5FtRQL4tbmSdIzhx6_m4wkOD7IG-k_eo/edit#gid=0"", ""Maths!M:N""), 2, FALSE)"),"Compare decimal numbers and arrange them in either ascending or descending order.")</f>
        <v>Compare decimal numbers and arrange them in either ascending or descending order.</v>
      </c>
      <c r="P111" s="29" t="str">
        <f t="shared" si="9"/>
        <v>LU000297.004</v>
      </c>
      <c r="Q111" s="29" t="str">
        <f ca="1">IFERROR(__xludf.dummyfunction("VLOOKUP(P111, IMPORTRANGE(""https://docs.google.com/spreadsheets/d/1yDAaXNsi4Mr5FtRQL4tbmSdIzhx6_m4wkOD7IG-k_eo/edit#gid=0"", ""Maths!M:N""), 2, FALSE)"),"Examine how comparing decimal numbers involves evaluating the impact of digits in the tenth, hundredths and thousandths places.")</f>
        <v>Examine how comparing decimal numbers involves evaluating the impact of digits in the tenth, hundredths and thousandths places.</v>
      </c>
      <c r="R111" s="29" t="str">
        <f t="shared" si="10"/>
        <v>LU000297.005</v>
      </c>
      <c r="S111" s="29" t="str">
        <f ca="1">IFERROR(__xludf.dummyfunction("VLOOKUP(R111, IMPORTRANGE(""https://docs.google.com/spreadsheets/d/1yDAaXNsi4Mr5FtRQL4tbmSdIzhx6_m4wkOD7IG-k_eo/edit#gid=0"", ""Maths!M:N""), 2, FALSE)"),"Assess the correctness of comparison results for decimals.")</f>
        <v>Assess the correctness of comparison results for decimals.</v>
      </c>
      <c r="T111" s="29" t="str">
        <f t="shared" si="11"/>
        <v>LU000297.006</v>
      </c>
      <c r="U111" s="29" t="str">
        <f ca="1">IFERROR(__xludf.dummyfunction("VLOOKUP(T111, IMPORTRANGE(""https://docs.google.com/spreadsheets/d/1yDAaXNsi4Mr5FtRQL4tbmSdIzhx6_m4wkOD7IG-k_eo/edit#gid=0"", ""Maths!M:N""), 2, FALSE)"),"Generate decimal numbers and compare them in pairs, crafting scenarios where each decimal is greater, smaller, or equal to another.")</f>
        <v>Generate decimal numbers and compare them in pairs, crafting scenarios where each decimal is greater, smaller, or equal to another.</v>
      </c>
      <c r="V111" s="16">
        <f ca="1">IFERROR(__xludf.dummyfunction("ArrayFormula(VLOOKUP(G111, IMPORTRANGE(""https://docs.google.com/spreadsheets/d/1p7R4vtkWt5VOBim4ltsDG9KTzSjrtKXsMtQGXPHyND0/edit#gid=795171502"", ""'Filter 30_05_2024'!A1:M2000""), {2, 3, 4, 5,6,7,8,9,10,11,12,13}, 0))"),5)</f>
        <v>5</v>
      </c>
      <c r="W111" s="16">
        <f ca="1">IFERROR(__xludf.dummyfunction("""COMPUTED_VALUE"""),16)</f>
        <v>16</v>
      </c>
      <c r="X111" s="16">
        <f ca="1">IFERROR(__xludf.dummyfunction("""COMPUTED_VALUE"""),2)</f>
        <v>2</v>
      </c>
      <c r="Y111" s="16">
        <f ca="1">IFERROR(__xludf.dummyfunction("""COMPUTED_VALUE"""),23)</f>
        <v>23</v>
      </c>
      <c r="Z111" s="16">
        <f ca="1">IFERROR(__xludf.dummyfunction("""COMPUTED_VALUE"""),3)</f>
        <v>3</v>
      </c>
      <c r="AA111" s="30">
        <f ca="1">IFERROR(__xludf.dummyfunction("""COMPUTED_VALUE"""),6)</f>
        <v>6</v>
      </c>
      <c r="AB111" s="30">
        <f ca="1">IFERROR(__xludf.dummyfunction("""COMPUTED_VALUE"""),1)</f>
        <v>1</v>
      </c>
      <c r="AC111" s="30">
        <f ca="1">IFERROR(__xludf.dummyfunction("""COMPUTED_VALUE"""),10)</f>
        <v>10</v>
      </c>
      <c r="AD111" s="16"/>
      <c r="AE111" s="30"/>
      <c r="AF111" s="30"/>
      <c r="AG111" s="30"/>
    </row>
    <row r="112" spans="1:33" ht="13.8">
      <c r="A112" s="25"/>
      <c r="B112" s="26" t="s">
        <v>29</v>
      </c>
      <c r="C112" s="26" t="s">
        <v>310</v>
      </c>
      <c r="D112" s="26">
        <v>6</v>
      </c>
      <c r="E112" s="27" t="s">
        <v>462</v>
      </c>
      <c r="F112" s="28" t="s">
        <v>477</v>
      </c>
      <c r="G112" s="26" t="s">
        <v>478</v>
      </c>
      <c r="H112" s="28" t="str">
        <f ca="1">IFERROR(__xludf.dummyfunction("IFERROR(
  VLOOKUP(G112, IMPORTRANGE(""https://docs.google.com/spreadsheets/d/14deopnvwcrKtEGCKuYXdUHJbeLDZlkiSSWWT0g7x2pM/edit#gid=849066331"", ""LU List Maths (Filter)!A:B""), 2, FALSE),
  IFERROR(
    VLOOKUP(G112, IMPORTRANGE(""https://docs.google.com"&amp;"/spreadsheets/d/14deopnvwcrKtEGCKuYXdUHJbeLDZlkiSSWWT0g7x2pM/edit#gid=849066331"", ""LU List Science (Filter)!A:B""), 2, FALSE),
    ""Not Found""
  )
)
"),"Addition of decimal numbers")</f>
        <v>Addition of decimal numbers</v>
      </c>
      <c r="I112" s="28"/>
      <c r="J112" s="29" t="str">
        <f t="shared" si="6"/>
        <v>LU000302.001</v>
      </c>
      <c r="K112" s="29" t="str">
        <f ca="1">IFERROR(__xludf.dummyfunction("VLOOKUP(J112, IMPORTRANGE(""https://docs.google.com/spreadsheets/d/1yDAaXNsi4Mr5FtRQL4tbmSdIzhx6_m4wkOD7IG-k_eo/edit#gid=0"", ""Maths!M:N""), 2, FALSE)"),"State the sequential steps involved in adding decimal numbers, emphasising the importance of aligning decimal points before performing addition.")</f>
        <v>State the sequential steps involved in adding decimal numbers, emphasising the importance of aligning decimal points before performing addition.</v>
      </c>
      <c r="L112" s="29" t="str">
        <f t="shared" si="7"/>
        <v>LU000302.002</v>
      </c>
      <c r="M112" s="29" t="str">
        <f ca="1">IFERROR(__xludf.dummyfunction("VLOOKUP(L112, IMPORTRANGE(""https://docs.google.com/spreadsheets/d/1yDAaXNsi4Mr5FtRQL4tbmSdIzhx6_m4wkOD7IG-k_eo/edit#gid=0"", ""Maths!M:N""), 2, FALSE)"),"Describe how adding decimal numbers involves aligning digits based on their place values and adding column by column.")</f>
        <v>Describe how adding decimal numbers involves aligning digits based on their place values and adding column by column.</v>
      </c>
      <c r="N112" s="29" t="str">
        <f t="shared" si="8"/>
        <v>LU000302.003</v>
      </c>
      <c r="O112" s="29" t="str">
        <f ca="1">IFERROR(__xludf.dummyfunction("VLOOKUP(N112, IMPORTRANGE(""https://docs.google.com/spreadsheets/d/1yDAaXNsi4Mr5FtRQL4tbmSdIzhx6_m4wkOD7IG-k_eo/edit#gid=0"", ""Maths!M:N""), 2, FALSE)"),"Apply the understanding of adding decimal numbers to solve arithmetic and word problems.")</f>
        <v>Apply the understanding of adding decimal numbers to solve arithmetic and word problems.</v>
      </c>
      <c r="P112" s="29" t="str">
        <f t="shared" si="9"/>
        <v>LU000302.004</v>
      </c>
      <c r="Q112" s="29" t="str">
        <f ca="1">IFERROR(__xludf.dummyfunction("VLOOKUP(P112, IMPORTRANGE(""https://docs.google.com/spreadsheets/d/1yDAaXNsi4Mr5FtRQL4tbmSdIzhx6_m4wkOD7IG-k_eo/edit#gid=0"", ""Maths!M:N""), 2, FALSE)"),"Examine how the correct placement of the decimal point in the sum of decimal numbers ensures the precision of the result.")</f>
        <v>Examine how the correct placement of the decimal point in the sum of decimal numbers ensures the precision of the result.</v>
      </c>
      <c r="R112" s="29" t="str">
        <f t="shared" si="10"/>
        <v>LU000302.005</v>
      </c>
      <c r="S112" s="29" t="str">
        <f ca="1">IFERROR(__xludf.dummyfunction("VLOOKUP(R112, IMPORTRANGE(""https://docs.google.com/spreadsheets/d/1yDAaXNsi4Mr5FtRQL4tbmSdIzhx6_m4wkOD7IG-k_eo/edit#gid=0"", ""Maths!M:N""), 2, FALSE)"),"Evaluate the accuracy of addition solution for decimal numbers, assessing the correctness of the aligned addition and decimal point placement.")</f>
        <v>Evaluate the accuracy of addition solution for decimal numbers, assessing the correctness of the aligned addition and decimal point placement.</v>
      </c>
      <c r="T112" s="29" t="str">
        <f t="shared" si="11"/>
        <v>LU000302.006</v>
      </c>
      <c r="U112" s="29" t="str">
        <f ca="1">IFERROR(__xludf.dummyfunction("VLOOKUP(T112, IMPORTRANGE(""https://docs.google.com/spreadsheets/d/1yDAaXNsi4Mr5FtRQL4tbmSdIzhx6_m4wkOD7IG-k_eo/edit#gid=0"", ""Maths!M:N""), 2, FALSE)"),"Develop real-world scenarios, each requiring the addition of decimal numbers (e.g., measuring lengths, calculating expenses) and solve them accurately.")</f>
        <v>Develop real-world scenarios, each requiring the addition of decimal numbers (e.g., measuring lengths, calculating expenses) and solve them accurately.</v>
      </c>
      <c r="V112" s="16">
        <f ca="1">IFERROR(__xludf.dummyfunction("ArrayFormula(VLOOKUP(G112, IMPORTRANGE(""https://docs.google.com/spreadsheets/d/1p7R4vtkWt5VOBim4ltsDG9KTzSjrtKXsMtQGXPHyND0/edit#gid=795171502"", ""'Filter 30_05_2024'!A1:M2000""), {2, 3, 4, 5,6,7,8,9,10,11,12,13}, 0))"),23)</f>
        <v>23</v>
      </c>
      <c r="W112" s="16">
        <f ca="1">IFERROR(__xludf.dummyfunction("""COMPUTED_VALUE"""),14)</f>
        <v>14</v>
      </c>
      <c r="X112" s="16">
        <f ca="1">IFERROR(__xludf.dummyfunction("""COMPUTED_VALUE"""),2)</f>
        <v>2</v>
      </c>
      <c r="Y112" s="16">
        <f ca="1">IFERROR(__xludf.dummyfunction("""COMPUTED_VALUE"""),39)</f>
        <v>39</v>
      </c>
      <c r="Z112" s="16">
        <f ca="1">IFERROR(__xludf.dummyfunction("""COMPUTED_VALUE"""),6)</f>
        <v>6</v>
      </c>
      <c r="AA112" s="30">
        <f ca="1">IFERROR(__xludf.dummyfunction("""COMPUTED_VALUE"""),6)</f>
        <v>6</v>
      </c>
      <c r="AB112" s="30">
        <f ca="1">IFERROR(__xludf.dummyfunction("""COMPUTED_VALUE"""),1)</f>
        <v>1</v>
      </c>
      <c r="AC112" s="30">
        <f ca="1">IFERROR(__xludf.dummyfunction("""COMPUTED_VALUE"""),13)</f>
        <v>13</v>
      </c>
      <c r="AD112" s="16"/>
      <c r="AE112" s="30"/>
      <c r="AF112" s="30"/>
      <c r="AG112" s="30"/>
    </row>
    <row r="113" spans="1:33" ht="13.8">
      <c r="A113" s="25"/>
      <c r="B113" s="26" t="s">
        <v>29</v>
      </c>
      <c r="C113" s="26" t="s">
        <v>310</v>
      </c>
      <c r="D113" s="26">
        <v>6</v>
      </c>
      <c r="E113" s="27" t="s">
        <v>462</v>
      </c>
      <c r="F113" s="28" t="s">
        <v>479</v>
      </c>
      <c r="G113" s="26" t="s">
        <v>480</v>
      </c>
      <c r="H113" s="28" t="str">
        <f ca="1">IFERROR(__xludf.dummyfunction("IFERROR(
  VLOOKUP(G113, IMPORTRANGE(""https://docs.google.com/spreadsheets/d/14deopnvwcrKtEGCKuYXdUHJbeLDZlkiSSWWT0g7x2pM/edit#gid=849066331"", ""LU List Maths (Filter)!A:B""), 2, FALSE),
  IFERROR(
    VLOOKUP(G113, IMPORTRANGE(""https://docs.google.com"&amp;"/spreadsheets/d/14deopnvwcrKtEGCKuYXdUHJbeLDZlkiSSWWT0g7x2pM/edit#gid=849066331"", ""LU List Science (Filter)!A:B""), 2, FALSE),
    ""Not Found""
  )
)
"),"Subtraction of decimal numbers")</f>
        <v>Subtraction of decimal numbers</v>
      </c>
      <c r="I113" s="28"/>
      <c r="J113" s="29" t="str">
        <f t="shared" si="6"/>
        <v>LU000303.001</v>
      </c>
      <c r="K113" s="29" t="str">
        <f ca="1">IFERROR(__xludf.dummyfunction("VLOOKUP(J113, IMPORTRANGE(""https://docs.google.com/spreadsheets/d/1yDAaXNsi4Mr5FtRQL4tbmSdIzhx6_m4wkOD7IG-k_eo/edit#gid=0"", ""Maths!M:N""), 2, FALSE)"),"State the sequential steps involved in subtracting decimal numbers, emphasising the importance of aligning decimal points before performing subtraction.")</f>
        <v>State the sequential steps involved in subtracting decimal numbers, emphasising the importance of aligning decimal points before performing subtraction.</v>
      </c>
      <c r="L113" s="29" t="str">
        <f t="shared" si="7"/>
        <v>LU000303.002</v>
      </c>
      <c r="M113" s="29" t="str">
        <f ca="1">IFERROR(__xludf.dummyfunction("VLOOKUP(L113, IMPORTRANGE(""https://docs.google.com/spreadsheets/d/1yDAaXNsi4Mr5FtRQL4tbmSdIzhx6_m4wkOD7IG-k_eo/edit#gid=0"", ""Maths!M:N""), 2, FALSE)"),"Describe how subtracting decimal numbers involves aligning digits based on their place values and subtracting column by column.")</f>
        <v>Describe how subtracting decimal numbers involves aligning digits based on their place values and subtracting column by column.</v>
      </c>
      <c r="N113" s="29" t="str">
        <f t="shared" si="8"/>
        <v>LU000303.003</v>
      </c>
      <c r="O113" s="29" t="str">
        <f ca="1">IFERROR(__xludf.dummyfunction("VLOOKUP(N113, IMPORTRANGE(""https://docs.google.com/spreadsheets/d/1yDAaXNsi4Mr5FtRQL4tbmSdIzhx6_m4wkOD7IG-k_eo/edit#gid=0"", ""Maths!M:N""), 2, FALSE)"),"Apply the understanding of subtracting decimal numbers to solve arithmetic and word problems.")</f>
        <v>Apply the understanding of subtracting decimal numbers to solve arithmetic and word problems.</v>
      </c>
      <c r="P113" s="29" t="str">
        <f t="shared" si="9"/>
        <v>LU000303.004</v>
      </c>
      <c r="Q113" s="29" t="str">
        <f ca="1">IFERROR(__xludf.dummyfunction("VLOOKUP(P113, IMPORTRANGE(""https://docs.google.com/spreadsheets/d/1yDAaXNsi4Mr5FtRQL4tbmSdIzhx6_m4wkOD7IG-k_eo/edit#gid=0"", ""Maths!M:N""), 2, FALSE)"),"Examine how the correct placement of the decimal point in the difference of decimal numbers ensures the precision of the result.")</f>
        <v>Examine how the correct placement of the decimal point in the difference of decimal numbers ensures the precision of the result.</v>
      </c>
      <c r="R113" s="29" t="str">
        <f t="shared" si="10"/>
        <v>LU000303.005</v>
      </c>
      <c r="S113" s="29" t="str">
        <f ca="1">IFERROR(__xludf.dummyfunction("VLOOKUP(R113, IMPORTRANGE(""https://docs.google.com/spreadsheets/d/1yDAaXNsi4Mr5FtRQL4tbmSdIzhx6_m4wkOD7IG-k_eo/edit#gid=0"", ""Maths!M:N""), 2, FALSE)"),"Evaluate the accuracy of subtraction solution for decimal numbers, assessing the correctness of the aligned subtraction and decimal point placement.")</f>
        <v>Evaluate the accuracy of subtraction solution for decimal numbers, assessing the correctness of the aligned subtraction and decimal point placement.</v>
      </c>
      <c r="T113" s="29" t="str">
        <f t="shared" si="11"/>
        <v>LU000303.006</v>
      </c>
      <c r="U113" s="29" t="str">
        <f ca="1">IFERROR(__xludf.dummyfunction("VLOOKUP(T113, IMPORTRANGE(""https://docs.google.com/spreadsheets/d/1yDAaXNsi4Mr5FtRQL4tbmSdIzhx6_m4wkOD7IG-k_eo/edit#gid=0"", ""Maths!M:N""), 2, FALSE)"),"Develop real-world scenarios, each requiring the subtraction of decimal numbers (e.g., measuring lengths, calculating expenses) and solve them accurately.")</f>
        <v>Develop real-world scenarios, each requiring the subtraction of decimal numbers (e.g., measuring lengths, calculating expenses) and solve them accurately.</v>
      </c>
      <c r="V113" s="16">
        <f ca="1">IFERROR(__xludf.dummyfunction("ArrayFormula(VLOOKUP(G113, IMPORTRANGE(""https://docs.google.com/spreadsheets/d/1p7R4vtkWt5VOBim4ltsDG9KTzSjrtKXsMtQGXPHyND0/edit#gid=795171502"", ""'Filter 30_05_2024'!A1:M2000""), {2, 3, 4, 5,6,7,8,9,10,11,12,13}, 0))"),8)</f>
        <v>8</v>
      </c>
      <c r="W113" s="16">
        <f ca="1">IFERROR(__xludf.dummyfunction("""COMPUTED_VALUE"""),7)</f>
        <v>7</v>
      </c>
      <c r="X113" s="16">
        <f ca="1">IFERROR(__xludf.dummyfunction("""COMPUTED_VALUE"""),4)</f>
        <v>4</v>
      </c>
      <c r="Y113" s="16">
        <f ca="1">IFERROR(__xludf.dummyfunction("""COMPUTED_VALUE"""),19)</f>
        <v>19</v>
      </c>
      <c r="Z113" s="16">
        <f ca="1">IFERROR(__xludf.dummyfunction("""COMPUTED_VALUE"""),5)</f>
        <v>5</v>
      </c>
      <c r="AA113" s="30">
        <f ca="1">IFERROR(__xludf.dummyfunction("""COMPUTED_VALUE"""),5)</f>
        <v>5</v>
      </c>
      <c r="AB113" s="30">
        <f ca="1">IFERROR(__xludf.dummyfunction("""COMPUTED_VALUE"""),2)</f>
        <v>2</v>
      </c>
      <c r="AC113" s="30">
        <f ca="1">IFERROR(__xludf.dummyfunction("""COMPUTED_VALUE"""),12)</f>
        <v>12</v>
      </c>
      <c r="AD113" s="16"/>
      <c r="AE113" s="30"/>
      <c r="AF113" s="30"/>
      <c r="AG113" s="30"/>
    </row>
    <row r="114" spans="1:33" ht="26.4">
      <c r="A114" s="25"/>
      <c r="B114" s="26" t="s">
        <v>29</v>
      </c>
      <c r="C114" s="26" t="s">
        <v>310</v>
      </c>
      <c r="D114" s="26">
        <v>6</v>
      </c>
      <c r="E114" s="27" t="s">
        <v>462</v>
      </c>
      <c r="F114" s="28"/>
      <c r="G114" s="26" t="s">
        <v>481</v>
      </c>
      <c r="H114" s="28" t="str">
        <f ca="1">IFERROR(__xludf.dummyfunction("IFERROR(
  VLOOKUP(G114, IMPORTRANGE(""https://docs.google.com/spreadsheets/d/14deopnvwcrKtEGCKuYXdUHJbeLDZlkiSSWWT0g7x2pM/edit#gid=849066331"", ""LU List Maths (Filter)!A:B""), 2, FALSE),
  IFERROR(
    VLOOKUP(G114, IMPORTRANGE(""https://docs.google.com"&amp;"/spreadsheets/d/14deopnvwcrKtEGCKuYXdUHJbeLDZlkiSSWWT0g7x2pM/edit#gid=849066331"", ""LU List Science (Filter)!A:B""), 2, FALSE),
    ""Not Found""
  )
)
"),"Mixed operation of addition and subtraction of three or more decimal numbers")</f>
        <v>Mixed operation of addition and subtraction of three or more decimal numbers</v>
      </c>
      <c r="I114" s="28"/>
      <c r="J114" s="29" t="str">
        <f t="shared" si="6"/>
        <v>LU000925.001</v>
      </c>
      <c r="K114" s="29" t="str">
        <f ca="1">IFERROR(__xludf.dummyfunction("VLOOKUP(J114, IMPORTRANGE(""https://docs.google.com/spreadsheets/d/1yDAaXNsi4Mr5FtRQL4tbmSdIzhx6_m4wkOD7IG-k_eo/edit#gid=0"", ""Maths!M:N""), 2, FALSE)"),"State the rules for adding and subtracting decimal numbers.")</f>
        <v>State the rules for adding and subtracting decimal numbers.</v>
      </c>
      <c r="L114" s="29" t="str">
        <f t="shared" si="7"/>
        <v>LU000925.002</v>
      </c>
      <c r="M114" s="29" t="str">
        <f ca="1">IFERROR(__xludf.dummyfunction("VLOOKUP(L114, IMPORTRANGE(""https://docs.google.com/spreadsheets/d/1yDAaXNsi4Mr5FtRQL4tbmSdIzhx6_m4wkOD7IG-k_eo/edit#gid=0"", ""Maths!M:N""), 2, FALSE)"),"Explain the concept of mixed operations involving addition and subtraction of decimal numbers.")</f>
        <v>Explain the concept of mixed operations involving addition and subtraction of decimal numbers.</v>
      </c>
      <c r="N114" s="29" t="str">
        <f t="shared" si="8"/>
        <v>LU000925.003</v>
      </c>
      <c r="O114" s="29" t="str">
        <f ca="1">IFERROR(__xludf.dummyfunction("VLOOKUP(N114, IMPORTRANGE(""https://docs.google.com/spreadsheets/d/1yDAaXNsi4Mr5FtRQL4tbmSdIzhx6_m4wkOD7IG-k_eo/edit#gid=0"", ""Maths!M:N""), 2, FALSE)"),"Apply the rules of addition and subtraction to solve problems involving three or more decimal numbers.")</f>
        <v>Apply the rules of addition and subtraction to solve problems involving three or more decimal numbers.</v>
      </c>
      <c r="P114" s="29" t="str">
        <f t="shared" si="9"/>
        <v>LU000925.004</v>
      </c>
      <c r="Q114" s="29" t="str">
        <f ca="1">IFERROR(__xludf.dummyfunction("VLOOKUP(P114, IMPORTRANGE(""https://docs.google.com/spreadsheets/d/1yDAaXNsi4Mr5FtRQL4tbmSdIzhx6_m4wkOD7IG-k_eo/edit#gid=0"", ""Maths!M:N""), 2, FALSE)"),"Analyze errors in a given set of mixed operations involving decimal numbers ")</f>
        <v xml:space="preserve">Analyze errors in a given set of mixed operations involving decimal numbers </v>
      </c>
      <c r="R114" s="29" t="str">
        <f t="shared" si="10"/>
        <v>LU000925.005</v>
      </c>
      <c r="S114" s="29" t="str">
        <f ca="1">IFERROR(__xludf.dummyfunction("VLOOKUP(R114, IMPORTRANGE(""https://docs.google.com/spreadsheets/d/1yDAaXNsi4Mr5FtRQL4tbmSdIzhx6_m4wkOD7IG-k_eo/edit#gid=0"", ""Maths!M:N""), 2, FALSE)"),"Evaluate the accuracy of solutions to mixed operations with decimal numbers.")</f>
        <v>Evaluate the accuracy of solutions to mixed operations with decimal numbers.</v>
      </c>
      <c r="T114" s="29" t="str">
        <f t="shared" si="11"/>
        <v>LU000925.006</v>
      </c>
      <c r="U114" s="29" t="str">
        <f ca="1">IFERROR(__xludf.dummyfunction("VLOOKUP(T114, IMPORTRANGE(""https://docs.google.com/spreadsheets/d/1yDAaXNsi4Mr5FtRQL4tbmSdIzhx6_m4wkOD7IG-k_eo/edit#gid=0"", ""Maths!M:N""), 2, FALSE)"),"Create a real-world scenario where understanding mixed operations with decimal numbers is crucial.")</f>
        <v>Create a real-world scenario where understanding mixed operations with decimal numbers is crucial.</v>
      </c>
      <c r="V114" s="16">
        <f ca="1">IFERROR(__xludf.dummyfunction("ArrayFormula(VLOOKUP(G114, IMPORTRANGE(""https://docs.google.com/spreadsheets/d/1p7R4vtkWt5VOBim4ltsDG9KTzSjrtKXsMtQGXPHyND0/edit#gid=795171502"", ""'Filter 30_05_2024'!A1:M2000""), {2, 3, 4, 5,6,7,8,9,10,11,12,13}, 0))"),4)</f>
        <v>4</v>
      </c>
      <c r="W114" s="16">
        <f ca="1">IFERROR(__xludf.dummyfunction("""COMPUTED_VALUE"""),6)</f>
        <v>6</v>
      </c>
      <c r="X114" s="16">
        <f ca="1">IFERROR(__xludf.dummyfunction("""COMPUTED_VALUE"""),2)</f>
        <v>2</v>
      </c>
      <c r="Y114" s="16">
        <f ca="1">IFERROR(__xludf.dummyfunction("""COMPUTED_VALUE"""),12)</f>
        <v>12</v>
      </c>
      <c r="Z114" s="16">
        <f ca="1">IFERROR(__xludf.dummyfunction("""COMPUTED_VALUE"""),4)</f>
        <v>4</v>
      </c>
      <c r="AA114" s="30">
        <f ca="1">IFERROR(__xludf.dummyfunction("""COMPUTED_VALUE"""),3)</f>
        <v>3</v>
      </c>
      <c r="AB114" s="30">
        <f ca="1">IFERROR(__xludf.dummyfunction("""COMPUTED_VALUE"""),1)</f>
        <v>1</v>
      </c>
      <c r="AC114" s="30">
        <f ca="1">IFERROR(__xludf.dummyfunction("""COMPUTED_VALUE"""),8)</f>
        <v>8</v>
      </c>
      <c r="AD114" s="16"/>
      <c r="AE114" s="30"/>
      <c r="AF114" s="30"/>
      <c r="AG114" s="30"/>
    </row>
    <row r="115" spans="1:33" ht="39.6">
      <c r="A115" s="25"/>
      <c r="B115" s="26" t="s">
        <v>29</v>
      </c>
      <c r="C115" s="26" t="s">
        <v>310</v>
      </c>
      <c r="D115" s="26">
        <v>6</v>
      </c>
      <c r="E115" s="27" t="s">
        <v>462</v>
      </c>
      <c r="F115" s="28" t="s">
        <v>482</v>
      </c>
      <c r="G115" s="26" t="s">
        <v>483</v>
      </c>
      <c r="H115" s="28" t="str">
        <f ca="1">IFERROR(__xludf.dummyfunction("IFERROR(
  VLOOKUP(G115, IMPORTRANGE(""https://docs.google.com/spreadsheets/d/14deopnvwcrKtEGCKuYXdUHJbeLDZlkiSSWWT0g7x2pM/edit#gid=849066331"", ""LU List Maths (Filter)!A:B""), 2, FALSE),
  IFERROR(
    VLOOKUP(G115, IMPORTRANGE(""https://docs.google.com"&amp;"/spreadsheets/d/14deopnvwcrKtEGCKuYXdUHJbeLDZlkiSSWWT0g7x2pM/edit#gid=849066331"", ""LU List Science (Filter)!A:B""), 2, FALSE),
    ""Not Found""
  )
)
"),"Conversion between mixed units of length into a single decimal representation and vice versa")</f>
        <v>Conversion between mixed units of length into a single decimal representation and vice versa</v>
      </c>
      <c r="I115" s="28"/>
      <c r="J115" s="29" t="str">
        <f t="shared" si="6"/>
        <v>LU000298.001</v>
      </c>
      <c r="K115" s="29" t="str">
        <f ca="1">IFERROR(__xludf.dummyfunction("VLOOKUP(J115, IMPORTRANGE(""https://docs.google.com/spreadsheets/d/1yDAaXNsi4Mr5FtRQL4tbmSdIzhx6_m4wkOD7IG-k_eo/edit#gid=0"", ""Maths!M:N""), 2, FALSE)"),"State the procedure for conversion between lengths given in mixed units (e.g., metre and centimetre) and decimals of higher units (e.g., metre or kilometre) and list the appropriate conversion factors.")</f>
        <v>State the procedure for conversion between lengths given in mixed units (e.g., metre and centimetre) and decimals of higher units (e.g., metre or kilometre) and list the appropriate conversion factors.</v>
      </c>
      <c r="L115" s="29" t="str">
        <f t="shared" si="7"/>
        <v>LU000298.002</v>
      </c>
      <c r="M115" s="29" t="str">
        <f ca="1">IFERROR(__xludf.dummyfunction("VLOOKUP(L115, IMPORTRANGE(""https://docs.google.com/spreadsheets/d/1yDAaXNsi4Mr5FtRQL4tbmSdIzhx6_m4wkOD7IG-k_eo/edit#gid=0"", ""Maths!M:N""), 2, FALSE)"),"Explain the rationale behind conversion between mixed units of length and decimals of higher units.")</f>
        <v>Explain the rationale behind conversion between mixed units of length and decimals of higher units.</v>
      </c>
      <c r="N115" s="29" t="str">
        <f t="shared" si="8"/>
        <v>LU000298.003</v>
      </c>
      <c r="O115" s="29" t="str">
        <f ca="1">IFERROR(__xludf.dummyfunction("VLOOKUP(N115, IMPORTRANGE(""https://docs.google.com/spreadsheets/d/1yDAaXNsi4Mr5FtRQL4tbmSdIzhx6_m4wkOD7IG-k_eo/edit#gid=0"", ""Maths!M:N""), 2, FALSE)"),"Convert a length in mixed units into decimals of higher units and vice versa.")</f>
        <v>Convert a length in mixed units into decimals of higher units and vice versa.</v>
      </c>
      <c r="P115" s="29" t="str">
        <f t="shared" si="9"/>
        <v>LU000298.004</v>
      </c>
      <c r="Q115" s="29" t="str">
        <f ca="1">IFERROR(__xludf.dummyfunction("VLOOKUP(P115, IMPORTRANGE(""https://docs.google.com/spreadsheets/d/1yDAaXNsi4Mr5FtRQL4tbmSdIzhx6_m4wkOD7IG-k_eo/edit#gid=0"", ""Maths!M:N""), 2, FALSE)"),"Analyse the relationship between the various components of mixed units of length and their corresponding values in decimals of higher units.")</f>
        <v>Analyse the relationship between the various components of mixed units of length and their corresponding values in decimals of higher units.</v>
      </c>
      <c r="R115" s="29" t="str">
        <f t="shared" si="10"/>
        <v>LU000298.005</v>
      </c>
      <c r="S115" s="29" t="str">
        <f ca="1">IFERROR(__xludf.dummyfunction("VLOOKUP(R115, IMPORTRANGE(""https://docs.google.com/spreadsheets/d/1yDAaXNsi4Mr5FtRQL4tbmSdIzhx6_m4wkOD7IG-k_eo/edit#gid=0"", ""Maths!M:N""), 2, FALSE)"),"Assess the correctness of conversions of length to decimals of higher units.")</f>
        <v>Assess the correctness of conversions of length to decimals of higher units.</v>
      </c>
      <c r="T115" s="29" t="str">
        <f t="shared" si="11"/>
        <v>LU000298.006</v>
      </c>
      <c r="U115" s="29" t="str">
        <f ca="1">IFERROR(__xludf.dummyfunction("VLOOKUP(T115, IMPORTRANGE(""https://docs.google.com/spreadsheets/d/1yDAaXNsi4Mr5FtRQL4tbmSdIzhx6_m4wkOD7IG-k_eo/edit#gid=0"", ""Maths!M:N""), 2, FALSE)"),"Generate lengths in mixed units and convert them into decimals of higher units and vice versa.")</f>
        <v>Generate lengths in mixed units and convert them into decimals of higher units and vice versa.</v>
      </c>
      <c r="V115" s="16">
        <f ca="1">IFERROR(__xludf.dummyfunction("ArrayFormula(VLOOKUP(G115, IMPORTRANGE(""https://docs.google.com/spreadsheets/d/1p7R4vtkWt5VOBim4ltsDG9KTzSjrtKXsMtQGXPHyND0/edit#gid=795171502"", ""'Filter 30_05_2024'!A1:M2000""), {2, 3, 4, 5,6,7,8,9,10,11,12,13}, 0))"),5)</f>
        <v>5</v>
      </c>
      <c r="W115" s="16">
        <f ca="1">IFERROR(__xludf.dummyfunction("""COMPUTED_VALUE"""),6)</f>
        <v>6</v>
      </c>
      <c r="X115" s="16">
        <f ca="1">IFERROR(__xludf.dummyfunction("""COMPUTED_VALUE"""),2)</f>
        <v>2</v>
      </c>
      <c r="Y115" s="16">
        <f ca="1">IFERROR(__xludf.dummyfunction("""COMPUTED_VALUE"""),13)</f>
        <v>13</v>
      </c>
      <c r="Z115" s="16">
        <f ca="1">IFERROR(__xludf.dummyfunction("""COMPUTED_VALUE"""),8)</f>
        <v>8</v>
      </c>
      <c r="AA115" s="30">
        <f ca="1">IFERROR(__xludf.dummyfunction("""COMPUTED_VALUE"""),3)</f>
        <v>3</v>
      </c>
      <c r="AB115" s="30">
        <f ca="1">IFERROR(__xludf.dummyfunction("""COMPUTED_VALUE"""),1)</f>
        <v>1</v>
      </c>
      <c r="AC115" s="30">
        <f ca="1">IFERROR(__xludf.dummyfunction("""COMPUTED_VALUE"""),12)</f>
        <v>12</v>
      </c>
      <c r="AD115" s="16"/>
      <c r="AE115" s="30"/>
      <c r="AF115" s="30"/>
      <c r="AG115" s="30"/>
    </row>
    <row r="116" spans="1:33" ht="26.4">
      <c r="A116" s="25"/>
      <c r="B116" s="26" t="s">
        <v>29</v>
      </c>
      <c r="C116" s="26" t="s">
        <v>310</v>
      </c>
      <c r="D116" s="26">
        <v>6</v>
      </c>
      <c r="E116" s="27" t="s">
        <v>462</v>
      </c>
      <c r="F116" s="28"/>
      <c r="G116" s="26" t="s">
        <v>484</v>
      </c>
      <c r="H116" s="28" t="str">
        <f ca="1">IFERROR(__xludf.dummyfunction("IFERROR(
  VLOOKUP(G116, IMPORTRANGE(""https://docs.google.com/spreadsheets/d/14deopnvwcrKtEGCKuYXdUHJbeLDZlkiSSWWT0g7x2pM/edit#gid=849066331"", ""LU List Maths (Filter)!A:B""), 2, FALSE),
  IFERROR(
    VLOOKUP(G116, IMPORTRANGE(""https://docs.google.com"&amp;"/spreadsheets/d/14deopnvwcrKtEGCKuYXdUHJbeLDZlkiSSWWT0g7x2pM/edit#gid=849066331"", ""LU List Science (Filter)!A:B""), 2, FALSE),
    ""Not Found""
  )
)
"),"Conversion between mixed units of mass into a single decimal representation and vice versa")</f>
        <v>Conversion between mixed units of mass into a single decimal representation and vice versa</v>
      </c>
      <c r="I116" s="28"/>
      <c r="J116" s="29" t="str">
        <f t="shared" si="6"/>
        <v>LU000299.001</v>
      </c>
      <c r="K116" s="29" t="str">
        <f ca="1">IFERROR(__xludf.dummyfunction("VLOOKUP(J116, IMPORTRANGE(""https://docs.google.com/spreadsheets/d/1yDAaXNsi4Mr5FtRQL4tbmSdIzhx6_m4wkOD7IG-k_eo/edit#gid=0"", ""Maths!M:N""), 2, FALSE)"),"State the procedure for conversion between mass given in mixed units (e.g., gram, milligram) and decimals of higher units (e.g., kilogram) and list the appropriate conversion factors.")</f>
        <v>State the procedure for conversion between mass given in mixed units (e.g., gram, milligram) and decimals of higher units (e.g., kilogram) and list the appropriate conversion factors.</v>
      </c>
      <c r="L116" s="29" t="str">
        <f t="shared" si="7"/>
        <v>LU000299.002</v>
      </c>
      <c r="M116" s="29" t="str">
        <f ca="1">IFERROR(__xludf.dummyfunction("VLOOKUP(L116, IMPORTRANGE(""https://docs.google.com/spreadsheets/d/1yDAaXNsi4Mr5FtRQL4tbmSdIzhx6_m4wkOD7IG-k_eo/edit#gid=0"", ""Maths!M:N""), 2, FALSE)"),"Explain the rationale behind conversion between mixed units of mass and decimals of higher units.")</f>
        <v>Explain the rationale behind conversion between mixed units of mass and decimals of higher units.</v>
      </c>
      <c r="N116" s="29" t="str">
        <f t="shared" si="8"/>
        <v>LU000299.003</v>
      </c>
      <c r="O116" s="29" t="str">
        <f ca="1">IFERROR(__xludf.dummyfunction("VLOOKUP(N116, IMPORTRANGE(""https://docs.google.com/spreadsheets/d/1yDAaXNsi4Mr5FtRQL4tbmSdIzhx6_m4wkOD7IG-k_eo/edit#gid=0"", ""Maths!M:N""), 2, FALSE)"),"Convert mass in mixed units into decimals of higher units and vice versa.")</f>
        <v>Convert mass in mixed units into decimals of higher units and vice versa.</v>
      </c>
      <c r="P116" s="29" t="str">
        <f t="shared" si="9"/>
        <v>LU000299.004</v>
      </c>
      <c r="Q116" s="29" t="str">
        <f ca="1">IFERROR(__xludf.dummyfunction("VLOOKUP(P116, IMPORTRANGE(""https://docs.google.com/spreadsheets/d/1yDAaXNsi4Mr5FtRQL4tbmSdIzhx6_m4wkOD7IG-k_eo/edit#gid=0"", ""Maths!M:N""), 2, FALSE)"),"Analyse the relationship between the various components of mixed units of mass and their corresponding values in decimals of higher units.")</f>
        <v>Analyse the relationship between the various components of mixed units of mass and their corresponding values in decimals of higher units.</v>
      </c>
      <c r="R116" s="29" t="str">
        <f t="shared" si="10"/>
        <v>LU000299.005</v>
      </c>
      <c r="S116" s="29" t="str">
        <f ca="1">IFERROR(__xludf.dummyfunction("VLOOKUP(R116, IMPORTRANGE(""https://docs.google.com/spreadsheets/d/1yDAaXNsi4Mr5FtRQL4tbmSdIzhx6_m4wkOD7IG-k_eo/edit#gid=0"", ""Maths!M:N""), 2, FALSE)"),"Assess the correctness of conversions of mass to decimals of higher units.")</f>
        <v>Assess the correctness of conversions of mass to decimals of higher units.</v>
      </c>
      <c r="T116" s="29" t="str">
        <f t="shared" si="11"/>
        <v>LU000299.006</v>
      </c>
      <c r="U116" s="29" t="str">
        <f ca="1">IFERROR(__xludf.dummyfunction("VLOOKUP(T116, IMPORTRANGE(""https://docs.google.com/spreadsheets/d/1yDAaXNsi4Mr5FtRQL4tbmSdIzhx6_m4wkOD7IG-k_eo/edit#gid=0"", ""Maths!M:N""), 2, FALSE)"),"Generate mass in mixed units and convert them into decimals of higher units and vice versa.")</f>
        <v>Generate mass in mixed units and convert them into decimals of higher units and vice versa.</v>
      </c>
      <c r="V116" s="16">
        <f ca="1">IFERROR(__xludf.dummyfunction("ArrayFormula(VLOOKUP(G116, IMPORTRANGE(""https://docs.google.com/spreadsheets/d/1p7R4vtkWt5VOBim4ltsDG9KTzSjrtKXsMtQGXPHyND0/edit#gid=795171502"", ""'Filter 30_05_2024'!A1:M2000""), {2, 3, 4, 5,6,7,8,9,10,11,12,13}, 0))"),3)</f>
        <v>3</v>
      </c>
      <c r="W116" s="16">
        <f ca="1">IFERROR(__xludf.dummyfunction("""COMPUTED_VALUE"""),6)</f>
        <v>6</v>
      </c>
      <c r="X116" s="16">
        <f ca="1">IFERROR(__xludf.dummyfunction("""COMPUTED_VALUE"""),2)</f>
        <v>2</v>
      </c>
      <c r="Y116" s="16">
        <f ca="1">IFERROR(__xludf.dummyfunction("""COMPUTED_VALUE"""),11)</f>
        <v>11</v>
      </c>
      <c r="Z116" s="16">
        <f ca="1">IFERROR(__xludf.dummyfunction("""COMPUTED_VALUE"""),5)</f>
        <v>5</v>
      </c>
      <c r="AA116" s="30">
        <f ca="1">IFERROR(__xludf.dummyfunction("""COMPUTED_VALUE"""),3)</f>
        <v>3</v>
      </c>
      <c r="AB116" s="30">
        <f ca="1">IFERROR(__xludf.dummyfunction("""COMPUTED_VALUE"""),1)</f>
        <v>1</v>
      </c>
      <c r="AC116" s="30">
        <f ca="1">IFERROR(__xludf.dummyfunction("""COMPUTED_VALUE"""),9)</f>
        <v>9</v>
      </c>
      <c r="AD116" s="16"/>
      <c r="AE116" s="30"/>
      <c r="AF116" s="30"/>
      <c r="AG116" s="30"/>
    </row>
    <row r="117" spans="1:33" ht="39.6">
      <c r="A117" s="25"/>
      <c r="B117" s="26" t="s">
        <v>29</v>
      </c>
      <c r="C117" s="26" t="s">
        <v>310</v>
      </c>
      <c r="D117" s="26">
        <v>6</v>
      </c>
      <c r="E117" s="27" t="s">
        <v>462</v>
      </c>
      <c r="F117" s="28"/>
      <c r="G117" s="26" t="s">
        <v>485</v>
      </c>
      <c r="H117" s="28" t="str">
        <f ca="1">IFERROR(__xludf.dummyfunction("IFERROR(
  VLOOKUP(G117, IMPORTRANGE(""https://docs.google.com/spreadsheets/d/14deopnvwcrKtEGCKuYXdUHJbeLDZlkiSSWWT0g7x2pM/edit#gid=849066331"", ""LU List Maths (Filter)!A:B""), 2, FALSE),
  IFERROR(
    VLOOKUP(G117, IMPORTRANGE(""https://docs.google.com"&amp;"/spreadsheets/d/14deopnvwcrKtEGCKuYXdUHJbeLDZlkiSSWWT0g7x2pM/edit#gid=849066331"", ""LU List Science (Filter)!A:B""), 2, FALSE),
    ""Not Found""
  )
)
"),"Conversion between mixed units of currency into a single decimal representation and vice versa")</f>
        <v>Conversion between mixed units of currency into a single decimal representation and vice versa</v>
      </c>
      <c r="I117" s="28"/>
      <c r="J117" s="29" t="str">
        <f t="shared" si="6"/>
        <v>LU000300.001</v>
      </c>
      <c r="K117" s="29" t="str">
        <f ca="1">IFERROR(__xludf.dummyfunction("VLOOKUP(J117, IMPORTRANGE(""https://docs.google.com/spreadsheets/d/1yDAaXNsi4Mr5FtRQL4tbmSdIzhx6_m4wkOD7IG-k_eo/edit#gid=0"", ""Maths!M:N""), 2, FALSE)"),"State the procedure for conversion between currency given in mixed units (e.g., rupee, paise) and decimals of higher units (e.g., paise) and list the appropriate conversion factors.")</f>
        <v>State the procedure for conversion between currency given in mixed units (e.g., rupee, paise) and decimals of higher units (e.g., paise) and list the appropriate conversion factors.</v>
      </c>
      <c r="L117" s="29" t="str">
        <f t="shared" si="7"/>
        <v>LU000300.002</v>
      </c>
      <c r="M117" s="29" t="str">
        <f ca="1">IFERROR(__xludf.dummyfunction("VLOOKUP(L117, IMPORTRANGE(""https://docs.google.com/spreadsheets/d/1yDAaXNsi4Mr5FtRQL4tbmSdIzhx6_m4wkOD7IG-k_eo/edit#gid=0"", ""Maths!M:N""), 2, FALSE)"),"Explain the rationale behind conversion between mixed units of currency and decimals of higher units.")</f>
        <v>Explain the rationale behind conversion between mixed units of currency and decimals of higher units.</v>
      </c>
      <c r="N117" s="29" t="str">
        <f t="shared" si="8"/>
        <v>LU000300.003</v>
      </c>
      <c r="O117" s="29" t="str">
        <f ca="1">IFERROR(__xludf.dummyfunction("VLOOKUP(N117, IMPORTRANGE(""https://docs.google.com/spreadsheets/d/1yDAaXNsi4Mr5FtRQL4tbmSdIzhx6_m4wkOD7IG-k_eo/edit#gid=0"", ""Maths!M:N""), 2, FALSE)"),"Convert currency in mixed units into decimals of higher units and vice versa.")</f>
        <v>Convert currency in mixed units into decimals of higher units and vice versa.</v>
      </c>
      <c r="P117" s="29" t="str">
        <f t="shared" si="9"/>
        <v>LU000300.004</v>
      </c>
      <c r="Q117" s="29" t="str">
        <f ca="1">IFERROR(__xludf.dummyfunction("VLOOKUP(P117, IMPORTRANGE(""https://docs.google.com/spreadsheets/d/1yDAaXNsi4Mr5FtRQL4tbmSdIzhx6_m4wkOD7IG-k_eo/edit#gid=0"", ""Maths!M:N""), 2, FALSE)"),"Analyse the relationship between the various components of mixed units of currency and their corresponding values in decimals of higher units.")</f>
        <v>Analyse the relationship between the various components of mixed units of currency and their corresponding values in decimals of higher units.</v>
      </c>
      <c r="R117" s="29" t="str">
        <f t="shared" si="10"/>
        <v>LU000300.005</v>
      </c>
      <c r="S117" s="29" t="str">
        <f ca="1">IFERROR(__xludf.dummyfunction("VLOOKUP(R117, IMPORTRANGE(""https://docs.google.com/spreadsheets/d/1yDAaXNsi4Mr5FtRQL4tbmSdIzhx6_m4wkOD7IG-k_eo/edit#gid=0"", ""Maths!M:N""), 2, FALSE)"),"Assess the correctness of conversions of currency to decimals of higher units.")</f>
        <v>Assess the correctness of conversions of currency to decimals of higher units.</v>
      </c>
      <c r="T117" s="29" t="str">
        <f t="shared" si="11"/>
        <v>LU000300.006</v>
      </c>
      <c r="U117" s="29" t="str">
        <f ca="1">IFERROR(__xludf.dummyfunction("VLOOKUP(T117, IMPORTRANGE(""https://docs.google.com/spreadsheets/d/1yDAaXNsi4Mr5FtRQL4tbmSdIzhx6_m4wkOD7IG-k_eo/edit#gid=0"", ""Maths!M:N""), 2, FALSE)"),"Generate currency in mixed units and convert them into decimals of higher units and vice versa.")</f>
        <v>Generate currency in mixed units and convert them into decimals of higher units and vice versa.</v>
      </c>
      <c r="V117" s="16">
        <f ca="1">IFERROR(__xludf.dummyfunction("ArrayFormula(VLOOKUP(G117, IMPORTRANGE(""https://docs.google.com/spreadsheets/d/1p7R4vtkWt5VOBim4ltsDG9KTzSjrtKXsMtQGXPHyND0/edit#gid=795171502"", ""'Filter 30_05_2024'!A1:M2000""), {2, 3, 4, 5,6,7,8,9,10,11,12,13}, 0))"),6)</f>
        <v>6</v>
      </c>
      <c r="W117" s="16">
        <f ca="1">IFERROR(__xludf.dummyfunction("""COMPUTED_VALUE"""),4)</f>
        <v>4</v>
      </c>
      <c r="X117" s="16">
        <f ca="1">IFERROR(__xludf.dummyfunction("""COMPUTED_VALUE"""),2)</f>
        <v>2</v>
      </c>
      <c r="Y117" s="16">
        <f ca="1">IFERROR(__xludf.dummyfunction("""COMPUTED_VALUE"""),12)</f>
        <v>12</v>
      </c>
      <c r="Z117" s="16">
        <f ca="1">IFERROR(__xludf.dummyfunction("""COMPUTED_VALUE"""),8)</f>
        <v>8</v>
      </c>
      <c r="AA117" s="30">
        <f ca="1">IFERROR(__xludf.dummyfunction("""COMPUTED_VALUE"""),4)</f>
        <v>4</v>
      </c>
      <c r="AB117" s="30">
        <f ca="1">IFERROR(__xludf.dummyfunction("""COMPUTED_VALUE"""),1)</f>
        <v>1</v>
      </c>
      <c r="AC117" s="30">
        <f ca="1">IFERROR(__xludf.dummyfunction("""COMPUTED_VALUE"""),13)</f>
        <v>13</v>
      </c>
      <c r="AD117" s="16"/>
      <c r="AE117" s="30"/>
      <c r="AF117" s="30"/>
      <c r="AG117" s="30"/>
    </row>
    <row r="118" spans="1:33" ht="39.6">
      <c r="A118" s="25"/>
      <c r="B118" s="26" t="s">
        <v>29</v>
      </c>
      <c r="C118" s="26" t="s">
        <v>310</v>
      </c>
      <c r="D118" s="26">
        <v>6</v>
      </c>
      <c r="E118" s="27" t="s">
        <v>462</v>
      </c>
      <c r="F118" s="28"/>
      <c r="G118" s="26" t="s">
        <v>486</v>
      </c>
      <c r="H118" s="28" t="str">
        <f ca="1">IFERROR(__xludf.dummyfunction("IFERROR(
  VLOOKUP(G118, IMPORTRANGE(""https://docs.google.com/spreadsheets/d/14deopnvwcrKtEGCKuYXdUHJbeLDZlkiSSWWT0g7x2pM/edit#gid=849066331"", ""LU List Maths (Filter)!A:B""), 2, FALSE),
  IFERROR(
    VLOOKUP(G118, IMPORTRANGE(""https://docs.google.com"&amp;"/spreadsheets/d/14deopnvwcrKtEGCKuYXdUHJbeLDZlkiSSWWT0g7x2pM/edit#gid=849066331"", ""LU List Science (Filter)!A:B""), 2, FALSE),
    ""Not Found""
  )
)
"),"Conversion between mixed units of capacity into a single decimal representation and vice versa")</f>
        <v>Conversion between mixed units of capacity into a single decimal representation and vice versa</v>
      </c>
      <c r="I118" s="28"/>
      <c r="J118" s="29" t="str">
        <f t="shared" si="6"/>
        <v>LU000301.001</v>
      </c>
      <c r="K118" s="29" t="str">
        <f ca="1">IFERROR(__xludf.dummyfunction("VLOOKUP(J118, IMPORTRANGE(""https://docs.google.com/spreadsheets/d/1yDAaXNsi4Mr5FtRQL4tbmSdIzhx6_m4wkOD7IG-k_eo/edit#gid=0"", ""Maths!M:N""), 2, FALSE)"),"State the procedure for conversion between capacity given in mixed units (e.g., litre, millilitre) and decimals of higher units (e.g., litre) and list the appropriate conversion factors.")</f>
        <v>State the procedure for conversion between capacity given in mixed units (e.g., litre, millilitre) and decimals of higher units (e.g., litre) and list the appropriate conversion factors.</v>
      </c>
      <c r="L118" s="29" t="str">
        <f t="shared" si="7"/>
        <v>LU000301.002</v>
      </c>
      <c r="M118" s="29" t="str">
        <f ca="1">IFERROR(__xludf.dummyfunction("VLOOKUP(L118, IMPORTRANGE(""https://docs.google.com/spreadsheets/d/1yDAaXNsi4Mr5FtRQL4tbmSdIzhx6_m4wkOD7IG-k_eo/edit#gid=0"", ""Maths!M:N""), 2, FALSE)"),"Explain the rationale behind conversion between mixed units of capacity and decimals of higher units.")</f>
        <v>Explain the rationale behind conversion between mixed units of capacity and decimals of higher units.</v>
      </c>
      <c r="N118" s="29" t="str">
        <f t="shared" si="8"/>
        <v>LU000301.003</v>
      </c>
      <c r="O118" s="29" t="str">
        <f ca="1">IFERROR(__xludf.dummyfunction("VLOOKUP(N118, IMPORTRANGE(""https://docs.google.com/spreadsheets/d/1yDAaXNsi4Mr5FtRQL4tbmSdIzhx6_m4wkOD7IG-k_eo/edit#gid=0"", ""Maths!M:N""), 2, FALSE)"),"Convert capacity in mixed units into decimals of higher units and vice versa.")</f>
        <v>Convert capacity in mixed units into decimals of higher units and vice versa.</v>
      </c>
      <c r="P118" s="29" t="str">
        <f t="shared" si="9"/>
        <v>LU000301.004</v>
      </c>
      <c r="Q118" s="29" t="str">
        <f ca="1">IFERROR(__xludf.dummyfunction("VLOOKUP(P118, IMPORTRANGE(""https://docs.google.com/spreadsheets/d/1yDAaXNsi4Mr5FtRQL4tbmSdIzhx6_m4wkOD7IG-k_eo/edit#gid=0"", ""Maths!M:N""), 2, FALSE)"),"Analyse the relationship between the various components of mixed units of capacity and their corresponding values in decimals of higher units.")</f>
        <v>Analyse the relationship between the various components of mixed units of capacity and their corresponding values in decimals of higher units.</v>
      </c>
      <c r="R118" s="29" t="str">
        <f t="shared" si="10"/>
        <v>LU000301.005</v>
      </c>
      <c r="S118" s="29" t="str">
        <f ca="1">IFERROR(__xludf.dummyfunction("VLOOKUP(R118, IMPORTRANGE(""https://docs.google.com/spreadsheets/d/1yDAaXNsi4Mr5FtRQL4tbmSdIzhx6_m4wkOD7IG-k_eo/edit#gid=0"", ""Maths!M:N""), 2, FALSE)"),"Assess the correctness of conversions of capacity to decimals of higher units.")</f>
        <v>Assess the correctness of conversions of capacity to decimals of higher units.</v>
      </c>
      <c r="T118" s="29" t="str">
        <f t="shared" si="11"/>
        <v>LU000301.006</v>
      </c>
      <c r="U118" s="29" t="str">
        <f ca="1">IFERROR(__xludf.dummyfunction("VLOOKUP(T118, IMPORTRANGE(""https://docs.google.com/spreadsheets/d/1yDAaXNsi4Mr5FtRQL4tbmSdIzhx6_m4wkOD7IG-k_eo/edit#gid=0"", ""Maths!M:N""), 2, FALSE)"),"Generate capacity in mixed units and convert them into decimals of higher units and vice versa.")</f>
        <v>Generate capacity in mixed units and convert them into decimals of higher units and vice versa.</v>
      </c>
      <c r="V118" s="16" t="str">
        <f ca="1">IFERROR(__xludf.dummyfunction("ArrayFormula(VLOOKUP(G118, IMPORTRANGE(""https://docs.google.com/spreadsheets/d/1p7R4vtkWt5VOBim4ltsDG9KTzSjrtKXsMtQGXPHyND0/edit#gid=795171502"", ""'Filter 30_05_2024'!A1:M2000""), {2, 3, 4, 5,6,7,8,9,10,11,12,13}, 0))"),"#N/A")</f>
        <v>#N/A</v>
      </c>
      <c r="W118" s="16" t="str">
        <f ca="1">IFERROR(__xludf.dummyfunction("""COMPUTED_VALUE"""),"#N/A")</f>
        <v>#N/A</v>
      </c>
      <c r="X118" s="16" t="str">
        <f ca="1">IFERROR(__xludf.dummyfunction("""COMPUTED_VALUE"""),"#N/A")</f>
        <v>#N/A</v>
      </c>
      <c r="Y118" s="16" t="str">
        <f ca="1">IFERROR(__xludf.dummyfunction("""COMPUTED_VALUE"""),"#N/A")</f>
        <v>#N/A</v>
      </c>
      <c r="Z118" s="16" t="str">
        <f ca="1">IFERROR(__xludf.dummyfunction("""COMPUTED_VALUE"""),"#N/A")</f>
        <v>#N/A</v>
      </c>
      <c r="AA118" s="30" t="str">
        <f ca="1">IFERROR(__xludf.dummyfunction("""COMPUTED_VALUE"""),"#N/A")</f>
        <v>#N/A</v>
      </c>
      <c r="AB118" s="30" t="str">
        <f ca="1">IFERROR(__xludf.dummyfunction("""COMPUTED_VALUE"""),"#N/A")</f>
        <v>#N/A</v>
      </c>
      <c r="AC118" s="30" t="str">
        <f ca="1">IFERROR(__xludf.dummyfunction("""COMPUTED_VALUE"""),"#N/A")</f>
        <v>#N/A</v>
      </c>
      <c r="AD118" s="16" t="str">
        <f ca="1">IFERROR(__xludf.dummyfunction("""COMPUTED_VALUE"""),"#N/A")</f>
        <v>#N/A</v>
      </c>
      <c r="AE118" s="30" t="str">
        <f ca="1">IFERROR(__xludf.dummyfunction("""COMPUTED_VALUE"""),"#N/A")</f>
        <v>#N/A</v>
      </c>
      <c r="AF118" s="30" t="str">
        <f ca="1">IFERROR(__xludf.dummyfunction("""COMPUTED_VALUE"""),"#N/A")</f>
        <v>#N/A</v>
      </c>
      <c r="AG118" s="30" t="str">
        <f ca="1">IFERROR(__xludf.dummyfunction("""COMPUTED_VALUE"""),"#N/A")</f>
        <v>#N/A</v>
      </c>
    </row>
    <row r="119" spans="1:33" ht="79.2">
      <c r="A119" s="25"/>
      <c r="B119" s="26" t="s">
        <v>29</v>
      </c>
      <c r="C119" s="26" t="s">
        <v>310</v>
      </c>
      <c r="D119" s="26">
        <v>6</v>
      </c>
      <c r="E119" s="27" t="s">
        <v>462</v>
      </c>
      <c r="F119" s="28" t="s">
        <v>487</v>
      </c>
      <c r="G119" s="33" t="s">
        <v>488</v>
      </c>
      <c r="H119" s="28" t="str">
        <f ca="1">IFERROR(__xludf.dummyfunction("IFERROR(
  VLOOKUP(G119, IMPORTRANGE(""https://docs.google.com/spreadsheets/d/14deopnvwcrKtEGCKuYXdUHJbeLDZlkiSSWWT0g7x2pM/edit#gid=849066331"", ""LU List Maths (Filter)!A:B""), 2, FALSE),
  IFERROR(
    VLOOKUP(G119, IMPORTRANGE(""https://docs.google.com"&amp;"/spreadsheets/d/14deopnvwcrKtEGCKuYXdUHJbeLDZlkiSSWWT0g7x2pM/edit#gid=849066331"", ""LU List Science (Filter)!A:B""), 2, FALSE),
    ""Not Found""
  )
)
"),"Word problems involving addition and subtraction of decimals")</f>
        <v>Word problems involving addition and subtraction of decimals</v>
      </c>
      <c r="I119" s="46" t="s">
        <v>489</v>
      </c>
      <c r="J119" s="29" t="str">
        <f t="shared" si="6"/>
        <v>LU001383.001</v>
      </c>
      <c r="K119" s="29" t="str">
        <f ca="1">IFERROR(__xludf.dummyfunction("VLOOKUP(J119, IMPORTRANGE(""https://docs.google.com/spreadsheets/d/1yDAaXNsi4Mr5FtRQL4tbmSdIzhx6_m4wkOD7IG-k_eo/edit#gid=0"", ""Maths!M:N""), 2, FALSE)"),"(LU001383.001); Default - Remember")</f>
        <v>(LU001383.001); Default - Remember</v>
      </c>
      <c r="L119" s="29" t="str">
        <f t="shared" si="7"/>
        <v>LU001383.002</v>
      </c>
      <c r="M119" s="29" t="str">
        <f ca="1">IFERROR(__xludf.dummyfunction("VLOOKUP(L119, IMPORTRANGE(""https://docs.google.com/spreadsheets/d/1yDAaXNsi4Mr5FtRQL4tbmSdIzhx6_m4wkOD7IG-k_eo/edit#gid=0"", ""Maths!M:N""), 2, FALSE)"),"(LU001383.002); Default - Understand")</f>
        <v>(LU001383.002); Default - Understand</v>
      </c>
      <c r="N119" s="29" t="str">
        <f t="shared" si="8"/>
        <v>LU001383.003</v>
      </c>
      <c r="O119" s="29" t="str">
        <f ca="1">IFERROR(__xludf.dummyfunction("VLOOKUP(N119, IMPORTRANGE(""https://docs.google.com/spreadsheets/d/1yDAaXNsi4Mr5FtRQL4tbmSdIzhx6_m4wkOD7IG-k_eo/edit#gid=0"", ""Maths!M:N""), 2, FALSE)"),"(LU001383.003); Default - Apply")</f>
        <v>(LU001383.003); Default - Apply</v>
      </c>
      <c r="P119" s="29" t="str">
        <f t="shared" si="9"/>
        <v>LU001383.004</v>
      </c>
      <c r="Q119" s="29" t="str">
        <f ca="1">IFERROR(__xludf.dummyfunction("VLOOKUP(P119, IMPORTRANGE(""https://docs.google.com/spreadsheets/d/1yDAaXNsi4Mr5FtRQL4tbmSdIzhx6_m4wkOD7IG-k_eo/edit#gid=0"", ""Maths!M:N""), 2, FALSE)"),"(LU001383.004); Default - Analyse")</f>
        <v>(LU001383.004); Default - Analyse</v>
      </c>
      <c r="R119" s="29" t="str">
        <f t="shared" si="10"/>
        <v>LU001383.005</v>
      </c>
      <c r="S119" s="29" t="str">
        <f ca="1">IFERROR(__xludf.dummyfunction("VLOOKUP(R119, IMPORTRANGE(""https://docs.google.com/spreadsheets/d/1yDAaXNsi4Mr5FtRQL4tbmSdIzhx6_m4wkOD7IG-k_eo/edit#gid=0"", ""Maths!M:N""), 2, FALSE)"),"(LU001383.005); Default - Evaluate")</f>
        <v>(LU001383.005); Default - Evaluate</v>
      </c>
      <c r="T119" s="29" t="str">
        <f t="shared" si="11"/>
        <v>LU001383.006</v>
      </c>
      <c r="U119" s="29" t="str">
        <f ca="1">IFERROR(__xludf.dummyfunction("VLOOKUP(T119, IMPORTRANGE(""https://docs.google.com/spreadsheets/d/1yDAaXNsi4Mr5FtRQL4tbmSdIzhx6_m4wkOD7IG-k_eo/edit#gid=0"", ""Maths!M:N""), 2, FALSE)"),"(LU001383.006); Default - Create")</f>
        <v>(LU001383.006); Default - Create</v>
      </c>
      <c r="V119" s="16" t="str">
        <f ca="1">IFERROR(__xludf.dummyfunction("ArrayFormula(VLOOKUP(G119, IMPORTRANGE(""https://docs.google.com/spreadsheets/d/1p7R4vtkWt5VOBim4ltsDG9KTzSjrtKXsMtQGXPHyND0/edit#gid=795171502"", ""'Filter 30_05_2024'!A1:M2000""), {2, 3, 4, 5,6,7,8,9,10,11,12,13}, 0))"),"#N/A")</f>
        <v>#N/A</v>
      </c>
      <c r="W119" s="16" t="str">
        <f ca="1">IFERROR(__xludf.dummyfunction("""COMPUTED_VALUE"""),"#N/A")</f>
        <v>#N/A</v>
      </c>
      <c r="X119" s="16" t="str">
        <f ca="1">IFERROR(__xludf.dummyfunction("""COMPUTED_VALUE"""),"#N/A")</f>
        <v>#N/A</v>
      </c>
      <c r="Y119" s="16" t="str">
        <f ca="1">IFERROR(__xludf.dummyfunction("""COMPUTED_VALUE"""),"#N/A")</f>
        <v>#N/A</v>
      </c>
      <c r="Z119" s="16" t="str">
        <f ca="1">IFERROR(__xludf.dummyfunction("""COMPUTED_VALUE"""),"#N/A")</f>
        <v>#N/A</v>
      </c>
      <c r="AA119" s="30" t="str">
        <f ca="1">IFERROR(__xludf.dummyfunction("""COMPUTED_VALUE"""),"#N/A")</f>
        <v>#N/A</v>
      </c>
      <c r="AB119" s="30" t="str">
        <f ca="1">IFERROR(__xludf.dummyfunction("""COMPUTED_VALUE"""),"#N/A")</f>
        <v>#N/A</v>
      </c>
      <c r="AC119" s="30" t="str">
        <f ca="1">IFERROR(__xludf.dummyfunction("""COMPUTED_VALUE"""),"#N/A")</f>
        <v>#N/A</v>
      </c>
      <c r="AD119" s="16" t="str">
        <f ca="1">IFERROR(__xludf.dummyfunction("""COMPUTED_VALUE"""),"#N/A")</f>
        <v>#N/A</v>
      </c>
      <c r="AE119" s="30" t="str">
        <f ca="1">IFERROR(__xludf.dummyfunction("""COMPUTED_VALUE"""),"#N/A")</f>
        <v>#N/A</v>
      </c>
      <c r="AF119" s="30" t="str">
        <f ca="1">IFERROR(__xludf.dummyfunction("""COMPUTED_VALUE"""),"#N/A")</f>
        <v>#N/A</v>
      </c>
      <c r="AG119" s="30" t="str">
        <f ca="1">IFERROR(__xludf.dummyfunction("""COMPUTED_VALUE"""),"#N/A")</f>
        <v>#N/A</v>
      </c>
    </row>
    <row r="120" spans="1:33" ht="39.6">
      <c r="A120" s="25"/>
      <c r="B120" s="26" t="s">
        <v>29</v>
      </c>
      <c r="C120" s="26" t="s">
        <v>310</v>
      </c>
      <c r="D120" s="26">
        <v>6</v>
      </c>
      <c r="E120" s="27" t="s">
        <v>490</v>
      </c>
      <c r="F120" s="28" t="s">
        <v>491</v>
      </c>
      <c r="G120" s="33" t="s">
        <v>492</v>
      </c>
      <c r="H120" s="28" t="str">
        <f ca="1">IFERROR(__xludf.dummyfunction("IFERROR(
  VLOOKUP(G120, IMPORTRANGE(""https://docs.google.com/spreadsheets/d/14deopnvwcrKtEGCKuYXdUHJbeLDZlkiSSWWT0g7x2pM/edit#gid=849066331"", ""LU List Maths (Filter)!A:B""), 2, FALSE),
  IFERROR(
    VLOOKUP(G120, IMPORTRANGE(""https://docs.google.com"&amp;"/spreadsheets/d/14deopnvwcrKtEGCKuYXdUHJbeLDZlkiSSWWT0g7x2pM/edit#gid=849066331"", ""LU List Science (Filter)!A:B""), 2, FALSE),
    ""Not Found""
  )
)
"),"Simplification of expressions involving brackets")</f>
        <v>Simplification of expressions involving brackets</v>
      </c>
      <c r="I120" s="28"/>
      <c r="J120" s="29" t="str">
        <f t="shared" si="6"/>
        <v>LU001384.001</v>
      </c>
      <c r="K120" s="29" t="str">
        <f ca="1">IFERROR(__xludf.dummyfunction("VLOOKUP(J120, IMPORTRANGE(""https://docs.google.com/spreadsheets/d/1yDAaXNsi4Mr5FtRQL4tbmSdIzhx6_m4wkOD7IG-k_eo/edit#gid=0"", ""Maths!M:N""), 2, FALSE)"),"(LU001384.001); Default - Remember")</f>
        <v>(LU001384.001); Default - Remember</v>
      </c>
      <c r="L120" s="29" t="str">
        <f t="shared" si="7"/>
        <v>LU001384.002</v>
      </c>
      <c r="M120" s="29" t="str">
        <f ca="1">IFERROR(__xludf.dummyfunction("VLOOKUP(L120, IMPORTRANGE(""https://docs.google.com/spreadsheets/d/1yDAaXNsi4Mr5FtRQL4tbmSdIzhx6_m4wkOD7IG-k_eo/edit#gid=0"", ""Maths!M:N""), 2, FALSE)"),"(LU001384.002); Default - Understand")</f>
        <v>(LU001384.002); Default - Understand</v>
      </c>
      <c r="N120" s="29" t="str">
        <f t="shared" si="8"/>
        <v>LU001384.003</v>
      </c>
      <c r="O120" s="29" t="str">
        <f ca="1">IFERROR(__xludf.dummyfunction("VLOOKUP(N120, IMPORTRANGE(""https://docs.google.com/spreadsheets/d/1yDAaXNsi4Mr5FtRQL4tbmSdIzhx6_m4wkOD7IG-k_eo/edit#gid=0"", ""Maths!M:N""), 2, FALSE)"),"(LU001384.003); Default - Apply")</f>
        <v>(LU001384.003); Default - Apply</v>
      </c>
      <c r="P120" s="29" t="str">
        <f t="shared" si="9"/>
        <v>LU001384.004</v>
      </c>
      <c r="Q120" s="29" t="str">
        <f ca="1">IFERROR(__xludf.dummyfunction("VLOOKUP(P120, IMPORTRANGE(""https://docs.google.com/spreadsheets/d/1yDAaXNsi4Mr5FtRQL4tbmSdIzhx6_m4wkOD7IG-k_eo/edit#gid=0"", ""Maths!M:N""), 2, FALSE)"),"(LU001384.004); Default - Analyse")</f>
        <v>(LU001384.004); Default - Analyse</v>
      </c>
      <c r="R120" s="29" t="str">
        <f t="shared" si="10"/>
        <v>LU001384.005</v>
      </c>
      <c r="S120" s="29" t="str">
        <f ca="1">IFERROR(__xludf.dummyfunction("VLOOKUP(R120, IMPORTRANGE(""https://docs.google.com/spreadsheets/d/1yDAaXNsi4Mr5FtRQL4tbmSdIzhx6_m4wkOD7IG-k_eo/edit#gid=0"", ""Maths!M:N""), 2, FALSE)"),"(LU001384.005); Default - Evaluate")</f>
        <v>(LU001384.005); Default - Evaluate</v>
      </c>
      <c r="T120" s="29" t="str">
        <f t="shared" si="11"/>
        <v>LU001384.006</v>
      </c>
      <c r="U120" s="29" t="str">
        <f ca="1">IFERROR(__xludf.dummyfunction("VLOOKUP(T120, IMPORTRANGE(""https://docs.google.com/spreadsheets/d/1yDAaXNsi4Mr5FtRQL4tbmSdIzhx6_m4wkOD7IG-k_eo/edit#gid=0"", ""Maths!M:N""), 2, FALSE)"),"(LU001384.006); Default - Create")</f>
        <v>(LU001384.006); Default - Create</v>
      </c>
      <c r="V120" s="16" t="str">
        <f ca="1">IFERROR(__xludf.dummyfunction("ArrayFormula(VLOOKUP(G120, IMPORTRANGE(""https://docs.google.com/spreadsheets/d/1p7R4vtkWt5VOBim4ltsDG9KTzSjrtKXsMtQGXPHyND0/edit#gid=795171502"", ""'Filter 30_05_2024'!A1:M2000""), {2, 3, 4, 5,6,7,8,9,10,11,12,13}, 0))"),"#N/A")</f>
        <v>#N/A</v>
      </c>
      <c r="W120" s="16" t="str">
        <f ca="1">IFERROR(__xludf.dummyfunction("""COMPUTED_VALUE"""),"#N/A")</f>
        <v>#N/A</v>
      </c>
      <c r="X120" s="16" t="str">
        <f ca="1">IFERROR(__xludf.dummyfunction("""COMPUTED_VALUE"""),"#N/A")</f>
        <v>#N/A</v>
      </c>
      <c r="Y120" s="16" t="str">
        <f ca="1">IFERROR(__xludf.dummyfunction("""COMPUTED_VALUE"""),"#N/A")</f>
        <v>#N/A</v>
      </c>
      <c r="Z120" s="16" t="str">
        <f ca="1">IFERROR(__xludf.dummyfunction("""COMPUTED_VALUE"""),"#N/A")</f>
        <v>#N/A</v>
      </c>
      <c r="AA120" s="30" t="str">
        <f ca="1">IFERROR(__xludf.dummyfunction("""COMPUTED_VALUE"""),"#N/A")</f>
        <v>#N/A</v>
      </c>
      <c r="AB120" s="30" t="str">
        <f ca="1">IFERROR(__xludf.dummyfunction("""COMPUTED_VALUE"""),"#N/A")</f>
        <v>#N/A</v>
      </c>
      <c r="AC120" s="30" t="str">
        <f ca="1">IFERROR(__xludf.dummyfunction("""COMPUTED_VALUE"""),"#N/A")</f>
        <v>#N/A</v>
      </c>
      <c r="AD120" s="16" t="str">
        <f ca="1">IFERROR(__xludf.dummyfunction("""COMPUTED_VALUE"""),"#N/A")</f>
        <v>#N/A</v>
      </c>
      <c r="AE120" s="30" t="str">
        <f ca="1">IFERROR(__xludf.dummyfunction("""COMPUTED_VALUE"""),"#N/A")</f>
        <v>#N/A</v>
      </c>
      <c r="AF120" s="30" t="str">
        <f ca="1">IFERROR(__xludf.dummyfunction("""COMPUTED_VALUE"""),"#N/A")</f>
        <v>#N/A</v>
      </c>
      <c r="AG120" s="30" t="str">
        <f ca="1">IFERROR(__xludf.dummyfunction("""COMPUTED_VALUE"""),"#N/A")</f>
        <v>#N/A</v>
      </c>
    </row>
    <row r="121" spans="1:33" ht="39.6">
      <c r="A121" s="25"/>
      <c r="B121" s="26" t="s">
        <v>29</v>
      </c>
      <c r="C121" s="26" t="s">
        <v>310</v>
      </c>
      <c r="D121" s="26">
        <v>6</v>
      </c>
      <c r="E121" s="27" t="s">
        <v>490</v>
      </c>
      <c r="F121" s="28" t="s">
        <v>493</v>
      </c>
      <c r="G121" s="26" t="s">
        <v>494</v>
      </c>
      <c r="H121" s="28" t="str">
        <f ca="1">IFERROR(__xludf.dummyfunction("IFERROR(
  VLOOKUP(G121, IMPORTRANGE(""https://docs.google.com/spreadsheets/d/14deopnvwcrKtEGCKuYXdUHJbeLDZlkiSSWWT0g7x2pM/edit#gid=849066331"", ""LU List Maths (Filter)!A:B""), 2, FALSE),
  IFERROR(
    VLOOKUP(G121, IMPORTRANGE(""https://docs.google.com"&amp;"/spreadsheets/d/14deopnvwcrKtEGCKuYXdUHJbeLDZlkiSSWWT0g7x2pM/edit#gid=849066331"", ""LU List Science (Filter)!A:B""), 2, FALSE),
    ""Not Found""
  )
)
"),"Even number")</f>
        <v>Even number</v>
      </c>
      <c r="I121" s="28"/>
      <c r="J121" s="29" t="str">
        <f t="shared" si="6"/>
        <v>LU000197.001</v>
      </c>
      <c r="K121" s="29" t="str">
        <f ca="1">IFERROR(__xludf.dummyfunction("VLOOKUP(J121, IMPORTRANGE(""https://docs.google.com/spreadsheets/d/1yDAaXNsi4Mr5FtRQL4tbmSdIzhx6_m4wkOD7IG-k_eo/edit#gid=0"", ""Maths!M:N""), 2, FALSE)"),"Define and list examples of even numbers.")</f>
        <v>Define and list examples of even numbers.</v>
      </c>
      <c r="L121" s="29" t="str">
        <f t="shared" si="7"/>
        <v>LU000197.002</v>
      </c>
      <c r="M121" s="29" t="str">
        <f ca="1">IFERROR(__xludf.dummyfunction("VLOOKUP(L121, IMPORTRANGE(""https://docs.google.com/spreadsheets/d/1yDAaXNsi4Mr5FtRQL4tbmSdIzhx6_m4wkOD7IG-k_eo/edit#gid=0"", ""Maths!M:N""), 2, FALSE)"),"Deduce that even numbers are characterised by having a digit in the one's place that is 0, 2, 4, 6, or 8")</f>
        <v>Deduce that even numbers are characterised by having a digit in the one's place that is 0, 2, 4, 6, or 8</v>
      </c>
      <c r="N121" s="29" t="str">
        <f t="shared" si="8"/>
        <v>LU000197.003</v>
      </c>
      <c r="O121" s="29" t="str">
        <f ca="1">IFERROR(__xludf.dummyfunction("VLOOKUP(N121, IMPORTRANGE(""https://docs.google.com/spreadsheets/d/1yDAaXNsi4Mr5FtRQL4tbmSdIzhx6_m4wkOD7IG-k_eo/edit#gid=0"", ""Maths!M:N""), 2, FALSE)"),"Identify even numbers quickly by dividing the number by 2.")</f>
        <v>Identify even numbers quickly by dividing the number by 2.</v>
      </c>
      <c r="P121" s="29" t="str">
        <f t="shared" si="9"/>
        <v>LU000197.004</v>
      </c>
      <c r="Q121" s="29" t="str">
        <f ca="1">IFERROR(__xludf.dummyfunction("VLOOKUP(P121, IMPORTRANGE(""https://docs.google.com/spreadsheets/d/1yDAaXNsi4Mr5FtRQL4tbmSdIzhx6_m4wkOD7IG-k_eo/edit#gid=0"", ""Maths!M:N""), 2, FALSE)"),"Analyse the patterns related to the sum of even and odd numbers")</f>
        <v>Analyse the patterns related to the sum of even and odd numbers</v>
      </c>
      <c r="R121" s="29" t="str">
        <f t="shared" si="10"/>
        <v>LU000197.005</v>
      </c>
      <c r="S121" s="29" t="str">
        <f ca="1">IFERROR(__xludf.dummyfunction("VLOOKUP(R121, IMPORTRANGE(""https://docs.google.com/spreadsheets/d/1yDAaXNsi4Mr5FtRQL4tbmSdIzhx6_m4wkOD7IG-k_eo/edit#gid=0"", ""Maths!M:N""), 2, FALSE)"),"Evaluate the significance of even numbers in relation to odd numbers and their characteristics.")</f>
        <v>Evaluate the significance of even numbers in relation to odd numbers and their characteristics.</v>
      </c>
      <c r="T121" s="29" t="str">
        <f t="shared" si="11"/>
        <v>LU000197.006</v>
      </c>
      <c r="U121" s="29" t="str">
        <f ca="1">IFERROR(__xludf.dummyfunction("VLOOKUP(T121, IMPORTRANGE(""https://docs.google.com/spreadsheets/d/1yDAaXNsi4Mr5FtRQL4tbmSdIzhx6_m4wkOD7IG-k_eo/edit#gid=0"", ""Maths!M:N""), 2, FALSE)"),"Devise a set of mathematical puzzles or problems that involve even numbers, identify patterns and relationships involving even numbers")</f>
        <v>Devise a set of mathematical puzzles or problems that involve even numbers, identify patterns and relationships involving even numbers</v>
      </c>
      <c r="V121" s="16">
        <f ca="1">IFERROR(__xludf.dummyfunction("ArrayFormula(VLOOKUP(G121, IMPORTRANGE(""https://docs.google.com/spreadsheets/d/1p7R4vtkWt5VOBim4ltsDG9KTzSjrtKXsMtQGXPHyND0/edit#gid=795171502"", ""'Filter 30_05_2024'!A1:M2000""), {2, 3, 4, 5,6,7,8,9,10,11,12,13}, 0))"),4)</f>
        <v>4</v>
      </c>
      <c r="W121" s="16">
        <f ca="1">IFERROR(__xludf.dummyfunction("""COMPUTED_VALUE"""),6)</f>
        <v>6</v>
      </c>
      <c r="X121" s="16">
        <f ca="1">IFERROR(__xludf.dummyfunction("""COMPUTED_VALUE"""),5)</f>
        <v>5</v>
      </c>
      <c r="Y121" s="16">
        <f ca="1">IFERROR(__xludf.dummyfunction("""COMPUTED_VALUE"""),15)</f>
        <v>15</v>
      </c>
      <c r="Z121" s="16">
        <f ca="1">IFERROR(__xludf.dummyfunction("""COMPUTED_VALUE"""),4)</f>
        <v>4</v>
      </c>
      <c r="AA121" s="30">
        <f ca="1">IFERROR(__xludf.dummyfunction("""COMPUTED_VALUE"""),3)</f>
        <v>3</v>
      </c>
      <c r="AB121" s="30">
        <f ca="1">IFERROR(__xludf.dummyfunction("""COMPUTED_VALUE"""),2)</f>
        <v>2</v>
      </c>
      <c r="AC121" s="30">
        <f ca="1">IFERROR(__xludf.dummyfunction("""COMPUTED_VALUE"""),9)</f>
        <v>9</v>
      </c>
      <c r="AD121" s="16"/>
      <c r="AE121" s="30"/>
      <c r="AF121" s="30"/>
      <c r="AG121" s="30"/>
    </row>
    <row r="122" spans="1:33" ht="39.6">
      <c r="A122" s="25"/>
      <c r="B122" s="26" t="s">
        <v>29</v>
      </c>
      <c r="C122" s="26" t="s">
        <v>310</v>
      </c>
      <c r="D122" s="26">
        <v>6</v>
      </c>
      <c r="E122" s="27" t="s">
        <v>490</v>
      </c>
      <c r="F122" s="28"/>
      <c r="G122" s="26" t="s">
        <v>495</v>
      </c>
      <c r="H122" s="28" t="str">
        <f ca="1">IFERROR(__xludf.dummyfunction("IFERROR(
  VLOOKUP(G122, IMPORTRANGE(""https://docs.google.com/spreadsheets/d/14deopnvwcrKtEGCKuYXdUHJbeLDZlkiSSWWT0g7x2pM/edit#gid=849066331"", ""LU List Maths (Filter)!A:B""), 2, FALSE),
  IFERROR(
    VLOOKUP(G122, IMPORTRANGE(""https://docs.google.com"&amp;"/spreadsheets/d/14deopnvwcrKtEGCKuYXdUHJbeLDZlkiSSWWT0g7x2pM/edit#gid=849066331"", ""LU List Science (Filter)!A:B""), 2, FALSE),
    ""Not Found""
  )
)
"),"Odd number")</f>
        <v>Odd number</v>
      </c>
      <c r="I122" s="28"/>
      <c r="J122" s="29" t="str">
        <f t="shared" si="6"/>
        <v>LU000198.001</v>
      </c>
      <c r="K122" s="29" t="str">
        <f ca="1">IFERROR(__xludf.dummyfunction("VLOOKUP(J122, IMPORTRANGE(""https://docs.google.com/spreadsheets/d/1yDAaXNsi4Mr5FtRQL4tbmSdIzhx6_m4wkOD7IG-k_eo/edit#gid=0"", ""Maths!M:N""), 2, FALSE)"),"Define and list examples of odd numbers.")</f>
        <v>Define and list examples of odd numbers.</v>
      </c>
      <c r="L122" s="29" t="str">
        <f t="shared" si="7"/>
        <v>LU000198.002</v>
      </c>
      <c r="M122" s="29" t="str">
        <f ca="1">IFERROR(__xludf.dummyfunction("VLOOKUP(L122, IMPORTRANGE(""https://docs.google.com/spreadsheets/d/1yDAaXNsi4Mr5FtRQL4tbmSdIzhx6_m4wkOD7IG-k_eo/edit#gid=0"", ""Maths!M:N""), 2, FALSE)"),"Deduce that odd numbers are characterised by having a digit in the one's place that is 1, 3, 5, 7 or 9.")</f>
        <v>Deduce that odd numbers are characterised by having a digit in the one's place that is 1, 3, 5, 7 or 9.</v>
      </c>
      <c r="N122" s="29" t="str">
        <f t="shared" si="8"/>
        <v>LU000198.003</v>
      </c>
      <c r="O122" s="29" t="str">
        <f ca="1">IFERROR(__xludf.dummyfunction("VLOOKUP(N122, IMPORTRANGE(""https://docs.google.com/spreadsheets/d/1yDAaXNsi4Mr5FtRQL4tbmSdIzhx6_m4wkOD7IG-k_eo/edit#gid=0"", ""Maths!M:N""), 2, FALSE)"),"Identify odd numbers from a list of numbers and give reasoning.")</f>
        <v>Identify odd numbers from a list of numbers and give reasoning.</v>
      </c>
      <c r="P122" s="29" t="str">
        <f t="shared" si="9"/>
        <v>LU000198.004</v>
      </c>
      <c r="Q122" s="29" t="str">
        <f ca="1">IFERROR(__xludf.dummyfunction("VLOOKUP(P122, IMPORTRANGE(""https://docs.google.com/spreadsheets/d/1yDAaXNsi4Mr5FtRQL4tbmSdIzhx6_m4wkOD7IG-k_eo/edit#gid=0"", ""Maths!M:N""), 2, FALSE)"),"Investigate patterns related to the sum and difference of odd numbers.")</f>
        <v>Investigate patterns related to the sum and difference of odd numbers.</v>
      </c>
      <c r="R122" s="29" t="str">
        <f t="shared" si="10"/>
        <v>LU000198.005</v>
      </c>
      <c r="S122" s="29" t="str">
        <f ca="1">IFERROR(__xludf.dummyfunction("VLOOKUP(R122, IMPORTRANGE(""https://docs.google.com/spreadsheets/d/1yDAaXNsi4Mr5FtRQL4tbmSdIzhx6_m4wkOD7IG-k_eo/edit#gid=0"", ""Maths!M:N""), 2, FALSE)"),"Evaluate the role of odd numbers in real-world scenarios, such as counting objects or arranging pairs.")</f>
        <v>Evaluate the role of odd numbers in real-world scenarios, such as counting objects or arranging pairs.</v>
      </c>
      <c r="T122" s="29" t="str">
        <f t="shared" si="11"/>
        <v>LU000198.006</v>
      </c>
      <c r="U122" s="29" t="str">
        <f ca="1">IFERROR(__xludf.dummyfunction("VLOOKUP(T122, IMPORTRANGE(""https://docs.google.com/spreadsheets/d/1yDAaXNsi4Mr5FtRQL4tbmSdIzhx6_m4wkOD7IG-k_eo/edit#gid=0"", ""Maths!M:N""), 2, FALSE)"),"Devise a set of mathematical puzzles or problems that involve odd numbers, identify patterns and relationships involving odd numbers")</f>
        <v>Devise a set of mathematical puzzles or problems that involve odd numbers, identify patterns and relationships involving odd numbers</v>
      </c>
      <c r="V122" s="16">
        <f ca="1">IFERROR(__xludf.dummyfunction("ArrayFormula(VLOOKUP(G122, IMPORTRANGE(""https://docs.google.com/spreadsheets/d/1p7R4vtkWt5VOBim4ltsDG9KTzSjrtKXsMtQGXPHyND0/edit#gid=795171502"", ""'Filter 30_05_2024'!A1:M2000""), {2, 3, 4, 5,6,7,8,9,10,11,12,13}, 0))"),4)</f>
        <v>4</v>
      </c>
      <c r="W122" s="16">
        <f ca="1">IFERROR(__xludf.dummyfunction("""COMPUTED_VALUE"""),4)</f>
        <v>4</v>
      </c>
      <c r="X122" s="16">
        <f ca="1">IFERROR(__xludf.dummyfunction("""COMPUTED_VALUE"""),2)</f>
        <v>2</v>
      </c>
      <c r="Y122" s="16">
        <f ca="1">IFERROR(__xludf.dummyfunction("""COMPUTED_VALUE"""),10)</f>
        <v>10</v>
      </c>
      <c r="Z122" s="16">
        <f ca="1">IFERROR(__xludf.dummyfunction("""COMPUTED_VALUE"""),4)</f>
        <v>4</v>
      </c>
      <c r="AA122" s="30">
        <f ca="1">IFERROR(__xludf.dummyfunction("""COMPUTED_VALUE"""),5)</f>
        <v>5</v>
      </c>
      <c r="AB122" s="30">
        <f ca="1">IFERROR(__xludf.dummyfunction("""COMPUTED_VALUE"""),1)</f>
        <v>1</v>
      </c>
      <c r="AC122" s="30">
        <f ca="1">IFERROR(__xludf.dummyfunction("""COMPUTED_VALUE"""),10)</f>
        <v>10</v>
      </c>
      <c r="AD122" s="16"/>
      <c r="AE122" s="30"/>
      <c r="AF122" s="30"/>
      <c r="AG122" s="30"/>
    </row>
    <row r="123" spans="1:33" ht="39.6">
      <c r="A123" s="25"/>
      <c r="B123" s="26" t="s">
        <v>29</v>
      </c>
      <c r="C123" s="26" t="s">
        <v>310</v>
      </c>
      <c r="D123" s="26">
        <v>6</v>
      </c>
      <c r="E123" s="27" t="s">
        <v>490</v>
      </c>
      <c r="F123" s="28" t="s">
        <v>496</v>
      </c>
      <c r="G123" s="26" t="s">
        <v>497</v>
      </c>
      <c r="H123" s="28" t="str">
        <f ca="1">IFERROR(__xludf.dummyfunction("IFERROR(
  VLOOKUP(G123, IMPORTRANGE(""https://docs.google.com/spreadsheets/d/14deopnvwcrKtEGCKuYXdUHJbeLDZlkiSSWWT0g7x2pM/edit#gid=849066331"", ""LU List Maths (Filter)!A:B""), 2, FALSE),
  IFERROR(
    VLOOKUP(G123, IMPORTRANGE(""https://docs.google.com"&amp;"/spreadsheets/d/14deopnvwcrKtEGCKuYXdUHJbeLDZlkiSSWWT0g7x2pM/edit#gid=849066331"", ""LU List Science (Filter)!A:B""), 2, FALSE),
    ""Not Found""
  )
)
"),"Prime number")</f>
        <v>Prime number</v>
      </c>
      <c r="I123" s="28"/>
      <c r="J123" s="29" t="str">
        <f t="shared" si="6"/>
        <v>LU000195.001</v>
      </c>
      <c r="K123" s="29" t="str">
        <f ca="1">IFERROR(__xludf.dummyfunction("VLOOKUP(J123, IMPORTRANGE(""https://docs.google.com/spreadsheets/d/1yDAaXNsi4Mr5FtRQL4tbmSdIzhx6_m4wkOD7IG-k_eo/edit#gid=0"", ""Maths!M:N""), 2, FALSE)"),"Define and list examples of prime numbers.")</f>
        <v>Define and list examples of prime numbers.</v>
      </c>
      <c r="L123" s="29" t="str">
        <f t="shared" si="7"/>
        <v>LU000195.002</v>
      </c>
      <c r="M123" s="29" t="str">
        <f ca="1">IFERROR(__xludf.dummyfunction("VLOOKUP(L123, IMPORTRANGE(""https://docs.google.com/spreadsheets/d/1yDAaXNsi4Mr5FtRQL4tbmSdIzhx6_m4wkOD7IG-k_eo/edit#gid=0"", ""Maths!M:N""), 2, FALSE)"),"Use the key methods (like trial division, sieve of eratosthenes, prime factorisation) to determine if a number is prime.")</f>
        <v>Use the key methods (like trial division, sieve of eratosthenes, prime factorisation) to determine if a number is prime.</v>
      </c>
      <c r="N123" s="29" t="str">
        <f t="shared" si="8"/>
        <v>LU000195.003</v>
      </c>
      <c r="O123" s="29" t="str">
        <f ca="1">IFERROR(__xludf.dummyfunction("VLOOKUP(N123, IMPORTRANGE(""https://docs.google.com/spreadsheets/d/1yDAaXNsi4Mr5FtRQL4tbmSdIzhx6_m4wkOD7IG-k_eo/edit#gid=0"", ""Maths!M:N""), 2, FALSE)"),"Apply the concept of prime numbers to identify prime numbers from a list of given numbers.")</f>
        <v>Apply the concept of prime numbers to identify prime numbers from a list of given numbers.</v>
      </c>
      <c r="P123" s="29" t="str">
        <f t="shared" si="9"/>
        <v>LU000195.004</v>
      </c>
      <c r="Q123" s="29" t="str">
        <f ca="1">IFERROR(__xludf.dummyfunction("VLOOKUP(P123, IMPORTRANGE(""https://docs.google.com/spreadsheets/d/1yDAaXNsi4Mr5FtRQL4tbmSdIzhx6_m4wkOD7IG-k_eo/edit#gid=0"", ""Maths!M:N""), 2, FALSE)"),"Recognise that prime numbers are the fundamental components of various composite numbers.")</f>
        <v>Recognise that prime numbers are the fundamental components of various composite numbers.</v>
      </c>
      <c r="R123" s="29" t="str">
        <f t="shared" si="10"/>
        <v>LU000195.005</v>
      </c>
      <c r="S123" s="29" t="str">
        <f ca="1">IFERROR(__xludf.dummyfunction("VLOOKUP(R123, IMPORTRANGE(""https://docs.google.com/spreadsheets/d/1yDAaXNsi4Mr5FtRQL4tbmSdIzhx6_m4wkOD7IG-k_eo/edit#gid=0"", ""Maths!M:N""), 2, FALSE)"),"Evaluate the significance of prime numbers in cryptography")</f>
        <v>Evaluate the significance of prime numbers in cryptography</v>
      </c>
      <c r="T123" s="29" t="str">
        <f t="shared" si="11"/>
        <v>LU000195.006</v>
      </c>
      <c r="U123" s="29" t="str">
        <f ca="1">IFERROR(__xludf.dummyfunction("VLOOKUP(T123, IMPORTRANGE(""https://docs.google.com/spreadsheets/d/1yDAaXNsi4Mr5FtRQL4tbmSdIzhx6_m4wkOD7IG-k_eo/edit#gid=0"", ""Maths!M:N""), 2, FALSE)"),"Create a list of prime numbers within a specific range using knowledge of their unique divisibility property")</f>
        <v>Create a list of prime numbers within a specific range using knowledge of their unique divisibility property</v>
      </c>
      <c r="V123" s="16">
        <f ca="1">IFERROR(__xludf.dummyfunction("ArrayFormula(VLOOKUP(G123, IMPORTRANGE(""https://docs.google.com/spreadsheets/d/1p7R4vtkWt5VOBim4ltsDG9KTzSjrtKXsMtQGXPHyND0/edit#gid=795171502"", ""'Filter 30_05_2024'!A1:M2000""), {2, 3, 4, 5,6,7,8,9,10,11,12,13}, 0))"),6)</f>
        <v>6</v>
      </c>
      <c r="W123" s="16">
        <f ca="1">IFERROR(__xludf.dummyfunction("""COMPUTED_VALUE"""),6)</f>
        <v>6</v>
      </c>
      <c r="X123" s="16">
        <f ca="1">IFERROR(__xludf.dummyfunction("""COMPUTED_VALUE"""),2)</f>
        <v>2</v>
      </c>
      <c r="Y123" s="16">
        <f ca="1">IFERROR(__xludf.dummyfunction("""COMPUTED_VALUE"""),14)</f>
        <v>14</v>
      </c>
      <c r="Z123" s="16">
        <f ca="1">IFERROR(__xludf.dummyfunction("""COMPUTED_VALUE"""),5)</f>
        <v>5</v>
      </c>
      <c r="AA123" s="30">
        <f ca="1">IFERROR(__xludf.dummyfunction("""COMPUTED_VALUE"""),2)</f>
        <v>2</v>
      </c>
      <c r="AB123" s="30">
        <f ca="1">IFERROR(__xludf.dummyfunction("""COMPUTED_VALUE"""),1)</f>
        <v>1</v>
      </c>
      <c r="AC123" s="30">
        <f ca="1">IFERROR(__xludf.dummyfunction("""COMPUTED_VALUE"""),8)</f>
        <v>8</v>
      </c>
      <c r="AD123" s="16"/>
      <c r="AE123" s="30"/>
      <c r="AF123" s="30"/>
      <c r="AG123" s="30"/>
    </row>
    <row r="124" spans="1:33" ht="39.6">
      <c r="A124" s="25"/>
      <c r="B124" s="26" t="s">
        <v>29</v>
      </c>
      <c r="C124" s="26" t="s">
        <v>310</v>
      </c>
      <c r="D124" s="26">
        <v>6</v>
      </c>
      <c r="E124" s="27" t="s">
        <v>490</v>
      </c>
      <c r="F124" s="28"/>
      <c r="G124" s="26" t="s">
        <v>498</v>
      </c>
      <c r="H124" s="28" t="str">
        <f ca="1">IFERROR(__xludf.dummyfunction("IFERROR(
  VLOOKUP(G124, IMPORTRANGE(""https://docs.google.com/spreadsheets/d/14deopnvwcrKtEGCKuYXdUHJbeLDZlkiSSWWT0g7x2pM/edit#gid=849066331"", ""LU List Maths (Filter)!A:B""), 2, FALSE),
  IFERROR(
    VLOOKUP(G124, IMPORTRANGE(""https://docs.google.com"&amp;"/spreadsheets/d/14deopnvwcrKtEGCKuYXdUHJbeLDZlkiSSWWT0g7x2pM/edit#gid=849066331"", ""LU List Science (Filter)!A:B""), 2, FALSE),
    ""Not Found""
  )
)
"),"Composite number")</f>
        <v>Composite number</v>
      </c>
      <c r="I124" s="28"/>
      <c r="J124" s="29" t="str">
        <f t="shared" si="6"/>
        <v>LU000196.001</v>
      </c>
      <c r="K124" s="29" t="str">
        <f ca="1">IFERROR(__xludf.dummyfunction("VLOOKUP(J124, IMPORTRANGE(""https://docs.google.com/spreadsheets/d/1yDAaXNsi4Mr5FtRQL4tbmSdIzhx6_m4wkOD7IG-k_eo/edit#gid=0"", ""Maths!M:N""), 2, FALSE)"),"Define and list examples of composite numbers.")</f>
        <v>Define and list examples of composite numbers.</v>
      </c>
      <c r="L124" s="29" t="str">
        <f t="shared" si="7"/>
        <v>LU000196.002</v>
      </c>
      <c r="M124" s="29" t="str">
        <f ca="1">IFERROR(__xludf.dummyfunction("VLOOKUP(L124, IMPORTRANGE(""https://docs.google.com/spreadsheets/d/1yDAaXNsi4Mr5FtRQL4tbmSdIzhx6_m4wkOD7IG-k_eo/edit#gid=0"", ""Maths!M:N""), 2, FALSE)"),"Use the key methods (like trial division, sieve of eratosthenes, prime factorisation) to determine if a number is composite.")</f>
        <v>Use the key methods (like trial division, sieve of eratosthenes, prime factorisation) to determine if a number is composite.</v>
      </c>
      <c r="N124" s="29" t="str">
        <f t="shared" si="8"/>
        <v>LU000196.003</v>
      </c>
      <c r="O124" s="29" t="str">
        <f ca="1">IFERROR(__xludf.dummyfunction("VLOOKUP(N124, IMPORTRANGE(""https://docs.google.com/spreadsheets/d/1yDAaXNsi4Mr5FtRQL4tbmSdIzhx6_m4wkOD7IG-k_eo/edit#gid=0"", ""Maths!M:N""), 2, FALSE)"),"Apply the concept of having more than two divisors to identify composite numbers.")</f>
        <v>Apply the concept of having more than two divisors to identify composite numbers.</v>
      </c>
      <c r="P124" s="29" t="str">
        <f t="shared" si="9"/>
        <v>LU000196.004</v>
      </c>
      <c r="Q124" s="29" t="str">
        <f ca="1">IFERROR(__xludf.dummyfunction("VLOOKUP(P124, IMPORTRANGE(""https://docs.google.com/spreadsheets/d/1yDAaXNsi4Mr5FtRQL4tbmSdIzhx6_m4wkOD7IG-k_eo/edit#gid=0"", ""Maths!M:N""), 2, FALSE)"),"Analyse the characteristics that differentiate composite numbers from prime numbers, focusing on their divisors.")</f>
        <v>Analyse the characteristics that differentiate composite numbers from prime numbers, focusing on their divisors.</v>
      </c>
      <c r="R124" s="29" t="str">
        <f t="shared" si="10"/>
        <v>LU000196.005</v>
      </c>
      <c r="S124" s="29" t="str">
        <f ca="1">IFERROR(__xludf.dummyfunction("VLOOKUP(R124, IMPORTRANGE(""https://docs.google.com/spreadsheets/d/1yDAaXNsi4Mr5FtRQL4tbmSdIzhx6_m4wkOD7IG-k_eo/edit#gid=0"", ""Maths!M:N""), 2, FALSE)"),"Evaluate how identifying composite numbers helps in finding common factors.")</f>
        <v>Evaluate how identifying composite numbers helps in finding common factors.</v>
      </c>
      <c r="T124" s="29" t="str">
        <f t="shared" si="11"/>
        <v>LU000196.006</v>
      </c>
      <c r="U124" s="29" t="str">
        <f ca="1">IFERROR(__xludf.dummyfunction("VLOOKUP(T124, IMPORTRANGE(""https://docs.google.com/spreadsheets/d/1yDAaXNsi4Mr5FtRQL4tbmSdIzhx6_m4wkOD7IG-k_eo/edit#gid=0"", ""Maths!M:N""), 2, FALSE)"),"Create a list of composite numbers within a given range by recognizing their multiple divisors.")</f>
        <v>Create a list of composite numbers within a given range by recognizing their multiple divisors.</v>
      </c>
      <c r="V124" s="16">
        <f ca="1">IFERROR(__xludf.dummyfunction("ArrayFormula(VLOOKUP(G124, IMPORTRANGE(""https://docs.google.com/spreadsheets/d/1p7R4vtkWt5VOBim4ltsDG9KTzSjrtKXsMtQGXPHyND0/edit#gid=795171502"", ""'Filter 30_05_2024'!A1:M2000""), {2, 3, 4, 5,6,7,8,9,10,11,12,13}, 0))"),7)</f>
        <v>7</v>
      </c>
      <c r="W124" s="16">
        <f ca="1">IFERROR(__xludf.dummyfunction("""COMPUTED_VALUE"""),7)</f>
        <v>7</v>
      </c>
      <c r="X124" s="16">
        <f ca="1">IFERROR(__xludf.dummyfunction("""COMPUTED_VALUE"""),2)</f>
        <v>2</v>
      </c>
      <c r="Y124" s="16">
        <f ca="1">IFERROR(__xludf.dummyfunction("""COMPUTED_VALUE"""),16)</f>
        <v>16</v>
      </c>
      <c r="Z124" s="16">
        <f ca="1">IFERROR(__xludf.dummyfunction("""COMPUTED_VALUE"""),4)</f>
        <v>4</v>
      </c>
      <c r="AA124" s="30">
        <f ca="1">IFERROR(__xludf.dummyfunction("""COMPUTED_VALUE"""),2)</f>
        <v>2</v>
      </c>
      <c r="AB124" s="30">
        <f ca="1">IFERROR(__xludf.dummyfunction("""COMPUTED_VALUE"""),1)</f>
        <v>1</v>
      </c>
      <c r="AC124" s="30">
        <f ca="1">IFERROR(__xludf.dummyfunction("""COMPUTED_VALUE"""),7)</f>
        <v>7</v>
      </c>
      <c r="AD124" s="16"/>
      <c r="AE124" s="30"/>
      <c r="AF124" s="30"/>
      <c r="AG124" s="30"/>
    </row>
    <row r="125" spans="1:33" ht="39.6">
      <c r="A125" s="25"/>
      <c r="B125" s="26" t="s">
        <v>29</v>
      </c>
      <c r="C125" s="26" t="s">
        <v>310</v>
      </c>
      <c r="D125" s="26">
        <v>6</v>
      </c>
      <c r="E125" s="27" t="s">
        <v>490</v>
      </c>
      <c r="F125" s="28"/>
      <c r="G125" s="26" t="s">
        <v>499</v>
      </c>
      <c r="H125" s="28" t="str">
        <f ca="1">IFERROR(__xludf.dummyfunction("IFERROR(
  VLOOKUP(G125, IMPORTRANGE(""https://docs.google.com/spreadsheets/d/14deopnvwcrKtEGCKuYXdUHJbeLDZlkiSSWWT0g7x2pM/edit#gid=849066331"", ""LU List Maths (Filter)!A:B""), 2, FALSE),
  IFERROR(
    VLOOKUP(G125, IMPORTRANGE(""https://docs.google.com"&amp;"/spreadsheets/d/14deopnvwcrKtEGCKuYXdUHJbeLDZlkiSSWWT0g7x2pM/edit#gid=849066331"", ""LU List Science (Filter)!A:B""), 2, FALSE),
    ""Not Found""
  )
)
"),"Twin prime numbers")</f>
        <v>Twin prime numbers</v>
      </c>
      <c r="I125" s="28"/>
      <c r="J125" s="29" t="str">
        <f t="shared" si="6"/>
        <v>LU000213.001</v>
      </c>
      <c r="K125" s="29" t="str">
        <f ca="1">IFERROR(__xludf.dummyfunction("VLOOKUP(J125, IMPORTRANGE(""https://docs.google.com/spreadsheets/d/1yDAaXNsi4Mr5FtRQL4tbmSdIzhx6_m4wkOD7IG-k_eo/edit#gid=0"", ""Maths!M:N""), 2, FALSE)"),"Define and list examples of twin prime numbers.")</f>
        <v>Define and list examples of twin prime numbers.</v>
      </c>
      <c r="L125" s="29" t="str">
        <f t="shared" si="7"/>
        <v>LU000213.002</v>
      </c>
      <c r="M125" s="29" t="str">
        <f ca="1">IFERROR(__xludf.dummyfunction("VLOOKUP(L125, IMPORTRANGE(""https://docs.google.com/spreadsheets/d/1yDAaXNsi4Mr5FtRQL4tbmSdIzhx6_m4wkOD7IG-k_eo/edit#gid=0"", ""Maths!M:N""), 2, FALSE)"),"Interpret the concept of twin prime numbers and explain their characteristics")</f>
        <v>Interpret the concept of twin prime numbers and explain their characteristics</v>
      </c>
      <c r="N125" s="29" t="str">
        <f t="shared" si="8"/>
        <v>LU000213.003</v>
      </c>
      <c r="O125" s="29" t="str">
        <f ca="1">IFERROR(__xludf.dummyfunction("VLOOKUP(N125, IMPORTRANGE(""https://docs.google.com/spreadsheets/d/1yDAaXNsi4Mr5FtRQL4tbmSdIzhx6_m4wkOD7IG-k_eo/edit#gid=0"", ""Maths!M:N""), 2, FALSE)"),"Apply the concept of twin prime numbers to identify and list pairs of twin primes within a specified range")</f>
        <v>Apply the concept of twin prime numbers to identify and list pairs of twin primes within a specified range</v>
      </c>
      <c r="P125" s="29" t="str">
        <f t="shared" si="9"/>
        <v>LU000213.004</v>
      </c>
      <c r="Q125" s="29" t="str">
        <f ca="1">IFERROR(__xludf.dummyfunction("VLOOKUP(P125, IMPORTRANGE(""https://docs.google.com/spreadsheets/d/1yDAaXNsi4Mr5FtRQL4tbmSdIzhx6_m4wkOD7IG-k_eo/edit#gid=0"", ""Maths!M:N""), 2, FALSE)"),"Analyse the properties of twin prime numbers and explore their occurrence and patterns in the sequence of prime numbers.")</f>
        <v>Analyse the properties of twin prime numbers and explore their occurrence and patterns in the sequence of prime numbers.</v>
      </c>
      <c r="R125" s="29" t="str">
        <f t="shared" si="10"/>
        <v>LU000213.005</v>
      </c>
      <c r="S125" s="29" t="str">
        <f ca="1">IFERROR(__xludf.dummyfunction("VLOOKUP(R125, IMPORTRANGE(""https://docs.google.com/spreadsheets/d/1yDAaXNsi4Mr5FtRQL4tbmSdIzhx6_m4wkOD7IG-k_eo/edit#gid=0"", ""Maths!M:N""), 2, FALSE)"),"Assess the relationship between twin prime numbers and the distribution of prime numbers.")</f>
        <v>Assess the relationship between twin prime numbers and the distribution of prime numbers.</v>
      </c>
      <c r="T125" s="29" t="str">
        <f t="shared" si="11"/>
        <v>LU000213.006</v>
      </c>
      <c r="U125" s="29" t="str">
        <f ca="1">IFERROR(__xludf.dummyfunction("VLOOKUP(T125, IMPORTRANGE(""https://docs.google.com/spreadsheets/d/1yDAaXNsi4Mr5FtRQL4tbmSdIzhx6_m4wkOD7IG-k_eo/edit#gid=0"", ""Maths!M:N""), 2, FALSE)"),"Create a list of numbers and task peers with identifying twin prime pairs, showcasing their ability to spot prime pairs with a fixed difference")</f>
        <v>Create a list of numbers and task peers with identifying twin prime pairs, showcasing their ability to spot prime pairs with a fixed difference</v>
      </c>
      <c r="V125" s="16">
        <f ca="1">IFERROR(__xludf.dummyfunction("ArrayFormula(VLOOKUP(G125, IMPORTRANGE(""https://docs.google.com/spreadsheets/d/1p7R4vtkWt5VOBim4ltsDG9KTzSjrtKXsMtQGXPHyND0/edit#gid=795171502"", ""'Filter 30_05_2024'!A1:M2000""), {2, 3, 4, 5,6,7,8,9,10,11,12,13}, 0))"),5)</f>
        <v>5</v>
      </c>
      <c r="W125" s="16">
        <f ca="1">IFERROR(__xludf.dummyfunction("""COMPUTED_VALUE"""),6)</f>
        <v>6</v>
      </c>
      <c r="X125" s="16">
        <f ca="1">IFERROR(__xludf.dummyfunction("""COMPUTED_VALUE"""),2)</f>
        <v>2</v>
      </c>
      <c r="Y125" s="16">
        <f ca="1">IFERROR(__xludf.dummyfunction("""COMPUTED_VALUE"""),13)</f>
        <v>13</v>
      </c>
      <c r="Z125" s="16">
        <f ca="1">IFERROR(__xludf.dummyfunction("""COMPUTED_VALUE"""),4)</f>
        <v>4</v>
      </c>
      <c r="AA125" s="30">
        <f ca="1">IFERROR(__xludf.dummyfunction("""COMPUTED_VALUE"""),3)</f>
        <v>3</v>
      </c>
      <c r="AB125" s="30">
        <f ca="1">IFERROR(__xludf.dummyfunction("""COMPUTED_VALUE"""),1)</f>
        <v>1</v>
      </c>
      <c r="AC125" s="30">
        <f ca="1">IFERROR(__xludf.dummyfunction("""COMPUTED_VALUE"""),8)</f>
        <v>8</v>
      </c>
      <c r="AD125" s="16"/>
      <c r="AE125" s="30"/>
      <c r="AF125" s="30"/>
      <c r="AG125" s="30"/>
    </row>
    <row r="126" spans="1:33" ht="39.6">
      <c r="A126" s="25"/>
      <c r="B126" s="26" t="s">
        <v>29</v>
      </c>
      <c r="C126" s="26" t="s">
        <v>310</v>
      </c>
      <c r="D126" s="26">
        <v>6</v>
      </c>
      <c r="E126" s="27" t="s">
        <v>490</v>
      </c>
      <c r="F126" s="28" t="s">
        <v>500</v>
      </c>
      <c r="G126" s="26" t="s">
        <v>501</v>
      </c>
      <c r="H126" s="28" t="str">
        <f ca="1">IFERROR(__xludf.dummyfunction("IFERROR(
  VLOOKUP(G126, IMPORTRANGE(""https://docs.google.com/spreadsheets/d/14deopnvwcrKtEGCKuYXdUHJbeLDZlkiSSWWT0g7x2pM/edit#gid=849066331"", ""LU List Maths (Filter)!A:B""), 2, FALSE),
  IFERROR(
    VLOOKUP(G126, IMPORTRANGE(""https://docs.google.com"&amp;"/spreadsheets/d/14deopnvwcrKtEGCKuYXdUHJbeLDZlkiSSWWT0g7x2pM/edit#gid=849066331"", ""LU List Science (Filter)!A:B""), 2, FALSE),
    ""Not Found""
  )
)
"),"Factor of number")</f>
        <v>Factor of number</v>
      </c>
      <c r="I126" s="28"/>
      <c r="J126" s="29" t="str">
        <f t="shared" si="6"/>
        <v>LU000192.001</v>
      </c>
      <c r="K126" s="29" t="str">
        <f ca="1">IFERROR(__xludf.dummyfunction("VLOOKUP(J126, IMPORTRANGE(""https://docs.google.com/spreadsheets/d/1yDAaXNsi4Mr5FtRQL4tbmSdIzhx6_m4wkOD7IG-k_eo/edit#gid=0"", ""Maths!M:N""), 2, FALSE)"),"Define factor of a number and its significance in the context of multiplication.")</f>
        <v>Define factor of a number and its significance in the context of multiplication.</v>
      </c>
      <c r="L126" s="29" t="str">
        <f t="shared" si="7"/>
        <v>LU000192.002</v>
      </c>
      <c r="M126" s="29" t="str">
        <f ca="1">IFERROR(__xludf.dummyfunction("VLOOKUP(L126, IMPORTRANGE(""https://docs.google.com/spreadsheets/d/1yDAaXNsi4Mr5FtRQL4tbmSdIzhx6_m4wkOD7IG-k_eo/edit#gid=0"", ""Maths!M:N""), 2, FALSE)"),"Explain factors as numbers that divide another number without leaving a remainder.")</f>
        <v>Explain factors as numbers that divide another number without leaving a remainder.</v>
      </c>
      <c r="N126" s="29" t="str">
        <f t="shared" si="8"/>
        <v>LU000192.003</v>
      </c>
      <c r="O126" s="29" t="str">
        <f ca="1">IFERROR(__xludf.dummyfunction("VLOOKUP(N126, IMPORTRANGE(""https://docs.google.com/spreadsheets/d/1yDAaXNsi4Mr5FtRQL4tbmSdIzhx6_m4wkOD7IG-k_eo/edit#gid=0"", ""Maths!M:N""), 2, FALSE)"),"Identify factors in practical and arithmetic problems.")</f>
        <v>Identify factors in practical and arithmetic problems.</v>
      </c>
      <c r="P126" s="29" t="str">
        <f t="shared" si="9"/>
        <v>LU000192.004</v>
      </c>
      <c r="Q126" s="29" t="str">
        <f ca="1">IFERROR(__xludf.dummyfunction("VLOOKUP(P126, IMPORTRANGE(""https://docs.google.com/spreadsheets/d/1yDAaXNsi4Mr5FtRQL4tbmSdIzhx6_m4wkOD7IG-k_eo/edit#gid=0"", ""Maths!M:N""), 2, FALSE)"),"Deduce the various properties of factor of a number (ex: every factor of a number is less than or equal to the given number.)")</f>
        <v>Deduce the various properties of factor of a number (ex: every factor of a number is less than or equal to the given number.)</v>
      </c>
      <c r="R126" s="29" t="str">
        <f t="shared" si="10"/>
        <v>LU000192.005</v>
      </c>
      <c r="S126" s="29" t="str">
        <f ca="1">IFERROR(__xludf.dummyfunction("VLOOKUP(R126, IMPORTRANGE(""https://docs.google.com/spreadsheets/d/1yDAaXNsi4Mr5FtRQL4tbmSdIzhx6_m4wkOD7IG-k_eo/edit#gid=0"", ""Maths!M:N""), 2, FALSE)"),"Assess how factors are important in solving problems")</f>
        <v>Assess how factors are important in solving problems</v>
      </c>
      <c r="T126" s="29" t="str">
        <f t="shared" si="11"/>
        <v>LU000192.006</v>
      </c>
      <c r="U126" s="29" t="str">
        <f ca="1">IFERROR(__xludf.dummyfunction("VLOOKUP(T126, IMPORTRANGE(""https://docs.google.com/spreadsheets/d/1yDAaXNsi4Mr5FtRQL4tbmSdIzhx6_m4wkOD7IG-k_eo/edit#gid=0"", ""Maths!M:N""), 2, FALSE)"),"Design word problems that involve real-life situations and factorisation.")</f>
        <v>Design word problems that involve real-life situations and factorisation.</v>
      </c>
      <c r="V126" s="16">
        <f ca="1">IFERROR(__xludf.dummyfunction("ArrayFormula(VLOOKUP(G126, IMPORTRANGE(""https://docs.google.com/spreadsheets/d/1p7R4vtkWt5VOBim4ltsDG9KTzSjrtKXsMtQGXPHyND0/edit#gid=795171502"", ""'Filter 30_05_2024'!A1:M2000""), {2, 3, 4, 5,6,7,8,9,10,11,12,13}, 0))"),12)</f>
        <v>12</v>
      </c>
      <c r="W126" s="16">
        <f ca="1">IFERROR(__xludf.dummyfunction("""COMPUTED_VALUE"""),19)</f>
        <v>19</v>
      </c>
      <c r="X126" s="16">
        <f ca="1">IFERROR(__xludf.dummyfunction("""COMPUTED_VALUE"""),7)</f>
        <v>7</v>
      </c>
      <c r="Y126" s="16">
        <f ca="1">IFERROR(__xludf.dummyfunction("""COMPUTED_VALUE"""),38)</f>
        <v>38</v>
      </c>
      <c r="Z126" s="16">
        <f ca="1">IFERROR(__xludf.dummyfunction("""COMPUTED_VALUE"""),7)</f>
        <v>7</v>
      </c>
      <c r="AA126" s="30">
        <f ca="1">IFERROR(__xludf.dummyfunction("""COMPUTED_VALUE"""),3)</f>
        <v>3</v>
      </c>
      <c r="AB126" s="30">
        <f ca="1">IFERROR(__xludf.dummyfunction("""COMPUTED_VALUE"""),2)</f>
        <v>2</v>
      </c>
      <c r="AC126" s="30">
        <f ca="1">IFERROR(__xludf.dummyfunction("""COMPUTED_VALUE"""),12)</f>
        <v>12</v>
      </c>
      <c r="AD126" s="16"/>
      <c r="AE126" s="30"/>
      <c r="AF126" s="30"/>
      <c r="AG126" s="30"/>
    </row>
    <row r="127" spans="1:33" ht="39.6">
      <c r="A127" s="25"/>
      <c r="B127" s="26" t="s">
        <v>29</v>
      </c>
      <c r="C127" s="26" t="s">
        <v>310</v>
      </c>
      <c r="D127" s="26">
        <v>6</v>
      </c>
      <c r="E127" s="27" t="s">
        <v>490</v>
      </c>
      <c r="F127" s="28"/>
      <c r="G127" s="26" t="s">
        <v>502</v>
      </c>
      <c r="H127" s="28" t="str">
        <f ca="1">IFERROR(__xludf.dummyfunction("IFERROR(
  VLOOKUP(G127, IMPORTRANGE(""https://docs.google.com/spreadsheets/d/14deopnvwcrKtEGCKuYXdUHJbeLDZlkiSSWWT0g7x2pM/edit#gid=849066331"", ""LU List Maths (Filter)!A:B""), 2, FALSE),
  IFERROR(
    VLOOKUP(G127, IMPORTRANGE(""https://docs.google.com"&amp;"/spreadsheets/d/14deopnvwcrKtEGCKuYXdUHJbeLDZlkiSSWWT0g7x2pM/edit#gid=849066331"", ""LU List Science (Filter)!A:B""), 2, FALSE),
    ""Not Found""
  )
)
"),"Multiple of number")</f>
        <v>Multiple of number</v>
      </c>
      <c r="I127" s="28"/>
      <c r="J127" s="29" t="str">
        <f t="shared" si="6"/>
        <v>LU000193.001</v>
      </c>
      <c r="K127" s="29" t="str">
        <f ca="1">IFERROR(__xludf.dummyfunction("VLOOKUP(J127, IMPORTRANGE(""https://docs.google.com/spreadsheets/d/1yDAaXNsi4Mr5FtRQL4tbmSdIzhx6_m4wkOD7IG-k_eo/edit#gid=0"", ""Maths!M:N""), 2, FALSE)"),"Define multiple of a number and its significance in the context of multiplication.")</f>
        <v>Define multiple of a number and its significance in the context of multiplication.</v>
      </c>
      <c r="L127" s="29" t="str">
        <f t="shared" si="7"/>
        <v>LU000193.002</v>
      </c>
      <c r="M127" s="29" t="str">
        <f ca="1">IFERROR(__xludf.dummyfunction("VLOOKUP(L127, IMPORTRANGE(""https://docs.google.com/spreadsheets/d/1yDAaXNsi4Mr5FtRQL4tbmSdIzhx6_m4wkOD7IG-k_eo/edit#gid=0"", ""Maths!M:N""), 2, FALSE)"),"Describe the properties of multiple of a number")</f>
        <v>Describe the properties of multiple of a number</v>
      </c>
      <c r="N127" s="29" t="str">
        <f t="shared" si="8"/>
        <v>LU000193.003</v>
      </c>
      <c r="O127" s="29" t="str">
        <f ca="1">IFERROR(__xludf.dummyfunction("VLOOKUP(N127, IMPORTRANGE(""https://docs.google.com/spreadsheets/d/1yDAaXNsi4Mr5FtRQL4tbmSdIzhx6_m4wkOD7IG-k_eo/edit#gid=0"", ""Maths!M:N""), 2, FALSE)"),"Solve real-world and arithmetic problems employing the concept of multiples.")</f>
        <v>Solve real-world and arithmetic problems employing the concept of multiples.</v>
      </c>
      <c r="P127" s="29" t="str">
        <f t="shared" si="9"/>
        <v>LU000193.004</v>
      </c>
      <c r="Q127" s="29" t="str">
        <f ca="1">IFERROR(__xludf.dummyfunction("VLOOKUP(P127, IMPORTRANGE(""https://docs.google.com/spreadsheets/d/1yDAaXNsi4Mr5FtRQL4tbmSdIzhx6_m4wkOD7IG-k_eo/edit#gid=0"", ""Maths!M:N""), 2, FALSE)"),"Determine the relationship between common multiples.")</f>
        <v>Determine the relationship between common multiples.</v>
      </c>
      <c r="R127" s="29" t="str">
        <f t="shared" si="10"/>
        <v>LU000193.005</v>
      </c>
      <c r="S127" s="29" t="str">
        <f ca="1">IFERROR(__xludf.dummyfunction("VLOOKUP(R127, IMPORTRANGE(""https://docs.google.com/spreadsheets/d/1yDAaXNsi4Mr5FtRQL4tbmSdIzhx6_m4wkOD7IG-k_eo/edit#gid=0"", ""Maths!M:N""), 2, FALSE)"),"#N/A")</f>
        <v>#N/A</v>
      </c>
      <c r="T127" s="29" t="str">
        <f t="shared" si="11"/>
        <v>LU000193.006</v>
      </c>
      <c r="U127" s="29" t="str">
        <f ca="1">IFERROR(__xludf.dummyfunction("VLOOKUP(T127, IMPORTRANGE(""https://docs.google.com/spreadsheets/d/1yDAaXNsi4Mr5FtRQL4tbmSdIzhx6_m4wkOD7IG-k_eo/edit#gid=0"", ""Maths!M:N""), 2, FALSE)"),"Create visuals illustrating multiples and their practical applications.")</f>
        <v>Create visuals illustrating multiples and their practical applications.</v>
      </c>
      <c r="V127" s="16">
        <f ca="1">IFERROR(__xludf.dummyfunction("ArrayFormula(VLOOKUP(G127, IMPORTRANGE(""https://docs.google.com/spreadsheets/d/1p7R4vtkWt5VOBim4ltsDG9KTzSjrtKXsMtQGXPHyND0/edit#gid=795171502"", ""'Filter 30_05_2024'!A1:M2000""), {2, 3, 4, 5,6,7,8,9,10,11,12,13}, 0))"),5)</f>
        <v>5</v>
      </c>
      <c r="W127" s="16">
        <f ca="1">IFERROR(__xludf.dummyfunction("""COMPUTED_VALUE"""),6)</f>
        <v>6</v>
      </c>
      <c r="X127" s="16">
        <f ca="1">IFERROR(__xludf.dummyfunction("""COMPUTED_VALUE"""),2)</f>
        <v>2</v>
      </c>
      <c r="Y127" s="16">
        <f ca="1">IFERROR(__xludf.dummyfunction("""COMPUTED_VALUE"""),13)</f>
        <v>13</v>
      </c>
      <c r="Z127" s="16">
        <f ca="1">IFERROR(__xludf.dummyfunction("""COMPUTED_VALUE"""),5)</f>
        <v>5</v>
      </c>
      <c r="AA127" s="30">
        <f ca="1">IFERROR(__xludf.dummyfunction("""COMPUTED_VALUE"""),6)</f>
        <v>6</v>
      </c>
      <c r="AB127" s="30">
        <f ca="1">IFERROR(__xludf.dummyfunction("""COMPUTED_VALUE"""),1)</f>
        <v>1</v>
      </c>
      <c r="AC127" s="30">
        <f ca="1">IFERROR(__xludf.dummyfunction("""COMPUTED_VALUE"""),12)</f>
        <v>12</v>
      </c>
      <c r="AD127" s="16"/>
      <c r="AE127" s="30"/>
      <c r="AF127" s="30"/>
      <c r="AG127" s="30"/>
    </row>
    <row r="128" spans="1:33" ht="39.6">
      <c r="A128" s="25"/>
      <c r="B128" s="26" t="s">
        <v>29</v>
      </c>
      <c r="C128" s="26" t="s">
        <v>310</v>
      </c>
      <c r="D128" s="26">
        <v>6</v>
      </c>
      <c r="E128" s="27" t="s">
        <v>490</v>
      </c>
      <c r="F128" s="28"/>
      <c r="G128" s="26" t="s">
        <v>503</v>
      </c>
      <c r="H128" s="28" t="str">
        <f ca="1">IFERROR(__xludf.dummyfunction("IFERROR(
  VLOOKUP(G128, IMPORTRANGE(""https://docs.google.com/spreadsheets/d/14deopnvwcrKtEGCKuYXdUHJbeLDZlkiSSWWT0g7x2pM/edit#gid=849066331"", ""LU List Maths (Filter)!A:B""), 2, FALSE),
  IFERROR(
    VLOOKUP(G128, IMPORTRANGE(""https://docs.google.com"&amp;"/spreadsheets/d/14deopnvwcrKtEGCKuYXdUHJbeLDZlkiSSWWT0g7x2pM/edit#gid=849066331"", ""LU List Science (Filter)!A:B""), 2, FALSE),
    ""Not Found""
  )
)
"),"Perfect number")</f>
        <v>Perfect number</v>
      </c>
      <c r="I128" s="28"/>
      <c r="J128" s="29" t="str">
        <f t="shared" si="6"/>
        <v>LU000194.001</v>
      </c>
      <c r="K128" s="29" t="str">
        <f ca="1">IFERROR(__xludf.dummyfunction("VLOOKUP(J128, IMPORTRANGE(""https://docs.google.com/spreadsheets/d/1yDAaXNsi4Mr5FtRQL4tbmSdIzhx6_m4wkOD7IG-k_eo/edit#gid=0"", ""Maths!M:N""), 2, FALSE)"),"Define perfect number.")</f>
        <v>Define perfect number.</v>
      </c>
      <c r="L128" s="29" t="str">
        <f t="shared" si="7"/>
        <v>LU000194.002</v>
      </c>
      <c r="M128" s="29" t="str">
        <f ca="1">IFERROR(__xludf.dummyfunction("VLOOKUP(L128, IMPORTRANGE(""https://docs.google.com/spreadsheets/d/1yDAaXNsi4Mr5FtRQL4tbmSdIzhx6_m4wkOD7IG-k_eo/edit#gid=0"", ""Maths!M:N""), 2, FALSE)"),"Describe the characteristics that distinguish a perfect number from other types of numbers")</f>
        <v>Describe the characteristics that distinguish a perfect number from other types of numbers</v>
      </c>
      <c r="N128" s="29" t="str">
        <f t="shared" si="8"/>
        <v>LU000194.003</v>
      </c>
      <c r="O128" s="29" t="str">
        <f ca="1">IFERROR(__xludf.dummyfunction("VLOOKUP(N128, IMPORTRANGE(""https://docs.google.com/spreadsheets/d/1yDAaXNsi4Mr5FtRQL4tbmSdIzhx6_m4wkOD7IG-k_eo/edit#gid=0"", ""Maths!M:N""), 2, FALSE)"),"Apply the criteria for identifying perfect numbers to determine whether a given number qualifies as a perfect number")</f>
        <v>Apply the criteria for identifying perfect numbers to determine whether a given number qualifies as a perfect number</v>
      </c>
      <c r="P128" s="29" t="str">
        <f t="shared" si="9"/>
        <v>LU000194.004</v>
      </c>
      <c r="Q128" s="29" t="str">
        <f ca="1">IFERROR(__xludf.dummyfunction("VLOOKUP(P128, IMPORTRANGE(""https://docs.google.com/spreadsheets/d/1yDAaXNsi4Mr5FtRQL4tbmSdIzhx6_m4wkOD7IG-k_eo/edit#gid=0"", ""Maths!M:N""), 2, FALSE)"),"Analyse the properties of perfect numbers and identify patterns in their factors and divisors")</f>
        <v>Analyse the properties of perfect numbers and identify patterns in their factors and divisors</v>
      </c>
      <c r="R128" s="29" t="str">
        <f t="shared" si="10"/>
        <v>LU000194.005</v>
      </c>
      <c r="S128" s="29" t="str">
        <f ca="1">IFERROR(__xludf.dummyfunction("VLOOKUP(R128, IMPORTRANGE(""https://docs.google.com/spreadsheets/d/1yDAaXNsi4Mr5FtRQL4tbmSdIzhx6_m4wkOD7IG-k_eo/edit#gid=0"", ""Maths!M:N""), 2, FALSE)"),"#N/A")</f>
        <v>#N/A</v>
      </c>
      <c r="T128" s="29" t="str">
        <f t="shared" si="11"/>
        <v>LU000194.006</v>
      </c>
      <c r="U128" s="29" t="str">
        <f ca="1">IFERROR(__xludf.dummyfunction("VLOOKUP(T128, IMPORTRANGE(""https://docs.google.com/spreadsheets/d/1yDAaXNsi4Mr5FtRQL4tbmSdIzhx6_m4wkOD7IG-k_eo/edit#gid=0"", ""Maths!M:N""), 2, FALSE)"),"Create problems where students need to find perfect numbers within a specific range and verify their property.")</f>
        <v>Create problems where students need to find perfect numbers within a specific range and verify their property.</v>
      </c>
      <c r="V128" s="16">
        <f ca="1">IFERROR(__xludf.dummyfunction("ArrayFormula(VLOOKUP(G128, IMPORTRANGE(""https://docs.google.com/spreadsheets/d/1p7R4vtkWt5VOBim4ltsDG9KTzSjrtKXsMtQGXPHyND0/edit#gid=795171502"", ""'Filter 30_05_2024'!A1:M2000""), {2, 3, 4, 5,6,7,8,9,10,11,12,13}, 0))"),6)</f>
        <v>6</v>
      </c>
      <c r="W128" s="16">
        <f ca="1">IFERROR(__xludf.dummyfunction("""COMPUTED_VALUE"""),3)</f>
        <v>3</v>
      </c>
      <c r="X128" s="16">
        <f ca="1">IFERROR(__xludf.dummyfunction("""COMPUTED_VALUE"""),2)</f>
        <v>2</v>
      </c>
      <c r="Y128" s="16">
        <f ca="1">IFERROR(__xludf.dummyfunction("""COMPUTED_VALUE"""),11)</f>
        <v>11</v>
      </c>
      <c r="Z128" s="16">
        <f ca="1">IFERROR(__xludf.dummyfunction("""COMPUTED_VALUE"""),6)</f>
        <v>6</v>
      </c>
      <c r="AA128" s="30">
        <f ca="1">IFERROR(__xludf.dummyfunction("""COMPUTED_VALUE"""),4)</f>
        <v>4</v>
      </c>
      <c r="AB128" s="30">
        <f ca="1">IFERROR(__xludf.dummyfunction("""COMPUTED_VALUE"""),1)</f>
        <v>1</v>
      </c>
      <c r="AC128" s="30">
        <f ca="1">IFERROR(__xludf.dummyfunction("""COMPUTED_VALUE"""),11)</f>
        <v>11</v>
      </c>
      <c r="AD128" s="16"/>
      <c r="AE128" s="30"/>
      <c r="AF128" s="30"/>
      <c r="AG128" s="30"/>
    </row>
    <row r="129" spans="1:33" ht="39.6">
      <c r="A129" s="34"/>
      <c r="B129" s="35" t="s">
        <v>29</v>
      </c>
      <c r="C129" s="35" t="s">
        <v>310</v>
      </c>
      <c r="D129" s="35">
        <v>6</v>
      </c>
      <c r="E129" s="36" t="s">
        <v>490</v>
      </c>
      <c r="F129" s="37"/>
      <c r="G129" s="36" t="s">
        <v>504</v>
      </c>
      <c r="H129" s="37" t="str">
        <f ca="1">IFERROR(__xludf.dummyfunction("IFERROR(
  VLOOKUP(G129, IMPORTRANGE(""https://docs.google.com/spreadsheets/d/14deopnvwcrKtEGCKuYXdUHJbeLDZlkiSSWWT0g7x2pM/edit#gid=849066331"", ""LU List Maths (Filter)!A:B""), 2, FALSE),
  IFERROR(
    VLOOKUP(G129, IMPORTRANGE(""https://docs.google.com"&amp;"/spreadsheets/d/14deopnvwcrKtEGCKuYXdUHJbeLDZlkiSSWWT0g7x2pM/edit#gid=849066331"", ""LU List Science (Filter)!A:B""), 2, FALSE),
    ""Not Found""
  )
)
"),"Methods of prime factorisation")</f>
        <v>Methods of prime factorisation</v>
      </c>
      <c r="I129" s="37"/>
      <c r="J129" s="29" t="str">
        <f t="shared" si="6"/>
        <v>LU000210.001</v>
      </c>
      <c r="K129" s="29" t="str">
        <f ca="1">IFERROR(__xludf.dummyfunction("VLOOKUP(J129, IMPORTRANGE(""https://docs.google.com/spreadsheets/d/1yDAaXNsi4Mr5FtRQL4tbmSdIzhx6_m4wkOD7IG-k_eo/edit#gid=0"", ""Maths!M:N""), 2, FALSE)"),"List the steps of prime factorisation.")</f>
        <v>List the steps of prime factorisation.</v>
      </c>
      <c r="L129" s="29" t="str">
        <f t="shared" si="7"/>
        <v>LU000210.002</v>
      </c>
      <c r="M129" s="29" t="str">
        <f ca="1">IFERROR(__xludf.dummyfunction("VLOOKUP(L129, IMPORTRANGE(""https://docs.google.com/spreadsheets/d/1yDAaXNsi4Mr5FtRQL4tbmSdIzhx6_m4wkOD7IG-k_eo/edit#gid=0"", ""Maths!M:N""), 2, FALSE)"),"Describe the various methods (like factor tree method, division method, repeated division) of prime factorisation.")</f>
        <v>Describe the various methods (like factor tree method, division method, repeated division) of prime factorisation.</v>
      </c>
      <c r="N129" s="29" t="str">
        <f t="shared" si="8"/>
        <v>LU000210.003</v>
      </c>
      <c r="O129" s="29" t="str">
        <f ca="1">IFERROR(__xludf.dummyfunction("VLOOKUP(N129, IMPORTRANGE(""https://docs.google.com/spreadsheets/d/1yDAaXNsi4Mr5FtRQL4tbmSdIzhx6_m4wkOD7IG-k_eo/edit#gid=0"", ""Maths!M:N""), 2, FALSE)"),"Apply the method of prime factorisation to factorize given numbers into their prime factors.")</f>
        <v>Apply the method of prime factorisation to factorize given numbers into their prime factors.</v>
      </c>
      <c r="P129" s="29" t="str">
        <f t="shared" si="9"/>
        <v>LU000210.004</v>
      </c>
      <c r="Q129" s="29" t="str">
        <f ca="1">IFERROR(__xludf.dummyfunction("VLOOKUP(P129, IMPORTRANGE(""https://docs.google.com/spreadsheets/d/1yDAaXNsi4Mr5FtRQL4tbmSdIzhx6_m4wkOD7IG-k_eo/edit#gid=0"", ""Maths!M:N""), 2, FALSE)"),"Analyse the efficiency and steps involved in each prime factorisation method, comparing their advantages and limitations.")</f>
        <v>Analyse the efficiency and steps involved in each prime factorisation method, comparing their advantages and limitations.</v>
      </c>
      <c r="R129" s="29" t="str">
        <f t="shared" si="10"/>
        <v>LU000210.005</v>
      </c>
      <c r="S129" s="29" t="str">
        <f ca="1">IFERROR(__xludf.dummyfunction("VLOOKUP(R129, IMPORTRANGE(""https://docs.google.com/spreadsheets/d/1yDAaXNsi4Mr5FtRQL4tbmSdIzhx6_m4wkOD7IG-k_eo/edit#gid=0"", ""Maths!M:N""), 2, FALSE)"),"Evaluate the effectiveness of prime factorisation methods in terms of accuracy, speed, and ease of use.")</f>
        <v>Evaluate the effectiveness of prime factorisation methods in terms of accuracy, speed, and ease of use.</v>
      </c>
      <c r="T129" s="29" t="str">
        <f t="shared" si="11"/>
        <v>LU000210.006</v>
      </c>
      <c r="U129" s="29" t="str">
        <f ca="1">IFERROR(__xludf.dummyfunction("VLOOKUP(T129, IMPORTRANGE(""https://docs.google.com/spreadsheets/d/1yDAaXNsi4Mr5FtRQL4tbmSdIzhx6_m4wkOD7IG-k_eo/edit#gid=0"", ""Maths!M:N""), 2, FALSE)"),"Devise real-world problems or puzzles that require prime factorisation.")</f>
        <v>Devise real-world problems or puzzles that require prime factorisation.</v>
      </c>
      <c r="V129" s="16">
        <f ca="1">IFERROR(__xludf.dummyfunction("ArrayFormula(VLOOKUP(G129, IMPORTRANGE(""https://docs.google.com/spreadsheets/d/1p7R4vtkWt5VOBim4ltsDG9KTzSjrtKXsMtQGXPHyND0/edit#gid=795171502"", ""'Filter 30_05_2024'!A1:M2000""), {2, 3, 4, 5,6,7,8,9,10,11,12,13}, 0))"),14)</f>
        <v>14</v>
      </c>
      <c r="W129" s="16">
        <f ca="1">IFERROR(__xludf.dummyfunction("""COMPUTED_VALUE"""),9)</f>
        <v>9</v>
      </c>
      <c r="X129" s="16">
        <f ca="1">IFERROR(__xludf.dummyfunction("""COMPUTED_VALUE"""),2)</f>
        <v>2</v>
      </c>
      <c r="Y129" s="16">
        <f ca="1">IFERROR(__xludf.dummyfunction("""COMPUTED_VALUE"""),25)</f>
        <v>25</v>
      </c>
      <c r="Z129" s="16">
        <f ca="1">IFERROR(__xludf.dummyfunction("""COMPUTED_VALUE"""),8)</f>
        <v>8</v>
      </c>
      <c r="AA129" s="30">
        <f ca="1">IFERROR(__xludf.dummyfunction("""COMPUTED_VALUE"""),6)</f>
        <v>6</v>
      </c>
      <c r="AB129" s="30">
        <f ca="1">IFERROR(__xludf.dummyfunction("""COMPUTED_VALUE"""),1)</f>
        <v>1</v>
      </c>
      <c r="AC129" s="30">
        <f ca="1">IFERROR(__xludf.dummyfunction("""COMPUTED_VALUE"""),15)</f>
        <v>15</v>
      </c>
      <c r="AD129" s="16"/>
      <c r="AE129" s="30"/>
      <c r="AF129" s="30"/>
      <c r="AG129" s="30"/>
    </row>
    <row r="130" spans="1:33" ht="39.6">
      <c r="A130" s="25"/>
      <c r="B130" s="26" t="s">
        <v>29</v>
      </c>
      <c r="C130" s="26" t="s">
        <v>310</v>
      </c>
      <c r="D130" s="26">
        <v>6</v>
      </c>
      <c r="E130" s="27" t="s">
        <v>490</v>
      </c>
      <c r="F130" s="28" t="s">
        <v>505</v>
      </c>
      <c r="G130" s="26" t="s">
        <v>506</v>
      </c>
      <c r="H130" s="28" t="str">
        <f ca="1">IFERROR(__xludf.dummyfunction("IFERROR(
  VLOOKUP(G130, IMPORTRANGE(""https://docs.google.com/spreadsheets/d/14deopnvwcrKtEGCKuYXdUHJbeLDZlkiSSWWT0g7x2pM/edit#gid=849066331"", ""LU List Maths (Filter)!A:B""), 2, FALSE),
  IFERROR(
    VLOOKUP(G130, IMPORTRANGE(""https://docs.google.com"&amp;"/spreadsheets/d/14deopnvwcrKtEGCKuYXdUHJbeLDZlkiSSWWT0g7x2pM/edit#gid=849066331"", ""LU List Science (Filter)!A:B""), 2, FALSE),
    ""Not Found""
  )
)
"),"Test for divisibility by 2")</f>
        <v>Test for divisibility by 2</v>
      </c>
      <c r="I130" s="28"/>
      <c r="J130" s="29" t="str">
        <f t="shared" ref="J130:J193" si="12">G130 &amp; ".001"</f>
        <v>LU000199.001</v>
      </c>
      <c r="K130" s="29" t="str">
        <f ca="1">IFERROR(__xludf.dummyfunction("VLOOKUP(J130, IMPORTRANGE(""https://docs.google.com/spreadsheets/d/1yDAaXNsi4Mr5FtRQL4tbmSdIzhx6_m4wkOD7IG-k_eo/edit#gid=0"", ""Maths!M:N""), 2, FALSE)"),"List the rule that a number is divisible by 2 if its last digit is even (0, 2, 4, 6, or 8)")</f>
        <v>List the rule that a number is divisible by 2 if its last digit is even (0, 2, 4, 6, or 8)</v>
      </c>
      <c r="L130" s="29" t="str">
        <f t="shared" ref="L130:L193" si="13">G130 &amp; ".002"</f>
        <v>LU000199.002</v>
      </c>
      <c r="M130" s="29" t="str">
        <f ca="1">IFERROR(__xludf.dummyfunction("VLOOKUP(L130, IMPORTRANGE(""https://docs.google.com/spreadsheets/d/1yDAaXNsi4Mr5FtRQL4tbmSdIzhx6_m4wkOD7IG-k_eo/edit#gid=0"", ""Maths!M:N""), 2, FALSE)"),"Find out the divisibility rule for 2.")</f>
        <v>Find out the divisibility rule for 2.</v>
      </c>
      <c r="N130" s="29" t="str">
        <f t="shared" ref="N130:N193" si="14">G130 &amp; ".003"</f>
        <v>LU000199.003</v>
      </c>
      <c r="O130" s="29" t="str">
        <f ca="1">IFERROR(__xludf.dummyfunction("VLOOKUP(N130, IMPORTRANGE(""https://docs.google.com/spreadsheets/d/1yDAaXNsi4Mr5FtRQL4tbmSdIzhx6_m4wkOD7IG-k_eo/edit#gid=0"", ""Maths!M:N""), 2, FALSE)"),"Apply the rule for divisibility by 2 to determine if a number is divisible by 2 or not.")</f>
        <v>Apply the rule for divisibility by 2 to determine if a number is divisible by 2 or not.</v>
      </c>
      <c r="P130" s="29" t="str">
        <f t="shared" ref="P130:P193" si="15">G130 &amp; ".004"</f>
        <v>LU000199.004</v>
      </c>
      <c r="Q130" s="29" t="str">
        <f ca="1">IFERROR(__xludf.dummyfunction("VLOOKUP(P130, IMPORTRANGE(""https://docs.google.com/spreadsheets/d/1yDAaXNsi4Mr5FtRQL4tbmSdIzhx6_m4wkOD7IG-k_eo/edit#gid=0"", ""Maths!M:N""), 2, FALSE)"),"Analyse the outcome of dividing a number by 2 and its implications for even and odd numbers")</f>
        <v>Analyse the outcome of dividing a number by 2 and its implications for even and odd numbers</v>
      </c>
      <c r="R130" s="29" t="str">
        <f t="shared" ref="R130:R193" si="16">G130 &amp; ".005"</f>
        <v>LU000199.005</v>
      </c>
      <c r="S130" s="29" t="str">
        <f ca="1">IFERROR(__xludf.dummyfunction("VLOOKUP(R130, IMPORTRANGE(""https://docs.google.com/spreadsheets/d/1yDAaXNsi4Mr5FtRQL4tbmSdIzhx6_m4wkOD7IG-k_eo/edit#gid=0"", ""Maths!M:N""), 2, FALSE)"),"Evaluate the efficiency of using the divisibility rule for 2 in quickly identifying even and odd numbers")</f>
        <v>Evaluate the efficiency of using the divisibility rule for 2 in quickly identifying even and odd numbers</v>
      </c>
      <c r="T130" s="29" t="str">
        <f t="shared" ref="T130:T193" si="17">G130 &amp; ".006"</f>
        <v>LU000199.006</v>
      </c>
      <c r="U130" s="29" t="str">
        <f ca="1">IFERROR(__xludf.dummyfunction("VLOOKUP(T130, IMPORTRANGE(""https://docs.google.com/spreadsheets/d/1yDAaXNsi4Mr5FtRQL4tbmSdIzhx6_m4wkOD7IG-k_eo/edit#gid=0"", ""Maths!M:N""), 2, FALSE)"),"Create a set of number sequences to apply the divisibility rule by 2.")</f>
        <v>Create a set of number sequences to apply the divisibility rule by 2.</v>
      </c>
      <c r="V130" s="16">
        <f ca="1">IFERROR(__xludf.dummyfunction("ArrayFormula(VLOOKUP(G130, IMPORTRANGE(""https://docs.google.com/spreadsheets/d/1p7R4vtkWt5VOBim4ltsDG9KTzSjrtKXsMtQGXPHyND0/edit#gid=795171502"", ""'Filter 30_05_2024'!A1:M2000""), {2, 3, 4, 5,6,7,8,9,10,11,12,13}, 0))"),4)</f>
        <v>4</v>
      </c>
      <c r="W130" s="16">
        <f ca="1">IFERROR(__xludf.dummyfunction("""COMPUTED_VALUE"""),6)</f>
        <v>6</v>
      </c>
      <c r="X130" s="16">
        <f ca="1">IFERROR(__xludf.dummyfunction("""COMPUTED_VALUE"""),2)</f>
        <v>2</v>
      </c>
      <c r="Y130" s="16">
        <f ca="1">IFERROR(__xludf.dummyfunction("""COMPUTED_VALUE"""),12)</f>
        <v>12</v>
      </c>
      <c r="Z130" s="16">
        <f ca="1">IFERROR(__xludf.dummyfunction("""COMPUTED_VALUE"""),4)</f>
        <v>4</v>
      </c>
      <c r="AA130" s="30">
        <f ca="1">IFERROR(__xludf.dummyfunction("""COMPUTED_VALUE"""),3)</f>
        <v>3</v>
      </c>
      <c r="AB130" s="30">
        <f ca="1">IFERROR(__xludf.dummyfunction("""COMPUTED_VALUE"""),1)</f>
        <v>1</v>
      </c>
      <c r="AC130" s="30">
        <f ca="1">IFERROR(__xludf.dummyfunction("""COMPUTED_VALUE"""),8)</f>
        <v>8</v>
      </c>
      <c r="AD130" s="16"/>
      <c r="AE130" s="30"/>
      <c r="AF130" s="30"/>
      <c r="AG130" s="30"/>
    </row>
    <row r="131" spans="1:33" ht="39.6">
      <c r="A131" s="25"/>
      <c r="B131" s="26" t="s">
        <v>29</v>
      </c>
      <c r="C131" s="26" t="s">
        <v>310</v>
      </c>
      <c r="D131" s="26">
        <v>6</v>
      </c>
      <c r="E131" s="27" t="s">
        <v>490</v>
      </c>
      <c r="F131" s="28"/>
      <c r="G131" s="26" t="s">
        <v>507</v>
      </c>
      <c r="H131" s="28" t="str">
        <f ca="1">IFERROR(__xludf.dummyfunction("IFERROR(
  VLOOKUP(G131, IMPORTRANGE(""https://docs.google.com/spreadsheets/d/14deopnvwcrKtEGCKuYXdUHJbeLDZlkiSSWWT0g7x2pM/edit#gid=849066331"", ""LU List Maths (Filter)!A:B""), 2, FALSE),
  IFERROR(
    VLOOKUP(G131, IMPORTRANGE(""https://docs.google.com"&amp;"/spreadsheets/d/14deopnvwcrKtEGCKuYXdUHJbeLDZlkiSSWWT0g7x2pM/edit#gid=849066331"", ""LU List Science (Filter)!A:B""), 2, FALSE),
    ""Not Found""
  )
)
"),"Test for divisibility by 5")</f>
        <v>Test for divisibility by 5</v>
      </c>
      <c r="I131" s="28"/>
      <c r="J131" s="29" t="str">
        <f t="shared" si="12"/>
        <v>LU000202.001</v>
      </c>
      <c r="K131" s="29" t="str">
        <f ca="1">IFERROR(__xludf.dummyfunction("VLOOKUP(J131, IMPORTRANGE(""https://docs.google.com/spreadsheets/d/1yDAaXNsi4Mr5FtRQL4tbmSdIzhx6_m4wkOD7IG-k_eo/edit#gid=0"", ""Maths!M:N""), 2, FALSE)"),"List the rule that a number is divisible by 5 if it has either 5 or 0 in its ones place.")</f>
        <v>List the rule that a number is divisible by 5 if it has either 5 or 0 in its ones place.</v>
      </c>
      <c r="L131" s="29" t="str">
        <f t="shared" si="13"/>
        <v>LU000202.002</v>
      </c>
      <c r="M131" s="29" t="str">
        <f ca="1">IFERROR(__xludf.dummyfunction("VLOOKUP(L131, IMPORTRANGE(""https://docs.google.com/spreadsheets/d/1yDAaXNsi4Mr5FtRQL4tbmSdIzhx6_m4wkOD7IG-k_eo/edit#gid=0"", ""Maths!M:N""), 2, FALSE)"),"Find out the divisibility rule for 5.")</f>
        <v>Find out the divisibility rule for 5.</v>
      </c>
      <c r="N131" s="29" t="str">
        <f t="shared" si="14"/>
        <v>LU000202.003</v>
      </c>
      <c r="O131" s="29" t="str">
        <f ca="1">IFERROR(__xludf.dummyfunction("VLOOKUP(N131, IMPORTRANGE(""https://docs.google.com/spreadsheets/d/1yDAaXNsi4Mr5FtRQL4tbmSdIzhx6_m4wkOD7IG-k_eo/edit#gid=0"", ""Maths!M:N""), 2, FALSE)"),"Apply the rule for divisibility by 5 to determine if a number is divisible by 5 or not.")</f>
        <v>Apply the rule for divisibility by 5 to determine if a number is divisible by 5 or not.</v>
      </c>
      <c r="P131" s="29" t="str">
        <f t="shared" si="15"/>
        <v>LU000202.004</v>
      </c>
      <c r="Q131" s="29" t="str">
        <f ca="1">IFERROR(__xludf.dummyfunction("VLOOKUP(P131, IMPORTRANGE(""https://docs.google.com/spreadsheets/d/1yDAaXNsi4Mr5FtRQL4tbmSdIzhx6_m4wkOD7IG-k_eo/edit#gid=0"", ""Maths!M:N""), 2, FALSE)"),"Analyse the last two digits of numbers to determine whether they meet the conditions of the divisibility rule for 5.")</f>
        <v>Analyse the last two digits of numbers to determine whether they meet the conditions of the divisibility rule for 5.</v>
      </c>
      <c r="R131" s="29" t="str">
        <f t="shared" si="16"/>
        <v>LU000202.005</v>
      </c>
      <c r="S131" s="29" t="str">
        <f ca="1">IFERROR(__xludf.dummyfunction("VLOOKUP(R131, IMPORTRANGE(""https://docs.google.com/spreadsheets/d/1yDAaXNsi4Mr5FtRQL4tbmSdIzhx6_m4wkOD7IG-k_eo/edit#gid=0"", ""Maths!M:N""), 2, FALSE)"),"Evaluate the efficiency of using the divisibility rule for 5 in quickly identifying numbers divisible by 5")</f>
        <v>Evaluate the efficiency of using the divisibility rule for 5 in quickly identifying numbers divisible by 5</v>
      </c>
      <c r="T131" s="29" t="str">
        <f t="shared" si="17"/>
        <v>LU000202.006</v>
      </c>
      <c r="U131" s="29" t="str">
        <f ca="1">IFERROR(__xludf.dummyfunction("VLOOKUP(T131, IMPORTRANGE(""https://docs.google.com/spreadsheets/d/1yDAaXNsi4Mr5FtRQL4tbmSdIzhx6_m4wkOD7IG-k_eo/edit#gid=0"", ""Maths!M:N""), 2, FALSE)"),"Create a set of number sequences to apply the divisibility rule by 5.")</f>
        <v>Create a set of number sequences to apply the divisibility rule by 5.</v>
      </c>
      <c r="V131" s="16">
        <f ca="1">IFERROR(__xludf.dummyfunction("ArrayFormula(VLOOKUP(G131, IMPORTRANGE(""https://docs.google.com/spreadsheets/d/1p7R4vtkWt5VOBim4ltsDG9KTzSjrtKXsMtQGXPHyND0/edit#gid=795171502"", ""'Filter 30_05_2024'!A1:M2000""), {2, 3, 4, 5,6,7,8,9,10,11,12,13}, 0))"),4)</f>
        <v>4</v>
      </c>
      <c r="W131" s="16">
        <f ca="1">IFERROR(__xludf.dummyfunction("""COMPUTED_VALUE"""),6)</f>
        <v>6</v>
      </c>
      <c r="X131" s="16">
        <f ca="1">IFERROR(__xludf.dummyfunction("""COMPUTED_VALUE"""),2)</f>
        <v>2</v>
      </c>
      <c r="Y131" s="16">
        <f ca="1">IFERROR(__xludf.dummyfunction("""COMPUTED_VALUE"""),12)</f>
        <v>12</v>
      </c>
      <c r="Z131" s="16">
        <f ca="1">IFERROR(__xludf.dummyfunction("""COMPUTED_VALUE"""),4)</f>
        <v>4</v>
      </c>
      <c r="AA131" s="30">
        <f ca="1">IFERROR(__xludf.dummyfunction("""COMPUTED_VALUE"""),3)</f>
        <v>3</v>
      </c>
      <c r="AB131" s="30">
        <f ca="1">IFERROR(__xludf.dummyfunction("""COMPUTED_VALUE"""),1)</f>
        <v>1</v>
      </c>
      <c r="AC131" s="30">
        <f ca="1">IFERROR(__xludf.dummyfunction("""COMPUTED_VALUE"""),8)</f>
        <v>8</v>
      </c>
      <c r="AD131" s="16"/>
      <c r="AE131" s="30"/>
      <c r="AF131" s="30"/>
      <c r="AG131" s="30"/>
    </row>
    <row r="132" spans="1:33" ht="39.6">
      <c r="A132" s="25"/>
      <c r="B132" s="26" t="s">
        <v>29</v>
      </c>
      <c r="C132" s="26" t="s">
        <v>310</v>
      </c>
      <c r="D132" s="26">
        <v>6</v>
      </c>
      <c r="E132" s="27" t="s">
        <v>490</v>
      </c>
      <c r="F132" s="28"/>
      <c r="G132" s="26" t="s">
        <v>508</v>
      </c>
      <c r="H132" s="28" t="str">
        <f ca="1">IFERROR(__xludf.dummyfunction("IFERROR(
  VLOOKUP(G132, IMPORTRANGE(""https://docs.google.com/spreadsheets/d/14deopnvwcrKtEGCKuYXdUHJbeLDZlkiSSWWT0g7x2pM/edit#gid=849066331"", ""LU List Maths (Filter)!A:B""), 2, FALSE),
  IFERROR(
    VLOOKUP(G132, IMPORTRANGE(""https://docs.google.com"&amp;"/spreadsheets/d/14deopnvwcrKtEGCKuYXdUHJbeLDZlkiSSWWT0g7x2pM/edit#gid=849066331"", ""LU List Science (Filter)!A:B""), 2, FALSE),
    ""Not Found""
  )
)
"),"Test for divisibility by 10")</f>
        <v>Test for divisibility by 10</v>
      </c>
      <c r="I132" s="28"/>
      <c r="J132" s="29" t="str">
        <f t="shared" si="12"/>
        <v>LU000207.001</v>
      </c>
      <c r="K132" s="29" t="str">
        <f ca="1">IFERROR(__xludf.dummyfunction("VLOOKUP(J132, IMPORTRANGE(""https://docs.google.com/spreadsheets/d/1yDAaXNsi4Mr5FtRQL4tbmSdIzhx6_m4wkOD7IG-k_eo/edit#gid=0"", ""Maths!M:N""), 2, FALSE)"),"List the rule of divisibility by 10.")</f>
        <v>List the rule of divisibility by 10.</v>
      </c>
      <c r="L132" s="29" t="str">
        <f t="shared" si="13"/>
        <v>LU000207.002</v>
      </c>
      <c r="M132" s="29" t="str">
        <f ca="1">IFERROR(__xludf.dummyfunction("VLOOKUP(L132, IMPORTRANGE(""https://docs.google.com/spreadsheets/d/1yDAaXNsi4Mr5FtRQL4tbmSdIzhx6_m4wkOD7IG-k_eo/edit#gid=0"", ""Maths!M:N""), 2, FALSE)"),"Find out the divisibility rule for 10.")</f>
        <v>Find out the divisibility rule for 10.</v>
      </c>
      <c r="N132" s="29" t="str">
        <f t="shared" si="14"/>
        <v>LU000207.003</v>
      </c>
      <c r="O132" s="29" t="str">
        <f ca="1">IFERROR(__xludf.dummyfunction("VLOOKUP(N132, IMPORTRANGE(""https://docs.google.com/spreadsheets/d/1yDAaXNsi4Mr5FtRQL4tbmSdIzhx6_m4wkOD7IG-k_eo/edit#gid=0"", ""Maths!M:N""), 2, FALSE)"),"Apply the rule for divisibility by 10 to determine if a number is divisible by 10 or not.")</f>
        <v>Apply the rule for divisibility by 10 to determine if a number is divisible by 10 or not.</v>
      </c>
      <c r="P132" s="29" t="str">
        <f t="shared" si="15"/>
        <v>LU000207.004</v>
      </c>
      <c r="Q132" s="29" t="str">
        <f ca="1">IFERROR(__xludf.dummyfunction("VLOOKUP(P132, IMPORTRANGE(""https://docs.google.com/spreadsheets/d/1yDAaXNsi4Mr5FtRQL4tbmSdIzhx6_m4wkOD7IG-k_eo/edit#gid=0"", ""Maths!M:N""), 2, FALSE)"),"Analyse the last digit of numbers to determine whether they meet the conditions of the divisibility rule for 10")</f>
        <v>Analyse the last digit of numbers to determine whether they meet the conditions of the divisibility rule for 10</v>
      </c>
      <c r="R132" s="29" t="str">
        <f t="shared" si="16"/>
        <v>LU000207.005</v>
      </c>
      <c r="S132" s="29" t="str">
        <f ca="1">IFERROR(__xludf.dummyfunction("VLOOKUP(R132, IMPORTRANGE(""https://docs.google.com/spreadsheets/d/1yDAaXNsi4Mr5FtRQL4tbmSdIzhx6_m4wkOD7IG-k_eo/edit#gid=0"", ""Maths!M:N""), 2, FALSE)"),"Evaluate the efficiency of using the divisibility rule for 10 in quickly identifying numbers divisible by 10.")</f>
        <v>Evaluate the efficiency of using the divisibility rule for 10 in quickly identifying numbers divisible by 10.</v>
      </c>
      <c r="T132" s="29" t="str">
        <f t="shared" si="17"/>
        <v>LU000207.006</v>
      </c>
      <c r="U132" s="29" t="str">
        <f ca="1">IFERROR(__xludf.dummyfunction("VLOOKUP(T132, IMPORTRANGE(""https://docs.google.com/spreadsheets/d/1yDAaXNsi4Mr5FtRQL4tbmSdIzhx6_m4wkOD7IG-k_eo/edit#gid=0"", ""Maths!M:N""), 2, FALSE)"),"Create a set of number sequences to apply the divisibility rule by 10.")</f>
        <v>Create a set of number sequences to apply the divisibility rule by 10.</v>
      </c>
      <c r="V132" s="16">
        <f ca="1">IFERROR(__xludf.dummyfunction("ArrayFormula(VLOOKUP(G132, IMPORTRANGE(""https://docs.google.com/spreadsheets/d/1p7R4vtkWt5VOBim4ltsDG9KTzSjrtKXsMtQGXPHyND0/edit#gid=795171502"", ""'Filter 30_05_2024'!A1:M2000""), {2, 3, 4, 5,6,7,8,9,10,11,12,13}, 0))"),4)</f>
        <v>4</v>
      </c>
      <c r="W132" s="16">
        <f ca="1">IFERROR(__xludf.dummyfunction("""COMPUTED_VALUE"""),6)</f>
        <v>6</v>
      </c>
      <c r="X132" s="16">
        <f ca="1">IFERROR(__xludf.dummyfunction("""COMPUTED_VALUE"""),2)</f>
        <v>2</v>
      </c>
      <c r="Y132" s="16">
        <f ca="1">IFERROR(__xludf.dummyfunction("""COMPUTED_VALUE"""),12)</f>
        <v>12</v>
      </c>
      <c r="Z132" s="16">
        <f ca="1">IFERROR(__xludf.dummyfunction("""COMPUTED_VALUE"""),4)</f>
        <v>4</v>
      </c>
      <c r="AA132" s="30">
        <f ca="1">IFERROR(__xludf.dummyfunction("""COMPUTED_VALUE"""),3)</f>
        <v>3</v>
      </c>
      <c r="AB132" s="30">
        <f ca="1">IFERROR(__xludf.dummyfunction("""COMPUTED_VALUE"""),1)</f>
        <v>1</v>
      </c>
      <c r="AC132" s="30">
        <f ca="1">IFERROR(__xludf.dummyfunction("""COMPUTED_VALUE"""),8)</f>
        <v>8</v>
      </c>
      <c r="AD132" s="16">
        <f ca="1">IFERROR(__xludf.dummyfunction("""COMPUTED_VALUE"""),1)</f>
        <v>1</v>
      </c>
      <c r="AE132" s="30"/>
      <c r="AF132" s="30"/>
      <c r="AG132" s="30">
        <f ca="1">IFERROR(__xludf.dummyfunction("""COMPUTED_VALUE"""),1)</f>
        <v>1</v>
      </c>
    </row>
    <row r="133" spans="1:33" ht="39.6">
      <c r="A133" s="25"/>
      <c r="B133" s="26" t="s">
        <v>29</v>
      </c>
      <c r="C133" s="26" t="s">
        <v>310</v>
      </c>
      <c r="D133" s="26">
        <v>6</v>
      </c>
      <c r="E133" s="27" t="s">
        <v>490</v>
      </c>
      <c r="F133" s="28" t="s">
        <v>509</v>
      </c>
      <c r="G133" s="26" t="s">
        <v>510</v>
      </c>
      <c r="H133" s="28" t="str">
        <f ca="1">IFERROR(__xludf.dummyfunction("IFERROR(
  VLOOKUP(G133, IMPORTRANGE(""https://docs.google.com/spreadsheets/d/14deopnvwcrKtEGCKuYXdUHJbeLDZlkiSSWWT0g7x2pM/edit#gid=849066331"", ""LU List Maths (Filter)!A:B""), 2, FALSE),
  IFERROR(
    VLOOKUP(G133, IMPORTRANGE(""https://docs.google.com"&amp;"/spreadsheets/d/14deopnvwcrKtEGCKuYXdUHJbeLDZlkiSSWWT0g7x2pM/edit#gid=849066331"", ""LU List Science (Filter)!A:B""), 2, FALSE),
    ""Not Found""
  )
)
"),"Test for divisibility by 3")</f>
        <v>Test for divisibility by 3</v>
      </c>
      <c r="I133" s="28"/>
      <c r="J133" s="29" t="str">
        <f t="shared" si="12"/>
        <v>LU000200.001</v>
      </c>
      <c r="K133" s="29" t="str">
        <f ca="1">IFERROR(__xludf.dummyfunction("VLOOKUP(J133, IMPORTRANGE(""https://docs.google.com/spreadsheets/d/1yDAaXNsi4Mr5FtRQL4tbmSdIzhx6_m4wkOD7IG-k_eo/edit#gid=0"", ""Maths!M:N""), 2, FALSE)"),"List the rule that a number is divisible by 3 if sum of the digits of a number should be divisible by 3.")</f>
        <v>List the rule that a number is divisible by 3 if sum of the digits of a number should be divisible by 3.</v>
      </c>
      <c r="L133" s="29" t="str">
        <f t="shared" si="13"/>
        <v>LU000200.002</v>
      </c>
      <c r="M133" s="29" t="str">
        <f ca="1">IFERROR(__xludf.dummyfunction("VLOOKUP(L133, IMPORTRANGE(""https://docs.google.com/spreadsheets/d/1yDAaXNsi4Mr5FtRQL4tbmSdIzhx6_m4wkOD7IG-k_eo/edit#gid=0"", ""Maths!M:N""), 2, FALSE)"),"Find out the divisibility rule for 3.")</f>
        <v>Find out the divisibility rule for 3.</v>
      </c>
      <c r="N133" s="29" t="str">
        <f t="shared" si="14"/>
        <v>LU000200.003</v>
      </c>
      <c r="O133" s="29" t="str">
        <f ca="1">IFERROR(__xludf.dummyfunction("VLOOKUP(N133, IMPORTRANGE(""https://docs.google.com/spreadsheets/d/1yDAaXNsi4Mr5FtRQL4tbmSdIzhx6_m4wkOD7IG-k_eo/edit#gid=0"", ""Maths!M:N""), 2, FALSE)"),"Apply the rule for divisibility by 3 to determine if a number is divisible by 3 or not.")</f>
        <v>Apply the rule for divisibility by 3 to determine if a number is divisible by 3 or not.</v>
      </c>
      <c r="P133" s="29" t="str">
        <f t="shared" si="15"/>
        <v>LU000200.004</v>
      </c>
      <c r="Q133" s="29" t="str">
        <f ca="1">IFERROR(__xludf.dummyfunction("VLOOKUP(P133, IMPORTRANGE(""https://docs.google.com/spreadsheets/d/1yDAaXNsi4Mr5FtRQL4tbmSdIzhx6_m4wkOD7IG-k_eo/edit#gid=0"", ""Maths!M:N""), 2, FALSE)"),"Analyse the digit sum of numbers to determine whether they meet the conditions of the divisibility rule for 3")</f>
        <v>Analyse the digit sum of numbers to determine whether they meet the conditions of the divisibility rule for 3</v>
      </c>
      <c r="R133" s="29" t="str">
        <f t="shared" si="16"/>
        <v>LU000200.005</v>
      </c>
      <c r="S133" s="29" t="str">
        <f ca="1">IFERROR(__xludf.dummyfunction("VLOOKUP(R133, IMPORTRANGE(""https://docs.google.com/spreadsheets/d/1yDAaXNsi4Mr5FtRQL4tbmSdIzhx6_m4wkOD7IG-k_eo/edit#gid=0"", ""Maths!M:N""), 2, FALSE)"),"Evaluate the efficiency of using the divisibility rule for 3 in quickly identifying numbers divisible by 3")</f>
        <v>Evaluate the efficiency of using the divisibility rule for 3 in quickly identifying numbers divisible by 3</v>
      </c>
      <c r="T133" s="29" t="str">
        <f t="shared" si="17"/>
        <v>LU000200.006</v>
      </c>
      <c r="U133" s="29" t="str">
        <f ca="1">IFERROR(__xludf.dummyfunction("VLOOKUP(T133, IMPORTRANGE(""https://docs.google.com/spreadsheets/d/1yDAaXNsi4Mr5FtRQL4tbmSdIzhx6_m4wkOD7IG-k_eo/edit#gid=0"", ""Maths!M:N""), 2, FALSE)"),"Create a set of number sequences to apply the divisibility rule by 3.")</f>
        <v>Create a set of number sequences to apply the divisibility rule by 3.</v>
      </c>
      <c r="V133" s="16">
        <f ca="1">IFERROR(__xludf.dummyfunction("ArrayFormula(VLOOKUP(G133, IMPORTRANGE(""https://docs.google.com/spreadsheets/d/1p7R4vtkWt5VOBim4ltsDG9KTzSjrtKXsMtQGXPHyND0/edit#gid=795171502"", ""'Filter 30_05_2024'!A1:M2000""), {2, 3, 4, 5,6,7,8,9,10,11,12,13}, 0))"),4)</f>
        <v>4</v>
      </c>
      <c r="W133" s="16">
        <f ca="1">IFERROR(__xludf.dummyfunction("""COMPUTED_VALUE"""),6)</f>
        <v>6</v>
      </c>
      <c r="X133" s="16">
        <f ca="1">IFERROR(__xludf.dummyfunction("""COMPUTED_VALUE"""),2)</f>
        <v>2</v>
      </c>
      <c r="Y133" s="16">
        <f ca="1">IFERROR(__xludf.dummyfunction("""COMPUTED_VALUE"""),12)</f>
        <v>12</v>
      </c>
      <c r="Z133" s="16">
        <f ca="1">IFERROR(__xludf.dummyfunction("""COMPUTED_VALUE"""),4)</f>
        <v>4</v>
      </c>
      <c r="AA133" s="30">
        <f ca="1">IFERROR(__xludf.dummyfunction("""COMPUTED_VALUE"""),4)</f>
        <v>4</v>
      </c>
      <c r="AB133" s="30">
        <f ca="1">IFERROR(__xludf.dummyfunction("""COMPUTED_VALUE"""),1)</f>
        <v>1</v>
      </c>
      <c r="AC133" s="30">
        <f ca="1">IFERROR(__xludf.dummyfunction("""COMPUTED_VALUE"""),9)</f>
        <v>9</v>
      </c>
      <c r="AD133" s="16"/>
      <c r="AE133" s="30"/>
      <c r="AF133" s="30"/>
      <c r="AG133" s="30"/>
    </row>
    <row r="134" spans="1:33" ht="39.6">
      <c r="A134" s="25"/>
      <c r="B134" s="26" t="s">
        <v>29</v>
      </c>
      <c r="C134" s="26" t="s">
        <v>310</v>
      </c>
      <c r="D134" s="26">
        <v>6</v>
      </c>
      <c r="E134" s="27" t="s">
        <v>490</v>
      </c>
      <c r="F134" s="28"/>
      <c r="G134" s="26" t="s">
        <v>511</v>
      </c>
      <c r="H134" s="28" t="str">
        <f ca="1">IFERROR(__xludf.dummyfunction("IFERROR(
  VLOOKUP(G134, IMPORTRANGE(""https://docs.google.com/spreadsheets/d/14deopnvwcrKtEGCKuYXdUHJbeLDZlkiSSWWT0g7x2pM/edit#gid=849066331"", ""LU List Maths (Filter)!A:B""), 2, FALSE),
  IFERROR(
    VLOOKUP(G134, IMPORTRANGE(""https://docs.google.com"&amp;"/spreadsheets/d/14deopnvwcrKtEGCKuYXdUHJbeLDZlkiSSWWT0g7x2pM/edit#gid=849066331"", ""LU List Science (Filter)!A:B""), 2, FALSE),
    ""Not Found""
  )
)
"),"Test for divisibility by 6")</f>
        <v>Test for divisibility by 6</v>
      </c>
      <c r="I134" s="28"/>
      <c r="J134" s="29" t="str">
        <f t="shared" si="12"/>
        <v>LU000203.001</v>
      </c>
      <c r="K134" s="29" t="str">
        <f ca="1">IFERROR(__xludf.dummyfunction("VLOOKUP(J134, IMPORTRANGE(""https://docs.google.com/spreadsheets/d/1yDAaXNsi4Mr5FtRQL4tbmSdIzhx6_m4wkOD7IG-k_eo/edit#gid=0"", ""Maths!M:N""), 2, FALSE)"),"List the rule that a number is divisible by 6 if it is divisible by both 2 and 3.")</f>
        <v>List the rule that a number is divisible by 6 if it is divisible by both 2 and 3.</v>
      </c>
      <c r="L134" s="29" t="str">
        <f t="shared" si="13"/>
        <v>LU000203.002</v>
      </c>
      <c r="M134" s="29" t="str">
        <f ca="1">IFERROR(__xludf.dummyfunction("VLOOKUP(L134, IMPORTRANGE(""https://docs.google.com/spreadsheets/d/1yDAaXNsi4Mr5FtRQL4tbmSdIzhx6_m4wkOD7IG-k_eo/edit#gid=0"", ""Maths!M:N""), 2, FALSE)"),"Find out the divisibility rule for 6.")</f>
        <v>Find out the divisibility rule for 6.</v>
      </c>
      <c r="N134" s="29" t="str">
        <f t="shared" si="14"/>
        <v>LU000203.003</v>
      </c>
      <c r="O134" s="29" t="str">
        <f ca="1">IFERROR(__xludf.dummyfunction("VLOOKUP(N134, IMPORTRANGE(""https://docs.google.com/spreadsheets/d/1yDAaXNsi4Mr5FtRQL4tbmSdIzhx6_m4wkOD7IG-k_eo/edit#gid=0"", ""Maths!M:N""), 2, FALSE)"),"Apply the rule for divisibility by 6 to determine if a number is divisible by 6 or not.")</f>
        <v>Apply the rule for divisibility by 6 to determine if a number is divisible by 6 or not.</v>
      </c>
      <c r="P134" s="29" t="str">
        <f t="shared" si="15"/>
        <v>LU000203.004</v>
      </c>
      <c r="Q134" s="29" t="str">
        <f ca="1">IFERROR(__xludf.dummyfunction("VLOOKUP(P134, IMPORTRANGE(""https://docs.google.com/spreadsheets/d/1yDAaXNsi4Mr5FtRQL4tbmSdIzhx6_m4wkOD7IG-k_eo/edit#gid=0"", ""Maths!M:N""), 2, FALSE)"),"Analyse the factors of numbers to determine whether they meet the combined conditions of divisibility by 2 and 3.")</f>
        <v>Analyse the factors of numbers to determine whether they meet the combined conditions of divisibility by 2 and 3.</v>
      </c>
      <c r="R134" s="29" t="str">
        <f t="shared" si="16"/>
        <v>LU000203.005</v>
      </c>
      <c r="S134" s="29" t="str">
        <f ca="1">IFERROR(__xludf.dummyfunction("VLOOKUP(R134, IMPORTRANGE(""https://docs.google.com/spreadsheets/d/1yDAaXNsi4Mr5FtRQL4tbmSdIzhx6_m4wkOD7IG-k_eo/edit#gid=0"", ""Maths!M:N""), 2, FALSE)"),"Evaluate the efficiency of using the divisibility rule for 6 in quickly identifying numbers divisible by 6")</f>
        <v>Evaluate the efficiency of using the divisibility rule for 6 in quickly identifying numbers divisible by 6</v>
      </c>
      <c r="T134" s="29" t="str">
        <f t="shared" si="17"/>
        <v>LU000203.006</v>
      </c>
      <c r="U134" s="29" t="str">
        <f ca="1">IFERROR(__xludf.dummyfunction("VLOOKUP(T134, IMPORTRANGE(""https://docs.google.com/spreadsheets/d/1yDAaXNsi4Mr5FtRQL4tbmSdIzhx6_m4wkOD7IG-k_eo/edit#gid=0"", ""Maths!M:N""), 2, FALSE)"),"Create a set of number sequences to apply the divisibility rule by 6.")</f>
        <v>Create a set of number sequences to apply the divisibility rule by 6.</v>
      </c>
      <c r="V134" s="16">
        <f ca="1">IFERROR(__xludf.dummyfunction("ArrayFormula(VLOOKUP(G134, IMPORTRANGE(""https://docs.google.com/spreadsheets/d/1p7R4vtkWt5VOBim4ltsDG9KTzSjrtKXsMtQGXPHyND0/edit#gid=795171502"", ""'Filter 30_05_2024'!A1:M2000""), {2, 3, 4, 5,6,7,8,9,10,11,12,13}, 0))"),4)</f>
        <v>4</v>
      </c>
      <c r="W134" s="16">
        <f ca="1">IFERROR(__xludf.dummyfunction("""COMPUTED_VALUE"""),6)</f>
        <v>6</v>
      </c>
      <c r="X134" s="16">
        <f ca="1">IFERROR(__xludf.dummyfunction("""COMPUTED_VALUE"""),2)</f>
        <v>2</v>
      </c>
      <c r="Y134" s="16">
        <f ca="1">IFERROR(__xludf.dummyfunction("""COMPUTED_VALUE"""),12)</f>
        <v>12</v>
      </c>
      <c r="Z134" s="16">
        <f ca="1">IFERROR(__xludf.dummyfunction("""COMPUTED_VALUE"""),5)</f>
        <v>5</v>
      </c>
      <c r="AA134" s="30">
        <f ca="1">IFERROR(__xludf.dummyfunction("""COMPUTED_VALUE"""),3)</f>
        <v>3</v>
      </c>
      <c r="AB134" s="30">
        <f ca="1">IFERROR(__xludf.dummyfunction("""COMPUTED_VALUE"""),1)</f>
        <v>1</v>
      </c>
      <c r="AC134" s="30">
        <f ca="1">IFERROR(__xludf.dummyfunction("""COMPUTED_VALUE"""),9)</f>
        <v>9</v>
      </c>
      <c r="AD134" s="16"/>
      <c r="AE134" s="30"/>
      <c r="AF134" s="30"/>
      <c r="AG134" s="30"/>
    </row>
    <row r="135" spans="1:33" ht="39.6">
      <c r="A135" s="25"/>
      <c r="B135" s="26" t="s">
        <v>29</v>
      </c>
      <c r="C135" s="26" t="s">
        <v>310</v>
      </c>
      <c r="D135" s="26">
        <v>6</v>
      </c>
      <c r="E135" s="27" t="s">
        <v>490</v>
      </c>
      <c r="F135" s="28"/>
      <c r="G135" s="26" t="s">
        <v>512</v>
      </c>
      <c r="H135" s="28" t="str">
        <f ca="1">IFERROR(__xludf.dummyfunction("IFERROR(
  VLOOKUP(G135, IMPORTRANGE(""https://docs.google.com/spreadsheets/d/14deopnvwcrKtEGCKuYXdUHJbeLDZlkiSSWWT0g7x2pM/edit#gid=849066331"", ""LU List Maths (Filter)!A:B""), 2, FALSE),
  IFERROR(
    VLOOKUP(G135, IMPORTRANGE(""https://docs.google.com"&amp;"/spreadsheets/d/14deopnvwcrKtEGCKuYXdUHJbeLDZlkiSSWWT0g7x2pM/edit#gid=849066331"", ""LU List Science (Filter)!A:B""), 2, FALSE),
    ""Not Found""
  )
)
"),"Test for divisibility by 9")</f>
        <v>Test for divisibility by 9</v>
      </c>
      <c r="I135" s="28"/>
      <c r="J135" s="29" t="str">
        <f t="shared" si="12"/>
        <v>LU000206.001</v>
      </c>
      <c r="K135" s="29" t="str">
        <f ca="1">IFERROR(__xludf.dummyfunction("VLOOKUP(J135, IMPORTRANGE(""https://docs.google.com/spreadsheets/d/1yDAaXNsi4Mr5FtRQL4tbmSdIzhx6_m4wkOD7IG-k_eo/edit#gid=0"", ""Maths!M:N""), 2, FALSE)"),"List the rule of divisibility by 9.")</f>
        <v>List the rule of divisibility by 9.</v>
      </c>
      <c r="L135" s="29" t="str">
        <f t="shared" si="13"/>
        <v>LU000206.002</v>
      </c>
      <c r="M135" s="29" t="str">
        <f ca="1">IFERROR(__xludf.dummyfunction("VLOOKUP(L135, IMPORTRANGE(""https://docs.google.com/spreadsheets/d/1yDAaXNsi4Mr5FtRQL4tbmSdIzhx6_m4wkOD7IG-k_eo/edit#gid=0"", ""Maths!M:N""), 2, FALSE)"),"Find out the divisibility rule for 9.")</f>
        <v>Find out the divisibility rule for 9.</v>
      </c>
      <c r="N135" s="29" t="str">
        <f t="shared" si="14"/>
        <v>LU000206.003</v>
      </c>
      <c r="O135" s="29" t="str">
        <f ca="1">IFERROR(__xludf.dummyfunction("VLOOKUP(N135, IMPORTRANGE(""https://docs.google.com/spreadsheets/d/1yDAaXNsi4Mr5FtRQL4tbmSdIzhx6_m4wkOD7IG-k_eo/edit#gid=0"", ""Maths!M:N""), 2, FALSE)"),"Apply the rule for divisibility by 9 to determine if a number is divisible by 9 or not.")</f>
        <v>Apply the rule for divisibility by 9 to determine if a number is divisible by 9 or not.</v>
      </c>
      <c r="P135" s="29" t="str">
        <f t="shared" si="15"/>
        <v>LU000206.004</v>
      </c>
      <c r="Q135" s="29" t="str">
        <f ca="1">IFERROR(__xludf.dummyfunction("VLOOKUP(P135, IMPORTRANGE(""https://docs.google.com/spreadsheets/d/1yDAaXNsi4Mr5FtRQL4tbmSdIzhx6_m4wkOD7IG-k_eo/edit#gid=0"", ""Maths!M:N""), 2, FALSE)"),"Analyse the digit sum of numbers to determine whether they meet the conditions of the divisibility rule for 9")</f>
        <v>Analyse the digit sum of numbers to determine whether they meet the conditions of the divisibility rule for 9</v>
      </c>
      <c r="R135" s="29" t="str">
        <f t="shared" si="16"/>
        <v>LU000206.005</v>
      </c>
      <c r="S135" s="29" t="str">
        <f ca="1">IFERROR(__xludf.dummyfunction("VLOOKUP(R135, IMPORTRANGE(""https://docs.google.com/spreadsheets/d/1yDAaXNsi4Mr5FtRQL4tbmSdIzhx6_m4wkOD7IG-k_eo/edit#gid=0"", ""Maths!M:N""), 2, FALSE)"),"Evaluate the efficiency of using the divisibility rule for 9 in quickly identifying numbers divisible by 9.")</f>
        <v>Evaluate the efficiency of using the divisibility rule for 9 in quickly identifying numbers divisible by 9.</v>
      </c>
      <c r="T135" s="29" t="str">
        <f t="shared" si="17"/>
        <v>LU000206.006</v>
      </c>
      <c r="U135" s="29" t="str">
        <f ca="1">IFERROR(__xludf.dummyfunction("VLOOKUP(T135, IMPORTRANGE(""https://docs.google.com/spreadsheets/d/1yDAaXNsi4Mr5FtRQL4tbmSdIzhx6_m4wkOD7IG-k_eo/edit#gid=0"", ""Maths!M:N""), 2, FALSE)"),"Create a set of number sequences to apply the divisibility rule by 9.")</f>
        <v>Create a set of number sequences to apply the divisibility rule by 9.</v>
      </c>
      <c r="V135" s="16">
        <f ca="1">IFERROR(__xludf.dummyfunction("ArrayFormula(VLOOKUP(G135, IMPORTRANGE(""https://docs.google.com/spreadsheets/d/1p7R4vtkWt5VOBim4ltsDG9KTzSjrtKXsMtQGXPHyND0/edit#gid=795171502"", ""'Filter 30_05_2024'!A1:M2000""), {2, 3, 4, 5,6,7,8,9,10,11,12,13}, 0))"),5)</f>
        <v>5</v>
      </c>
      <c r="W135" s="16">
        <f ca="1">IFERROR(__xludf.dummyfunction("""COMPUTED_VALUE"""),6)</f>
        <v>6</v>
      </c>
      <c r="X135" s="16">
        <f ca="1">IFERROR(__xludf.dummyfunction("""COMPUTED_VALUE"""),2)</f>
        <v>2</v>
      </c>
      <c r="Y135" s="16">
        <f ca="1">IFERROR(__xludf.dummyfunction("""COMPUTED_VALUE"""),13)</f>
        <v>13</v>
      </c>
      <c r="Z135" s="16">
        <f ca="1">IFERROR(__xludf.dummyfunction("""COMPUTED_VALUE"""),4)</f>
        <v>4</v>
      </c>
      <c r="AA135" s="30">
        <f ca="1">IFERROR(__xludf.dummyfunction("""COMPUTED_VALUE"""),5)</f>
        <v>5</v>
      </c>
      <c r="AB135" s="30">
        <f ca="1">IFERROR(__xludf.dummyfunction("""COMPUTED_VALUE"""),1)</f>
        <v>1</v>
      </c>
      <c r="AC135" s="30">
        <f ca="1">IFERROR(__xludf.dummyfunction("""COMPUTED_VALUE"""),10)</f>
        <v>10</v>
      </c>
      <c r="AD135" s="16"/>
      <c r="AE135" s="30"/>
      <c r="AF135" s="30"/>
      <c r="AG135" s="30"/>
    </row>
    <row r="136" spans="1:33" ht="39.6">
      <c r="A136" s="25"/>
      <c r="B136" s="26" t="s">
        <v>29</v>
      </c>
      <c r="C136" s="26" t="s">
        <v>310</v>
      </c>
      <c r="D136" s="26">
        <v>6</v>
      </c>
      <c r="E136" s="27" t="s">
        <v>490</v>
      </c>
      <c r="F136" s="28" t="s">
        <v>513</v>
      </c>
      <c r="G136" s="26" t="s">
        <v>514</v>
      </c>
      <c r="H136" s="28" t="str">
        <f ca="1">IFERROR(__xludf.dummyfunction("IFERROR(
  VLOOKUP(G136, IMPORTRANGE(""https://docs.google.com/spreadsheets/d/14deopnvwcrKtEGCKuYXdUHJbeLDZlkiSSWWT0g7x2pM/edit#gid=849066331"", ""LU List Maths (Filter)!A:B""), 2, FALSE),
  IFERROR(
    VLOOKUP(G136, IMPORTRANGE(""https://docs.google.com"&amp;"/spreadsheets/d/14deopnvwcrKtEGCKuYXdUHJbeLDZlkiSSWWT0g7x2pM/edit#gid=849066331"", ""LU List Science (Filter)!A:B""), 2, FALSE),
    ""Not Found""
  )
)
"),"Test for divisibility by 4")</f>
        <v>Test for divisibility by 4</v>
      </c>
      <c r="I136" s="28"/>
      <c r="J136" s="29" t="str">
        <f t="shared" si="12"/>
        <v>LU000201.001</v>
      </c>
      <c r="K136" s="29" t="str">
        <f ca="1">IFERROR(__xludf.dummyfunction("VLOOKUP(J136, IMPORTRANGE(""https://docs.google.com/spreadsheets/d/1yDAaXNsi4Mr5FtRQL4tbmSdIzhx6_m4wkOD7IG-k_eo/edit#gid=0"", ""Maths!M:N""), 2, FALSE)"),"List the rule that a number is divisible by 4 if the last two digits form a number divisible by 4")</f>
        <v>List the rule that a number is divisible by 4 if the last two digits form a number divisible by 4</v>
      </c>
      <c r="L136" s="29" t="str">
        <f t="shared" si="13"/>
        <v>LU000201.002</v>
      </c>
      <c r="M136" s="29" t="str">
        <f ca="1">IFERROR(__xludf.dummyfunction("VLOOKUP(L136, IMPORTRANGE(""https://docs.google.com/spreadsheets/d/1yDAaXNsi4Mr5FtRQL4tbmSdIzhx6_m4wkOD7IG-k_eo/edit#gid=0"", ""Maths!M:N""), 2, FALSE)"),"Find out the divisibility rule for 4.")</f>
        <v>Find out the divisibility rule for 4.</v>
      </c>
      <c r="N136" s="29" t="str">
        <f t="shared" si="14"/>
        <v>LU000201.003</v>
      </c>
      <c r="O136" s="29" t="str">
        <f ca="1">IFERROR(__xludf.dummyfunction("VLOOKUP(N136, IMPORTRANGE(""https://docs.google.com/spreadsheets/d/1yDAaXNsi4Mr5FtRQL4tbmSdIzhx6_m4wkOD7IG-k_eo/edit#gid=0"", ""Maths!M:N""), 2, FALSE)"),"Apply the rule for divisibility by 4 to determine if a number is divisible by 4 or not.")</f>
        <v>Apply the rule for divisibility by 4 to determine if a number is divisible by 4 or not.</v>
      </c>
      <c r="P136" s="29" t="str">
        <f t="shared" si="15"/>
        <v>LU000201.004</v>
      </c>
      <c r="Q136" s="29" t="str">
        <f ca="1">IFERROR(__xludf.dummyfunction("VLOOKUP(P136, IMPORTRANGE(""https://docs.google.com/spreadsheets/d/1yDAaXNsi4Mr5FtRQL4tbmSdIzhx6_m4wkOD7IG-k_eo/edit#gid=0"", ""Maths!M:N""), 2, FALSE)"),"Analyse the last two digits of numbers to determine whether they meet the conditions of the divisibility rule for 4")</f>
        <v>Analyse the last two digits of numbers to determine whether they meet the conditions of the divisibility rule for 4</v>
      </c>
      <c r="R136" s="29" t="str">
        <f t="shared" si="16"/>
        <v>LU000201.005</v>
      </c>
      <c r="S136" s="29" t="str">
        <f ca="1">IFERROR(__xludf.dummyfunction("VLOOKUP(R136, IMPORTRANGE(""https://docs.google.com/spreadsheets/d/1yDAaXNsi4Mr5FtRQL4tbmSdIzhx6_m4wkOD7IG-k_eo/edit#gid=0"", ""Maths!M:N""), 2, FALSE)"),"Evaluate the efficiency of using the divisibility rule for 4 in quickly identifying numbers divisible by 4.")</f>
        <v>Evaluate the efficiency of using the divisibility rule for 4 in quickly identifying numbers divisible by 4.</v>
      </c>
      <c r="T136" s="29" t="str">
        <f t="shared" si="17"/>
        <v>LU000201.006</v>
      </c>
      <c r="U136" s="29" t="str">
        <f ca="1">IFERROR(__xludf.dummyfunction("VLOOKUP(T136, IMPORTRANGE(""https://docs.google.com/spreadsheets/d/1yDAaXNsi4Mr5FtRQL4tbmSdIzhx6_m4wkOD7IG-k_eo/edit#gid=0"", ""Maths!M:N""), 2, FALSE)"),"Create a set of number sequences to apply the divisibility rule by 4.")</f>
        <v>Create a set of number sequences to apply the divisibility rule by 4.</v>
      </c>
      <c r="V136" s="16">
        <f ca="1">IFERROR(__xludf.dummyfunction("ArrayFormula(VLOOKUP(G136, IMPORTRANGE(""https://docs.google.com/spreadsheets/d/1p7R4vtkWt5VOBim4ltsDG9KTzSjrtKXsMtQGXPHyND0/edit#gid=795171502"", ""'Filter 30_05_2024'!A1:M2000""), {2, 3, 4, 5,6,7,8,9,10,11,12,13}, 0))"),4)</f>
        <v>4</v>
      </c>
      <c r="W136" s="16">
        <f ca="1">IFERROR(__xludf.dummyfunction("""COMPUTED_VALUE"""),6)</f>
        <v>6</v>
      </c>
      <c r="X136" s="16">
        <f ca="1">IFERROR(__xludf.dummyfunction("""COMPUTED_VALUE"""),2)</f>
        <v>2</v>
      </c>
      <c r="Y136" s="16">
        <f ca="1">IFERROR(__xludf.dummyfunction("""COMPUTED_VALUE"""),12)</f>
        <v>12</v>
      </c>
      <c r="Z136" s="16">
        <f ca="1">IFERROR(__xludf.dummyfunction("""COMPUTED_VALUE"""),4)</f>
        <v>4</v>
      </c>
      <c r="AA136" s="30">
        <f ca="1">IFERROR(__xludf.dummyfunction("""COMPUTED_VALUE"""),3)</f>
        <v>3</v>
      </c>
      <c r="AB136" s="30">
        <f ca="1">IFERROR(__xludf.dummyfunction("""COMPUTED_VALUE"""),1)</f>
        <v>1</v>
      </c>
      <c r="AC136" s="30">
        <f ca="1">IFERROR(__xludf.dummyfunction("""COMPUTED_VALUE"""),8)</f>
        <v>8</v>
      </c>
      <c r="AD136" s="16"/>
      <c r="AE136" s="30"/>
      <c r="AF136" s="30"/>
      <c r="AG136" s="30"/>
    </row>
    <row r="137" spans="1:33" ht="39.6">
      <c r="A137" s="25"/>
      <c r="B137" s="26" t="s">
        <v>29</v>
      </c>
      <c r="C137" s="26" t="s">
        <v>310</v>
      </c>
      <c r="D137" s="26">
        <v>6</v>
      </c>
      <c r="E137" s="27" t="s">
        <v>490</v>
      </c>
      <c r="F137" s="28"/>
      <c r="G137" s="26" t="s">
        <v>515</v>
      </c>
      <c r="H137" s="28" t="str">
        <f ca="1">IFERROR(__xludf.dummyfunction("IFERROR(
  VLOOKUP(G137, IMPORTRANGE(""https://docs.google.com/spreadsheets/d/14deopnvwcrKtEGCKuYXdUHJbeLDZlkiSSWWT0g7x2pM/edit#gid=849066331"", ""LU List Maths (Filter)!A:B""), 2, FALSE),
  IFERROR(
    VLOOKUP(G137, IMPORTRANGE(""https://docs.google.com"&amp;"/spreadsheets/d/14deopnvwcrKtEGCKuYXdUHJbeLDZlkiSSWWT0g7x2pM/edit#gid=849066331"", ""LU List Science (Filter)!A:B""), 2, FALSE),
    ""Not Found""
  )
)
"),"Test for divisibility by 8")</f>
        <v>Test for divisibility by 8</v>
      </c>
      <c r="I137" s="28"/>
      <c r="J137" s="29" t="str">
        <f t="shared" si="12"/>
        <v>LU000205.001</v>
      </c>
      <c r="K137" s="29" t="str">
        <f ca="1">IFERROR(__xludf.dummyfunction("VLOOKUP(J137, IMPORTRANGE(""https://docs.google.com/spreadsheets/d/1yDAaXNsi4Mr5FtRQL4tbmSdIzhx6_m4wkOD7IG-k_eo/edit#gid=0"", ""Maths!M:N""), 2, FALSE)"),"List the rule of divisibility by 8.")</f>
        <v>List the rule of divisibility by 8.</v>
      </c>
      <c r="L137" s="29" t="str">
        <f t="shared" si="13"/>
        <v>LU000205.002</v>
      </c>
      <c r="M137" s="29" t="str">
        <f ca="1">IFERROR(__xludf.dummyfunction("VLOOKUP(L137, IMPORTRANGE(""https://docs.google.com/spreadsheets/d/1yDAaXNsi4Mr5FtRQL4tbmSdIzhx6_m4wkOD7IG-k_eo/edit#gid=0"", ""Maths!M:N""), 2, FALSE)"),"Find out the divisibility rule for 8.")</f>
        <v>Find out the divisibility rule for 8.</v>
      </c>
      <c r="N137" s="29" t="str">
        <f t="shared" si="14"/>
        <v>LU000205.003</v>
      </c>
      <c r="O137" s="29" t="str">
        <f ca="1">IFERROR(__xludf.dummyfunction("VLOOKUP(N137, IMPORTRANGE(""https://docs.google.com/spreadsheets/d/1yDAaXNsi4Mr5FtRQL4tbmSdIzhx6_m4wkOD7IG-k_eo/edit#gid=0"", ""Maths!M:N""), 2, FALSE)"),"Apply the rule for divisibility by 8 to determine if a number is divisible by 8 or not.")</f>
        <v>Apply the rule for divisibility by 8 to determine if a number is divisible by 8 or not.</v>
      </c>
      <c r="P137" s="29" t="str">
        <f t="shared" si="15"/>
        <v>LU000205.004</v>
      </c>
      <c r="Q137" s="29" t="str">
        <f ca="1">IFERROR(__xludf.dummyfunction("VLOOKUP(P137, IMPORTRANGE(""https://docs.google.com/spreadsheets/d/1yDAaXNsi4Mr5FtRQL4tbmSdIzhx6_m4wkOD7IG-k_eo/edit#gid=0"", ""Maths!M:N""), 2, FALSE)"),"Analyse the last three digits of numbers to determine whether they meet the conditions of the divisibility rule for 8")</f>
        <v>Analyse the last three digits of numbers to determine whether they meet the conditions of the divisibility rule for 8</v>
      </c>
      <c r="R137" s="29" t="str">
        <f t="shared" si="16"/>
        <v>LU000205.005</v>
      </c>
      <c r="S137" s="29" t="str">
        <f ca="1">IFERROR(__xludf.dummyfunction("VLOOKUP(R137, IMPORTRANGE(""https://docs.google.com/spreadsheets/d/1yDAaXNsi4Mr5FtRQL4tbmSdIzhx6_m4wkOD7IG-k_eo/edit#gid=0"", ""Maths!M:N""), 2, FALSE)"),"Evaluate the efficiency of using the divisibility rule for 8 in quickly identifying numbers divisible by 8.")</f>
        <v>Evaluate the efficiency of using the divisibility rule for 8 in quickly identifying numbers divisible by 8.</v>
      </c>
      <c r="T137" s="29" t="str">
        <f t="shared" si="17"/>
        <v>LU000205.006</v>
      </c>
      <c r="U137" s="29" t="str">
        <f ca="1">IFERROR(__xludf.dummyfunction("VLOOKUP(T137, IMPORTRANGE(""https://docs.google.com/spreadsheets/d/1yDAaXNsi4Mr5FtRQL4tbmSdIzhx6_m4wkOD7IG-k_eo/edit#gid=0"", ""Maths!M:N""), 2, FALSE)"),"Create a set of number sequences to apply the divisibility rule by 8.")</f>
        <v>Create a set of number sequences to apply the divisibility rule by 8.</v>
      </c>
      <c r="V137" s="16">
        <f ca="1">IFERROR(__xludf.dummyfunction("ArrayFormula(VLOOKUP(G137, IMPORTRANGE(""https://docs.google.com/spreadsheets/d/1p7R4vtkWt5VOBim4ltsDG9KTzSjrtKXsMtQGXPHyND0/edit#gid=795171502"", ""'Filter 30_05_2024'!A1:M2000""), {2, 3, 4, 5,6,7,8,9,10,11,12,13}, 0))"),4)</f>
        <v>4</v>
      </c>
      <c r="W137" s="16">
        <f ca="1">IFERROR(__xludf.dummyfunction("""COMPUTED_VALUE"""),8)</f>
        <v>8</v>
      </c>
      <c r="X137" s="16">
        <f ca="1">IFERROR(__xludf.dummyfunction("""COMPUTED_VALUE"""),2)</f>
        <v>2</v>
      </c>
      <c r="Y137" s="16">
        <f ca="1">IFERROR(__xludf.dummyfunction("""COMPUTED_VALUE"""),14)</f>
        <v>14</v>
      </c>
      <c r="Z137" s="16">
        <f ca="1">IFERROR(__xludf.dummyfunction("""COMPUTED_VALUE"""),4)</f>
        <v>4</v>
      </c>
      <c r="AA137" s="30">
        <f ca="1">IFERROR(__xludf.dummyfunction("""COMPUTED_VALUE"""),3)</f>
        <v>3</v>
      </c>
      <c r="AB137" s="30">
        <f ca="1">IFERROR(__xludf.dummyfunction("""COMPUTED_VALUE"""),2)</f>
        <v>2</v>
      </c>
      <c r="AC137" s="30">
        <f ca="1">IFERROR(__xludf.dummyfunction("""COMPUTED_VALUE"""),9)</f>
        <v>9</v>
      </c>
      <c r="AD137" s="16"/>
      <c r="AE137" s="30"/>
      <c r="AF137" s="30"/>
      <c r="AG137" s="30"/>
    </row>
    <row r="138" spans="1:33" ht="39.6">
      <c r="A138" s="25"/>
      <c r="B138" s="26" t="s">
        <v>29</v>
      </c>
      <c r="C138" s="26" t="s">
        <v>310</v>
      </c>
      <c r="D138" s="26">
        <v>6</v>
      </c>
      <c r="E138" s="27" t="s">
        <v>490</v>
      </c>
      <c r="F138" s="28"/>
      <c r="G138" s="26" t="s">
        <v>516</v>
      </c>
      <c r="H138" s="28" t="str">
        <f ca="1">IFERROR(__xludf.dummyfunction("IFERROR(
  VLOOKUP(G138, IMPORTRANGE(""https://docs.google.com/spreadsheets/d/14deopnvwcrKtEGCKuYXdUHJbeLDZlkiSSWWT0g7x2pM/edit#gid=849066331"", ""LU List Maths (Filter)!A:B""), 2, FALSE),
  IFERROR(
    VLOOKUP(G138, IMPORTRANGE(""https://docs.google.com"&amp;"/spreadsheets/d/14deopnvwcrKtEGCKuYXdUHJbeLDZlkiSSWWT0g7x2pM/edit#gid=849066331"", ""LU List Science (Filter)!A:B""), 2, FALSE),
    ""Not Found""
  )
)
"),"Test for divisibility by 11")</f>
        <v>Test for divisibility by 11</v>
      </c>
      <c r="I138" s="28"/>
      <c r="J138" s="29" t="str">
        <f t="shared" si="12"/>
        <v>LU000208.001</v>
      </c>
      <c r="K138" s="29" t="str">
        <f ca="1">IFERROR(__xludf.dummyfunction("VLOOKUP(J138, IMPORTRANGE(""https://docs.google.com/spreadsheets/d/1yDAaXNsi4Mr5FtRQL4tbmSdIzhx6_m4wkOD7IG-k_eo/edit#gid=0"", ""Maths!M:N""), 2, FALSE)"),"List the rule of divisibility by 11.")</f>
        <v>List the rule of divisibility by 11.</v>
      </c>
      <c r="L138" s="29" t="str">
        <f t="shared" si="13"/>
        <v>LU000208.002</v>
      </c>
      <c r="M138" s="29" t="str">
        <f ca="1">IFERROR(__xludf.dummyfunction("VLOOKUP(L138, IMPORTRANGE(""https://docs.google.com/spreadsheets/d/1yDAaXNsi4Mr5FtRQL4tbmSdIzhx6_m4wkOD7IG-k_eo/edit#gid=0"", ""Maths!M:N""), 2, FALSE)"),"Find out the divisibility rule for 11.")</f>
        <v>Find out the divisibility rule for 11.</v>
      </c>
      <c r="N138" s="29" t="str">
        <f t="shared" si="14"/>
        <v>LU000208.003</v>
      </c>
      <c r="O138" s="29" t="str">
        <f ca="1">IFERROR(__xludf.dummyfunction("VLOOKUP(N138, IMPORTRANGE(""https://docs.google.com/spreadsheets/d/1yDAaXNsi4Mr5FtRQL4tbmSdIzhx6_m4wkOD7IG-k_eo/edit#gid=0"", ""Maths!M:N""), 2, FALSE)"),"Apply the rule for divisibility by 11 to determine if a number is divisible by 11 or not.")</f>
        <v>Apply the rule for divisibility by 11 to determine if a number is divisible by 11 or not.</v>
      </c>
      <c r="P138" s="29" t="str">
        <f t="shared" si="15"/>
        <v>LU000208.004</v>
      </c>
      <c r="Q138" s="29" t="str">
        <f ca="1">IFERROR(__xludf.dummyfunction("VLOOKUP(P138, IMPORTRANGE(""https://docs.google.com/spreadsheets/d/1yDAaXNsi4Mr5FtRQL4tbmSdIzhx6_m4wkOD7IG-k_eo/edit#gid=0"", ""Maths!M:N""), 2, FALSE)"),"Analyse the result obtained by applying the divisibility rule for 11 to confirm if a number meets the condition of divisibility")</f>
        <v>Analyse the result obtained by applying the divisibility rule for 11 to confirm if a number meets the condition of divisibility</v>
      </c>
      <c r="R138" s="29" t="str">
        <f t="shared" si="16"/>
        <v>LU000208.005</v>
      </c>
      <c r="S138" s="29" t="str">
        <f ca="1">IFERROR(__xludf.dummyfunction("VLOOKUP(R138, IMPORTRANGE(""https://docs.google.com/spreadsheets/d/1yDAaXNsi4Mr5FtRQL4tbmSdIzhx6_m4wkOD7IG-k_eo/edit#gid=0"", ""Maths!M:N""), 2, FALSE)"),"Evaluate the efficiency of using the divisibility rule for 11 in quickly identifying numbers divisible by 11.")</f>
        <v>Evaluate the efficiency of using the divisibility rule for 11 in quickly identifying numbers divisible by 11.</v>
      </c>
      <c r="T138" s="29" t="str">
        <f t="shared" si="17"/>
        <v>LU000208.006</v>
      </c>
      <c r="U138" s="29" t="str">
        <f ca="1">IFERROR(__xludf.dummyfunction("VLOOKUP(T138, IMPORTRANGE(""https://docs.google.com/spreadsheets/d/1yDAaXNsi4Mr5FtRQL4tbmSdIzhx6_m4wkOD7IG-k_eo/edit#gid=0"", ""Maths!M:N""), 2, FALSE)"),"Create a set of number sequences to apply the divisibility rule by 11.")</f>
        <v>Create a set of number sequences to apply the divisibility rule by 11.</v>
      </c>
      <c r="V138" s="16">
        <f ca="1">IFERROR(__xludf.dummyfunction("ArrayFormula(VLOOKUP(G138, IMPORTRANGE(""https://docs.google.com/spreadsheets/d/1p7R4vtkWt5VOBim4ltsDG9KTzSjrtKXsMtQGXPHyND0/edit#gid=795171502"", ""'Filter 30_05_2024'!A1:M2000""), {2, 3, 4, 5,6,7,8,9,10,11,12,13}, 0))"),4)</f>
        <v>4</v>
      </c>
      <c r="W138" s="16">
        <f ca="1">IFERROR(__xludf.dummyfunction("""COMPUTED_VALUE"""),4)</f>
        <v>4</v>
      </c>
      <c r="X138" s="16">
        <f ca="1">IFERROR(__xludf.dummyfunction("""COMPUTED_VALUE"""),2)</f>
        <v>2</v>
      </c>
      <c r="Y138" s="16">
        <f ca="1">IFERROR(__xludf.dummyfunction("""COMPUTED_VALUE"""),10)</f>
        <v>10</v>
      </c>
      <c r="Z138" s="16">
        <f ca="1">IFERROR(__xludf.dummyfunction("""COMPUTED_VALUE"""),4)</f>
        <v>4</v>
      </c>
      <c r="AA138" s="30">
        <f ca="1">IFERROR(__xludf.dummyfunction("""COMPUTED_VALUE"""),4)</f>
        <v>4</v>
      </c>
      <c r="AB138" s="30">
        <f ca="1">IFERROR(__xludf.dummyfunction("""COMPUTED_VALUE"""),1)</f>
        <v>1</v>
      </c>
      <c r="AC138" s="30">
        <f ca="1">IFERROR(__xludf.dummyfunction("""COMPUTED_VALUE"""),9)</f>
        <v>9</v>
      </c>
      <c r="AD138" s="16"/>
      <c r="AE138" s="30"/>
      <c r="AF138" s="30"/>
      <c r="AG138" s="30"/>
    </row>
    <row r="139" spans="1:33" ht="39.6">
      <c r="A139" s="25"/>
      <c r="B139" s="26" t="s">
        <v>29</v>
      </c>
      <c r="C139" s="26" t="s">
        <v>310</v>
      </c>
      <c r="D139" s="26">
        <v>6</v>
      </c>
      <c r="E139" s="27" t="s">
        <v>490</v>
      </c>
      <c r="F139" s="28"/>
      <c r="G139" s="26" t="s">
        <v>517</v>
      </c>
      <c r="H139" s="28" t="str">
        <f ca="1">IFERROR(__xludf.dummyfunction("IFERROR(
  VLOOKUP(G139, IMPORTRANGE(""https://docs.google.com/spreadsheets/d/14deopnvwcrKtEGCKuYXdUHJbeLDZlkiSSWWT0g7x2pM/edit#gid=849066331"", ""LU List Maths (Filter)!A:B""), 2, FALSE),
  IFERROR(
    VLOOKUP(G139, IMPORTRANGE(""https://docs.google.com"&amp;"/spreadsheets/d/14deopnvwcrKtEGCKuYXdUHJbeLDZlkiSSWWT0g7x2pM/edit#gid=849066331"", ""LU List Science (Filter)!A:B""), 2, FALSE),
    ""Not Found""
  )
)
"),"Test for divisibility by 7")</f>
        <v>Test for divisibility by 7</v>
      </c>
      <c r="I139" s="28"/>
      <c r="J139" s="29" t="str">
        <f t="shared" si="12"/>
        <v>LU000204.001</v>
      </c>
      <c r="K139" s="29" t="str">
        <f ca="1">IFERROR(__xludf.dummyfunction("VLOOKUP(J139, IMPORTRANGE(""https://docs.google.com/spreadsheets/d/1yDAaXNsi4Mr5FtRQL4tbmSdIzhx6_m4wkOD7IG-k_eo/edit#gid=0"", ""Maths!M:N""), 2, FALSE)"),"List the rule of divisibility by 7.")</f>
        <v>List the rule of divisibility by 7.</v>
      </c>
      <c r="L139" s="29" t="str">
        <f t="shared" si="13"/>
        <v>LU000204.002</v>
      </c>
      <c r="M139" s="29" t="str">
        <f ca="1">IFERROR(__xludf.dummyfunction("VLOOKUP(L139, IMPORTRANGE(""https://docs.google.com/spreadsheets/d/1yDAaXNsi4Mr5FtRQL4tbmSdIzhx6_m4wkOD7IG-k_eo/edit#gid=0"", ""Maths!M:N""), 2, FALSE)"),"Find out the divisibility rule for 7.")</f>
        <v>Find out the divisibility rule for 7.</v>
      </c>
      <c r="N139" s="29" t="str">
        <f t="shared" si="14"/>
        <v>LU000204.003</v>
      </c>
      <c r="O139" s="29" t="str">
        <f ca="1">IFERROR(__xludf.dummyfunction("VLOOKUP(N139, IMPORTRANGE(""https://docs.google.com/spreadsheets/d/1yDAaXNsi4Mr5FtRQL4tbmSdIzhx6_m4wkOD7IG-k_eo/edit#gid=0"", ""Maths!M:N""), 2, FALSE)"),"Apply the rule for divisibility by 7 to determine if a number is divisible by 7 or not.")</f>
        <v>Apply the rule for divisibility by 7 to determine if a number is divisible by 7 or not.</v>
      </c>
      <c r="P139" s="29" t="str">
        <f t="shared" si="15"/>
        <v>LU000204.004</v>
      </c>
      <c r="Q139" s="29" t="str">
        <f ca="1">IFERROR(__xludf.dummyfunction("VLOOKUP(P139, IMPORTRANGE(""https://docs.google.com/spreadsheets/d/1yDAaXNsi4Mr5FtRQL4tbmSdIzhx6_m4wkOD7IG-k_eo/edit#gid=0"", ""Maths!M:N""), 2, FALSE)"),"Analyse the result obtained by applying the divisibility rule for 7 to confirm if a number meets the condition of divisibility.")</f>
        <v>Analyse the result obtained by applying the divisibility rule for 7 to confirm if a number meets the condition of divisibility.</v>
      </c>
      <c r="R139" s="29" t="str">
        <f t="shared" si="16"/>
        <v>LU000204.005</v>
      </c>
      <c r="S139" s="29" t="str">
        <f ca="1">IFERROR(__xludf.dummyfunction("VLOOKUP(R139, IMPORTRANGE(""https://docs.google.com/spreadsheets/d/1yDAaXNsi4Mr5FtRQL4tbmSdIzhx6_m4wkOD7IG-k_eo/edit#gid=0"", ""Maths!M:N""), 2, FALSE)"),"Evaluate the efficiency of using the divisibility rule for 7 in quickly identifying numbers divisible by 7")</f>
        <v>Evaluate the efficiency of using the divisibility rule for 7 in quickly identifying numbers divisible by 7</v>
      </c>
      <c r="T139" s="29" t="str">
        <f t="shared" si="17"/>
        <v>LU000204.006</v>
      </c>
      <c r="U139" s="29" t="str">
        <f ca="1">IFERROR(__xludf.dummyfunction("VLOOKUP(T139, IMPORTRANGE(""https://docs.google.com/spreadsheets/d/1yDAaXNsi4Mr5FtRQL4tbmSdIzhx6_m4wkOD7IG-k_eo/edit#gid=0"", ""Maths!M:N""), 2, FALSE)"),"Create a set of number sequences to apply the divisibility rule by 7.")</f>
        <v>Create a set of number sequences to apply the divisibility rule by 7.</v>
      </c>
      <c r="V139" s="16" t="str">
        <f ca="1">IFERROR(__xludf.dummyfunction("ArrayFormula(VLOOKUP(G139, IMPORTRANGE(""https://docs.google.com/spreadsheets/d/1p7R4vtkWt5VOBim4ltsDG9KTzSjrtKXsMtQGXPHyND0/edit#gid=795171502"", ""'Filter 30_05_2024'!A1:M2000""), {2, 3, 4, 5,6,7,8,9,10,11,12,13}, 0))"),"#N/A")</f>
        <v>#N/A</v>
      </c>
      <c r="W139" s="16" t="str">
        <f ca="1">IFERROR(__xludf.dummyfunction("""COMPUTED_VALUE"""),"#N/A")</f>
        <v>#N/A</v>
      </c>
      <c r="X139" s="16" t="str">
        <f ca="1">IFERROR(__xludf.dummyfunction("""COMPUTED_VALUE"""),"#N/A")</f>
        <v>#N/A</v>
      </c>
      <c r="Y139" s="16" t="str">
        <f ca="1">IFERROR(__xludf.dummyfunction("""COMPUTED_VALUE"""),"#N/A")</f>
        <v>#N/A</v>
      </c>
      <c r="Z139" s="16" t="str">
        <f ca="1">IFERROR(__xludf.dummyfunction("""COMPUTED_VALUE"""),"#N/A")</f>
        <v>#N/A</v>
      </c>
      <c r="AA139" s="30" t="str">
        <f ca="1">IFERROR(__xludf.dummyfunction("""COMPUTED_VALUE"""),"#N/A")</f>
        <v>#N/A</v>
      </c>
      <c r="AB139" s="30" t="str">
        <f ca="1">IFERROR(__xludf.dummyfunction("""COMPUTED_VALUE"""),"#N/A")</f>
        <v>#N/A</v>
      </c>
      <c r="AC139" s="30" t="str">
        <f ca="1">IFERROR(__xludf.dummyfunction("""COMPUTED_VALUE"""),"#N/A")</f>
        <v>#N/A</v>
      </c>
      <c r="AD139" s="16" t="str">
        <f ca="1">IFERROR(__xludf.dummyfunction("""COMPUTED_VALUE"""),"#N/A")</f>
        <v>#N/A</v>
      </c>
      <c r="AE139" s="30" t="str">
        <f ca="1">IFERROR(__xludf.dummyfunction("""COMPUTED_VALUE"""),"#N/A")</f>
        <v>#N/A</v>
      </c>
      <c r="AF139" s="30" t="str">
        <f ca="1">IFERROR(__xludf.dummyfunction("""COMPUTED_VALUE"""),"#N/A")</f>
        <v>#N/A</v>
      </c>
      <c r="AG139" s="30" t="str">
        <f ca="1">IFERROR(__xludf.dummyfunction("""COMPUTED_VALUE"""),"#N/A")</f>
        <v>#N/A</v>
      </c>
    </row>
    <row r="140" spans="1:33" ht="39.6">
      <c r="A140" s="25"/>
      <c r="B140" s="26" t="s">
        <v>29</v>
      </c>
      <c r="C140" s="26" t="s">
        <v>310</v>
      </c>
      <c r="D140" s="26">
        <v>6</v>
      </c>
      <c r="E140" s="27" t="s">
        <v>490</v>
      </c>
      <c r="F140" s="28"/>
      <c r="G140" s="31" t="s">
        <v>518</v>
      </c>
      <c r="H140" s="28" t="str">
        <f ca="1">IFERROR(__xludf.dummyfunction("IFERROR(
  VLOOKUP(G140, IMPORTRANGE(""https://docs.google.com/spreadsheets/d/14deopnvwcrKtEGCKuYXdUHJbeLDZlkiSSWWT0g7x2pM/edit#gid=849066331"", ""LU List Maths (Filter)!A:B""), 2, FALSE),
  IFERROR(
    VLOOKUP(G140, IMPORTRANGE(""https://docs.google.com"&amp;"/spreadsheets/d/14deopnvwcrKtEGCKuYXdUHJbeLDZlkiSSWWT0g7x2pM/edit#gid=849066331"", ""LU List Science (Filter)!A:B""), 2, FALSE),
    ""Not Found""
  )
)
"),"Divisibility rules of various numbers (2, 3, 4, 5, 6, 7, 8, 9, 10 and 11)")</f>
        <v>Divisibility rules of various numbers (2, 3, 4, 5, 6, 7, 8, 9, 10 and 11)</v>
      </c>
      <c r="I140" s="28"/>
      <c r="J140" s="29" t="str">
        <f t="shared" si="12"/>
        <v>LU000921.001</v>
      </c>
      <c r="K140" s="29" t="str">
        <f ca="1">IFERROR(__xludf.dummyfunction("VLOOKUP(J140, IMPORTRANGE(""https://docs.google.com/spreadsheets/d/1yDAaXNsi4Mr5FtRQL4tbmSdIzhx6_m4wkOD7IG-k_eo/edit#gid=0"", ""Maths!M:N""), 2, FALSE)"),"Recall the divisibility rules for numbers 2, 3, 4, 5, 6, 7, 8, 9, 10, and 11.")</f>
        <v>Recall the divisibility rules for numbers 2, 3, 4, 5, 6, 7, 8, 9, 10, and 11.</v>
      </c>
      <c r="L140" s="29" t="str">
        <f t="shared" si="13"/>
        <v>LU000921.002</v>
      </c>
      <c r="M140" s="29" t="str">
        <f ca="1">IFERROR(__xludf.dummyfunction("VLOOKUP(L140, IMPORTRANGE(""https://docs.google.com/spreadsheets/d/1yDAaXNsi4Mr5FtRQL4tbmSdIzhx6_m4wkOD7IG-k_eo/edit#gid=0"", ""Maths!M:N""), 2, FALSE)"),"Differentiate between the divisibility rules for 2, 3, 4, 5, 6, 7, 8, 9, 10 and 11.")</f>
        <v>Differentiate between the divisibility rules for 2, 3, 4, 5, 6, 7, 8, 9, 10 and 11.</v>
      </c>
      <c r="N140" s="29" t="str">
        <f t="shared" si="14"/>
        <v>LU000921.003</v>
      </c>
      <c r="O140" s="29" t="str">
        <f ca="1">IFERROR(__xludf.dummyfunction("VLOOKUP(N140, IMPORTRANGE(""https://docs.google.com/spreadsheets/d/1yDAaXNsi4Mr5FtRQL4tbmSdIzhx6_m4wkOD7IG-k_eo/edit#gid=0"", ""Maths!M:N""), 2, FALSE)"),"Solve problems that involve applying multiple divisibility rules")</f>
        <v>Solve problems that involve applying multiple divisibility rules</v>
      </c>
      <c r="P140" s="29" t="str">
        <f t="shared" si="15"/>
        <v>LU000921.004</v>
      </c>
      <c r="Q140" s="29" t="str">
        <f ca="1">IFERROR(__xludf.dummyfunction("VLOOKUP(P140, IMPORTRANGE(""https://docs.google.com/spreadsheets/d/1yDAaXNsi4Mr5FtRQL4tbmSdIzhx6_m4wkOD7IG-k_eo/edit#gid=0"", ""Maths!M:N""), 2, FALSE)"),"Analyze scenarios where understanding divisibility rules and relationship between digits is crucial in problem-solving.")</f>
        <v>Analyze scenarios where understanding divisibility rules and relationship between digits is crucial in problem-solving.</v>
      </c>
      <c r="R140" s="29" t="str">
        <f t="shared" si="16"/>
        <v>LU000921.005</v>
      </c>
      <c r="S140" s="29" t="str">
        <f ca="1">IFERROR(__xludf.dummyfunction("VLOOKUP(R140, IMPORTRANGE(""https://docs.google.com/spreadsheets/d/1yDAaXNsi4Mr5FtRQL4tbmSdIzhx6_m4wkOD7IG-k_eo/edit#gid=0"", ""Maths!M:N""), 2, FALSE)"),"Assess the validity of statements about divisibility rules of various numbers (2, 3, 4, 5, 6, 7, 8, 9, 10 and 11).")</f>
        <v>Assess the validity of statements about divisibility rules of various numbers (2, 3, 4, 5, 6, 7, 8, 9, 10 and 11).</v>
      </c>
      <c r="T140" s="29" t="str">
        <f t="shared" si="17"/>
        <v>LU000921.006</v>
      </c>
      <c r="U140" s="29" t="str">
        <f ca="1">IFERROR(__xludf.dummyfunction("VLOOKUP(T140, IMPORTRANGE(""https://docs.google.com/spreadsheets/d/1yDAaXNsi4Mr5FtRQL4tbmSdIzhx6_m4wkOD7IG-k_eo/edit#gid=0"", ""Maths!M:N""), 2, FALSE)"),"Create a real-world scenario where knowledge of various divisibility rules is essential to solve a problem.")</f>
        <v>Create a real-world scenario where knowledge of various divisibility rules is essential to solve a problem.</v>
      </c>
      <c r="V140" s="16">
        <f ca="1">IFERROR(__xludf.dummyfunction("ArrayFormula(VLOOKUP(G140, IMPORTRANGE(""https://docs.google.com/spreadsheets/d/1p7R4vtkWt5VOBim4ltsDG9KTzSjrtKXsMtQGXPHyND0/edit#gid=795171502"", ""'Filter 30_05_2024'!A1:M2000""), {2, 3, 4, 5,6,7,8,9,10,11,12,13}, 0))"),4)</f>
        <v>4</v>
      </c>
      <c r="W140" s="16">
        <f ca="1">IFERROR(__xludf.dummyfunction("""COMPUTED_VALUE"""),6)</f>
        <v>6</v>
      </c>
      <c r="X140" s="16">
        <f ca="1">IFERROR(__xludf.dummyfunction("""COMPUTED_VALUE"""),2)</f>
        <v>2</v>
      </c>
      <c r="Y140" s="16">
        <f ca="1">IFERROR(__xludf.dummyfunction("""COMPUTED_VALUE"""),12)</f>
        <v>12</v>
      </c>
      <c r="Z140" s="16">
        <f ca="1">IFERROR(__xludf.dummyfunction("""COMPUTED_VALUE"""),4)</f>
        <v>4</v>
      </c>
      <c r="AA140" s="30">
        <f ca="1">IFERROR(__xludf.dummyfunction("""COMPUTED_VALUE"""),4)</f>
        <v>4</v>
      </c>
      <c r="AB140" s="30">
        <f ca="1">IFERROR(__xludf.dummyfunction("""COMPUTED_VALUE"""),1)</f>
        <v>1</v>
      </c>
      <c r="AC140" s="30">
        <f ca="1">IFERROR(__xludf.dummyfunction("""COMPUTED_VALUE"""),9)</f>
        <v>9</v>
      </c>
      <c r="AD140" s="16"/>
      <c r="AE140" s="30"/>
      <c r="AF140" s="30"/>
      <c r="AG140" s="30"/>
    </row>
    <row r="141" spans="1:33" ht="39.6">
      <c r="A141" s="25"/>
      <c r="B141" s="26" t="s">
        <v>29</v>
      </c>
      <c r="C141" s="26" t="s">
        <v>310</v>
      </c>
      <c r="D141" s="26">
        <v>6</v>
      </c>
      <c r="E141" s="27" t="s">
        <v>490</v>
      </c>
      <c r="F141" s="28" t="s">
        <v>519</v>
      </c>
      <c r="G141" s="26" t="s">
        <v>520</v>
      </c>
      <c r="H141" s="28" t="str">
        <f ca="1">IFERROR(__xludf.dummyfunction("IFERROR(
  VLOOKUP(G141, IMPORTRANGE(""https://docs.google.com/spreadsheets/d/14deopnvwcrKtEGCKuYXdUHJbeLDZlkiSSWWT0g7x2pM/edit#gid=849066331"", ""LU List Maths (Filter)!A:B""), 2, FALSE),
  IFERROR(
    VLOOKUP(G141, IMPORTRANGE(""https://docs.google.com"&amp;"/spreadsheets/d/14deopnvwcrKtEGCKuYXdUHJbeLDZlkiSSWWT0g7x2pM/edit#gid=849066331"", ""LU List Science (Filter)!A:B""), 2, FALSE),
    ""Not Found""
  )
)
"),"Common factors of numbers")</f>
        <v>Common factors of numbers</v>
      </c>
      <c r="I141" s="28"/>
      <c r="J141" s="29" t="str">
        <f t="shared" si="12"/>
        <v>LU000060.001</v>
      </c>
      <c r="K141" s="29" t="str">
        <f ca="1">IFERROR(__xludf.dummyfunction("VLOOKUP(J141, IMPORTRANGE(""https://docs.google.com/spreadsheets/d/1yDAaXNsi4Mr5FtRQL4tbmSdIzhx6_m4wkOD7IG-k_eo/edit#gid=0"", ""Maths!M:N""), 2, FALSE)"),"State the definition of common factors in mathematics.")</f>
        <v>State the definition of common factors in mathematics.</v>
      </c>
      <c r="L141" s="29" t="str">
        <f t="shared" si="13"/>
        <v>LU000060.002</v>
      </c>
      <c r="M141" s="29" t="str">
        <f ca="1">IFERROR(__xludf.dummyfunction("VLOOKUP(L141, IMPORTRANGE(""https://docs.google.com/spreadsheets/d/1yDAaXNsi4Mr5FtRQL4tbmSdIzhx6_m4wkOD7IG-k_eo/edit#gid=0"", ""Maths!M:N""), 2, FALSE)"),"Explain the meaning and significance of common factors.")</f>
        <v>Explain the meaning and significance of common factors.</v>
      </c>
      <c r="N141" s="29" t="str">
        <f t="shared" si="14"/>
        <v>LU000060.003</v>
      </c>
      <c r="O141" s="29" t="str">
        <f ca="1">IFERROR(__xludf.dummyfunction("VLOOKUP(N141, IMPORTRANGE(""https://docs.google.com/spreadsheets/d/1yDAaXNsi4Mr5FtRQL4tbmSdIzhx6_m4wkOD7IG-k_eo/edit#gid=0"", ""Maths!M:N""), 2, FALSE)"),"Use common factors to solve real-world problems involving multiples and divisors")</f>
        <v>Use common factors to solve real-world problems involving multiples and divisors</v>
      </c>
      <c r="P141" s="29" t="str">
        <f t="shared" si="15"/>
        <v>LU000060.004</v>
      </c>
      <c r="Q141" s="29" t="str">
        <f ca="1">IFERROR(__xludf.dummyfunction("VLOOKUP(P141, IMPORTRANGE(""https://docs.google.com/spreadsheets/d/1yDAaXNsi4Mr5FtRQL4tbmSdIzhx6_m4wkOD7IG-k_eo/edit#gid=0"", ""Maths!M:N""), 2, FALSE)"),"Examine pairs of numbers and analyze their common factors.")</f>
        <v>Examine pairs of numbers and analyze their common factors.</v>
      </c>
      <c r="R141" s="29" t="str">
        <f t="shared" si="16"/>
        <v>LU000060.005</v>
      </c>
      <c r="S141" s="29" t="str">
        <f ca="1">IFERROR(__xludf.dummyfunction("VLOOKUP(R141, IMPORTRANGE(""https://docs.google.com/spreadsheets/d/1yDAaXNsi4Mr5FtRQL4tbmSdIzhx6_m4wkOD7IG-k_eo/edit#gid=0"", ""Maths!M:N""), 2, FALSE)"),"Assess the efficiency of using common factors to simplify fractions.")</f>
        <v>Assess the efficiency of using common factors to simplify fractions.</v>
      </c>
      <c r="T141" s="29" t="str">
        <f t="shared" si="17"/>
        <v>LU000060.006</v>
      </c>
      <c r="U141" s="29" t="str">
        <f ca="1">IFERROR(__xludf.dummyfunction("VLOOKUP(T141, IMPORTRANGE(""https://docs.google.com/spreadsheets/d/1yDAaXNsi4Mr5FtRQL4tbmSdIzhx6_m4wkOD7IG-k_eo/edit#gid=0"", ""Maths!M:N""), 2, FALSE)"),"Create word problems that require students to identify common factors to solve.")</f>
        <v>Create word problems that require students to identify common factors to solve.</v>
      </c>
      <c r="V141" s="16">
        <f ca="1">IFERROR(__xludf.dummyfunction("ArrayFormula(VLOOKUP(G141, IMPORTRANGE(""https://docs.google.com/spreadsheets/d/1p7R4vtkWt5VOBim4ltsDG9KTzSjrtKXsMtQGXPHyND0/edit#gid=795171502"", ""'Filter 30_05_2024'!A1:M2000""), {2, 3, 4, 5,6,7,8,9,10,11,12,13}, 0))"),4)</f>
        <v>4</v>
      </c>
      <c r="W141" s="16">
        <f ca="1">IFERROR(__xludf.dummyfunction("""COMPUTED_VALUE"""),6)</f>
        <v>6</v>
      </c>
      <c r="X141" s="16"/>
      <c r="Y141" s="16">
        <f ca="1">IFERROR(__xludf.dummyfunction("""COMPUTED_VALUE"""),10)</f>
        <v>10</v>
      </c>
      <c r="Z141" s="16">
        <f ca="1">IFERROR(__xludf.dummyfunction("""COMPUTED_VALUE"""),9)</f>
        <v>9</v>
      </c>
      <c r="AA141" s="30">
        <f ca="1">IFERROR(__xludf.dummyfunction("""COMPUTED_VALUE"""),4)</f>
        <v>4</v>
      </c>
      <c r="AB141" s="30">
        <f ca="1">IFERROR(__xludf.dummyfunction("""COMPUTED_VALUE"""),3)</f>
        <v>3</v>
      </c>
      <c r="AC141" s="30">
        <f ca="1">IFERROR(__xludf.dummyfunction("""COMPUTED_VALUE"""),16)</f>
        <v>16</v>
      </c>
      <c r="AD141" s="16"/>
      <c r="AE141" s="30"/>
      <c r="AF141" s="30"/>
      <c r="AG141" s="30"/>
    </row>
    <row r="142" spans="1:33" ht="39.6">
      <c r="A142" s="25"/>
      <c r="B142" s="26" t="s">
        <v>29</v>
      </c>
      <c r="C142" s="26" t="s">
        <v>310</v>
      </c>
      <c r="D142" s="26">
        <v>6</v>
      </c>
      <c r="E142" s="27" t="s">
        <v>490</v>
      </c>
      <c r="F142" s="28"/>
      <c r="G142" s="26" t="s">
        <v>521</v>
      </c>
      <c r="H142" s="28" t="str">
        <f ca="1">IFERROR(__xludf.dummyfunction("IFERROR(
  VLOOKUP(G142, IMPORTRANGE(""https://docs.google.com/spreadsheets/d/14deopnvwcrKtEGCKuYXdUHJbeLDZlkiSSWWT0g7x2pM/edit#gid=849066331"", ""LU List Maths (Filter)!A:B""), 2, FALSE),
  IFERROR(
    VLOOKUP(G142, IMPORTRANGE(""https://docs.google.com"&amp;"/spreadsheets/d/14deopnvwcrKtEGCKuYXdUHJbeLDZlkiSSWWT0g7x2pM/edit#gid=849066331"", ""LU List Science (Filter)!A:B""), 2, FALSE),
    ""Not Found""
  )
)
"),"Definition of common multiples")</f>
        <v>Definition of common multiples</v>
      </c>
      <c r="I142" s="28"/>
      <c r="J142" s="29" t="str">
        <f t="shared" si="12"/>
        <v>LU000058.001</v>
      </c>
      <c r="K142" s="29" t="str">
        <f ca="1">IFERROR(__xludf.dummyfunction("VLOOKUP(J142, IMPORTRANGE(""https://docs.google.com/spreadsheets/d/1yDAaXNsi4Mr5FtRQL4tbmSdIzhx6_m4wkOD7IG-k_eo/edit#gid=0"", ""Maths!M:N""), 2, FALSE)"),"State the definition of common multiples.")</f>
        <v>State the definition of common multiples.</v>
      </c>
      <c r="L142" s="29" t="str">
        <f t="shared" si="13"/>
        <v>LU000058.002</v>
      </c>
      <c r="M142" s="29" t="str">
        <f ca="1">IFERROR(__xludf.dummyfunction("VLOOKUP(L142, IMPORTRANGE(""https://docs.google.com/spreadsheets/d/1yDAaXNsi4Mr5FtRQL4tbmSdIzhx6_m4wkOD7IG-k_eo/edit#gid=0"", ""Maths!M:N""), 2, FALSE)"),"Explain the concept of common multiples and how they are related to numbers.")</f>
        <v>Explain the concept of common multiples and how they are related to numbers.</v>
      </c>
      <c r="N142" s="29" t="str">
        <f t="shared" si="14"/>
        <v>LU000058.003</v>
      </c>
      <c r="O142" s="29" t="str">
        <f ca="1">IFERROR(__xludf.dummyfunction("VLOOKUP(N142, IMPORTRANGE(""https://docs.google.com/spreadsheets/d/1yDAaXNsi4Mr5FtRQL4tbmSdIzhx6_m4wkOD7IG-k_eo/edit#gid=0"", ""Maths!M:N""), 2, FALSE)"),"Use common multiples to solve simple problems related to multiple numbers")</f>
        <v>Use common multiples to solve simple problems related to multiple numbers</v>
      </c>
      <c r="P142" s="29" t="str">
        <f t="shared" si="15"/>
        <v>LU000058.004</v>
      </c>
      <c r="Q142" s="29" t="str">
        <f ca="1">IFERROR(__xludf.dummyfunction("VLOOKUP(P142, IMPORTRANGE(""https://docs.google.com/spreadsheets/d/1yDAaXNsi4Mr5FtRQL4tbmSdIzhx6_m4wkOD7IG-k_eo/edit#gid=0"", ""Maths!M:N""), 2, FALSE)"),"Examine a set of numbers and identify their common multiples.")</f>
        <v>Examine a set of numbers and identify their common multiples.</v>
      </c>
      <c r="R142" s="29" t="str">
        <f t="shared" si="16"/>
        <v>LU000058.005</v>
      </c>
      <c r="S142" s="29" t="str">
        <f ca="1">IFERROR(__xludf.dummyfunction("VLOOKUP(R142, IMPORTRANGE(""https://docs.google.com/spreadsheets/d/1yDAaXNsi4Mr5FtRQL4tbmSdIzhx6_m4wkOD7IG-k_eo/edit#gid=0"", ""Maths!M:N""), 2, FALSE)"),"Assess the usefulness of common multiples in solving real-world problems")</f>
        <v>Assess the usefulness of common multiples in solving real-world problems</v>
      </c>
      <c r="T142" s="29" t="str">
        <f t="shared" si="17"/>
        <v>LU000058.006</v>
      </c>
      <c r="U142" s="29" t="str">
        <f ca="1">IFERROR(__xludf.dummyfunction("VLOOKUP(T142, IMPORTRANGE(""https://docs.google.com/spreadsheets/d/1yDAaXNsi4Mr5FtRQL4tbmSdIzhx6_m4wkOD7IG-k_eo/edit#gid=0"", ""Maths!M:N""), 2, FALSE)"),"Create word problems that require the use of common multiples to find solutions.")</f>
        <v>Create word problems that require the use of common multiples to find solutions.</v>
      </c>
      <c r="V142" s="16">
        <f ca="1">IFERROR(__xludf.dummyfunction("ArrayFormula(VLOOKUP(G142, IMPORTRANGE(""https://docs.google.com/spreadsheets/d/1p7R4vtkWt5VOBim4ltsDG9KTzSjrtKXsMtQGXPHyND0/edit#gid=795171502"", ""'Filter 30_05_2024'!A1:M2000""), {2, 3, 4, 5,6,7,8,9,10,11,12,13}, 0))"),4)</f>
        <v>4</v>
      </c>
      <c r="W142" s="16">
        <f ca="1">IFERROR(__xludf.dummyfunction("""COMPUTED_VALUE"""),6)</f>
        <v>6</v>
      </c>
      <c r="X142" s="16">
        <f ca="1">IFERROR(__xludf.dummyfunction("""COMPUTED_VALUE"""),6)</f>
        <v>6</v>
      </c>
      <c r="Y142" s="16">
        <f ca="1">IFERROR(__xludf.dummyfunction("""COMPUTED_VALUE"""),16)</f>
        <v>16</v>
      </c>
      <c r="Z142" s="16">
        <f ca="1">IFERROR(__xludf.dummyfunction("""COMPUTED_VALUE"""),12)</f>
        <v>12</v>
      </c>
      <c r="AA142" s="30">
        <f ca="1">IFERROR(__xludf.dummyfunction("""COMPUTED_VALUE"""),3)</f>
        <v>3</v>
      </c>
      <c r="AB142" s="30">
        <f ca="1">IFERROR(__xludf.dummyfunction("""COMPUTED_VALUE"""),2)</f>
        <v>2</v>
      </c>
      <c r="AC142" s="30">
        <f ca="1">IFERROR(__xludf.dummyfunction("""COMPUTED_VALUE"""),17)</f>
        <v>17</v>
      </c>
      <c r="AD142" s="16"/>
      <c r="AE142" s="30"/>
      <c r="AF142" s="30"/>
      <c r="AG142" s="30"/>
    </row>
    <row r="143" spans="1:33" ht="39.6">
      <c r="A143" s="25"/>
      <c r="B143" s="26" t="s">
        <v>29</v>
      </c>
      <c r="C143" s="26" t="s">
        <v>310</v>
      </c>
      <c r="D143" s="26">
        <v>6</v>
      </c>
      <c r="E143" s="27" t="s">
        <v>490</v>
      </c>
      <c r="F143" s="28"/>
      <c r="G143" s="26" t="s">
        <v>522</v>
      </c>
      <c r="H143" s="28" t="str">
        <f ca="1">IFERROR(__xludf.dummyfunction("IFERROR(
  VLOOKUP(G143, IMPORTRANGE(""https://docs.google.com/spreadsheets/d/14deopnvwcrKtEGCKuYXdUHJbeLDZlkiSSWWT0g7x2pM/edit#gid=849066331"", ""LU List Maths (Filter)!A:B""), 2, FALSE),
  IFERROR(
    VLOOKUP(G143, IMPORTRANGE(""https://docs.google.com"&amp;"/spreadsheets/d/14deopnvwcrKtEGCKuYXdUHJbeLDZlkiSSWWT0g7x2pM/edit#gid=849066331"", ""LU List Science (Filter)!A:B""), 2, FALSE),
    ""Not Found""
  )
)
"),"Co-prime numbers")</f>
        <v>Co-prime numbers</v>
      </c>
      <c r="I143" s="28"/>
      <c r="J143" s="29" t="str">
        <f t="shared" si="12"/>
        <v>LU000209.001</v>
      </c>
      <c r="K143" s="29" t="str">
        <f ca="1">IFERROR(__xludf.dummyfunction("VLOOKUP(J143, IMPORTRANGE(""https://docs.google.com/spreadsheets/d/1yDAaXNsi4Mr5FtRQL4tbmSdIzhx6_m4wkOD7IG-k_eo/edit#gid=0"", ""Maths!M:N""), 2, FALSE)"),"Define and list examples of co-prime numbers.")</f>
        <v>Define and list examples of co-prime numbers.</v>
      </c>
      <c r="L143" s="29" t="str">
        <f t="shared" si="13"/>
        <v>LU000209.002</v>
      </c>
      <c r="M143" s="29" t="str">
        <f ca="1">IFERROR(__xludf.dummyfunction("VLOOKUP(L143, IMPORTRANGE(""https://docs.google.com/spreadsheets/d/1yDAaXNsi4Mr5FtRQL4tbmSdIzhx6_m4wkOD7IG-k_eo/edit#gid=0"", ""Maths!M:N""), 2, FALSE)"),"Explain the concept of co-prime numbers, recognising that they have no common factors other than 1")</f>
        <v>Explain the concept of co-prime numbers, recognising that they have no common factors other than 1</v>
      </c>
      <c r="N143" s="29" t="str">
        <f t="shared" si="14"/>
        <v>LU000209.003</v>
      </c>
      <c r="O143" s="29" t="str">
        <f ca="1">IFERROR(__xludf.dummyfunction("VLOOKUP(N143, IMPORTRANGE(""https://docs.google.com/spreadsheets/d/1yDAaXNsi4Mr5FtRQL4tbmSdIzhx6_m4wkOD7IG-k_eo/edit#gid=0"", ""Maths!M:N""), 2, FALSE)"),"Apply the concept of co-prime numbers to identify pairs of numbers that have a highest common factor of 1.")</f>
        <v>Apply the concept of co-prime numbers to identify pairs of numbers that have a highest common factor of 1.</v>
      </c>
      <c r="P143" s="29" t="str">
        <f t="shared" si="15"/>
        <v>LU000209.004</v>
      </c>
      <c r="Q143" s="29" t="str">
        <f ca="1">IFERROR(__xludf.dummyfunction("VLOOKUP(P143, IMPORTRANGE(""https://docs.google.com/spreadsheets/d/1yDAaXNsi4Mr5FtRQL4tbmSdIzhx6_m4wkOD7IG-k_eo/edit#gid=0"", ""Maths!M:N""), 2, FALSE)"),"Analyse the factors of numbers to determine whether they are co-prime or not.")</f>
        <v>Analyse the factors of numbers to determine whether they are co-prime or not.</v>
      </c>
      <c r="R143" s="29" t="str">
        <f t="shared" si="16"/>
        <v>LU000209.005</v>
      </c>
      <c r="S143" s="29" t="str">
        <f ca="1">IFERROR(__xludf.dummyfunction("VLOOKUP(R143, IMPORTRANGE(""https://docs.google.com/spreadsheets/d/1yDAaXNsi4Mr5FtRQL4tbmSdIzhx6_m4wkOD7IG-k_eo/edit#gid=0"", ""Maths!M:N""), 2, FALSE)"),"Evaluate the significance of co-prime numbers in various mathematical contexts, such as simplifying fractions.")</f>
        <v>Evaluate the significance of co-prime numbers in various mathematical contexts, such as simplifying fractions.</v>
      </c>
      <c r="T143" s="29" t="str">
        <f t="shared" si="17"/>
        <v>LU000209.006</v>
      </c>
      <c r="U143" s="29" t="str">
        <f ca="1">IFERROR(__xludf.dummyfunction("VLOOKUP(T143, IMPORTRANGE(""https://docs.google.com/spreadsheets/d/1yDAaXNsi4Mr5FtRQL4tbmSdIzhx6_m4wkOD7IG-k_eo/edit#gid=0"", ""Maths!M:N""), 2, FALSE)"),"Create situations where co-prime numbers are used.")</f>
        <v>Create situations where co-prime numbers are used.</v>
      </c>
      <c r="V143" s="16">
        <f ca="1">IFERROR(__xludf.dummyfunction("ArrayFormula(VLOOKUP(G143, IMPORTRANGE(""https://docs.google.com/spreadsheets/d/1p7R4vtkWt5VOBim4ltsDG9KTzSjrtKXsMtQGXPHyND0/edit#gid=795171502"", ""'Filter 30_05_2024'!A1:M2000""), {2, 3, 4, 5,6,7,8,9,10,11,12,13}, 0))"),6)</f>
        <v>6</v>
      </c>
      <c r="W143" s="16">
        <f ca="1">IFERROR(__xludf.dummyfunction("""COMPUTED_VALUE"""),8)</f>
        <v>8</v>
      </c>
      <c r="X143" s="16">
        <f ca="1">IFERROR(__xludf.dummyfunction("""COMPUTED_VALUE"""),2)</f>
        <v>2</v>
      </c>
      <c r="Y143" s="16">
        <f ca="1">IFERROR(__xludf.dummyfunction("""COMPUTED_VALUE"""),16)</f>
        <v>16</v>
      </c>
      <c r="Z143" s="16">
        <f ca="1">IFERROR(__xludf.dummyfunction("""COMPUTED_VALUE"""),4)</f>
        <v>4</v>
      </c>
      <c r="AA143" s="30">
        <f ca="1">IFERROR(__xludf.dummyfunction("""COMPUTED_VALUE"""),4)</f>
        <v>4</v>
      </c>
      <c r="AB143" s="30">
        <f ca="1">IFERROR(__xludf.dummyfunction("""COMPUTED_VALUE"""),1)</f>
        <v>1</v>
      </c>
      <c r="AC143" s="30">
        <f ca="1">IFERROR(__xludf.dummyfunction("""COMPUTED_VALUE"""),9)</f>
        <v>9</v>
      </c>
      <c r="AD143" s="16"/>
      <c r="AE143" s="30">
        <f ca="1">IFERROR(__xludf.dummyfunction("""COMPUTED_VALUE"""),1)</f>
        <v>1</v>
      </c>
      <c r="AF143" s="30"/>
      <c r="AG143" s="30">
        <f ca="1">IFERROR(__xludf.dummyfunction("""COMPUTED_VALUE"""),1)</f>
        <v>1</v>
      </c>
    </row>
    <row r="144" spans="1:33" ht="39.6">
      <c r="A144" s="34"/>
      <c r="B144" s="35" t="s">
        <v>29</v>
      </c>
      <c r="C144" s="35" t="s">
        <v>310</v>
      </c>
      <c r="D144" s="35">
        <v>6</v>
      </c>
      <c r="E144" s="36" t="s">
        <v>490</v>
      </c>
      <c r="F144" s="37" t="s">
        <v>523</v>
      </c>
      <c r="G144" s="35" t="s">
        <v>504</v>
      </c>
      <c r="H144" s="37" t="str">
        <f ca="1">IFERROR(__xludf.dummyfunction("IFERROR(
  VLOOKUP(G144, IMPORTRANGE(""https://docs.google.com/spreadsheets/d/14deopnvwcrKtEGCKuYXdUHJbeLDZlkiSSWWT0g7x2pM/edit#gid=849066331"", ""LU List Maths (Filter)!A:B""), 2, FALSE),
  IFERROR(
    VLOOKUP(G144, IMPORTRANGE(""https://docs.google.com"&amp;"/spreadsheets/d/14deopnvwcrKtEGCKuYXdUHJbeLDZlkiSSWWT0g7x2pM/edit#gid=849066331"", ""LU List Science (Filter)!A:B""), 2, FALSE),
    ""Not Found""
  )
)
"),"Methods of prime factorisation")</f>
        <v>Methods of prime factorisation</v>
      </c>
      <c r="I144" s="37"/>
      <c r="J144" s="29" t="str">
        <f t="shared" si="12"/>
        <v>LU000210.001</v>
      </c>
      <c r="K144" s="29" t="str">
        <f ca="1">IFERROR(__xludf.dummyfunction("VLOOKUP(J144, IMPORTRANGE(""https://docs.google.com/spreadsheets/d/1yDAaXNsi4Mr5FtRQL4tbmSdIzhx6_m4wkOD7IG-k_eo/edit#gid=0"", ""Maths!M:N""), 2, FALSE)"),"List the steps of prime factorisation.")</f>
        <v>List the steps of prime factorisation.</v>
      </c>
      <c r="L144" s="29" t="str">
        <f t="shared" si="13"/>
        <v>LU000210.002</v>
      </c>
      <c r="M144" s="29" t="str">
        <f ca="1">IFERROR(__xludf.dummyfunction("VLOOKUP(L144, IMPORTRANGE(""https://docs.google.com/spreadsheets/d/1yDAaXNsi4Mr5FtRQL4tbmSdIzhx6_m4wkOD7IG-k_eo/edit#gid=0"", ""Maths!M:N""), 2, FALSE)"),"Describe the various methods (like factor tree method, division method, repeated division) of prime factorisation.")</f>
        <v>Describe the various methods (like factor tree method, division method, repeated division) of prime factorisation.</v>
      </c>
      <c r="N144" s="29" t="str">
        <f t="shared" si="14"/>
        <v>LU000210.003</v>
      </c>
      <c r="O144" s="29" t="str">
        <f ca="1">IFERROR(__xludf.dummyfunction("VLOOKUP(N144, IMPORTRANGE(""https://docs.google.com/spreadsheets/d/1yDAaXNsi4Mr5FtRQL4tbmSdIzhx6_m4wkOD7IG-k_eo/edit#gid=0"", ""Maths!M:N""), 2, FALSE)"),"Apply the method of prime factorisation to factorize given numbers into their prime factors.")</f>
        <v>Apply the method of prime factorisation to factorize given numbers into their prime factors.</v>
      </c>
      <c r="P144" s="29" t="str">
        <f t="shared" si="15"/>
        <v>LU000210.004</v>
      </c>
      <c r="Q144" s="29" t="str">
        <f ca="1">IFERROR(__xludf.dummyfunction("VLOOKUP(P144, IMPORTRANGE(""https://docs.google.com/spreadsheets/d/1yDAaXNsi4Mr5FtRQL4tbmSdIzhx6_m4wkOD7IG-k_eo/edit#gid=0"", ""Maths!M:N""), 2, FALSE)"),"Analyse the efficiency and steps involved in each prime factorisation method, comparing their advantages and limitations.")</f>
        <v>Analyse the efficiency and steps involved in each prime factorisation method, comparing their advantages and limitations.</v>
      </c>
      <c r="R144" s="29" t="str">
        <f t="shared" si="16"/>
        <v>LU000210.005</v>
      </c>
      <c r="S144" s="29" t="str">
        <f ca="1">IFERROR(__xludf.dummyfunction("VLOOKUP(R144, IMPORTRANGE(""https://docs.google.com/spreadsheets/d/1yDAaXNsi4Mr5FtRQL4tbmSdIzhx6_m4wkOD7IG-k_eo/edit#gid=0"", ""Maths!M:N""), 2, FALSE)"),"Evaluate the effectiveness of prime factorisation methods in terms of accuracy, speed, and ease of use.")</f>
        <v>Evaluate the effectiveness of prime factorisation methods in terms of accuracy, speed, and ease of use.</v>
      </c>
      <c r="T144" s="29" t="str">
        <f t="shared" si="17"/>
        <v>LU000210.006</v>
      </c>
      <c r="U144" s="29" t="str">
        <f ca="1">IFERROR(__xludf.dummyfunction("VLOOKUP(T144, IMPORTRANGE(""https://docs.google.com/spreadsheets/d/1yDAaXNsi4Mr5FtRQL4tbmSdIzhx6_m4wkOD7IG-k_eo/edit#gid=0"", ""Maths!M:N""), 2, FALSE)"),"Devise real-world problems or puzzles that require prime factorisation.")</f>
        <v>Devise real-world problems or puzzles that require prime factorisation.</v>
      </c>
      <c r="V144" s="16">
        <f ca="1">IFERROR(__xludf.dummyfunction("ArrayFormula(VLOOKUP(G144, IMPORTRANGE(""https://docs.google.com/spreadsheets/d/1p7R4vtkWt5VOBim4ltsDG9KTzSjrtKXsMtQGXPHyND0/edit#gid=795171502"", ""'Filter 30_05_2024'!A1:M2000""), {2, 3, 4, 5,6,7,8,9,10,11,12,13}, 0))"),14)</f>
        <v>14</v>
      </c>
      <c r="W144" s="16">
        <f ca="1">IFERROR(__xludf.dummyfunction("""COMPUTED_VALUE"""),9)</f>
        <v>9</v>
      </c>
      <c r="X144" s="16">
        <f ca="1">IFERROR(__xludf.dummyfunction("""COMPUTED_VALUE"""),2)</f>
        <v>2</v>
      </c>
      <c r="Y144" s="16">
        <f ca="1">IFERROR(__xludf.dummyfunction("""COMPUTED_VALUE"""),25)</f>
        <v>25</v>
      </c>
      <c r="Z144" s="16">
        <f ca="1">IFERROR(__xludf.dummyfunction("""COMPUTED_VALUE"""),8)</f>
        <v>8</v>
      </c>
      <c r="AA144" s="30">
        <f ca="1">IFERROR(__xludf.dummyfunction("""COMPUTED_VALUE"""),6)</f>
        <v>6</v>
      </c>
      <c r="AB144" s="30">
        <f ca="1">IFERROR(__xludf.dummyfunction("""COMPUTED_VALUE"""),1)</f>
        <v>1</v>
      </c>
      <c r="AC144" s="30">
        <f ca="1">IFERROR(__xludf.dummyfunction("""COMPUTED_VALUE"""),15)</f>
        <v>15</v>
      </c>
      <c r="AD144" s="16"/>
      <c r="AE144" s="30"/>
      <c r="AF144" s="30"/>
      <c r="AG144" s="30"/>
    </row>
    <row r="145" spans="1:33" ht="39.6">
      <c r="A145" s="25"/>
      <c r="B145" s="26" t="s">
        <v>29</v>
      </c>
      <c r="C145" s="26" t="s">
        <v>310</v>
      </c>
      <c r="D145" s="26">
        <v>6</v>
      </c>
      <c r="E145" s="27" t="s">
        <v>490</v>
      </c>
      <c r="F145" s="28" t="s">
        <v>524</v>
      </c>
      <c r="G145" s="26" t="s">
        <v>525</v>
      </c>
      <c r="H145" s="28" t="str">
        <f ca="1">IFERROR(__xludf.dummyfunction("IFERROR(
  VLOOKUP(G145, IMPORTRANGE(""https://docs.google.com/spreadsheets/d/14deopnvwcrKtEGCKuYXdUHJbeLDZlkiSSWWT0g7x2pM/edit#gid=849066331"", ""LU List Maths (Filter)!A:B""), 2, FALSE),
  IFERROR(
    VLOOKUP(G145, IMPORTRANGE(""https://docs.google.com"&amp;"/spreadsheets/d/14deopnvwcrKtEGCKuYXdUHJbeLDZlkiSSWWT0g7x2pM/edit#gid=849066331"", ""LU List Science (Filter)!A:B""), 2, FALSE),
    ""Not Found""
  )
)
"),"Highest Common Factor (HCF) of the numbers")</f>
        <v>Highest Common Factor (HCF) of the numbers</v>
      </c>
      <c r="I145" s="28"/>
      <c r="J145" s="29" t="str">
        <f t="shared" si="12"/>
        <v>LU000211.001</v>
      </c>
      <c r="K145" s="29" t="str">
        <f ca="1">IFERROR(__xludf.dummyfunction("VLOOKUP(J145, IMPORTRANGE(""https://docs.google.com/spreadsheets/d/1yDAaXNsi4Mr5FtRQL4tbmSdIzhx6_m4wkOD7IG-k_eo/edit#gid=0"", ""Maths!M:N""), 2, FALSE)"),"Define HCF as the largest common divisor of two or more numbers.")</f>
        <v>Define HCF as the largest common divisor of two or more numbers.</v>
      </c>
      <c r="L145" s="29" t="str">
        <f t="shared" si="13"/>
        <v>LU000211.002</v>
      </c>
      <c r="M145" s="29" t="str">
        <f ca="1">IFERROR(__xludf.dummyfunction("VLOOKUP(L145, IMPORTRANGE(""https://docs.google.com/spreadsheets/d/1yDAaXNsi4Mr5FtRQL4tbmSdIzhx6_m4wkOD7IG-k_eo/edit#gid=0"", ""Maths!M:N""), 2, FALSE)"),"Explain the concept and process involved in finding the Highest Common Factor (HCF) of numbers.")</f>
        <v>Explain the concept and process involved in finding the Highest Common Factor (HCF) of numbers.</v>
      </c>
      <c r="N145" s="29" t="str">
        <f t="shared" si="14"/>
        <v>LU000211.003</v>
      </c>
      <c r="O145" s="29" t="str">
        <f ca="1">IFERROR(__xludf.dummyfunction("VLOOKUP(N145, IMPORTRANGE(""https://docs.google.com/spreadsheets/d/1yDAaXNsi4Mr5FtRQL4tbmSdIzhx6_m4wkOD7IG-k_eo/edit#gid=0"", ""Maths!M:N""), 2, FALSE)"),"Apply the concept of HCF to find the largest common factor in arithmetic and real-life problems")</f>
        <v>Apply the concept of HCF to find the largest common factor in arithmetic and real-life problems</v>
      </c>
      <c r="P145" s="29" t="str">
        <f t="shared" si="15"/>
        <v>LU000211.004</v>
      </c>
      <c r="Q145" s="29" t="str">
        <f ca="1">IFERROR(__xludf.dummyfunction("VLOOKUP(P145, IMPORTRANGE(""https://docs.google.com/spreadsheets/d/1yDAaXNsi4Mr5FtRQL4tbmSdIzhx6_m4wkOD7IG-k_eo/edit#gid=0"", ""Maths!M:N""), 2, FALSE)"),"Differentiate between various methods of finding the HCF, and organize numerical examples to demonstrate the most effective approach for different sets of numbers.")</f>
        <v>Differentiate between various methods of finding the HCF, and organize numerical examples to demonstrate the most effective approach for different sets of numbers.</v>
      </c>
      <c r="R145" s="29" t="str">
        <f t="shared" si="16"/>
        <v>LU000211.005</v>
      </c>
      <c r="S145" s="29" t="str">
        <f ca="1">IFERROR(__xludf.dummyfunction("VLOOKUP(R145, IMPORTRANGE(""https://docs.google.com/spreadsheets/d/1yDAaXNsi4Mr5FtRQL4tbmSdIzhx6_m4wkOD7IG-k_eo/edit#gid=0"", ""Maths!M:N""), 2, FALSE)"),"List the significance of the HCF in real-world situations.")</f>
        <v>List the significance of the HCF in real-world situations.</v>
      </c>
      <c r="T145" s="29" t="str">
        <f t="shared" si="17"/>
        <v>LU000211.006</v>
      </c>
      <c r="U145" s="29" t="str">
        <f ca="1">IFERROR(__xludf.dummyfunction("VLOOKUP(T145, IMPORTRANGE(""https://docs.google.com/spreadsheets/d/1yDAaXNsi4Mr5FtRQL4tbmSdIzhx6_m4wkOD7IG-k_eo/edit#gid=0"", ""Maths!M:N""), 2, FALSE)"),"Find out number pairs to determine the HCF using the preferred method, demonstrating a deep understanding of the concept")</f>
        <v>Find out number pairs to determine the HCF using the preferred method, demonstrating a deep understanding of the concept</v>
      </c>
      <c r="V145" s="16">
        <f ca="1">IFERROR(__xludf.dummyfunction("ArrayFormula(VLOOKUP(G145, IMPORTRANGE(""https://docs.google.com/spreadsheets/d/1p7R4vtkWt5VOBim4ltsDG9KTzSjrtKXsMtQGXPHyND0/edit#gid=795171502"", ""'Filter 30_05_2024'!A1:M2000""), {2, 3, 4, 5,6,7,8,9,10,11,12,13}, 0))"),9)</f>
        <v>9</v>
      </c>
      <c r="W145" s="16">
        <f ca="1">IFERROR(__xludf.dummyfunction("""COMPUTED_VALUE"""),6)</f>
        <v>6</v>
      </c>
      <c r="X145" s="16">
        <f ca="1">IFERROR(__xludf.dummyfunction("""COMPUTED_VALUE"""),2)</f>
        <v>2</v>
      </c>
      <c r="Y145" s="16">
        <f ca="1">IFERROR(__xludf.dummyfunction("""COMPUTED_VALUE"""),17)</f>
        <v>17</v>
      </c>
      <c r="Z145" s="16">
        <f ca="1">IFERROR(__xludf.dummyfunction("""COMPUTED_VALUE"""),5)</f>
        <v>5</v>
      </c>
      <c r="AA145" s="30">
        <f ca="1">IFERROR(__xludf.dummyfunction("""COMPUTED_VALUE"""),3)</f>
        <v>3</v>
      </c>
      <c r="AB145" s="30">
        <f ca="1">IFERROR(__xludf.dummyfunction("""COMPUTED_VALUE"""),1)</f>
        <v>1</v>
      </c>
      <c r="AC145" s="30">
        <f ca="1">IFERROR(__xludf.dummyfunction("""COMPUTED_VALUE"""),9)</f>
        <v>9</v>
      </c>
      <c r="AD145" s="16"/>
      <c r="AE145" s="30"/>
      <c r="AF145" s="30"/>
      <c r="AG145" s="30"/>
    </row>
    <row r="146" spans="1:33" ht="39.6">
      <c r="A146" s="25"/>
      <c r="B146" s="26" t="s">
        <v>29</v>
      </c>
      <c r="C146" s="26" t="s">
        <v>310</v>
      </c>
      <c r="D146" s="26">
        <v>6</v>
      </c>
      <c r="E146" s="27" t="s">
        <v>490</v>
      </c>
      <c r="F146" s="28"/>
      <c r="G146" s="33" t="s">
        <v>526</v>
      </c>
      <c r="H146" s="28" t="str">
        <f ca="1">IFERROR(__xludf.dummyfunction("IFERROR(
  VLOOKUP(G146, IMPORTRANGE(""https://docs.google.com/spreadsheets/d/14deopnvwcrKtEGCKuYXdUHJbeLDZlkiSSWWT0g7x2pM/edit#gid=849066331"", ""LU List Maths (Filter)!A:B""), 2, FALSE),
  IFERROR(
    VLOOKUP(G146, IMPORTRANGE(""https://docs.google.com"&amp;"/spreadsheets/d/14deopnvwcrKtEGCKuYXdUHJbeLDZlkiSSWWT0g7x2pM/edit#gid=849066331"", ""LU List Science (Filter)!A:B""), 2, FALSE),
    ""Not Found""
  )
)
"),"Highest Common Factor (HCF) of the numbers using division method")</f>
        <v>Highest Common Factor (HCF) of the numbers using division method</v>
      </c>
      <c r="I146" s="28"/>
      <c r="J146" s="29" t="str">
        <f t="shared" si="12"/>
        <v>LU001385.001</v>
      </c>
      <c r="K146" s="29" t="str">
        <f ca="1">IFERROR(__xludf.dummyfunction("VLOOKUP(J146, IMPORTRANGE(""https://docs.google.com/spreadsheets/d/1yDAaXNsi4Mr5FtRQL4tbmSdIzhx6_m4wkOD7IG-k_eo/edit#gid=0"", ""Maths!M:N""), 2, FALSE)"),"(LU001385.001); Default - Remember")</f>
        <v>(LU001385.001); Default - Remember</v>
      </c>
      <c r="L146" s="29" t="str">
        <f t="shared" si="13"/>
        <v>LU001385.002</v>
      </c>
      <c r="M146" s="29" t="str">
        <f ca="1">IFERROR(__xludf.dummyfunction("VLOOKUP(L146, IMPORTRANGE(""https://docs.google.com/spreadsheets/d/1yDAaXNsi4Mr5FtRQL4tbmSdIzhx6_m4wkOD7IG-k_eo/edit#gid=0"", ""Maths!M:N""), 2, FALSE)"),"(LU001385.002); Default - Understand")</f>
        <v>(LU001385.002); Default - Understand</v>
      </c>
      <c r="N146" s="29" t="str">
        <f t="shared" si="14"/>
        <v>LU001385.003</v>
      </c>
      <c r="O146" s="29" t="str">
        <f ca="1">IFERROR(__xludf.dummyfunction("VLOOKUP(N146, IMPORTRANGE(""https://docs.google.com/spreadsheets/d/1yDAaXNsi4Mr5FtRQL4tbmSdIzhx6_m4wkOD7IG-k_eo/edit#gid=0"", ""Maths!M:N""), 2, FALSE)"),"(LU001385.003); Default - Apply")</f>
        <v>(LU001385.003); Default - Apply</v>
      </c>
      <c r="P146" s="29" t="str">
        <f t="shared" si="15"/>
        <v>LU001385.004</v>
      </c>
      <c r="Q146" s="29" t="str">
        <f ca="1">IFERROR(__xludf.dummyfunction("VLOOKUP(P146, IMPORTRANGE(""https://docs.google.com/spreadsheets/d/1yDAaXNsi4Mr5FtRQL4tbmSdIzhx6_m4wkOD7IG-k_eo/edit#gid=0"", ""Maths!M:N""), 2, FALSE)"),"(LU001385.004); Default - Analyse")</f>
        <v>(LU001385.004); Default - Analyse</v>
      </c>
      <c r="R146" s="29" t="str">
        <f t="shared" si="16"/>
        <v>LU001385.005</v>
      </c>
      <c r="S146" s="29" t="str">
        <f ca="1">IFERROR(__xludf.dummyfunction("VLOOKUP(R146, IMPORTRANGE(""https://docs.google.com/spreadsheets/d/1yDAaXNsi4Mr5FtRQL4tbmSdIzhx6_m4wkOD7IG-k_eo/edit#gid=0"", ""Maths!M:N""), 2, FALSE)"),"(LU001385.005); Default - Evaluate")</f>
        <v>(LU001385.005); Default - Evaluate</v>
      </c>
      <c r="T146" s="29" t="str">
        <f t="shared" si="17"/>
        <v>LU001385.006</v>
      </c>
      <c r="U146" s="29" t="str">
        <f ca="1">IFERROR(__xludf.dummyfunction("VLOOKUP(T146, IMPORTRANGE(""https://docs.google.com/spreadsheets/d/1yDAaXNsi4Mr5FtRQL4tbmSdIzhx6_m4wkOD7IG-k_eo/edit#gid=0"", ""Maths!M:N""), 2, FALSE)"),"(LU001385.006); Default - Create")</f>
        <v>(LU001385.006); Default - Create</v>
      </c>
      <c r="V146" s="16" t="str">
        <f ca="1">IFERROR(__xludf.dummyfunction("ArrayFormula(VLOOKUP(G146, IMPORTRANGE(""https://docs.google.com/spreadsheets/d/1p7R4vtkWt5VOBim4ltsDG9KTzSjrtKXsMtQGXPHyND0/edit#gid=795171502"", ""'Filter 30_05_2024'!A1:M2000""), {2, 3, 4, 5,6,7,8,9,10,11,12,13}, 0))"),"#N/A")</f>
        <v>#N/A</v>
      </c>
      <c r="W146" s="16" t="str">
        <f ca="1">IFERROR(__xludf.dummyfunction("""COMPUTED_VALUE"""),"#N/A")</f>
        <v>#N/A</v>
      </c>
      <c r="X146" s="16" t="str">
        <f ca="1">IFERROR(__xludf.dummyfunction("""COMPUTED_VALUE"""),"#N/A")</f>
        <v>#N/A</v>
      </c>
      <c r="Y146" s="16" t="str">
        <f ca="1">IFERROR(__xludf.dummyfunction("""COMPUTED_VALUE"""),"#N/A")</f>
        <v>#N/A</v>
      </c>
      <c r="Z146" s="16" t="str">
        <f ca="1">IFERROR(__xludf.dummyfunction("""COMPUTED_VALUE"""),"#N/A")</f>
        <v>#N/A</v>
      </c>
      <c r="AA146" s="30" t="str">
        <f ca="1">IFERROR(__xludf.dummyfunction("""COMPUTED_VALUE"""),"#N/A")</f>
        <v>#N/A</v>
      </c>
      <c r="AB146" s="30" t="str">
        <f ca="1">IFERROR(__xludf.dummyfunction("""COMPUTED_VALUE"""),"#N/A")</f>
        <v>#N/A</v>
      </c>
      <c r="AC146" s="30" t="str">
        <f ca="1">IFERROR(__xludf.dummyfunction("""COMPUTED_VALUE"""),"#N/A")</f>
        <v>#N/A</v>
      </c>
      <c r="AD146" s="16" t="str">
        <f ca="1">IFERROR(__xludf.dummyfunction("""COMPUTED_VALUE"""),"#N/A")</f>
        <v>#N/A</v>
      </c>
      <c r="AE146" s="30" t="str">
        <f ca="1">IFERROR(__xludf.dummyfunction("""COMPUTED_VALUE"""),"#N/A")</f>
        <v>#N/A</v>
      </c>
      <c r="AF146" s="30" t="str">
        <f ca="1">IFERROR(__xludf.dummyfunction("""COMPUTED_VALUE"""),"#N/A")</f>
        <v>#N/A</v>
      </c>
      <c r="AG146" s="30" t="str">
        <f ca="1">IFERROR(__xludf.dummyfunction("""COMPUTED_VALUE"""),"#N/A")</f>
        <v>#N/A</v>
      </c>
    </row>
    <row r="147" spans="1:33" ht="39.6">
      <c r="A147" s="25"/>
      <c r="B147" s="26" t="s">
        <v>29</v>
      </c>
      <c r="C147" s="26" t="s">
        <v>310</v>
      </c>
      <c r="D147" s="26">
        <v>6</v>
      </c>
      <c r="E147" s="27" t="s">
        <v>490</v>
      </c>
      <c r="F147" s="28" t="s">
        <v>527</v>
      </c>
      <c r="G147" s="26" t="s">
        <v>528</v>
      </c>
      <c r="H147" s="28" t="str">
        <f ca="1">IFERROR(__xludf.dummyfunction("IFERROR(
  VLOOKUP(G147, IMPORTRANGE(""https://docs.google.com/spreadsheets/d/14deopnvwcrKtEGCKuYXdUHJbeLDZlkiSSWWT0g7x2pM/edit#gid=849066331"", ""LU List Maths (Filter)!A:B""), 2, FALSE),
  IFERROR(
    VLOOKUP(G147, IMPORTRANGE(""https://docs.google.com"&amp;"/spreadsheets/d/14deopnvwcrKtEGCKuYXdUHJbeLDZlkiSSWWT0g7x2pM/edit#gid=849066331"", ""LU List Science (Filter)!A:B""), 2, FALSE),
    ""Not Found""
  )
)
"),"Least Common Multiple (LCM) of the numbers")</f>
        <v>Least Common Multiple (LCM) of the numbers</v>
      </c>
      <c r="I147" s="28"/>
      <c r="J147" s="29" t="str">
        <f t="shared" si="12"/>
        <v>LU000212.001</v>
      </c>
      <c r="K147" s="29" t="str">
        <f ca="1">IFERROR(__xludf.dummyfunction("VLOOKUP(J147, IMPORTRANGE(""https://docs.google.com/spreadsheets/d/1yDAaXNsi4Mr5FtRQL4tbmSdIzhx6_m4wkOD7IG-k_eo/edit#gid=0"", ""Maths!M:N""), 2, FALSE)"),"Define LCM as the smallest number that is divisible by two or more numbers.")</f>
        <v>Define LCM as the smallest number that is divisible by two or more numbers.</v>
      </c>
      <c r="L147" s="29" t="str">
        <f t="shared" si="13"/>
        <v>LU000212.002</v>
      </c>
      <c r="M147" s="29" t="str">
        <f ca="1">IFERROR(__xludf.dummyfunction("VLOOKUP(L147, IMPORTRANGE(""https://docs.google.com/spreadsheets/d/1yDAaXNsi4Mr5FtRQL4tbmSdIzhx6_m4wkOD7IG-k_eo/edit#gid=0"", ""Maths!M:N""), 2, FALSE)"),"Explain the concept and process involved in finding the LCM of numbers.")</f>
        <v>Explain the concept and process involved in finding the LCM of numbers.</v>
      </c>
      <c r="N147" s="29" t="str">
        <f t="shared" si="14"/>
        <v>LU000212.003</v>
      </c>
      <c r="O147" s="29" t="str">
        <f ca="1">IFERROR(__xludf.dummyfunction("VLOOKUP(N147, IMPORTRANGE(""https://docs.google.com/spreadsheets/d/1yDAaXNsi4Mr5FtRQL4tbmSdIzhx6_m4wkOD7IG-k_eo/edit#gid=0"", ""Maths!M:N""), 2, FALSE)"),"Apply the concept of LCM to find the smallest common multiple among numbers, solving problems involving multiple occurrences")</f>
        <v>Apply the concept of LCM to find the smallest common multiple among numbers, solving problems involving multiple occurrences</v>
      </c>
      <c r="P147" s="29" t="str">
        <f t="shared" si="15"/>
        <v>LU000212.004</v>
      </c>
      <c r="Q147" s="29" t="str">
        <f ca="1">IFERROR(__xludf.dummyfunction("VLOOKUP(P147, IMPORTRANGE(""https://docs.google.com/spreadsheets/d/1yDAaXNsi4Mr5FtRQL4tbmSdIzhx6_m4wkOD7IG-k_eo/edit#gid=0"", ""Maths!M:N""), 2, FALSE)"),"Differentiate between various methods of finding the LCM, and organize numerical examples to demonstrate the most effective approach for different sets of numbers.")</f>
        <v>Differentiate between various methods of finding the LCM, and organize numerical examples to demonstrate the most effective approach for different sets of numbers.</v>
      </c>
      <c r="R147" s="29" t="str">
        <f t="shared" si="16"/>
        <v>LU000212.005</v>
      </c>
      <c r="S147" s="29" t="str">
        <f ca="1">IFERROR(__xludf.dummyfunction("VLOOKUP(R147, IMPORTRANGE(""https://docs.google.com/spreadsheets/d/1yDAaXNsi4Mr5FtRQL4tbmSdIzhx6_m4wkOD7IG-k_eo/edit#gid=0"", ""Maths!M:N""), 2, FALSE)"),"List the significance of the LCM in real-world situations.")</f>
        <v>List the significance of the LCM in real-world situations.</v>
      </c>
      <c r="T147" s="29" t="str">
        <f t="shared" si="17"/>
        <v>LU000212.006</v>
      </c>
      <c r="U147" s="29" t="str">
        <f ca="1">IFERROR(__xludf.dummyfunction("VLOOKUP(T147, IMPORTRANGE(""https://docs.google.com/spreadsheets/d/1yDAaXNsi4Mr5FtRQL4tbmSdIzhx6_m4wkOD7IG-k_eo/edit#gid=0"", ""Maths!M:N""), 2, FALSE)"),"Find out number pairs to determine the LCM using the preferred method, demonstrating a deep understanding of the concept")</f>
        <v>Find out number pairs to determine the LCM using the preferred method, demonstrating a deep understanding of the concept</v>
      </c>
      <c r="V147" s="16">
        <f ca="1">IFERROR(__xludf.dummyfunction("ArrayFormula(VLOOKUP(G147, IMPORTRANGE(""https://docs.google.com/spreadsheets/d/1p7R4vtkWt5VOBim4ltsDG9KTzSjrtKXsMtQGXPHyND0/edit#gid=795171502"", ""'Filter 30_05_2024'!A1:M2000""), {2, 3, 4, 5,6,7,8,9,10,11,12,13}, 0))"),9)</f>
        <v>9</v>
      </c>
      <c r="W147" s="16">
        <f ca="1">IFERROR(__xludf.dummyfunction("""COMPUTED_VALUE"""),5)</f>
        <v>5</v>
      </c>
      <c r="X147" s="16">
        <f ca="1">IFERROR(__xludf.dummyfunction("""COMPUTED_VALUE"""),2)</f>
        <v>2</v>
      </c>
      <c r="Y147" s="16">
        <f ca="1">IFERROR(__xludf.dummyfunction("""COMPUTED_VALUE"""),16)</f>
        <v>16</v>
      </c>
      <c r="Z147" s="16">
        <f ca="1">IFERROR(__xludf.dummyfunction("""COMPUTED_VALUE"""),6)</f>
        <v>6</v>
      </c>
      <c r="AA147" s="30">
        <f ca="1">IFERROR(__xludf.dummyfunction("""COMPUTED_VALUE"""),4)</f>
        <v>4</v>
      </c>
      <c r="AB147" s="30">
        <f ca="1">IFERROR(__xludf.dummyfunction("""COMPUTED_VALUE"""),1)</f>
        <v>1</v>
      </c>
      <c r="AC147" s="30">
        <f ca="1">IFERROR(__xludf.dummyfunction("""COMPUTED_VALUE"""),11)</f>
        <v>11</v>
      </c>
      <c r="AD147" s="16"/>
      <c r="AE147" s="30"/>
      <c r="AF147" s="30"/>
      <c r="AG147" s="30"/>
    </row>
    <row r="148" spans="1:33" ht="39.6">
      <c r="A148" s="25"/>
      <c r="B148" s="26" t="s">
        <v>29</v>
      </c>
      <c r="C148" s="26" t="s">
        <v>310</v>
      </c>
      <c r="D148" s="26">
        <v>6</v>
      </c>
      <c r="E148" s="27" t="s">
        <v>490</v>
      </c>
      <c r="F148" s="28"/>
      <c r="G148" s="38" t="s">
        <v>529</v>
      </c>
      <c r="H148" s="28" t="str">
        <f ca="1">IFERROR(__xludf.dummyfunction("IFERROR(
  VLOOKUP(G148, IMPORTRANGE(""https://docs.google.com/spreadsheets/d/14deopnvwcrKtEGCKuYXdUHJbeLDZlkiSSWWT0g7x2pM/edit#gid=849066331"", ""LU List Maths (Filter)!A:B""), 2, FALSE),
  IFERROR(
    VLOOKUP(G148, IMPORTRANGE(""https://docs.google.com"&amp;"/spreadsheets/d/14deopnvwcrKtEGCKuYXdUHJbeLDZlkiSSWWT0g7x2pM/edit#gid=849066331"", ""LU List Science (Filter)!A:B""), 2, FALSE),
    ""Not Found""
  )
)
"),"Least Common Multiple (LCM) of the numbers using division method")</f>
        <v>Least Common Multiple (LCM) of the numbers using division method</v>
      </c>
      <c r="I148" s="28"/>
      <c r="J148" s="29" t="str">
        <f t="shared" si="12"/>
        <v>LU001386.001</v>
      </c>
      <c r="K148" s="29" t="str">
        <f ca="1">IFERROR(__xludf.dummyfunction("VLOOKUP(J148, IMPORTRANGE(""https://docs.google.com/spreadsheets/d/1yDAaXNsi4Mr5FtRQL4tbmSdIzhx6_m4wkOD7IG-k_eo/edit#gid=0"", ""Maths!M:N""), 2, FALSE)"),"(LU001386.001); Default - Remember")</f>
        <v>(LU001386.001); Default - Remember</v>
      </c>
      <c r="L148" s="29" t="str">
        <f t="shared" si="13"/>
        <v>LU001386.002</v>
      </c>
      <c r="M148" s="29" t="str">
        <f ca="1">IFERROR(__xludf.dummyfunction("VLOOKUP(L148, IMPORTRANGE(""https://docs.google.com/spreadsheets/d/1yDAaXNsi4Mr5FtRQL4tbmSdIzhx6_m4wkOD7IG-k_eo/edit#gid=0"", ""Maths!M:N""), 2, FALSE)"),"(LU001386.002); Default - Understand")</f>
        <v>(LU001386.002); Default - Understand</v>
      </c>
      <c r="N148" s="29" t="str">
        <f t="shared" si="14"/>
        <v>LU001386.003</v>
      </c>
      <c r="O148" s="29" t="str">
        <f ca="1">IFERROR(__xludf.dummyfunction("VLOOKUP(N148, IMPORTRANGE(""https://docs.google.com/spreadsheets/d/1yDAaXNsi4Mr5FtRQL4tbmSdIzhx6_m4wkOD7IG-k_eo/edit#gid=0"", ""Maths!M:N""), 2, FALSE)"),"(LU001386.003); Default - Apply")</f>
        <v>(LU001386.003); Default - Apply</v>
      </c>
      <c r="P148" s="29" t="str">
        <f t="shared" si="15"/>
        <v>LU001386.004</v>
      </c>
      <c r="Q148" s="29" t="str">
        <f ca="1">IFERROR(__xludf.dummyfunction("VLOOKUP(P148, IMPORTRANGE(""https://docs.google.com/spreadsheets/d/1yDAaXNsi4Mr5FtRQL4tbmSdIzhx6_m4wkOD7IG-k_eo/edit#gid=0"", ""Maths!M:N""), 2, FALSE)"),"(LU001386.004); Default - Analyse")</f>
        <v>(LU001386.004); Default - Analyse</v>
      </c>
      <c r="R148" s="29" t="str">
        <f t="shared" si="16"/>
        <v>LU001386.005</v>
      </c>
      <c r="S148" s="29" t="str">
        <f ca="1">IFERROR(__xludf.dummyfunction("VLOOKUP(R148, IMPORTRANGE(""https://docs.google.com/spreadsheets/d/1yDAaXNsi4Mr5FtRQL4tbmSdIzhx6_m4wkOD7IG-k_eo/edit#gid=0"", ""Maths!M:N""), 2, FALSE)"),"(LU001386.005); Default - Evaluate")</f>
        <v>(LU001386.005); Default - Evaluate</v>
      </c>
      <c r="T148" s="29" t="str">
        <f t="shared" si="17"/>
        <v>LU001386.006</v>
      </c>
      <c r="U148" s="29" t="str">
        <f ca="1">IFERROR(__xludf.dummyfunction("VLOOKUP(T148, IMPORTRANGE(""https://docs.google.com/spreadsheets/d/1yDAaXNsi4Mr5FtRQL4tbmSdIzhx6_m4wkOD7IG-k_eo/edit#gid=0"", ""Maths!M:N""), 2, FALSE)"),"(LU001386.006); Default - Create")</f>
        <v>(LU001386.006); Default - Create</v>
      </c>
      <c r="V148" s="16" t="str">
        <f ca="1">IFERROR(__xludf.dummyfunction("ArrayFormula(VLOOKUP(G148, IMPORTRANGE(""https://docs.google.com/spreadsheets/d/1p7R4vtkWt5VOBim4ltsDG9KTzSjrtKXsMtQGXPHyND0/edit#gid=795171502"", ""'Filter 30_05_2024'!A1:M2000""), {2, 3, 4, 5,6,7,8,9,10,11,12,13}, 0))"),"#N/A")</f>
        <v>#N/A</v>
      </c>
      <c r="W148" s="16" t="str">
        <f ca="1">IFERROR(__xludf.dummyfunction("""COMPUTED_VALUE"""),"#N/A")</f>
        <v>#N/A</v>
      </c>
      <c r="X148" s="16" t="str">
        <f ca="1">IFERROR(__xludf.dummyfunction("""COMPUTED_VALUE"""),"#N/A")</f>
        <v>#N/A</v>
      </c>
      <c r="Y148" s="16" t="str">
        <f ca="1">IFERROR(__xludf.dummyfunction("""COMPUTED_VALUE"""),"#N/A")</f>
        <v>#N/A</v>
      </c>
      <c r="Z148" s="16" t="str">
        <f ca="1">IFERROR(__xludf.dummyfunction("""COMPUTED_VALUE"""),"#N/A")</f>
        <v>#N/A</v>
      </c>
      <c r="AA148" s="30" t="str">
        <f ca="1">IFERROR(__xludf.dummyfunction("""COMPUTED_VALUE"""),"#N/A")</f>
        <v>#N/A</v>
      </c>
      <c r="AB148" s="30" t="str">
        <f ca="1">IFERROR(__xludf.dummyfunction("""COMPUTED_VALUE"""),"#N/A")</f>
        <v>#N/A</v>
      </c>
      <c r="AC148" s="30" t="str">
        <f ca="1">IFERROR(__xludf.dummyfunction("""COMPUTED_VALUE"""),"#N/A")</f>
        <v>#N/A</v>
      </c>
      <c r="AD148" s="16" t="str">
        <f ca="1">IFERROR(__xludf.dummyfunction("""COMPUTED_VALUE"""),"#N/A")</f>
        <v>#N/A</v>
      </c>
      <c r="AE148" s="30" t="str">
        <f ca="1">IFERROR(__xludf.dummyfunction("""COMPUTED_VALUE"""),"#N/A")</f>
        <v>#N/A</v>
      </c>
      <c r="AF148" s="30" t="str">
        <f ca="1">IFERROR(__xludf.dummyfunction("""COMPUTED_VALUE"""),"#N/A")</f>
        <v>#N/A</v>
      </c>
      <c r="AG148" s="30" t="str">
        <f ca="1">IFERROR(__xludf.dummyfunction("""COMPUTED_VALUE"""),"#N/A")</f>
        <v>#N/A</v>
      </c>
    </row>
    <row r="149" spans="1:33" ht="39.6">
      <c r="A149" s="25"/>
      <c r="B149" s="26" t="s">
        <v>29</v>
      </c>
      <c r="C149" s="26" t="s">
        <v>310</v>
      </c>
      <c r="D149" s="26">
        <v>6</v>
      </c>
      <c r="E149" s="27" t="s">
        <v>490</v>
      </c>
      <c r="F149" s="28"/>
      <c r="G149" s="31" t="s">
        <v>530</v>
      </c>
      <c r="H149" s="28" t="str">
        <f ca="1">IFERROR(__xludf.dummyfunction("IFERROR(
  VLOOKUP(G149, IMPORTRANGE(""https://docs.google.com/spreadsheets/d/14deopnvwcrKtEGCKuYXdUHJbeLDZlkiSSWWT0g7x2pM/edit#gid=849066331"", ""LU List Maths (Filter)!A:B""), 2, FALSE),
  IFERROR(
    VLOOKUP(G149, IMPORTRANGE(""https://docs.google.com"&amp;"/spreadsheets/d/14deopnvwcrKtEGCKuYXdUHJbeLDZlkiSSWWT0g7x2pM/edit#gid=849066331"", ""LU List Science (Filter)!A:B""), 2, FALSE),
    ""Not Found""
  )
)
"),"Relationship between product of number, their HCF and LCM")</f>
        <v>Relationship between product of number, their HCF and LCM</v>
      </c>
      <c r="I149" s="28"/>
      <c r="J149" s="29" t="str">
        <f t="shared" si="12"/>
        <v>LU000214.001</v>
      </c>
      <c r="K149" s="29" t="str">
        <f ca="1">IFERROR(__xludf.dummyfunction("VLOOKUP(J149, IMPORTRANGE(""https://docs.google.com/spreadsheets/d/1yDAaXNsi4Mr5FtRQL4tbmSdIzhx6_m4wkOD7IG-k_eo/edit#gid=0"", ""Maths!M:N""), 2, FALSE)"),"(LU000214.001); Default - Remember")</f>
        <v>(LU000214.001); Default - Remember</v>
      </c>
      <c r="L149" s="29" t="str">
        <f t="shared" si="13"/>
        <v>LU000214.002</v>
      </c>
      <c r="M149" s="29" t="str">
        <f ca="1">IFERROR(__xludf.dummyfunction("VLOOKUP(L149, IMPORTRANGE(""https://docs.google.com/spreadsheets/d/1yDAaXNsi4Mr5FtRQL4tbmSdIzhx6_m4wkOD7IG-k_eo/edit#gid=0"", ""Maths!M:N""), 2, FALSE)"),"Understand the relationship between LCM, HCF, and the product of two numbers,")</f>
        <v>Understand the relationship between LCM, HCF, and the product of two numbers,</v>
      </c>
      <c r="N149" s="29" t="str">
        <f t="shared" si="14"/>
        <v>LU000214.003</v>
      </c>
      <c r="O149" s="29" t="str">
        <f ca="1">IFERROR(__xludf.dummyfunction("VLOOKUP(N149, IMPORTRANGE(""https://docs.google.com/spreadsheets/d/1yDAaXNsi4Mr5FtRQL4tbmSdIzhx6_m4wkOD7IG-k_eo/edit#gid=0"", ""Maths!M:N""), 2, FALSE)"),"Apply the relationship between LCM, HCF, and the product of numbers to solve problems")</f>
        <v>Apply the relationship between LCM, HCF, and the product of numbers to solve problems</v>
      </c>
      <c r="P149" s="29" t="str">
        <f t="shared" si="15"/>
        <v>LU000214.004</v>
      </c>
      <c r="Q149" s="29" t="str">
        <f ca="1">IFERROR(__xludf.dummyfunction("VLOOKUP(P149, IMPORTRANGE(""https://docs.google.com/spreadsheets/d/1yDAaXNsi4Mr5FtRQL4tbmSdIzhx6_m4wkOD7IG-k_eo/edit#gid=0"", ""Maths!M:N""), 2, FALSE)"),"")</f>
        <v/>
      </c>
      <c r="R149" s="29" t="str">
        <f t="shared" si="16"/>
        <v>LU000214.005</v>
      </c>
      <c r="S149" s="29" t="str">
        <f ca="1">IFERROR(__xludf.dummyfunction("VLOOKUP(R149, IMPORTRANGE(""https://docs.google.com/spreadsheets/d/1yDAaXNsi4Mr5FtRQL4tbmSdIzhx6_m4wkOD7IG-k_eo/edit#gid=0"", ""Maths!M:N""), 2, FALSE)"),"Evaluate the usefulness of the relationship between LCM, HCF, and the product of numbers in simplifying calculations and solving problems involving divisibility.")</f>
        <v>Evaluate the usefulness of the relationship between LCM, HCF, and the product of numbers in simplifying calculations and solving problems involving divisibility.</v>
      </c>
      <c r="T149" s="29" t="str">
        <f t="shared" si="17"/>
        <v>LU000214.006</v>
      </c>
      <c r="U149" s="29" t="str">
        <f ca="1">IFERROR(__xludf.dummyfunction("VLOOKUP(T149, IMPORTRANGE(""https://docs.google.com/spreadsheets/d/1yDAaXNsi4Mr5FtRQL4tbmSdIzhx6_m4wkOD7IG-k_eo/edit#gid=0"", ""Maths!M:N""), 2, FALSE)"),"Invent unique number sets and generate problems where the LCM, HCF, and product relationship is evident, showcasing an original application of the concept")</f>
        <v>Invent unique number sets and generate problems where the LCM, HCF, and product relationship is evident, showcasing an original application of the concept</v>
      </c>
      <c r="V149" s="16" t="str">
        <f ca="1">IFERROR(__xludf.dummyfunction("ArrayFormula(VLOOKUP(G149, IMPORTRANGE(""https://docs.google.com/spreadsheets/d/1p7R4vtkWt5VOBim4ltsDG9KTzSjrtKXsMtQGXPHyND0/edit#gid=795171502"", ""'Filter 30_05_2024'!A1:M2000""), {2, 3, 4, 5,6,7,8,9,10,11,12,13}, 0))"),"")</f>
        <v/>
      </c>
      <c r="W149" s="16"/>
      <c r="X149" s="16"/>
      <c r="Y149" s="16"/>
      <c r="Z149" s="16"/>
      <c r="AA149" s="30">
        <f ca="1">IFERROR(__xludf.dummyfunction("""COMPUTED_VALUE"""),1)</f>
        <v>1</v>
      </c>
      <c r="AB149" s="30"/>
      <c r="AC149" s="30">
        <f ca="1">IFERROR(__xludf.dummyfunction("""COMPUTED_VALUE"""),1)</f>
        <v>1</v>
      </c>
      <c r="AD149" s="16"/>
      <c r="AE149" s="30"/>
      <c r="AF149" s="30"/>
      <c r="AG149" s="30"/>
    </row>
    <row r="150" spans="1:33" ht="39.6">
      <c r="A150" s="25"/>
      <c r="B150" s="26" t="s">
        <v>29</v>
      </c>
      <c r="C150" s="26" t="s">
        <v>310</v>
      </c>
      <c r="D150" s="26">
        <v>6</v>
      </c>
      <c r="E150" s="27" t="s">
        <v>531</v>
      </c>
      <c r="F150" s="28" t="s">
        <v>532</v>
      </c>
      <c r="G150" s="26" t="s">
        <v>533</v>
      </c>
      <c r="H150" s="28" t="str">
        <f ca="1">IFERROR(__xludf.dummyfunction("IFERROR(
  VLOOKUP(G150, IMPORTRANGE(""https://docs.google.com/spreadsheets/d/14deopnvwcrKtEGCKuYXdUHJbeLDZlkiSSWWT0g7x2pM/edit#gid=849066331"", ""LU List Maths (Filter)!A:B""), 2, FALSE),
  IFERROR(
    VLOOKUP(G150, IMPORTRANGE(""https://docs.google.com"&amp;"/spreadsheets/d/14deopnvwcrKtEGCKuYXdUHJbeLDZlkiSSWWT0g7x2pM/edit#gid=849066331"", ""LU List Science (Filter)!A:B""), 2, FALSE),
    ""Not Found""
  )
)
"),"Definition of ratio")</f>
        <v>Definition of ratio</v>
      </c>
      <c r="I150" s="28"/>
      <c r="J150" s="29" t="str">
        <f t="shared" si="12"/>
        <v>LU000342.001</v>
      </c>
      <c r="K150" s="29" t="str">
        <f ca="1">IFERROR(__xludf.dummyfunction("VLOOKUP(J150, IMPORTRANGE(""https://docs.google.com/spreadsheets/d/1yDAaXNsi4Mr5FtRQL4tbmSdIzhx6_m4wkOD7IG-k_eo/edit#gid=0"", ""Maths!M:N""), 2, FALSE)"),"State the definition of a ratio with examples")</f>
        <v>State the definition of a ratio with examples</v>
      </c>
      <c r="L150" s="29" t="str">
        <f t="shared" si="13"/>
        <v>LU000342.002</v>
      </c>
      <c r="M150" s="29" t="str">
        <f ca="1">IFERROR(__xludf.dummyfunction("VLOOKUP(L150, IMPORTRANGE(""https://docs.google.com/spreadsheets/d/1yDAaXNsi4Mr5FtRQL4tbmSdIzhx6_m4wkOD7IG-k_eo/edit#gid=0"", ""Maths!M:N""), 2, FALSE)"),"Describe the concept of a ratio and how it can be represented as a fraction or in the form ""a:b"".")</f>
        <v>Describe the concept of a ratio and how it can be represented as a fraction or in the form "a:b".</v>
      </c>
      <c r="N150" s="29" t="str">
        <f t="shared" si="14"/>
        <v>LU000342.003</v>
      </c>
      <c r="O150" s="29" t="str">
        <f ca="1">IFERROR(__xludf.dummyfunction("VLOOKUP(N150, IMPORTRANGE(""https://docs.google.com/spreadsheets/d/1yDAaXNsi4Mr5FtRQL4tbmSdIzhx6_m4wkOD7IG-k_eo/edit#gid=0"", ""Maths!M:N""), 2, FALSE)"),"Solve real life problems involving ratios such as sharing things based on certain ratios.")</f>
        <v>Solve real life problems involving ratios such as sharing things based on certain ratios.</v>
      </c>
      <c r="P150" s="29" t="str">
        <f t="shared" si="15"/>
        <v>LU000342.004</v>
      </c>
      <c r="Q150" s="29" t="str">
        <f ca="1">IFERROR(__xludf.dummyfunction("VLOOKUP(P150, IMPORTRANGE(""https://docs.google.com/spreadsheets/d/1yDAaXNsi4Mr5FtRQL4tbmSdIzhx6_m4wkOD7IG-k_eo/edit#gid=0"", ""Maths!M:N""), 2, FALSE)"),"Analyse the significance of ratios in practical scenarios, discussing how ratios provide insights into the comparative sizes or quantities of different entities.")</f>
        <v>Analyse the significance of ratios in practical scenarios, discussing how ratios provide insights into the comparative sizes or quantities of different entities.</v>
      </c>
      <c r="R150" s="29" t="str">
        <f t="shared" si="16"/>
        <v>LU000342.005</v>
      </c>
      <c r="S150" s="29" t="str">
        <f ca="1">IFERROR(__xludf.dummyfunction("VLOOKUP(R150, IMPORTRANGE(""https://docs.google.com/spreadsheets/d/1yDAaXNsi4Mr5FtRQL4tbmSdIzhx6_m4wkOD7IG-k_eo/edit#gid=0"", ""Maths!M:N""), 2, FALSE)"),"Evaluate the accuracy of solutions involving ratios, assessing the ability to express the relationship correctly, simplify the ratio and apply it to real-world situations.")</f>
        <v>Evaluate the accuracy of solutions involving ratios, assessing the ability to express the relationship correctly, simplify the ratio and apply it to real-world situations.</v>
      </c>
      <c r="T150" s="29" t="str">
        <f t="shared" si="17"/>
        <v>LU000342.006</v>
      </c>
      <c r="U150" s="29" t="str">
        <f ca="1">IFERROR(__xludf.dummyfunction("VLOOKUP(T150, IMPORTRANGE(""https://docs.google.com/spreadsheets/d/1yDAaXNsi4Mr5FtRQL4tbmSdIzhx6_m4wkOD7IG-k_eo/edit#gid=0"", ""Maths!M:N""), 2, FALSE)"),"Create scenarios related to sharing a fixed quantity of resources among a group and design problem that requires to determine the appropriate ratio for the distribution.")</f>
        <v>Create scenarios related to sharing a fixed quantity of resources among a group and design problem that requires to determine the appropriate ratio for the distribution.</v>
      </c>
      <c r="V150" s="16">
        <f ca="1">IFERROR(__xludf.dummyfunction("ArrayFormula(VLOOKUP(G150, IMPORTRANGE(""https://docs.google.com/spreadsheets/d/1p7R4vtkWt5VOBim4ltsDG9KTzSjrtKXsMtQGXPHyND0/edit#gid=795171502"", ""'Filter 30_05_2024'!A1:M2000""), {2, 3, 4, 5,6,7,8,9,10,11,12,13}, 0))"),6)</f>
        <v>6</v>
      </c>
      <c r="W150" s="16">
        <f ca="1">IFERROR(__xludf.dummyfunction("""COMPUTED_VALUE"""),8)</f>
        <v>8</v>
      </c>
      <c r="X150" s="16">
        <f ca="1">IFERROR(__xludf.dummyfunction("""COMPUTED_VALUE"""),3)</f>
        <v>3</v>
      </c>
      <c r="Y150" s="16">
        <f ca="1">IFERROR(__xludf.dummyfunction("""COMPUTED_VALUE"""),17)</f>
        <v>17</v>
      </c>
      <c r="Z150" s="16">
        <f ca="1">IFERROR(__xludf.dummyfunction("""COMPUTED_VALUE"""),4)</f>
        <v>4</v>
      </c>
      <c r="AA150" s="30">
        <f ca="1">IFERROR(__xludf.dummyfunction("""COMPUTED_VALUE"""),5)</f>
        <v>5</v>
      </c>
      <c r="AB150" s="30">
        <f ca="1">IFERROR(__xludf.dummyfunction("""COMPUTED_VALUE"""),5)</f>
        <v>5</v>
      </c>
      <c r="AC150" s="30">
        <f ca="1">IFERROR(__xludf.dummyfunction("""COMPUTED_VALUE"""),14)</f>
        <v>14</v>
      </c>
      <c r="AD150" s="16"/>
      <c r="AE150" s="30"/>
      <c r="AF150" s="30"/>
      <c r="AG150" s="30"/>
    </row>
    <row r="151" spans="1:33" ht="39.6">
      <c r="A151" s="25"/>
      <c r="B151" s="26" t="s">
        <v>29</v>
      </c>
      <c r="C151" s="26" t="s">
        <v>310</v>
      </c>
      <c r="D151" s="26">
        <v>6</v>
      </c>
      <c r="E151" s="27" t="s">
        <v>531</v>
      </c>
      <c r="F151" s="28"/>
      <c r="G151" s="26" t="s">
        <v>534</v>
      </c>
      <c r="H151" s="28" t="str">
        <f ca="1">IFERROR(__xludf.dummyfunction("IFERROR(
  VLOOKUP(G151, IMPORTRANGE(""https://docs.google.com/spreadsheets/d/14deopnvwcrKtEGCKuYXdUHJbeLDZlkiSSWWT0g7x2pM/edit#gid=849066331"", ""LU List Maths (Filter)!A:B""), 2, FALSE),
  IFERROR(
    VLOOKUP(G151, IMPORTRANGE(""https://docs.google.com"&amp;"/spreadsheets/d/14deopnvwcrKtEGCKuYXdUHJbeLDZlkiSSWWT0g7x2pM/edit#gid=849066331"", ""LU List Science (Filter)!A:B""), 2, FALSE),
    ""Not Found""
  )
)
"),"Calculate the ratio of two quantities")</f>
        <v>Calculate the ratio of two quantities</v>
      </c>
      <c r="I151" s="28"/>
      <c r="J151" s="29" t="str">
        <f t="shared" si="12"/>
        <v>LU000343.001</v>
      </c>
      <c r="K151" s="29" t="str">
        <f ca="1">IFERROR(__xludf.dummyfunction("VLOOKUP(J151, IMPORTRANGE(""https://docs.google.com/spreadsheets/d/1yDAaXNsi4Mr5FtRQL4tbmSdIzhx6_m4wkOD7IG-k_eo/edit#gid=0"", ""Maths!M:N""), 2, FALSE)"),"State the steps for calculating the ratio of two quantities and explain that the first quantity is usually written before the second quantity in the ratio.")</f>
        <v>State the steps for calculating the ratio of two quantities and explain that the first quantity is usually written before the second quantity in the ratio.</v>
      </c>
      <c r="L151" s="29" t="str">
        <f t="shared" si="13"/>
        <v>LU000343.002</v>
      </c>
      <c r="M151" s="29" t="str">
        <f ca="1">IFERROR(__xludf.dummyfunction("VLOOKUP(L151, IMPORTRANGE(""https://docs.google.com/spreadsheets/d/1yDAaXNsi4Mr5FtRQL4tbmSdIzhx6_m4wkOD7IG-k_eo/edit#gid=0"", ""Maths!M:N""), 2, FALSE)"),"Describe the concept of calculating ratios, clarifying that the ratio shows the relative sizes of two quantities and the numbers in the ratio signify their proportionate values.")</f>
        <v>Describe the concept of calculating ratios, clarifying that the ratio shows the relative sizes of two quantities and the numbers in the ratio signify their proportionate values.</v>
      </c>
      <c r="N151" s="29" t="str">
        <f t="shared" si="14"/>
        <v>LU000343.003</v>
      </c>
      <c r="O151" s="29" t="str">
        <f ca="1">IFERROR(__xludf.dummyfunction("VLOOKUP(N151, IMPORTRANGE(""https://docs.google.com/spreadsheets/d/1yDAaXNsi4Mr5FtRQL4tbmSdIzhx6_m4wkOD7IG-k_eo/edit#gid=0"", ""Maths!M:N""), 2, FALSE)"),"Solve problems involving different quantities, using the correct order of numbers and ensuring the ratio is simplified to its simplest form.")</f>
        <v>Solve problems involving different quantities, using the correct order of numbers and ensuring the ratio is simplified to its simplest form.</v>
      </c>
      <c r="P151" s="29" t="str">
        <f t="shared" si="15"/>
        <v>LU000343.004</v>
      </c>
      <c r="Q151" s="29" t="str">
        <f ca="1">IFERROR(__xludf.dummyfunction("VLOOKUP(P151, IMPORTRANGE(""https://docs.google.com/spreadsheets/d/1yDAaXNsi4Mr5FtRQL4tbmSdIzhx6_m4wkOD7IG-k_eo/edit#gid=0"", ""Maths!M:N""), 2, FALSE)"),"Analyse the significance of the order of numbers in a ratio, discussing how it influences the interpretation of the relationship between the quantities being compared.")</f>
        <v>Analyse the significance of the order of numbers in a ratio, discussing how it influences the interpretation of the relationship between the quantities being compared.</v>
      </c>
      <c r="R151" s="29" t="str">
        <f t="shared" si="16"/>
        <v>LU000343.005</v>
      </c>
      <c r="S151" s="29" t="str">
        <f ca="1">IFERROR(__xludf.dummyfunction("VLOOKUP(R151, IMPORTRANGE(""https://docs.google.com/spreadsheets/d/1yDAaXNsi4Mr5FtRQL4tbmSdIzhx6_m4wkOD7IG-k_eo/edit#gid=0"", ""Maths!M:N""), 2, FALSE)"),"Evaluate the accuracy of solutions involving ratio calculations, assessing their ability to correctly determine the ratio order, simplify the ratio and apply it appropriately.")</f>
        <v>Evaluate the accuracy of solutions involving ratio calculations, assessing their ability to correctly determine the ratio order, simplify the ratio and apply it appropriately.</v>
      </c>
      <c r="T151" s="29" t="str">
        <f t="shared" si="17"/>
        <v>LU000343.006</v>
      </c>
      <c r="U151" s="29" t="str">
        <f ca="1">IFERROR(__xludf.dummyfunction("VLOOKUP(T151, IMPORTRANGE(""https://docs.google.com/spreadsheets/d/1yDAaXNsi4Mr5FtRQL4tbmSdIzhx6_m4wkOD7IG-k_eo/edit#gid=0"", ""Maths!M:N""), 2, FALSE)"),"Create scenarios involving the division of resources between friends and design a problem that prompts classmates to calculate the correct ratio of resource distribution.")</f>
        <v>Create scenarios involving the division of resources between friends and design a problem that prompts classmates to calculate the correct ratio of resource distribution.</v>
      </c>
      <c r="V151" s="16">
        <f ca="1">IFERROR(__xludf.dummyfunction("ArrayFormula(VLOOKUP(G151, IMPORTRANGE(""https://docs.google.com/spreadsheets/d/1p7R4vtkWt5VOBim4ltsDG9KTzSjrtKXsMtQGXPHyND0/edit#gid=795171502"", ""'Filter 30_05_2024'!A1:M2000""), {2, 3, 4, 5,6,7,8,9,10,11,12,13}, 0))"),4)</f>
        <v>4</v>
      </c>
      <c r="W151" s="16">
        <f ca="1">IFERROR(__xludf.dummyfunction("""COMPUTED_VALUE"""),27)</f>
        <v>27</v>
      </c>
      <c r="X151" s="16">
        <f ca="1">IFERROR(__xludf.dummyfunction("""COMPUTED_VALUE"""),2)</f>
        <v>2</v>
      </c>
      <c r="Y151" s="16">
        <f ca="1">IFERROR(__xludf.dummyfunction("""COMPUTED_VALUE"""),33)</f>
        <v>33</v>
      </c>
      <c r="Z151" s="16">
        <f ca="1">IFERROR(__xludf.dummyfunction("""COMPUTED_VALUE"""),4)</f>
        <v>4</v>
      </c>
      <c r="AA151" s="30">
        <f ca="1">IFERROR(__xludf.dummyfunction("""COMPUTED_VALUE"""),11)</f>
        <v>11</v>
      </c>
      <c r="AB151" s="30">
        <f ca="1">IFERROR(__xludf.dummyfunction("""COMPUTED_VALUE"""),1)</f>
        <v>1</v>
      </c>
      <c r="AC151" s="30">
        <f ca="1">IFERROR(__xludf.dummyfunction("""COMPUTED_VALUE"""),16)</f>
        <v>16</v>
      </c>
      <c r="AD151" s="16"/>
      <c r="AE151" s="30"/>
      <c r="AF151" s="30"/>
      <c r="AG151" s="30"/>
    </row>
    <row r="152" spans="1:33" ht="39.6">
      <c r="A152" s="25"/>
      <c r="B152" s="26" t="s">
        <v>29</v>
      </c>
      <c r="C152" s="26" t="s">
        <v>310</v>
      </c>
      <c r="D152" s="26">
        <v>6</v>
      </c>
      <c r="E152" s="27" t="s">
        <v>531</v>
      </c>
      <c r="F152" s="28"/>
      <c r="G152" s="33" t="s">
        <v>535</v>
      </c>
      <c r="H152" s="28" t="str">
        <f ca="1">IFERROR(__xludf.dummyfunction("IFERROR(
  VLOOKUP(G152, IMPORTRANGE(""https://docs.google.com/spreadsheets/d/14deopnvwcrKtEGCKuYXdUHJbeLDZlkiSSWWT0g7x2pM/edit#gid=849066331"", ""LU List Maths (Filter)!A:B""), 2, FALSE),
  IFERROR(
    VLOOKUP(G152, IMPORTRANGE(""https://docs.google.com"&amp;"/spreadsheets/d/14deopnvwcrKtEGCKuYXdUHJbeLDZlkiSSWWT0g7x2pM/edit#gid=849066331"", ""LU List Science (Filter)!A:B""), 2, FALSE),
    ""Not Found""
  )
)
"),"Difference between fraction and ratio")</f>
        <v>Difference between fraction and ratio</v>
      </c>
      <c r="I152" s="28"/>
      <c r="J152" s="29" t="str">
        <f t="shared" si="12"/>
        <v>LU001387.001</v>
      </c>
      <c r="K152" s="29" t="str">
        <f ca="1">IFERROR(__xludf.dummyfunction("VLOOKUP(J152, IMPORTRANGE(""https://docs.google.com/spreadsheets/d/1yDAaXNsi4Mr5FtRQL4tbmSdIzhx6_m4wkOD7IG-k_eo/edit#gid=0"", ""Maths!M:N""), 2, FALSE)"),"(LU001387.001); Default - Remember")</f>
        <v>(LU001387.001); Default - Remember</v>
      </c>
      <c r="L152" s="29" t="str">
        <f t="shared" si="13"/>
        <v>LU001387.002</v>
      </c>
      <c r="M152" s="29" t="str">
        <f ca="1">IFERROR(__xludf.dummyfunction("VLOOKUP(L152, IMPORTRANGE(""https://docs.google.com/spreadsheets/d/1yDAaXNsi4Mr5FtRQL4tbmSdIzhx6_m4wkOD7IG-k_eo/edit#gid=0"", ""Maths!M:N""), 2, FALSE)"),"(LU001387.002); Default - Understand")</f>
        <v>(LU001387.002); Default - Understand</v>
      </c>
      <c r="N152" s="29" t="str">
        <f t="shared" si="14"/>
        <v>LU001387.003</v>
      </c>
      <c r="O152" s="29" t="str">
        <f ca="1">IFERROR(__xludf.dummyfunction("VLOOKUP(N152, IMPORTRANGE(""https://docs.google.com/spreadsheets/d/1yDAaXNsi4Mr5FtRQL4tbmSdIzhx6_m4wkOD7IG-k_eo/edit#gid=0"", ""Maths!M:N""), 2, FALSE)"),"(LU001387.003); Default - Apply")</f>
        <v>(LU001387.003); Default - Apply</v>
      </c>
      <c r="P152" s="29" t="str">
        <f t="shared" si="15"/>
        <v>LU001387.004</v>
      </c>
      <c r="Q152" s="29" t="str">
        <f ca="1">IFERROR(__xludf.dummyfunction("VLOOKUP(P152, IMPORTRANGE(""https://docs.google.com/spreadsheets/d/1yDAaXNsi4Mr5FtRQL4tbmSdIzhx6_m4wkOD7IG-k_eo/edit#gid=0"", ""Maths!M:N""), 2, FALSE)"),"(LU001387.004); Default - Analyse")</f>
        <v>(LU001387.004); Default - Analyse</v>
      </c>
      <c r="R152" s="29" t="str">
        <f t="shared" si="16"/>
        <v>LU001387.005</v>
      </c>
      <c r="S152" s="29" t="str">
        <f ca="1">IFERROR(__xludf.dummyfunction("VLOOKUP(R152, IMPORTRANGE(""https://docs.google.com/spreadsheets/d/1yDAaXNsi4Mr5FtRQL4tbmSdIzhx6_m4wkOD7IG-k_eo/edit#gid=0"", ""Maths!M:N""), 2, FALSE)"),"(LU001387.005); Default - Evaluate")</f>
        <v>(LU001387.005); Default - Evaluate</v>
      </c>
      <c r="T152" s="29" t="str">
        <f t="shared" si="17"/>
        <v>LU001387.006</v>
      </c>
      <c r="U152" s="29" t="str">
        <f ca="1">IFERROR(__xludf.dummyfunction("VLOOKUP(T152, IMPORTRANGE(""https://docs.google.com/spreadsheets/d/1yDAaXNsi4Mr5FtRQL4tbmSdIzhx6_m4wkOD7IG-k_eo/edit#gid=0"", ""Maths!M:N""), 2, FALSE)"),"(LU001387.006); Default - Create")</f>
        <v>(LU001387.006); Default - Create</v>
      </c>
      <c r="V152" s="16" t="str">
        <f ca="1">IFERROR(__xludf.dummyfunction("ArrayFormula(VLOOKUP(G152, IMPORTRANGE(""https://docs.google.com/spreadsheets/d/1p7R4vtkWt5VOBim4ltsDG9KTzSjrtKXsMtQGXPHyND0/edit#gid=795171502"", ""'Filter 30_05_2024'!A1:M2000""), {2, 3, 4, 5,6,7,8,9,10,11,12,13}, 0))"),"#N/A")</f>
        <v>#N/A</v>
      </c>
      <c r="W152" s="16" t="str">
        <f ca="1">IFERROR(__xludf.dummyfunction("""COMPUTED_VALUE"""),"#N/A")</f>
        <v>#N/A</v>
      </c>
      <c r="X152" s="16" t="str">
        <f ca="1">IFERROR(__xludf.dummyfunction("""COMPUTED_VALUE"""),"#N/A")</f>
        <v>#N/A</v>
      </c>
      <c r="Y152" s="16" t="str">
        <f ca="1">IFERROR(__xludf.dummyfunction("""COMPUTED_VALUE"""),"#N/A")</f>
        <v>#N/A</v>
      </c>
      <c r="Z152" s="16" t="str">
        <f ca="1">IFERROR(__xludf.dummyfunction("""COMPUTED_VALUE"""),"#N/A")</f>
        <v>#N/A</v>
      </c>
      <c r="AA152" s="30" t="str">
        <f ca="1">IFERROR(__xludf.dummyfunction("""COMPUTED_VALUE"""),"#N/A")</f>
        <v>#N/A</v>
      </c>
      <c r="AB152" s="30" t="str">
        <f ca="1">IFERROR(__xludf.dummyfunction("""COMPUTED_VALUE"""),"#N/A")</f>
        <v>#N/A</v>
      </c>
      <c r="AC152" s="30" t="str">
        <f ca="1">IFERROR(__xludf.dummyfunction("""COMPUTED_VALUE"""),"#N/A")</f>
        <v>#N/A</v>
      </c>
      <c r="AD152" s="16" t="str">
        <f ca="1">IFERROR(__xludf.dummyfunction("""COMPUTED_VALUE"""),"#N/A")</f>
        <v>#N/A</v>
      </c>
      <c r="AE152" s="30" t="str">
        <f ca="1">IFERROR(__xludf.dummyfunction("""COMPUTED_VALUE"""),"#N/A")</f>
        <v>#N/A</v>
      </c>
      <c r="AF152" s="30" t="str">
        <f ca="1">IFERROR(__xludf.dummyfunction("""COMPUTED_VALUE"""),"#N/A")</f>
        <v>#N/A</v>
      </c>
      <c r="AG152" s="30" t="str">
        <f ca="1">IFERROR(__xludf.dummyfunction("""COMPUTED_VALUE"""),"#N/A")</f>
        <v>#N/A</v>
      </c>
    </row>
    <row r="153" spans="1:33" ht="39.6">
      <c r="A153" s="25"/>
      <c r="B153" s="26" t="s">
        <v>29</v>
      </c>
      <c r="C153" s="26" t="s">
        <v>310</v>
      </c>
      <c r="D153" s="26">
        <v>6</v>
      </c>
      <c r="E153" s="27" t="s">
        <v>531</v>
      </c>
      <c r="F153" s="28" t="s">
        <v>536</v>
      </c>
      <c r="G153" s="26" t="s">
        <v>537</v>
      </c>
      <c r="H153" s="28" t="str">
        <f ca="1">IFERROR(__xludf.dummyfunction("IFERROR(
  VLOOKUP(G153, IMPORTRANGE(""https://docs.google.com/spreadsheets/d/14deopnvwcrKtEGCKuYXdUHJbeLDZlkiSSWWT0g7x2pM/edit#gid=849066331"", ""LU List Maths (Filter)!A:B""), 2, FALSE),
  IFERROR(
    VLOOKUP(G153, IMPORTRANGE(""https://docs.google.com"&amp;"/spreadsheets/d/14deopnvwcrKtEGCKuYXdUHJbeLDZlkiSSWWT0g7x2pM/edit#gid=849066331"", ""LU List Science (Filter)!A:B""), 2, FALSE),
    ""Not Found""
  )
)
"),"Definition of equivalent ratios")</f>
        <v>Definition of equivalent ratios</v>
      </c>
      <c r="I153" s="28"/>
      <c r="J153" s="29" t="str">
        <f t="shared" si="12"/>
        <v>LU000344.001</v>
      </c>
      <c r="K153" s="29" t="str">
        <f ca="1">IFERROR(__xludf.dummyfunction("VLOOKUP(J153, IMPORTRANGE(""https://docs.google.com/spreadsheets/d/1yDAaXNsi4Mr5FtRQL4tbmSdIzhx6_m4wkOD7IG-k_eo/edit#gid=0"", ""Maths!M:N""), 2, FALSE)"),"State the definition of equivalent ratios and explain how they represent the same proportional relationship between quantities, but with different numerical values.")</f>
        <v>State the definition of equivalent ratios and explain how they represent the same proportional relationship between quantities, but with different numerical values.</v>
      </c>
      <c r="L153" s="29" t="str">
        <f t="shared" si="13"/>
        <v>LU000344.002</v>
      </c>
      <c r="M153" s="29" t="str">
        <f ca="1">IFERROR(__xludf.dummyfunction("VLOOKUP(L153, IMPORTRANGE(""https://docs.google.com/spreadsheets/d/1yDAaXNsi4Mr5FtRQL4tbmSdIzhx6_m4wkOD7IG-k_eo/edit#gid=0"", ""Maths!M:N""), 2, FALSE)"),"Identify equivalent ratios")</f>
        <v>Identify equivalent ratios</v>
      </c>
      <c r="N153" s="29" t="str">
        <f t="shared" si="14"/>
        <v>LU000344.003</v>
      </c>
      <c r="O153" s="29" t="str">
        <f ca="1">IFERROR(__xludf.dummyfunction("VLOOKUP(N153, IMPORTRANGE(""https://docs.google.com/spreadsheets/d/1yDAaXNsi4Mr5FtRQL4tbmSdIzhx6_m4wkOD7IG-k_eo/edit#gid=0"", ""Maths!M:N""), 2, FALSE)"),"Solve problems that involve finding ratios equivalent to a given ratio, ensuring the proportions remain consistent.")</f>
        <v>Solve problems that involve finding ratios equivalent to a given ratio, ensuring the proportions remain consistent.</v>
      </c>
      <c r="P153" s="29" t="str">
        <f t="shared" si="15"/>
        <v>LU000344.004</v>
      </c>
      <c r="Q153" s="29" t="str">
        <f ca="1">IFERROR(__xludf.dummyfunction("VLOOKUP(P153, IMPORTRANGE(""https://docs.google.com/spreadsheets/d/1yDAaXNsi4Mr5FtRQL4tbmSdIzhx6_m4wkOD7IG-k_eo/edit#gid=0"", ""Maths!M:N""), 2, FALSE)"),"Analyse the significance of equivalent ratios in practical situations, discussing how they allow for different ways of expressing the same proportional relationship.")</f>
        <v>Analyse the significance of equivalent ratios in practical situations, discussing how they allow for different ways of expressing the same proportional relationship.</v>
      </c>
      <c r="R153" s="29" t="str">
        <f t="shared" si="16"/>
        <v>LU000344.005</v>
      </c>
      <c r="S153" s="29" t="str">
        <f ca="1">IFERROR(__xludf.dummyfunction("VLOOKUP(R153, IMPORTRANGE(""https://docs.google.com/spreadsheets/d/1yDAaXNsi4Mr5FtRQL4tbmSdIzhx6_m4wkOD7IG-k_eo/edit#gid=0"", ""Maths!M:N""), 2, FALSE)"),"Evaluate the accuracy of solutions involving equivalent ratios, assessing the ability to find ratios that maintain the same proportionality while using different numerical values.")</f>
        <v>Evaluate the accuracy of solutions involving equivalent ratios, assessing the ability to find ratios that maintain the same proportionality while using different numerical values.</v>
      </c>
      <c r="T153" s="29" t="str">
        <f t="shared" si="17"/>
        <v>LU000344.006</v>
      </c>
      <c r="U153" s="29" t="str">
        <f ca="1">IFERROR(__xludf.dummyfunction("VLOOKUP(T153, IMPORTRANGE(""https://docs.google.com/spreadsheets/d/1yDAaXNsi4Mr5FtRQL4tbmSdIzhx6_m4wkOD7IG-k_eo/edit#gid=0"", ""Maths!M:N""), 2, FALSE)"),"Create scenarios where a given ratio needs to be expressed in multiple equivalent forms, and design a problem that prompts classmates to find ratios that maintain the same proportionality.")</f>
        <v>Create scenarios where a given ratio needs to be expressed in multiple equivalent forms, and design a problem that prompts classmates to find ratios that maintain the same proportionality.</v>
      </c>
      <c r="V153" s="16">
        <f ca="1">IFERROR(__xludf.dummyfunction("ArrayFormula(VLOOKUP(G153, IMPORTRANGE(""https://docs.google.com/spreadsheets/d/1p7R4vtkWt5VOBim4ltsDG9KTzSjrtKXsMtQGXPHyND0/edit#gid=795171502"", ""'Filter 30_05_2024'!A1:M2000""), {2, 3, 4, 5,6,7,8,9,10,11,12,13}, 0))"),4)</f>
        <v>4</v>
      </c>
      <c r="W153" s="16">
        <f ca="1">IFERROR(__xludf.dummyfunction("""COMPUTED_VALUE"""),6)</f>
        <v>6</v>
      </c>
      <c r="X153" s="16">
        <f ca="1">IFERROR(__xludf.dummyfunction("""COMPUTED_VALUE"""),2)</f>
        <v>2</v>
      </c>
      <c r="Y153" s="16">
        <f ca="1">IFERROR(__xludf.dummyfunction("""COMPUTED_VALUE"""),12)</f>
        <v>12</v>
      </c>
      <c r="Z153" s="16">
        <f ca="1">IFERROR(__xludf.dummyfunction("""COMPUTED_VALUE"""),5)</f>
        <v>5</v>
      </c>
      <c r="AA153" s="30">
        <f ca="1">IFERROR(__xludf.dummyfunction("""COMPUTED_VALUE"""),8)</f>
        <v>8</v>
      </c>
      <c r="AB153" s="30">
        <f ca="1">IFERROR(__xludf.dummyfunction("""COMPUTED_VALUE"""),1)</f>
        <v>1</v>
      </c>
      <c r="AC153" s="30">
        <f ca="1">IFERROR(__xludf.dummyfunction("""COMPUTED_VALUE"""),14)</f>
        <v>14</v>
      </c>
      <c r="AD153" s="16"/>
      <c r="AE153" s="30"/>
      <c r="AF153" s="30"/>
      <c r="AG153" s="30"/>
    </row>
    <row r="154" spans="1:33" ht="39.6">
      <c r="A154" s="25"/>
      <c r="B154" s="26" t="s">
        <v>29</v>
      </c>
      <c r="C154" s="26" t="s">
        <v>310</v>
      </c>
      <c r="D154" s="26">
        <v>6</v>
      </c>
      <c r="E154" s="27" t="s">
        <v>531</v>
      </c>
      <c r="F154" s="28"/>
      <c r="G154" s="26" t="s">
        <v>538</v>
      </c>
      <c r="H154" s="28" t="str">
        <f ca="1">IFERROR(__xludf.dummyfunction("IFERROR(
  VLOOKUP(G154, IMPORTRANGE(""https://docs.google.com/spreadsheets/d/14deopnvwcrKtEGCKuYXdUHJbeLDZlkiSSWWT0g7x2pM/edit#gid=849066331"", ""LU List Maths (Filter)!A:B""), 2, FALSE),
  IFERROR(
    VLOOKUP(G154, IMPORTRANGE(""https://docs.google.com"&amp;"/spreadsheets/d/14deopnvwcrKtEGCKuYXdUHJbeLDZlkiSSWWT0g7x2pM/edit#gid=849066331"", ""LU List Science (Filter)!A:B""), 2, FALSE),
    ""Not Found""
  )
)
"),"Representation of ratio as fraction")</f>
        <v>Representation of ratio as fraction</v>
      </c>
      <c r="I154" s="28"/>
      <c r="J154" s="29" t="str">
        <f t="shared" si="12"/>
        <v>LU000348.001</v>
      </c>
      <c r="K154" s="29" t="str">
        <f ca="1">IFERROR(__xludf.dummyfunction("VLOOKUP(J154, IMPORTRANGE(""https://docs.google.com/spreadsheets/d/1yDAaXNsi4Mr5FtRQL4tbmSdIzhx6_m4wkOD7IG-k_eo/edit#gid=0"", ""Maths!M:N""), 2, FALSE)"),"State the steps to represent a ratio as a fraction.")</f>
        <v>State the steps to represent a ratio as a fraction.</v>
      </c>
      <c r="L154" s="29" t="str">
        <f t="shared" si="13"/>
        <v>LU000348.002</v>
      </c>
      <c r="M154" s="29" t="str">
        <f ca="1">IFERROR(__xludf.dummyfunction("VLOOKUP(L154, IMPORTRANGE(""https://docs.google.com/spreadsheets/d/1yDAaXNsi4Mr5FtRQL4tbmSdIzhx6_m4wkOD7IG-k_eo/edit#gid=0"", ""Maths!M:N""), 2, FALSE)"),"Describe the concept of representing a ratio as a fraction, clarifying that the terms of the ratio are translated into the numerator and denominator of the fraction, illustrating the proportional relationship.")</f>
        <v>Describe the concept of representing a ratio as a fraction, clarifying that the terms of the ratio are translated into the numerator and denominator of the fraction, illustrating the proportional relationship.</v>
      </c>
      <c r="N154" s="29" t="str">
        <f t="shared" si="14"/>
        <v>LU000348.003</v>
      </c>
      <c r="O154" s="29" t="str">
        <f ca="1">IFERROR(__xludf.dummyfunction("VLOOKUP(N154, IMPORTRANGE(""https://docs.google.com/spreadsheets/d/1yDAaXNsi4Mr5FtRQL4tbmSdIzhx6_m4wkOD7IG-k_eo/edit#gid=0"", ""Maths!M:N""), 2, FALSE)"),"Apply the understanding of representing a ratio as a fraction by solving problems that require converting given ratios into equivalent fractions.")</f>
        <v>Apply the understanding of representing a ratio as a fraction by solving problems that require converting given ratios into equivalent fractions.</v>
      </c>
      <c r="P154" s="29" t="str">
        <f t="shared" si="15"/>
        <v>LU000348.004</v>
      </c>
      <c r="Q154" s="29" t="str">
        <f ca="1">IFERROR(__xludf.dummyfunction("VLOOKUP(P154, IMPORTRANGE(""https://docs.google.com/spreadsheets/d/1yDAaXNsi4Mr5FtRQL4tbmSdIzhx6_m4wkOD7IG-k_eo/edit#gid=0"", ""Maths!M:N""), 2, FALSE)"),"Analyse and explain how ratios are represented as fractions in various contexts.")</f>
        <v>Analyse and explain how ratios are represented as fractions in various contexts.</v>
      </c>
      <c r="R154" s="29" t="str">
        <f t="shared" si="16"/>
        <v>LU000348.005</v>
      </c>
      <c r="S154" s="29" t="str">
        <f ca="1">IFERROR(__xludf.dummyfunction("VLOOKUP(R154, IMPORTRANGE(""https://docs.google.com/spreadsheets/d/1yDAaXNsi4Mr5FtRQL4tbmSdIzhx6_m4wkOD7IG-k_eo/edit#gid=0"", ""Maths!M:N""), 2, FALSE)"),"Evaluate and justify the conversion of ratios to fractions in diverse situations.")</f>
        <v>Evaluate and justify the conversion of ratios to fractions in diverse situations.</v>
      </c>
      <c r="T154" s="29" t="str">
        <f t="shared" si="17"/>
        <v>LU000348.006</v>
      </c>
      <c r="U154" s="29" t="str">
        <f ca="1">IFERROR(__xludf.dummyfunction("VLOOKUP(T154, IMPORTRANGE(""https://docs.google.com/spreadsheets/d/1yDAaXNsi4Mr5FtRQL4tbmSdIzhx6_m4wkOD7IG-k_eo/edit#gid=0"", ""Maths!M:N""), 2, FALSE)"),"#N/A")</f>
        <v>#N/A</v>
      </c>
      <c r="V154" s="16">
        <f ca="1">IFERROR(__xludf.dummyfunction("ArrayFormula(VLOOKUP(G154, IMPORTRANGE(""https://docs.google.com/spreadsheets/d/1p7R4vtkWt5VOBim4ltsDG9KTzSjrtKXsMtQGXPHyND0/edit#gid=795171502"", ""'Filter 30_05_2024'!A1:M2000""), {2, 3, 4, 5,6,7,8,9,10,11,12,13}, 0))"),4)</f>
        <v>4</v>
      </c>
      <c r="W154" s="16">
        <f ca="1">IFERROR(__xludf.dummyfunction("""COMPUTED_VALUE"""),6)</f>
        <v>6</v>
      </c>
      <c r="X154" s="16">
        <f ca="1">IFERROR(__xludf.dummyfunction("""COMPUTED_VALUE"""),2)</f>
        <v>2</v>
      </c>
      <c r="Y154" s="16">
        <f ca="1">IFERROR(__xludf.dummyfunction("""COMPUTED_VALUE"""),12)</f>
        <v>12</v>
      </c>
      <c r="Z154" s="16">
        <f ca="1">IFERROR(__xludf.dummyfunction("""COMPUTED_VALUE"""),4)</f>
        <v>4</v>
      </c>
      <c r="AA154" s="30">
        <f ca="1">IFERROR(__xludf.dummyfunction("""COMPUTED_VALUE"""),3)</f>
        <v>3</v>
      </c>
      <c r="AB154" s="30">
        <f ca="1">IFERROR(__xludf.dummyfunction("""COMPUTED_VALUE"""),1)</f>
        <v>1</v>
      </c>
      <c r="AC154" s="30">
        <f ca="1">IFERROR(__xludf.dummyfunction("""COMPUTED_VALUE"""),8)</f>
        <v>8</v>
      </c>
      <c r="AD154" s="16"/>
      <c r="AE154" s="30"/>
      <c r="AF154" s="30"/>
      <c r="AG154" s="30"/>
    </row>
    <row r="155" spans="1:33" ht="39.6">
      <c r="A155" s="25"/>
      <c r="B155" s="26" t="s">
        <v>29</v>
      </c>
      <c r="C155" s="26" t="s">
        <v>310</v>
      </c>
      <c r="D155" s="26">
        <v>6</v>
      </c>
      <c r="E155" s="27" t="s">
        <v>531</v>
      </c>
      <c r="F155" s="28"/>
      <c r="G155" s="26" t="s">
        <v>539</v>
      </c>
      <c r="H155" s="28" t="str">
        <f ca="1">IFERROR(__xludf.dummyfunction("IFERROR(
  VLOOKUP(G155, IMPORTRANGE(""https://docs.google.com/spreadsheets/d/14deopnvwcrKtEGCKuYXdUHJbeLDZlkiSSWWT0g7x2pM/edit#gid=849066331"", ""LU List Maths (Filter)!A:B""), 2, FALSE),
  IFERROR(
    VLOOKUP(G155, IMPORTRANGE(""https://docs.google.com"&amp;"/spreadsheets/d/14deopnvwcrKtEGCKuYXdUHJbeLDZlkiSSWWT0g7x2pM/edit#gid=849066331"", ""LU List Science (Filter)!A:B""), 2, FALSE),
    ""Not Found""
  )
)
"),"Lowest form of ratio")</f>
        <v>Lowest form of ratio</v>
      </c>
      <c r="I155" s="28"/>
      <c r="J155" s="29" t="str">
        <f t="shared" si="12"/>
        <v>LU000349.001</v>
      </c>
      <c r="K155" s="29" t="str">
        <f ca="1">IFERROR(__xludf.dummyfunction("VLOOKUP(J155, IMPORTRANGE(""https://docs.google.com/spreadsheets/d/1yDAaXNsi4Mr5FtRQL4tbmSdIzhx6_m4wkOD7IG-k_eo/edit#gid=0"", ""Maths!M:N""), 2, FALSE)"),"State the definition of the lowest form of a ratio and explain its role in simplifying ratios to their smallest possible values.")</f>
        <v>State the definition of the lowest form of a ratio and explain its role in simplifying ratios to their smallest possible values.</v>
      </c>
      <c r="L155" s="29" t="str">
        <f t="shared" si="13"/>
        <v>LU000349.002</v>
      </c>
      <c r="M155" s="29" t="str">
        <f ca="1">IFERROR(__xludf.dummyfunction("VLOOKUP(L155, IMPORTRANGE(""https://docs.google.com/spreadsheets/d/1yDAaXNsi4Mr5FtRQL4tbmSdIzhx6_m4wkOD7IG-k_eo/edit#gid=0"", ""Maths!M:N""), 2, FALSE)"),"Describe the concept of the lowest form of a ratio, emphasising that it entails determining the greatest common divisor of the terms")</f>
        <v>Describe the concept of the lowest form of a ratio, emphasising that it entails determining the greatest common divisor of the terms</v>
      </c>
      <c r="N155" s="29" t="str">
        <f t="shared" si="14"/>
        <v>LU000349.003</v>
      </c>
      <c r="O155" s="29" t="str">
        <f ca="1">IFERROR(__xludf.dummyfunction("VLOOKUP(N155, IMPORTRANGE(""https://docs.google.com/spreadsheets/d/1yDAaXNsi4Mr5FtRQL4tbmSdIzhx6_m4wkOD7IG-k_eo/edit#gid=0"", ""Maths!M:N""), 2, FALSE)"),"Solve problems that require simplifying given ratios to their lowest terms.")</f>
        <v>Solve problems that require simplifying given ratios to their lowest terms.</v>
      </c>
      <c r="P155" s="29" t="str">
        <f t="shared" si="15"/>
        <v>LU000349.004</v>
      </c>
      <c r="Q155" s="29" t="str">
        <f ca="1">IFERROR(__xludf.dummyfunction("VLOOKUP(P155, IMPORTRANGE(""https://docs.google.com/spreadsheets/d/1yDAaXNsi4Mr5FtRQL4tbmSdIzhx6_m4wkOD7IG-k_eo/edit#gid=0"", ""Maths!M:N""), 2, FALSE)"),"Analyse the significance of finding the lowest form of ratios in real-world situations.")</f>
        <v>Analyse the significance of finding the lowest form of ratios in real-world situations.</v>
      </c>
      <c r="R155" s="29" t="str">
        <f t="shared" si="16"/>
        <v>LU000349.005</v>
      </c>
      <c r="S155" s="29" t="str">
        <f ca="1">IFERROR(__xludf.dummyfunction("VLOOKUP(R155, IMPORTRANGE(""https://docs.google.com/spreadsheets/d/1yDAaXNsi4Mr5FtRQL4tbmSdIzhx6_m4wkOD7IG-k_eo/edit#gid=0"", ""Maths!M:N""), 2, FALSE)"),"Assess and justify the simplification of ratios to their lowest form in various contexts.")</f>
        <v>Assess and justify the simplification of ratios to their lowest form in various contexts.</v>
      </c>
      <c r="T155" s="29" t="str">
        <f t="shared" si="17"/>
        <v>LU000349.006</v>
      </c>
      <c r="U155" s="29" t="str">
        <f ca="1">IFERROR(__xludf.dummyfunction("VLOOKUP(T155, IMPORTRANGE(""https://docs.google.com/spreadsheets/d/1yDAaXNsi4Mr5FtRQL4tbmSdIzhx6_m4wkOD7IG-k_eo/edit#gid=0"", ""Maths!M:N""), 2, FALSE)"),"#N/A")</f>
        <v>#N/A</v>
      </c>
      <c r="V155" s="16">
        <f ca="1">IFERROR(__xludf.dummyfunction("ArrayFormula(VLOOKUP(G155, IMPORTRANGE(""https://docs.google.com/spreadsheets/d/1p7R4vtkWt5VOBim4ltsDG9KTzSjrtKXsMtQGXPHyND0/edit#gid=795171502"", ""'Filter 30_05_2024'!A1:M2000""), {2, 3, 4, 5,6,7,8,9,10,11,12,13}, 0))"),4)</f>
        <v>4</v>
      </c>
      <c r="W155" s="16">
        <f ca="1">IFERROR(__xludf.dummyfunction("""COMPUTED_VALUE"""),6)</f>
        <v>6</v>
      </c>
      <c r="X155" s="16">
        <f ca="1">IFERROR(__xludf.dummyfunction("""COMPUTED_VALUE"""),2)</f>
        <v>2</v>
      </c>
      <c r="Y155" s="16">
        <f ca="1">IFERROR(__xludf.dummyfunction("""COMPUTED_VALUE"""),12)</f>
        <v>12</v>
      </c>
      <c r="Z155" s="16">
        <f ca="1">IFERROR(__xludf.dummyfunction("""COMPUTED_VALUE"""),4)</f>
        <v>4</v>
      </c>
      <c r="AA155" s="30">
        <f ca="1">IFERROR(__xludf.dummyfunction("""COMPUTED_VALUE"""),3)</f>
        <v>3</v>
      </c>
      <c r="AB155" s="30">
        <f ca="1">IFERROR(__xludf.dummyfunction("""COMPUTED_VALUE"""),1)</f>
        <v>1</v>
      </c>
      <c r="AC155" s="30">
        <f ca="1">IFERROR(__xludf.dummyfunction("""COMPUTED_VALUE"""),8)</f>
        <v>8</v>
      </c>
      <c r="AD155" s="16"/>
      <c r="AE155" s="30"/>
      <c r="AF155" s="30"/>
      <c r="AG155" s="30"/>
    </row>
    <row r="156" spans="1:33" ht="39.6">
      <c r="A156" s="25"/>
      <c r="B156" s="26" t="s">
        <v>29</v>
      </c>
      <c r="C156" s="26" t="s">
        <v>310</v>
      </c>
      <c r="D156" s="26">
        <v>6</v>
      </c>
      <c r="E156" s="27" t="s">
        <v>531</v>
      </c>
      <c r="F156" s="28" t="s">
        <v>540</v>
      </c>
      <c r="G156" s="26" t="s">
        <v>541</v>
      </c>
      <c r="H156" s="28" t="str">
        <f ca="1">IFERROR(__xludf.dummyfunction("IFERROR(
  VLOOKUP(G156, IMPORTRANGE(""https://docs.google.com/spreadsheets/d/14deopnvwcrKtEGCKuYXdUHJbeLDZlkiSSWWT0g7x2pM/edit#gid=849066331"", ""LU List Maths (Filter)!A:B""), 2, FALSE),
  IFERROR(
    VLOOKUP(G156, IMPORTRANGE(""https://docs.google.com"&amp;"/spreadsheets/d/14deopnvwcrKtEGCKuYXdUHJbeLDZlkiSSWWT0g7x2pM/edit#gid=849066331"", ""LU List Science (Filter)!A:B""), 2, FALSE),
    ""Not Found""
  )
)
"),"Comparison of ratios")</f>
        <v>Comparison of ratios</v>
      </c>
      <c r="I156" s="28" t="s">
        <v>542</v>
      </c>
      <c r="J156" s="29" t="str">
        <f t="shared" si="12"/>
        <v>LU001133.001</v>
      </c>
      <c r="K156" s="29" t="str">
        <f ca="1">IFERROR(__xludf.dummyfunction("VLOOKUP(J156, IMPORTRANGE(""https://docs.google.com/spreadsheets/d/1yDAaXNsi4Mr5FtRQL4tbmSdIzhx6_m4wkOD7IG-k_eo/edit#gid=0"", ""Maths!M:N""), 2, FALSE)"),"Describe the key concepts involved in comparing ratios.")</f>
        <v>Describe the key concepts involved in comparing ratios.</v>
      </c>
      <c r="L156" s="29" t="str">
        <f t="shared" si="13"/>
        <v>LU001133.002</v>
      </c>
      <c r="M156" s="29" t="str">
        <f ca="1">IFERROR(__xludf.dummyfunction("VLOOKUP(L156, IMPORTRANGE(""https://docs.google.com/spreadsheets/d/1yDAaXNsi4Mr5FtRQL4tbmSdIzhx6_m4wkOD7IG-k_eo/edit#gid=0"", ""Maths!M:N""), 2, FALSE)"),"Explain in your own words how to compare two different ratios.")</f>
        <v>Explain in your own words how to compare two different ratios.</v>
      </c>
      <c r="N156" s="29" t="str">
        <f t="shared" si="14"/>
        <v>LU001133.003</v>
      </c>
      <c r="O156" s="29" t="str">
        <f ca="1">IFERROR(__xludf.dummyfunction("VLOOKUP(N156, IMPORTRANGE(""https://docs.google.com/spreadsheets/d/1yDAaXNsi4Mr5FtRQL4tbmSdIzhx6_m4wkOD7IG-k_eo/edit#gid=0"", ""Maths!M:N""), 2, FALSE)"),"Apply appropriate methods to compare ratios in given problems.")</f>
        <v>Apply appropriate methods to compare ratios in given problems.</v>
      </c>
      <c r="P156" s="29" t="str">
        <f t="shared" si="15"/>
        <v>LU001133.004</v>
      </c>
      <c r="Q156" s="29" t="str">
        <f ca="1">IFERROR(__xludf.dummyfunction("VLOOKUP(P156, IMPORTRANGE(""https://docs.google.com/spreadsheets/d/1yDAaXNsi4Mr5FtRQL4tbmSdIzhx6_m4wkOD7IG-k_eo/edit#gid=0"", ""Maths!M:N""), 2, FALSE)"),"Differentiate between scenarios where ratios are equivalent and where they are not.")</f>
        <v>Differentiate between scenarios where ratios are equivalent and where they are not.</v>
      </c>
      <c r="R156" s="29" t="str">
        <f t="shared" si="16"/>
        <v>LU001133.005</v>
      </c>
      <c r="S156" s="29" t="str">
        <f ca="1">IFERROR(__xludf.dummyfunction("VLOOKUP(R156, IMPORTRANGE(""https://docs.google.com/spreadsheets/d/1yDAaXNsi4Mr5FtRQL4tbmSdIzhx6_m4wkOD7IG-k_eo/edit#gid=0"", ""Maths!M:N""), 2, FALSE)"),"Assess the accuracy of a given ratio comparison and justify the evaluation.")</f>
        <v>Assess the accuracy of a given ratio comparison and justify the evaluation.</v>
      </c>
      <c r="T156" s="29" t="str">
        <f t="shared" si="17"/>
        <v>LU001133.006</v>
      </c>
      <c r="U156" s="29" t="str">
        <f ca="1">IFERROR(__xludf.dummyfunction("VLOOKUP(T156, IMPORTRANGE(""https://docs.google.com/spreadsheets/d/1yDAaXNsi4Mr5FtRQL4tbmSdIzhx6_m4wkOD7IG-k_eo/edit#gid=0"", ""Maths!M:N""), 2, FALSE)"),"#N/A")</f>
        <v>#N/A</v>
      </c>
      <c r="V156" s="16" t="str">
        <f ca="1">IFERROR(__xludf.dummyfunction("ArrayFormula(VLOOKUP(G156, IMPORTRANGE(""https://docs.google.com/spreadsheets/d/1p7R4vtkWt5VOBim4ltsDG9KTzSjrtKXsMtQGXPHyND0/edit#gid=795171502"", ""'Filter 30_05_2024'!A1:M2000""), {2, 3, 4, 5,6,7,8,9,10,11,12,13}, 0))"),"#N/A")</f>
        <v>#N/A</v>
      </c>
      <c r="W156" s="16" t="str">
        <f ca="1">IFERROR(__xludf.dummyfunction("""COMPUTED_VALUE"""),"#N/A")</f>
        <v>#N/A</v>
      </c>
      <c r="X156" s="16" t="str">
        <f ca="1">IFERROR(__xludf.dummyfunction("""COMPUTED_VALUE"""),"#N/A")</f>
        <v>#N/A</v>
      </c>
      <c r="Y156" s="16" t="str">
        <f ca="1">IFERROR(__xludf.dummyfunction("""COMPUTED_VALUE"""),"#N/A")</f>
        <v>#N/A</v>
      </c>
      <c r="Z156" s="16" t="str">
        <f ca="1">IFERROR(__xludf.dummyfunction("""COMPUTED_VALUE"""),"#N/A")</f>
        <v>#N/A</v>
      </c>
      <c r="AA156" s="30" t="str">
        <f ca="1">IFERROR(__xludf.dummyfunction("""COMPUTED_VALUE"""),"#N/A")</f>
        <v>#N/A</v>
      </c>
      <c r="AB156" s="30" t="str">
        <f ca="1">IFERROR(__xludf.dummyfunction("""COMPUTED_VALUE"""),"#N/A")</f>
        <v>#N/A</v>
      </c>
      <c r="AC156" s="30" t="str">
        <f ca="1">IFERROR(__xludf.dummyfunction("""COMPUTED_VALUE"""),"#N/A")</f>
        <v>#N/A</v>
      </c>
      <c r="AD156" s="16" t="str">
        <f ca="1">IFERROR(__xludf.dummyfunction("""COMPUTED_VALUE"""),"#N/A")</f>
        <v>#N/A</v>
      </c>
      <c r="AE156" s="30" t="str">
        <f ca="1">IFERROR(__xludf.dummyfunction("""COMPUTED_VALUE"""),"#N/A")</f>
        <v>#N/A</v>
      </c>
      <c r="AF156" s="30" t="str">
        <f ca="1">IFERROR(__xludf.dummyfunction("""COMPUTED_VALUE"""),"#N/A")</f>
        <v>#N/A</v>
      </c>
      <c r="AG156" s="30" t="str">
        <f ca="1">IFERROR(__xludf.dummyfunction("""COMPUTED_VALUE"""),"#N/A")</f>
        <v>#N/A</v>
      </c>
    </row>
    <row r="157" spans="1:33" ht="39.6">
      <c r="A157" s="25"/>
      <c r="B157" s="26" t="s">
        <v>29</v>
      </c>
      <c r="C157" s="26" t="s">
        <v>310</v>
      </c>
      <c r="D157" s="26">
        <v>6</v>
      </c>
      <c r="E157" s="27" t="s">
        <v>531</v>
      </c>
      <c r="F157" s="28" t="s">
        <v>543</v>
      </c>
      <c r="G157" s="26" t="s">
        <v>544</v>
      </c>
      <c r="H157" s="28" t="str">
        <f ca="1">IFERROR(__xludf.dummyfunction("IFERROR(
  VLOOKUP(G157, IMPORTRANGE(""https://docs.google.com/spreadsheets/d/14deopnvwcrKtEGCKuYXdUHJbeLDZlkiSSWWT0g7x2pM/edit#gid=849066331"", ""LU List Maths (Filter)!A:B""), 2, FALSE),
  IFERROR(
    VLOOKUP(G157, IMPORTRANGE(""https://docs.google.com"&amp;"/spreadsheets/d/14deopnvwcrKtEGCKuYXdUHJbeLDZlkiSSWWT0g7x2pM/edit#gid=849066331"", ""LU List Science (Filter)!A:B""), 2, FALSE),
    ""Not Found""
  )
)
"),"Use of same ratio in different situations")</f>
        <v>Use of same ratio in different situations</v>
      </c>
      <c r="I157" s="28"/>
      <c r="J157" s="29" t="str">
        <f t="shared" si="12"/>
        <v>LU000350.001</v>
      </c>
      <c r="K157" s="29" t="str">
        <f ca="1">IFERROR(__xludf.dummyfunction("VLOOKUP(J157, IMPORTRANGE(""https://docs.google.com/spreadsheets/d/1yDAaXNsi4Mr5FtRQL4tbmSdIzhx6_m4wkOD7IG-k_eo/edit#gid=0"", ""Maths!M:N""), 2, FALSE)"),"State the concept of using the same ratio in various situations and explain its significance in ensuring consistent proportions.")</f>
        <v>State the concept of using the same ratio in various situations and explain its significance in ensuring consistent proportions.</v>
      </c>
      <c r="L157" s="29" t="str">
        <f t="shared" si="13"/>
        <v>LU000350.002</v>
      </c>
      <c r="M157" s="29" t="str">
        <f ca="1">IFERROR(__xludf.dummyfunction("VLOOKUP(L157, IMPORTRANGE(""https://docs.google.com/spreadsheets/d/1yDAaXNsi4Mr5FtRQL4tbmSdIzhx6_m4wkOD7IG-k_eo/edit#gid=0"", ""Maths!M:N""), 2, FALSE)"),"Describe the concept of using the same ratio in various scenarios.")</f>
        <v>Describe the concept of using the same ratio in various scenarios.</v>
      </c>
      <c r="N157" s="29" t="str">
        <f t="shared" si="14"/>
        <v>LU000350.003</v>
      </c>
      <c r="O157" s="29" t="str">
        <f ca="1">IFERROR(__xludf.dummyfunction("VLOOKUP(N157, IMPORTRANGE(""https://docs.google.com/spreadsheets/d/1yDAaXNsi4Mr5FtRQL4tbmSdIzhx6_m4wkOD7IG-k_eo/edit#gid=0"", ""Maths!M:N""), 2, FALSE)"),"Solve problems that require applying the same ratio to calculate quantities in diverse scenarios.")</f>
        <v>Solve problems that require applying the same ratio to calculate quantities in diverse scenarios.</v>
      </c>
      <c r="P157" s="29" t="str">
        <f t="shared" si="15"/>
        <v>LU000350.004</v>
      </c>
      <c r="Q157" s="29" t="str">
        <f ca="1">IFERROR(__xludf.dummyfunction("VLOOKUP(P157, IMPORTRANGE(""https://docs.google.com/spreadsheets/d/1yDAaXNsi4Mr5FtRQL4tbmSdIzhx6_m4wkOD7IG-k_eo/edit#gid=0"", ""Maths!M:N""), 2, FALSE)"),"Analyse the significance of using the same ratio across different situations, discussing how it simplifies calculations and ensures that the same proportional relationship is maintained.")</f>
        <v>Analyse the significance of using the same ratio across different situations, discussing how it simplifies calculations and ensures that the same proportional relationship is maintained.</v>
      </c>
      <c r="R157" s="29" t="str">
        <f t="shared" si="16"/>
        <v>LU000350.005</v>
      </c>
      <c r="S157" s="29" t="str">
        <f ca="1">IFERROR(__xludf.dummyfunction("VLOOKUP(R157, IMPORTRANGE(""https://docs.google.com/spreadsheets/d/1yDAaXNsi4Mr5FtRQL4tbmSdIzhx6_m4wkOD7IG-k_eo/edit#gid=0"", ""Maths!M:N""), 2, FALSE)"),"#N/A")</f>
        <v>#N/A</v>
      </c>
      <c r="T157" s="29" t="str">
        <f t="shared" si="17"/>
        <v>LU000350.006</v>
      </c>
      <c r="U157" s="29" t="str">
        <f ca="1">IFERROR(__xludf.dummyfunction("VLOOKUP(T157, IMPORTRANGE(""https://docs.google.com/spreadsheets/d/1yDAaXNsi4Mr5FtRQL4tbmSdIzhx6_m4wkOD7IG-k_eo/edit#gid=0"", ""Maths!M:N""), 2, FALSE)"),"#N/A")</f>
        <v>#N/A</v>
      </c>
      <c r="V157" s="16">
        <f ca="1">IFERROR(__xludf.dummyfunction("ArrayFormula(VLOOKUP(G157, IMPORTRANGE(""https://docs.google.com/spreadsheets/d/1p7R4vtkWt5VOBim4ltsDG9KTzSjrtKXsMtQGXPHyND0/edit#gid=795171502"", ""'Filter 30_05_2024'!A1:M2000""), {2, 3, 4, 5,6,7,8,9,10,11,12,13}, 0))"),4)</f>
        <v>4</v>
      </c>
      <c r="W157" s="16">
        <f ca="1">IFERROR(__xludf.dummyfunction("""COMPUTED_VALUE"""),6)</f>
        <v>6</v>
      </c>
      <c r="X157" s="16">
        <f ca="1">IFERROR(__xludf.dummyfunction("""COMPUTED_VALUE"""),2)</f>
        <v>2</v>
      </c>
      <c r="Y157" s="16">
        <f ca="1">IFERROR(__xludf.dummyfunction("""COMPUTED_VALUE"""),12)</f>
        <v>12</v>
      </c>
      <c r="Z157" s="16">
        <f ca="1">IFERROR(__xludf.dummyfunction("""COMPUTED_VALUE"""),4)</f>
        <v>4</v>
      </c>
      <c r="AA157" s="30">
        <f ca="1">IFERROR(__xludf.dummyfunction("""COMPUTED_VALUE"""),3)</f>
        <v>3</v>
      </c>
      <c r="AB157" s="30">
        <f ca="1">IFERROR(__xludf.dummyfunction("""COMPUTED_VALUE"""),1)</f>
        <v>1</v>
      </c>
      <c r="AC157" s="30">
        <f ca="1">IFERROR(__xludf.dummyfunction("""COMPUTED_VALUE"""),8)</f>
        <v>8</v>
      </c>
      <c r="AD157" s="16"/>
      <c r="AE157" s="30"/>
      <c r="AF157" s="30"/>
      <c r="AG157" s="30"/>
    </row>
    <row r="158" spans="1:33" ht="39.6">
      <c r="A158" s="25"/>
      <c r="B158" s="26" t="s">
        <v>29</v>
      </c>
      <c r="C158" s="26" t="s">
        <v>310</v>
      </c>
      <c r="D158" s="26">
        <v>6</v>
      </c>
      <c r="E158" s="27" t="s">
        <v>531</v>
      </c>
      <c r="F158" s="28"/>
      <c r="G158" s="26" t="s">
        <v>545</v>
      </c>
      <c r="H158" s="28" t="str">
        <f ca="1">IFERROR(__xludf.dummyfunction("IFERROR(
  VLOOKUP(G158, IMPORTRANGE(""https://docs.google.com/spreadsheets/d/14deopnvwcrKtEGCKuYXdUHJbeLDZlkiSSWWT0g7x2pM/edit#gid=849066331"", ""LU List Maths (Filter)!A:B""), 2, FALSE),
  IFERROR(
    VLOOKUP(G158, IMPORTRANGE(""https://docs.google.com"&amp;"/spreadsheets/d/14deopnvwcrKtEGCKuYXdUHJbeLDZlkiSSWWT0g7x2pM/edit#gid=849066331"", ""LU List Science (Filter)!A:B""), 2, FALSE),
    ""Not Found""
  )
)
"),"Use of ratio of part to whole in real life situations")</f>
        <v>Use of ratio of part to whole in real life situations</v>
      </c>
      <c r="I158" s="28"/>
      <c r="J158" s="29" t="str">
        <f t="shared" si="12"/>
        <v>LU000351.001</v>
      </c>
      <c r="K158" s="29" t="str">
        <f ca="1">IFERROR(__xludf.dummyfunction("VLOOKUP(J158, IMPORTRANGE(""https://docs.google.com/spreadsheets/d/1yDAaXNsi4Mr5FtRQL4tbmSdIzhx6_m4wkOD7IG-k_eo/edit#gid=0"", ""Maths!M:N""), 2, FALSE)"),"Recall the definition of a ratio and identify its components - the part and the whole.")</f>
        <v>Recall the definition of a ratio and identify its components - the part and the whole.</v>
      </c>
      <c r="L158" s="29" t="str">
        <f t="shared" si="13"/>
        <v>LU000351.002</v>
      </c>
      <c r="M158" s="29" t="str">
        <f ca="1">IFERROR(__xludf.dummyfunction("VLOOKUP(L158, IMPORTRANGE(""https://docs.google.com/spreadsheets/d/1yDAaXNsi4Mr5FtRQL4tbmSdIzhx6_m4wkOD7IG-k_eo/edit#gid=0"", ""Maths!M:N""), 2, FALSE)"),"Explain the concept of a ratio in terms of comparing the relative sizes of a part and a whole.")</f>
        <v>Explain the concept of a ratio in terms of comparing the relative sizes of a part and a whole.</v>
      </c>
      <c r="N158" s="29" t="str">
        <f t="shared" si="14"/>
        <v>LU000351.003</v>
      </c>
      <c r="O158" s="29" t="str">
        <f ca="1">IFERROR(__xludf.dummyfunction("VLOOKUP(N158, IMPORTRANGE(""https://docs.google.com/spreadsheets/d/1yDAaXNsi4Mr5FtRQL4tbmSdIzhx6_m4wkOD7IG-k_eo/edit#gid=0"", ""Maths!M:N""), 2, FALSE)"),"Apply the concept of ratios to real-life situations by solving problems that involve finding ratios of part to whole.")</f>
        <v>Apply the concept of ratios to real-life situations by solving problems that involve finding ratios of part to whole.</v>
      </c>
      <c r="P158" s="29" t="str">
        <f t="shared" si="15"/>
        <v>LU000351.004</v>
      </c>
      <c r="Q158" s="29" t="str">
        <f ca="1">IFERROR(__xludf.dummyfunction("VLOOKUP(P158, IMPORTRANGE(""https://docs.google.com/spreadsheets/d/1yDAaXNsi4Mr5FtRQL4tbmSdIzhx6_m4wkOD7IG-k_eo/edit#gid=0"", ""Maths!M:N""), 2, FALSE)"),"Analyse and interpret ratios in different contexts, identifying the significance of the relationship between the part and the whole.")</f>
        <v>Analyse and interpret ratios in different contexts, identifying the significance of the relationship between the part and the whole.</v>
      </c>
      <c r="R158" s="29" t="str">
        <f t="shared" si="16"/>
        <v>LU000351.005</v>
      </c>
      <c r="S158" s="29" t="str">
        <f ca="1">IFERROR(__xludf.dummyfunction("VLOOKUP(R158, IMPORTRANGE(""https://docs.google.com/spreadsheets/d/1yDAaXNsi4Mr5FtRQL4tbmSdIzhx6_m4wkOD7IG-k_eo/edit#gid=0"", ""Maths!M:N""), 2, FALSE)"),"Evaluate the effectiveness of using ratios to represent relationships in real-life scenarios.")</f>
        <v>Evaluate the effectiveness of using ratios to represent relationships in real-life scenarios.</v>
      </c>
      <c r="T158" s="29" t="str">
        <f t="shared" si="17"/>
        <v>LU000351.006</v>
      </c>
      <c r="U158" s="29" t="str">
        <f ca="1">IFERROR(__xludf.dummyfunction("VLOOKUP(T158, IMPORTRANGE(""https://docs.google.com/spreadsheets/d/1yDAaXNsi4Mr5FtRQL4tbmSdIzhx6_m4wkOD7IG-k_eo/edit#gid=0"", ""Maths!M:N""), 2, FALSE)"),"Create a set of real-world scenarios where ratios are used to represent the relationship between a part and a whole.")</f>
        <v>Create a set of real-world scenarios where ratios are used to represent the relationship between a part and a whole.</v>
      </c>
      <c r="V158" s="16">
        <f ca="1">IFERROR(__xludf.dummyfunction("ArrayFormula(VLOOKUP(G158, IMPORTRANGE(""https://docs.google.com/spreadsheets/d/1p7R4vtkWt5VOBim4ltsDG9KTzSjrtKXsMtQGXPHyND0/edit#gid=795171502"", ""'Filter 30_05_2024'!A1:M2000""), {2, 3, 4, 5,6,7,8,9,10,11,12,13}, 0))"),4)</f>
        <v>4</v>
      </c>
      <c r="W158" s="16">
        <f ca="1">IFERROR(__xludf.dummyfunction("""COMPUTED_VALUE"""),6)</f>
        <v>6</v>
      </c>
      <c r="X158" s="16">
        <f ca="1">IFERROR(__xludf.dummyfunction("""COMPUTED_VALUE"""),2)</f>
        <v>2</v>
      </c>
      <c r="Y158" s="16">
        <f ca="1">IFERROR(__xludf.dummyfunction("""COMPUTED_VALUE"""),12)</f>
        <v>12</v>
      </c>
      <c r="Z158" s="16">
        <f ca="1">IFERROR(__xludf.dummyfunction("""COMPUTED_VALUE"""),4)</f>
        <v>4</v>
      </c>
      <c r="AA158" s="30">
        <f ca="1">IFERROR(__xludf.dummyfunction("""COMPUTED_VALUE"""),3)</f>
        <v>3</v>
      </c>
      <c r="AB158" s="30">
        <f ca="1">IFERROR(__xludf.dummyfunction("""COMPUTED_VALUE"""),1)</f>
        <v>1</v>
      </c>
      <c r="AC158" s="30">
        <f ca="1">IFERROR(__xludf.dummyfunction("""COMPUTED_VALUE"""),8)</f>
        <v>8</v>
      </c>
      <c r="AD158" s="16"/>
      <c r="AE158" s="30"/>
      <c r="AF158" s="30"/>
      <c r="AG158" s="30"/>
    </row>
    <row r="159" spans="1:33" ht="39.6">
      <c r="A159" s="25"/>
      <c r="B159" s="26" t="s">
        <v>29</v>
      </c>
      <c r="C159" s="26" t="s">
        <v>310</v>
      </c>
      <c r="D159" s="26">
        <v>6</v>
      </c>
      <c r="E159" s="27" t="s">
        <v>531</v>
      </c>
      <c r="F159" s="28" t="s">
        <v>546</v>
      </c>
      <c r="G159" s="26" t="s">
        <v>547</v>
      </c>
      <c r="H159" s="28" t="str">
        <f ca="1">IFERROR(__xludf.dummyfunction("IFERROR(
  VLOOKUP(G159, IMPORTRANGE(""https://docs.google.com/spreadsheets/d/14deopnvwcrKtEGCKuYXdUHJbeLDZlkiSSWWT0g7x2pM/edit#gid=849066331"", ""LU List Maths (Filter)!A:B""), 2, FALSE),
  IFERROR(
    VLOOKUP(G159, IMPORTRANGE(""https://docs.google.com"&amp;"/spreadsheets/d/14deopnvwcrKtEGCKuYXdUHJbeLDZlkiSSWWT0g7x2pM/edit#gid=849066331"", ""LU List Science (Filter)!A:B""), 2, FALSE),
    ""Not Found""
  )
)
"),"Definition of proportion")</f>
        <v>Definition of proportion</v>
      </c>
      <c r="I159" s="28"/>
      <c r="J159" s="29" t="str">
        <f t="shared" si="12"/>
        <v>LU000345.001</v>
      </c>
      <c r="K159" s="29" t="str">
        <f ca="1">IFERROR(__xludf.dummyfunction("VLOOKUP(J159, IMPORTRANGE(""https://docs.google.com/spreadsheets/d/1yDAaXNsi4Mr5FtRQL4tbmSdIzhx6_m4wkOD7IG-k_eo/edit#gid=0"", ""Maths!M:N""), 2, FALSE)"),"State the definition of proportion with examples.")</f>
        <v>State the definition of proportion with examples.</v>
      </c>
      <c r="L159" s="29" t="str">
        <f t="shared" si="13"/>
        <v>LU000345.002</v>
      </c>
      <c r="M159" s="29" t="str">
        <f ca="1">IFERROR(__xludf.dummyfunction("VLOOKUP(L159, IMPORTRANGE(""https://docs.google.com/spreadsheets/d/1yDAaXNsi4Mr5FtRQL4tbmSdIzhx6_m4wkOD7IG-k_eo/edit#gid=0"", ""Maths!M:N""), 2, FALSE)"),"Describe the concept of proportion, emphasising that it indicates the equal relationship between two sets of quantities expressed as ratios.")</f>
        <v>Describe the concept of proportion, emphasising that it indicates the equal relationship between two sets of quantities expressed as ratios.</v>
      </c>
      <c r="N159" s="29" t="str">
        <f t="shared" si="14"/>
        <v>LU000345.003</v>
      </c>
      <c r="O159" s="29" t="str">
        <f ca="1">IFERROR(__xludf.dummyfunction("VLOOKUP(N159, IMPORTRANGE(""https://docs.google.com/spreadsheets/d/1yDAaXNsi4Mr5FtRQL4tbmSdIzhx6_m4wkOD7IG-k_eo/edit#gid=0"", ""Maths!M:N""), 2, FALSE)"),"Solve problems involving the verification of whether two ratios are in proportion or not.")</f>
        <v>Solve problems involving the verification of whether two ratios are in proportion or not.</v>
      </c>
      <c r="P159" s="29" t="str">
        <f t="shared" si="15"/>
        <v>LU000345.004</v>
      </c>
      <c r="Q159" s="29" t="str">
        <f ca="1">IFERROR(__xludf.dummyfunction("VLOOKUP(P159, IMPORTRANGE(""https://docs.google.com/spreadsheets/d/1yDAaXNsi4Mr5FtRQL4tbmSdIzhx6_m4wkOD7IG-k_eo/edit#gid=0"", ""Maths!M:N""), 2, FALSE)"),"Analyse the significance of proportion in real-world scenarios.")</f>
        <v>Analyse the significance of proportion in real-world scenarios.</v>
      </c>
      <c r="R159" s="29" t="str">
        <f t="shared" si="16"/>
        <v>LU000345.005</v>
      </c>
      <c r="S159" s="29" t="str">
        <f ca="1">IFERROR(__xludf.dummyfunction("VLOOKUP(R159, IMPORTRANGE(""https://docs.google.com/spreadsheets/d/1yDAaXNsi4Mr5FtRQL4tbmSdIzhx6_m4wkOD7IG-k_eo/edit#gid=0"", ""Maths!M:N""), 2, FALSE)"),"Evaluate the accuracy of solutions involving proportion, assessing their ability to identify whether given ratios are in proportion or not and provide reasoning for their answers.")</f>
        <v>Evaluate the accuracy of solutions involving proportion, assessing their ability to identify whether given ratios are in proportion or not and provide reasoning for their answers.</v>
      </c>
      <c r="T159" s="29" t="str">
        <f t="shared" si="17"/>
        <v>LU000345.006</v>
      </c>
      <c r="U159" s="29" t="str">
        <f ca="1">IFERROR(__xludf.dummyfunction("VLOOKUP(T159, IMPORTRANGE(""https://docs.google.com/spreadsheets/d/1yDAaXNsi4Mr5FtRQL4tbmSdIzhx6_m4wkOD7IG-k_eo/edit#gid=0"", ""Maths!M:N""), 2, FALSE)"),"Create scenarios where quantities need to be compared using proportion, and design problems that challenges cto determine whether given ratios are in proportion or not.")</f>
        <v>Create scenarios where quantities need to be compared using proportion, and design problems that challenges cto determine whether given ratios are in proportion or not.</v>
      </c>
      <c r="V159" s="16">
        <f ca="1">IFERROR(__xludf.dummyfunction("ArrayFormula(VLOOKUP(G159, IMPORTRANGE(""https://docs.google.com/spreadsheets/d/1p7R4vtkWt5VOBim4ltsDG9KTzSjrtKXsMtQGXPHyND0/edit#gid=795171502"", ""'Filter 30_05_2024'!A1:M2000""), {2, 3, 4, 5,6,7,8,9,10,11,12,13}, 0))"),4)</f>
        <v>4</v>
      </c>
      <c r="W159" s="16">
        <f ca="1">IFERROR(__xludf.dummyfunction("""COMPUTED_VALUE"""),16)</f>
        <v>16</v>
      </c>
      <c r="X159" s="16">
        <f ca="1">IFERROR(__xludf.dummyfunction("""COMPUTED_VALUE"""),2)</f>
        <v>2</v>
      </c>
      <c r="Y159" s="16">
        <f ca="1">IFERROR(__xludf.dummyfunction("""COMPUTED_VALUE"""),22)</f>
        <v>22</v>
      </c>
      <c r="Z159" s="16">
        <f ca="1">IFERROR(__xludf.dummyfunction("""COMPUTED_VALUE"""),4)</f>
        <v>4</v>
      </c>
      <c r="AA159" s="30">
        <f ca="1">IFERROR(__xludf.dummyfunction("""COMPUTED_VALUE"""),10)</f>
        <v>10</v>
      </c>
      <c r="AB159" s="30">
        <f ca="1">IFERROR(__xludf.dummyfunction("""COMPUTED_VALUE"""),1)</f>
        <v>1</v>
      </c>
      <c r="AC159" s="30">
        <f ca="1">IFERROR(__xludf.dummyfunction("""COMPUTED_VALUE"""),15)</f>
        <v>15</v>
      </c>
      <c r="AD159" s="16"/>
      <c r="AE159" s="30"/>
      <c r="AF159" s="30"/>
      <c r="AG159" s="30"/>
    </row>
    <row r="160" spans="1:33" ht="39.6">
      <c r="A160" s="25"/>
      <c r="B160" s="26" t="s">
        <v>29</v>
      </c>
      <c r="C160" s="26" t="s">
        <v>310</v>
      </c>
      <c r="D160" s="26">
        <v>6</v>
      </c>
      <c r="E160" s="27" t="s">
        <v>531</v>
      </c>
      <c r="F160" s="28"/>
      <c r="G160" s="26" t="s">
        <v>548</v>
      </c>
      <c r="H160" s="28" t="str">
        <f ca="1">IFERROR(__xludf.dummyfunction("IFERROR(
  VLOOKUP(G160, IMPORTRANGE(""https://docs.google.com/spreadsheets/d/14deopnvwcrKtEGCKuYXdUHJbeLDZlkiSSWWT0g7x2pM/edit#gid=849066331"", ""LU List Maths (Filter)!A:B""), 2, FALSE),
  IFERROR(
    VLOOKUP(G160, IMPORTRANGE(""https://docs.google.com"&amp;"/spreadsheets/d/14deopnvwcrKtEGCKuYXdUHJbeLDZlkiSSWWT0g7x2pM/edit#gid=849066331"", ""LU List Science (Filter)!A:B""), 2, FALSE),
    ""Not Found""
  )
)
"),"Procedure to check for proportion")</f>
        <v>Procedure to check for proportion</v>
      </c>
      <c r="I160" s="28"/>
      <c r="J160" s="29" t="str">
        <f t="shared" si="12"/>
        <v>LU000346.001</v>
      </c>
      <c r="K160" s="29" t="str">
        <f ca="1">IFERROR(__xludf.dummyfunction("VLOOKUP(J160, IMPORTRANGE(""https://docs.google.com/spreadsheets/d/1yDAaXNsi4Mr5FtRQL4tbmSdIzhx6_m4wkOD7IG-k_eo/edit#gid=0"", ""Maths!M:N""), 2, FALSE)"),"State the steps for checking if two sets of ratios are in proportion and list the key criteria that must be satisfied for proportions to hold.")</f>
        <v>State the steps for checking if two sets of ratios are in proportion and list the key criteria that must be satisfied for proportions to hold.</v>
      </c>
      <c r="L160" s="29" t="str">
        <f t="shared" si="13"/>
        <v>LU000346.002</v>
      </c>
      <c r="M160" s="29" t="str">
        <f ca="1">IFERROR(__xludf.dummyfunction("VLOOKUP(L160, IMPORTRANGE(""https://docs.google.com/spreadsheets/d/1yDAaXNsi4Mr5FtRQL4tbmSdIzhx6_m4wkOD7IG-k_eo/edit#gid=0"", ""Maths!M:N""), 2, FALSE)"),"Describe the procedure to check for proportion, clarifying that cross-multiplying the two ratios and comparing the cross-products for equality determines if they are in proportion.")</f>
        <v>Describe the procedure to check for proportion, clarifying that cross-multiplying the two ratios and comparing the cross-products for equality determines if they are in proportion.</v>
      </c>
      <c r="N160" s="29" t="str">
        <f t="shared" si="14"/>
        <v>LU000346.003</v>
      </c>
      <c r="O160" s="29" t="str">
        <f ca="1">IFERROR(__xludf.dummyfunction("VLOOKUP(N160, IMPORTRANGE(""https://docs.google.com/spreadsheets/d/1yDAaXNsi4Mr5FtRQL4tbmSdIzhx6_m4wkOD7IG-k_eo/edit#gid=0"", ""Maths!M:N""), 2, FALSE)"),"Solve problems that involve rewriting the given equivalent ratios in the form of proportion and find the unknown quantity")</f>
        <v>Solve problems that involve rewriting the given equivalent ratios in the form of proportion and find the unknown quantity</v>
      </c>
      <c r="P160" s="29" t="str">
        <f t="shared" si="15"/>
        <v>LU000346.004</v>
      </c>
      <c r="Q160" s="29" t="str">
        <f ca="1">IFERROR(__xludf.dummyfunction("VLOOKUP(P160, IMPORTRANGE(""https://docs.google.com/spreadsheets/d/1yDAaXNsi4Mr5FtRQL4tbmSdIzhx6_m4wkOD7IG-k_eo/edit#gid=0"", ""Maths!M:N""), 2, FALSE)"),"Analyse the significance of the cross-multiplication method in determining proportionality, discussing how it guarantees that the ratios maintain a consistent relationship.")</f>
        <v>Analyse the significance of the cross-multiplication method in determining proportionality, discussing how it guarantees that the ratios maintain a consistent relationship.</v>
      </c>
      <c r="R160" s="29" t="str">
        <f t="shared" si="16"/>
        <v>LU000346.005</v>
      </c>
      <c r="S160" s="29" t="str">
        <f ca="1">IFERROR(__xludf.dummyfunction("VLOOKUP(R160, IMPORTRANGE(""https://docs.google.com/spreadsheets/d/1yDAaXNsi4Mr5FtRQL4tbmSdIzhx6_m4wkOD7IG-k_eo/edit#gid=0"", ""Maths!M:N""), 2, FALSE)"),"Evaluate the accuracy of solutions involving the procedure to check for proportion.")</f>
        <v>Evaluate the accuracy of solutions involving the procedure to check for proportion.</v>
      </c>
      <c r="T160" s="29" t="str">
        <f t="shared" si="17"/>
        <v>LU000346.006</v>
      </c>
      <c r="U160" s="29" t="str">
        <f ca="1">IFERROR(__xludf.dummyfunction("VLOOKUP(T160, IMPORTRANGE(""https://docs.google.com/spreadsheets/d/1yDAaXNsi4Mr5FtRQL4tbmSdIzhx6_m4wkOD7IG-k_eo/edit#gid=0"", ""Maths!M:N""), 2, FALSE)"),"Create scenarios with multiple sets of ratios and design a problem that challenges classmates to check for proportion using the cross-multiplication method.")</f>
        <v>Create scenarios with multiple sets of ratios and design a problem that challenges classmates to check for proportion using the cross-multiplication method.</v>
      </c>
      <c r="V160" s="16">
        <f ca="1">IFERROR(__xludf.dummyfunction("ArrayFormula(VLOOKUP(G160, IMPORTRANGE(""https://docs.google.com/spreadsheets/d/1p7R4vtkWt5VOBim4ltsDG9KTzSjrtKXsMtQGXPHyND0/edit#gid=795171502"", ""'Filter 30_05_2024'!A1:M2000""), {2, 3, 4, 5,6,7,8,9,10,11,12,13}, 0))"),4)</f>
        <v>4</v>
      </c>
      <c r="W160" s="16">
        <f ca="1">IFERROR(__xludf.dummyfunction("""COMPUTED_VALUE"""),11)</f>
        <v>11</v>
      </c>
      <c r="X160" s="16">
        <f ca="1">IFERROR(__xludf.dummyfunction("""COMPUTED_VALUE"""),2)</f>
        <v>2</v>
      </c>
      <c r="Y160" s="16">
        <f ca="1">IFERROR(__xludf.dummyfunction("""COMPUTED_VALUE"""),17)</f>
        <v>17</v>
      </c>
      <c r="Z160" s="16">
        <f ca="1">IFERROR(__xludf.dummyfunction("""COMPUTED_VALUE"""),4)</f>
        <v>4</v>
      </c>
      <c r="AA160" s="30">
        <f ca="1">IFERROR(__xludf.dummyfunction("""COMPUTED_VALUE"""),3)</f>
        <v>3</v>
      </c>
      <c r="AB160" s="30">
        <f ca="1">IFERROR(__xludf.dummyfunction("""COMPUTED_VALUE"""),1)</f>
        <v>1</v>
      </c>
      <c r="AC160" s="30">
        <f ca="1">IFERROR(__xludf.dummyfunction("""COMPUTED_VALUE"""),8)</f>
        <v>8</v>
      </c>
      <c r="AD160" s="16"/>
      <c r="AE160" s="30"/>
      <c r="AF160" s="30"/>
      <c r="AG160" s="30"/>
    </row>
    <row r="161" spans="1:33" ht="39.6">
      <c r="A161" s="25"/>
      <c r="B161" s="26" t="s">
        <v>29</v>
      </c>
      <c r="C161" s="26" t="s">
        <v>310</v>
      </c>
      <c r="D161" s="26">
        <v>6</v>
      </c>
      <c r="E161" s="27" t="s">
        <v>531</v>
      </c>
      <c r="F161" s="28" t="s">
        <v>549</v>
      </c>
      <c r="G161" s="26" t="s">
        <v>550</v>
      </c>
      <c r="H161" s="28" t="str">
        <f ca="1">IFERROR(__xludf.dummyfunction("IFERROR(
  VLOOKUP(G161, IMPORTRANGE(""https://docs.google.com/spreadsheets/d/14deopnvwcrKtEGCKuYXdUHJbeLDZlkiSSWWT0g7x2pM/edit#gid=849066331"", ""LU List Maths (Filter)!A:B""), 2, FALSE),
  IFERROR(
    VLOOKUP(G161, IMPORTRANGE(""https://docs.google.com"&amp;"/spreadsheets/d/14deopnvwcrKtEGCKuYXdUHJbeLDZlkiSSWWT0g7x2pM/edit#gid=849066331"", ""LU List Science (Filter)!A:B""), 2, FALSE),
    ""Not Found""
  )
)
"),"Lexical explanation of unitary method")</f>
        <v>Lexical explanation of unitary method</v>
      </c>
      <c r="I161" s="28"/>
      <c r="J161" s="29" t="str">
        <f t="shared" si="12"/>
        <v>LU000347.001</v>
      </c>
      <c r="K161" s="29" t="str">
        <f ca="1">IFERROR(__xludf.dummyfunction("VLOOKUP(J161, IMPORTRANGE(""https://docs.google.com/spreadsheets/d/1yDAaXNsi4Mr5FtRQL4tbmSdIzhx6_m4wkOD7IG-k_eo/edit#gid=0"", ""Maths!M:N""), 2, FALSE)"),"State the definition of the unitary method and explain its role in solving problems.")</f>
        <v>State the definition of the unitary method and explain its role in solving problems.</v>
      </c>
      <c r="L161" s="29" t="str">
        <f t="shared" si="13"/>
        <v>LU000347.002</v>
      </c>
      <c r="M161" s="29" t="str">
        <f ca="1">IFERROR(__xludf.dummyfunction("VLOOKUP(L161, IMPORTRANGE(""https://docs.google.com/spreadsheets/d/1yDAaXNsi4Mr5FtRQL4tbmSdIzhx6_m4wkOD7IG-k_eo/edit#gid=0"", ""Maths!M:N""), 2, FALSE)"),"Describe the concept of the unitary method, highlighting that it entails determining the value of a single unit to calculate the value of other quantities in the given proportion.")</f>
        <v>Describe the concept of the unitary method, highlighting that it entails determining the value of a single unit to calculate the value of other quantities in the given proportion.</v>
      </c>
      <c r="N161" s="29" t="str">
        <f t="shared" si="14"/>
        <v>LU000347.003</v>
      </c>
      <c r="O161" s="29" t="str">
        <f ca="1">IFERROR(__xludf.dummyfunction("VLOOKUP(N161, IMPORTRANGE(""https://docs.google.com/spreadsheets/d/1yDAaXNsi4Mr5FtRQL4tbmSdIzhx6_m4wkOD7IG-k_eo/edit#gid=0"", ""Maths!M:N""), 2, FALSE)"),"Apply the understanding of the unitary method to solve arithmetic and practical problems.")</f>
        <v>Apply the understanding of the unitary method to solve arithmetic and practical problems.</v>
      </c>
      <c r="P161" s="29" t="str">
        <f t="shared" si="15"/>
        <v>LU000347.004</v>
      </c>
      <c r="Q161" s="29" t="str">
        <f ca="1">IFERROR(__xludf.dummyfunction("VLOOKUP(P161, IMPORTRANGE(""https://docs.google.com/spreadsheets/d/1yDAaXNsi4Mr5FtRQL4tbmSdIzhx6_m4wkOD7IG-k_eo/edit#gid=0"", ""Maths!M:N""), 2, FALSE)"),"Analyse the significance of the unitary method in solving practical problems.")</f>
        <v>Analyse the significance of the unitary method in solving practical problems.</v>
      </c>
      <c r="R161" s="29" t="str">
        <f t="shared" si="16"/>
        <v>LU000347.005</v>
      </c>
      <c r="S161" s="29" t="str">
        <f ca="1">IFERROR(__xludf.dummyfunction("VLOOKUP(R161, IMPORTRANGE(""https://docs.google.com/spreadsheets/d/1yDAaXNsi4Mr5FtRQL4tbmSdIzhx6_m4wkOD7IG-k_eo/edit#gid=0"", ""Maths!M:N""), 2, FALSE)"),"Evaluate the accuracy of solutions involving the unitary method, assessing the ability to correctly determine the value of a single unit and apply it to various scenarios.")</f>
        <v>Evaluate the accuracy of solutions involving the unitary method, assessing the ability to correctly determine the value of a single unit and apply it to various scenarios.</v>
      </c>
      <c r="T161" s="29" t="str">
        <f t="shared" si="17"/>
        <v>LU000347.006</v>
      </c>
      <c r="U161" s="29" t="str">
        <f ca="1">IFERROR(__xludf.dummyfunction("VLOOKUP(T161, IMPORTRANGE(""https://docs.google.com/spreadsheets/d/1yDAaXNsi4Mr5FtRQL4tbmSdIzhx6_m4wkOD7IG-k_eo/edit#gid=0"", ""Maths!M:N""), 2, FALSE)"),"Create scenarios where a complex ratio needs to be simplified using the unitary method, and design problems to determine the value of a single unit and apply it.")</f>
        <v>Create scenarios where a complex ratio needs to be simplified using the unitary method, and design problems to determine the value of a single unit and apply it.</v>
      </c>
      <c r="V161" s="16">
        <f ca="1">IFERROR(__xludf.dummyfunction("ArrayFormula(VLOOKUP(G161, IMPORTRANGE(""https://docs.google.com/spreadsheets/d/1p7R4vtkWt5VOBim4ltsDG9KTzSjrtKXsMtQGXPHyND0/edit#gid=795171502"", ""'Filter 30_05_2024'!A1:M2000""), {2, 3, 4, 5,6,7,8,9,10,11,12,13}, 0))"),3)</f>
        <v>3</v>
      </c>
      <c r="W161" s="16">
        <f ca="1">IFERROR(__xludf.dummyfunction("""COMPUTED_VALUE"""),7)</f>
        <v>7</v>
      </c>
      <c r="X161" s="16">
        <f ca="1">IFERROR(__xludf.dummyfunction("""COMPUTED_VALUE"""),2)</f>
        <v>2</v>
      </c>
      <c r="Y161" s="16">
        <f ca="1">IFERROR(__xludf.dummyfunction("""COMPUTED_VALUE"""),12)</f>
        <v>12</v>
      </c>
      <c r="Z161" s="16">
        <f ca="1">IFERROR(__xludf.dummyfunction("""COMPUTED_VALUE"""),5)</f>
        <v>5</v>
      </c>
      <c r="AA161" s="30">
        <f ca="1">IFERROR(__xludf.dummyfunction("""COMPUTED_VALUE"""),9)</f>
        <v>9</v>
      </c>
      <c r="AB161" s="30">
        <f ca="1">IFERROR(__xludf.dummyfunction("""COMPUTED_VALUE"""),1)</f>
        <v>1</v>
      </c>
      <c r="AC161" s="30">
        <f ca="1">IFERROR(__xludf.dummyfunction("""COMPUTED_VALUE"""),15)</f>
        <v>15</v>
      </c>
      <c r="AD161" s="16"/>
      <c r="AE161" s="30"/>
      <c r="AF161" s="30"/>
      <c r="AG161" s="30"/>
    </row>
    <row r="162" spans="1:33" ht="39.6">
      <c r="A162" s="25"/>
      <c r="B162" s="26" t="s">
        <v>29</v>
      </c>
      <c r="C162" s="26" t="s">
        <v>310</v>
      </c>
      <c r="D162" s="26">
        <v>6</v>
      </c>
      <c r="E162" s="27" t="s">
        <v>531</v>
      </c>
      <c r="F162" s="28" t="s">
        <v>551</v>
      </c>
      <c r="G162" s="33" t="s">
        <v>552</v>
      </c>
      <c r="H162" s="28" t="str">
        <f ca="1">IFERROR(__xludf.dummyfunction("IFERROR(
  VLOOKUP(G162, IMPORTRANGE(""https://docs.google.com/spreadsheets/d/14deopnvwcrKtEGCKuYXdUHJbeLDZlkiSSWWT0g7x2pM/edit#gid=849066331"", ""LU List Maths (Filter)!A:B""), 2, FALSE),
  IFERROR(
    VLOOKUP(G162, IMPORTRANGE(""https://docs.google.com"&amp;"/spreadsheets/d/14deopnvwcrKtEGCKuYXdUHJbeLDZlkiSSWWT0g7x2pM/edit#gid=849066331"", ""LU List Science (Filter)!A:B""), 2, FALSE),
    ""Not Found""
  )
)
"),"Word problems on ratio and proportion")</f>
        <v>Word problems on ratio and proportion</v>
      </c>
      <c r="I162" s="28"/>
      <c r="J162" s="29" t="str">
        <f t="shared" si="12"/>
        <v>LU001388.001</v>
      </c>
      <c r="K162" s="29" t="str">
        <f ca="1">IFERROR(__xludf.dummyfunction("VLOOKUP(J162, IMPORTRANGE(""https://docs.google.com/spreadsheets/d/1yDAaXNsi4Mr5FtRQL4tbmSdIzhx6_m4wkOD7IG-k_eo/edit#gid=0"", ""Maths!M:N""), 2, FALSE)"),"(LU001388.001); Default - Remember")</f>
        <v>(LU001388.001); Default - Remember</v>
      </c>
      <c r="L162" s="29" t="str">
        <f t="shared" si="13"/>
        <v>LU001388.002</v>
      </c>
      <c r="M162" s="29" t="str">
        <f ca="1">IFERROR(__xludf.dummyfunction("VLOOKUP(L162, IMPORTRANGE(""https://docs.google.com/spreadsheets/d/1yDAaXNsi4Mr5FtRQL4tbmSdIzhx6_m4wkOD7IG-k_eo/edit#gid=0"", ""Maths!M:N""), 2, FALSE)"),"(LU001388.002); Default - Understand")</f>
        <v>(LU001388.002); Default - Understand</v>
      </c>
      <c r="N162" s="29" t="str">
        <f t="shared" si="14"/>
        <v>LU001388.003</v>
      </c>
      <c r="O162" s="29" t="str">
        <f ca="1">IFERROR(__xludf.dummyfunction("VLOOKUP(N162, IMPORTRANGE(""https://docs.google.com/spreadsheets/d/1yDAaXNsi4Mr5FtRQL4tbmSdIzhx6_m4wkOD7IG-k_eo/edit#gid=0"", ""Maths!M:N""), 2, FALSE)"),"(LU001388.003); Default - Apply")</f>
        <v>(LU001388.003); Default - Apply</v>
      </c>
      <c r="P162" s="29" t="str">
        <f t="shared" si="15"/>
        <v>LU001388.004</v>
      </c>
      <c r="Q162" s="29" t="str">
        <f ca="1">IFERROR(__xludf.dummyfunction("VLOOKUP(P162, IMPORTRANGE(""https://docs.google.com/spreadsheets/d/1yDAaXNsi4Mr5FtRQL4tbmSdIzhx6_m4wkOD7IG-k_eo/edit#gid=0"", ""Maths!M:N""), 2, FALSE)"),"(LU001388.004); Default - Analyse")</f>
        <v>(LU001388.004); Default - Analyse</v>
      </c>
      <c r="R162" s="29" t="str">
        <f t="shared" si="16"/>
        <v>LU001388.005</v>
      </c>
      <c r="S162" s="29" t="str">
        <f ca="1">IFERROR(__xludf.dummyfunction("VLOOKUP(R162, IMPORTRANGE(""https://docs.google.com/spreadsheets/d/1yDAaXNsi4Mr5FtRQL4tbmSdIzhx6_m4wkOD7IG-k_eo/edit#gid=0"", ""Maths!M:N""), 2, FALSE)"),"(LU001388.005); Default - Evaluate")</f>
        <v>(LU001388.005); Default - Evaluate</v>
      </c>
      <c r="T162" s="29" t="str">
        <f t="shared" si="17"/>
        <v>LU001388.006</v>
      </c>
      <c r="U162" s="29" t="str">
        <f ca="1">IFERROR(__xludf.dummyfunction("VLOOKUP(T162, IMPORTRANGE(""https://docs.google.com/spreadsheets/d/1yDAaXNsi4Mr5FtRQL4tbmSdIzhx6_m4wkOD7IG-k_eo/edit#gid=0"", ""Maths!M:N""), 2, FALSE)"),"(LU001388.006); Default - Create")</f>
        <v>(LU001388.006); Default - Create</v>
      </c>
      <c r="V162" s="16" t="str">
        <f ca="1">IFERROR(__xludf.dummyfunction("ArrayFormula(VLOOKUP(G162, IMPORTRANGE(""https://docs.google.com/spreadsheets/d/1p7R4vtkWt5VOBim4ltsDG9KTzSjrtKXsMtQGXPHyND0/edit#gid=795171502"", ""'Filter 30_05_2024'!A1:M2000""), {2, 3, 4, 5,6,7,8,9,10,11,12,13}, 0))"),"#N/A")</f>
        <v>#N/A</v>
      </c>
      <c r="W162" s="16" t="str">
        <f ca="1">IFERROR(__xludf.dummyfunction("""COMPUTED_VALUE"""),"#N/A")</f>
        <v>#N/A</v>
      </c>
      <c r="X162" s="16" t="str">
        <f ca="1">IFERROR(__xludf.dummyfunction("""COMPUTED_VALUE"""),"#N/A")</f>
        <v>#N/A</v>
      </c>
      <c r="Y162" s="16" t="str">
        <f ca="1">IFERROR(__xludf.dummyfunction("""COMPUTED_VALUE"""),"#N/A")</f>
        <v>#N/A</v>
      </c>
      <c r="Z162" s="16" t="str">
        <f ca="1">IFERROR(__xludf.dummyfunction("""COMPUTED_VALUE"""),"#N/A")</f>
        <v>#N/A</v>
      </c>
      <c r="AA162" s="30" t="str">
        <f ca="1">IFERROR(__xludf.dummyfunction("""COMPUTED_VALUE"""),"#N/A")</f>
        <v>#N/A</v>
      </c>
      <c r="AB162" s="30" t="str">
        <f ca="1">IFERROR(__xludf.dummyfunction("""COMPUTED_VALUE"""),"#N/A")</f>
        <v>#N/A</v>
      </c>
      <c r="AC162" s="30" t="str">
        <f ca="1">IFERROR(__xludf.dummyfunction("""COMPUTED_VALUE"""),"#N/A")</f>
        <v>#N/A</v>
      </c>
      <c r="AD162" s="16" t="str">
        <f ca="1">IFERROR(__xludf.dummyfunction("""COMPUTED_VALUE"""),"#N/A")</f>
        <v>#N/A</v>
      </c>
      <c r="AE162" s="30" t="str">
        <f ca="1">IFERROR(__xludf.dummyfunction("""COMPUTED_VALUE"""),"#N/A")</f>
        <v>#N/A</v>
      </c>
      <c r="AF162" s="30" t="str">
        <f ca="1">IFERROR(__xludf.dummyfunction("""COMPUTED_VALUE"""),"#N/A")</f>
        <v>#N/A</v>
      </c>
      <c r="AG162" s="30" t="str">
        <f ca="1">IFERROR(__xludf.dummyfunction("""COMPUTED_VALUE"""),"#N/A")</f>
        <v>#N/A</v>
      </c>
    </row>
    <row r="163" spans="1:33" ht="16.5" customHeight="1">
      <c r="A163" s="25"/>
      <c r="B163" s="26" t="s">
        <v>29</v>
      </c>
      <c r="C163" s="26" t="s">
        <v>310</v>
      </c>
      <c r="D163" s="26">
        <v>6</v>
      </c>
      <c r="E163" s="27" t="s">
        <v>553</v>
      </c>
      <c r="F163" s="28" t="s">
        <v>554</v>
      </c>
      <c r="G163" s="26" t="s">
        <v>555</v>
      </c>
      <c r="H163" s="28" t="str">
        <f ca="1">IFERROR(__xludf.dummyfunction("IFERROR(
  VLOOKUP(G163, IMPORTRANGE(""https://docs.google.com/spreadsheets/d/14deopnvwcrKtEGCKuYXdUHJbeLDZlkiSSWWT0g7x2pM/edit#gid=849066331"", ""LU List Maths (Filter)!A:B""), 2, FALSE),
  IFERROR(
    VLOOKUP(G163, IMPORTRANGE(""https://docs.google.com"&amp;"/spreadsheets/d/14deopnvwcrKtEGCKuYXdUHJbeLDZlkiSSWWT0g7x2pM/edit#gid=849066331"", ""LU List Science (Filter)!A:B""), 2, FALSE),
    ""Not Found""
  )
)
"),"Definition of percentage")</f>
        <v>Definition of percentage</v>
      </c>
      <c r="I163" s="28"/>
      <c r="J163" s="29" t="str">
        <f t="shared" si="12"/>
        <v>LU000444.001</v>
      </c>
      <c r="K163" s="29" t="str">
        <f ca="1">IFERROR(__xludf.dummyfunction("VLOOKUP(J163, IMPORTRANGE(""https://docs.google.com/spreadsheets/d/1yDAaXNsi4Mr5FtRQL4tbmSdIzhx6_m4wkOD7IG-k_eo/edit#gid=0"", ""Maths!M:N""), 2, FALSE)"),"State the definition of a percentage as ""a portion of a whole, expressed out of 100""")</f>
        <v>State the definition of a percentage as "a portion of a whole, expressed out of 100"</v>
      </c>
      <c r="L163" s="29" t="str">
        <f t="shared" si="13"/>
        <v>LU000444.002</v>
      </c>
      <c r="M163" s="29" t="str">
        <f ca="1">IFERROR(__xludf.dummyfunction("VLOOKUP(L163, IMPORTRANGE(""https://docs.google.com/spreadsheets/d/1yDAaXNsi4Mr5FtRQL4tbmSdIzhx6_m4wkOD7IG-k_eo/edit#gid=0"", ""Maths!M:N""), 2, FALSE)"),"Describe how percentages are used to compare quantities (such as saying 25% is one-fourth of 100%).")</f>
        <v>Describe how percentages are used to compare quantities (such as saying 25% is one-fourth of 100%).</v>
      </c>
      <c r="N163" s="29" t="str">
        <f t="shared" si="14"/>
        <v>LU000444.003</v>
      </c>
      <c r="O163" s="29" t="str">
        <f ca="1">IFERROR(__xludf.dummyfunction("VLOOKUP(N163, IMPORTRANGE(""https://docs.google.com/spreadsheets/d/1yDAaXNsi4Mr5FtRQL4tbmSdIzhx6_m4wkOD7IG-k_eo/edit#gid=0"", ""Maths!M:N""), 2, FALSE)"),"Solve real-life problems involving percentages.")</f>
        <v>Solve real-life problems involving percentages.</v>
      </c>
      <c r="P163" s="29" t="str">
        <f t="shared" si="15"/>
        <v>LU000444.004</v>
      </c>
      <c r="Q163" s="29" t="str">
        <f ca="1">IFERROR(__xludf.dummyfunction("VLOOKUP(P163, IMPORTRANGE(""https://docs.google.com/spreadsheets/d/1yDAaXNsi4Mr5FtRQL4tbmSdIzhx6_m4wkOD7IG-k_eo/edit#gid=0"", ""Maths!M:N""), 2, FALSE)"),"Analyze real-life situations involving percentages to make informed decisions about cost savings and pricing options.")</f>
        <v>Analyze real-life situations involving percentages to make informed decisions about cost savings and pricing options.</v>
      </c>
      <c r="R163" s="29" t="str">
        <f t="shared" si="16"/>
        <v>LU000444.005</v>
      </c>
      <c r="S163" s="29" t="str">
        <f ca="1">IFERROR(__xludf.dummyfunction("VLOOKUP(R163, IMPORTRANGE(""https://docs.google.com/spreadsheets/d/1yDAaXNsi4Mr5FtRQL4tbmSdIzhx6_m4wkOD7IG-k_eo/edit#gid=0"", ""Maths!M:N""), 2, FALSE)"),"Evaluate different scenarios where percentages are used to compare quantities and assess the impact of varying percentages on the results.")</f>
        <v>Evaluate different scenarios where percentages are used to compare quantities and assess the impact of varying percentages on the results.</v>
      </c>
      <c r="T163" s="29" t="str">
        <f t="shared" si="17"/>
        <v>LU000444.006</v>
      </c>
      <c r="U163" s="29" t="str">
        <f ca="1">IFERROR(__xludf.dummyfunction("VLOOKUP(T163, IMPORTRANGE(""https://docs.google.com/spreadsheets/d/1yDAaXNsi4Mr5FtRQL4tbmSdIzhx6_m4wkOD7IG-k_eo/edit#gid=0"", ""Maths!M:N""), 2, FALSE)"),"Create a set of comparison problems where percentages are used to evaluate different options, and propose the best choice based on the percentage analysis.")</f>
        <v>Create a set of comparison problems where percentages are used to evaluate different options, and propose the best choice based on the percentage analysis.</v>
      </c>
      <c r="V163" s="16">
        <f ca="1">IFERROR(__xludf.dummyfunction("ArrayFormula(VLOOKUP(G163, IMPORTRANGE(""https://docs.google.com/spreadsheets/d/1p7R4vtkWt5VOBim4ltsDG9KTzSjrtKXsMtQGXPHyND0/edit#gid=795171502"", ""'Filter 30_05_2024'!A1:M2000""), {2, 3, 4, 5,6,7,8,9,10,11,12,13}, 0))"),5)</f>
        <v>5</v>
      </c>
      <c r="W163" s="16">
        <f ca="1">IFERROR(__xludf.dummyfunction("""COMPUTED_VALUE"""),6)</f>
        <v>6</v>
      </c>
      <c r="X163" s="16">
        <f ca="1">IFERROR(__xludf.dummyfunction("""COMPUTED_VALUE"""),2)</f>
        <v>2</v>
      </c>
      <c r="Y163" s="16">
        <f ca="1">IFERROR(__xludf.dummyfunction("""COMPUTED_VALUE"""),13)</f>
        <v>13</v>
      </c>
      <c r="Z163" s="16">
        <f ca="1">IFERROR(__xludf.dummyfunction("""COMPUTED_VALUE"""),4)</f>
        <v>4</v>
      </c>
      <c r="AA163" s="30">
        <f ca="1">IFERROR(__xludf.dummyfunction("""COMPUTED_VALUE"""),3)</f>
        <v>3</v>
      </c>
      <c r="AB163" s="30">
        <f ca="1">IFERROR(__xludf.dummyfunction("""COMPUTED_VALUE"""),1)</f>
        <v>1</v>
      </c>
      <c r="AC163" s="30">
        <f ca="1">IFERROR(__xludf.dummyfunction("""COMPUTED_VALUE"""),8)</f>
        <v>8</v>
      </c>
      <c r="AD163" s="16"/>
      <c r="AE163" s="30"/>
      <c r="AF163" s="30"/>
      <c r="AG163" s="30"/>
    </row>
    <row r="164" spans="1:33" ht="16.5" customHeight="1">
      <c r="A164" s="25"/>
      <c r="B164" s="26" t="s">
        <v>29</v>
      </c>
      <c r="C164" s="26" t="s">
        <v>310</v>
      </c>
      <c r="D164" s="26">
        <v>6</v>
      </c>
      <c r="E164" s="27" t="s">
        <v>553</v>
      </c>
      <c r="F164" s="28" t="s">
        <v>556</v>
      </c>
      <c r="G164" s="26" t="s">
        <v>557</v>
      </c>
      <c r="H164" s="28" t="str">
        <f ca="1">IFERROR(__xludf.dummyfunction("IFERROR(
  VLOOKUP(G164, IMPORTRANGE(""https://docs.google.com/spreadsheets/d/14deopnvwcrKtEGCKuYXdUHJbeLDZlkiSSWWT0g7x2pM/edit#gid=849066331"", ""LU List Maths (Filter)!A:B""), 2, FALSE),
  IFERROR(
    VLOOKUP(G164, IMPORTRANGE(""https://docs.google.com"&amp;"/spreadsheets/d/14deopnvwcrKtEGCKuYXdUHJbeLDZlkiSSWWT0g7x2pM/edit#gid=849066331"", ""LU List Science (Filter)!A:B""), 2, FALSE),
    ""Not Found""
  )
)
"),"Conversion of fractional numbers to percentage")</f>
        <v>Conversion of fractional numbers to percentage</v>
      </c>
      <c r="I164" s="28"/>
      <c r="J164" s="29" t="str">
        <f t="shared" si="12"/>
        <v>LU000445.001</v>
      </c>
      <c r="K164" s="29" t="str">
        <f ca="1">IFERROR(__xludf.dummyfunction("VLOOKUP(J164, IMPORTRANGE(""https://docs.google.com/spreadsheets/d/1yDAaXNsi4Mr5FtRQL4tbmSdIzhx6_m4wkOD7IG-k_eo/edit#gid=0"", ""Maths!M:N""), 2, FALSE)"),"List the process of converting a fractional number to a percentage and its significance in representing parts of a whole.")</f>
        <v>List the process of converting a fractional number to a percentage and its significance in representing parts of a whole.</v>
      </c>
      <c r="L164" s="29" t="str">
        <f t="shared" si="13"/>
        <v>LU000445.002</v>
      </c>
      <c r="M164" s="29" t="str">
        <f ca="1">IFERROR(__xludf.dummyfunction("VLOOKUP(L164, IMPORTRANGE(""https://docs.google.com/spreadsheets/d/1yDAaXNsi4Mr5FtRQL4tbmSdIzhx6_m4wkOD7IG-k_eo/edit#gid=0"", ""Maths!M:N""), 2, FALSE)"),"Explain the relationship between fractions, percentages, and their role in comparing quantities and proportions.")</f>
        <v>Explain the relationship between fractions, percentages, and their role in comparing quantities and proportions.</v>
      </c>
      <c r="N164" s="29" t="str">
        <f t="shared" si="14"/>
        <v>LU000445.003</v>
      </c>
      <c r="O164" s="29" t="str">
        <f ca="1">IFERROR(__xludf.dummyfunction("VLOOKUP(N164, IMPORTRANGE(""https://docs.google.com/spreadsheets/d/1yDAaXNsi4Mr5FtRQL4tbmSdIzhx6_m4wkOD7IG-k_eo/edit#gid=0"", ""Maths!M:N""), 2, FALSE)"),"Apply the conversion process to express fractional quantities as percentages.")</f>
        <v>Apply the conversion process to express fractional quantities as percentages.</v>
      </c>
      <c r="P164" s="29" t="str">
        <f t="shared" si="15"/>
        <v>LU000445.004</v>
      </c>
      <c r="Q164" s="29" t="str">
        <f ca="1">IFERROR(__xludf.dummyfunction("VLOOKUP(P164, IMPORTRANGE(""https://docs.google.com/spreadsheets/d/1yDAaXNsi4Mr5FtRQL4tbmSdIzhx6_m4wkOD7IG-k_eo/edit#gid=0"", ""Maths!M:N""), 2, FALSE)"),"Analyse different fractional values and their equivalent percentages, identifying patterns in the conversion process.")</f>
        <v>Analyse different fractional values and their equivalent percentages, identifying patterns in the conversion process.</v>
      </c>
      <c r="R164" s="29" t="str">
        <f t="shared" si="16"/>
        <v>LU000445.005</v>
      </c>
      <c r="S164" s="29" t="str">
        <f ca="1">IFERROR(__xludf.dummyfunction("VLOOKUP(R164, IMPORTRANGE(""https://docs.google.com/spreadsheets/d/1yDAaXNsi4Mr5FtRQL4tbmSdIzhx6_m4wkOD7IG-k_eo/edit#gid=0"", ""Maths!M:N""), 2, FALSE)"),"Evaluate the effectiveness of converting fractions to percentages in comparing quantities.")</f>
        <v>Evaluate the effectiveness of converting fractions to percentages in comparing quantities.</v>
      </c>
      <c r="T164" s="29" t="str">
        <f t="shared" si="17"/>
        <v>LU000445.006</v>
      </c>
      <c r="U164" s="29" t="str">
        <f ca="1">IFERROR(__xludf.dummyfunction("VLOOKUP(T164, IMPORTRANGE(""https://docs.google.com/spreadsheets/d/1yDAaXNsi4Mr5FtRQL4tbmSdIzhx6_m4wkOD7IG-k_eo/edit#gid=0"", ""Maths!M:N""), 2, FALSE)"),"Create a set of word problems that require converting fractions to percentages, presenting various scenarios where this conversion is essential for making comparisons between quantities.")</f>
        <v>Create a set of word problems that require converting fractions to percentages, presenting various scenarios where this conversion is essential for making comparisons between quantities.</v>
      </c>
      <c r="V164" s="16">
        <f ca="1">IFERROR(__xludf.dummyfunction("ArrayFormula(VLOOKUP(G164, IMPORTRANGE(""https://docs.google.com/spreadsheets/d/1p7R4vtkWt5VOBim4ltsDG9KTzSjrtKXsMtQGXPHyND0/edit#gid=795171502"", ""'Filter 30_05_2024'!A1:M2000""), {2, 3, 4, 5,6,7,8,9,10,11,12,13}, 0))"),10)</f>
        <v>10</v>
      </c>
      <c r="W164" s="16">
        <f ca="1">IFERROR(__xludf.dummyfunction("""COMPUTED_VALUE"""),10)</f>
        <v>10</v>
      </c>
      <c r="X164" s="16">
        <f ca="1">IFERROR(__xludf.dummyfunction("""COMPUTED_VALUE"""),5)</f>
        <v>5</v>
      </c>
      <c r="Y164" s="16">
        <f ca="1">IFERROR(__xludf.dummyfunction("""COMPUTED_VALUE"""),25)</f>
        <v>25</v>
      </c>
      <c r="Z164" s="16">
        <f ca="1">IFERROR(__xludf.dummyfunction("""COMPUTED_VALUE"""),4)</f>
        <v>4</v>
      </c>
      <c r="AA164" s="30">
        <f ca="1">IFERROR(__xludf.dummyfunction("""COMPUTED_VALUE"""),3)</f>
        <v>3</v>
      </c>
      <c r="AB164" s="30">
        <f ca="1">IFERROR(__xludf.dummyfunction("""COMPUTED_VALUE"""),1)</f>
        <v>1</v>
      </c>
      <c r="AC164" s="30">
        <f ca="1">IFERROR(__xludf.dummyfunction("""COMPUTED_VALUE"""),8)</f>
        <v>8</v>
      </c>
      <c r="AD164" s="16"/>
      <c r="AE164" s="30"/>
      <c r="AF164" s="30"/>
      <c r="AG164" s="30"/>
    </row>
    <row r="165" spans="1:33" ht="16.5" customHeight="1">
      <c r="A165" s="25"/>
      <c r="B165" s="26" t="s">
        <v>29</v>
      </c>
      <c r="C165" s="26" t="s">
        <v>310</v>
      </c>
      <c r="D165" s="26">
        <v>6</v>
      </c>
      <c r="E165" s="27" t="s">
        <v>553</v>
      </c>
      <c r="F165" s="28"/>
      <c r="G165" s="26" t="s">
        <v>558</v>
      </c>
      <c r="H165" s="28" t="str">
        <f ca="1">IFERROR(__xludf.dummyfunction("IFERROR(
  VLOOKUP(G165, IMPORTRANGE(""https://docs.google.com/spreadsheets/d/14deopnvwcrKtEGCKuYXdUHJbeLDZlkiSSWWT0g7x2pM/edit#gid=849066331"", ""LU List Maths (Filter)!A:B""), 2, FALSE),
  IFERROR(
    VLOOKUP(G165, IMPORTRANGE(""https://docs.google.com"&amp;"/spreadsheets/d/14deopnvwcrKtEGCKuYXdUHJbeLDZlkiSSWWT0g7x2pM/edit#gid=849066331"", ""LU List Science (Filter)!A:B""), 2, FALSE),
    ""Not Found""
  )
)
"),"Conversion of decimal number to percentage")</f>
        <v>Conversion of decimal number to percentage</v>
      </c>
      <c r="I165" s="28"/>
      <c r="J165" s="29" t="str">
        <f t="shared" si="12"/>
        <v>LU000446.001</v>
      </c>
      <c r="K165" s="29" t="str">
        <f ca="1">IFERROR(__xludf.dummyfunction("VLOOKUP(J165, IMPORTRANGE(""https://docs.google.com/spreadsheets/d/1yDAaXNsi4Mr5FtRQL4tbmSdIzhx6_m4wkOD7IG-k_eo/edit#gid=0"", ""Maths!M:N""), 2, FALSE)"),"List the process of converting a decimal number to a percentage and its significance in representing parts of a whole.")</f>
        <v>List the process of converting a decimal number to a percentage and its significance in representing parts of a whole.</v>
      </c>
      <c r="L165" s="29" t="str">
        <f t="shared" si="13"/>
        <v>LU000446.002</v>
      </c>
      <c r="M165" s="29" t="str">
        <f ca="1">IFERROR(__xludf.dummyfunction("VLOOKUP(L165, IMPORTRANGE(""https://docs.google.com/spreadsheets/d/1yDAaXNsi4Mr5FtRQL4tbmSdIzhx6_m4wkOD7IG-k_eo/edit#gid=0"", ""Maths!M:N""), 2, FALSE)"),"Explain the process of converting decimal numbers to percentages and its significance in comparing quantities.")</f>
        <v>Explain the process of converting decimal numbers to percentages and its significance in comparing quantities.</v>
      </c>
      <c r="N165" s="29" t="str">
        <f t="shared" si="14"/>
        <v>LU000446.003</v>
      </c>
      <c r="O165" s="29" t="str">
        <f ca="1">IFERROR(__xludf.dummyfunction("VLOOKUP(N165, IMPORTRANGE(""https://docs.google.com/spreadsheets/d/1yDAaXNsi4Mr5FtRQL4tbmSdIzhx6_m4wkOD7IG-k_eo/edit#gid=0"", ""Maths!M:N""), 2, FALSE)"),"Apply the conversion process to express decimal quantities as percentages.")</f>
        <v>Apply the conversion process to express decimal quantities as percentages.</v>
      </c>
      <c r="P165" s="29" t="str">
        <f t="shared" si="15"/>
        <v>LU000446.004</v>
      </c>
      <c r="Q165" s="29" t="str">
        <f ca="1">IFERROR(__xludf.dummyfunction("VLOOKUP(P165, IMPORTRANGE(""https://docs.google.com/spreadsheets/d/1yDAaXNsi4Mr5FtRQL4tbmSdIzhx6_m4wkOD7IG-k_eo/edit#gid=0"", ""Maths!M:N""), 2, FALSE)"),"Analyse real-life situations involving decimal numbers and percentages, and discuss how the conversion aids in making informed comparisons.")</f>
        <v>Analyse real-life situations involving decimal numbers and percentages, and discuss how the conversion aids in making informed comparisons.</v>
      </c>
      <c r="R165" s="29" t="str">
        <f t="shared" si="16"/>
        <v>LU000446.005</v>
      </c>
      <c r="S165" s="29" t="str">
        <f ca="1">IFERROR(__xludf.dummyfunction("VLOOKUP(R165, IMPORTRANGE(""https://docs.google.com/spreadsheets/d/1yDAaXNsi4Mr5FtRQL4tbmSdIzhx6_m4wkOD7IG-k_eo/edit#gid=0"", ""Maths!M:N""), 2, FALSE)"),"Evaluate the advantages and limitations of converting decimal numbers to percentages when comparing quantities.")</f>
        <v>Evaluate the advantages and limitations of converting decimal numbers to percentages when comparing quantities.</v>
      </c>
      <c r="T165" s="29" t="str">
        <f t="shared" si="17"/>
        <v>LU000446.006</v>
      </c>
      <c r="U165" s="29" t="str">
        <f ca="1">IFERROR(__xludf.dummyfunction("VLOOKUP(T165, IMPORTRANGE(""https://docs.google.com/spreadsheets/d/1yDAaXNsi4Mr5FtRQL4tbmSdIzhx6_m4wkOD7IG-k_eo/edit#gid=0"", ""Maths!M:N""), 2, FALSE)"),"Create a series of real-world scenarios that require converting decimal numbers to percentages.")</f>
        <v>Create a series of real-world scenarios that require converting decimal numbers to percentages.</v>
      </c>
      <c r="V165" s="16">
        <f ca="1">IFERROR(__xludf.dummyfunction("ArrayFormula(VLOOKUP(G165, IMPORTRANGE(""https://docs.google.com/spreadsheets/d/1p7R4vtkWt5VOBim4ltsDG9KTzSjrtKXsMtQGXPHyND0/edit#gid=795171502"", ""'Filter 30_05_2024'!A1:M2000""), {2, 3, 4, 5,6,7,8,9,10,11,12,13}, 0))"),4)</f>
        <v>4</v>
      </c>
      <c r="W165" s="16">
        <f ca="1">IFERROR(__xludf.dummyfunction("""COMPUTED_VALUE"""),7)</f>
        <v>7</v>
      </c>
      <c r="X165" s="16">
        <f ca="1">IFERROR(__xludf.dummyfunction("""COMPUTED_VALUE"""),2)</f>
        <v>2</v>
      </c>
      <c r="Y165" s="16">
        <f ca="1">IFERROR(__xludf.dummyfunction("""COMPUTED_VALUE"""),13)</f>
        <v>13</v>
      </c>
      <c r="Z165" s="16">
        <f ca="1">IFERROR(__xludf.dummyfunction("""COMPUTED_VALUE"""),4)</f>
        <v>4</v>
      </c>
      <c r="AA165" s="30">
        <f ca="1">IFERROR(__xludf.dummyfunction("""COMPUTED_VALUE"""),5)</f>
        <v>5</v>
      </c>
      <c r="AB165" s="30">
        <f ca="1">IFERROR(__xludf.dummyfunction("""COMPUTED_VALUE"""),1)</f>
        <v>1</v>
      </c>
      <c r="AC165" s="30">
        <f ca="1">IFERROR(__xludf.dummyfunction("""COMPUTED_VALUE"""),10)</f>
        <v>10</v>
      </c>
      <c r="AD165" s="16"/>
      <c r="AE165" s="30"/>
      <c r="AF165" s="30"/>
      <c r="AG165" s="30"/>
    </row>
    <row r="166" spans="1:33" ht="16.5" customHeight="1">
      <c r="A166" s="25"/>
      <c r="B166" s="26" t="s">
        <v>29</v>
      </c>
      <c r="C166" s="26" t="s">
        <v>310</v>
      </c>
      <c r="D166" s="26">
        <v>6</v>
      </c>
      <c r="E166" s="27" t="s">
        <v>553</v>
      </c>
      <c r="F166" s="28" t="s">
        <v>559</v>
      </c>
      <c r="G166" s="26" t="s">
        <v>560</v>
      </c>
      <c r="H166" s="28" t="str">
        <f ca="1">IFERROR(__xludf.dummyfunction("IFERROR(
  VLOOKUP(G166, IMPORTRANGE(""https://docs.google.com/spreadsheets/d/14deopnvwcrKtEGCKuYXdUHJbeLDZlkiSSWWT0g7x2pM/edit#gid=849066331"", ""LU List Maths (Filter)!A:B""), 2, FALSE),
  IFERROR(
    VLOOKUP(G166, IMPORTRANGE(""https://docs.google.com"&amp;"/spreadsheets/d/14deopnvwcrKtEGCKuYXdUHJbeLDZlkiSSWWT0g7x2pM/edit#gid=849066331"", ""LU List Science (Filter)!A:B""), 2, FALSE),
    ""Not Found""
  )
)
"),"Conversion of percentage to fraction")</f>
        <v>Conversion of percentage to fraction</v>
      </c>
      <c r="I166" s="32"/>
      <c r="J166" s="29" t="str">
        <f t="shared" si="12"/>
        <v>LU000447.001</v>
      </c>
      <c r="K166" s="29" t="str">
        <f ca="1">IFERROR(__xludf.dummyfunction("VLOOKUP(J166, IMPORTRANGE(""https://docs.google.com/spreadsheets/d/1yDAaXNsi4Mr5FtRQL4tbmSdIzhx6_m4wkOD7IG-k_eo/edit#gid=0"", ""Maths!M:N""), 2, FALSE)"),"Recall the process of converting percentages to fractions by placing the percentage value over 100.")</f>
        <v>Recall the process of converting percentages to fractions by placing the percentage value over 100.</v>
      </c>
      <c r="L166" s="29" t="str">
        <f t="shared" si="13"/>
        <v>LU000447.002</v>
      </c>
      <c r="M166" s="29" t="str">
        <f ca="1">IFERROR(__xludf.dummyfunction("VLOOKUP(L166, IMPORTRANGE(""https://docs.google.com/spreadsheets/d/1yDAaXNsi4Mr5FtRQL4tbmSdIzhx6_m4wkOD7IG-k_eo/edit#gid=0"", ""Maths!M:N""), 2, FALSE)"),"Explain the concept of converting percentages to fractions and how this conversion is used to express parts of a whole in fraction form.")</f>
        <v>Explain the concept of converting percentages to fractions and how this conversion is used to express parts of a whole in fraction form.</v>
      </c>
      <c r="N166" s="29" t="str">
        <f t="shared" si="14"/>
        <v>LU000447.003</v>
      </c>
      <c r="O166" s="29" t="str">
        <f ca="1">IFERROR(__xludf.dummyfunction("VLOOKUP(N166, IMPORTRANGE(""https://docs.google.com/spreadsheets/d/1yDAaXNsi4Mr5FtRQL4tbmSdIzhx6_m4wkOD7IG-k_eo/edit#gid=0"", ""Maths!M:N""), 2, FALSE)"),"Apply the process of converting percentages to fractions to solve problems involving ratio, proportional and comparison relationships.")</f>
        <v>Apply the process of converting percentages to fractions to solve problems involving ratio, proportional and comparison relationships.</v>
      </c>
      <c r="P166" s="29" t="str">
        <f t="shared" si="15"/>
        <v>LU000447.004</v>
      </c>
      <c r="Q166" s="29" t="str">
        <f ca="1">IFERROR(__xludf.dummyfunction("VLOOKUP(P166, IMPORTRANGE(""https://docs.google.com/spreadsheets/d/1yDAaXNsi4Mr5FtRQL4tbmSdIzhx6_m4wkOD7IG-k_eo/edit#gid=0"", ""Maths!M:N""), 2, FALSE)"),"Analyse various percentages and convert them to fractions, discussing how this conversion facilitates comparisons between different quantities.")</f>
        <v>Analyse various percentages and convert them to fractions, discussing how this conversion facilitates comparisons between different quantities.</v>
      </c>
      <c r="R166" s="29" t="str">
        <f t="shared" si="16"/>
        <v>LU000447.005</v>
      </c>
      <c r="S166" s="29" t="str">
        <f ca="1">IFERROR(__xludf.dummyfunction("VLOOKUP(R166, IMPORTRANGE(""https://docs.google.com/spreadsheets/d/1yDAaXNsi4Mr5FtRQL4tbmSdIzhx6_m4wkOD7IG-k_eo/edit#gid=0"", ""Maths!M:N""), 2, FALSE)"),"Evaluate the effectiveness of converting percentages to fractions for comparing quantities, considering situations where fractions offer a clearer representation.")</f>
        <v>Evaluate the effectiveness of converting percentages to fractions for comparing quantities, considering situations where fractions offer a clearer representation.</v>
      </c>
      <c r="T166" s="29" t="str">
        <f t="shared" si="17"/>
        <v>LU000447.006</v>
      </c>
      <c r="U166" s="29" t="str">
        <f ca="1">IFERROR(__xludf.dummyfunction("VLOOKUP(T166, IMPORTRANGE(""https://docs.google.com/spreadsheets/d/1yDAaXNsi4Mr5FtRQL4tbmSdIzhx6_m4wkOD7IG-k_eo/edit#gid=0"", ""Maths!M:N""), 2, FALSE)"),"Create a set of problems that require converting percentages to fractions.")</f>
        <v>Create a set of problems that require converting percentages to fractions.</v>
      </c>
      <c r="V166" s="16">
        <f ca="1">IFERROR(__xludf.dummyfunction("ArrayFormula(VLOOKUP(G166, IMPORTRANGE(""https://docs.google.com/spreadsheets/d/1p7R4vtkWt5VOBim4ltsDG9KTzSjrtKXsMtQGXPHyND0/edit#gid=795171502"", ""'Filter 30_05_2024'!A1:M2000""), {2, 3, 4, 5,6,7,8,9,10,11,12,13}, 0))"),10)</f>
        <v>10</v>
      </c>
      <c r="W166" s="16">
        <f ca="1">IFERROR(__xludf.dummyfunction("""COMPUTED_VALUE"""),15)</f>
        <v>15</v>
      </c>
      <c r="X166" s="16">
        <f ca="1">IFERROR(__xludf.dummyfunction("""COMPUTED_VALUE"""),5)</f>
        <v>5</v>
      </c>
      <c r="Y166" s="16">
        <f ca="1">IFERROR(__xludf.dummyfunction("""COMPUTED_VALUE"""),30)</f>
        <v>30</v>
      </c>
      <c r="Z166" s="16">
        <f ca="1">IFERROR(__xludf.dummyfunction("""COMPUTED_VALUE"""),4)</f>
        <v>4</v>
      </c>
      <c r="AA166" s="30">
        <f ca="1">IFERROR(__xludf.dummyfunction("""COMPUTED_VALUE"""),5)</f>
        <v>5</v>
      </c>
      <c r="AB166" s="30">
        <f ca="1">IFERROR(__xludf.dummyfunction("""COMPUTED_VALUE"""),1)</f>
        <v>1</v>
      </c>
      <c r="AC166" s="30">
        <f ca="1">IFERROR(__xludf.dummyfunction("""COMPUTED_VALUE"""),10)</f>
        <v>10</v>
      </c>
      <c r="AD166" s="16"/>
      <c r="AE166" s="30"/>
      <c r="AF166" s="30"/>
      <c r="AG166" s="30"/>
    </row>
    <row r="167" spans="1:33" ht="16.5" customHeight="1">
      <c r="A167" s="25"/>
      <c r="B167" s="26" t="s">
        <v>29</v>
      </c>
      <c r="C167" s="26" t="s">
        <v>310</v>
      </c>
      <c r="D167" s="26">
        <v>6</v>
      </c>
      <c r="E167" s="27" t="s">
        <v>553</v>
      </c>
      <c r="F167" s="28"/>
      <c r="G167" s="26" t="s">
        <v>561</v>
      </c>
      <c r="H167" s="28" t="str">
        <f ca="1">IFERROR(__xludf.dummyfunction("IFERROR(
  VLOOKUP(G167, IMPORTRANGE(""https://docs.google.com/spreadsheets/d/14deopnvwcrKtEGCKuYXdUHJbeLDZlkiSSWWT0g7x2pM/edit#gid=849066331"", ""LU List Maths (Filter)!A:B""), 2, FALSE),
  IFERROR(
    VLOOKUP(G167, IMPORTRANGE(""https://docs.google.com"&amp;"/spreadsheets/d/14deopnvwcrKtEGCKuYXdUHJbeLDZlkiSSWWT0g7x2pM/edit#gid=849066331"", ""LU List Science (Filter)!A:B""), 2, FALSE),
    ""Not Found""
  )
)
"),"Conversion of percentages to decimal")</f>
        <v>Conversion of percentages to decimal</v>
      </c>
      <c r="I167" s="32"/>
      <c r="J167" s="29" t="str">
        <f t="shared" si="12"/>
        <v>LU000448.001</v>
      </c>
      <c r="K167" s="29" t="str">
        <f ca="1">IFERROR(__xludf.dummyfunction("VLOOKUP(J167, IMPORTRANGE(""https://docs.google.com/spreadsheets/d/1yDAaXNsi4Mr5FtRQL4tbmSdIzhx6_m4wkOD7IG-k_eo/edit#gid=0"", ""Maths!M:N""), 2, FALSE)"),"Recall that percentages can be converted to decimals by dividing the percentage value by 100.")</f>
        <v>Recall that percentages can be converted to decimals by dividing the percentage value by 100.</v>
      </c>
      <c r="L167" s="29" t="str">
        <f t="shared" si="13"/>
        <v>LU000448.002</v>
      </c>
      <c r="M167" s="29" t="str">
        <f ca="1">IFERROR(__xludf.dummyfunction("VLOOKUP(L167, IMPORTRANGE(""https://docs.google.com/spreadsheets/d/1yDAaXNsi4Mr5FtRQL4tbmSdIzhx6_m4wkOD7IG-k_eo/edit#gid=0"", ""Maths!M:N""), 2, FALSE)"),"Explain the concept of converting percentages to decimals and how it simplifies calculations and comparisons.")</f>
        <v>Explain the concept of converting percentages to decimals and how it simplifies calculations and comparisons.</v>
      </c>
      <c r="N167" s="29" t="str">
        <f t="shared" si="14"/>
        <v>LU000448.003</v>
      </c>
      <c r="O167" s="29" t="str">
        <f ca="1">IFERROR(__xludf.dummyfunction("VLOOKUP(N167, IMPORTRANGE(""https://docs.google.com/spreadsheets/d/1yDAaXNsi4Mr5FtRQL4tbmSdIzhx6_m4wkOD7IG-k_eo/edit#gid=0"", ""Maths!M:N""), 2, FALSE)"),"Apply the process of converting percentages to decimals to solve problems.")</f>
        <v>Apply the process of converting percentages to decimals to solve problems.</v>
      </c>
      <c r="P167" s="29" t="str">
        <f t="shared" si="15"/>
        <v>LU000448.004</v>
      </c>
      <c r="Q167" s="29" t="str">
        <f ca="1">IFERROR(__xludf.dummyfunction("VLOOKUP(P167, IMPORTRANGE(""https://docs.google.com/spreadsheets/d/1yDAaXNsi4Mr5FtRQL4tbmSdIzhx6_m4wkOD7IG-k_eo/edit#gid=0"", ""Maths!M:N""), 2, FALSE)"),"Analyse different percentages and convert them to decimals, discussing how this conversion streamlines comparisons between quantities.")</f>
        <v>Analyse different percentages and convert them to decimals, discussing how this conversion streamlines comparisons between quantities.</v>
      </c>
      <c r="R167" s="29" t="str">
        <f t="shared" si="16"/>
        <v>LU000448.005</v>
      </c>
      <c r="S167" s="29" t="str">
        <f ca="1">IFERROR(__xludf.dummyfunction("VLOOKUP(R167, IMPORTRANGE(""https://docs.google.com/spreadsheets/d/1yDAaXNsi4Mr5FtRQL4tbmSdIzhx6_m4wkOD7IG-k_eo/edit#gid=0"", ""Maths!M:N""), 2, FALSE)"),"Evaluate the efficiency of converting percentages to decimals in comparing quantities, considering situations where decimals are more practical than percentages.")</f>
        <v>Evaluate the efficiency of converting percentages to decimals in comparing quantities, considering situations where decimals are more practical than percentages.</v>
      </c>
      <c r="T167" s="29" t="str">
        <f t="shared" si="17"/>
        <v>LU000448.006</v>
      </c>
      <c r="U167" s="29" t="str">
        <f ca="1">IFERROR(__xludf.dummyfunction("VLOOKUP(T167, IMPORTRANGE(""https://docs.google.com/spreadsheets/d/1yDAaXNsi4Mr5FtRQL4tbmSdIzhx6_m4wkOD7IG-k_eo/edit#gid=0"", ""Maths!M:N""), 2, FALSE)"),"Design a word problem involving converting a given percentage to a decimal.")</f>
        <v>Design a word problem involving converting a given percentage to a decimal.</v>
      </c>
      <c r="V167" s="16">
        <f ca="1">IFERROR(__xludf.dummyfunction("ArrayFormula(VLOOKUP(G167, IMPORTRANGE(""https://docs.google.com/spreadsheets/d/1p7R4vtkWt5VOBim4ltsDG9KTzSjrtKXsMtQGXPHyND0/edit#gid=795171502"", ""'Filter 30_05_2024'!A1:M2000""), {2, 3, 4, 5,6,7,8,9,10,11,12,13}, 0))"),6)</f>
        <v>6</v>
      </c>
      <c r="W167" s="16">
        <f ca="1">IFERROR(__xludf.dummyfunction("""COMPUTED_VALUE"""),6)</f>
        <v>6</v>
      </c>
      <c r="X167" s="16">
        <f ca="1">IFERROR(__xludf.dummyfunction("""COMPUTED_VALUE"""),2)</f>
        <v>2</v>
      </c>
      <c r="Y167" s="16">
        <f ca="1">IFERROR(__xludf.dummyfunction("""COMPUTED_VALUE"""),14)</f>
        <v>14</v>
      </c>
      <c r="Z167" s="16">
        <f ca="1">IFERROR(__xludf.dummyfunction("""COMPUTED_VALUE"""),4)</f>
        <v>4</v>
      </c>
      <c r="AA167" s="30">
        <f ca="1">IFERROR(__xludf.dummyfunction("""COMPUTED_VALUE"""),3)</f>
        <v>3</v>
      </c>
      <c r="AB167" s="30">
        <f ca="1">IFERROR(__xludf.dummyfunction("""COMPUTED_VALUE"""),1)</f>
        <v>1</v>
      </c>
      <c r="AC167" s="30">
        <f ca="1">IFERROR(__xludf.dummyfunction("""COMPUTED_VALUE"""),8)</f>
        <v>8</v>
      </c>
      <c r="AD167" s="16"/>
      <c r="AE167" s="30"/>
      <c r="AF167" s="30"/>
      <c r="AG167" s="30"/>
    </row>
    <row r="168" spans="1:33" ht="16.5" customHeight="1">
      <c r="A168" s="25"/>
      <c r="B168" s="26" t="s">
        <v>29</v>
      </c>
      <c r="C168" s="26" t="s">
        <v>310</v>
      </c>
      <c r="D168" s="26">
        <v>6</v>
      </c>
      <c r="E168" s="27" t="s">
        <v>553</v>
      </c>
      <c r="F168" s="28" t="s">
        <v>562</v>
      </c>
      <c r="G168" s="26" t="s">
        <v>563</v>
      </c>
      <c r="H168" s="28" t="str">
        <f ca="1">IFERROR(__xludf.dummyfunction("IFERROR(
  VLOOKUP(G168, IMPORTRANGE(""https://docs.google.com/spreadsheets/d/14deopnvwcrKtEGCKuYXdUHJbeLDZlkiSSWWT0g7x2pM/edit#gid=849066331"", ""LU List Maths (Filter)!A:B""), 2, FALSE),
  IFERROR(
    VLOOKUP(G168, IMPORTRANGE(""https://docs.google.com"&amp;"/spreadsheets/d/14deopnvwcrKtEGCKuYXdUHJbeLDZlkiSSWWT0g7x2pM/edit#gid=849066331"", ""LU List Science (Filter)!A:B""), 2, FALSE),
    ""Not Found""
  )
)
"),"Calculation of percentage of amount")</f>
        <v>Calculation of percentage of amount</v>
      </c>
      <c r="I168" s="32"/>
      <c r="J168" s="29" t="str">
        <f t="shared" si="12"/>
        <v>LU000451.001</v>
      </c>
      <c r="K168" s="29" t="str">
        <f ca="1">IFERROR(__xludf.dummyfunction("VLOOKUP(J168, IMPORTRANGE(""https://docs.google.com/spreadsheets/d/1yDAaXNsi4Mr5FtRQL4tbmSdIzhx6_m4wkOD7IG-k_eo/edit#gid=0"", ""Maths!M:N""), 2, FALSE)"),"Recall the formula for calculating the percentage of an amount: Percentage = (Part / Whole) × 100.")</f>
        <v>Recall the formula for calculating the percentage of an amount: Percentage = (Part / Whole) × 100.</v>
      </c>
      <c r="L168" s="29" t="str">
        <f t="shared" si="13"/>
        <v>LU000451.002</v>
      </c>
      <c r="M168" s="29" t="str">
        <f ca="1">IFERROR(__xludf.dummyfunction("VLOOKUP(L168, IMPORTRANGE(""https://docs.google.com/spreadsheets/d/1yDAaXNsi4Mr5FtRQL4tbmSdIzhx6_m4wkOD7IG-k_eo/edit#gid=0"", ""Maths!M:N""), 2, FALSE)"),"Explain the concept of calculating the percentage of an amount and its practical application in various scenarios.")</f>
        <v>Explain the concept of calculating the percentage of an amount and its practical application in various scenarios.</v>
      </c>
      <c r="N168" s="29" t="str">
        <f t="shared" si="14"/>
        <v>LU000451.003</v>
      </c>
      <c r="O168" s="29" t="str">
        <f ca="1">IFERROR(__xludf.dummyfunction("VLOOKUP(N168, IMPORTRANGE(""https://docs.google.com/spreadsheets/d/1yDAaXNsi4Mr5FtRQL4tbmSdIzhx6_m4wkOD7IG-k_eo/edit#gid=0"", ""Maths!M:N""), 2, FALSE)"),"Apply the formula for calculating the percentage of an amount to solve problems.")</f>
        <v>Apply the formula for calculating the percentage of an amount to solve problems.</v>
      </c>
      <c r="P168" s="29" t="str">
        <f t="shared" si="15"/>
        <v>LU000451.004</v>
      </c>
      <c r="Q168" s="29" t="str">
        <f ca="1">IFERROR(__xludf.dummyfunction("VLOOKUP(P168, IMPORTRANGE(""https://docs.google.com/spreadsheets/d/1yDAaXNsi4Mr5FtRQL4tbmSdIzhx6_m4wkOD7IG-k_eo/edit#gid=0"", ""Maths!M:N""), 2, FALSE)"),"Analyse different situations that involve calculating percentages of amounts and determine the impact of these percentages on the final result.")</f>
        <v>Analyse different situations that involve calculating percentages of amounts and determine the impact of these percentages on the final result.</v>
      </c>
      <c r="R168" s="29" t="str">
        <f t="shared" si="16"/>
        <v>LU000451.005</v>
      </c>
      <c r="S168" s="29" t="str">
        <f ca="1">IFERROR(__xludf.dummyfunction("VLOOKUP(R168, IMPORTRANGE(""https://docs.google.com/spreadsheets/d/1yDAaXNsi4Mr5FtRQL4tbmSdIzhx6_m4wkOD7IG-k_eo/edit#gid=0"", ""Maths!M:N""), 2, FALSE)"),"Evaluate the accuracy of calculated percentages of amounts in real-life scenarios and assess whether the calculations are reasonable.")</f>
        <v>Evaluate the accuracy of calculated percentages of amounts in real-life scenarios and assess whether the calculations are reasonable.</v>
      </c>
      <c r="T168" s="29" t="str">
        <f t="shared" si="17"/>
        <v>LU000451.006</v>
      </c>
      <c r="U168" s="29" t="str">
        <f ca="1">IFERROR(__xludf.dummyfunction("VLOOKUP(T168, IMPORTRANGE(""https://docs.google.com/spreadsheets/d/1yDAaXNsi4Mr5FtRQL4tbmSdIzhx6_m4wkOD7IG-k_eo/edit#gid=0"", ""Maths!M:N""), 2, FALSE)"),"Create word problems that require calculating percentages of amounts, presenting various scenarios where this calculation is necessary for comparing quantities.")</f>
        <v>Create word problems that require calculating percentages of amounts, presenting various scenarios where this calculation is necessary for comparing quantities.</v>
      </c>
      <c r="V168" s="16">
        <f ca="1">IFERROR(__xludf.dummyfunction("ArrayFormula(VLOOKUP(G168, IMPORTRANGE(""https://docs.google.com/spreadsheets/d/1p7R4vtkWt5VOBim4ltsDG9KTzSjrtKXsMtQGXPHyND0/edit#gid=795171502"", ""'Filter 30_05_2024'!A1:M2000""), {2, 3, 4, 5,6,7,8,9,10,11,12,13}, 0))"),4)</f>
        <v>4</v>
      </c>
      <c r="W168" s="16">
        <f ca="1">IFERROR(__xludf.dummyfunction("""COMPUTED_VALUE"""),7)</f>
        <v>7</v>
      </c>
      <c r="X168" s="16">
        <f ca="1">IFERROR(__xludf.dummyfunction("""COMPUTED_VALUE"""),1)</f>
        <v>1</v>
      </c>
      <c r="Y168" s="16">
        <f ca="1">IFERROR(__xludf.dummyfunction("""COMPUTED_VALUE"""),12)</f>
        <v>12</v>
      </c>
      <c r="Z168" s="16">
        <f ca="1">IFERROR(__xludf.dummyfunction("""COMPUTED_VALUE"""),4)</f>
        <v>4</v>
      </c>
      <c r="AA168" s="30">
        <f ca="1">IFERROR(__xludf.dummyfunction("""COMPUTED_VALUE"""),6)</f>
        <v>6</v>
      </c>
      <c r="AB168" s="30">
        <f ca="1">IFERROR(__xludf.dummyfunction("""COMPUTED_VALUE"""),2)</f>
        <v>2</v>
      </c>
      <c r="AC168" s="30">
        <f ca="1">IFERROR(__xludf.dummyfunction("""COMPUTED_VALUE"""),12)</f>
        <v>12</v>
      </c>
      <c r="AD168" s="16"/>
      <c r="AE168" s="30"/>
      <c r="AF168" s="30"/>
      <c r="AG168" s="30"/>
    </row>
    <row r="169" spans="1:33" ht="26.25" customHeight="1">
      <c r="A169" s="25"/>
      <c r="B169" s="26" t="s">
        <v>29</v>
      </c>
      <c r="C169" s="26" t="s">
        <v>310</v>
      </c>
      <c r="D169" s="26">
        <v>6</v>
      </c>
      <c r="E169" s="27" t="s">
        <v>564</v>
      </c>
      <c r="F169" s="28" t="s">
        <v>565</v>
      </c>
      <c r="G169" s="26" t="s">
        <v>130</v>
      </c>
      <c r="H169" s="28" t="str">
        <f ca="1">IFERROR(__xludf.dummyfunction("IFERROR(
  VLOOKUP(G169, IMPORTRANGE(""https://docs.google.com/spreadsheets/d/14deopnvwcrKtEGCKuYXdUHJbeLDZlkiSSWWT0g7x2pM/edit#gid=849066331"", ""LU List Maths (Filter)!A:B""), 2, FALSE),
  IFERROR(
    VLOOKUP(G169, IMPORTRANGE(""https://docs.google.com"&amp;"/spreadsheets/d/14deopnvwcrKtEGCKuYXdUHJbeLDZlkiSSWWT0g7x2pM/edit#gid=849066331"", ""LU List Science (Filter)!A:B""), 2, FALSE),
    ""Not Found""
  )
)
"),"Definition of Speed")</f>
        <v>Definition of Speed</v>
      </c>
      <c r="I169" s="28"/>
      <c r="J169" s="29" t="str">
        <f t="shared" si="12"/>
        <v>LU005375.001</v>
      </c>
      <c r="K169" s="29" t="str">
        <f ca="1">IFERROR(__xludf.dummyfunction("VLOOKUP(J169, IMPORTRANGE(""https://docs.google.com/spreadsheets/d/1yDAaXNsi4Mr5FtRQL4tbmSdIzhx6_m4wkOD7IG-k_eo/edit#gid=0"", ""Maths!M:N""), 2, FALSE)"),"#N/A")</f>
        <v>#N/A</v>
      </c>
      <c r="L169" s="29" t="str">
        <f t="shared" si="13"/>
        <v>LU005375.002</v>
      </c>
      <c r="M169" s="29" t="str">
        <f ca="1">IFERROR(__xludf.dummyfunction("VLOOKUP(L169, IMPORTRANGE(""https://docs.google.com/spreadsheets/d/1yDAaXNsi4Mr5FtRQL4tbmSdIzhx6_m4wkOD7IG-k_eo/edit#gid=0"", ""Maths!M:N""), 2, FALSE)"),"#N/A")</f>
        <v>#N/A</v>
      </c>
      <c r="N169" s="29" t="str">
        <f t="shared" si="14"/>
        <v>LU005375.003</v>
      </c>
      <c r="O169" s="29" t="str">
        <f ca="1">IFERROR(__xludf.dummyfunction("VLOOKUP(N169, IMPORTRANGE(""https://docs.google.com/spreadsheets/d/1yDAaXNsi4Mr5FtRQL4tbmSdIzhx6_m4wkOD7IG-k_eo/edit#gid=0"", ""Maths!M:N""), 2, FALSE)"),"#N/A")</f>
        <v>#N/A</v>
      </c>
      <c r="P169" s="29" t="str">
        <f t="shared" si="15"/>
        <v>LU005375.004</v>
      </c>
      <c r="Q169" s="29" t="str">
        <f ca="1">IFERROR(__xludf.dummyfunction("VLOOKUP(P169, IMPORTRANGE(""https://docs.google.com/spreadsheets/d/1yDAaXNsi4Mr5FtRQL4tbmSdIzhx6_m4wkOD7IG-k_eo/edit#gid=0"", ""Maths!M:N""), 2, FALSE)"),"#N/A")</f>
        <v>#N/A</v>
      </c>
      <c r="R169" s="29" t="str">
        <f t="shared" si="16"/>
        <v>LU005375.005</v>
      </c>
      <c r="S169" s="29" t="str">
        <f ca="1">IFERROR(__xludf.dummyfunction("VLOOKUP(R169, IMPORTRANGE(""https://docs.google.com/spreadsheets/d/1yDAaXNsi4Mr5FtRQL4tbmSdIzhx6_m4wkOD7IG-k_eo/edit#gid=0"", ""Maths!M:N""), 2, FALSE)"),"#N/A")</f>
        <v>#N/A</v>
      </c>
      <c r="T169" s="29" t="str">
        <f t="shared" si="17"/>
        <v>LU005375.006</v>
      </c>
      <c r="U169" s="29" t="str">
        <f ca="1">IFERROR(__xludf.dummyfunction("VLOOKUP(T169, IMPORTRANGE(""https://docs.google.com/spreadsheets/d/1yDAaXNsi4Mr5FtRQL4tbmSdIzhx6_m4wkOD7IG-k_eo/edit#gid=0"", ""Maths!M:N""), 2, FALSE)"),"#N/A")</f>
        <v>#N/A</v>
      </c>
      <c r="V169" s="16">
        <f ca="1">IFERROR(__xludf.dummyfunction("ArrayFormula(VLOOKUP(G169, IMPORTRANGE(""https://docs.google.com/spreadsheets/d/1p7R4vtkWt5VOBim4ltsDG9KTzSjrtKXsMtQGXPHyND0/edit#gid=795171502"", ""'Filter 30_05_2024'!A1:M2000""), {2, 3, 4, 5,6,7,8,9,10,11,12,13}, 0))"),6)</f>
        <v>6</v>
      </c>
      <c r="W169" s="16">
        <f ca="1">IFERROR(__xludf.dummyfunction("""COMPUTED_VALUE"""),6)</f>
        <v>6</v>
      </c>
      <c r="X169" s="16">
        <f ca="1">IFERROR(__xludf.dummyfunction("""COMPUTED_VALUE"""),2)</f>
        <v>2</v>
      </c>
      <c r="Y169" s="16">
        <f ca="1">IFERROR(__xludf.dummyfunction("""COMPUTED_VALUE"""),14)</f>
        <v>14</v>
      </c>
      <c r="Z169" s="16">
        <f ca="1">IFERROR(__xludf.dummyfunction("""COMPUTED_VALUE"""),4)</f>
        <v>4</v>
      </c>
      <c r="AA169" s="30">
        <f ca="1">IFERROR(__xludf.dummyfunction("""COMPUTED_VALUE"""),5)</f>
        <v>5</v>
      </c>
      <c r="AB169" s="30">
        <f ca="1">IFERROR(__xludf.dummyfunction("""COMPUTED_VALUE"""),1)</f>
        <v>1</v>
      </c>
      <c r="AC169" s="30">
        <f ca="1">IFERROR(__xludf.dummyfunction("""COMPUTED_VALUE"""),10)</f>
        <v>10</v>
      </c>
      <c r="AD169" s="16"/>
      <c r="AE169" s="30"/>
      <c r="AF169" s="30"/>
      <c r="AG169" s="30"/>
    </row>
    <row r="170" spans="1:33" ht="16.5" customHeight="1">
      <c r="A170" s="25"/>
      <c r="B170" s="26" t="s">
        <v>29</v>
      </c>
      <c r="C170" s="26" t="s">
        <v>310</v>
      </c>
      <c r="D170" s="26">
        <v>6</v>
      </c>
      <c r="E170" s="27" t="s">
        <v>564</v>
      </c>
      <c r="F170" s="28"/>
      <c r="G170" s="26" t="s">
        <v>131</v>
      </c>
      <c r="H170" s="28" t="str">
        <f ca="1">IFERROR(__xludf.dummyfunction("IFERROR(
  VLOOKUP(G170, IMPORTRANGE(""https://docs.google.com/spreadsheets/d/14deopnvwcrKtEGCKuYXdUHJbeLDZlkiSSWWT0g7x2pM/edit#gid=849066331"", ""LU List Maths (Filter)!A:B""), 2, FALSE),
  IFERROR(
    VLOOKUP(G170, IMPORTRANGE(""https://docs.google.com"&amp;"/spreadsheets/d/14deopnvwcrKtEGCKuYXdUHJbeLDZlkiSSWWT0g7x2pM/edit#gid=849066331"", ""LU List Science (Filter)!A:B""), 2, FALSE),
    ""Not Found""
  )
)
"),"Units of Speed")</f>
        <v>Units of Speed</v>
      </c>
      <c r="I170" s="28"/>
      <c r="J170" s="29" t="str">
        <f t="shared" si="12"/>
        <v>LU005376.001</v>
      </c>
      <c r="K170" s="29" t="str">
        <f ca="1">IFERROR(__xludf.dummyfunction("VLOOKUP(J170, IMPORTRANGE(""https://docs.google.com/spreadsheets/d/1yDAaXNsi4Mr5FtRQL4tbmSdIzhx6_m4wkOD7IG-k_eo/edit#gid=0"", ""Maths!M:N""), 2, FALSE)"),"#N/A")</f>
        <v>#N/A</v>
      </c>
      <c r="L170" s="29" t="str">
        <f t="shared" si="13"/>
        <v>LU005376.002</v>
      </c>
      <c r="M170" s="29" t="str">
        <f ca="1">IFERROR(__xludf.dummyfunction("VLOOKUP(L170, IMPORTRANGE(""https://docs.google.com/spreadsheets/d/1yDAaXNsi4Mr5FtRQL4tbmSdIzhx6_m4wkOD7IG-k_eo/edit#gid=0"", ""Maths!M:N""), 2, FALSE)"),"#N/A")</f>
        <v>#N/A</v>
      </c>
      <c r="N170" s="29" t="str">
        <f t="shared" si="14"/>
        <v>LU005376.003</v>
      </c>
      <c r="O170" s="29" t="str">
        <f ca="1">IFERROR(__xludf.dummyfunction("VLOOKUP(N170, IMPORTRANGE(""https://docs.google.com/spreadsheets/d/1yDAaXNsi4Mr5FtRQL4tbmSdIzhx6_m4wkOD7IG-k_eo/edit#gid=0"", ""Maths!M:N""), 2, FALSE)"),"#N/A")</f>
        <v>#N/A</v>
      </c>
      <c r="P170" s="29" t="str">
        <f t="shared" si="15"/>
        <v>LU005376.004</v>
      </c>
      <c r="Q170" s="29" t="str">
        <f ca="1">IFERROR(__xludf.dummyfunction("VLOOKUP(P170, IMPORTRANGE(""https://docs.google.com/spreadsheets/d/1yDAaXNsi4Mr5FtRQL4tbmSdIzhx6_m4wkOD7IG-k_eo/edit#gid=0"", ""Maths!M:N""), 2, FALSE)"),"#N/A")</f>
        <v>#N/A</v>
      </c>
      <c r="R170" s="29" t="str">
        <f t="shared" si="16"/>
        <v>LU005376.005</v>
      </c>
      <c r="S170" s="29" t="str">
        <f ca="1">IFERROR(__xludf.dummyfunction("VLOOKUP(R170, IMPORTRANGE(""https://docs.google.com/spreadsheets/d/1yDAaXNsi4Mr5FtRQL4tbmSdIzhx6_m4wkOD7IG-k_eo/edit#gid=0"", ""Maths!M:N""), 2, FALSE)"),"#N/A")</f>
        <v>#N/A</v>
      </c>
      <c r="T170" s="29" t="str">
        <f t="shared" si="17"/>
        <v>LU005376.006</v>
      </c>
      <c r="U170" s="29" t="str">
        <f ca="1">IFERROR(__xludf.dummyfunction("VLOOKUP(T170, IMPORTRANGE(""https://docs.google.com/spreadsheets/d/1yDAaXNsi4Mr5FtRQL4tbmSdIzhx6_m4wkOD7IG-k_eo/edit#gid=0"", ""Maths!M:N""), 2, FALSE)"),"#N/A")</f>
        <v>#N/A</v>
      </c>
      <c r="V170" s="16">
        <f ca="1">IFERROR(__xludf.dummyfunction("ArrayFormula(VLOOKUP(G170, IMPORTRANGE(""https://docs.google.com/spreadsheets/d/1p7R4vtkWt5VOBim4ltsDG9KTzSjrtKXsMtQGXPHyND0/edit#gid=795171502"", ""'Filter 30_05_2024'!A1:M2000""), {2, 3, 4, 5,6,7,8,9,10,11,12,13}, 0))"),4)</f>
        <v>4</v>
      </c>
      <c r="W170" s="16">
        <f ca="1">IFERROR(__xludf.dummyfunction("""COMPUTED_VALUE"""),6)</f>
        <v>6</v>
      </c>
      <c r="X170" s="16">
        <f ca="1">IFERROR(__xludf.dummyfunction("""COMPUTED_VALUE"""),2)</f>
        <v>2</v>
      </c>
      <c r="Y170" s="16">
        <f ca="1">IFERROR(__xludf.dummyfunction("""COMPUTED_VALUE"""),12)</f>
        <v>12</v>
      </c>
      <c r="Z170" s="16">
        <f ca="1">IFERROR(__xludf.dummyfunction("""COMPUTED_VALUE"""),4)</f>
        <v>4</v>
      </c>
      <c r="AA170" s="30">
        <f ca="1">IFERROR(__xludf.dummyfunction("""COMPUTED_VALUE"""),4)</f>
        <v>4</v>
      </c>
      <c r="AB170" s="30">
        <f ca="1">IFERROR(__xludf.dummyfunction("""COMPUTED_VALUE"""),1)</f>
        <v>1</v>
      </c>
      <c r="AC170" s="30">
        <f ca="1">IFERROR(__xludf.dummyfunction("""COMPUTED_VALUE"""),9)</f>
        <v>9</v>
      </c>
      <c r="AD170" s="16"/>
      <c r="AE170" s="30"/>
      <c r="AF170" s="30"/>
      <c r="AG170" s="30"/>
    </row>
    <row r="171" spans="1:33" ht="16.5" customHeight="1">
      <c r="A171" s="25"/>
      <c r="B171" s="26" t="s">
        <v>29</v>
      </c>
      <c r="C171" s="26" t="s">
        <v>310</v>
      </c>
      <c r="D171" s="26">
        <v>6</v>
      </c>
      <c r="E171" s="27" t="s">
        <v>564</v>
      </c>
      <c r="F171" s="28"/>
      <c r="G171" s="26" t="s">
        <v>132</v>
      </c>
      <c r="H171" s="28" t="str">
        <f ca="1">IFERROR(__xludf.dummyfunction("IFERROR(
  VLOOKUP(G171, IMPORTRANGE(""https://docs.google.com/spreadsheets/d/14deopnvwcrKtEGCKuYXdUHJbeLDZlkiSSWWT0g7x2pM/edit#gid=849066331"", ""LU List Maths (Filter)!A:B""), 2, FALSE),
  IFERROR(
    VLOOKUP(G171, IMPORTRANGE(""https://docs.google.com"&amp;"/spreadsheets/d/14deopnvwcrKtEGCKuYXdUHJbeLDZlkiSSWWT0g7x2pM/edit#gid=849066331"", ""LU List Science (Filter)!A:B""), 2, FALSE),
    ""Not Found""
  )
)
"),"Calculation of Speed Using its Formula")</f>
        <v>Calculation of Speed Using its Formula</v>
      </c>
      <c r="I171" s="28"/>
      <c r="J171" s="29" t="str">
        <f t="shared" si="12"/>
        <v>LU005377.001</v>
      </c>
      <c r="K171" s="29" t="str">
        <f ca="1">IFERROR(__xludf.dummyfunction("VLOOKUP(J171, IMPORTRANGE(""https://docs.google.com/spreadsheets/d/1yDAaXNsi4Mr5FtRQL4tbmSdIzhx6_m4wkOD7IG-k_eo/edit#gid=0"", ""Maths!M:N""), 2, FALSE)"),"#N/A")</f>
        <v>#N/A</v>
      </c>
      <c r="L171" s="29" t="str">
        <f t="shared" si="13"/>
        <v>LU005377.002</v>
      </c>
      <c r="M171" s="29" t="str">
        <f ca="1">IFERROR(__xludf.dummyfunction("VLOOKUP(L171, IMPORTRANGE(""https://docs.google.com/spreadsheets/d/1yDAaXNsi4Mr5FtRQL4tbmSdIzhx6_m4wkOD7IG-k_eo/edit#gid=0"", ""Maths!M:N""), 2, FALSE)"),"#N/A")</f>
        <v>#N/A</v>
      </c>
      <c r="N171" s="29" t="str">
        <f t="shared" si="14"/>
        <v>LU005377.003</v>
      </c>
      <c r="O171" s="29" t="str">
        <f ca="1">IFERROR(__xludf.dummyfunction("VLOOKUP(N171, IMPORTRANGE(""https://docs.google.com/spreadsheets/d/1yDAaXNsi4Mr5FtRQL4tbmSdIzhx6_m4wkOD7IG-k_eo/edit#gid=0"", ""Maths!M:N""), 2, FALSE)"),"#N/A")</f>
        <v>#N/A</v>
      </c>
      <c r="P171" s="29" t="str">
        <f t="shared" si="15"/>
        <v>LU005377.004</v>
      </c>
      <c r="Q171" s="29" t="str">
        <f ca="1">IFERROR(__xludf.dummyfunction("VLOOKUP(P171, IMPORTRANGE(""https://docs.google.com/spreadsheets/d/1yDAaXNsi4Mr5FtRQL4tbmSdIzhx6_m4wkOD7IG-k_eo/edit#gid=0"", ""Maths!M:N""), 2, FALSE)"),"#N/A")</f>
        <v>#N/A</v>
      </c>
      <c r="R171" s="29" t="str">
        <f t="shared" si="16"/>
        <v>LU005377.005</v>
      </c>
      <c r="S171" s="29" t="str">
        <f ca="1">IFERROR(__xludf.dummyfunction("VLOOKUP(R171, IMPORTRANGE(""https://docs.google.com/spreadsheets/d/1yDAaXNsi4Mr5FtRQL4tbmSdIzhx6_m4wkOD7IG-k_eo/edit#gid=0"", ""Maths!M:N""), 2, FALSE)"),"#N/A")</f>
        <v>#N/A</v>
      </c>
      <c r="T171" s="29" t="str">
        <f t="shared" si="17"/>
        <v>LU005377.006</v>
      </c>
      <c r="U171" s="29" t="str">
        <f ca="1">IFERROR(__xludf.dummyfunction("VLOOKUP(T171, IMPORTRANGE(""https://docs.google.com/spreadsheets/d/1yDAaXNsi4Mr5FtRQL4tbmSdIzhx6_m4wkOD7IG-k_eo/edit#gid=0"", ""Maths!M:N""), 2, FALSE)"),"#N/A")</f>
        <v>#N/A</v>
      </c>
      <c r="V171" s="16">
        <f ca="1">IFERROR(__xludf.dummyfunction("ArrayFormula(VLOOKUP(G171, IMPORTRANGE(""https://docs.google.com/spreadsheets/d/1p7R4vtkWt5VOBim4ltsDG9KTzSjrtKXsMtQGXPHyND0/edit#gid=795171502"", ""'Filter 30_05_2024'!A1:M2000""), {2, 3, 4, 5,6,7,8,9,10,11,12,13}, 0))"),4)</f>
        <v>4</v>
      </c>
      <c r="W171" s="16">
        <f ca="1">IFERROR(__xludf.dummyfunction("""COMPUTED_VALUE"""),7)</f>
        <v>7</v>
      </c>
      <c r="X171" s="16">
        <f ca="1">IFERROR(__xludf.dummyfunction("""COMPUTED_VALUE"""),2)</f>
        <v>2</v>
      </c>
      <c r="Y171" s="16">
        <f ca="1">IFERROR(__xludf.dummyfunction("""COMPUTED_VALUE"""),13)</f>
        <v>13</v>
      </c>
      <c r="Z171" s="16">
        <f ca="1">IFERROR(__xludf.dummyfunction("""COMPUTED_VALUE"""),4)</f>
        <v>4</v>
      </c>
      <c r="AA171" s="30">
        <f ca="1">IFERROR(__xludf.dummyfunction("""COMPUTED_VALUE"""),4)</f>
        <v>4</v>
      </c>
      <c r="AB171" s="30">
        <f ca="1">IFERROR(__xludf.dummyfunction("""COMPUTED_VALUE"""),1)</f>
        <v>1</v>
      </c>
      <c r="AC171" s="30">
        <f ca="1">IFERROR(__xludf.dummyfunction("""COMPUTED_VALUE"""),9)</f>
        <v>9</v>
      </c>
      <c r="AD171" s="16"/>
      <c r="AE171" s="30"/>
      <c r="AF171" s="30"/>
      <c r="AG171" s="30"/>
    </row>
    <row r="172" spans="1:33" ht="16.5" customHeight="1">
      <c r="A172" s="25"/>
      <c r="B172" s="26" t="s">
        <v>29</v>
      </c>
      <c r="C172" s="26" t="s">
        <v>310</v>
      </c>
      <c r="D172" s="26">
        <v>6</v>
      </c>
      <c r="E172" s="27" t="s">
        <v>564</v>
      </c>
      <c r="F172" s="28"/>
      <c r="G172" s="26" t="s">
        <v>566</v>
      </c>
      <c r="H172" s="28" t="str">
        <f ca="1">IFERROR(__xludf.dummyfunction("IFERROR(
  VLOOKUP(G172, IMPORTRANGE(""https://docs.google.com/spreadsheets/d/14deopnvwcrKtEGCKuYXdUHJbeLDZlkiSSWWT0g7x2pM/edit#gid=849066331"", ""LU List Maths (Filter)!A:B""), 2, FALSE),
  IFERROR(
    VLOOKUP(G172, IMPORTRANGE(""https://docs.google.com"&amp;"/spreadsheets/d/14deopnvwcrKtEGCKuYXdUHJbeLDZlkiSSWWT0g7x2pM/edit#gid=849066331"", ""LU List Science (Filter)!A:B""), 2, FALSE),
    ""Not Found""
  )
)
"),"Problems related to speed, distance and time (unitary method)")</f>
        <v>Problems related to speed, distance and time (unitary method)</v>
      </c>
      <c r="I172" s="41"/>
      <c r="J172" s="29" t="str">
        <f t="shared" si="12"/>
        <v>LU000006.001</v>
      </c>
      <c r="K172" s="29" t="str">
        <f ca="1">IFERROR(__xludf.dummyfunction("VLOOKUP(J172, IMPORTRANGE(""https://docs.google.com/spreadsheets/d/1yDAaXNsi4Mr5FtRQL4tbmSdIzhx6_m4wkOD7IG-k_eo/edit#gid=0"", ""Maths!M:N""), 2, FALSE)"),"#N/A")</f>
        <v>#N/A</v>
      </c>
      <c r="L172" s="29" t="str">
        <f t="shared" si="13"/>
        <v>LU000006.002</v>
      </c>
      <c r="M172" s="29" t="str">
        <f ca="1">IFERROR(__xludf.dummyfunction("VLOOKUP(L172, IMPORTRANGE(""https://docs.google.com/spreadsheets/d/1yDAaXNsi4Mr5FtRQL4tbmSdIzhx6_m4wkOD7IG-k_eo/edit#gid=0"", ""Maths!M:N""), 2, FALSE)"),"Explain the concept of the unitary method and its relevance in solving problems related to speed, distance, and time.")</f>
        <v>Explain the concept of the unitary method and its relevance in solving problems related to speed, distance, and time.</v>
      </c>
      <c r="N172" s="29" t="str">
        <f t="shared" si="14"/>
        <v>LU000006.003</v>
      </c>
      <c r="O172" s="29" t="str">
        <f ca="1">IFERROR(__xludf.dummyfunction("VLOOKUP(N172, IMPORTRANGE(""https://docs.google.com/spreadsheets/d/1yDAaXNsi4Mr5FtRQL4tbmSdIzhx6_m4wkOD7IG-k_eo/edit#gid=0"", ""Maths!M:N""), 2, FALSE)"),"Apply the unitary method to solve problems involving speed, distance, and time when provided with the necessary data.")</f>
        <v>Apply the unitary method to solve problems involving speed, distance, and time when provided with the necessary data.</v>
      </c>
      <c r="P172" s="29" t="str">
        <f t="shared" si="15"/>
        <v>LU000006.004</v>
      </c>
      <c r="Q172" s="29" t="str">
        <f ca="1">IFERROR(__xludf.dummyfunction("VLOOKUP(P172, IMPORTRANGE(""https://docs.google.com/spreadsheets/d/1yDAaXNsi4Mr5FtRQL4tbmSdIzhx6_m4wkOD7IG-k_eo/edit#gid=0"", ""Maths!M:N""), 2, FALSE)"),"Examine real-world situations involving speed, distance, and time and identify the components that can be solved using the unitary method.")</f>
        <v>Examine real-world situations involving speed, distance, and time and identify the components that can be solved using the unitary method.</v>
      </c>
      <c r="R172" s="29" t="str">
        <f t="shared" si="16"/>
        <v>LU000006.005</v>
      </c>
      <c r="S172" s="29" t="str">
        <f ca="1">IFERROR(__xludf.dummyfunction("VLOOKUP(R172, IMPORTRANGE(""https://docs.google.com/spreadsheets/d/1yDAaXNsi4Mr5FtRQL4tbmSdIzhx6_m4wkOD7IG-k_eo/edit#gid=0"", ""Maths!M:N""), 2, FALSE)"),"Assess the appropriateness of using the unitary method to solve specific problems related to speed, distance, and time.")</f>
        <v>Assess the appropriateness of using the unitary method to solve specific problems related to speed, distance, and time.</v>
      </c>
      <c r="T172" s="29" t="str">
        <f t="shared" si="17"/>
        <v>LU000006.006</v>
      </c>
      <c r="U172" s="29" t="str">
        <f ca="1">IFERROR(__xludf.dummyfunction("VLOOKUP(T172, IMPORTRANGE(""https://docs.google.com/spreadsheets/d/1yDAaXNsi4Mr5FtRQL4tbmSdIzhx6_m4wkOD7IG-k_eo/edit#gid=0"", ""Maths!M:N""), 2, FALSE)"),"Generate and solve practical word problems that require the application of the unitary method for calculating speed, distance, or time")</f>
        <v>Generate and solve practical word problems that require the application of the unitary method for calculating speed, distance, or time</v>
      </c>
      <c r="V172" s="16" t="str">
        <f ca="1">IFERROR(__xludf.dummyfunction("ArrayFormula(VLOOKUP(G172, IMPORTRANGE(""https://docs.google.com/spreadsheets/d/1p7R4vtkWt5VOBim4ltsDG9KTzSjrtKXsMtQGXPHyND0/edit#gid=795171502"", ""'Filter 30_05_2024'!A1:M2000""), {2, 3, 4, 5,6,7,8,9,10,11,12,13}, 0))"),"#N/A")</f>
        <v>#N/A</v>
      </c>
      <c r="W172" s="16" t="str">
        <f ca="1">IFERROR(__xludf.dummyfunction("""COMPUTED_VALUE"""),"#N/A")</f>
        <v>#N/A</v>
      </c>
      <c r="X172" s="16" t="str">
        <f ca="1">IFERROR(__xludf.dummyfunction("""COMPUTED_VALUE"""),"#N/A")</f>
        <v>#N/A</v>
      </c>
      <c r="Y172" s="16" t="str">
        <f ca="1">IFERROR(__xludf.dummyfunction("""COMPUTED_VALUE"""),"#N/A")</f>
        <v>#N/A</v>
      </c>
      <c r="Z172" s="16" t="str">
        <f ca="1">IFERROR(__xludf.dummyfunction("""COMPUTED_VALUE"""),"#N/A")</f>
        <v>#N/A</v>
      </c>
      <c r="AA172" s="30" t="str">
        <f ca="1">IFERROR(__xludf.dummyfunction("""COMPUTED_VALUE"""),"#N/A")</f>
        <v>#N/A</v>
      </c>
      <c r="AB172" s="30" t="str">
        <f ca="1">IFERROR(__xludf.dummyfunction("""COMPUTED_VALUE"""),"#N/A")</f>
        <v>#N/A</v>
      </c>
      <c r="AC172" s="30" t="str">
        <f ca="1">IFERROR(__xludf.dummyfunction("""COMPUTED_VALUE"""),"#N/A")</f>
        <v>#N/A</v>
      </c>
      <c r="AD172" s="16" t="str">
        <f ca="1">IFERROR(__xludf.dummyfunction("""COMPUTED_VALUE"""),"#N/A")</f>
        <v>#N/A</v>
      </c>
      <c r="AE172" s="30" t="str">
        <f ca="1">IFERROR(__xludf.dummyfunction("""COMPUTED_VALUE"""),"#N/A")</f>
        <v>#N/A</v>
      </c>
      <c r="AF172" s="30" t="str">
        <f ca="1">IFERROR(__xludf.dummyfunction("""COMPUTED_VALUE"""),"#N/A")</f>
        <v>#N/A</v>
      </c>
      <c r="AG172" s="30" t="str">
        <f ca="1">IFERROR(__xludf.dummyfunction("""COMPUTED_VALUE"""),"#N/A")</f>
        <v>#N/A</v>
      </c>
    </row>
    <row r="173" spans="1:33" ht="16.5" customHeight="1">
      <c r="A173" s="25"/>
      <c r="B173" s="26" t="s">
        <v>29</v>
      </c>
      <c r="C173" s="26" t="s">
        <v>310</v>
      </c>
      <c r="D173" s="26">
        <v>6</v>
      </c>
      <c r="E173" s="27" t="s">
        <v>564</v>
      </c>
      <c r="F173" s="28"/>
      <c r="G173" s="26" t="s">
        <v>567</v>
      </c>
      <c r="H173" s="28" t="str">
        <f ca="1">IFERROR(__xludf.dummyfunction("IFERROR(
  VLOOKUP(G173, IMPORTRANGE(""https://docs.google.com/spreadsheets/d/14deopnvwcrKtEGCKuYXdUHJbeLDZlkiSSWWT0g7x2pM/edit#gid=849066331"", ""LU List Maths (Filter)!A:B""), 2, FALSE),
  IFERROR(
    VLOOKUP(G173, IMPORTRANGE(""https://docs.google.com"&amp;"/spreadsheets/d/14deopnvwcrKtEGCKuYXdUHJbeLDZlkiSSWWT0g7x2pM/edit#gid=849066331"", ""LU List Science (Filter)!A:B""), 2, FALSE),
    ""Not Found""
  )
)
"),"Distance travelled/Time taken by moving objects in relation to stationary objects")</f>
        <v>Distance travelled/Time taken by moving objects in relation to stationary objects</v>
      </c>
      <c r="I173" s="41"/>
      <c r="J173" s="29" t="str">
        <f t="shared" si="12"/>
        <v>LU000941.001</v>
      </c>
      <c r="K173" s="29" t="str">
        <f ca="1">IFERROR(__xludf.dummyfunction("VLOOKUP(J173, IMPORTRANGE(""https://docs.google.com/spreadsheets/d/1yDAaXNsi4Mr5FtRQL4tbmSdIzhx6_m4wkOD7IG-k_eo/edit#gid=0"", ""Maths!M:N""), 2, FALSE)"),"Recall the formulas for speed, distance, and time, and understand the units of measurement for each.")</f>
        <v>Recall the formulas for speed, distance, and time, and understand the units of measurement for each.</v>
      </c>
      <c r="L173" s="29" t="str">
        <f t="shared" si="13"/>
        <v>LU000941.002</v>
      </c>
      <c r="M173" s="29" t="str">
        <f ca="1">IFERROR(__xludf.dummyfunction("VLOOKUP(L173, IMPORTRANGE(""https://docs.google.com/spreadsheets/d/1yDAaXNsi4Mr5FtRQL4tbmSdIzhx6_m4wkOD7IG-k_eo/edit#gid=0"", ""Maths!M:N""), 2, FALSE)"),"Explain the concept of speed as a rate of distance covered over time and understand how it relates to moving objects passing stationary objects.")</f>
        <v>Explain the concept of speed as a rate of distance covered over time and understand how it relates to moving objects passing stationary objects.</v>
      </c>
      <c r="N173" s="29" t="str">
        <f t="shared" si="14"/>
        <v>LU000941.003</v>
      </c>
      <c r="O173" s="29" t="str">
        <f ca="1">IFERROR(__xludf.dummyfunction("VLOOKUP(N173, IMPORTRANGE(""https://docs.google.com/spreadsheets/d/1yDAaXNsi4Mr5FtRQL4tbmSdIzhx6_m4wkOD7IG-k_eo/edit#gid=0"", ""Maths!M:N""), 2, FALSE)"),"Apply the formula for speed to find the time it takes for a moving object (like a train) to pass a stationary object (like a telegraph post or bridge).")</f>
        <v>Apply the formula for speed to find the time it takes for a moving object (like a train) to pass a stationary object (like a telegraph post or bridge).</v>
      </c>
      <c r="P173" s="29" t="str">
        <f t="shared" si="15"/>
        <v>LU000941.004</v>
      </c>
      <c r="Q173" s="29" t="str">
        <f ca="1">IFERROR(__xludf.dummyfunction("VLOOKUP(P173, IMPORTRANGE(""https://docs.google.com/spreadsheets/d/1yDAaXNsi4Mr5FtRQL4tbmSdIzhx6_m4wkOD7IG-k_eo/edit#gid=0"", ""Maths!M:N""), 2, FALSE)"),"Analyze the relationship between speed, distance, and time, and how changes in one affect the others.")</f>
        <v>Analyze the relationship between speed, distance, and time, and how changes in one affect the others.</v>
      </c>
      <c r="R173" s="29" t="str">
        <f t="shared" si="16"/>
        <v>LU000941.005</v>
      </c>
      <c r="S173" s="29" t="str">
        <f ca="1">IFERROR(__xludf.dummyfunction("VLOOKUP(R173, IMPORTRANGE(""https://docs.google.com/spreadsheets/d/1yDAaXNsi4Mr5FtRQL4tbmSdIzhx6_m4wkOD7IG-k_eo/edit#gid=0"", ""Maths!M:N""), 2, FALSE)"),"Evaluate the solutions to problems involving the movement of trains and the time taken to pass stationary objects or cross bridges, and assess the accuracy of calculations.")</f>
        <v>Evaluate the solutions to problems involving the movement of trains and the time taken to pass stationary objects or cross bridges, and assess the accuracy of calculations.</v>
      </c>
      <c r="T173" s="29" t="str">
        <f t="shared" si="17"/>
        <v>LU000941.006</v>
      </c>
      <c r="U173" s="29" t="str">
        <f ca="1">IFERROR(__xludf.dummyfunction("VLOOKUP(T173, IMPORTRANGE(""https://docs.google.com/spreadsheets/d/1yDAaXNsi4Mr5FtRQL4tbmSdIzhx6_m4wkOD7IG-k_eo/edit#gid=0"", ""Maths!M:N""), 2, FALSE)"),"#N/A")</f>
        <v>#N/A</v>
      </c>
      <c r="V173" s="16" t="str">
        <f ca="1">IFERROR(__xludf.dummyfunction("ArrayFormula(VLOOKUP(G173, IMPORTRANGE(""https://docs.google.com/spreadsheets/d/1p7R4vtkWt5VOBim4ltsDG9KTzSjrtKXsMtQGXPHyND0/edit#gid=795171502"", ""'Filter 30_05_2024'!A1:M2000""), {2, 3, 4, 5,6,7,8,9,10,11,12,13}, 0))"),"#N/A")</f>
        <v>#N/A</v>
      </c>
      <c r="W173" s="16" t="str">
        <f ca="1">IFERROR(__xludf.dummyfunction("""COMPUTED_VALUE"""),"#N/A")</f>
        <v>#N/A</v>
      </c>
      <c r="X173" s="16" t="str">
        <f ca="1">IFERROR(__xludf.dummyfunction("""COMPUTED_VALUE"""),"#N/A")</f>
        <v>#N/A</v>
      </c>
      <c r="Y173" s="16" t="str">
        <f ca="1">IFERROR(__xludf.dummyfunction("""COMPUTED_VALUE"""),"#N/A")</f>
        <v>#N/A</v>
      </c>
      <c r="Z173" s="16" t="str">
        <f ca="1">IFERROR(__xludf.dummyfunction("""COMPUTED_VALUE"""),"#N/A")</f>
        <v>#N/A</v>
      </c>
      <c r="AA173" s="30" t="str">
        <f ca="1">IFERROR(__xludf.dummyfunction("""COMPUTED_VALUE"""),"#N/A")</f>
        <v>#N/A</v>
      </c>
      <c r="AB173" s="30" t="str">
        <f ca="1">IFERROR(__xludf.dummyfunction("""COMPUTED_VALUE"""),"#N/A")</f>
        <v>#N/A</v>
      </c>
      <c r="AC173" s="30" t="str">
        <f ca="1">IFERROR(__xludf.dummyfunction("""COMPUTED_VALUE"""),"#N/A")</f>
        <v>#N/A</v>
      </c>
      <c r="AD173" s="16" t="str">
        <f ca="1">IFERROR(__xludf.dummyfunction("""COMPUTED_VALUE"""),"#N/A")</f>
        <v>#N/A</v>
      </c>
      <c r="AE173" s="30" t="str">
        <f ca="1">IFERROR(__xludf.dummyfunction("""COMPUTED_VALUE"""),"#N/A")</f>
        <v>#N/A</v>
      </c>
      <c r="AF173" s="30" t="str">
        <f ca="1">IFERROR(__xludf.dummyfunction("""COMPUTED_VALUE"""),"#N/A")</f>
        <v>#N/A</v>
      </c>
      <c r="AG173" s="30" t="str">
        <f ca="1">IFERROR(__xludf.dummyfunction("""COMPUTED_VALUE"""),"#N/A")</f>
        <v>#N/A</v>
      </c>
    </row>
    <row r="174" spans="1:33" ht="13.8">
      <c r="A174" s="34"/>
      <c r="B174" s="35" t="s">
        <v>29</v>
      </c>
      <c r="C174" s="35" t="s">
        <v>310</v>
      </c>
      <c r="D174" s="35">
        <v>6</v>
      </c>
      <c r="E174" s="36" t="s">
        <v>568</v>
      </c>
      <c r="F174" s="37" t="s">
        <v>569</v>
      </c>
      <c r="G174" s="35" t="s">
        <v>570</v>
      </c>
      <c r="H174" s="37" t="str">
        <f ca="1">IFERROR(__xludf.dummyfunction("IFERROR(
  VLOOKUP(G174, IMPORTRANGE(""https://docs.google.com/spreadsheets/d/14deopnvwcrKtEGCKuYXdUHJbeLDZlkiSSWWT0g7x2pM/edit#gid=849066331"", ""LU List Maths (Filter)!A:B""), 2, FALSE),
  IFERROR(
    VLOOKUP(G174, IMPORTRANGE(""https://docs.google.com"&amp;"/spreadsheets/d/14deopnvwcrKtEGCKuYXdUHJbeLDZlkiSSWWT0g7x2pM/edit#gid=849066331"", ""LU List Science (Filter)!A:B""), 2, FALSE),
    ""Not Found""
  )
)
"),"Definition of variable and constant")</f>
        <v>Definition of variable and constant</v>
      </c>
      <c r="I174" s="37"/>
      <c r="J174" s="29" t="str">
        <f t="shared" si="12"/>
        <v>LU000330.001</v>
      </c>
      <c r="K174" s="29" t="str">
        <f ca="1">IFERROR(__xludf.dummyfunction("VLOOKUP(J174, IMPORTRANGE(""https://docs.google.com/spreadsheets/d/1yDAaXNsi4Mr5FtRQL4tbmSdIzhx6_m4wkOD7IG-k_eo/edit#gid=0"", ""Maths!M:N""), 2, FALSE)"),"Recall the definition of variables and constants.")</f>
        <v>Recall the definition of variables and constants.</v>
      </c>
      <c r="L174" s="29" t="str">
        <f t="shared" si="13"/>
        <v>LU000330.002</v>
      </c>
      <c r="M174" s="29" t="str">
        <f ca="1">IFERROR(__xludf.dummyfunction("VLOOKUP(L174, IMPORTRANGE(""https://docs.google.com/spreadsheets/d/1yDAaXNsi4Mr5FtRQL4tbmSdIzhx6_m4wkOD7IG-k_eo/edit#gid=0"", ""Maths!M:N""), 2, FALSE)"),"List the examples of variables and constants.")</f>
        <v>List the examples of variables and constants.</v>
      </c>
      <c r="N174" s="29" t="str">
        <f t="shared" si="14"/>
        <v>LU000330.003</v>
      </c>
      <c r="O174" s="29" t="str">
        <f ca="1">IFERROR(__xludf.dummyfunction("VLOOKUP(N174, IMPORTRANGE(""https://docs.google.com/spreadsheets/d/1yDAaXNsi4Mr5FtRQL4tbmSdIzhx6_m4wkOD7IG-k_eo/edit#gid=0"", ""Maths!M:N""), 2, FALSE)"),"Differences between variables and constants.")</f>
        <v>Differences between variables and constants.</v>
      </c>
      <c r="P174" s="29" t="str">
        <f t="shared" si="15"/>
        <v>LU000330.004</v>
      </c>
      <c r="Q174" s="29" t="str">
        <f ca="1">IFERROR(__xludf.dummyfunction("VLOOKUP(P174, IMPORTRANGE(""https://docs.google.com/spreadsheets/d/1yDAaXNsi4Mr5FtRQL4tbmSdIzhx6_m4wkOD7IG-k_eo/edit#gid=0"", ""Maths!M:N""), 2, FALSE)"),"Examine the role of variables in representing changing quantities and relationships in algebraic contexts.")</f>
        <v>Examine the role of variables in representing changing quantities and relationships in algebraic contexts.</v>
      </c>
      <c r="R174" s="29" t="str">
        <f t="shared" si="16"/>
        <v>LU000330.005</v>
      </c>
      <c r="S174" s="29" t="str">
        <f ca="1">IFERROR(__xludf.dummyfunction("VLOOKUP(R174, IMPORTRANGE(""https://docs.google.com/spreadsheets/d/1yDAaXNsi4Mr5FtRQL4tbmSdIzhx6_m4wkOD7IG-k_eo/edit#gid=0"", ""Maths!M:N""), 2, FALSE)"),"Assess the effectiveness of using variables in solving problems and representing changing quantities.")</f>
        <v>Assess the effectiveness of using variables in solving problems and representing changing quantities.</v>
      </c>
      <c r="T174" s="29" t="str">
        <f t="shared" si="17"/>
        <v>LU000330.006</v>
      </c>
      <c r="U174" s="29" t="str">
        <f ca="1">IFERROR(__xludf.dummyfunction("VLOOKUP(T174, IMPORTRANGE(""https://docs.google.com/spreadsheets/d/1yDAaXNsi4Mr5FtRQL4tbmSdIzhx6_m4wkOD7IG-k_eo/edit#gid=0"", ""Maths!M:N""), 2, FALSE)"),"Formulate scenarios where variables are used to represent changing values.")</f>
        <v>Formulate scenarios where variables are used to represent changing values.</v>
      </c>
      <c r="V174" s="16">
        <f ca="1">IFERROR(__xludf.dummyfunction("ArrayFormula(VLOOKUP(G174, IMPORTRANGE(""https://docs.google.com/spreadsheets/d/1p7R4vtkWt5VOBim4ltsDG9KTzSjrtKXsMtQGXPHyND0/edit#gid=795171502"", ""'Filter 30_05_2024'!A1:M2000""), {2, 3, 4, 5,6,7,8,9,10,11,12,13}, 0))"),10)</f>
        <v>10</v>
      </c>
      <c r="W174" s="16">
        <f ca="1">IFERROR(__xludf.dummyfunction("""COMPUTED_VALUE"""),6)</f>
        <v>6</v>
      </c>
      <c r="X174" s="16">
        <f ca="1">IFERROR(__xludf.dummyfunction("""COMPUTED_VALUE"""),2)</f>
        <v>2</v>
      </c>
      <c r="Y174" s="16">
        <f ca="1">IFERROR(__xludf.dummyfunction("""COMPUTED_VALUE"""),18)</f>
        <v>18</v>
      </c>
      <c r="Z174" s="16">
        <f ca="1">IFERROR(__xludf.dummyfunction("""COMPUTED_VALUE"""),6)</f>
        <v>6</v>
      </c>
      <c r="AA174" s="30">
        <f ca="1">IFERROR(__xludf.dummyfunction("""COMPUTED_VALUE"""),4)</f>
        <v>4</v>
      </c>
      <c r="AB174" s="30">
        <f ca="1">IFERROR(__xludf.dummyfunction("""COMPUTED_VALUE"""),1)</f>
        <v>1</v>
      </c>
      <c r="AC174" s="30">
        <f ca="1">IFERROR(__xludf.dummyfunction("""COMPUTED_VALUE"""),11)</f>
        <v>11</v>
      </c>
      <c r="AD174" s="16"/>
      <c r="AE174" s="30"/>
      <c r="AF174" s="30"/>
      <c r="AG174" s="30"/>
    </row>
    <row r="175" spans="1:33" ht="26.4">
      <c r="A175" s="25"/>
      <c r="B175" s="26" t="s">
        <v>29</v>
      </c>
      <c r="C175" s="26" t="s">
        <v>310</v>
      </c>
      <c r="D175" s="26">
        <v>6</v>
      </c>
      <c r="E175" s="27" t="s">
        <v>568</v>
      </c>
      <c r="F175" s="28" t="s">
        <v>571</v>
      </c>
      <c r="G175" s="26" t="s">
        <v>572</v>
      </c>
      <c r="H175" s="28" t="str">
        <f ca="1">IFERROR(__xludf.dummyfunction("IFERROR(
  VLOOKUP(G175, IMPORTRANGE(""https://docs.google.com/spreadsheets/d/14deopnvwcrKtEGCKuYXdUHJbeLDZlkiSSWWT0g7x2pM/edit#gid=849066331"", ""LU List Maths (Filter)!A:B""), 2, FALSE),
  IFERROR(
    VLOOKUP(G175, IMPORTRANGE(""https://docs.google.com"&amp;"/spreadsheets/d/14deopnvwcrKtEGCKuYXdUHJbeLDZlkiSSWWT0g7x2pM/edit#gid=849066331"", ""LU List Science (Filter)!A:B""), 2, FALSE),
    ""Not Found""
  )
)
"),"Generalization of number patterns using variables (e.g., 3n, 4m, 7z...)")</f>
        <v>Generalization of number patterns using variables (e.g., 3n, 4m, 7z...)</v>
      </c>
      <c r="I175" s="28"/>
      <c r="J175" s="29" t="str">
        <f t="shared" si="12"/>
        <v>LU000936.001</v>
      </c>
      <c r="K175" s="29" t="str">
        <f ca="1">IFERROR(__xludf.dummyfunction("VLOOKUP(J175, IMPORTRANGE(""https://docs.google.com/spreadsheets/d/1yDAaXNsi4Mr5FtRQL4tbmSdIzhx6_m4wkOD7IG-k_eo/edit#gid=0"", ""Maths!M:N""), 2, FALSE)"),"Recall the purpose of using variables to represent number patterns.")</f>
        <v>Recall the purpose of using variables to represent number patterns.</v>
      </c>
      <c r="L175" s="29" t="str">
        <f t="shared" si="13"/>
        <v>LU000936.002</v>
      </c>
      <c r="M175" s="29" t="str">
        <f ca="1">IFERROR(__xludf.dummyfunction("VLOOKUP(L175, IMPORTRANGE(""https://docs.google.com/spreadsheets/d/1yDAaXNsi4Mr5FtRQL4tbmSdIzhx6_m4wkOD7IG-k_eo/edit#gid=0"", ""Maths!M:N""), 2, FALSE)"),"Explain how variables represent numbers in patterns.")</f>
        <v>Explain how variables represent numbers in patterns.</v>
      </c>
      <c r="N175" s="29" t="str">
        <f t="shared" si="14"/>
        <v>LU000936.003</v>
      </c>
      <c r="O175" s="29" t="str">
        <f ca="1">IFERROR(__xludf.dummyfunction("VLOOKUP(N175, IMPORTRANGE(""https://docs.google.com/spreadsheets/d/1yDAaXNsi4Mr5FtRQL4tbmSdIzhx6_m4wkOD7IG-k_eo/edit#gid=0"", ""Maths!M:N""), 2, FALSE)"),"Use variables to form a rule for the given number pattern.")</f>
        <v>Use variables to form a rule for the given number pattern.</v>
      </c>
      <c r="P175" s="29" t="str">
        <f t="shared" si="15"/>
        <v>LU000936.004</v>
      </c>
      <c r="Q175" s="29" t="str">
        <f ca="1">IFERROR(__xludf.dummyfunction("VLOOKUP(P175, IMPORTRANGE(""https://docs.google.com/spreadsheets/d/1yDAaXNsi4Mr5FtRQL4tbmSdIzhx6_m4wkOD7IG-k_eo/edit#gid=0"", ""Maths!M:N""), 2, FALSE)"),"Examine number patterns to identify underlying rules.")</f>
        <v>Examine number patterns to identify underlying rules.</v>
      </c>
      <c r="R175" s="29" t="str">
        <f t="shared" si="16"/>
        <v>LU000936.005</v>
      </c>
      <c r="S175" s="29" t="str">
        <f ca="1">IFERROR(__xludf.dummyfunction("VLOOKUP(R175, IMPORTRANGE(""https://docs.google.com/spreadsheets/d/1yDAaXNsi4Mr5FtRQL4tbmSdIzhx6_m4wkOD7IG-k_eo/edit#gid=0"", ""Maths!M:N""), 2, FALSE)"),"Compare different variable expressions for representing the number patterns.")</f>
        <v>Compare different variable expressions for representing the number patterns.</v>
      </c>
      <c r="T175" s="29" t="str">
        <f t="shared" si="17"/>
        <v>LU000936.006</v>
      </c>
      <c r="U175" s="29" t="str">
        <f ca="1">IFERROR(__xludf.dummyfunction("VLOOKUP(T175, IMPORTRANGE(""https://docs.google.com/spreadsheets/d/1yDAaXNsi4Mr5FtRQL4tbmSdIzhx6_m4wkOD7IG-k_eo/edit#gid=0"", ""Maths!M:N""), 2, FALSE)"),"#N/A")</f>
        <v>#N/A</v>
      </c>
      <c r="V175" s="16">
        <f ca="1">IFERROR(__xludf.dummyfunction("ArrayFormula(VLOOKUP(G175, IMPORTRANGE(""https://docs.google.com/spreadsheets/d/1p7R4vtkWt5VOBim4ltsDG9KTzSjrtKXsMtQGXPHyND0/edit#gid=795171502"", ""'Filter 30_05_2024'!A1:M2000""), {2, 3, 4, 5,6,7,8,9,10,11,12,13}, 0))"),4)</f>
        <v>4</v>
      </c>
      <c r="W175" s="16">
        <f ca="1">IFERROR(__xludf.dummyfunction("""COMPUTED_VALUE"""),15)</f>
        <v>15</v>
      </c>
      <c r="X175" s="16">
        <f ca="1">IFERROR(__xludf.dummyfunction("""COMPUTED_VALUE"""),2)</f>
        <v>2</v>
      </c>
      <c r="Y175" s="16">
        <f ca="1">IFERROR(__xludf.dummyfunction("""COMPUTED_VALUE"""),21)</f>
        <v>21</v>
      </c>
      <c r="Z175" s="16">
        <f ca="1">IFERROR(__xludf.dummyfunction("""COMPUTED_VALUE"""),4)</f>
        <v>4</v>
      </c>
      <c r="AA175" s="30">
        <f ca="1">IFERROR(__xludf.dummyfunction("""COMPUTED_VALUE"""),10)</f>
        <v>10</v>
      </c>
      <c r="AB175" s="30">
        <f ca="1">IFERROR(__xludf.dummyfunction("""COMPUTED_VALUE"""),1)</f>
        <v>1</v>
      </c>
      <c r="AC175" s="30">
        <f ca="1">IFERROR(__xludf.dummyfunction("""COMPUTED_VALUE"""),15)</f>
        <v>15</v>
      </c>
      <c r="AD175" s="16"/>
      <c r="AE175" s="30"/>
      <c r="AF175" s="30"/>
      <c r="AG175" s="30"/>
    </row>
    <row r="176" spans="1:33" ht="26.4">
      <c r="A176" s="25"/>
      <c r="B176" s="26" t="s">
        <v>29</v>
      </c>
      <c r="C176" s="26" t="s">
        <v>310</v>
      </c>
      <c r="D176" s="26">
        <v>6</v>
      </c>
      <c r="E176" s="27" t="s">
        <v>568</v>
      </c>
      <c r="F176" s="28"/>
      <c r="G176" s="26" t="s">
        <v>573</v>
      </c>
      <c r="H176" s="28" t="str">
        <f ca="1">IFERROR(__xludf.dummyfunction("IFERROR(
  VLOOKUP(G176, IMPORTRANGE(""https://docs.google.com/spreadsheets/d/14deopnvwcrKtEGCKuYXdUHJbeLDZlkiSSWWT0g7x2pM/edit#gid=849066331"", ""LU List Maths (Filter)!A:B""), 2, FALSE),
  IFERROR(
    VLOOKUP(G176, IMPORTRANGE(""https://docs.google.com"&amp;"/spreadsheets/d/14deopnvwcrKtEGCKuYXdUHJbeLDZlkiSSWWT0g7x2pM/edit#gid=849066331"", ""LU List Science (Filter)!A:B""), 2, FALSE),
    ""Not Found""
  )
)
"),"Generalization of number patterns using variables (e.g., 3n+1, 4m - 5...)")</f>
        <v>Generalization of number patterns using variables (e.g., 3n+1, 4m - 5...)</v>
      </c>
      <c r="I176" s="28"/>
      <c r="J176" s="29" t="str">
        <f t="shared" si="12"/>
        <v>LU000516.001</v>
      </c>
      <c r="K176" s="29" t="str">
        <f ca="1">IFERROR(__xludf.dummyfunction("VLOOKUP(J176, IMPORTRANGE(""https://docs.google.com/spreadsheets/d/1yDAaXNsi4Mr5FtRQL4tbmSdIzhx6_m4wkOD7IG-k_eo/edit#gid=0"", ""Maths!M:N""), 2, FALSE)"),"Recall the relationships between algebraic expressions and patterns in various contexts.")</f>
        <v>Recall the relationships between algebraic expressions and patterns in various contexts.</v>
      </c>
      <c r="L176" s="29" t="str">
        <f t="shared" si="13"/>
        <v>LU000516.002</v>
      </c>
      <c r="M176" s="29" t="str">
        <f ca="1">IFERROR(__xludf.dummyfunction("VLOOKUP(L176, IMPORTRANGE(""https://docs.google.com/spreadsheets/d/1yDAaXNsi4Mr5FtRQL4tbmSdIzhx6_m4wkOD7IG-k_eo/edit#gid=0"", ""Maths!M:N""), 2, FALSE)"),"Explain how algebraic expressions are derived from patterns and how they represent corresponding relationships.")</f>
        <v>Explain how algebraic expressions are derived from patterns and how they represent corresponding relationships.</v>
      </c>
      <c r="N176" s="29" t="str">
        <f t="shared" si="14"/>
        <v>LU000516.003</v>
      </c>
      <c r="O176" s="29" t="str">
        <f ca="1">IFERROR(__xludf.dummyfunction("VLOOKUP(N176, IMPORTRANGE(""https://docs.google.com/spreadsheets/d/1yDAaXNsi4Mr5FtRQL4tbmSdIzhx6_m4wkOD7IG-k_eo/edit#gid=0"", ""Maths!M:N""), 2, FALSE)"),"Use the given algebraic expression to complete the table of number patterns.")</f>
        <v>Use the given algebraic expression to complete the table of number patterns.</v>
      </c>
      <c r="P176" s="29" t="str">
        <f t="shared" si="15"/>
        <v>LU000516.004</v>
      </c>
      <c r="Q176" s="29" t="str">
        <f ca="1">IFERROR(__xludf.dummyfunction("VLOOKUP(P176, IMPORTRANGE(""https://docs.google.com/spreadsheets/d/1yDAaXNsi4Mr5FtRQL4tbmSdIzhx6_m4wkOD7IG-k_eo/edit#gid=0"", ""Maths!M:N""), 2, FALSE)"),"Analyze different pattern rules and express them using algebraic expressions.")</f>
        <v>Analyze different pattern rules and express them using algebraic expressions.</v>
      </c>
      <c r="R176" s="29" t="str">
        <f t="shared" si="16"/>
        <v>LU000516.005</v>
      </c>
      <c r="S176" s="29" t="str">
        <f ca="1">IFERROR(__xludf.dummyfunction("VLOOKUP(R176, IMPORTRANGE(""https://docs.google.com/spreadsheets/d/1yDAaXNsi4Mr5FtRQL4tbmSdIzhx6_m4wkOD7IG-k_eo/edit#gid=0"", ""Maths!M:N""), 2, FALSE)"),"Evaluate the validity of algebraic expressions for finding terms in number sequences.")</f>
        <v>Evaluate the validity of algebraic expressions for finding terms in number sequences.</v>
      </c>
      <c r="T176" s="29" t="str">
        <f t="shared" si="17"/>
        <v>LU000516.006</v>
      </c>
      <c r="U176" s="29" t="str">
        <f ca="1">IFERROR(__xludf.dummyfunction("VLOOKUP(T176, IMPORTRANGE(""https://docs.google.com/spreadsheets/d/1yDAaXNsi4Mr5FtRQL4tbmSdIzhx6_m4wkOD7IG-k_eo/edit#gid=0"", ""Maths!M:N""), 2, FALSE)"),"Create new geometric patterns and develop algebraic expressions to calculate the quantities of elements.")</f>
        <v>Create new geometric patterns and develop algebraic expressions to calculate the quantities of elements.</v>
      </c>
      <c r="V176" s="16">
        <f ca="1">IFERROR(__xludf.dummyfunction("ArrayFormula(VLOOKUP(G176, IMPORTRANGE(""https://docs.google.com/spreadsheets/d/1p7R4vtkWt5VOBim4ltsDG9KTzSjrtKXsMtQGXPHyND0/edit#gid=795171502"", ""'Filter 30_05_2024'!A1:M2000""), {2, 3, 4, 5,6,7,8,9,10,11,12,13}, 0))"),4)</f>
        <v>4</v>
      </c>
      <c r="W176" s="16">
        <f ca="1">IFERROR(__xludf.dummyfunction("""COMPUTED_VALUE"""),6)</f>
        <v>6</v>
      </c>
      <c r="X176" s="16">
        <f ca="1">IFERROR(__xludf.dummyfunction("""COMPUTED_VALUE"""),2)</f>
        <v>2</v>
      </c>
      <c r="Y176" s="16">
        <f ca="1">IFERROR(__xludf.dummyfunction("""COMPUTED_VALUE"""),12)</f>
        <v>12</v>
      </c>
      <c r="Z176" s="16">
        <f ca="1">IFERROR(__xludf.dummyfunction("""COMPUTED_VALUE"""),4)</f>
        <v>4</v>
      </c>
      <c r="AA176" s="30">
        <f ca="1">IFERROR(__xludf.dummyfunction("""COMPUTED_VALUE"""),3)</f>
        <v>3</v>
      </c>
      <c r="AB176" s="30">
        <f ca="1">IFERROR(__xludf.dummyfunction("""COMPUTED_VALUE"""),1)</f>
        <v>1</v>
      </c>
      <c r="AC176" s="30">
        <f ca="1">IFERROR(__xludf.dummyfunction("""COMPUTED_VALUE"""),8)</f>
        <v>8</v>
      </c>
      <c r="AD176" s="16"/>
      <c r="AE176" s="30"/>
      <c r="AF176" s="30"/>
      <c r="AG176" s="30"/>
    </row>
    <row r="177" spans="1:33" ht="26.4">
      <c r="A177" s="34"/>
      <c r="B177" s="35" t="s">
        <v>29</v>
      </c>
      <c r="C177" s="35" t="s">
        <v>310</v>
      </c>
      <c r="D177" s="35">
        <v>6</v>
      </c>
      <c r="E177" s="36" t="s">
        <v>568</v>
      </c>
      <c r="F177" s="37"/>
      <c r="G177" s="35" t="s">
        <v>393</v>
      </c>
      <c r="H177" s="37" t="str">
        <f ca="1">IFERROR(__xludf.dummyfunction("IFERROR(
  VLOOKUP(G177, IMPORTRANGE(""https://docs.google.com/spreadsheets/d/14deopnvwcrKtEGCKuYXdUHJbeLDZlkiSSWWT0g7x2pM/edit#gid=849066331"", ""LU List Maths (Filter)!A:B""), 2, FALSE),
  IFERROR(
    VLOOKUP(G177, IMPORTRANGE(""https://docs.google.com"&amp;"/spreadsheets/d/14deopnvwcrKtEGCKuYXdUHJbeLDZlkiSSWWT0g7x2pM/edit#gid=849066331"", ""LU List Science (Filter)!A:B""), 2, FALSE),
    ""Not Found""
  )
)
"),"Generalization of rules of geometric patterns using variables (matchstick patterns, etc...)")</f>
        <v>Generalization of rules of geometric patterns using variables (matchstick patterns, etc...)</v>
      </c>
      <c r="I177" s="37"/>
      <c r="J177" s="29" t="str">
        <f t="shared" si="12"/>
        <v>LU000937.001</v>
      </c>
      <c r="K177" s="29" t="str">
        <f ca="1">IFERROR(__xludf.dummyfunction("VLOOKUP(J177, IMPORTRANGE(""https://docs.google.com/spreadsheets/d/1yDAaXNsi4Mr5FtRQL4tbmSdIzhx6_m4wkOD7IG-k_eo/edit#gid=0"", ""Maths!M:N""), 2, FALSE)"),"Recall the purpose of using variables to represent geometric rules.")</f>
        <v>Recall the purpose of using variables to represent geometric rules.</v>
      </c>
      <c r="L177" s="29" t="str">
        <f t="shared" si="13"/>
        <v>LU000937.002</v>
      </c>
      <c r="M177" s="29" t="str">
        <f ca="1">IFERROR(__xludf.dummyfunction("VLOOKUP(L177, IMPORTRANGE(""https://docs.google.com/spreadsheets/d/1yDAaXNsi4Mr5FtRQL4tbmSdIzhx6_m4wkOD7IG-k_eo/edit#gid=0"", ""Maths!M:N""), 2, FALSE)"),"Describe how variables and equations represent geometric patterns, such as matchstick patterns.")</f>
        <v>Describe how variables and equations represent geometric patterns, such as matchstick patterns.</v>
      </c>
      <c r="N177" s="29" t="str">
        <f t="shared" si="14"/>
        <v>LU000937.003</v>
      </c>
      <c r="O177" s="29" t="str">
        <f ca="1">IFERROR(__xludf.dummyfunction("VLOOKUP(N177, IMPORTRANGE(""https://docs.google.com/spreadsheets/d/1yDAaXNsi4Mr5FtRQL4tbmSdIzhx6_m4wkOD7IG-k_eo/edit#gid=0"", ""Maths!M:N""), 2, FALSE)"),"Use variables to form a rule for the given geometric pattern.")</f>
        <v>Use variables to form a rule for the given geometric pattern.</v>
      </c>
      <c r="P177" s="29" t="str">
        <f t="shared" si="15"/>
        <v>LU000937.004</v>
      </c>
      <c r="Q177" s="29" t="str">
        <f ca="1">IFERROR(__xludf.dummyfunction("VLOOKUP(P177, IMPORTRANGE(""https://docs.google.com/spreadsheets/d/1yDAaXNsi4Mr5FtRQL4tbmSdIzhx6_m4wkOD7IG-k_eo/edit#gid=0"", ""Maths!M:N""), 2, FALSE)"),"Examine geometric patterns to identify underlying rules.")</f>
        <v>Examine geometric patterns to identify underlying rules.</v>
      </c>
      <c r="R177" s="29" t="str">
        <f t="shared" si="16"/>
        <v>LU000937.005</v>
      </c>
      <c r="S177" s="29" t="str">
        <f ca="1">IFERROR(__xludf.dummyfunction("VLOOKUP(R177, IMPORTRANGE(""https://docs.google.com/spreadsheets/d/1yDAaXNsi4Mr5FtRQL4tbmSdIzhx6_m4wkOD7IG-k_eo/edit#gid=0"", ""Maths!M:N""), 2, FALSE)"),"Compare different variable expressions for representing the geometric patterns.")</f>
        <v>Compare different variable expressions for representing the geometric patterns.</v>
      </c>
      <c r="T177" s="29" t="str">
        <f t="shared" si="17"/>
        <v>LU000937.006</v>
      </c>
      <c r="U177" s="29" t="str">
        <f ca="1">IFERROR(__xludf.dummyfunction("VLOOKUP(T177, IMPORTRANGE(""https://docs.google.com/spreadsheets/d/1yDAaXNsi4Mr5FtRQL4tbmSdIzhx6_m4wkOD7IG-k_eo/edit#gid=0"", ""Maths!M:N""), 2, FALSE)"),"#N/A")</f>
        <v>#N/A</v>
      </c>
      <c r="V177" s="16">
        <f ca="1">IFERROR(__xludf.dummyfunction("ArrayFormula(VLOOKUP(G177, IMPORTRANGE(""https://docs.google.com/spreadsheets/d/1p7R4vtkWt5VOBim4ltsDG9KTzSjrtKXsMtQGXPHyND0/edit#gid=795171502"", ""'Filter 30_05_2024'!A1:M2000""), {2, 3, 4, 5,6,7,8,9,10,11,12,13}, 0))"),4)</f>
        <v>4</v>
      </c>
      <c r="W177" s="16">
        <f ca="1">IFERROR(__xludf.dummyfunction("""COMPUTED_VALUE"""),8)</f>
        <v>8</v>
      </c>
      <c r="X177" s="16">
        <f ca="1">IFERROR(__xludf.dummyfunction("""COMPUTED_VALUE"""),2)</f>
        <v>2</v>
      </c>
      <c r="Y177" s="16">
        <f ca="1">IFERROR(__xludf.dummyfunction("""COMPUTED_VALUE"""),14)</f>
        <v>14</v>
      </c>
      <c r="Z177" s="16">
        <f ca="1">IFERROR(__xludf.dummyfunction("""COMPUTED_VALUE"""),4)</f>
        <v>4</v>
      </c>
      <c r="AA177" s="30">
        <f ca="1">IFERROR(__xludf.dummyfunction("""COMPUTED_VALUE"""),8)</f>
        <v>8</v>
      </c>
      <c r="AB177" s="30">
        <f ca="1">IFERROR(__xludf.dummyfunction("""COMPUTED_VALUE"""),1)</f>
        <v>1</v>
      </c>
      <c r="AC177" s="30">
        <f ca="1">IFERROR(__xludf.dummyfunction("""COMPUTED_VALUE"""),13)</f>
        <v>13</v>
      </c>
      <c r="AD177" s="16"/>
      <c r="AE177" s="30"/>
      <c r="AF177" s="30"/>
      <c r="AG177" s="30"/>
    </row>
    <row r="178" spans="1:33" ht="26.4">
      <c r="A178" s="25"/>
      <c r="B178" s="26" t="s">
        <v>29</v>
      </c>
      <c r="C178" s="26" t="s">
        <v>310</v>
      </c>
      <c r="D178" s="26">
        <v>6</v>
      </c>
      <c r="E178" s="27" t="s">
        <v>568</v>
      </c>
      <c r="F178" s="28"/>
      <c r="G178" s="26" t="s">
        <v>574</v>
      </c>
      <c r="H178" s="28" t="str">
        <f ca="1">IFERROR(__xludf.dummyfunction("IFERROR(
  VLOOKUP(G178, IMPORTRANGE(""https://docs.google.com/spreadsheets/d/14deopnvwcrKtEGCKuYXdUHJbeLDZlkiSSWWT0g7x2pM/edit#gid=849066331"", ""LU List Maths (Filter)!A:B""), 2, FALSE),
  IFERROR(
    VLOOKUP(G178, IMPORTRANGE(""https://docs.google.com"&amp;"/spreadsheets/d/14deopnvwcrKtEGCKuYXdUHJbeLDZlkiSSWWT0g7x2pM/edit#gid=849066331"", ""LU List Science (Filter)!A:B""), 2, FALSE),
    ""Not Found""
  )
)
"),"Generalization of practical situations using variables")</f>
        <v>Generalization of practical situations using variables</v>
      </c>
      <c r="I178" s="28"/>
      <c r="J178" s="29" t="str">
        <f t="shared" si="12"/>
        <v>LU000938.001</v>
      </c>
      <c r="K178" s="29" t="str">
        <f ca="1">IFERROR(__xludf.dummyfunction("VLOOKUP(J178, IMPORTRANGE(""https://docs.google.com/spreadsheets/d/1yDAaXNsi4Mr5FtRQL4tbmSdIzhx6_m4wkOD7IG-k_eo/edit#gid=0"", ""Maths!M:N""), 2, FALSE)"),"Recall the concept of variables and basic algebraic expressions used in practical situations.")</f>
        <v>Recall the concept of variables and basic algebraic expressions used in practical situations.</v>
      </c>
      <c r="L178" s="29" t="str">
        <f t="shared" si="13"/>
        <v>LU000938.002</v>
      </c>
      <c r="M178" s="29" t="str">
        <f ca="1">IFERROR(__xludf.dummyfunction("VLOOKUP(L178, IMPORTRANGE(""https://docs.google.com/spreadsheets/d/1yDAaXNsi4Mr5FtRQL4tbmSdIzhx6_m4wkOD7IG-k_eo/edit#gid=0"", ""Maths!M:N""), 2, FALSE)"),"Explain how variables are used to generalize real-life situations and practical problems.")</f>
        <v>Explain how variables are used to generalize real-life situations and practical problems.</v>
      </c>
      <c r="N178" s="29" t="str">
        <f t="shared" si="14"/>
        <v>LU000938.003</v>
      </c>
      <c r="O178" s="29" t="str">
        <f ca="1">IFERROR(__xludf.dummyfunction("VLOOKUP(N178, IMPORTRANGE(""https://docs.google.com/spreadsheets/d/1yDAaXNsi4Mr5FtRQL4tbmSdIzhx6_m4wkOD7IG-k_eo/edit#gid=0"", ""Maths!M:N""), 2, FALSE)"),"Use variables to generalize and solve problems derived from real-life situations.")</f>
        <v>Use variables to generalize and solve problems derived from real-life situations.</v>
      </c>
      <c r="P178" s="29" t="str">
        <f t="shared" si="15"/>
        <v>LU000938.004</v>
      </c>
      <c r="Q178" s="29" t="str">
        <f ca="1">IFERROR(__xludf.dummyfunction("VLOOKUP(P178, IMPORTRANGE(""https://docs.google.com/spreadsheets/d/1yDAaXNsi4Mr5FtRQL4tbmSdIzhx6_m4wkOD7IG-k_eo/edit#gid=0"", ""Maths!M:N""), 2, FALSE)"),"Examine different practical situations and determine the appropriate variables and expressions to represent them.")</f>
        <v>Examine different practical situations and determine the appropriate variables and expressions to represent them.</v>
      </c>
      <c r="R178" s="29" t="str">
        <f t="shared" si="16"/>
        <v>LU000938.005</v>
      </c>
      <c r="S178" s="29" t="str">
        <f ca="1">IFERROR(__xludf.dummyfunction("VLOOKUP(R178, IMPORTRANGE(""https://docs.google.com/spreadsheets/d/1yDAaXNsi4Mr5FtRQL4tbmSdIzhx6_m4wkOD7IG-k_eo/edit#gid=0"", ""Maths!M:N""), 2, FALSE)"),"#N/A")</f>
        <v>#N/A</v>
      </c>
      <c r="T178" s="29" t="str">
        <f t="shared" si="17"/>
        <v>LU000938.006</v>
      </c>
      <c r="U178" s="29" t="str">
        <f ca="1">IFERROR(__xludf.dummyfunction("VLOOKUP(T178, IMPORTRANGE(""https://docs.google.com/spreadsheets/d/1yDAaXNsi4Mr5FtRQL4tbmSdIzhx6_m4wkOD7IG-k_eo/edit#gid=0"", ""Maths!M:N""), 2, FALSE)"),"#N/A")</f>
        <v>#N/A</v>
      </c>
      <c r="V178" s="16">
        <f ca="1">IFERROR(__xludf.dummyfunction("ArrayFormula(VLOOKUP(G178, IMPORTRANGE(""https://docs.google.com/spreadsheets/d/1p7R4vtkWt5VOBim4ltsDG9KTzSjrtKXsMtQGXPHyND0/edit#gid=795171502"", ""'Filter 30_05_2024'!A1:M2000""), {2, 3, 4, 5,6,7,8,9,10,11,12,13}, 0))"),4)</f>
        <v>4</v>
      </c>
      <c r="W178" s="16">
        <f ca="1">IFERROR(__xludf.dummyfunction("""COMPUTED_VALUE"""),11)</f>
        <v>11</v>
      </c>
      <c r="X178" s="16">
        <f ca="1">IFERROR(__xludf.dummyfunction("""COMPUTED_VALUE"""),2)</f>
        <v>2</v>
      </c>
      <c r="Y178" s="16">
        <f ca="1">IFERROR(__xludf.dummyfunction("""COMPUTED_VALUE"""),17)</f>
        <v>17</v>
      </c>
      <c r="Z178" s="16">
        <f ca="1">IFERROR(__xludf.dummyfunction("""COMPUTED_VALUE"""),5)</f>
        <v>5</v>
      </c>
      <c r="AA178" s="30">
        <f ca="1">IFERROR(__xludf.dummyfunction("""COMPUTED_VALUE"""),12)</f>
        <v>12</v>
      </c>
      <c r="AB178" s="30">
        <f ca="1">IFERROR(__xludf.dummyfunction("""COMPUTED_VALUE"""),1)</f>
        <v>1</v>
      </c>
      <c r="AC178" s="30">
        <f ca="1">IFERROR(__xludf.dummyfunction("""COMPUTED_VALUE"""),18)</f>
        <v>18</v>
      </c>
      <c r="AD178" s="16"/>
      <c r="AE178" s="30"/>
      <c r="AF178" s="30"/>
      <c r="AG178" s="30"/>
    </row>
    <row r="179" spans="1:33" ht="13.8">
      <c r="A179" s="25"/>
      <c r="B179" s="26" t="s">
        <v>29</v>
      </c>
      <c r="C179" s="26" t="s">
        <v>310</v>
      </c>
      <c r="D179" s="26">
        <v>6</v>
      </c>
      <c r="E179" s="27" t="s">
        <v>568</v>
      </c>
      <c r="F179" s="28" t="s">
        <v>575</v>
      </c>
      <c r="G179" s="26" t="s">
        <v>576</v>
      </c>
      <c r="H179" s="28" t="str">
        <f ca="1">IFERROR(__xludf.dummyfunction("IFERROR(
  VLOOKUP(G179, IMPORTRANGE(""https://docs.google.com/spreadsheets/d/14deopnvwcrKtEGCKuYXdUHJbeLDZlkiSSWWT0g7x2pM/edit#gid=849066331"", ""LU List Maths (Filter)!A:B""), 2, FALSE),
  IFERROR(
    VLOOKUP(G179, IMPORTRANGE(""https://docs.google.com"&amp;"/spreadsheets/d/14deopnvwcrKtEGCKuYXdUHJbeLDZlkiSSWWT0g7x2pM/edit#gid=849066331"", ""LU List Science (Filter)!A:B""), 2, FALSE),
    ""Not Found""
  )
)
"),"Definition of algebraic expression")</f>
        <v>Definition of algebraic expression</v>
      </c>
      <c r="I179" s="28"/>
      <c r="J179" s="29" t="str">
        <f t="shared" si="12"/>
        <v>LU000935.001</v>
      </c>
      <c r="K179" s="29" t="str">
        <f ca="1">IFERROR(__xludf.dummyfunction("VLOOKUP(J179, IMPORTRANGE(""https://docs.google.com/spreadsheets/d/1yDAaXNsi4Mr5FtRQL4tbmSdIzhx6_m4wkOD7IG-k_eo/edit#gid=0"", ""Maths!M:N""), 2, FALSE)"),"Identify components of algebraic expressions, like variables and constants.")</f>
        <v>Identify components of algebraic expressions, like variables and constants.</v>
      </c>
      <c r="L179" s="29" t="str">
        <f t="shared" si="13"/>
        <v>LU000935.002</v>
      </c>
      <c r="M179" s="29" t="str">
        <f ca="1">IFERROR(__xludf.dummyfunction("VLOOKUP(L179, IMPORTRANGE(""https://docs.google.com/spreadsheets/d/1yDAaXNsi4Mr5FtRQL4tbmSdIzhx6_m4wkOD7IG-k_eo/edit#gid=0"", ""Maths!M:N""), 2, FALSE)"),"Explain what an algebraic expression is and how it differs from a numerical expression.")</f>
        <v>Explain what an algebraic expression is and how it differs from a numerical expression.</v>
      </c>
      <c r="N179" s="29" t="str">
        <f t="shared" si="14"/>
        <v>LU000935.003</v>
      </c>
      <c r="O179" s="29" t="str">
        <f ca="1">IFERROR(__xludf.dummyfunction("VLOOKUP(N179, IMPORTRANGE(""https://docs.google.com/spreadsheets/d/1yDAaXNsi4Mr5FtRQL4tbmSdIzhx6_m4wkOD7IG-k_eo/edit#gid=0"", ""Maths!M:N""), 2, FALSE)"),"Apply the concept of algebraic expressions to create expressions that represent real-world situations")</f>
        <v>Apply the concept of algebraic expressions to create expressions that represent real-world situations</v>
      </c>
      <c r="P179" s="29" t="str">
        <f t="shared" si="15"/>
        <v>LU000935.004</v>
      </c>
      <c r="Q179" s="29" t="str">
        <f ca="1">IFERROR(__xludf.dummyfunction("VLOOKUP(P179, IMPORTRANGE(""https://docs.google.com/spreadsheets/d/1yDAaXNsi4Mr5FtRQL4tbmSdIzhx6_m4wkOD7IG-k_eo/edit#gid=0"", ""Maths!M:N""), 2, FALSE)"),"Analyze and classify parts of given algebraic expressions.")</f>
        <v>Analyze and classify parts of given algebraic expressions.</v>
      </c>
      <c r="R179" s="29" t="str">
        <f t="shared" si="16"/>
        <v>LU000935.005</v>
      </c>
      <c r="S179" s="29" t="str">
        <f ca="1">IFERROR(__xludf.dummyfunction("VLOOKUP(R179, IMPORTRANGE(""https://docs.google.com/spreadsheets/d/1yDAaXNsi4Mr5FtRQL4tbmSdIzhx6_m4wkOD7IG-k_eo/edit#gid=0"", ""Maths!M:N""), 2, FALSE)"),"Combine different algebraic expressions to form complex ones or modify them for new meanings.")</f>
        <v>Combine different algebraic expressions to form complex ones or modify them for new meanings.</v>
      </c>
      <c r="T179" s="29" t="str">
        <f t="shared" si="17"/>
        <v>LU000935.006</v>
      </c>
      <c r="U179" s="29" t="str">
        <f ca="1">IFERROR(__xludf.dummyfunction("VLOOKUP(T179, IMPORTRANGE(""https://docs.google.com/spreadsheets/d/1yDAaXNsi4Mr5FtRQL4tbmSdIzhx6_m4wkOD7IG-k_eo/edit#gid=0"", ""Maths!M:N""), 2, FALSE)"),"Judge the validity of algebraic expressions in various scenarios, explaining the reasoning.")</f>
        <v>Judge the validity of algebraic expressions in various scenarios, explaining the reasoning.</v>
      </c>
      <c r="V179" s="16">
        <f ca="1">IFERROR(__xludf.dummyfunction("ArrayFormula(VLOOKUP(G179, IMPORTRANGE(""https://docs.google.com/spreadsheets/d/1p7R4vtkWt5VOBim4ltsDG9KTzSjrtKXsMtQGXPHyND0/edit#gid=795171502"", ""'Filter 30_05_2024'!A1:M2000""), {2, 3, 4, 5,6,7,8,9,10,11,12,13}, 0))"),4)</f>
        <v>4</v>
      </c>
      <c r="W179" s="16">
        <f ca="1">IFERROR(__xludf.dummyfunction("""COMPUTED_VALUE"""),4)</f>
        <v>4</v>
      </c>
      <c r="X179" s="16">
        <f ca="1">IFERROR(__xludf.dummyfunction("""COMPUTED_VALUE"""),4)</f>
        <v>4</v>
      </c>
      <c r="Y179" s="16">
        <f ca="1">IFERROR(__xludf.dummyfunction("""COMPUTED_VALUE"""),12)</f>
        <v>12</v>
      </c>
      <c r="Z179" s="16">
        <f ca="1">IFERROR(__xludf.dummyfunction("""COMPUTED_VALUE"""),4)</f>
        <v>4</v>
      </c>
      <c r="AA179" s="30">
        <f ca="1">IFERROR(__xludf.dummyfunction("""COMPUTED_VALUE"""),2)</f>
        <v>2</v>
      </c>
      <c r="AB179" s="30">
        <f ca="1">IFERROR(__xludf.dummyfunction("""COMPUTED_VALUE"""),2)</f>
        <v>2</v>
      </c>
      <c r="AC179" s="30">
        <f ca="1">IFERROR(__xludf.dummyfunction("""COMPUTED_VALUE"""),8)</f>
        <v>8</v>
      </c>
      <c r="AD179" s="16"/>
      <c r="AE179" s="30"/>
      <c r="AF179" s="30"/>
      <c r="AG179" s="30"/>
    </row>
    <row r="180" spans="1:33" ht="13.8">
      <c r="A180" s="34"/>
      <c r="B180" s="35" t="s">
        <v>29</v>
      </c>
      <c r="C180" s="35" t="s">
        <v>310</v>
      </c>
      <c r="D180" s="35">
        <v>6</v>
      </c>
      <c r="E180" s="36" t="s">
        <v>568</v>
      </c>
      <c r="F180" s="37"/>
      <c r="G180" s="35" t="s">
        <v>577</v>
      </c>
      <c r="H180" s="37" t="str">
        <f ca="1">IFERROR(__xludf.dummyfunction("IFERROR(
  VLOOKUP(G180, IMPORTRANGE(""https://docs.google.com/spreadsheets/d/14deopnvwcrKtEGCKuYXdUHJbeLDZlkiSSWWT0g7x2pM/edit#gid=849066331"", ""LU List Maths (Filter)!A:B""), 2, FALSE),
  IFERROR(
    VLOOKUP(G180, IMPORTRANGE(""https://docs.google.com"&amp;"/spreadsheets/d/14deopnvwcrKtEGCKuYXdUHJbeLDZlkiSSWWT0g7x2pM/edit#gid=849066331"", ""LU List Science (Filter)!A:B""), 2, FALSE),
    ""Not Found""
  )
)
"),"Formation of algebraic expressions")</f>
        <v>Formation of algebraic expressions</v>
      </c>
      <c r="I180" s="37"/>
      <c r="J180" s="29" t="str">
        <f t="shared" si="12"/>
        <v>LU000504.001</v>
      </c>
      <c r="K180" s="29" t="str">
        <f ca="1">IFERROR(__xludf.dummyfunction("VLOOKUP(J180, IMPORTRANGE(""https://docs.google.com/spreadsheets/d/1yDAaXNsi4Mr5FtRQL4tbmSdIzhx6_m4wkOD7IG-k_eo/edit#gid=0"", ""Maths!M:N""), 2, FALSE)"),"State the steps of forming algebraic expressions involving variables and constants.")</f>
        <v>State the steps of forming algebraic expressions involving variables and constants.</v>
      </c>
      <c r="L180" s="29" t="str">
        <f t="shared" si="13"/>
        <v>LU000504.002</v>
      </c>
      <c r="M180" s="29" t="str">
        <f ca="1">IFERROR(__xludf.dummyfunction("VLOOKUP(L180, IMPORTRANGE(""https://docs.google.com/spreadsheets/d/1yDAaXNsi4Mr5FtRQL4tbmSdIzhx6_m4wkOD7IG-k_eo/edit#gid=0"", ""Maths!M:N""), 2, FALSE)"),"Explain the concept of combining variables and constants to create algebraic expressions.")</f>
        <v>Explain the concept of combining variables and constants to create algebraic expressions.</v>
      </c>
      <c r="N180" s="29" t="str">
        <f t="shared" si="14"/>
        <v>LU000504.003</v>
      </c>
      <c r="O180" s="29" t="str">
        <f ca="1">IFERROR(__xludf.dummyfunction("VLOOKUP(N180, IMPORTRANGE(""https://docs.google.com/spreadsheets/d/1yDAaXNsi4Mr5FtRQL4tbmSdIzhx6_m4wkOD7IG-k_eo/edit#gid=0"", ""Maths!M:N""), 2, FALSE)"),"Form algebraic expression given its description by applying the operations of addition, subtraction, multiplication, and division and vice versa.")</f>
        <v>Form algebraic expression given its description by applying the operations of addition, subtraction, multiplication, and division and vice versa.</v>
      </c>
      <c r="P180" s="29" t="str">
        <f t="shared" si="15"/>
        <v>LU000504.004</v>
      </c>
      <c r="Q180" s="29" t="str">
        <f ca="1">IFERROR(__xludf.dummyfunction("VLOOKUP(P180, IMPORTRANGE(""https://docs.google.com/spreadsheets/d/1yDAaXNsi4Mr5FtRQL4tbmSdIzhx6_m4wkOD7IG-k_eo/edit#gid=0"", ""Maths!M:N""), 2, FALSE)"),"Analyse given expressions to identify the roles of variables and constants in their formation.")</f>
        <v>Analyse given expressions to identify the roles of variables and constants in their formation.</v>
      </c>
      <c r="R180" s="29" t="str">
        <f t="shared" si="16"/>
        <v>LU000504.005</v>
      </c>
      <c r="S180" s="29" t="str">
        <f ca="1">IFERROR(__xludf.dummyfunction("VLOOKUP(R180, IMPORTRANGE(""https://docs.google.com/spreadsheets/d/1yDAaXNsi4Mr5FtRQL4tbmSdIzhx6_m4wkOD7IG-k_eo/edit#gid=0"", ""Maths!M:N""), 2, FALSE)"),"Evaluate the accuracy of algebraic expressions created by combining variables and constants.")</f>
        <v>Evaluate the accuracy of algebraic expressions created by combining variables and constants.</v>
      </c>
      <c r="T180" s="29" t="str">
        <f t="shared" si="17"/>
        <v>LU000504.006</v>
      </c>
      <c r="U180" s="29" t="str">
        <f ca="1">IFERROR(__xludf.dummyfunction("VLOOKUP(T180, IMPORTRANGE(""https://docs.google.com/spreadsheets/d/1yDAaXNsi4Mr5FtRQL4tbmSdIzhx6_m4wkOD7IG-k_eo/edit#gid=0"", ""Maths!M:N""), 2, FALSE)"),"Create algebraic expressions by combining variables with constants or other variables.")</f>
        <v>Create algebraic expressions by combining variables with constants or other variables.</v>
      </c>
      <c r="V180" s="16">
        <f ca="1">IFERROR(__xludf.dummyfunction("ArrayFormula(VLOOKUP(G180, IMPORTRANGE(""https://docs.google.com/spreadsheets/d/1p7R4vtkWt5VOBim4ltsDG9KTzSjrtKXsMtQGXPHyND0/edit#gid=795171502"", ""'Filter 30_05_2024'!A1:M2000""), {2, 3, 4, 5,6,7,8,9,10,11,12,13}, 0))"),5)</f>
        <v>5</v>
      </c>
      <c r="W180" s="16">
        <f ca="1">IFERROR(__xludf.dummyfunction("""COMPUTED_VALUE"""),23)</f>
        <v>23</v>
      </c>
      <c r="X180" s="16">
        <f ca="1">IFERROR(__xludf.dummyfunction("""COMPUTED_VALUE"""),2)</f>
        <v>2</v>
      </c>
      <c r="Y180" s="16">
        <f ca="1">IFERROR(__xludf.dummyfunction("""COMPUTED_VALUE"""),30)</f>
        <v>30</v>
      </c>
      <c r="Z180" s="16">
        <f ca="1">IFERROR(__xludf.dummyfunction("""COMPUTED_VALUE"""),4)</f>
        <v>4</v>
      </c>
      <c r="AA180" s="30">
        <f ca="1">IFERROR(__xludf.dummyfunction("""COMPUTED_VALUE"""),8)</f>
        <v>8</v>
      </c>
      <c r="AB180" s="30">
        <f ca="1">IFERROR(__xludf.dummyfunction("""COMPUTED_VALUE"""),1)</f>
        <v>1</v>
      </c>
      <c r="AC180" s="30">
        <f ca="1">IFERROR(__xludf.dummyfunction("""COMPUTED_VALUE"""),13)</f>
        <v>13</v>
      </c>
      <c r="AD180" s="16"/>
      <c r="AE180" s="30"/>
      <c r="AF180" s="30"/>
      <c r="AG180" s="30"/>
    </row>
    <row r="181" spans="1:33" ht="13.8">
      <c r="A181" s="25"/>
      <c r="B181" s="26" t="s">
        <v>29</v>
      </c>
      <c r="C181" s="26" t="s">
        <v>310</v>
      </c>
      <c r="D181" s="26">
        <v>6</v>
      </c>
      <c r="E181" s="27" t="s">
        <v>568</v>
      </c>
      <c r="F181" s="28" t="s">
        <v>578</v>
      </c>
      <c r="G181" s="26" t="s">
        <v>579</v>
      </c>
      <c r="H181" s="28" t="str">
        <f ca="1">IFERROR(__xludf.dummyfunction("IFERROR(
  VLOOKUP(G181, IMPORTRANGE(""https://docs.google.com/spreadsheets/d/14deopnvwcrKtEGCKuYXdUHJbeLDZlkiSSWWT0g7x2pM/edit#gid=849066331"", ""LU List Maths (Filter)!A:B""), 2, FALSE),
  IFERROR(
    VLOOKUP(G181, IMPORTRANGE(""https://docs.google.com"&amp;"/spreadsheets/d/14deopnvwcrKtEGCKuYXdUHJbeLDZlkiSSWWT0g7x2pM/edit#gid=849066331"", ""LU List Science (Filter)!A:B""), 2, FALSE),
    ""Not Found""
  )
)
"),"Definition of a term of an algebraic expression")</f>
        <v>Definition of a term of an algebraic expression</v>
      </c>
      <c r="I181" s="28"/>
      <c r="J181" s="29" t="str">
        <f t="shared" si="12"/>
        <v>LU000505.001</v>
      </c>
      <c r="K181" s="29" t="str">
        <f ca="1">IFERROR(__xludf.dummyfunction("VLOOKUP(J181, IMPORTRANGE(""https://docs.google.com/spreadsheets/d/1yDAaXNsi4Mr5FtRQL4tbmSdIzhx6_m4wkOD7IG-k_eo/edit#gid=0"", ""Maths!M:N""), 2, FALSE)"),"Recall the concept of terms in an algebraic expression.")</f>
        <v>Recall the concept of terms in an algebraic expression.</v>
      </c>
      <c r="L181" s="29" t="str">
        <f t="shared" si="13"/>
        <v>LU000505.002</v>
      </c>
      <c r="M181" s="29" t="str">
        <f ca="1">IFERROR(__xludf.dummyfunction("VLOOKUP(L181, IMPORTRANGE(""https://docs.google.com/spreadsheets/d/1yDAaXNsi4Mr5FtRQL4tbmSdIzhx6_m4wkOD7IG-k_eo/edit#gid=0"", ""Maths!M:N""), 2, FALSE)"),"Explain the meaning of terms in an algebraic expression and how they are formed.")</f>
        <v>Explain the meaning of terms in an algebraic expression and how they are formed.</v>
      </c>
      <c r="N181" s="29" t="str">
        <f t="shared" si="14"/>
        <v>LU000505.003</v>
      </c>
      <c r="O181" s="29" t="str">
        <f ca="1">IFERROR(__xludf.dummyfunction("VLOOKUP(N181, IMPORTRANGE(""https://docs.google.com/spreadsheets/d/1yDAaXNsi4Mr5FtRQL4tbmSdIzhx6_m4wkOD7IG-k_eo/edit#gid=0"", ""Maths!M:N""), 2, FALSE)"),"Identify terms including constant term in various algebraic expressions.")</f>
        <v>Identify terms including constant term in various algebraic expressions.</v>
      </c>
      <c r="P181" s="29" t="str">
        <f t="shared" si="15"/>
        <v>LU000505.004</v>
      </c>
      <c r="Q181" s="29" t="str">
        <f ca="1">IFERROR(__xludf.dummyfunction("VLOOKUP(P181, IMPORTRANGE(""https://docs.google.com/spreadsheets/d/1yDAaXNsi4Mr5FtRQL4tbmSdIzhx6_m4wkOD7IG-k_eo/edit#gid=0"", ""Maths!M:N""), 2, FALSE)"),"Analyse the algebraic expression to determine the number and nature of terms present.")</f>
        <v>Analyse the algebraic expression to determine the number and nature of terms present.</v>
      </c>
      <c r="R181" s="29" t="str">
        <f t="shared" si="16"/>
        <v>LU000505.005</v>
      </c>
      <c r="S181" s="29" t="str">
        <f ca="1">IFERROR(__xludf.dummyfunction("VLOOKUP(R181, IMPORTRANGE(""https://docs.google.com/spreadsheets/d/1yDAaXNsi4Mr5FtRQL4tbmSdIzhx6_m4wkOD7IG-k_eo/edit#gid=0"", ""Maths!M:N""), 2, FALSE)"),"Evaluate the accuracy of term identification in given algebraic expressions.")</f>
        <v>Evaluate the accuracy of term identification in given algebraic expressions.</v>
      </c>
      <c r="T181" s="29" t="str">
        <f t="shared" si="17"/>
        <v>LU000505.006</v>
      </c>
      <c r="U181" s="29" t="str">
        <f ca="1">IFERROR(__xludf.dummyfunction("VLOOKUP(T181, IMPORTRANGE(""https://docs.google.com/spreadsheets/d/1yDAaXNsi4Mr5FtRQL4tbmSdIzhx6_m4wkOD7IG-k_eo/edit#gid=0"", ""Maths!M:N""), 2, FALSE)"),"Create examples of algebraic expressions consisting of multiple terms.")</f>
        <v>Create examples of algebraic expressions consisting of multiple terms.</v>
      </c>
      <c r="V181" s="16">
        <f ca="1">IFERROR(__xludf.dummyfunction("ArrayFormula(VLOOKUP(G181, IMPORTRANGE(""https://docs.google.com/spreadsheets/d/1p7R4vtkWt5VOBim4ltsDG9KTzSjrtKXsMtQGXPHyND0/edit#gid=795171502"", ""'Filter 30_05_2024'!A1:M2000""), {2, 3, 4, 5,6,7,8,9,10,11,12,13}, 0))"),4)</f>
        <v>4</v>
      </c>
      <c r="W181" s="16">
        <f ca="1">IFERROR(__xludf.dummyfunction("""COMPUTED_VALUE"""),12)</f>
        <v>12</v>
      </c>
      <c r="X181" s="16">
        <f ca="1">IFERROR(__xludf.dummyfunction("""COMPUTED_VALUE"""),2)</f>
        <v>2</v>
      </c>
      <c r="Y181" s="16">
        <f ca="1">IFERROR(__xludf.dummyfunction("""COMPUTED_VALUE"""),18)</f>
        <v>18</v>
      </c>
      <c r="Z181" s="16">
        <f ca="1">IFERROR(__xludf.dummyfunction("""COMPUTED_VALUE"""),4)</f>
        <v>4</v>
      </c>
      <c r="AA181" s="30">
        <f ca="1">IFERROR(__xludf.dummyfunction("""COMPUTED_VALUE"""),4)</f>
        <v>4</v>
      </c>
      <c r="AB181" s="30">
        <f ca="1">IFERROR(__xludf.dummyfunction("""COMPUTED_VALUE"""),1)</f>
        <v>1</v>
      </c>
      <c r="AC181" s="30">
        <f ca="1">IFERROR(__xludf.dummyfunction("""COMPUTED_VALUE"""),9)</f>
        <v>9</v>
      </c>
      <c r="AD181" s="16"/>
      <c r="AE181" s="30"/>
      <c r="AF181" s="30"/>
      <c r="AG181" s="30"/>
    </row>
    <row r="182" spans="1:33" ht="13.8">
      <c r="A182" s="25"/>
      <c r="B182" s="26" t="s">
        <v>29</v>
      </c>
      <c r="C182" s="26" t="s">
        <v>310</v>
      </c>
      <c r="D182" s="26">
        <v>6</v>
      </c>
      <c r="E182" s="27" t="s">
        <v>568</v>
      </c>
      <c r="F182" s="28"/>
      <c r="G182" s="26" t="s">
        <v>580</v>
      </c>
      <c r="H182" s="28" t="str">
        <f ca="1">IFERROR(__xludf.dummyfunction("IFERROR(
  VLOOKUP(G182, IMPORTRANGE(""https://docs.google.com/spreadsheets/d/14deopnvwcrKtEGCKuYXdUHJbeLDZlkiSSWWT0g7x2pM/edit#gid=849066331"", ""LU List Maths (Filter)!A:B""), 2, FALSE),
  IFERROR(
    VLOOKUP(G182, IMPORTRANGE(""https://docs.google.com"&amp;"/spreadsheets/d/14deopnvwcrKtEGCKuYXdUHJbeLDZlkiSSWWT0g7x2pM/edit#gid=849066331"", ""LU List Science (Filter)!A:B""), 2, FALSE),
    ""Not Found""
  )
)
"),"Definition of the coefficient of a term")</f>
        <v>Definition of the coefficient of a term</v>
      </c>
      <c r="I182" s="28"/>
      <c r="J182" s="29" t="str">
        <f t="shared" si="12"/>
        <v>LU000507.001</v>
      </c>
      <c r="K182" s="29" t="str">
        <f ca="1">IFERROR(__xludf.dummyfunction("VLOOKUP(J182, IMPORTRANGE(""https://docs.google.com/spreadsheets/d/1yDAaXNsi4Mr5FtRQL4tbmSdIzhx6_m4wkOD7IG-k_eo/edit#gid=0"", ""Maths!M:N""), 2, FALSE)"),"Recall the definition of the coefficient of a term in an algebraic expression.")</f>
        <v>Recall the definition of the coefficient of a term in an algebraic expression.</v>
      </c>
      <c r="L182" s="29" t="str">
        <f t="shared" si="13"/>
        <v>LU000507.002</v>
      </c>
      <c r="M182" s="29" t="str">
        <f ca="1">IFERROR(__xludf.dummyfunction("VLOOKUP(L182, IMPORTRANGE(""https://docs.google.com/spreadsheets/d/1yDAaXNsi4Mr5FtRQL4tbmSdIzhx6_m4wkOD7IG-k_eo/edit#gid=0"", ""Maths!M:N""), 2, FALSE)"),"Explain the concept of a coefficient as a numerical or algebraic factor in a term.")</f>
        <v>Explain the concept of a coefficient as a numerical or algebraic factor in a term.</v>
      </c>
      <c r="N182" s="29" t="str">
        <f t="shared" si="14"/>
        <v>LU000507.003</v>
      </c>
      <c r="O182" s="29" t="str">
        <f ca="1">IFERROR(__xludf.dummyfunction("VLOOKUP(N182, IMPORTRANGE(""https://docs.google.com/spreadsheets/d/1yDAaXNsi4Mr5FtRQL4tbmSdIzhx6_m4wkOD7IG-k_eo/edit#gid=0"", ""Maths!M:N""), 2, FALSE)"),"Apply the knowledge of coefficients to identify them in given algebraic terms.")</f>
        <v>Apply the knowledge of coefficients to identify them in given algebraic terms.</v>
      </c>
      <c r="P182" s="29" t="str">
        <f t="shared" si="15"/>
        <v>LU000507.004</v>
      </c>
      <c r="Q182" s="29" t="str">
        <f ca="1">IFERROR(__xludf.dummyfunction("VLOOKUP(P182, IMPORTRANGE(""https://docs.google.com/spreadsheets/d/1yDAaXNsi4Mr5FtRQL4tbmSdIzhx6_m4wkOD7IG-k_eo/edit#gid=0"", ""Maths!M:N""), 2, FALSE)"),"Analyse how the coefficient affects the overall value of the term and its components.")</f>
        <v>Analyse how the coefficient affects the overall value of the term and its components.</v>
      </c>
      <c r="R182" s="29" t="str">
        <f t="shared" si="16"/>
        <v>LU000507.005</v>
      </c>
      <c r="S182" s="29" t="str">
        <f ca="1">IFERROR(__xludf.dummyfunction("VLOOKUP(R182, IMPORTRANGE(""https://docs.google.com/spreadsheets/d/1yDAaXNsi4Mr5FtRQL4tbmSdIzhx6_m4wkOD7IG-k_eo/edit#gid=0"", ""Maths!M:N""), 2, FALSE)"),"Evaluate the accuracy of coefficient identification in complex expressions with multiple terms.")</f>
        <v>Evaluate the accuracy of coefficient identification in complex expressions with multiple terms.</v>
      </c>
      <c r="T182" s="29" t="str">
        <f t="shared" si="17"/>
        <v>LU000507.006</v>
      </c>
      <c r="U182" s="29" t="str">
        <f ca="1">IFERROR(__xludf.dummyfunction("VLOOKUP(T182, IMPORTRANGE(""https://docs.google.com/spreadsheets/d/1yDAaXNsi4Mr5FtRQL4tbmSdIzhx6_m4wkOD7IG-k_eo/edit#gid=0"", ""Maths!M:N""), 2, FALSE)"),"Create algebraic terms with specific coefficients and variables to showcase an understanding of coefficient concepts.")</f>
        <v>Create algebraic terms with specific coefficients and variables to showcase an understanding of coefficient concepts.</v>
      </c>
      <c r="V182" s="16">
        <f ca="1">IFERROR(__xludf.dummyfunction("ArrayFormula(VLOOKUP(G182, IMPORTRANGE(""https://docs.google.com/spreadsheets/d/1p7R4vtkWt5VOBim4ltsDG9KTzSjrtKXsMtQGXPHyND0/edit#gid=795171502"", ""'Filter 30_05_2024'!A1:M2000""), {2, 3, 4, 5,6,7,8,9,10,11,12,13}, 0))"),4)</f>
        <v>4</v>
      </c>
      <c r="W182" s="16">
        <f ca="1">IFERROR(__xludf.dummyfunction("""COMPUTED_VALUE"""),8)</f>
        <v>8</v>
      </c>
      <c r="X182" s="16">
        <f ca="1">IFERROR(__xludf.dummyfunction("""COMPUTED_VALUE"""),2)</f>
        <v>2</v>
      </c>
      <c r="Y182" s="16">
        <f ca="1">IFERROR(__xludf.dummyfunction("""COMPUTED_VALUE"""),14)</f>
        <v>14</v>
      </c>
      <c r="Z182" s="16">
        <f ca="1">IFERROR(__xludf.dummyfunction("""COMPUTED_VALUE"""),4)</f>
        <v>4</v>
      </c>
      <c r="AA182" s="30">
        <f ca="1">IFERROR(__xludf.dummyfunction("""COMPUTED_VALUE"""),3)</f>
        <v>3</v>
      </c>
      <c r="AB182" s="30">
        <f ca="1">IFERROR(__xludf.dummyfunction("""COMPUTED_VALUE"""),1)</f>
        <v>1</v>
      </c>
      <c r="AC182" s="30">
        <f ca="1">IFERROR(__xludf.dummyfunction("""COMPUTED_VALUE"""),8)</f>
        <v>8</v>
      </c>
      <c r="AD182" s="16"/>
      <c r="AE182" s="30"/>
      <c r="AF182" s="30"/>
      <c r="AG182" s="30"/>
    </row>
    <row r="183" spans="1:33" ht="13.8">
      <c r="A183" s="25"/>
      <c r="B183" s="26" t="s">
        <v>29</v>
      </c>
      <c r="C183" s="26" t="s">
        <v>310</v>
      </c>
      <c r="D183" s="26">
        <v>6</v>
      </c>
      <c r="E183" s="27" t="s">
        <v>568</v>
      </c>
      <c r="F183" s="28"/>
      <c r="G183" s="26" t="s">
        <v>581</v>
      </c>
      <c r="H183" s="28" t="str">
        <f ca="1">IFERROR(__xludf.dummyfunction("IFERROR(
  VLOOKUP(G183, IMPORTRANGE(""https://docs.google.com/spreadsheets/d/14deopnvwcrKtEGCKuYXdUHJbeLDZlkiSSWWT0g7x2pM/edit#gid=849066331"", ""LU List Maths (Filter)!A:B""), 2, FALSE),
  IFERROR(
    VLOOKUP(G183, IMPORTRANGE(""https://docs.google.com"&amp;"/spreadsheets/d/14deopnvwcrKtEGCKuYXdUHJbeLDZlkiSSWWT0g7x2pM/edit#gid=849066331"", ""LU List Science (Filter)!A:B""), 2, FALSE),
    ""Not Found""
  )
)
"),"Factors of a term of an algebraic expression")</f>
        <v>Factors of a term of an algebraic expression</v>
      </c>
      <c r="I183" s="28"/>
      <c r="J183" s="29" t="str">
        <f t="shared" si="12"/>
        <v>LU000506.001</v>
      </c>
      <c r="K183" s="29" t="str">
        <f ca="1">IFERROR(__xludf.dummyfunction("VLOOKUP(J183, IMPORTRANGE(""https://docs.google.com/spreadsheets/d/1yDAaXNsi4Mr5FtRQL4tbmSdIzhx6_m4wkOD7IG-k_eo/edit#gid=0"", ""Maths!M:N""), 2, FALSE)"),"Recall the concept of factors in algebraic terms.")</f>
        <v>Recall the concept of factors in algebraic terms.</v>
      </c>
      <c r="L183" s="29" t="str">
        <f t="shared" si="13"/>
        <v>LU000506.002</v>
      </c>
      <c r="M183" s="29" t="str">
        <f ca="1">IFERROR(__xludf.dummyfunction("VLOOKUP(L183, IMPORTRANGE(""https://docs.google.com/spreadsheets/d/1yDAaXNsi4Mr5FtRQL4tbmSdIzhx6_m4wkOD7IG-k_eo/edit#gid=0"", ""Maths!M:N""), 2, FALSE)"),"Explain the meaning of factors in the context of algebraic terms.")</f>
        <v>Explain the meaning of factors in the context of algebraic terms.</v>
      </c>
      <c r="N183" s="29" t="str">
        <f t="shared" si="14"/>
        <v>LU000506.003</v>
      </c>
      <c r="O183" s="29" t="str">
        <f ca="1">IFERROR(__xludf.dummyfunction("VLOOKUP(N183, IMPORTRANGE(""https://docs.google.com/spreadsheets/d/1yDAaXNsi4Mr5FtRQL4tbmSdIzhx6_m4wkOD7IG-k_eo/edit#gid=0"", ""Maths!M:N""), 2, FALSE)"),"Apply factorization to identify the factors of given algebraic terms.")</f>
        <v>Apply factorization to identify the factors of given algebraic terms.</v>
      </c>
      <c r="P183" s="29" t="str">
        <f t="shared" si="15"/>
        <v>LU000506.004</v>
      </c>
      <c r="Q183" s="29" t="str">
        <f ca="1">IFERROR(__xludf.dummyfunction("VLOOKUP(P183, IMPORTRANGE(""https://docs.google.com/spreadsheets/d/1yDAaXNsi4Mr5FtRQL4tbmSdIzhx6_m4wkOD7IG-k_eo/edit#gid=0"", ""Maths!M:N""), 2, FALSE)"),"Analyse the factorization process by studying tree diagrams for various terms.")</f>
        <v>Analyse the factorization process by studying tree diagrams for various terms.</v>
      </c>
      <c r="R183" s="29" t="str">
        <f t="shared" si="16"/>
        <v>LU000506.005</v>
      </c>
      <c r="S183" s="29" t="str">
        <f ca="1">IFERROR(__xludf.dummyfunction("VLOOKUP(R183, IMPORTRANGE(""https://docs.google.com/spreadsheets/d/1yDAaXNsi4Mr5FtRQL4tbmSdIzhx6_m4wkOD7IG-k_eo/edit#gid=0"", ""Maths!M:N""), 2, FALSE)"),"Evaluate the accuracy of factor representation in a given tree diagram of an algebraic term.")</f>
        <v>Evaluate the accuracy of factor representation in a given tree diagram of an algebraic term.</v>
      </c>
      <c r="T183" s="29" t="str">
        <f t="shared" si="17"/>
        <v>LU000506.006</v>
      </c>
      <c r="U183" s="29" t="str">
        <f ca="1">IFERROR(__xludf.dummyfunction("VLOOKUP(T183, IMPORTRANGE(""https://docs.google.com/spreadsheets/d/1yDAaXNsi4Mr5FtRQL4tbmSdIzhx6_m4wkOD7IG-k_eo/edit#gid=0"", ""Maths!M:N""), 2, FALSE)"),"Create algebraic terms and their corresponding tree diagrams, considering various combinations of factors.")</f>
        <v>Create algebraic terms and their corresponding tree diagrams, considering various combinations of factors.</v>
      </c>
      <c r="V183" s="16">
        <f ca="1">IFERROR(__xludf.dummyfunction("ArrayFormula(VLOOKUP(G183, IMPORTRANGE(""https://docs.google.com/spreadsheets/d/1p7R4vtkWt5VOBim4ltsDG9KTzSjrtKXsMtQGXPHyND0/edit#gid=795171502"", ""'Filter 30_05_2024'!A1:M2000""), {2, 3, 4, 5,6,7,8,9,10,11,12,13}, 0))"),4)</f>
        <v>4</v>
      </c>
      <c r="W183" s="16">
        <f ca="1">IFERROR(__xludf.dummyfunction("""COMPUTED_VALUE"""),6)</f>
        <v>6</v>
      </c>
      <c r="X183" s="16">
        <f ca="1">IFERROR(__xludf.dummyfunction("""COMPUTED_VALUE"""),6)</f>
        <v>6</v>
      </c>
      <c r="Y183" s="16">
        <f ca="1">IFERROR(__xludf.dummyfunction("""COMPUTED_VALUE"""),16)</f>
        <v>16</v>
      </c>
      <c r="Z183" s="16">
        <f ca="1">IFERROR(__xludf.dummyfunction("""COMPUTED_VALUE"""),4)</f>
        <v>4</v>
      </c>
      <c r="AA183" s="30">
        <f ca="1">IFERROR(__xludf.dummyfunction("""COMPUTED_VALUE"""),4)</f>
        <v>4</v>
      </c>
      <c r="AB183" s="30">
        <f ca="1">IFERROR(__xludf.dummyfunction("""COMPUTED_VALUE"""),3)</f>
        <v>3</v>
      </c>
      <c r="AC183" s="30">
        <f ca="1">IFERROR(__xludf.dummyfunction("""COMPUTED_VALUE"""),11)</f>
        <v>11</v>
      </c>
      <c r="AD183" s="16"/>
      <c r="AE183" s="30">
        <f ca="1">IFERROR(__xludf.dummyfunction("""COMPUTED_VALUE"""),2)</f>
        <v>2</v>
      </c>
      <c r="AF183" s="30"/>
      <c r="AG183" s="30">
        <f ca="1">IFERROR(__xludf.dummyfunction("""COMPUTED_VALUE"""),2)</f>
        <v>2</v>
      </c>
    </row>
    <row r="184" spans="1:33" ht="26.4">
      <c r="A184" s="25"/>
      <c r="B184" s="26" t="s">
        <v>29</v>
      </c>
      <c r="C184" s="26" t="s">
        <v>310</v>
      </c>
      <c r="D184" s="26">
        <v>6</v>
      </c>
      <c r="E184" s="27" t="s">
        <v>568</v>
      </c>
      <c r="F184" s="28" t="s">
        <v>582</v>
      </c>
      <c r="G184" s="26" t="s">
        <v>583</v>
      </c>
      <c r="H184" s="28" t="str">
        <f ca="1">IFERROR(__xludf.dummyfunction("IFERROR(
  VLOOKUP(G184, IMPORTRANGE(""https://docs.google.com/spreadsheets/d/14deopnvwcrKtEGCKuYXdUHJbeLDZlkiSSWWT0g7x2pM/edit#gid=849066331"", ""LU List Maths (Filter)!A:B""), 2, FALSE),
  IFERROR(
    VLOOKUP(G184, IMPORTRANGE(""https://docs.google.com"&amp;"/spreadsheets/d/14deopnvwcrKtEGCKuYXdUHJbeLDZlkiSSWWT0g7x2pM/edit#gid=849066331"", ""LU List Science (Filter)!A:B""), 2, FALSE),
    ""Not Found""
  )
)
"),"Definition of like and unlike terms of algebraic expression")</f>
        <v>Definition of like and unlike terms of algebraic expression</v>
      </c>
      <c r="I184" s="28"/>
      <c r="J184" s="29" t="str">
        <f t="shared" si="12"/>
        <v>LU000508.001</v>
      </c>
      <c r="K184" s="29" t="str">
        <f ca="1">IFERROR(__xludf.dummyfunction("VLOOKUP(J184, IMPORTRANGE(""https://docs.google.com/spreadsheets/d/1yDAaXNsi4Mr5FtRQL4tbmSdIzhx6_m4wkOD7IG-k_eo/edit#gid=0"", ""Maths!M:N""), 2, FALSE)"),"Define like and unlike terms.")</f>
        <v>Define like and unlike terms.</v>
      </c>
      <c r="L184" s="29" t="str">
        <f t="shared" si="13"/>
        <v>LU000508.002</v>
      </c>
      <c r="M184" s="29" t="str">
        <f ca="1">IFERROR(__xludf.dummyfunction("VLOOKUP(L184, IMPORTRANGE(""https://docs.google.com/spreadsheets/d/1yDAaXNsi4Mr5FtRQL4tbmSdIzhx6_m4wkOD7IG-k_eo/edit#gid=0"", ""Maths!M:N""), 2, FALSE)"),"Explain the criteria for classifying terms as like terms and unlike terms using variables and exponents.")</f>
        <v>Explain the criteria for classifying terms as like terms and unlike terms using variables and exponents.</v>
      </c>
      <c r="N184" s="29" t="str">
        <f t="shared" si="14"/>
        <v>LU000508.003</v>
      </c>
      <c r="O184" s="29" t="str">
        <f ca="1">IFERROR(__xludf.dummyfunction("VLOOKUP(N184, IMPORTRANGE(""https://docs.google.com/spreadsheets/d/1yDAaXNsi4Mr5FtRQL4tbmSdIzhx6_m4wkOD7IG-k_eo/edit#gid=0"", ""Maths!M:N""), 2, FALSE)"),"Apply the classification rules to correctly identify like terms and unlike terms in given algebraic expressions.")</f>
        <v>Apply the classification rules to correctly identify like terms and unlike terms in given algebraic expressions.</v>
      </c>
      <c r="P184" s="29" t="str">
        <f t="shared" si="15"/>
        <v>LU000508.004</v>
      </c>
      <c r="Q184" s="29" t="str">
        <f ca="1">IFERROR(__xludf.dummyfunction("VLOOKUP(P184, IMPORTRANGE(""https://docs.google.com/spreadsheets/d/1yDAaXNsi4Mr5FtRQL4tbmSdIzhx6_m4wkOD7IG-k_eo/edit#gid=0"", ""Maths!M:N""), 2, FALSE)"),"Analyse the impact of changing variables or exponents on the classification of terms within an expression.")</f>
        <v>Analyse the impact of changing variables or exponents on the classification of terms within an expression.</v>
      </c>
      <c r="R184" s="29" t="str">
        <f t="shared" si="16"/>
        <v>LU000508.005</v>
      </c>
      <c r="S184" s="29" t="str">
        <f ca="1">IFERROR(__xludf.dummyfunction("VLOOKUP(R184, IMPORTRANGE(""https://docs.google.com/spreadsheets/d/1yDAaXNsi4Mr5FtRQL4tbmSdIzhx6_m4wkOD7IG-k_eo/edit#gid=0"", ""Maths!M:N""), 2, FALSE)"),"Evaluate the accuracy of the classification of terms in complex expressions involving multiple variables and exponents.")</f>
        <v>Evaluate the accuracy of the classification of terms in complex expressions involving multiple variables and exponents.</v>
      </c>
      <c r="T184" s="29" t="str">
        <f t="shared" si="17"/>
        <v>LU000508.006</v>
      </c>
      <c r="U184" s="29" t="str">
        <f ca="1">IFERROR(__xludf.dummyfunction("VLOOKUP(T184, IMPORTRANGE(""https://docs.google.com/spreadsheets/d/1yDAaXNsi4Mr5FtRQL4tbmSdIzhx6_m4wkOD7IG-k_eo/edit#gid=0"", ""Maths!M:N""), 2, FALSE)"),"Create algebraic expressions containing both like terms and unlike terms to demonstrate an understanding of their classification.")</f>
        <v>Create algebraic expressions containing both like terms and unlike terms to demonstrate an understanding of their classification.</v>
      </c>
      <c r="V184" s="16">
        <f ca="1">IFERROR(__xludf.dummyfunction("ArrayFormula(VLOOKUP(G184, IMPORTRANGE(""https://docs.google.com/spreadsheets/d/1p7R4vtkWt5VOBim4ltsDG9KTzSjrtKXsMtQGXPHyND0/edit#gid=795171502"", ""'Filter 30_05_2024'!A1:M2000""), {2, 3, 4, 5,6,7,8,9,10,11,12,13}, 0))"),6)</f>
        <v>6</v>
      </c>
      <c r="W184" s="16">
        <f ca="1">IFERROR(__xludf.dummyfunction("""COMPUTED_VALUE"""),5)</f>
        <v>5</v>
      </c>
      <c r="X184" s="16">
        <f ca="1">IFERROR(__xludf.dummyfunction("""COMPUTED_VALUE"""),2)</f>
        <v>2</v>
      </c>
      <c r="Y184" s="16">
        <f ca="1">IFERROR(__xludf.dummyfunction("""COMPUTED_VALUE"""),13)</f>
        <v>13</v>
      </c>
      <c r="Z184" s="16">
        <f ca="1">IFERROR(__xludf.dummyfunction("""COMPUTED_VALUE"""),4)</f>
        <v>4</v>
      </c>
      <c r="AA184" s="30">
        <f ca="1">IFERROR(__xludf.dummyfunction("""COMPUTED_VALUE"""),3)</f>
        <v>3</v>
      </c>
      <c r="AB184" s="30">
        <f ca="1">IFERROR(__xludf.dummyfunction("""COMPUTED_VALUE"""),1)</f>
        <v>1</v>
      </c>
      <c r="AC184" s="30">
        <f ca="1">IFERROR(__xludf.dummyfunction("""COMPUTED_VALUE"""),8)</f>
        <v>8</v>
      </c>
      <c r="AD184" s="16"/>
      <c r="AE184" s="30"/>
      <c r="AF184" s="30"/>
      <c r="AG184" s="30"/>
    </row>
    <row r="185" spans="1:33" ht="26.4">
      <c r="A185" s="50"/>
      <c r="B185" s="51" t="s">
        <v>29</v>
      </c>
      <c r="C185" s="51" t="s">
        <v>310</v>
      </c>
      <c r="D185" s="51">
        <v>6</v>
      </c>
      <c r="E185" s="52" t="s">
        <v>568</v>
      </c>
      <c r="F185" s="53" t="s">
        <v>584</v>
      </c>
      <c r="G185" s="51" t="s">
        <v>585</v>
      </c>
      <c r="H185" s="53" t="str">
        <f ca="1">IFERROR(__xludf.dummyfunction("IFERROR(
  VLOOKUP(G185, IMPORTRANGE(""https://docs.google.com/spreadsheets/d/14deopnvwcrKtEGCKuYXdUHJbeLDZlkiSSWWT0g7x2pM/edit#gid=849066331"", ""LU List Maths (Filter)!A:B""), 2, FALSE),
  IFERROR(
    VLOOKUP(G185, IMPORTRANGE(""https://docs.google.com"&amp;"/spreadsheets/d/14deopnvwcrKtEGCKuYXdUHJbeLDZlkiSSWWT0g7x2pM/edit#gid=849066331"", ""LU List Science (Filter)!A:B""), 2, FALSE),
    ""Not Found""
  )
)
"),"Classification of polynomials based on the number of terms")</f>
        <v>Classification of polynomials based on the number of terms</v>
      </c>
      <c r="I185" s="53"/>
      <c r="J185" s="29" t="str">
        <f t="shared" si="12"/>
        <v>LU000510.001</v>
      </c>
      <c r="K185" s="29" t="str">
        <f ca="1">IFERROR(__xludf.dummyfunction("VLOOKUP(J185, IMPORTRANGE(""https://docs.google.com/spreadsheets/d/1yDAaXNsi4Mr5FtRQL4tbmSdIzhx6_m4wkOD7IG-k_eo/edit#gid=0"", ""Maths!M:N""), 2, FALSE)"),"State the definitions of monomial, binomial, and trinomial.")</f>
        <v>State the definitions of monomial, binomial, and trinomial.</v>
      </c>
      <c r="L185" s="29" t="str">
        <f t="shared" si="13"/>
        <v>LU000510.002</v>
      </c>
      <c r="M185" s="29" t="str">
        <f ca="1">IFERROR(__xludf.dummyfunction("VLOOKUP(L185, IMPORTRANGE(""https://docs.google.com/spreadsheets/d/1yDAaXNsi4Mr5FtRQL4tbmSdIzhx6_m4wkOD7IG-k_eo/edit#gid=0"", ""Maths!M:N""), 2, FALSE)"),"Describe how the classification is determined by the specific count of terms in a polynomial.")</f>
        <v>Describe how the classification is determined by the specific count of terms in a polynomial.</v>
      </c>
      <c r="N185" s="29" t="str">
        <f t="shared" si="14"/>
        <v>LU000510.003</v>
      </c>
      <c r="O185" s="29" t="str">
        <f ca="1">IFERROR(__xludf.dummyfunction("VLOOKUP(N185, IMPORTRANGE(""https://docs.google.com/spreadsheets/d/1yDAaXNsi4Mr5FtRQL4tbmSdIzhx6_m4wkOD7IG-k_eo/edit#gid=0"", ""Maths!M:N""), 2, FALSE)"),"Apply the classification criteria to correctly identify and label the type of polynomial expression.")</f>
        <v>Apply the classification criteria to correctly identify and label the type of polynomial expression.</v>
      </c>
      <c r="P185" s="29" t="str">
        <f t="shared" si="15"/>
        <v>LU000510.004</v>
      </c>
      <c r="Q185" s="29" t="str">
        <f ca="1">IFERROR(__xludf.dummyfunction("VLOOKUP(P185, IMPORTRANGE(""https://docs.google.com/spreadsheets/d/1yDAaXNsi4Mr5FtRQL4tbmSdIzhx6_m4wkOD7IG-k_eo/edit#gid=0"", ""Maths!M:N""), 2, FALSE)"),"#N/A")</f>
        <v>#N/A</v>
      </c>
      <c r="R185" s="29" t="str">
        <f t="shared" si="16"/>
        <v>LU000510.005</v>
      </c>
      <c r="S185" s="29" t="str">
        <f ca="1">IFERROR(__xludf.dummyfunction("VLOOKUP(R185, IMPORTRANGE(""https://docs.google.com/spreadsheets/d/1yDAaXNsi4Mr5FtRQL4tbmSdIzhx6_m4wkOD7IG-k_eo/edit#gid=0"", ""Maths!M:N""), 2, FALSE)"),"Evaluate whether a given expression is correctly classified as a monomial, binomial, or trinomial, and explain the reasoning.")</f>
        <v>Evaluate whether a given expression is correctly classified as a monomial, binomial, or trinomial, and explain the reasoning.</v>
      </c>
      <c r="T185" s="29" t="str">
        <f t="shared" si="17"/>
        <v>LU000510.006</v>
      </c>
      <c r="U185" s="29" t="str">
        <f ca="1">IFERROR(__xludf.dummyfunction("VLOOKUP(T185, IMPORTRANGE(""https://docs.google.com/spreadsheets/d/1yDAaXNsi4Mr5FtRQL4tbmSdIzhx6_m4wkOD7IG-k_eo/edit#gid=0"", ""Maths!M:N""), 2, FALSE)"),"#N/A")</f>
        <v>#N/A</v>
      </c>
      <c r="V185" s="16">
        <f ca="1">IFERROR(__xludf.dummyfunction("ArrayFormula(VLOOKUP(G185, IMPORTRANGE(""https://docs.google.com/spreadsheets/d/1p7R4vtkWt5VOBim4ltsDG9KTzSjrtKXsMtQGXPHyND0/edit#gid=795171502"", ""'Filter 30_05_2024'!A1:M2000""), {2, 3, 4, 5,6,7,8,9,10,11,12,13}, 0))"),6)</f>
        <v>6</v>
      </c>
      <c r="W185" s="16">
        <f ca="1">IFERROR(__xludf.dummyfunction("""COMPUTED_VALUE"""),23)</f>
        <v>23</v>
      </c>
      <c r="X185" s="16">
        <f ca="1">IFERROR(__xludf.dummyfunction("""COMPUTED_VALUE"""),2)</f>
        <v>2</v>
      </c>
      <c r="Y185" s="16">
        <f ca="1">IFERROR(__xludf.dummyfunction("""COMPUTED_VALUE"""),31)</f>
        <v>31</v>
      </c>
      <c r="Z185" s="16">
        <f ca="1">IFERROR(__xludf.dummyfunction("""COMPUTED_VALUE"""),4)</f>
        <v>4</v>
      </c>
      <c r="AA185" s="30">
        <f ca="1">IFERROR(__xludf.dummyfunction("""COMPUTED_VALUE"""),7)</f>
        <v>7</v>
      </c>
      <c r="AB185" s="30">
        <f ca="1">IFERROR(__xludf.dummyfunction("""COMPUTED_VALUE"""),1)</f>
        <v>1</v>
      </c>
      <c r="AC185" s="30">
        <f ca="1">IFERROR(__xludf.dummyfunction("""COMPUTED_VALUE"""),12)</f>
        <v>12</v>
      </c>
      <c r="AD185" s="16"/>
      <c r="AE185" s="30"/>
      <c r="AF185" s="30"/>
      <c r="AG185" s="30"/>
    </row>
    <row r="186" spans="1:33" ht="13.8">
      <c r="A186" s="50"/>
      <c r="B186" s="51" t="s">
        <v>29</v>
      </c>
      <c r="C186" s="51" t="s">
        <v>310</v>
      </c>
      <c r="D186" s="51">
        <v>6</v>
      </c>
      <c r="E186" s="52" t="s">
        <v>568</v>
      </c>
      <c r="F186" s="53"/>
      <c r="G186" s="51" t="s">
        <v>586</v>
      </c>
      <c r="H186" s="53" t="str">
        <f ca="1">IFERROR(__xludf.dummyfunction("IFERROR(
  VLOOKUP(G186, IMPORTRANGE(""https://docs.google.com/spreadsheets/d/14deopnvwcrKtEGCKuYXdUHJbeLDZlkiSSWWT0g7x2pM/edit#gid=849066331"", ""LU List Maths (Filter)!A:B""), 2, FALSE),
  IFERROR(
    VLOOKUP(G186, IMPORTRANGE(""https://docs.google.com"&amp;"/spreadsheets/d/14deopnvwcrKtEGCKuYXdUHJbeLDZlkiSSWWT0g7x2pM/edit#gid=849066331"", ""LU List Science (Filter)!A:B""), 2, FALSE),
    ""Not Found""
  )
)
"),"Definition of degree of polynomial")</f>
        <v>Definition of degree of polynomial</v>
      </c>
      <c r="I186" s="53"/>
      <c r="J186" s="29" t="str">
        <f t="shared" si="12"/>
        <v>LU000712.001</v>
      </c>
      <c r="K186" s="29" t="str">
        <f ca="1">IFERROR(__xludf.dummyfunction("VLOOKUP(J186, IMPORTRANGE(""https://docs.google.com/spreadsheets/d/1yDAaXNsi4Mr5FtRQL4tbmSdIzhx6_m4wkOD7IG-k_eo/edit#gid=0"", ""Maths!M:N""), 2, FALSE)"),"Define the degree of a polynomial.")</f>
        <v>Define the degree of a polynomial.</v>
      </c>
      <c r="L186" s="29" t="str">
        <f t="shared" si="13"/>
        <v>LU000712.002</v>
      </c>
      <c r="M186" s="29" t="str">
        <f ca="1">IFERROR(__xludf.dummyfunction("VLOOKUP(L186, IMPORTRANGE(""https://docs.google.com/spreadsheets/d/1yDAaXNsi4Mr5FtRQL4tbmSdIzhx6_m4wkOD7IG-k_eo/edit#gid=0"", ""Maths!M:N""), 2, FALSE)"),"State the degree of a polynomial in one variable.")</f>
        <v>State the degree of a polynomial in one variable.</v>
      </c>
      <c r="N186" s="29" t="str">
        <f t="shared" si="14"/>
        <v>LU000712.003</v>
      </c>
      <c r="O186" s="29" t="str">
        <f ca="1">IFERROR(__xludf.dummyfunction("VLOOKUP(N186, IMPORTRANGE(""https://docs.google.com/spreadsheets/d/1yDAaXNsi4Mr5FtRQL4tbmSdIzhx6_m4wkOD7IG-k_eo/edit#gid=0"", ""Maths!M:N""), 2, FALSE)"),"Classify polynomials as linear, quadratic, cubic and quartic/biquadratic")</f>
        <v>Classify polynomials as linear, quadratic, cubic and quartic/biquadratic</v>
      </c>
      <c r="P186" s="29" t="str">
        <f t="shared" si="15"/>
        <v>LU000712.004</v>
      </c>
      <c r="Q186" s="29" t="str">
        <f ca="1">IFERROR(__xludf.dummyfunction("VLOOKUP(P186, IMPORTRANGE(""https://docs.google.com/spreadsheets/d/1yDAaXNsi4Mr5FtRQL4tbmSdIzhx6_m4wkOD7IG-k_eo/edit#gid=0"", ""Maths!M:N""), 2, FALSE)"),"Compare and contrast the degrees of two different polynomials.")</f>
        <v>Compare and contrast the degrees of two different polynomials.</v>
      </c>
      <c r="R186" s="29" t="str">
        <f t="shared" si="16"/>
        <v>LU000712.005</v>
      </c>
      <c r="S186" s="29" t="str">
        <f ca="1">IFERROR(__xludf.dummyfunction("VLOOKUP(R186, IMPORTRANGE(""https://docs.google.com/spreadsheets/d/1yDAaXNsi4Mr5FtRQL4tbmSdIzhx6_m4wkOD7IG-k_eo/edit#gid=0"", ""Maths!M:N""), 2, FALSE)"),"Analyze a mathematical scenario involving a polynomial and determine the degree of the polynomial involved.")</f>
        <v>Analyze a mathematical scenario involving a polynomial and determine the degree of the polynomial involved.</v>
      </c>
      <c r="T186" s="29" t="str">
        <f t="shared" si="17"/>
        <v>LU000712.006</v>
      </c>
      <c r="U186" s="29" t="str">
        <f ca="1">IFERROR(__xludf.dummyfunction("VLOOKUP(T186, IMPORTRANGE(""https://docs.google.com/spreadsheets/d/1yDAaXNsi4Mr5FtRQL4tbmSdIzhx6_m4wkOD7IG-k_eo/edit#gid=0"", ""Maths!M:N""), 2, FALSE)"),"Create a mathematical problem that involves finding the degree of a polynomial and then solve it.")</f>
        <v>Create a mathematical problem that involves finding the degree of a polynomial and then solve it.</v>
      </c>
      <c r="V186" s="16">
        <f ca="1">IFERROR(__xludf.dummyfunction("ArrayFormula(VLOOKUP(G186, IMPORTRANGE(""https://docs.google.com/spreadsheets/d/1p7R4vtkWt5VOBim4ltsDG9KTzSjrtKXsMtQGXPHyND0/edit#gid=795171502"", ""'Filter 30_05_2024'!A1:M2000""), {2, 3, 4, 5,6,7,8,9,10,11,12,13}, 0))"),5)</f>
        <v>5</v>
      </c>
      <c r="W186" s="16">
        <f ca="1">IFERROR(__xludf.dummyfunction("""COMPUTED_VALUE"""),6)</f>
        <v>6</v>
      </c>
      <c r="X186" s="16">
        <f ca="1">IFERROR(__xludf.dummyfunction("""COMPUTED_VALUE"""),2)</f>
        <v>2</v>
      </c>
      <c r="Y186" s="16">
        <f ca="1">IFERROR(__xludf.dummyfunction("""COMPUTED_VALUE"""),13)</f>
        <v>13</v>
      </c>
      <c r="Z186" s="16">
        <f ca="1">IFERROR(__xludf.dummyfunction("""COMPUTED_VALUE"""),4)</f>
        <v>4</v>
      </c>
      <c r="AA186" s="30">
        <f ca="1">IFERROR(__xludf.dummyfunction("""COMPUTED_VALUE"""),3)</f>
        <v>3</v>
      </c>
      <c r="AB186" s="30">
        <f ca="1">IFERROR(__xludf.dummyfunction("""COMPUTED_VALUE"""),1)</f>
        <v>1</v>
      </c>
      <c r="AC186" s="30">
        <f ca="1">IFERROR(__xludf.dummyfunction("""COMPUTED_VALUE"""),8)</f>
        <v>8</v>
      </c>
      <c r="AD186" s="16"/>
      <c r="AE186" s="30"/>
      <c r="AF186" s="30"/>
      <c r="AG186" s="30"/>
    </row>
    <row r="187" spans="1:33" ht="13.8">
      <c r="A187" s="34"/>
      <c r="B187" s="35" t="s">
        <v>29</v>
      </c>
      <c r="C187" s="35" t="s">
        <v>310</v>
      </c>
      <c r="D187" s="35">
        <v>6</v>
      </c>
      <c r="E187" s="36" t="s">
        <v>568</v>
      </c>
      <c r="F187" s="37" t="s">
        <v>587</v>
      </c>
      <c r="G187" s="35" t="s">
        <v>577</v>
      </c>
      <c r="H187" s="37" t="str">
        <f ca="1">IFERROR(__xludf.dummyfunction("IFERROR(
  VLOOKUP(G187, IMPORTRANGE(""https://docs.google.com/spreadsheets/d/14deopnvwcrKtEGCKuYXdUHJbeLDZlkiSSWWT0g7x2pM/edit#gid=849066331"", ""LU List Maths (Filter)!A:B""), 2, FALSE),
  IFERROR(
    VLOOKUP(G187, IMPORTRANGE(""https://docs.google.com"&amp;"/spreadsheets/d/14deopnvwcrKtEGCKuYXdUHJbeLDZlkiSSWWT0g7x2pM/edit#gid=849066331"", ""LU List Science (Filter)!A:B""), 2, FALSE),
    ""Not Found""
  )
)
"),"Formation of algebraic expressions")</f>
        <v>Formation of algebraic expressions</v>
      </c>
      <c r="I187" s="42"/>
      <c r="J187" s="29" t="str">
        <f t="shared" si="12"/>
        <v>LU000504.001</v>
      </c>
      <c r="K187" s="29" t="str">
        <f ca="1">IFERROR(__xludf.dummyfunction("VLOOKUP(J187, IMPORTRANGE(""https://docs.google.com/spreadsheets/d/1yDAaXNsi4Mr5FtRQL4tbmSdIzhx6_m4wkOD7IG-k_eo/edit#gid=0"", ""Maths!M:N""), 2, FALSE)"),"State the steps of forming algebraic expressions involving variables and constants.")</f>
        <v>State the steps of forming algebraic expressions involving variables and constants.</v>
      </c>
      <c r="L187" s="29" t="str">
        <f t="shared" si="13"/>
        <v>LU000504.002</v>
      </c>
      <c r="M187" s="29" t="str">
        <f ca="1">IFERROR(__xludf.dummyfunction("VLOOKUP(L187, IMPORTRANGE(""https://docs.google.com/spreadsheets/d/1yDAaXNsi4Mr5FtRQL4tbmSdIzhx6_m4wkOD7IG-k_eo/edit#gid=0"", ""Maths!M:N""), 2, FALSE)"),"Explain the concept of combining variables and constants to create algebraic expressions.")</f>
        <v>Explain the concept of combining variables and constants to create algebraic expressions.</v>
      </c>
      <c r="N187" s="29" t="str">
        <f t="shared" si="14"/>
        <v>LU000504.003</v>
      </c>
      <c r="O187" s="29" t="str">
        <f ca="1">IFERROR(__xludf.dummyfunction("VLOOKUP(N187, IMPORTRANGE(""https://docs.google.com/spreadsheets/d/1yDAaXNsi4Mr5FtRQL4tbmSdIzhx6_m4wkOD7IG-k_eo/edit#gid=0"", ""Maths!M:N""), 2, FALSE)"),"Form algebraic expression given its description by applying the operations of addition, subtraction, multiplication, and division and vice versa.")</f>
        <v>Form algebraic expression given its description by applying the operations of addition, subtraction, multiplication, and division and vice versa.</v>
      </c>
      <c r="P187" s="29" t="str">
        <f t="shared" si="15"/>
        <v>LU000504.004</v>
      </c>
      <c r="Q187" s="29" t="str">
        <f ca="1">IFERROR(__xludf.dummyfunction("VLOOKUP(P187, IMPORTRANGE(""https://docs.google.com/spreadsheets/d/1yDAaXNsi4Mr5FtRQL4tbmSdIzhx6_m4wkOD7IG-k_eo/edit#gid=0"", ""Maths!M:N""), 2, FALSE)"),"Analyse given expressions to identify the roles of variables and constants in their formation.")</f>
        <v>Analyse given expressions to identify the roles of variables and constants in their formation.</v>
      </c>
      <c r="R187" s="29" t="str">
        <f t="shared" si="16"/>
        <v>LU000504.005</v>
      </c>
      <c r="S187" s="29" t="str">
        <f ca="1">IFERROR(__xludf.dummyfunction("VLOOKUP(R187, IMPORTRANGE(""https://docs.google.com/spreadsheets/d/1yDAaXNsi4Mr5FtRQL4tbmSdIzhx6_m4wkOD7IG-k_eo/edit#gid=0"", ""Maths!M:N""), 2, FALSE)"),"Evaluate the accuracy of algebraic expressions created by combining variables and constants.")</f>
        <v>Evaluate the accuracy of algebraic expressions created by combining variables and constants.</v>
      </c>
      <c r="T187" s="29" t="str">
        <f t="shared" si="17"/>
        <v>LU000504.006</v>
      </c>
      <c r="U187" s="29" t="str">
        <f ca="1">IFERROR(__xludf.dummyfunction("VLOOKUP(T187, IMPORTRANGE(""https://docs.google.com/spreadsheets/d/1yDAaXNsi4Mr5FtRQL4tbmSdIzhx6_m4wkOD7IG-k_eo/edit#gid=0"", ""Maths!M:N""), 2, FALSE)"),"Create algebraic expressions by combining variables with constants or other variables.")</f>
        <v>Create algebraic expressions by combining variables with constants or other variables.</v>
      </c>
      <c r="V187" s="16">
        <f ca="1">IFERROR(__xludf.dummyfunction("ArrayFormula(VLOOKUP(G187, IMPORTRANGE(""https://docs.google.com/spreadsheets/d/1p7R4vtkWt5VOBim4ltsDG9KTzSjrtKXsMtQGXPHyND0/edit#gid=795171502"", ""'Filter 30_05_2024'!A1:M2000""), {2, 3, 4, 5,6,7,8,9,10,11,12,13}, 0))"),5)</f>
        <v>5</v>
      </c>
      <c r="W187" s="16">
        <f ca="1">IFERROR(__xludf.dummyfunction("""COMPUTED_VALUE"""),23)</f>
        <v>23</v>
      </c>
      <c r="X187" s="16">
        <f ca="1">IFERROR(__xludf.dummyfunction("""COMPUTED_VALUE"""),2)</f>
        <v>2</v>
      </c>
      <c r="Y187" s="16">
        <f ca="1">IFERROR(__xludf.dummyfunction("""COMPUTED_VALUE"""),30)</f>
        <v>30</v>
      </c>
      <c r="Z187" s="16">
        <f ca="1">IFERROR(__xludf.dummyfunction("""COMPUTED_VALUE"""),4)</f>
        <v>4</v>
      </c>
      <c r="AA187" s="30">
        <f ca="1">IFERROR(__xludf.dummyfunction("""COMPUTED_VALUE"""),8)</f>
        <v>8</v>
      </c>
      <c r="AB187" s="30">
        <f ca="1">IFERROR(__xludf.dummyfunction("""COMPUTED_VALUE"""),1)</f>
        <v>1</v>
      </c>
      <c r="AC187" s="30">
        <f ca="1">IFERROR(__xludf.dummyfunction("""COMPUTED_VALUE"""),13)</f>
        <v>13</v>
      </c>
      <c r="AD187" s="16"/>
      <c r="AE187" s="30"/>
      <c r="AF187" s="30"/>
      <c r="AG187" s="30"/>
    </row>
    <row r="188" spans="1:33" ht="13.8">
      <c r="A188" s="25"/>
      <c r="B188" s="26" t="s">
        <v>29</v>
      </c>
      <c r="C188" s="26" t="s">
        <v>310</v>
      </c>
      <c r="D188" s="26">
        <v>6</v>
      </c>
      <c r="E188" s="27" t="s">
        <v>568</v>
      </c>
      <c r="F188" s="28" t="s">
        <v>588</v>
      </c>
      <c r="G188" s="26" t="s">
        <v>589</v>
      </c>
      <c r="H188" s="28" t="str">
        <f ca="1">IFERROR(__xludf.dummyfunction("IFERROR(
  VLOOKUP(G188, IMPORTRANGE(""https://docs.google.com/spreadsheets/d/14deopnvwcrKtEGCKuYXdUHJbeLDZlkiSSWWT0g7x2pM/edit#gid=849066331"", ""LU List Maths (Filter)!A:B""), 2, FALSE),
  IFERROR(
    VLOOKUP(G188, IMPORTRANGE(""https://docs.google.com"&amp;"/spreadsheets/d/14deopnvwcrKtEGCKuYXdUHJbeLDZlkiSSWWT0g7x2pM/edit#gid=849066331"", ""LU List Science (Filter)!A:B""), 2, FALSE),
    ""Not Found""
  )
)
"),"Evaluation of algebraic expressions")</f>
        <v>Evaluation of algebraic expressions</v>
      </c>
      <c r="I188" s="28"/>
      <c r="J188" s="29" t="str">
        <f t="shared" si="12"/>
        <v>LU000514.001</v>
      </c>
      <c r="K188" s="29" t="str">
        <f ca="1">IFERROR(__xludf.dummyfunction("VLOOKUP(J188, IMPORTRANGE(""https://docs.google.com/spreadsheets/d/1yDAaXNsi4Mr5FtRQL4tbmSdIzhx6_m4wkOD7IG-k_eo/edit#gid=0"", ""Maths!M:N""), 2, FALSE)"),"List situations where determining the value of an expression is necessary.")</f>
        <v>List situations where determining the value of an expression is necessary.</v>
      </c>
      <c r="L188" s="29" t="str">
        <f t="shared" si="13"/>
        <v>LU000514.002</v>
      </c>
      <c r="M188" s="29" t="str">
        <f ca="1">IFERROR(__xludf.dummyfunction("VLOOKUP(L188, IMPORTRANGE(""https://docs.google.com/spreadsheets/d/1yDAaXNsi4Mr5FtRQL4tbmSdIzhx6_m4wkOD7IG-k_eo/edit#gid=0"", ""Maths!M:N""), 2, FALSE)"),"Describe the relationship between the variables and the resulting value in an expression.")</f>
        <v>Describe the relationship between the variables and the resulting value in an expression.</v>
      </c>
      <c r="N188" s="29" t="str">
        <f t="shared" si="14"/>
        <v>LU000514.003</v>
      </c>
      <c r="O188" s="29" t="str">
        <f ca="1">IFERROR(__xludf.dummyfunction("VLOOKUP(N188, IMPORTRANGE(""https://docs.google.com/spreadsheets/d/1yDAaXNsi4Mr5FtRQL4tbmSdIzhx6_m4wkOD7IG-k_eo/edit#gid=0"", ""Maths!M:N""), 2, FALSE)"),"Simplify and evaluate the algebraic expressions using the given value of variable(s).")</f>
        <v>Simplify and evaluate the algebraic expressions using the given value of variable(s).</v>
      </c>
      <c r="P188" s="29" t="str">
        <f t="shared" si="15"/>
        <v>LU000514.004</v>
      </c>
      <c r="Q188" s="29" t="str">
        <f ca="1">IFERROR(__xludf.dummyfunction("VLOOKUP(P188, IMPORTRANGE(""https://docs.google.com/spreadsheets/d/1yDAaXNsi4Mr5FtRQL4tbmSdIzhx6_m4wkOD7IG-k_eo/edit#gid=0"", ""Maths!M:N""), 2, FALSE)"),"Analyze the different values of expressions with varying input values.")</f>
        <v>Analyze the different values of expressions with varying input values.</v>
      </c>
      <c r="R188" s="29" t="str">
        <f t="shared" si="16"/>
        <v>LU000514.005</v>
      </c>
      <c r="S188" s="29" t="str">
        <f ca="1">IFERROR(__xludf.dummyfunction("VLOOKUP(R188, IMPORTRANGE(""https://docs.google.com/spreadsheets/d/1yDAaXNsi4Mr5FtRQL4tbmSdIzhx6_m4wkOD7IG-k_eo/edit#gid=0"", ""Maths!M:N""), 2, FALSE)"),"Assess the effectiveness of evaluating expressions to verify the validity of equations.")</f>
        <v>Assess the effectiveness of evaluating expressions to verify the validity of equations.</v>
      </c>
      <c r="T188" s="29" t="str">
        <f t="shared" si="17"/>
        <v>LU000514.006</v>
      </c>
      <c r="U188" s="29" t="str">
        <f ca="1">IFERROR(__xludf.dummyfunction("VLOOKUP(T188, IMPORTRANGE(""https://docs.google.com/spreadsheets/d/1yDAaXNsi4Mr5FtRQL4tbmSdIzhx6_m4wkOD7IG-k_eo/edit#gid=0"", ""Maths!M:N""), 2, FALSE)"),"Devise a problem requiring the evaluation of an expression to check the validity of a specific solution to a real-world scenario.")</f>
        <v>Devise a problem requiring the evaluation of an expression to check the validity of a specific solution to a real-world scenario.</v>
      </c>
      <c r="V188" s="16">
        <f ca="1">IFERROR(__xludf.dummyfunction("ArrayFormula(VLOOKUP(G188, IMPORTRANGE(""https://docs.google.com/spreadsheets/d/1p7R4vtkWt5VOBim4ltsDG9KTzSjrtKXsMtQGXPHyND0/edit#gid=795171502"", ""'Filter 30_05_2024'!A1:M2000""), {2, 3, 4, 5,6,7,8,9,10,11,12,13}, 0))"),5)</f>
        <v>5</v>
      </c>
      <c r="W188" s="16">
        <f ca="1">IFERROR(__xludf.dummyfunction("""COMPUTED_VALUE"""),16)</f>
        <v>16</v>
      </c>
      <c r="X188" s="16">
        <f ca="1">IFERROR(__xludf.dummyfunction("""COMPUTED_VALUE"""),3)</f>
        <v>3</v>
      </c>
      <c r="Y188" s="16">
        <f ca="1">IFERROR(__xludf.dummyfunction("""COMPUTED_VALUE"""),24)</f>
        <v>24</v>
      </c>
      <c r="Z188" s="16">
        <f ca="1">IFERROR(__xludf.dummyfunction("""COMPUTED_VALUE"""),6)</f>
        <v>6</v>
      </c>
      <c r="AA188" s="30">
        <f ca="1">IFERROR(__xludf.dummyfunction("""COMPUTED_VALUE"""),5)</f>
        <v>5</v>
      </c>
      <c r="AB188" s="30">
        <f ca="1">IFERROR(__xludf.dummyfunction("""COMPUTED_VALUE"""),1)</f>
        <v>1</v>
      </c>
      <c r="AC188" s="30">
        <f ca="1">IFERROR(__xludf.dummyfunction("""COMPUTED_VALUE"""),12)</f>
        <v>12</v>
      </c>
      <c r="AD188" s="16">
        <f ca="1">IFERROR(__xludf.dummyfunction("""COMPUTED_VALUE"""),3)</f>
        <v>3</v>
      </c>
      <c r="AE188" s="30"/>
      <c r="AF188" s="30"/>
      <c r="AG188" s="30">
        <f ca="1">IFERROR(__xludf.dummyfunction("""COMPUTED_VALUE"""),3)</f>
        <v>3</v>
      </c>
    </row>
    <row r="189" spans="1:33" ht="39.6">
      <c r="A189" s="34"/>
      <c r="B189" s="35" t="s">
        <v>29</v>
      </c>
      <c r="C189" s="35" t="s">
        <v>310</v>
      </c>
      <c r="D189" s="35">
        <v>6</v>
      </c>
      <c r="E189" s="36" t="s">
        <v>590</v>
      </c>
      <c r="F189" s="37" t="s">
        <v>591</v>
      </c>
      <c r="G189" s="35" t="s">
        <v>570</v>
      </c>
      <c r="H189" s="37" t="str">
        <f ca="1">IFERROR(__xludf.dummyfunction("IFERROR(
  VLOOKUP(G189, IMPORTRANGE(""https://docs.google.com/spreadsheets/d/14deopnvwcrKtEGCKuYXdUHJbeLDZlkiSSWWT0g7x2pM/edit#gid=849066331"", ""LU List Maths (Filter)!A:B""), 2, FALSE),
  IFERROR(
    VLOOKUP(G189, IMPORTRANGE(""https://docs.google.com"&amp;"/spreadsheets/d/14deopnvwcrKtEGCKuYXdUHJbeLDZlkiSSWWT0g7x2pM/edit#gid=849066331"", ""LU List Science (Filter)!A:B""), 2, FALSE),
    ""Not Found""
  )
)
"),"Definition of variable and constant")</f>
        <v>Definition of variable and constant</v>
      </c>
      <c r="I189" s="37"/>
      <c r="J189" s="29" t="str">
        <f t="shared" si="12"/>
        <v>LU000330.001</v>
      </c>
      <c r="K189" s="29" t="str">
        <f ca="1">IFERROR(__xludf.dummyfunction("VLOOKUP(J189, IMPORTRANGE(""https://docs.google.com/spreadsheets/d/1yDAaXNsi4Mr5FtRQL4tbmSdIzhx6_m4wkOD7IG-k_eo/edit#gid=0"", ""Maths!M:N""), 2, FALSE)"),"Recall the definition of variables and constants.")</f>
        <v>Recall the definition of variables and constants.</v>
      </c>
      <c r="L189" s="29" t="str">
        <f t="shared" si="13"/>
        <v>LU000330.002</v>
      </c>
      <c r="M189" s="29" t="str">
        <f ca="1">IFERROR(__xludf.dummyfunction("VLOOKUP(L189, IMPORTRANGE(""https://docs.google.com/spreadsheets/d/1yDAaXNsi4Mr5FtRQL4tbmSdIzhx6_m4wkOD7IG-k_eo/edit#gid=0"", ""Maths!M:N""), 2, FALSE)"),"List the examples of variables and constants.")</f>
        <v>List the examples of variables and constants.</v>
      </c>
      <c r="N189" s="29" t="str">
        <f t="shared" si="14"/>
        <v>LU000330.003</v>
      </c>
      <c r="O189" s="29" t="str">
        <f ca="1">IFERROR(__xludf.dummyfunction("VLOOKUP(N189, IMPORTRANGE(""https://docs.google.com/spreadsheets/d/1yDAaXNsi4Mr5FtRQL4tbmSdIzhx6_m4wkOD7IG-k_eo/edit#gid=0"", ""Maths!M:N""), 2, FALSE)"),"Differences between variables and constants.")</f>
        <v>Differences between variables and constants.</v>
      </c>
      <c r="P189" s="29" t="str">
        <f t="shared" si="15"/>
        <v>LU000330.004</v>
      </c>
      <c r="Q189" s="29" t="str">
        <f ca="1">IFERROR(__xludf.dummyfunction("VLOOKUP(P189, IMPORTRANGE(""https://docs.google.com/spreadsheets/d/1yDAaXNsi4Mr5FtRQL4tbmSdIzhx6_m4wkOD7IG-k_eo/edit#gid=0"", ""Maths!M:N""), 2, FALSE)"),"Examine the role of variables in representing changing quantities and relationships in algebraic contexts.")</f>
        <v>Examine the role of variables in representing changing quantities and relationships in algebraic contexts.</v>
      </c>
      <c r="R189" s="29" t="str">
        <f t="shared" si="16"/>
        <v>LU000330.005</v>
      </c>
      <c r="S189" s="29" t="str">
        <f ca="1">IFERROR(__xludf.dummyfunction("VLOOKUP(R189, IMPORTRANGE(""https://docs.google.com/spreadsheets/d/1yDAaXNsi4Mr5FtRQL4tbmSdIzhx6_m4wkOD7IG-k_eo/edit#gid=0"", ""Maths!M:N""), 2, FALSE)"),"Assess the effectiveness of using variables in solving problems and representing changing quantities.")</f>
        <v>Assess the effectiveness of using variables in solving problems and representing changing quantities.</v>
      </c>
      <c r="T189" s="29" t="str">
        <f t="shared" si="17"/>
        <v>LU000330.006</v>
      </c>
      <c r="U189" s="29" t="str">
        <f ca="1">IFERROR(__xludf.dummyfunction("VLOOKUP(T189, IMPORTRANGE(""https://docs.google.com/spreadsheets/d/1yDAaXNsi4Mr5FtRQL4tbmSdIzhx6_m4wkOD7IG-k_eo/edit#gid=0"", ""Maths!M:N""), 2, FALSE)"),"Formulate scenarios where variables are used to represent changing values.")</f>
        <v>Formulate scenarios where variables are used to represent changing values.</v>
      </c>
      <c r="V189" s="16">
        <f ca="1">IFERROR(__xludf.dummyfunction("ArrayFormula(VLOOKUP(G189, IMPORTRANGE(""https://docs.google.com/spreadsheets/d/1p7R4vtkWt5VOBim4ltsDG9KTzSjrtKXsMtQGXPHyND0/edit#gid=795171502"", ""'Filter 30_05_2024'!A1:M2000""), {2, 3, 4, 5,6,7,8,9,10,11,12,13}, 0))"),10)</f>
        <v>10</v>
      </c>
      <c r="W189" s="16">
        <f ca="1">IFERROR(__xludf.dummyfunction("""COMPUTED_VALUE"""),6)</f>
        <v>6</v>
      </c>
      <c r="X189" s="16">
        <f ca="1">IFERROR(__xludf.dummyfunction("""COMPUTED_VALUE"""),2)</f>
        <v>2</v>
      </c>
      <c r="Y189" s="16">
        <f ca="1">IFERROR(__xludf.dummyfunction("""COMPUTED_VALUE"""),18)</f>
        <v>18</v>
      </c>
      <c r="Z189" s="16">
        <f ca="1">IFERROR(__xludf.dummyfunction("""COMPUTED_VALUE"""),6)</f>
        <v>6</v>
      </c>
      <c r="AA189" s="30">
        <f ca="1">IFERROR(__xludf.dummyfunction("""COMPUTED_VALUE"""),4)</f>
        <v>4</v>
      </c>
      <c r="AB189" s="30">
        <f ca="1">IFERROR(__xludf.dummyfunction("""COMPUTED_VALUE"""),1)</f>
        <v>1</v>
      </c>
      <c r="AC189" s="30">
        <f ca="1">IFERROR(__xludf.dummyfunction("""COMPUTED_VALUE"""),11)</f>
        <v>11</v>
      </c>
      <c r="AD189" s="16"/>
      <c r="AE189" s="30"/>
      <c r="AF189" s="30"/>
      <c r="AG189" s="30"/>
    </row>
    <row r="190" spans="1:33" ht="39.6">
      <c r="A190" s="43"/>
      <c r="B190" s="44" t="s">
        <v>29</v>
      </c>
      <c r="C190" s="44" t="s">
        <v>310</v>
      </c>
      <c r="D190" s="44">
        <v>6</v>
      </c>
      <c r="E190" s="45" t="s">
        <v>590</v>
      </c>
      <c r="F190" s="46"/>
      <c r="G190" s="44" t="s">
        <v>592</v>
      </c>
      <c r="H190" s="46" t="str">
        <f ca="1">IFERROR(__xludf.dummyfunction("IFERROR(
  VLOOKUP(G190, IMPORTRANGE(""https://docs.google.com/spreadsheets/d/14deopnvwcrKtEGCKuYXdUHJbeLDZlkiSSWWT0g7x2pM/edit#gid=849066331"", ""LU List Maths (Filter)!A:B""), 2, FALSE),
  IFERROR(
    VLOOKUP(G190, IMPORTRANGE(""https://docs.google.com"&amp;"/spreadsheets/d/14deopnvwcrKtEGCKuYXdUHJbeLDZlkiSSWWT0g7x2pM/edit#gid=849066331"", ""LU List Science (Filter)!A:B""), 2, FALSE),
    ""Not Found""
  )
)
"),"Definition of linear equation in one variable")</f>
        <v>Definition of linear equation in one variable</v>
      </c>
      <c r="I190" s="54"/>
      <c r="J190" s="29" t="str">
        <f t="shared" si="12"/>
        <v>LU000582.001</v>
      </c>
      <c r="K190" s="29" t="str">
        <f ca="1">IFERROR(__xludf.dummyfunction("VLOOKUP(J190, IMPORTRANGE(""https://docs.google.com/spreadsheets/d/1yDAaXNsi4Mr5FtRQL4tbmSdIzhx6_m4wkOD7IG-k_eo/edit#gid=0"", ""Maths!M:N""), 2, FALSE)"),"State the definition of a linear equation in one variable and list its essential features.")</f>
        <v>State the definition of a linear equation in one variable and list its essential features.</v>
      </c>
      <c r="L190" s="29" t="str">
        <f t="shared" si="13"/>
        <v>LU000582.002</v>
      </c>
      <c r="M190" s="29" t="str">
        <f ca="1">IFERROR(__xludf.dummyfunction("VLOOKUP(L190, IMPORTRANGE(""https://docs.google.com/spreadsheets/d/1yDAaXNsi4Mr5FtRQL4tbmSdIzhx6_m4wkOD7IG-k_eo/edit#gid=0"", ""Maths!M:N""), 2, FALSE)"),"Describe the concept of a linear equation in one variable, highlighting that it represents a straight forward relationship between a variable and constants.")</f>
        <v>Describe the concept of a linear equation in one variable, highlighting that it represents a straight forward relationship between a variable and constants.</v>
      </c>
      <c r="N190" s="29" t="str">
        <f t="shared" si="14"/>
        <v>LU000582.003</v>
      </c>
      <c r="O190" s="29" t="str">
        <f ca="1">IFERROR(__xludf.dummyfunction("VLOOKUP(N190, IMPORTRANGE(""https://docs.google.com/spreadsheets/d/1yDAaXNsi4Mr5FtRQL4tbmSdIzhx6_m4wkOD7IG-k_eo/edit#gid=0"", ""Maths!M:N""), 2, FALSE)"),"Solve a linear equation in one variable to find the value of unknown through step-by-step calculations.")</f>
        <v>Solve a linear equation in one variable to find the value of unknown through step-by-step calculations.</v>
      </c>
      <c r="P190" s="29" t="str">
        <f t="shared" si="15"/>
        <v>LU000582.004</v>
      </c>
      <c r="Q190" s="29" t="str">
        <f ca="1">IFERROR(__xludf.dummyfunction("VLOOKUP(P190, IMPORTRANGE(""https://docs.google.com/spreadsheets/d/1yDAaXNsi4Mr5FtRQL4tbmSdIzhx6_m4wkOD7IG-k_eo/edit#gid=0"", ""Maths!M:N""), 2, FALSE)"),"Examine real-world problems (such as calculating the cost of multiple items) and discuss how representing it as a linear equation simplifies the solution process.")</f>
        <v>Examine real-world problems (such as calculating the cost of multiple items) and discuss how representing it as a linear equation simplifies the solution process.</v>
      </c>
      <c r="R190" s="29" t="str">
        <f t="shared" si="16"/>
        <v>LU000582.005</v>
      </c>
      <c r="S190" s="29" t="str">
        <f ca="1">IFERROR(__xludf.dummyfunction("VLOOKUP(R190, IMPORTRANGE(""https://docs.google.com/spreadsheets/d/1yDAaXNsi4Mr5FtRQL4tbmSdIzhx6_m4wkOD7IG-k_eo/edit#gid=0"", ""Maths!M:N""), 2, FALSE)"),"Evaluate the accuracy of solutions to linear equations in one variable.")</f>
        <v>Evaluate the accuracy of solutions to linear equations in one variable.</v>
      </c>
      <c r="T190" s="29" t="str">
        <f t="shared" si="17"/>
        <v>LU000582.006</v>
      </c>
      <c r="U190" s="29" t="str">
        <f ca="1">IFERROR(__xludf.dummyfunction("VLOOKUP(T190, IMPORTRANGE(""https://docs.google.com/spreadsheets/d/1yDAaXNsi4Mr5FtRQL4tbmSdIzhx6_m4wkOD7IG-k_eo/edit#gid=0"", ""Maths!M:N""), 2, FALSE)"),"Create a word problem that can be represented by a linear equation in one variable and design a problem to formulate and solve the equation.")</f>
        <v>Create a word problem that can be represented by a linear equation in one variable and design a problem to formulate and solve the equation.</v>
      </c>
      <c r="V190" s="16">
        <f ca="1">IFERROR(__xludf.dummyfunction("ArrayFormula(VLOOKUP(G190, IMPORTRANGE(""https://docs.google.com/spreadsheets/d/1p7R4vtkWt5VOBim4ltsDG9KTzSjrtKXsMtQGXPHyND0/edit#gid=795171502"", ""'Filter 30_05_2024'!A1:M2000""), {2, 3, 4, 5,6,7,8,9,10,11,12,13}, 0))"),4)</f>
        <v>4</v>
      </c>
      <c r="W190" s="16">
        <f ca="1">IFERROR(__xludf.dummyfunction("""COMPUTED_VALUE"""),6)</f>
        <v>6</v>
      </c>
      <c r="X190" s="16">
        <f ca="1">IFERROR(__xludf.dummyfunction("""COMPUTED_VALUE"""),2)</f>
        <v>2</v>
      </c>
      <c r="Y190" s="16">
        <f ca="1">IFERROR(__xludf.dummyfunction("""COMPUTED_VALUE"""),12)</f>
        <v>12</v>
      </c>
      <c r="Z190" s="16">
        <f ca="1">IFERROR(__xludf.dummyfunction("""COMPUTED_VALUE"""),4)</f>
        <v>4</v>
      </c>
      <c r="AA190" s="30">
        <f ca="1">IFERROR(__xludf.dummyfunction("""COMPUTED_VALUE"""),3)</f>
        <v>3</v>
      </c>
      <c r="AB190" s="30">
        <f ca="1">IFERROR(__xludf.dummyfunction("""COMPUTED_VALUE"""),1)</f>
        <v>1</v>
      </c>
      <c r="AC190" s="30">
        <f ca="1">IFERROR(__xludf.dummyfunction("""COMPUTED_VALUE"""),8)</f>
        <v>8</v>
      </c>
      <c r="AD190" s="16"/>
      <c r="AE190" s="30"/>
      <c r="AF190" s="30"/>
      <c r="AG190" s="30"/>
    </row>
    <row r="191" spans="1:33" ht="26.4">
      <c r="A191" s="25"/>
      <c r="B191" s="26" t="s">
        <v>29</v>
      </c>
      <c r="C191" s="26" t="s">
        <v>310</v>
      </c>
      <c r="D191" s="26">
        <v>6</v>
      </c>
      <c r="E191" s="27" t="s">
        <v>593</v>
      </c>
      <c r="F191" s="28" t="s">
        <v>594</v>
      </c>
      <c r="G191" s="26" t="s">
        <v>595</v>
      </c>
      <c r="H191" s="28" t="str">
        <f ca="1">IFERROR(__xludf.dummyfunction("IFERROR(
  VLOOKUP(G191, IMPORTRANGE(""https://docs.google.com/spreadsheets/d/14deopnvwcrKtEGCKuYXdUHJbeLDZlkiSSWWT0g7x2pM/edit#gid=849066331"", ""LU List Maths (Filter)!A:B""), 2, FALSE),
  IFERROR(
    VLOOKUP(G191, IMPORTRANGE(""https://docs.google.com"&amp;"/spreadsheets/d/14deopnvwcrKtEGCKuYXdUHJbeLDZlkiSSWWT0g7x2pM/edit#gid=849066331"", ""LU List Science (Filter)!A:B""), 2, FALSE),
    ""Not Found""
  )
)
"),"Definition of point")</f>
        <v>Definition of point</v>
      </c>
      <c r="I191" s="28"/>
      <c r="J191" s="29" t="str">
        <f t="shared" si="12"/>
        <v>LU000218.001</v>
      </c>
      <c r="K191" s="29" t="str">
        <f ca="1">IFERROR(__xludf.dummyfunction("VLOOKUP(J191, IMPORTRANGE(""https://docs.google.com/spreadsheets/d/1yDAaXNsi4Mr5FtRQL4tbmSdIzhx6_m4wkOD7IG-k_eo/edit#gid=0"", ""Maths!M:N""), 2, FALSE)"),"Define a point.")</f>
        <v>Define a point.</v>
      </c>
      <c r="L191" s="29" t="str">
        <f t="shared" si="13"/>
        <v>LU000218.002</v>
      </c>
      <c r="M191" s="29" t="str">
        <f ca="1">IFERROR(__xludf.dummyfunction("VLOOKUP(L191, IMPORTRANGE(""https://docs.google.com/spreadsheets/d/1yDAaXNsi4Mr5FtRQL4tbmSdIzhx6_m4wkOD7IG-k_eo/edit#gid=0"", ""Maths!M:N""), 2, FALSE)"),"Describe the properties of a point")</f>
        <v>Describe the properties of a point</v>
      </c>
      <c r="N191" s="29" t="str">
        <f t="shared" si="14"/>
        <v>LU000218.003</v>
      </c>
      <c r="O191" s="29" t="str">
        <f ca="1">IFERROR(__xludf.dummyfunction("VLOOKUP(N191, IMPORTRANGE(""https://docs.google.com/spreadsheets/d/1yDAaXNsi4Mr5FtRQL4tbmSdIzhx6_m4wkOD7IG-k_eo/edit#gid=0"", ""Maths!M:N""), 2, FALSE)"),"Identify and label points in geometric figures and surroundings.")</f>
        <v>Identify and label points in geometric figures and surroundings.</v>
      </c>
      <c r="P191" s="29" t="str">
        <f t="shared" si="15"/>
        <v>LU000218.004</v>
      </c>
      <c r="Q191" s="29" t="str">
        <f ca="1">IFERROR(__xludf.dummyfunction("VLOOKUP(P191, IMPORTRANGE(""https://docs.google.com/spreadsheets/d/1yDAaXNsi4Mr5FtRQL4tbmSdIzhx6_m4wkOD7IG-k_eo/edit#gid=0"", ""Maths!M:N""), 2, FALSE)"),"Compare and contrast the properties of points with those of other geometric elements")</f>
        <v>Compare and contrast the properties of points with those of other geometric elements</v>
      </c>
      <c r="R191" s="29" t="str">
        <f t="shared" si="16"/>
        <v>LU000218.005</v>
      </c>
      <c r="S191" s="29" t="str">
        <f ca="1">IFERROR(__xludf.dummyfunction("VLOOKUP(R191, IMPORTRANGE(""https://docs.google.com/spreadsheets/d/1yDAaXNsi4Mr5FtRQL4tbmSdIzhx6_m4wkOD7IG-k_eo/edit#gid=0"", ""Maths!M:N""), 2, FALSE)"),"Assess the role of points in problem-solving and spatial reasoning in geometry")</f>
        <v>Assess the role of points in problem-solving and spatial reasoning in geometry</v>
      </c>
      <c r="T191" s="29" t="str">
        <f t="shared" si="17"/>
        <v>LU000218.006</v>
      </c>
      <c r="U191" s="29" t="str">
        <f ca="1">IFERROR(__xludf.dummyfunction("VLOOKUP(T191, IMPORTRANGE(""https://docs.google.com/spreadsheets/d/1yDAaXNsi4Mr5FtRQL4tbmSdIzhx6_m4wkOD7IG-k_eo/edit#gid=0"", ""Maths!M:N""), 2, FALSE)"),"Construct real-world scenarios where the understanding of points is essential for solving spatial problems")</f>
        <v>Construct real-world scenarios where the understanding of points is essential for solving spatial problems</v>
      </c>
      <c r="V191" s="16">
        <f ca="1">IFERROR(__xludf.dummyfunction("ArrayFormula(VLOOKUP(G191, IMPORTRANGE(""https://docs.google.com/spreadsheets/d/1p7R4vtkWt5VOBim4ltsDG9KTzSjrtKXsMtQGXPHyND0/edit#gid=795171502"", ""'Filter 30_05_2024'!A1:M2000""), {2, 3, 4, 5,6,7,8,9,10,11,12,13}, 0))"),4)</f>
        <v>4</v>
      </c>
      <c r="W191" s="16">
        <f ca="1">IFERROR(__xludf.dummyfunction("""COMPUTED_VALUE"""),6)</f>
        <v>6</v>
      </c>
      <c r="X191" s="16">
        <f ca="1">IFERROR(__xludf.dummyfunction("""COMPUTED_VALUE"""),2)</f>
        <v>2</v>
      </c>
      <c r="Y191" s="16">
        <f ca="1">IFERROR(__xludf.dummyfunction("""COMPUTED_VALUE"""),12)</f>
        <v>12</v>
      </c>
      <c r="Z191" s="16">
        <f ca="1">IFERROR(__xludf.dummyfunction("""COMPUTED_VALUE"""),4)</f>
        <v>4</v>
      </c>
      <c r="AA191" s="30">
        <f ca="1">IFERROR(__xludf.dummyfunction("""COMPUTED_VALUE"""),2)</f>
        <v>2</v>
      </c>
      <c r="AB191" s="30">
        <f ca="1">IFERROR(__xludf.dummyfunction("""COMPUTED_VALUE"""),1)</f>
        <v>1</v>
      </c>
      <c r="AC191" s="30">
        <f ca="1">IFERROR(__xludf.dummyfunction("""COMPUTED_VALUE"""),7)</f>
        <v>7</v>
      </c>
      <c r="AD191" s="16"/>
      <c r="AE191" s="30"/>
      <c r="AF191" s="30"/>
      <c r="AG191" s="30"/>
    </row>
    <row r="192" spans="1:33" ht="26.4">
      <c r="A192" s="25"/>
      <c r="B192" s="26" t="s">
        <v>29</v>
      </c>
      <c r="C192" s="26" t="s">
        <v>310</v>
      </c>
      <c r="D192" s="26">
        <v>6</v>
      </c>
      <c r="E192" s="27" t="s">
        <v>593</v>
      </c>
      <c r="F192" s="28"/>
      <c r="G192" s="26" t="s">
        <v>596</v>
      </c>
      <c r="H192" s="28" t="str">
        <f ca="1">IFERROR(__xludf.dummyfunction("IFERROR(
  VLOOKUP(G192, IMPORTRANGE(""https://docs.google.com/spreadsheets/d/14deopnvwcrKtEGCKuYXdUHJbeLDZlkiSSWWT0g7x2pM/edit#gid=849066331"", ""LU List Maths (Filter)!A:B""), 2, FALSE),
  IFERROR(
    VLOOKUP(G192, IMPORTRANGE(""https://docs.google.com"&amp;"/spreadsheets/d/14deopnvwcrKtEGCKuYXdUHJbeLDZlkiSSWWT0g7x2pM/edit#gid=849066331"", ""LU List Science (Filter)!A:B""), 2, FALSE),
    ""Not Found""
  )
)
"),"Definition of line segment")</f>
        <v>Definition of line segment</v>
      </c>
      <c r="I192" s="28"/>
      <c r="J192" s="29" t="str">
        <f t="shared" si="12"/>
        <v>LU000219.001</v>
      </c>
      <c r="K192" s="29" t="str">
        <f ca="1">IFERROR(__xludf.dummyfunction("VLOOKUP(J192, IMPORTRANGE(""https://docs.google.com/spreadsheets/d/1yDAaXNsi4Mr5FtRQL4tbmSdIzhx6_m4wkOD7IG-k_eo/edit#gid=0"", ""Maths!M:N""), 2, FALSE)"),"Provide examples from the surroundings in order to describe line segment.")</f>
        <v>Provide examples from the surroundings in order to describe line segment.</v>
      </c>
      <c r="L192" s="29" t="str">
        <f t="shared" si="13"/>
        <v>LU000219.002</v>
      </c>
      <c r="M192" s="29" t="str">
        <f ca="1">IFERROR(__xludf.dummyfunction("VLOOKUP(L192, IMPORTRANGE(""https://docs.google.com/spreadsheets/d/1yDAaXNsi4Mr5FtRQL4tbmSdIzhx6_m4wkOD7IG-k_eo/edit#gid=0"", ""Maths!M:N""), 2, FALSE)"),"Explain the concept of line segment and identify line segments.")</f>
        <v>Explain the concept of line segment and identify line segments.</v>
      </c>
      <c r="N192" s="29" t="str">
        <f t="shared" si="14"/>
        <v>LU000219.003</v>
      </c>
      <c r="O192" s="29" t="str">
        <f ca="1">IFERROR(__xludf.dummyfunction("VLOOKUP(N192, IMPORTRANGE(""https://docs.google.com/spreadsheets/d/1yDAaXNsi4Mr5FtRQL4tbmSdIzhx6_m4wkOD7IG-k_eo/edit#gid=0"", ""Maths!M:N""), 2, FALSE)"),"Explain the representation of the line segment.")</f>
        <v>Explain the representation of the line segment.</v>
      </c>
      <c r="P192" s="29" t="str">
        <f t="shared" si="15"/>
        <v>LU000219.004</v>
      </c>
      <c r="Q192" s="29" t="str">
        <f ca="1">IFERROR(__xludf.dummyfunction("VLOOKUP(P192, IMPORTRANGE(""https://docs.google.com/spreadsheets/d/1yDAaXNsi4Mr5FtRQL4tbmSdIzhx6_m4wkOD7IG-k_eo/edit#gid=0"", ""Maths!M:N""), 2, FALSE)"),"Draw a line segment of a given length and label its endpoints.")</f>
        <v>Draw a line segment of a given length and label its endpoints.</v>
      </c>
      <c r="R192" s="29" t="str">
        <f t="shared" si="16"/>
        <v>LU000219.005</v>
      </c>
      <c r="S192" s="29" t="str">
        <f ca="1">IFERROR(__xludf.dummyfunction("VLOOKUP(R192, IMPORTRANGE(""https://docs.google.com/spreadsheets/d/1yDAaXNsi4Mr5FtRQL4tbmSdIzhx6_m4wkOD7IG-k_eo/edit#gid=0"", ""Maths!M:N""), 2, FALSE)"),"Analyze geometric diagrams and identify line segments.")</f>
        <v>Analyze geometric diagrams and identify line segments.</v>
      </c>
      <c r="T192" s="29" t="str">
        <f t="shared" si="17"/>
        <v>LU000219.006</v>
      </c>
      <c r="U192" s="29" t="str">
        <f ca="1">IFERROR(__xludf.dummyfunction("VLOOKUP(T192, IMPORTRANGE(""https://docs.google.com/spreadsheets/d/1yDAaXNsi4Mr5FtRQL4tbmSdIzhx6_m4wkOD7IG-k_eo/edit#gid=0"", ""Maths!M:N""), 2, FALSE)"),"Design a geometric figure or pattern using line segments.")</f>
        <v>Design a geometric figure or pattern using line segments.</v>
      </c>
      <c r="V192" s="16">
        <f ca="1">IFERROR(__xludf.dummyfunction("ArrayFormula(VLOOKUP(G192, IMPORTRANGE(""https://docs.google.com/spreadsheets/d/1p7R4vtkWt5VOBim4ltsDG9KTzSjrtKXsMtQGXPHyND0/edit#gid=795171502"", ""'Filter 30_05_2024'!A1:M2000""), {2, 3, 4, 5,6,7,8,9,10,11,12,13}, 0))"),5)</f>
        <v>5</v>
      </c>
      <c r="W192" s="16">
        <f ca="1">IFERROR(__xludf.dummyfunction("""COMPUTED_VALUE"""),6)</f>
        <v>6</v>
      </c>
      <c r="X192" s="16">
        <f ca="1">IFERROR(__xludf.dummyfunction("""COMPUTED_VALUE"""),2)</f>
        <v>2</v>
      </c>
      <c r="Y192" s="16">
        <f ca="1">IFERROR(__xludf.dummyfunction("""COMPUTED_VALUE"""),13)</f>
        <v>13</v>
      </c>
      <c r="Z192" s="16">
        <f ca="1">IFERROR(__xludf.dummyfunction("""COMPUTED_VALUE"""),4)</f>
        <v>4</v>
      </c>
      <c r="AA192" s="30">
        <f ca="1">IFERROR(__xludf.dummyfunction("""COMPUTED_VALUE"""),4)</f>
        <v>4</v>
      </c>
      <c r="AB192" s="30">
        <f ca="1">IFERROR(__xludf.dummyfunction("""COMPUTED_VALUE"""),1)</f>
        <v>1</v>
      </c>
      <c r="AC192" s="30">
        <f ca="1">IFERROR(__xludf.dummyfunction("""COMPUTED_VALUE"""),9)</f>
        <v>9</v>
      </c>
      <c r="AD192" s="16"/>
      <c r="AE192" s="30"/>
      <c r="AF192" s="30"/>
      <c r="AG192" s="30"/>
    </row>
    <row r="193" spans="1:33" ht="26.4">
      <c r="A193" s="25"/>
      <c r="B193" s="26" t="s">
        <v>29</v>
      </c>
      <c r="C193" s="26" t="s">
        <v>310</v>
      </c>
      <c r="D193" s="26">
        <v>6</v>
      </c>
      <c r="E193" s="27" t="s">
        <v>593</v>
      </c>
      <c r="F193" s="28"/>
      <c r="G193" s="26" t="s">
        <v>597</v>
      </c>
      <c r="H193" s="28" t="str">
        <f ca="1">IFERROR(__xludf.dummyfunction("IFERROR(
  VLOOKUP(G193, IMPORTRANGE(""https://docs.google.com/spreadsheets/d/14deopnvwcrKtEGCKuYXdUHJbeLDZlkiSSWWT0g7x2pM/edit#gid=849066331"", ""LU List Maths (Filter)!A:B""), 2, FALSE),
  IFERROR(
    VLOOKUP(G193, IMPORTRANGE(""https://docs.google.com"&amp;"/spreadsheets/d/14deopnvwcrKtEGCKuYXdUHJbeLDZlkiSSWWT0g7x2pM/edit#gid=849066331"", ""LU List Science (Filter)!A:B""), 2, FALSE),
    ""Not Found""
  )
)
"),"Definition of line")</f>
        <v>Definition of line</v>
      </c>
      <c r="I193" s="28"/>
      <c r="J193" s="29" t="str">
        <f t="shared" si="12"/>
        <v>LU000220.001</v>
      </c>
      <c r="K193" s="29" t="str">
        <f ca="1">IFERROR(__xludf.dummyfunction("VLOOKUP(J193, IMPORTRANGE(""https://docs.google.com/spreadsheets/d/1yDAaXNsi4Mr5FtRQL4tbmSdIzhx6_m4wkOD7IG-k_eo/edit#gid=0"", ""Maths!M:N""), 2, FALSE)"),"Define a line.")</f>
        <v>Define a line.</v>
      </c>
      <c r="L193" s="29" t="str">
        <f t="shared" si="13"/>
        <v>LU000220.002</v>
      </c>
      <c r="M193" s="29" t="str">
        <f ca="1">IFERROR(__xludf.dummyfunction("VLOOKUP(L193, IMPORTRANGE(""https://docs.google.com/spreadsheets/d/1yDAaXNsi4Mr5FtRQL4tbmSdIzhx6_m4wkOD7IG-k_eo/edit#gid=0"", ""Maths!M:N""), 2, FALSE)"),"Explain the representation of a line.")</f>
        <v>Explain the representation of a line.</v>
      </c>
      <c r="N193" s="29" t="str">
        <f t="shared" si="14"/>
        <v>LU000220.003</v>
      </c>
      <c r="O193" s="29" t="str">
        <f ca="1">IFERROR(__xludf.dummyfunction("VLOOKUP(N193, IMPORTRANGE(""https://docs.google.com/spreadsheets/d/1yDAaXNsi4Mr5FtRQL4tbmSdIzhx6_m4wkOD7IG-k_eo/edit#gid=0"", ""Maths!M:N""), 2, FALSE)"),"Apply the knowledge of lines to identify and represent them in geometric diagrams.")</f>
        <v>Apply the knowledge of lines to identify and represent them in geometric diagrams.</v>
      </c>
      <c r="P193" s="29" t="str">
        <f t="shared" si="15"/>
        <v>LU000220.004</v>
      </c>
      <c r="Q193" s="29" t="str">
        <f ca="1">IFERROR(__xludf.dummyfunction("VLOOKUP(P193, IMPORTRANGE(""https://docs.google.com/spreadsheets/d/1yDAaXNsi4Mr5FtRQL4tbmSdIzhx6_m4wkOD7IG-k_eo/edit#gid=0"", ""Maths!M:N""), 2, FALSE)"),"Differentiate between a line and a line segment.")</f>
        <v>Differentiate between a line and a line segment.</v>
      </c>
      <c r="R193" s="29" t="str">
        <f t="shared" si="16"/>
        <v>LU000220.005</v>
      </c>
      <c r="S193" s="29" t="str">
        <f ca="1">IFERROR(__xludf.dummyfunction("VLOOKUP(R193, IMPORTRANGE(""https://docs.google.com/spreadsheets/d/1yDAaXNsi4Mr5FtRQL4tbmSdIzhx6_m4wkOD7IG-k_eo/edit#gid=0"", ""Maths!M:N""), 2, FALSE)"),"Analyze geometric diagrams and identify line.")</f>
        <v>Analyze geometric diagrams and identify line.</v>
      </c>
      <c r="T193" s="29" t="str">
        <f t="shared" si="17"/>
        <v>LU000220.006</v>
      </c>
      <c r="U193" s="29" t="str">
        <f ca="1">IFERROR(__xludf.dummyfunction("VLOOKUP(T193, IMPORTRANGE(""https://docs.google.com/spreadsheets/d/1yDAaXNsi4Mr5FtRQL4tbmSdIzhx6_m4wkOD7IG-k_eo/edit#gid=0"", ""Maths!M:N""), 2, FALSE)"),"Design a geometric figure using line.")</f>
        <v>Design a geometric figure using line.</v>
      </c>
      <c r="V193" s="16">
        <f ca="1">IFERROR(__xludf.dummyfunction("ArrayFormula(VLOOKUP(G193, IMPORTRANGE(""https://docs.google.com/spreadsheets/d/1p7R4vtkWt5VOBim4ltsDG9KTzSjrtKXsMtQGXPHyND0/edit#gid=795171502"", ""'Filter 30_05_2024'!A1:M2000""), {2, 3, 4, 5,6,7,8,9,10,11,12,13}, 0))"),4)</f>
        <v>4</v>
      </c>
      <c r="W193" s="16">
        <f ca="1">IFERROR(__xludf.dummyfunction("""COMPUTED_VALUE"""),4)</f>
        <v>4</v>
      </c>
      <c r="X193" s="16">
        <f ca="1">IFERROR(__xludf.dummyfunction("""COMPUTED_VALUE"""),2)</f>
        <v>2</v>
      </c>
      <c r="Y193" s="16">
        <f ca="1">IFERROR(__xludf.dummyfunction("""COMPUTED_VALUE"""),10)</f>
        <v>10</v>
      </c>
      <c r="Z193" s="16">
        <f ca="1">IFERROR(__xludf.dummyfunction("""COMPUTED_VALUE"""),4)</f>
        <v>4</v>
      </c>
      <c r="AA193" s="30">
        <f ca="1">IFERROR(__xludf.dummyfunction("""COMPUTED_VALUE"""),5)</f>
        <v>5</v>
      </c>
      <c r="AB193" s="30">
        <f ca="1">IFERROR(__xludf.dummyfunction("""COMPUTED_VALUE"""),1)</f>
        <v>1</v>
      </c>
      <c r="AC193" s="30">
        <f ca="1">IFERROR(__xludf.dummyfunction("""COMPUTED_VALUE"""),10)</f>
        <v>10</v>
      </c>
      <c r="AD193" s="16"/>
      <c r="AE193" s="30"/>
      <c r="AF193" s="30"/>
      <c r="AG193" s="30"/>
    </row>
    <row r="194" spans="1:33" ht="26.4">
      <c r="A194" s="25"/>
      <c r="B194" s="26" t="s">
        <v>29</v>
      </c>
      <c r="C194" s="26" t="s">
        <v>310</v>
      </c>
      <c r="D194" s="26">
        <v>6</v>
      </c>
      <c r="E194" s="27" t="s">
        <v>593</v>
      </c>
      <c r="F194" s="28"/>
      <c r="G194" s="26" t="s">
        <v>598</v>
      </c>
      <c r="H194" s="28" t="str">
        <f ca="1">IFERROR(__xludf.dummyfunction("IFERROR(
  VLOOKUP(G194, IMPORTRANGE(""https://docs.google.com/spreadsheets/d/14deopnvwcrKtEGCKuYXdUHJbeLDZlkiSSWWT0g7x2pM/edit#gid=849066331"", ""LU List Maths (Filter)!A:B""), 2, FALSE),
  IFERROR(
    VLOOKUP(G194, IMPORTRANGE(""https://docs.google.com"&amp;"/spreadsheets/d/14deopnvwcrKtEGCKuYXdUHJbeLDZlkiSSWWT0g7x2pM/edit#gid=849066331"", ""LU List Science (Filter)!A:B""), 2, FALSE),
    ""Not Found""
  )
)
"),"Definition of ray")</f>
        <v>Definition of ray</v>
      </c>
      <c r="I194" s="28"/>
      <c r="J194" s="29" t="str">
        <f t="shared" ref="J194:J257" si="18">G194 &amp; ".001"</f>
        <v>LU000223.001</v>
      </c>
      <c r="K194" s="29" t="str">
        <f ca="1">IFERROR(__xludf.dummyfunction("VLOOKUP(J194, IMPORTRANGE(""https://docs.google.com/spreadsheets/d/1yDAaXNsi4Mr5FtRQL4tbmSdIzhx6_m4wkOD7IG-k_eo/edit#gid=0"", ""Maths!M:N""), 2, FALSE)"),"Recall the definition of a ray.")</f>
        <v>Recall the definition of a ray.</v>
      </c>
      <c r="L194" s="29" t="str">
        <f t="shared" ref="L194:L257" si="19">G194 &amp; ".002"</f>
        <v>LU000223.002</v>
      </c>
      <c r="M194" s="29" t="str">
        <f ca="1">IFERROR(__xludf.dummyfunction("VLOOKUP(L194, IMPORTRANGE(""https://docs.google.com/spreadsheets/d/1yDAaXNsi4Mr5FtRQL4tbmSdIzhx6_m4wkOD7IG-k_eo/edit#gid=0"", ""Maths!M:N""), 2, FALSE)"),"Explain the concept of ray and identify rays.")</f>
        <v>Explain the concept of ray and identify rays.</v>
      </c>
      <c r="N194" s="29" t="str">
        <f t="shared" ref="N194:N257" si="20">G194 &amp; ".003"</f>
        <v>LU000223.003</v>
      </c>
      <c r="O194" s="29" t="str">
        <f ca="1">IFERROR(__xludf.dummyfunction("VLOOKUP(N194, IMPORTRANGE(""https://docs.google.com/spreadsheets/d/1yDAaXNsi4Mr5FtRQL4tbmSdIzhx6_m4wkOD7IG-k_eo/edit#gid=0"", ""Maths!M:N""), 2, FALSE)"),"Apply the understanding of rays to identify and label them in geometric diagrams, distinguishing them from line segments and lines.")</f>
        <v>Apply the understanding of rays to identify and label them in geometric diagrams, distinguishing them from line segments and lines.</v>
      </c>
      <c r="P194" s="29" t="str">
        <f t="shared" ref="P194:P257" si="21">G194 &amp; ".004"</f>
        <v>LU000223.004</v>
      </c>
      <c r="Q194" s="29" t="str">
        <f ca="1">IFERROR(__xludf.dummyfunction("VLOOKUP(P194, IMPORTRANGE(""https://docs.google.com/spreadsheets/d/1yDAaXNsi4Mr5FtRQL4tbmSdIzhx6_m4wkOD7IG-k_eo/edit#gid=0"", ""Maths!M:N""), 2, FALSE)"),"Analyse the characteristics of rays, including their starting point, direction, and the fact that they extend infinitely in one direction.")</f>
        <v>Analyse the characteristics of rays, including their starting point, direction, and the fact that they extend infinitely in one direction.</v>
      </c>
      <c r="R194" s="29" t="str">
        <f t="shared" ref="R194:R257" si="22">G194 &amp; ".005"</f>
        <v>LU000223.005</v>
      </c>
      <c r="S194" s="29" t="str">
        <f ca="1">IFERROR(__xludf.dummyfunction("VLOOKUP(R194, IMPORTRANGE(""https://docs.google.com/spreadsheets/d/1yDAaXNsi4Mr5FtRQL4tbmSdIzhx6_m4wkOD7IG-k_eo/edit#gid=0"", ""Maths!M:N""), 2, FALSE)"),"Evaluate the importance of rays in geometry, considering how they provide a clear representation of direction and half-lines.")</f>
        <v>Evaluate the importance of rays in geometry, considering how they provide a clear representation of direction and half-lines.</v>
      </c>
      <c r="T194" s="29" t="str">
        <f t="shared" ref="T194:T257" si="23">G194 &amp; ".006"</f>
        <v>LU000223.006</v>
      </c>
      <c r="U194" s="29" t="str">
        <f ca="1">IFERROR(__xludf.dummyfunction("VLOOKUP(T194, IMPORTRANGE(""https://docs.google.com/spreadsheets/d/1yDAaXNsi4Mr5FtRQL4tbmSdIzhx6_m4wkOD7IG-k_eo/edit#gid=0"", ""Maths!M:N""), 2, FALSE)"),"Create diagrams or visual representations illustrating rays in various orientations, highlighting their starting points and the direction of their extension.")</f>
        <v>Create diagrams or visual representations illustrating rays in various orientations, highlighting their starting points and the direction of their extension.</v>
      </c>
      <c r="V194" s="16">
        <f ca="1">IFERROR(__xludf.dummyfunction("ArrayFormula(VLOOKUP(G194, IMPORTRANGE(""https://docs.google.com/spreadsheets/d/1p7R4vtkWt5VOBim4ltsDG9KTzSjrtKXsMtQGXPHyND0/edit#gid=795171502"", ""'Filter 30_05_2024'!A1:M2000""), {2, 3, 4, 5,6,7,8,9,10,11,12,13}, 0))"),8)</f>
        <v>8</v>
      </c>
      <c r="W194" s="16">
        <f ca="1">IFERROR(__xludf.dummyfunction("""COMPUTED_VALUE"""),9)</f>
        <v>9</v>
      </c>
      <c r="X194" s="16">
        <f ca="1">IFERROR(__xludf.dummyfunction("""COMPUTED_VALUE"""),4)</f>
        <v>4</v>
      </c>
      <c r="Y194" s="16">
        <f ca="1">IFERROR(__xludf.dummyfunction("""COMPUTED_VALUE"""),21)</f>
        <v>21</v>
      </c>
      <c r="Z194" s="16">
        <f ca="1">IFERROR(__xludf.dummyfunction("""COMPUTED_VALUE"""),4)</f>
        <v>4</v>
      </c>
      <c r="AA194" s="30">
        <f ca="1">IFERROR(__xludf.dummyfunction("""COMPUTED_VALUE"""),5)</f>
        <v>5</v>
      </c>
      <c r="AB194" s="30">
        <f ca="1">IFERROR(__xludf.dummyfunction("""COMPUTED_VALUE"""),1)</f>
        <v>1</v>
      </c>
      <c r="AC194" s="30">
        <f ca="1">IFERROR(__xludf.dummyfunction("""COMPUTED_VALUE"""),10)</f>
        <v>10</v>
      </c>
      <c r="AD194" s="16"/>
      <c r="AE194" s="30"/>
      <c r="AF194" s="30"/>
      <c r="AG194" s="30"/>
    </row>
    <row r="195" spans="1:33" ht="26.4">
      <c r="A195" s="25"/>
      <c r="B195" s="26" t="s">
        <v>29</v>
      </c>
      <c r="C195" s="26" t="s">
        <v>310</v>
      </c>
      <c r="D195" s="26">
        <v>6</v>
      </c>
      <c r="E195" s="27" t="s">
        <v>593</v>
      </c>
      <c r="F195" s="28" t="s">
        <v>599</v>
      </c>
      <c r="G195" s="26" t="s">
        <v>600</v>
      </c>
      <c r="H195" s="28" t="str">
        <f ca="1">IFERROR(__xludf.dummyfunction("IFERROR(
  VLOOKUP(G195, IMPORTRANGE(""https://docs.google.com/spreadsheets/d/14deopnvwcrKtEGCKuYXdUHJbeLDZlkiSSWWT0g7x2pM/edit#gid=849066331"", ""LU List Maths (Filter)!A:B""), 2, FALSE),
  IFERROR(
    VLOOKUP(G195, IMPORTRANGE(""https://docs.google.com"&amp;"/spreadsheets/d/14deopnvwcrKtEGCKuYXdUHJbeLDZlkiSSWWT0g7x2pM/edit#gid=849066331"", ""LU List Science (Filter)!A:B""), 2, FALSE),
    ""Not Found""
  )
)
"),"Definition of curve")</f>
        <v>Definition of curve</v>
      </c>
      <c r="I195" s="28"/>
      <c r="J195" s="29" t="str">
        <f t="shared" si="18"/>
        <v>LU000224.001</v>
      </c>
      <c r="K195" s="29" t="str">
        <f ca="1">IFERROR(__xludf.dummyfunction("VLOOKUP(J195, IMPORTRANGE(""https://docs.google.com/spreadsheets/d/1yDAaXNsi4Mr5FtRQL4tbmSdIzhx6_m4wkOD7IG-k_eo/edit#gid=0"", ""Maths!M:N""), 2, FALSE)"),"State the definition of curves.")</f>
        <v>State the definition of curves.</v>
      </c>
      <c r="L195" s="29" t="str">
        <f t="shared" si="19"/>
        <v>LU000224.002</v>
      </c>
      <c r="M195" s="29" t="str">
        <f ca="1">IFERROR(__xludf.dummyfunction("VLOOKUP(L195, IMPORTRANGE(""https://docs.google.com/spreadsheets/d/1yDAaXNsi4Mr5FtRQL4tbmSdIzhx6_m4wkOD7IG-k_eo/edit#gid=0"", ""Maths!M:N""), 2, FALSE)"),"Apply the understanding of curves to identify instances in which drawings can be made without using a ruler and without lifting the pencil, resulting in curve formations.")</f>
        <v>Apply the understanding of curves to identify instances in which drawings can be made without using a ruler and without lifting the pencil, resulting in curve formations.</v>
      </c>
      <c r="N195" s="29" t="str">
        <f t="shared" si="20"/>
        <v>LU000224.003</v>
      </c>
      <c r="O195" s="29" t="str">
        <f ca="1">IFERROR(__xludf.dummyfunction("VLOOKUP(N195, IMPORTRANGE(""https://docs.google.com/spreadsheets/d/1yDAaXNsi4Mr5FtRQL4tbmSdIzhx6_m4wkOD7IG-k_eo/edit#gid=0"", ""Maths!M:N""), 2, FALSE)"),"Apply the knowledge of curves to identify the curves from the given figures.")</f>
        <v>Apply the knowledge of curves to identify the curves from the given figures.</v>
      </c>
      <c r="P195" s="29" t="str">
        <f t="shared" si="21"/>
        <v>LU000224.004</v>
      </c>
      <c r="Q195" s="29" t="str">
        <f ca="1">IFERROR(__xludf.dummyfunction("VLOOKUP(P195, IMPORTRANGE(""https://docs.google.com/spreadsheets/d/1yDAaXNsi4Mr5FtRQL4tbmSdIzhx6_m4wkOD7IG-k_eo/edit#gid=0"", ""Maths!M:N""), 2, FALSE)"),"Analyse the attributes of curves, recognizing their characteristic smoothness and the freedom to draw them without the constraints of straight edges.")</f>
        <v>Analyse the attributes of curves, recognizing their characteristic smoothness and the freedom to draw them without the constraints of straight edges.</v>
      </c>
      <c r="R195" s="29" t="str">
        <f t="shared" si="22"/>
        <v>LU000224.005</v>
      </c>
      <c r="S195" s="29" t="str">
        <f ca="1">IFERROR(__xludf.dummyfunction("VLOOKUP(R195, IMPORTRANGE(""https://docs.google.com/spreadsheets/d/1yDAaXNsi4Mr5FtRQL4tbmSdIzhx6_m4wkOD7IG-k_eo/edit#gid=0"", ""Maths!M:N""), 2, FALSE)"),"#N/A")</f>
        <v>#N/A</v>
      </c>
      <c r="T195" s="29" t="str">
        <f t="shared" si="23"/>
        <v>LU000224.006</v>
      </c>
      <c r="U195" s="29" t="str">
        <f ca="1">IFERROR(__xludf.dummyfunction("VLOOKUP(T195, IMPORTRANGE(""https://docs.google.com/spreadsheets/d/1yDAaXNsi4Mr5FtRQL4tbmSdIzhx6_m4wkOD7IG-k_eo/edit#gid=0"", ""Maths!M:N""), 2, FALSE)"),"Create visual examples of curves, demonstrating the ability to draw them smoothly without lifting the pencil or using a ruler")</f>
        <v>Create visual examples of curves, demonstrating the ability to draw them smoothly without lifting the pencil or using a ruler</v>
      </c>
      <c r="V195" s="16">
        <f ca="1">IFERROR(__xludf.dummyfunction("ArrayFormula(VLOOKUP(G195, IMPORTRANGE(""https://docs.google.com/spreadsheets/d/1p7R4vtkWt5VOBim4ltsDG9KTzSjrtKXsMtQGXPHyND0/edit#gid=795171502"", ""'Filter 30_05_2024'!A1:M2000""), {2, 3, 4, 5,6,7,8,9,10,11,12,13}, 0))"),4)</f>
        <v>4</v>
      </c>
      <c r="W195" s="16">
        <f ca="1">IFERROR(__xludf.dummyfunction("""COMPUTED_VALUE"""),6)</f>
        <v>6</v>
      </c>
      <c r="X195" s="16">
        <f ca="1">IFERROR(__xludf.dummyfunction("""COMPUTED_VALUE"""),2)</f>
        <v>2</v>
      </c>
      <c r="Y195" s="16">
        <f ca="1">IFERROR(__xludf.dummyfunction("""COMPUTED_VALUE"""),12)</f>
        <v>12</v>
      </c>
      <c r="Z195" s="16">
        <f ca="1">IFERROR(__xludf.dummyfunction("""COMPUTED_VALUE"""),5)</f>
        <v>5</v>
      </c>
      <c r="AA195" s="30">
        <f ca="1">IFERROR(__xludf.dummyfunction("""COMPUTED_VALUE"""),3)</f>
        <v>3</v>
      </c>
      <c r="AB195" s="30">
        <f ca="1">IFERROR(__xludf.dummyfunction("""COMPUTED_VALUE"""),1)</f>
        <v>1</v>
      </c>
      <c r="AC195" s="30">
        <f ca="1">IFERROR(__xludf.dummyfunction("""COMPUTED_VALUE"""),9)</f>
        <v>9</v>
      </c>
      <c r="AD195" s="16"/>
      <c r="AE195" s="30"/>
      <c r="AF195" s="30"/>
      <c r="AG195" s="30"/>
    </row>
    <row r="196" spans="1:33" ht="26.4">
      <c r="A196" s="25"/>
      <c r="B196" s="26" t="s">
        <v>29</v>
      </c>
      <c r="C196" s="26" t="s">
        <v>310</v>
      </c>
      <c r="D196" s="26">
        <v>6</v>
      </c>
      <c r="E196" s="27" t="s">
        <v>593</v>
      </c>
      <c r="F196" s="28"/>
      <c r="G196" s="26" t="s">
        <v>601</v>
      </c>
      <c r="H196" s="28" t="str">
        <f ca="1">IFERROR(__xludf.dummyfunction("IFERROR(
  VLOOKUP(G196, IMPORTRANGE(""https://docs.google.com/spreadsheets/d/14deopnvwcrKtEGCKuYXdUHJbeLDZlkiSSWWT0g7x2pM/edit#gid=849066331"", ""LU List Maths (Filter)!A:B""), 2, FALSE),
  IFERROR(
    VLOOKUP(G196, IMPORTRANGE(""https://docs.google.com"&amp;"/spreadsheets/d/14deopnvwcrKtEGCKuYXdUHJbeLDZlkiSSWWT0g7x2pM/edit#gid=849066331"", ""LU List Science (Filter)!A:B""), 2, FALSE),
    ""Not Found""
  )
)
"),"Classification of curves")</f>
        <v>Classification of curves</v>
      </c>
      <c r="I196" s="28"/>
      <c r="J196" s="29" t="str">
        <f t="shared" si="18"/>
        <v>LU000225.001</v>
      </c>
      <c r="K196" s="29" t="str">
        <f ca="1">IFERROR(__xludf.dummyfunction("VLOOKUP(J196, IMPORTRANGE(""https://docs.google.com/spreadsheets/d/1yDAaXNsi4Mr5FtRQL4tbmSdIzhx6_m4wkOD7IG-k_eo/edit#gid=0"", ""Maths!M:N""), 2, FALSE)"),"Recall the definitions of simple, closed, and open curves.")</f>
        <v>Recall the definitions of simple, closed, and open curves.</v>
      </c>
      <c r="L196" s="29" t="str">
        <f t="shared" si="19"/>
        <v>LU000225.002</v>
      </c>
      <c r="M196" s="29" t="str">
        <f ca="1">IFERROR(__xludf.dummyfunction("VLOOKUP(L196, IMPORTRANGE(""https://docs.google.com/spreadsheets/d/1yDAaXNsi4Mr5FtRQL4tbmSdIzhx6_m4wkOD7IG-k_eo/edit#gid=0"", ""Maths!M:N""), 2, FALSE)"),"Give example(s) in order to demonstrate an understanding of a simple curve and a curve that is not simple.")</f>
        <v>Give example(s) in order to demonstrate an understanding of a simple curve and a curve that is not simple.</v>
      </c>
      <c r="N196" s="29" t="str">
        <f t="shared" si="20"/>
        <v>LU000225.003</v>
      </c>
      <c r="O196" s="29" t="str">
        <f ca="1">IFERROR(__xludf.dummyfunction("VLOOKUP(N196, IMPORTRANGE(""https://docs.google.com/spreadsheets/d/1yDAaXNsi4Mr5FtRQL4tbmSdIzhx6_m4wkOD7IG-k_eo/edit#gid=0"", ""Maths!M:N""), 2, FALSE)"),"Describe an open curve and a closed curve in order to distinguish between the two.")</f>
        <v>Describe an open curve and a closed curve in order to distinguish between the two.</v>
      </c>
      <c r="P196" s="29" t="str">
        <f t="shared" si="21"/>
        <v>LU000225.004</v>
      </c>
      <c r="Q196" s="29" t="str">
        <f ca="1">IFERROR(__xludf.dummyfunction("VLOOKUP(P196, IMPORTRANGE(""https://docs.google.com/spreadsheets/d/1yDAaXNsi4Mr5FtRQL4tbmSdIzhx6_m4wkOD7IG-k_eo/edit#gid=0"", ""Maths!M:N""), 2, FALSE)"),"Examine the given curves in order to classify them as simple, open and closed curves.")</f>
        <v>Examine the given curves in order to classify them as simple, open and closed curves.</v>
      </c>
      <c r="R196" s="29" t="str">
        <f t="shared" si="22"/>
        <v>LU000225.005</v>
      </c>
      <c r="S196" s="29" t="str">
        <f ca="1">IFERROR(__xludf.dummyfunction("VLOOKUP(R196, IMPORTRANGE(""https://docs.google.com/spreadsheets/d/1yDAaXNsi4Mr5FtRQL4tbmSdIzhx6_m4wkOD7IG-k_eo/edit#gid=0"", ""Maths!M:N""), 2, FALSE)"),"Evaluate the significance of understanding and classifying curves into simple, closed, and open.")</f>
        <v>Evaluate the significance of understanding and classifying curves into simple, closed, and open.</v>
      </c>
      <c r="T196" s="29" t="str">
        <f t="shared" si="23"/>
        <v>LU000225.006</v>
      </c>
      <c r="U196" s="29" t="str">
        <f ca="1">IFERROR(__xludf.dummyfunction("VLOOKUP(T196, IMPORTRANGE(""https://docs.google.com/spreadsheets/d/1yDAaXNsi4Mr5FtRQL4tbmSdIzhx6_m4wkOD7IG-k_eo/edit#gid=0"", ""Maths!M:N""), 2, FALSE)"),"Create examples of curves that fall under each classification (simple, closed, open), showcasing the ability to differentiate and represent each type accurately.")</f>
        <v>Create examples of curves that fall under each classification (simple, closed, open), showcasing the ability to differentiate and represent each type accurately.</v>
      </c>
      <c r="V196" s="16">
        <f ca="1">IFERROR(__xludf.dummyfunction("ArrayFormula(VLOOKUP(G196, IMPORTRANGE(""https://docs.google.com/spreadsheets/d/1p7R4vtkWt5VOBim4ltsDG9KTzSjrtKXsMtQGXPHyND0/edit#gid=795171502"", ""'Filter 30_05_2024'!A1:M2000""), {2, 3, 4, 5,6,7,8,9,10,11,12,13}, 0))"),10)</f>
        <v>10</v>
      </c>
      <c r="W196" s="16">
        <f ca="1">IFERROR(__xludf.dummyfunction("""COMPUTED_VALUE"""),4)</f>
        <v>4</v>
      </c>
      <c r="X196" s="16">
        <f ca="1">IFERROR(__xludf.dummyfunction("""COMPUTED_VALUE"""),2)</f>
        <v>2</v>
      </c>
      <c r="Y196" s="16">
        <f ca="1">IFERROR(__xludf.dummyfunction("""COMPUTED_VALUE"""),16)</f>
        <v>16</v>
      </c>
      <c r="Z196" s="16">
        <f ca="1">IFERROR(__xludf.dummyfunction("""COMPUTED_VALUE"""),6)</f>
        <v>6</v>
      </c>
      <c r="AA196" s="30">
        <f ca="1">IFERROR(__xludf.dummyfunction("""COMPUTED_VALUE"""),3)</f>
        <v>3</v>
      </c>
      <c r="AB196" s="30">
        <f ca="1">IFERROR(__xludf.dummyfunction("""COMPUTED_VALUE"""),1)</f>
        <v>1</v>
      </c>
      <c r="AC196" s="30">
        <f ca="1">IFERROR(__xludf.dummyfunction("""COMPUTED_VALUE"""),10)</f>
        <v>10</v>
      </c>
      <c r="AD196" s="16"/>
      <c r="AE196" s="30"/>
      <c r="AF196" s="30"/>
      <c r="AG196" s="30"/>
    </row>
    <row r="197" spans="1:33" ht="26.4">
      <c r="A197" s="25"/>
      <c r="B197" s="26" t="s">
        <v>29</v>
      </c>
      <c r="C197" s="26" t="s">
        <v>310</v>
      </c>
      <c r="D197" s="26">
        <v>6</v>
      </c>
      <c r="E197" s="27" t="s">
        <v>593</v>
      </c>
      <c r="F197" s="28"/>
      <c r="G197" s="26" t="s">
        <v>602</v>
      </c>
      <c r="H197" s="28" t="str">
        <f ca="1">IFERROR(__xludf.dummyfunction("IFERROR(
  VLOOKUP(G197, IMPORTRANGE(""https://docs.google.com/spreadsheets/d/14deopnvwcrKtEGCKuYXdUHJbeLDZlkiSSWWT0g7x2pM/edit#gid=849066331"", ""LU List Maths (Filter)!A:B""), 2, FALSE),
  IFERROR(
    VLOOKUP(G197, IMPORTRANGE(""https://docs.google.com"&amp;"/spreadsheets/d/14deopnvwcrKtEGCKuYXdUHJbeLDZlkiSSWWT0g7x2pM/edit#gid=849066331"", ""LU List Science (Filter)!A:B""), 2, FALSE),
    ""Not Found""
  )
)
"),"Region of a closed curve")</f>
        <v>Region of a closed curve</v>
      </c>
      <c r="I197" s="28"/>
      <c r="J197" s="29" t="str">
        <f t="shared" si="18"/>
        <v>LU000226.001</v>
      </c>
      <c r="K197" s="29" t="str">
        <f ca="1">IFERROR(__xludf.dummyfunction("VLOOKUP(J197, IMPORTRANGE(""https://docs.google.com/spreadsheets/d/1yDAaXNsi4Mr5FtRQL4tbmSdIzhx6_m4wkOD7IG-k_eo/edit#gid=0"", ""Maths!M:N""), 2, FALSE)"),"Discuss the parts of a closed curve in order to determine the position of a point with respect to it.")</f>
        <v>Discuss the parts of a closed curve in order to determine the position of a point with respect to it.</v>
      </c>
      <c r="L197" s="29" t="str">
        <f t="shared" si="19"/>
        <v>LU000226.002</v>
      </c>
      <c r="M197" s="29" t="str">
        <f ca="1">IFERROR(__xludf.dummyfunction("VLOOKUP(L197, IMPORTRANGE(""https://docs.google.com/spreadsheets/d/1yDAaXNsi4Mr5FtRQL4tbmSdIzhx6_m4wkOD7IG-k_eo/edit#gid=0"", ""Maths!M:N""), 2, FALSE)"),"Demonstrate and define the region of a closed curve.")</f>
        <v>Demonstrate and define the region of a closed curve.</v>
      </c>
      <c r="N197" s="29" t="str">
        <f t="shared" si="20"/>
        <v>LU000226.003</v>
      </c>
      <c r="O197" s="29" t="str">
        <f ca="1">IFERROR(__xludf.dummyfunction("VLOOKUP(N197, IMPORTRANGE(""https://docs.google.com/spreadsheets/d/1yDAaXNsi4Mr5FtRQL4tbmSdIzhx6_m4wkOD7IG-k_eo/edit#gid=0"", ""Maths!M:N""), 2, FALSE)"),"Apply the knowledge of regions formed by closed curves to correctly identify and label interior, exterior, and boundary areas in given diagrams")</f>
        <v>Apply the knowledge of regions formed by closed curves to correctly identify and label interior, exterior, and boundary areas in given diagrams</v>
      </c>
      <c r="P197" s="29" t="str">
        <f t="shared" si="21"/>
        <v>LU000226.004</v>
      </c>
      <c r="Q197" s="29" t="str">
        <f ca="1">IFERROR(__xludf.dummyfunction("VLOOKUP(P197, IMPORTRANGE(""https://docs.google.com/spreadsheets/d/1yDAaXNsi4Mr5FtRQL4tbmSdIzhx6_m4wkOD7IG-k_eo/edit#gid=0"", ""Maths!M:N""), 2, FALSE)"),"Analyse the closed curves to identify the location of points in relation to the interior, exterior, and boundary regions.")</f>
        <v>Analyse the closed curves to identify the location of points in relation to the interior, exterior, and boundary regions.</v>
      </c>
      <c r="R197" s="29" t="str">
        <f t="shared" si="22"/>
        <v>LU000226.005</v>
      </c>
      <c r="S197" s="29" t="str">
        <f ca="1">IFERROR(__xludf.dummyfunction("VLOOKUP(R197, IMPORTRANGE(""https://docs.google.com/spreadsheets/d/1yDAaXNsi4Mr5FtRQL4tbmSdIzhx6_m4wkOD7IG-k_eo/edit#gid=0"", ""Maths!M:N""), 2, FALSE)"),"#N/A")</f>
        <v>#N/A</v>
      </c>
      <c r="T197" s="29" t="str">
        <f t="shared" si="23"/>
        <v>LU000226.006</v>
      </c>
      <c r="U197" s="29" t="str">
        <f ca="1">IFERROR(__xludf.dummyfunction("VLOOKUP(T197, IMPORTRANGE(""https://docs.google.com/spreadsheets/d/1yDAaXNsi4Mr5FtRQL4tbmSdIzhx6_m4wkOD7IG-k_eo/edit#gid=0"", ""Maths!M:N""), 2, FALSE)"),"Create visual representations of closed curves along with their interior, exterior, and boundary regions, showcasing the ability to accurately depict and differentiate these regions.")</f>
        <v>Create visual representations of closed curves along with their interior, exterior, and boundary regions, showcasing the ability to accurately depict and differentiate these regions.</v>
      </c>
      <c r="V197" s="16">
        <f ca="1">IFERROR(__xludf.dummyfunction("ArrayFormula(VLOOKUP(G197, IMPORTRANGE(""https://docs.google.com/spreadsheets/d/1p7R4vtkWt5VOBim4ltsDG9KTzSjrtKXsMtQGXPHyND0/edit#gid=795171502"", ""'Filter 30_05_2024'!A1:M2000""), {2, 3, 4, 5,6,7,8,9,10,11,12,13}, 0))"),2)</f>
        <v>2</v>
      </c>
      <c r="W197" s="16">
        <f ca="1">IFERROR(__xludf.dummyfunction("""COMPUTED_VALUE"""),7)</f>
        <v>7</v>
      </c>
      <c r="X197" s="16">
        <f ca="1">IFERROR(__xludf.dummyfunction("""COMPUTED_VALUE"""),2)</f>
        <v>2</v>
      </c>
      <c r="Y197" s="16">
        <f ca="1">IFERROR(__xludf.dummyfunction("""COMPUTED_VALUE"""),11)</f>
        <v>11</v>
      </c>
      <c r="Z197" s="16">
        <f ca="1">IFERROR(__xludf.dummyfunction("""COMPUTED_VALUE"""),4)</f>
        <v>4</v>
      </c>
      <c r="AA197" s="30">
        <f ca="1">IFERROR(__xludf.dummyfunction("""COMPUTED_VALUE"""),5)</f>
        <v>5</v>
      </c>
      <c r="AB197" s="30">
        <f ca="1">IFERROR(__xludf.dummyfunction("""COMPUTED_VALUE"""),2)</f>
        <v>2</v>
      </c>
      <c r="AC197" s="30">
        <f ca="1">IFERROR(__xludf.dummyfunction("""COMPUTED_VALUE"""),11)</f>
        <v>11</v>
      </c>
      <c r="AD197" s="16"/>
      <c r="AE197" s="30"/>
      <c r="AF197" s="30"/>
      <c r="AG197" s="30"/>
    </row>
    <row r="198" spans="1:33" ht="26.4">
      <c r="A198" s="25"/>
      <c r="B198" s="26" t="s">
        <v>29</v>
      </c>
      <c r="C198" s="26" t="s">
        <v>310</v>
      </c>
      <c r="D198" s="26">
        <v>6</v>
      </c>
      <c r="E198" s="27" t="s">
        <v>593</v>
      </c>
      <c r="F198" s="28"/>
      <c r="G198" s="26" t="s">
        <v>603</v>
      </c>
      <c r="H198" s="28" t="str">
        <f ca="1">IFERROR(__xludf.dummyfunction("IFERROR(
  VLOOKUP(G198, IMPORTRANGE(""https://docs.google.com/spreadsheets/d/14deopnvwcrKtEGCKuYXdUHJbeLDZlkiSSWWT0g7x2pM/edit#gid=849066331"", ""LU List Maths (Filter)!A:B""), 2, FALSE),
  IFERROR(
    VLOOKUP(G198, IMPORTRANGE(""https://docs.google.com"&amp;"/spreadsheets/d/14deopnvwcrKtEGCKuYXdUHJbeLDZlkiSSWWT0g7x2pM/edit#gid=849066331"", ""LU List Science (Filter)!A:B""), 2, FALSE),
    ""Not Found""
  )
)
"),"Definition of linear boundary ")</f>
        <v xml:space="preserve">Definition of linear boundary </v>
      </c>
      <c r="I198" s="28"/>
      <c r="J198" s="29" t="str">
        <f t="shared" si="18"/>
        <v>LU001107.001</v>
      </c>
      <c r="K198" s="29" t="str">
        <f ca="1">IFERROR(__xludf.dummyfunction("VLOOKUP(J198, IMPORTRANGE(""https://docs.google.com/spreadsheets/d/1yDAaXNsi4Mr5FtRQL4tbmSdIzhx6_m4wkOD7IG-k_eo/edit#gid=0"", ""Maths!M:N""), 2, FALSE)"),"Recall the definition of a linear boundary.")</f>
        <v>Recall the definition of a linear boundary.</v>
      </c>
      <c r="L198" s="29" t="str">
        <f t="shared" si="19"/>
        <v>LU001107.002</v>
      </c>
      <c r="M198" s="29" t="str">
        <f ca="1">IFERROR(__xludf.dummyfunction("VLOOKUP(L198, IMPORTRANGE(""https://docs.google.com/spreadsheets/d/1yDAaXNsi4Mr5FtRQL4tbmSdIzhx6_m4wkOD7IG-k_eo/edit#gid=0"", ""Maths!M:N""), 2, FALSE)"),"Explain the characteristics of a linear boundary.")</f>
        <v>Explain the characteristics of a linear boundary.</v>
      </c>
      <c r="N198" s="29" t="str">
        <f t="shared" si="20"/>
        <v>LU001107.003</v>
      </c>
      <c r="O198" s="29" t="str">
        <f ca="1">IFERROR(__xludf.dummyfunction("VLOOKUP(N198, IMPORTRANGE(""https://docs.google.com/spreadsheets/d/1yDAaXNsi4Mr5FtRQL4tbmSdIzhx6_m4wkOD7IG-k_eo/edit#gid=0"", ""Maths!M:N""), 2, FALSE)"),"Identify linear boundaries in various geometric shapes.")</f>
        <v>Identify linear boundaries in various geometric shapes.</v>
      </c>
      <c r="P198" s="29" t="str">
        <f t="shared" si="21"/>
        <v>LU001107.004</v>
      </c>
      <c r="Q198" s="29" t="str">
        <f ca="1">IFERROR(__xludf.dummyfunction("VLOOKUP(P198, IMPORTRANGE(""https://docs.google.com/spreadsheets/d/1yDAaXNsi4Mr5FtRQL4tbmSdIzhx6_m4wkOD7IG-k_eo/edit#gid=0"", ""Maths!M:N""), 2, FALSE)"),"Analyse shapes to distinguish between linear and non-linear boundaries.")</f>
        <v>Analyse shapes to distinguish between linear and non-linear boundaries.</v>
      </c>
      <c r="R198" s="29" t="str">
        <f t="shared" si="22"/>
        <v>LU001107.005</v>
      </c>
      <c r="S198" s="29" t="str">
        <f ca="1">IFERROR(__xludf.dummyfunction("VLOOKUP(R198, IMPORTRANGE(""https://docs.google.com/spreadsheets/d/1yDAaXNsi4Mr5FtRQL4tbmSdIzhx6_m4wkOD7IG-k_eo/edit#gid=0"", ""Maths!M:N""), 2, FALSE)"),"Evaluate the use of linear boundaries in different geometric contexts.")</f>
        <v>Evaluate the use of linear boundaries in different geometric contexts.</v>
      </c>
      <c r="T198" s="29" t="str">
        <f t="shared" si="23"/>
        <v>LU001107.006</v>
      </c>
      <c r="U198" s="29" t="str">
        <f ca="1">IFERROR(__xludf.dummyfunction("VLOOKUP(T198, IMPORTRANGE(""https://docs.google.com/spreadsheets/d/1yDAaXNsi4Mr5FtRQL4tbmSdIzhx6_m4wkOD7IG-k_eo/edit#gid=0"", ""Maths!M:N""), 2, FALSE)"),"Create a geometric drawing or problem that incorporates the concept of linear boundaries.")</f>
        <v>Create a geometric drawing or problem that incorporates the concept of linear boundaries.</v>
      </c>
      <c r="V198" s="16" t="str">
        <f ca="1">IFERROR(__xludf.dummyfunction("ArrayFormula(VLOOKUP(G198, IMPORTRANGE(""https://docs.google.com/spreadsheets/d/1p7R4vtkWt5VOBim4ltsDG9KTzSjrtKXsMtQGXPHyND0/edit#gid=795171502"", ""'Filter 30_05_2024'!A1:M2000""), {2, 3, 4, 5,6,7,8,9,10,11,12,13}, 0))"),"#N/A")</f>
        <v>#N/A</v>
      </c>
      <c r="W198" s="16" t="str">
        <f ca="1">IFERROR(__xludf.dummyfunction("""COMPUTED_VALUE"""),"#N/A")</f>
        <v>#N/A</v>
      </c>
      <c r="X198" s="16" t="str">
        <f ca="1">IFERROR(__xludf.dummyfunction("""COMPUTED_VALUE"""),"#N/A")</f>
        <v>#N/A</v>
      </c>
      <c r="Y198" s="16" t="str">
        <f ca="1">IFERROR(__xludf.dummyfunction("""COMPUTED_VALUE"""),"#N/A")</f>
        <v>#N/A</v>
      </c>
      <c r="Z198" s="16" t="str">
        <f ca="1">IFERROR(__xludf.dummyfunction("""COMPUTED_VALUE"""),"#N/A")</f>
        <v>#N/A</v>
      </c>
      <c r="AA198" s="30" t="str">
        <f ca="1">IFERROR(__xludf.dummyfunction("""COMPUTED_VALUE"""),"#N/A")</f>
        <v>#N/A</v>
      </c>
      <c r="AB198" s="30" t="str">
        <f ca="1">IFERROR(__xludf.dummyfunction("""COMPUTED_VALUE"""),"#N/A")</f>
        <v>#N/A</v>
      </c>
      <c r="AC198" s="30" t="str">
        <f ca="1">IFERROR(__xludf.dummyfunction("""COMPUTED_VALUE"""),"#N/A")</f>
        <v>#N/A</v>
      </c>
      <c r="AD198" s="16" t="str">
        <f ca="1">IFERROR(__xludf.dummyfunction("""COMPUTED_VALUE"""),"#N/A")</f>
        <v>#N/A</v>
      </c>
      <c r="AE198" s="30" t="str">
        <f ca="1">IFERROR(__xludf.dummyfunction("""COMPUTED_VALUE"""),"#N/A")</f>
        <v>#N/A</v>
      </c>
      <c r="AF198" s="30" t="str">
        <f ca="1">IFERROR(__xludf.dummyfunction("""COMPUTED_VALUE"""),"#N/A")</f>
        <v>#N/A</v>
      </c>
      <c r="AG198" s="30" t="str">
        <f ca="1">IFERROR(__xludf.dummyfunction("""COMPUTED_VALUE"""),"#N/A")</f>
        <v>#N/A</v>
      </c>
    </row>
    <row r="199" spans="1:33" ht="26.4">
      <c r="A199" s="25"/>
      <c r="B199" s="26" t="s">
        <v>29</v>
      </c>
      <c r="C199" s="26" t="s">
        <v>310</v>
      </c>
      <c r="D199" s="26">
        <v>6</v>
      </c>
      <c r="E199" s="27" t="s">
        <v>593</v>
      </c>
      <c r="F199" s="28"/>
      <c r="G199" s="39" t="s">
        <v>604</v>
      </c>
      <c r="H199" s="28" t="str">
        <f ca="1">IFERROR(__xludf.dummyfunction("IFERROR(
  VLOOKUP(G199, IMPORTRANGE(""https://docs.google.com/spreadsheets/d/14deopnvwcrKtEGCKuYXdUHJbeLDZlkiSSWWT0g7x2pM/edit#gid=849066331"", ""LU List Maths (Filter)!A:B""), 2, FALSE),
  IFERROR(
    VLOOKUP(G199, IMPORTRANGE(""https://docs.google.com"&amp;"/spreadsheets/d/14deopnvwcrKtEGCKuYXdUHJbeLDZlkiSSWWT0g7x2pM/edit#gid=849066331"", ""LU List Science (Filter)!A:B""), 2, FALSE),
    ""Not Found""
  )
)
"),"Definition of curvilinear boundary ")</f>
        <v xml:space="preserve">Definition of curvilinear boundary </v>
      </c>
      <c r="I199" s="28"/>
      <c r="J199" s="29" t="str">
        <f t="shared" si="18"/>
        <v>LU001108.001</v>
      </c>
      <c r="K199" s="29" t="str">
        <f ca="1">IFERROR(__xludf.dummyfunction("VLOOKUP(J199, IMPORTRANGE(""https://docs.google.com/spreadsheets/d/1yDAaXNsi4Mr5FtRQL4tbmSdIzhx6_m4wkOD7IG-k_eo/edit#gid=0"", ""Maths!M:N""), 2, FALSE)"),"Memorise the definition of a curvilinear boundary.")</f>
        <v>Memorise the definition of a curvilinear boundary.</v>
      </c>
      <c r="L199" s="29" t="str">
        <f t="shared" si="19"/>
        <v>LU001108.002</v>
      </c>
      <c r="M199" s="29" t="str">
        <f ca="1">IFERROR(__xludf.dummyfunction("VLOOKUP(L199, IMPORTRANGE(""https://docs.google.com/spreadsheets/d/1yDAaXNsi4Mr5FtRQL4tbmSdIzhx6_m4wkOD7IG-k_eo/edit#gid=0"", ""Maths!M:N""), 2, FALSE)"),"Explain what constitutes a curvilinear boundary in simple terms.")</f>
        <v>Explain what constitutes a curvilinear boundary in simple terms.</v>
      </c>
      <c r="N199" s="29" t="str">
        <f t="shared" si="20"/>
        <v>LU001108.003</v>
      </c>
      <c r="O199" s="29" t="str">
        <f ca="1">IFERROR(__xludf.dummyfunction("VLOOKUP(N199, IMPORTRANGE(""https://docs.google.com/spreadsheets/d/1yDAaXNsi4Mr5FtRQL4tbmSdIzhx6_m4wkOD7IG-k_eo/edit#gid=0"", ""Maths!M:N""), 2, FALSE)"),"Identify curvilinear boundaries in various geometric shapes.")</f>
        <v>Identify curvilinear boundaries in various geometric shapes.</v>
      </c>
      <c r="P199" s="29" t="str">
        <f t="shared" si="21"/>
        <v>LU001108.004</v>
      </c>
      <c r="Q199" s="29" t="str">
        <f ca="1">IFERROR(__xludf.dummyfunction("VLOOKUP(P199, IMPORTRANGE(""https://docs.google.com/spreadsheets/d/1yDAaXNsi4Mr5FtRQL4tbmSdIzhx6_m4wkOD7IG-k_eo/edit#gid=0"", ""Maths!M:N""), 2, FALSE)"),"Analyse shapes to distinguish between curvilinear and linear boundaries.")</f>
        <v>Analyse shapes to distinguish between curvilinear and linear boundaries.</v>
      </c>
      <c r="R199" s="29" t="str">
        <f t="shared" si="22"/>
        <v>LU001108.005</v>
      </c>
      <c r="S199" s="29" t="str">
        <f ca="1">IFERROR(__xludf.dummyfunction("VLOOKUP(R199, IMPORTRANGE(""https://docs.google.com/spreadsheets/d/1yDAaXNsi4Mr5FtRQL4tbmSdIzhx6_m4wkOD7IG-k_eo/edit#gid=0"", ""Maths!M:N""), 2, FALSE)"),"Evaluate the use of curvilinear boundaries in different geometric contexts.")</f>
        <v>Evaluate the use of curvilinear boundaries in different geometric contexts.</v>
      </c>
      <c r="T199" s="29" t="str">
        <f t="shared" si="23"/>
        <v>LU001108.006</v>
      </c>
      <c r="U199" s="29" t="str">
        <f ca="1">IFERROR(__xludf.dummyfunction("VLOOKUP(T199, IMPORTRANGE(""https://docs.google.com/spreadsheets/d/1yDAaXNsi4Mr5FtRQL4tbmSdIzhx6_m4wkOD7IG-k_eo/edit#gid=0"", ""Maths!M:N""), 2, FALSE)"),"Create a drawing or model that effectively demonstrates the concept of a curvilinear boundary.")</f>
        <v>Create a drawing or model that effectively demonstrates the concept of a curvilinear boundary.</v>
      </c>
      <c r="V199" s="16" t="str">
        <f ca="1">IFERROR(__xludf.dummyfunction("ArrayFormula(VLOOKUP(G199, IMPORTRANGE(""https://docs.google.com/spreadsheets/d/1p7R4vtkWt5VOBim4ltsDG9KTzSjrtKXsMtQGXPHyND0/edit#gid=795171502"", ""'Filter 30_05_2024'!A1:M2000""), {2, 3, 4, 5,6,7,8,9,10,11,12,13}, 0))"),"#N/A")</f>
        <v>#N/A</v>
      </c>
      <c r="W199" s="16" t="str">
        <f ca="1">IFERROR(__xludf.dummyfunction("""COMPUTED_VALUE"""),"#N/A")</f>
        <v>#N/A</v>
      </c>
      <c r="X199" s="16" t="str">
        <f ca="1">IFERROR(__xludf.dummyfunction("""COMPUTED_VALUE"""),"#N/A")</f>
        <v>#N/A</v>
      </c>
      <c r="Y199" s="16" t="str">
        <f ca="1">IFERROR(__xludf.dummyfunction("""COMPUTED_VALUE"""),"#N/A")</f>
        <v>#N/A</v>
      </c>
      <c r="Z199" s="16" t="str">
        <f ca="1">IFERROR(__xludf.dummyfunction("""COMPUTED_VALUE"""),"#N/A")</f>
        <v>#N/A</v>
      </c>
      <c r="AA199" s="30" t="str">
        <f ca="1">IFERROR(__xludf.dummyfunction("""COMPUTED_VALUE"""),"#N/A")</f>
        <v>#N/A</v>
      </c>
      <c r="AB199" s="30" t="str">
        <f ca="1">IFERROR(__xludf.dummyfunction("""COMPUTED_VALUE"""),"#N/A")</f>
        <v>#N/A</v>
      </c>
      <c r="AC199" s="30" t="str">
        <f ca="1">IFERROR(__xludf.dummyfunction("""COMPUTED_VALUE"""),"#N/A")</f>
        <v>#N/A</v>
      </c>
      <c r="AD199" s="16" t="str">
        <f ca="1">IFERROR(__xludf.dummyfunction("""COMPUTED_VALUE"""),"#N/A")</f>
        <v>#N/A</v>
      </c>
      <c r="AE199" s="30" t="str">
        <f ca="1">IFERROR(__xludf.dummyfunction("""COMPUTED_VALUE"""),"#N/A")</f>
        <v>#N/A</v>
      </c>
      <c r="AF199" s="30" t="str">
        <f ca="1">IFERROR(__xludf.dummyfunction("""COMPUTED_VALUE"""),"#N/A")</f>
        <v>#N/A</v>
      </c>
      <c r="AG199" s="30" t="str">
        <f ca="1">IFERROR(__xludf.dummyfunction("""COMPUTED_VALUE"""),"#N/A")</f>
        <v>#N/A</v>
      </c>
    </row>
    <row r="200" spans="1:33" ht="26.4">
      <c r="A200" s="25"/>
      <c r="B200" s="26" t="s">
        <v>29</v>
      </c>
      <c r="C200" s="26" t="s">
        <v>310</v>
      </c>
      <c r="D200" s="26">
        <v>6</v>
      </c>
      <c r="E200" s="27" t="s">
        <v>593</v>
      </c>
      <c r="F200" s="28" t="s">
        <v>605</v>
      </c>
      <c r="G200" s="26" t="s">
        <v>606</v>
      </c>
      <c r="H200" s="28" t="str">
        <f ca="1">IFERROR(__xludf.dummyfunction("IFERROR(
  VLOOKUP(G200, IMPORTRANGE(""https://docs.google.com/spreadsheets/d/14deopnvwcrKtEGCKuYXdUHJbeLDZlkiSSWWT0g7x2pM/edit#gid=849066331"", ""LU List Maths (Filter)!A:B""), 2, FALSE),
  IFERROR(
    VLOOKUP(G200, IMPORTRANGE(""https://docs.google.com"&amp;"/spreadsheets/d/14deopnvwcrKtEGCKuYXdUHJbeLDZlkiSSWWT0g7x2pM/edit#gid=849066331"", ""LU List Science (Filter)!A:B""), 2, FALSE),
    ""Not Found""
  )
)
"),"Parts of an angle")</f>
        <v>Parts of an angle</v>
      </c>
      <c r="I200" s="28"/>
      <c r="J200" s="29" t="str">
        <f t="shared" si="18"/>
        <v>LU000228.001</v>
      </c>
      <c r="K200" s="29" t="str">
        <f ca="1">IFERROR(__xludf.dummyfunction("VLOOKUP(J200, IMPORTRANGE(""https://docs.google.com/spreadsheets/d/1yDAaXNsi4Mr5FtRQL4tbmSdIzhx6_m4wkOD7IG-k_eo/edit#gid=0"", ""Maths!M:N""), 2, FALSE)"),"Recall the definitions of lexical explanation of angles., including arms or sides, vertex, interior, and exterior of an angle.")</f>
        <v>Recall the definitions of lexical explanation of angles., including arms or sides, vertex, interior, and exterior of an angle.</v>
      </c>
      <c r="L200" s="29" t="str">
        <f t="shared" si="19"/>
        <v>LU000228.002</v>
      </c>
      <c r="M200" s="29" t="str">
        <f ca="1">IFERROR(__xludf.dummyfunction("VLOOKUP(L200, IMPORTRANGE(""https://docs.google.com/spreadsheets/d/1yDAaXNsi4Mr5FtRQL4tbmSdIzhx6_m4wkOD7IG-k_eo/edit#gid=0"", ""Maths!M:N""), 2, FALSE)"),"Apply the knowledge of angle naming to correctly label and identify angles in given geometric figures.")</f>
        <v>Apply the knowledge of angle naming to correctly label and identify angles in given geometric figures.</v>
      </c>
      <c r="N200" s="29" t="str">
        <f t="shared" si="20"/>
        <v>LU000228.003</v>
      </c>
      <c r="O200" s="29" t="str">
        <f ca="1">IFERROR(__xludf.dummyfunction("VLOOKUP(N200, IMPORTRANGE(""https://docs.google.com/spreadsheets/d/1yDAaXNsi4Mr5FtRQL4tbmSdIzhx6_m4wkOD7IG-k_eo/edit#gid=0"", ""Maths!M:N""), 2, FALSE)"),"Apply the knowledge of angle components to accurately label and describe the arms or sides, vertex, interior, and exterior of various angles in given geometric figures.")</f>
        <v>Apply the knowledge of angle components to accurately label and describe the arms or sides, vertex, interior, and exterior of various angles in given geometric figures.</v>
      </c>
      <c r="P200" s="29" t="str">
        <f t="shared" si="21"/>
        <v>LU000228.004</v>
      </c>
      <c r="Q200" s="29" t="str">
        <f ca="1">IFERROR(__xludf.dummyfunction("VLOOKUP(P200, IMPORTRANGE(""https://docs.google.com/spreadsheets/d/1yDAaXNsi4Mr5FtRQL4tbmSdIzhx6_m4wkOD7IG-k_eo/edit#gid=0"", ""Maths!M:N""), 2, FALSE)"),"Dissect and categorize the different components of an angle, analyzing their relationships and functions within various types of angles.")</f>
        <v>Dissect and categorize the different components of an angle, analyzing their relationships and functions within various types of angles.</v>
      </c>
      <c r="R200" s="29" t="str">
        <f t="shared" si="22"/>
        <v>LU000228.005</v>
      </c>
      <c r="S200" s="29" t="str">
        <f ca="1">IFERROR(__xludf.dummyfunction("VLOOKUP(R200, IMPORTRANGE(""https://docs.google.com/spreadsheets/d/1yDAaXNsi4Mr5FtRQL4tbmSdIzhx6_m4wkOD7IG-k_eo/edit#gid=0"", ""Maths!M:N""), 2, FALSE)"),"Evaluate the significance of understanding angle components, recognizing how the arms or sides, vertex, interior, and exterior collectively contribute to angle measurement and spatial interpretation.")</f>
        <v>Evaluate the significance of understanding angle components, recognizing how the arms or sides, vertex, interior, and exterior collectively contribute to angle measurement and spatial interpretation.</v>
      </c>
      <c r="T200" s="29" t="str">
        <f t="shared" si="23"/>
        <v>LU000228.006</v>
      </c>
      <c r="U200" s="29" t="str">
        <f ca="1">IFERROR(__xludf.dummyfunction("VLOOKUP(T200, IMPORTRANGE(""https://docs.google.com/spreadsheets/d/1yDAaXNsi4Mr5FtRQL4tbmSdIzhx6_m4wkOD7IG-k_eo/edit#gid=0"", ""Maths!M:N""), 2, FALSE)"),"Create visual representations of angles with their components, showcasing the ability to illustrate arms or sides, vertex, interior, and exterior accurately and consistently.")</f>
        <v>Create visual representations of angles with their components, showcasing the ability to illustrate arms or sides, vertex, interior, and exterior accurately and consistently.</v>
      </c>
      <c r="V200" s="16">
        <f ca="1">IFERROR(__xludf.dummyfunction("ArrayFormula(VLOOKUP(G200, IMPORTRANGE(""https://docs.google.com/spreadsheets/d/1p7R4vtkWt5VOBim4ltsDG9KTzSjrtKXsMtQGXPHyND0/edit#gid=795171502"", ""'Filter 30_05_2024'!A1:M2000""), {2, 3, 4, 5,6,7,8,9,10,11,12,13}, 0))"),5)</f>
        <v>5</v>
      </c>
      <c r="W200" s="16">
        <f ca="1">IFERROR(__xludf.dummyfunction("""COMPUTED_VALUE"""),5)</f>
        <v>5</v>
      </c>
      <c r="X200" s="16">
        <f ca="1">IFERROR(__xludf.dummyfunction("""COMPUTED_VALUE"""),2)</f>
        <v>2</v>
      </c>
      <c r="Y200" s="16">
        <f ca="1">IFERROR(__xludf.dummyfunction("""COMPUTED_VALUE"""),12)</f>
        <v>12</v>
      </c>
      <c r="Z200" s="16">
        <f ca="1">IFERROR(__xludf.dummyfunction("""COMPUTED_VALUE"""),5)</f>
        <v>5</v>
      </c>
      <c r="AA200" s="30">
        <f ca="1">IFERROR(__xludf.dummyfunction("""COMPUTED_VALUE"""),7)</f>
        <v>7</v>
      </c>
      <c r="AB200" s="30">
        <f ca="1">IFERROR(__xludf.dummyfunction("""COMPUTED_VALUE"""),1)</f>
        <v>1</v>
      </c>
      <c r="AC200" s="30">
        <f ca="1">IFERROR(__xludf.dummyfunction("""COMPUTED_VALUE"""),13)</f>
        <v>13</v>
      </c>
      <c r="AD200" s="16"/>
      <c r="AE200" s="30"/>
      <c r="AF200" s="30"/>
      <c r="AG200" s="30"/>
    </row>
    <row r="201" spans="1:33" ht="26.4">
      <c r="A201" s="25"/>
      <c r="B201" s="26" t="s">
        <v>29</v>
      </c>
      <c r="C201" s="26" t="s">
        <v>310</v>
      </c>
      <c r="D201" s="26">
        <v>6</v>
      </c>
      <c r="E201" s="27" t="s">
        <v>593</v>
      </c>
      <c r="F201" s="28" t="s">
        <v>607</v>
      </c>
      <c r="G201" s="26" t="s">
        <v>608</v>
      </c>
      <c r="H201" s="28" t="str">
        <f ca="1">IFERROR(__xludf.dummyfunction("IFERROR(
  VLOOKUP(G201, IMPORTRANGE(""https://docs.google.com/spreadsheets/d/14deopnvwcrKtEGCKuYXdUHJbeLDZlkiSSWWT0g7x2pM/edit#gid=849066331"", ""LU List Maths (Filter)!A:B""), 2, FALSE),
  IFERROR(
    VLOOKUP(G201, IMPORTRANGE(""https://docs.google.com"&amp;"/spreadsheets/d/14deopnvwcrKtEGCKuYXdUHJbeLDZlkiSSWWT0g7x2pM/edit#gid=849066331"", ""LU List Science (Filter)!A:B""), 2, FALSE),
    ""Not Found""
  )
)
"),"Lexical explanation of triangle")</f>
        <v>Lexical explanation of triangle</v>
      </c>
      <c r="I201" s="28"/>
      <c r="J201" s="29" t="str">
        <f t="shared" si="18"/>
        <v>LU000229.001</v>
      </c>
      <c r="K201" s="29" t="str">
        <f ca="1">IFERROR(__xludf.dummyfunction("VLOOKUP(J201, IMPORTRANGE(""https://docs.google.com/spreadsheets/d/1yDAaXNsi4Mr5FtRQL4tbmSdIzhx6_m4wkOD7IG-k_eo/edit#gid=0"", ""Maths!M:N""), 2, FALSE)"),"State the definition of a triangle as a polygon and identify the elements of the triangle.")</f>
        <v>State the definition of a triangle as a polygon and identify the elements of the triangle.</v>
      </c>
      <c r="L201" s="29" t="str">
        <f t="shared" si="19"/>
        <v>LU000229.002</v>
      </c>
      <c r="M201" s="29" t="str">
        <f ca="1">IFERROR(__xludf.dummyfunction("VLOOKUP(L201, IMPORTRANGE(""https://docs.google.com/spreadsheets/d/1yDAaXNsi4Mr5FtRQL4tbmSdIzhx6_m4wkOD7IG-k_eo/edit#gid=0"", ""Maths!M:N""), 2, FALSE)"),"Find the side opposite to a given vertex/angle of a triangle and the angle/vertex opposite to a given side of a triangle.")</f>
        <v>Find the side opposite to a given vertex/angle of a triangle and the angle/vertex opposite to a given side of a triangle.</v>
      </c>
      <c r="N201" s="29" t="str">
        <f t="shared" si="20"/>
        <v>LU000229.003</v>
      </c>
      <c r="O201" s="29" t="str">
        <f ca="1">IFERROR(__xludf.dummyfunction("VLOOKUP(N201, IMPORTRANGE(""https://docs.google.com/spreadsheets/d/1yDAaXNsi4Mr5FtRQL4tbmSdIzhx6_m4wkOD7IG-k_eo/edit#gid=0"", ""Maths!M:N""), 2, FALSE)"),"Apply the knowledge of triangle elements to correctly label and describe different components in given triangle diagrams, distinguishing between vertices, sides, adjacent sides, and adjacent vertices.")</f>
        <v>Apply the knowledge of triangle elements to correctly label and describe different components in given triangle diagrams, distinguishing between vertices, sides, adjacent sides, and adjacent vertices.</v>
      </c>
      <c r="P201" s="29" t="str">
        <f t="shared" si="21"/>
        <v>LU000229.004</v>
      </c>
      <c r="Q201" s="29" t="str">
        <f ca="1">IFERROR(__xludf.dummyfunction("VLOOKUP(P201, IMPORTRANGE(""https://docs.google.com/spreadsheets/d/1yDAaXNsi4Mr5FtRQL4tbmSdIzhx6_m4wkOD7IG-k_eo/edit#gid=0"", ""Maths!M:N""), 2, FALSE)"),"Analyse the relationships among triangle elements, examining how vertices connect to form sides, how adjacent sides and vertices interact, and their collective contribution to the overall triangle geometry.")</f>
        <v>Analyse the relationships among triangle elements, examining how vertices connect to form sides, how adjacent sides and vertices interact, and their collective contribution to the overall triangle geometry.</v>
      </c>
      <c r="R201" s="29" t="str">
        <f t="shared" si="22"/>
        <v>LU000229.005</v>
      </c>
      <c r="S201" s="29" t="str">
        <f ca="1">IFERROR(__xludf.dummyfunction("VLOOKUP(R201, IMPORTRANGE(""https://docs.google.com/spreadsheets/d/1yDAaXNsi4Mr5FtRQL4tbmSdIzhx6_m4wkOD7IG-k_eo/edit#gid=0"", ""Maths!M:N""), 2, FALSE)"),"#N/A")</f>
        <v>#N/A</v>
      </c>
      <c r="T201" s="29" t="str">
        <f t="shared" si="23"/>
        <v>LU000229.006</v>
      </c>
      <c r="U201" s="29" t="str">
        <f ca="1">IFERROR(__xludf.dummyfunction("VLOOKUP(T201, IMPORTRANGE(""https://docs.google.com/spreadsheets/d/1yDAaXNsi4Mr5FtRQL4tbmSdIzhx6_m4wkOD7IG-k_eo/edit#gid=0"", ""Maths!M:N""), 2, FALSE)"),"#N/A")</f>
        <v>#N/A</v>
      </c>
      <c r="V201" s="16">
        <f ca="1">IFERROR(__xludf.dummyfunction("ArrayFormula(VLOOKUP(G201, IMPORTRANGE(""https://docs.google.com/spreadsheets/d/1p7R4vtkWt5VOBim4ltsDG9KTzSjrtKXsMtQGXPHyND0/edit#gid=795171502"", ""'Filter 30_05_2024'!A1:M2000""), {2, 3, 4, 5,6,7,8,9,10,11,12,13}, 0))"),6)</f>
        <v>6</v>
      </c>
      <c r="W201" s="16">
        <f ca="1">IFERROR(__xludf.dummyfunction("""COMPUTED_VALUE"""),5)</f>
        <v>5</v>
      </c>
      <c r="X201" s="16">
        <f ca="1">IFERROR(__xludf.dummyfunction("""COMPUTED_VALUE"""),2)</f>
        <v>2</v>
      </c>
      <c r="Y201" s="16">
        <f ca="1">IFERROR(__xludf.dummyfunction("""COMPUTED_VALUE"""),13)</f>
        <v>13</v>
      </c>
      <c r="Z201" s="16">
        <f ca="1">IFERROR(__xludf.dummyfunction("""COMPUTED_VALUE"""),4)</f>
        <v>4</v>
      </c>
      <c r="AA201" s="30">
        <f ca="1">IFERROR(__xludf.dummyfunction("""COMPUTED_VALUE"""),4)</f>
        <v>4</v>
      </c>
      <c r="AB201" s="30">
        <f ca="1">IFERROR(__xludf.dummyfunction("""COMPUTED_VALUE"""),1)</f>
        <v>1</v>
      </c>
      <c r="AC201" s="30">
        <f ca="1">IFERROR(__xludf.dummyfunction("""COMPUTED_VALUE"""),9)</f>
        <v>9</v>
      </c>
      <c r="AD201" s="16"/>
      <c r="AE201" s="30"/>
      <c r="AF201" s="30"/>
      <c r="AG201" s="30"/>
    </row>
    <row r="202" spans="1:33" ht="26.4">
      <c r="A202" s="25"/>
      <c r="B202" s="26" t="s">
        <v>29</v>
      </c>
      <c r="C202" s="26" t="s">
        <v>310</v>
      </c>
      <c r="D202" s="26">
        <v>6</v>
      </c>
      <c r="E202" s="27" t="s">
        <v>593</v>
      </c>
      <c r="F202" s="28" t="s">
        <v>609</v>
      </c>
      <c r="G202" s="26" t="s">
        <v>610</v>
      </c>
      <c r="H202" s="28" t="str">
        <f ca="1">IFERROR(__xludf.dummyfunction("IFERROR(
  VLOOKUP(G202, IMPORTRANGE(""https://docs.google.com/spreadsheets/d/14deopnvwcrKtEGCKuYXdUHJbeLDZlkiSSWWT0g7x2pM/edit#gid=849066331"", ""LU List Maths (Filter)!A:B""), 2, FALSE),
  IFERROR(
    VLOOKUP(G202, IMPORTRANGE(""https://docs.google.com"&amp;"/spreadsheets/d/14deopnvwcrKtEGCKuYXdUHJbeLDZlkiSSWWT0g7x2pM/edit#gid=849066331"", ""LU List Science (Filter)!A:B""), 2, FALSE),
    ""Not Found""
  )
)
"),"Lexical explanation of quadrilateral")</f>
        <v>Lexical explanation of quadrilateral</v>
      </c>
      <c r="I202" s="28"/>
      <c r="J202" s="29" t="str">
        <f t="shared" si="18"/>
        <v>LU000230.001</v>
      </c>
      <c r="K202" s="29" t="str">
        <f ca="1">IFERROR(__xludf.dummyfunction("VLOOKUP(J202, IMPORTRANGE(""https://docs.google.com/spreadsheets/d/1yDAaXNsi4Mr5FtRQL4tbmSdIzhx6_m4wkOD7IG-k_eo/edit#gid=0"", ""Maths!M:N""), 2, FALSE)"),"Recall the definition of a quadrilateral as a polygon.")</f>
        <v>Recall the definition of a quadrilateral as a polygon.</v>
      </c>
      <c r="L202" s="29" t="str">
        <f t="shared" si="19"/>
        <v>LU000230.002</v>
      </c>
      <c r="M202" s="29" t="str">
        <f ca="1">IFERROR(__xludf.dummyfunction("VLOOKUP(L202, IMPORTRANGE(""https://docs.google.com/spreadsheets/d/1yDAaXNsi4Mr5FtRQL4tbmSdIzhx6_m4wkOD7IG-k_eo/edit#gid=0"", ""Maths!M:N""), 2, FALSE)"),"Identify the angles and sides adjacent to and opposite from a specific angle or side within a quadrilateral.")</f>
        <v>Identify the angles and sides adjacent to and opposite from a specific angle or side within a quadrilateral.</v>
      </c>
      <c r="N202" s="29" t="str">
        <f t="shared" si="20"/>
        <v>LU000230.003</v>
      </c>
      <c r="O202" s="29" t="str">
        <f ca="1">IFERROR(__xludf.dummyfunction("VLOOKUP(N202, IMPORTRANGE(""https://docs.google.com/spreadsheets/d/1yDAaXNsi4Mr5FtRQL4tbmSdIzhx6_m4wkOD7IG-k_eo/edit#gid=0"", ""Maths!M:N""), 2, FALSE)"),"Apply the knowledge of quadrilateral elements to correctly label and describe different components in given quadrilateral diagrams.")</f>
        <v>Apply the knowledge of quadrilateral elements to correctly label and describe different components in given quadrilateral diagrams.</v>
      </c>
      <c r="P202" s="29" t="str">
        <f t="shared" si="21"/>
        <v>LU000230.004</v>
      </c>
      <c r="Q202" s="29" t="str">
        <f ca="1">IFERROR(__xludf.dummyfunction("VLOOKUP(P202, IMPORTRANGE(""https://docs.google.com/spreadsheets/d/1yDAaXNsi4Mr5FtRQL4tbmSdIzhx6_m4wkOD7IG-k_eo/edit#gid=0"", ""Maths!M:N""), 2, FALSE)"),"Analyse the relationships between quadrilateral elements, examining how vertices connect to form sides, how diagonals intersect within quadrilateral, and how adjacent sides and vertices relate geometrically.")</f>
        <v>Analyse the relationships between quadrilateral elements, examining how vertices connect to form sides, how diagonals intersect within quadrilateral, and how adjacent sides and vertices relate geometrically.</v>
      </c>
      <c r="R202" s="29" t="str">
        <f t="shared" si="22"/>
        <v>LU000230.005</v>
      </c>
      <c r="S202" s="29" t="str">
        <f ca="1">IFERROR(__xludf.dummyfunction("VLOOKUP(R202, IMPORTRANGE(""https://docs.google.com/spreadsheets/d/1yDAaXNsi4Mr5FtRQL4tbmSdIzhx6_m4wkOD7IG-k_eo/edit#gid=0"", ""Maths!M:N""), 2, FALSE)"),"#N/A")</f>
        <v>#N/A</v>
      </c>
      <c r="T202" s="29" t="str">
        <f t="shared" si="23"/>
        <v>LU000230.006</v>
      </c>
      <c r="U202" s="29" t="str">
        <f ca="1">IFERROR(__xludf.dummyfunction("VLOOKUP(T202, IMPORTRANGE(""https://docs.google.com/spreadsheets/d/1yDAaXNsi4Mr5FtRQL4tbmSdIzhx6_m4wkOD7IG-k_eo/edit#gid=0"", ""Maths!M:N""), 2, FALSE)"),"#N/A")</f>
        <v>#N/A</v>
      </c>
      <c r="V202" s="16">
        <f ca="1">IFERROR(__xludf.dummyfunction("ArrayFormula(VLOOKUP(G202, IMPORTRANGE(""https://docs.google.com/spreadsheets/d/1p7R4vtkWt5VOBim4ltsDG9KTzSjrtKXsMtQGXPHyND0/edit#gid=795171502"", ""'Filter 30_05_2024'!A1:M2000""), {2, 3, 4, 5,6,7,8,9,10,11,12,13}, 0))"),4)</f>
        <v>4</v>
      </c>
      <c r="W202" s="16">
        <f ca="1">IFERROR(__xludf.dummyfunction("""COMPUTED_VALUE"""),6)</f>
        <v>6</v>
      </c>
      <c r="X202" s="16">
        <f ca="1">IFERROR(__xludf.dummyfunction("""COMPUTED_VALUE"""),2)</f>
        <v>2</v>
      </c>
      <c r="Y202" s="16">
        <f ca="1">IFERROR(__xludf.dummyfunction("""COMPUTED_VALUE"""),12)</f>
        <v>12</v>
      </c>
      <c r="Z202" s="16">
        <f ca="1">IFERROR(__xludf.dummyfunction("""COMPUTED_VALUE"""),4)</f>
        <v>4</v>
      </c>
      <c r="AA202" s="30">
        <f ca="1">IFERROR(__xludf.dummyfunction("""COMPUTED_VALUE"""),3)</f>
        <v>3</v>
      </c>
      <c r="AB202" s="30">
        <f ca="1">IFERROR(__xludf.dummyfunction("""COMPUTED_VALUE"""),1)</f>
        <v>1</v>
      </c>
      <c r="AC202" s="30">
        <f ca="1">IFERROR(__xludf.dummyfunction("""COMPUTED_VALUE"""),8)</f>
        <v>8</v>
      </c>
      <c r="AD202" s="16"/>
      <c r="AE202" s="30"/>
      <c r="AF202" s="30"/>
      <c r="AG202" s="30"/>
    </row>
    <row r="203" spans="1:33" ht="26.4">
      <c r="A203" s="25"/>
      <c r="B203" s="26" t="s">
        <v>29</v>
      </c>
      <c r="C203" s="26" t="s">
        <v>310</v>
      </c>
      <c r="D203" s="26">
        <v>6</v>
      </c>
      <c r="E203" s="27" t="s">
        <v>593</v>
      </c>
      <c r="F203" s="28" t="s">
        <v>611</v>
      </c>
      <c r="G203" s="26" t="s">
        <v>612</v>
      </c>
      <c r="H203" s="28" t="str">
        <f ca="1">IFERROR(__xludf.dummyfunction("IFERROR(
  VLOOKUP(G203, IMPORTRANGE(""https://docs.google.com/spreadsheets/d/14deopnvwcrKtEGCKuYXdUHJbeLDZlkiSSWWT0g7x2pM/edit#gid=849066331"", ""LU List Maths (Filter)!A:B""), 2, FALSE),
  IFERROR(
    VLOOKUP(G203, IMPORTRANGE(""https://docs.google.com"&amp;"/spreadsheets/d/14deopnvwcrKtEGCKuYXdUHJbeLDZlkiSSWWT0g7x2pM/edit#gid=849066331"", ""LU List Science (Filter)!A:B""), 2, FALSE),
    ""Not Found""
  )
)
"),"Definition of circle")</f>
        <v>Definition of circle</v>
      </c>
      <c r="I203" s="28"/>
      <c r="J203" s="29" t="str">
        <f t="shared" si="18"/>
        <v>LU000231.001</v>
      </c>
      <c r="K203" s="29" t="str">
        <f ca="1">IFERROR(__xludf.dummyfunction("VLOOKUP(J203, IMPORTRANGE(""https://docs.google.com/spreadsheets/d/1yDAaXNsi4Mr5FtRQL4tbmSdIzhx6_m4wkOD7IG-k_eo/edit#gid=0"", ""Maths!M:N""), 2, FALSE)"),"Define circle.")</f>
        <v>Define circle.</v>
      </c>
      <c r="L203" s="29" t="str">
        <f t="shared" si="19"/>
        <v>LU000231.002</v>
      </c>
      <c r="M203" s="29" t="str">
        <f ca="1">IFERROR(__xludf.dummyfunction("VLOOKUP(L203, IMPORTRANGE(""https://docs.google.com/spreadsheets/d/1yDAaXNsi4Mr5FtRQL4tbmSdIzhx6_m4wkOD7IG-k_eo/edit#gid=0"", ""Maths!M:N""), 2, FALSE)"),"Compare circles with other types of two-dimensional shapes.")</f>
        <v>Compare circles with other types of two-dimensional shapes.</v>
      </c>
      <c r="N203" s="29" t="str">
        <f t="shared" si="20"/>
        <v>LU000231.003</v>
      </c>
      <c r="O203" s="29" t="str">
        <f ca="1">IFERROR(__xludf.dummyfunction("VLOOKUP(N203, IMPORTRANGE(""https://docs.google.com/spreadsheets/d/1yDAaXNsi4Mr5FtRQL4tbmSdIzhx6_m4wkOD7IG-k_eo/edit#gid=0"", ""Maths!M:N""), 2, FALSE)"),"Apply the knowledge of circle definition to identify circles in diagrams.")</f>
        <v>Apply the knowledge of circle definition to identify circles in diagrams.</v>
      </c>
      <c r="P203" s="29" t="str">
        <f t="shared" si="21"/>
        <v>LU000231.004</v>
      </c>
      <c r="Q203" s="29" t="str">
        <f ca="1">IFERROR(__xludf.dummyfunction("VLOOKUP(P203, IMPORTRANGE(""https://docs.google.com/spreadsheets/d/1yDAaXNsi4Mr5FtRQL4tbmSdIzhx6_m4wkOD7IG-k_eo/edit#gid=0"", ""Maths!M:N""), 2, FALSE)"),"Analyse real-life examples to identify circular shapes.")</f>
        <v>Analyse real-life examples to identify circular shapes.</v>
      </c>
      <c r="R203" s="29" t="str">
        <f t="shared" si="22"/>
        <v>LU000231.005</v>
      </c>
      <c r="S203" s="29" t="str">
        <f ca="1">IFERROR(__xludf.dummyfunction("VLOOKUP(R203, IMPORTRANGE(""https://docs.google.com/spreadsheets/d/1yDAaXNsi4Mr5FtRQL4tbmSdIzhx6_m4wkOD7IG-k_eo/edit#gid=0"", ""Maths!M:N""), 2, FALSE)"),"Evaluate the significance of circles in geometry and everyday objects.")</f>
        <v>Evaluate the significance of circles in geometry and everyday objects.</v>
      </c>
      <c r="T203" s="29" t="str">
        <f t="shared" si="23"/>
        <v>LU000231.006</v>
      </c>
      <c r="U203" s="29" t="str">
        <f ca="1">IFERROR(__xludf.dummyfunction("VLOOKUP(T203, IMPORTRANGE(""https://docs.google.com/spreadsheets/d/1yDAaXNsi4Mr5FtRQL4tbmSdIzhx6_m4wkOD7IG-k_eo/edit#gid=0"", ""Maths!M:N""), 2, FALSE)"),"Create drawings showcasing circles and their equidistant nature.")</f>
        <v>Create drawings showcasing circles and their equidistant nature.</v>
      </c>
      <c r="V203" s="16">
        <f ca="1">IFERROR(__xludf.dummyfunction("ArrayFormula(VLOOKUP(G203, IMPORTRANGE(""https://docs.google.com/spreadsheets/d/1p7R4vtkWt5VOBim4ltsDG9KTzSjrtKXsMtQGXPHyND0/edit#gid=795171502"", ""'Filter 30_05_2024'!A1:M2000""), {2, 3, 4, 5,6,7,8,9,10,11,12,13}, 0))"),4)</f>
        <v>4</v>
      </c>
      <c r="W203" s="16">
        <f ca="1">IFERROR(__xludf.dummyfunction("""COMPUTED_VALUE"""),6)</f>
        <v>6</v>
      </c>
      <c r="X203" s="16">
        <f ca="1">IFERROR(__xludf.dummyfunction("""COMPUTED_VALUE"""),2)</f>
        <v>2</v>
      </c>
      <c r="Y203" s="16">
        <f ca="1">IFERROR(__xludf.dummyfunction("""COMPUTED_VALUE"""),12)</f>
        <v>12</v>
      </c>
      <c r="Z203" s="16">
        <f ca="1">IFERROR(__xludf.dummyfunction("""COMPUTED_VALUE"""),4)</f>
        <v>4</v>
      </c>
      <c r="AA203" s="30">
        <f ca="1">IFERROR(__xludf.dummyfunction("""COMPUTED_VALUE"""),3)</f>
        <v>3</v>
      </c>
      <c r="AB203" s="30">
        <f ca="1">IFERROR(__xludf.dummyfunction("""COMPUTED_VALUE"""),1)</f>
        <v>1</v>
      </c>
      <c r="AC203" s="30">
        <f ca="1">IFERROR(__xludf.dummyfunction("""COMPUTED_VALUE"""),8)</f>
        <v>8</v>
      </c>
      <c r="AD203" s="16"/>
      <c r="AE203" s="30"/>
      <c r="AF203" s="30"/>
      <c r="AG203" s="30"/>
    </row>
    <row r="204" spans="1:33" ht="26.4">
      <c r="A204" s="25"/>
      <c r="B204" s="26" t="s">
        <v>29</v>
      </c>
      <c r="C204" s="26" t="s">
        <v>310</v>
      </c>
      <c r="D204" s="26">
        <v>6</v>
      </c>
      <c r="E204" s="27" t="s">
        <v>593</v>
      </c>
      <c r="F204" s="28"/>
      <c r="G204" s="26" t="s">
        <v>613</v>
      </c>
      <c r="H204" s="28" t="str">
        <f ca="1">IFERROR(__xludf.dummyfunction("IFERROR(
  VLOOKUP(G204, IMPORTRANGE(""https://docs.google.com/spreadsheets/d/14deopnvwcrKtEGCKuYXdUHJbeLDZlkiSSWWT0g7x2pM/edit#gid=849066331"", ""LU List Maths (Filter)!A:B""), 2, FALSE),
  IFERROR(
    VLOOKUP(G204, IMPORTRANGE(""https://docs.google.com"&amp;"/spreadsheets/d/14deopnvwcrKtEGCKuYXdUHJbeLDZlkiSSWWT0g7x2pM/edit#gid=849066331"", ""LU List Science (Filter)!A:B""), 2, FALSE),
    ""Not Found""
  )
)
"),"Elements of circle (Centre, radius, diameter)")</f>
        <v>Elements of circle (Centre, radius, diameter)</v>
      </c>
      <c r="I204" s="28"/>
      <c r="J204" s="29" t="str">
        <f t="shared" si="18"/>
        <v>LU000232.001</v>
      </c>
      <c r="K204" s="29" t="str">
        <f ca="1">IFERROR(__xludf.dummyfunction("VLOOKUP(J204, IMPORTRANGE(""https://docs.google.com/spreadsheets/d/1yDAaXNsi4Mr5FtRQL4tbmSdIzhx6_m4wkOD7IG-k_eo/edit#gid=0"", ""Maths!M:N""), 2, FALSE)"),"Recall the terms semi-circle, quarter, center, circumference, chord, radius, diameter, arc, interior, and exterior of a circle.")</f>
        <v>Recall the terms semi-circle, quarter, center, circumference, chord, radius, diameter, arc, interior, and exterior of a circle.</v>
      </c>
      <c r="L204" s="29" t="str">
        <f t="shared" si="19"/>
        <v>LU000232.002</v>
      </c>
      <c r="M204" s="29" t="str">
        <f ca="1">IFERROR(__xludf.dummyfunction("VLOOKUP(L204, IMPORTRANGE(""https://docs.google.com/spreadsheets/d/1yDAaXNsi4Mr5FtRQL4tbmSdIzhx6_m4wkOD7IG-k_eo/edit#gid=0"", ""Maths!M:N""), 2, FALSE)"),"Explain the meanings of center, circumference, chord, radius, diameter, arc, interior, and exterior of a circle.")</f>
        <v>Explain the meanings of center, circumference, chord, radius, diameter, arc, interior, and exterior of a circle.</v>
      </c>
      <c r="N204" s="29" t="str">
        <f t="shared" si="20"/>
        <v>LU000232.003</v>
      </c>
      <c r="O204" s="29" t="str">
        <f ca="1">IFERROR(__xludf.dummyfunction("VLOOKUP(N204, IMPORTRANGE(""https://docs.google.com/spreadsheets/d/1yDAaXNsi4Mr5FtRQL4tbmSdIzhx6_m4wkOD7IG-k_eo/edit#gid=0"", ""Maths!M:N""), 2, FALSE)"),"Apply the knowledge of circle parts to identify and label them in diagrams.")</f>
        <v>Apply the knowledge of circle parts to identify and label them in diagrams.</v>
      </c>
      <c r="P204" s="29" t="str">
        <f t="shared" si="21"/>
        <v>LU000232.004</v>
      </c>
      <c r="Q204" s="29" t="str">
        <f ca="1">IFERROR(__xludf.dummyfunction("VLOOKUP(P204, IMPORTRANGE(""https://docs.google.com/spreadsheets/d/1yDAaXNsi4Mr5FtRQL4tbmSdIzhx6_m4wkOD7IG-k_eo/edit#gid=0"", ""Maths!M:N""), 2, FALSE)"),"Analyse relationships between circle elements, like arc and chord, radius and diameter, circle, semi-circle, and quarter of a circle in geometric configurations.")</f>
        <v>Analyse relationships between circle elements, like arc and chord, radius and diameter, circle, semi-circle, and quarter of a circle in geometric configurations.</v>
      </c>
      <c r="R204" s="29" t="str">
        <f t="shared" si="22"/>
        <v>LU000232.005</v>
      </c>
      <c r="S204" s="29" t="str">
        <f ca="1">IFERROR(__xludf.dummyfunction("VLOOKUP(R204, IMPORTRANGE(""https://docs.google.com/spreadsheets/d/1yDAaXNsi4Mr5FtRQL4tbmSdIzhx6_m4wkOD7IG-k_eo/edit#gid=0"", ""Maths!M:N""), 2, FALSE)"),"Evaluate the importance of circle components in geometry and real-world applications.")</f>
        <v>Evaluate the importance of circle components in geometry and real-world applications.</v>
      </c>
      <c r="T204" s="29" t="str">
        <f t="shared" si="23"/>
        <v>LU000232.006</v>
      </c>
      <c r="U204" s="29" t="str">
        <f ca="1">IFERROR(__xludf.dummyfunction("VLOOKUP(T204, IMPORTRANGE(""https://docs.google.com/spreadsheets/d/1yDAaXNsi4Mr5FtRQL4tbmSdIzhx6_m4wkOD7IG-k_eo/edit#gid=0"", ""Maths!M:N""), 2, FALSE)"),"Create diagrams illustrating circle components and their relationships in geometric situations")</f>
        <v>Create diagrams illustrating circle components and their relationships in geometric situations</v>
      </c>
      <c r="V204" s="16">
        <f ca="1">IFERROR(__xludf.dummyfunction("ArrayFormula(VLOOKUP(G204, IMPORTRANGE(""https://docs.google.com/spreadsheets/d/1p7R4vtkWt5VOBim4ltsDG9KTzSjrtKXsMtQGXPHyND0/edit#gid=795171502"", ""'Filter 30_05_2024'!A1:M2000""), {2, 3, 4, 5,6,7,8,9,10,11,12,13}, 0))"),4)</f>
        <v>4</v>
      </c>
      <c r="W204" s="16">
        <f ca="1">IFERROR(__xludf.dummyfunction("""COMPUTED_VALUE"""),6)</f>
        <v>6</v>
      </c>
      <c r="X204" s="16">
        <f ca="1">IFERROR(__xludf.dummyfunction("""COMPUTED_VALUE"""),2)</f>
        <v>2</v>
      </c>
      <c r="Y204" s="16">
        <f ca="1">IFERROR(__xludf.dummyfunction("""COMPUTED_VALUE"""),12)</f>
        <v>12</v>
      </c>
      <c r="Z204" s="16">
        <f ca="1">IFERROR(__xludf.dummyfunction("""COMPUTED_VALUE"""),4)</f>
        <v>4</v>
      </c>
      <c r="AA204" s="30">
        <f ca="1">IFERROR(__xludf.dummyfunction("""COMPUTED_VALUE"""),3)</f>
        <v>3</v>
      </c>
      <c r="AB204" s="30">
        <f ca="1">IFERROR(__xludf.dummyfunction("""COMPUTED_VALUE"""),1)</f>
        <v>1</v>
      </c>
      <c r="AC204" s="30">
        <f ca="1">IFERROR(__xludf.dummyfunction("""COMPUTED_VALUE"""),8)</f>
        <v>8</v>
      </c>
      <c r="AD204" s="16"/>
      <c r="AE204" s="30"/>
      <c r="AF204" s="30"/>
      <c r="AG204" s="30"/>
    </row>
    <row r="205" spans="1:33" ht="26.4">
      <c r="A205" s="25"/>
      <c r="B205" s="26" t="s">
        <v>29</v>
      </c>
      <c r="C205" s="26" t="s">
        <v>310</v>
      </c>
      <c r="D205" s="26">
        <v>6</v>
      </c>
      <c r="E205" s="27" t="s">
        <v>593</v>
      </c>
      <c r="F205" s="28"/>
      <c r="G205" s="26" t="s">
        <v>614</v>
      </c>
      <c r="H205" s="28" t="str">
        <f ca="1">IFERROR(__xludf.dummyfunction("IFERROR(
  VLOOKUP(G205, IMPORTRANGE(""https://docs.google.com/spreadsheets/d/14deopnvwcrKtEGCKuYXdUHJbeLDZlkiSSWWT0g7x2pM/edit#gid=849066331"", ""LU List Maths (Filter)!A:B""), 2, FALSE),
  IFERROR(
    VLOOKUP(G205, IMPORTRANGE(""https://docs.google.com"&amp;"/spreadsheets/d/14deopnvwcrKtEGCKuYXdUHJbeLDZlkiSSWWT0g7x2pM/edit#gid=849066331"", ""LU List Science (Filter)!A:B""), 2, FALSE),
    ""Not Found""
  )
)
"),"Sector of a circle")</f>
        <v>Sector of a circle</v>
      </c>
      <c r="I205" s="28"/>
      <c r="J205" s="29" t="str">
        <f t="shared" si="18"/>
        <v>LU000966.001</v>
      </c>
      <c r="K205" s="29" t="str">
        <f ca="1">IFERROR(__xludf.dummyfunction("VLOOKUP(J205, IMPORTRANGE(""https://docs.google.com/spreadsheets/d/1yDAaXNsi4Mr5FtRQL4tbmSdIzhx6_m4wkOD7IG-k_eo/edit#gid=0"", ""Maths!M:N""), 2, FALSE)"),"Recall the definition of a sector of a circle and its key components, including the central angle and radius.")</f>
        <v>Recall the definition of a sector of a circle and its key components, including the central angle and radius.</v>
      </c>
      <c r="L205" s="29" t="str">
        <f t="shared" si="19"/>
        <v>LU000966.002</v>
      </c>
      <c r="M205" s="29" t="str">
        <f ca="1">IFERROR(__xludf.dummyfunction("VLOOKUP(L205, IMPORTRANGE(""https://docs.google.com/spreadsheets/d/1yDAaXNsi4Mr5FtRQL4tbmSdIzhx6_m4wkOD7IG-k_eo/edit#gid=0"", ""Maths!M:N""), 2, FALSE)"),"Explain the concept of a sector in a circle and its relationship to the whole circle, highlighting the role of the central angle.")</f>
        <v>Explain the concept of a sector in a circle and its relationship to the whole circle, highlighting the role of the central angle.</v>
      </c>
      <c r="N205" s="29" t="str">
        <f t="shared" si="20"/>
        <v>LU000966.003</v>
      </c>
      <c r="O205" s="29" t="str">
        <f ca="1">IFERROR(__xludf.dummyfunction("VLOOKUP(N205, IMPORTRANGE(""https://docs.google.com/spreadsheets/d/1yDAaXNsi4Mr5FtRQL4tbmSdIzhx6_m4wkOD7IG-k_eo/edit#gid=0"", ""Maths!M:N""), 2, FALSE)"),"Apply knowledge of sectors to identify them in real-world objects and images, recognizing their shape and characteristics.")</f>
        <v>Apply knowledge of sectors to identify them in real-world objects and images, recognizing their shape and characteristics.</v>
      </c>
      <c r="P205" s="29" t="str">
        <f t="shared" si="21"/>
        <v>LU000966.004</v>
      </c>
      <c r="Q205" s="29" t="str">
        <f ca="1">IFERROR(__xludf.dummyfunction("VLOOKUP(P205, IMPORTRANGE(""https://docs.google.com/spreadsheets/d/1yDAaXNsi4Mr5FtRQL4tbmSdIzhx6_m4wkOD7IG-k_eo/edit#gid=0"", ""Maths!M:N""), 2, FALSE)"),"Analyze circular objects or images to identify and distinguish sectors from other shapes, using knowledge of their defining features.")</f>
        <v>Analyze circular objects or images to identify and distinguish sectors from other shapes, using knowledge of their defining features.</v>
      </c>
      <c r="R205" s="29" t="str">
        <f t="shared" si="22"/>
        <v>LU000966.005</v>
      </c>
      <c r="S205" s="29" t="str">
        <f ca="1">IFERROR(__xludf.dummyfunction("VLOOKUP(R205, IMPORTRANGE(""https://docs.google.com/spreadsheets/d/1yDAaXNsi4Mr5FtRQL4tbmSdIzhx6_m4wkOD7IG-k_eo/edit#gid=0"", ""Maths!M:N""), 2, FALSE)"),"Evaluate the accuracy of sector identification in various contexts, providing reasons for any discrepancies.")</f>
        <v>Evaluate the accuracy of sector identification in various contexts, providing reasons for any discrepancies.</v>
      </c>
      <c r="T205" s="29" t="str">
        <f t="shared" si="23"/>
        <v>LU000966.006</v>
      </c>
      <c r="U205" s="29" t="str">
        <f ca="1">IFERROR(__xludf.dummyfunction("VLOOKUP(T205, IMPORTRANGE(""https://docs.google.com/spreadsheets/d/1yDAaXNsi4Mr5FtRQL4tbmSdIzhx6_m4wkOD7IG-k_eo/edit#gid=0"", ""Maths!M:N""), 2, FALSE)"),"Create simple diagrams or illustrations that include sectors of circles and label them correctly, demonstrating a practical understanding of the concept.")</f>
        <v>Create simple diagrams or illustrations that include sectors of circles and label them correctly, demonstrating a practical understanding of the concept.</v>
      </c>
      <c r="V205" s="16">
        <f ca="1">IFERROR(__xludf.dummyfunction("ArrayFormula(VLOOKUP(G205, IMPORTRANGE(""https://docs.google.com/spreadsheets/d/1p7R4vtkWt5VOBim4ltsDG9KTzSjrtKXsMtQGXPHyND0/edit#gid=795171502"", ""'Filter 30_05_2024'!A1:M2000""), {2, 3, 4, 5,6,7,8,9,10,11,12,13}, 0))"),4)</f>
        <v>4</v>
      </c>
      <c r="W205" s="16">
        <f ca="1">IFERROR(__xludf.dummyfunction("""COMPUTED_VALUE"""),6)</f>
        <v>6</v>
      </c>
      <c r="X205" s="16">
        <f ca="1">IFERROR(__xludf.dummyfunction("""COMPUTED_VALUE"""),2)</f>
        <v>2</v>
      </c>
      <c r="Y205" s="16">
        <f ca="1">IFERROR(__xludf.dummyfunction("""COMPUTED_VALUE"""),12)</f>
        <v>12</v>
      </c>
      <c r="Z205" s="16">
        <f ca="1">IFERROR(__xludf.dummyfunction("""COMPUTED_VALUE"""),4)</f>
        <v>4</v>
      </c>
      <c r="AA205" s="30">
        <f ca="1">IFERROR(__xludf.dummyfunction("""COMPUTED_VALUE"""),3)</f>
        <v>3</v>
      </c>
      <c r="AB205" s="30">
        <f ca="1">IFERROR(__xludf.dummyfunction("""COMPUTED_VALUE"""),2)</f>
        <v>2</v>
      </c>
      <c r="AC205" s="30">
        <f ca="1">IFERROR(__xludf.dummyfunction("""COMPUTED_VALUE"""),9)</f>
        <v>9</v>
      </c>
      <c r="AD205" s="16"/>
      <c r="AE205" s="30"/>
      <c r="AF205" s="30"/>
      <c r="AG205" s="30"/>
    </row>
    <row r="206" spans="1:33" ht="26.4">
      <c r="A206" s="25"/>
      <c r="B206" s="26" t="s">
        <v>29</v>
      </c>
      <c r="C206" s="26" t="s">
        <v>310</v>
      </c>
      <c r="D206" s="26">
        <v>6</v>
      </c>
      <c r="E206" s="27" t="s">
        <v>593</v>
      </c>
      <c r="F206" s="28"/>
      <c r="G206" s="26" t="s">
        <v>615</v>
      </c>
      <c r="H206" s="28" t="str">
        <f ca="1">IFERROR(__xludf.dummyfunction("IFERROR(
  VLOOKUP(G206, IMPORTRANGE(""https://docs.google.com/spreadsheets/d/14deopnvwcrKtEGCKuYXdUHJbeLDZlkiSSWWT0g7x2pM/edit#gid=849066331"", ""LU List Maths (Filter)!A:B""), 2, FALSE),
  IFERROR(
    VLOOKUP(G206, IMPORTRANGE(""https://docs.google.com"&amp;"/spreadsheets/d/14deopnvwcrKtEGCKuYXdUHJbeLDZlkiSSWWT0g7x2pM/edit#gid=849066331"", ""LU List Science (Filter)!A:B""), 2, FALSE),
    ""Not Found""
  )
)
"),"Segment of a circle")</f>
        <v>Segment of a circle</v>
      </c>
      <c r="I206" s="28"/>
      <c r="J206" s="29" t="str">
        <f t="shared" si="18"/>
        <v>LU000967.001</v>
      </c>
      <c r="K206" s="29" t="str">
        <f ca="1">IFERROR(__xludf.dummyfunction("VLOOKUP(J206, IMPORTRANGE(""https://docs.google.com/spreadsheets/d/1yDAaXNsi4Mr5FtRQL4tbmSdIzhx6_m4wkOD7IG-k_eo/edit#gid=0"", ""Maths!M:N""), 2, FALSE)"),"Recall the definition of a segment of a circle and its basic components, including the arc and the chord.")</f>
        <v>Recall the definition of a segment of a circle and its basic components, including the arc and the chord.</v>
      </c>
      <c r="L206" s="29" t="str">
        <f t="shared" si="19"/>
        <v>LU000967.002</v>
      </c>
      <c r="M206" s="29" t="str">
        <f ca="1">IFERROR(__xludf.dummyfunction("VLOOKUP(L206, IMPORTRANGE(""https://docs.google.com/spreadsheets/d/1yDAaXNsi4Mr5FtRQL4tbmSdIzhx6_m4wkOD7IG-k_eo/edit#gid=0"", ""Maths!M:N""), 2, FALSE)"),"Explain the concept of a segment of a circle, highlighting its relationship to the whole circle, as well as the significance of the chord and arc.")</f>
        <v>Explain the concept of a segment of a circle, highlighting its relationship to the whole circle, as well as the significance of the chord and arc.</v>
      </c>
      <c r="N206" s="29" t="str">
        <f t="shared" si="20"/>
        <v>LU000967.003</v>
      </c>
      <c r="O206" s="29" t="str">
        <f ca="1">IFERROR(__xludf.dummyfunction("VLOOKUP(N206, IMPORTRANGE(""https://docs.google.com/spreadsheets/d/1yDAaXNsi4Mr5FtRQL4tbmSdIzhx6_m4wkOD7IG-k_eo/edit#gid=0"", ""Maths!M:N""), 2, FALSE)"),"Apply knowledge of circle segments to identify them in real-world objects or images, recognizing their shape and components.")</f>
        <v>Apply knowledge of circle segments to identify them in real-world objects or images, recognizing their shape and components.</v>
      </c>
      <c r="P206" s="29" t="str">
        <f t="shared" si="21"/>
        <v>LU000967.004</v>
      </c>
      <c r="Q206" s="29" t="str">
        <f ca="1">IFERROR(__xludf.dummyfunction("VLOOKUP(P206, IMPORTRANGE(""https://docs.google.com/spreadsheets/d/1yDAaXNsi4Mr5FtRQL4tbmSdIzhx6_m4wkOD7IG-k_eo/edit#gid=0"", ""Maths!M:N""), 2, FALSE)"),"Analyze circular objects or images to differentiate circle segments from other shapes, based on their defining features.")</f>
        <v>Analyze circular objects or images to differentiate circle segments from other shapes, based on their defining features.</v>
      </c>
      <c r="R206" s="29" t="str">
        <f t="shared" si="22"/>
        <v>LU000967.005</v>
      </c>
      <c r="S206" s="29" t="str">
        <f ca="1">IFERROR(__xludf.dummyfunction("VLOOKUP(R206, IMPORTRANGE(""https://docs.google.com/spreadsheets/d/1yDAaXNsi4Mr5FtRQL4tbmSdIzhx6_m4wkOD7IG-k_eo/edit#gid=0"", ""Maths!M:N""), 2, FALSE)"),"Evaluate the accuracy of circle segment identification in different contexts, providing explanations for any discrepancies.")</f>
        <v>Evaluate the accuracy of circle segment identification in different contexts, providing explanations for any discrepancies.</v>
      </c>
      <c r="T206" s="29" t="str">
        <f t="shared" si="23"/>
        <v>LU000967.006</v>
      </c>
      <c r="U206" s="29" t="str">
        <f ca="1">IFERROR(__xludf.dummyfunction("VLOOKUP(T206, IMPORTRANGE(""https://docs.google.com/spreadsheets/d/1yDAaXNsi4Mr5FtRQL4tbmSdIzhx6_m4wkOD7IG-k_eo/edit#gid=0"", ""Maths!M:N""), 2, FALSE)"),"Create diagrams or illustrations illustrating circle segments and label them correctly, demonstrating a practical understanding of the concept.")</f>
        <v>Create diagrams or illustrations illustrating circle segments and label them correctly, demonstrating a practical understanding of the concept.</v>
      </c>
      <c r="V206" s="16">
        <f ca="1">IFERROR(__xludf.dummyfunction("ArrayFormula(VLOOKUP(G206, IMPORTRANGE(""https://docs.google.com/spreadsheets/d/1p7R4vtkWt5VOBim4ltsDG9KTzSjrtKXsMtQGXPHyND0/edit#gid=795171502"", ""'Filter 30_05_2024'!A1:M2000""), {2, 3, 4, 5,6,7,8,9,10,11,12,13}, 0))"),4)</f>
        <v>4</v>
      </c>
      <c r="W206" s="16">
        <f ca="1">IFERROR(__xludf.dummyfunction("""COMPUTED_VALUE"""),6)</f>
        <v>6</v>
      </c>
      <c r="X206" s="16">
        <f ca="1">IFERROR(__xludf.dummyfunction("""COMPUTED_VALUE"""),2)</f>
        <v>2</v>
      </c>
      <c r="Y206" s="16">
        <f ca="1">IFERROR(__xludf.dummyfunction("""COMPUTED_VALUE"""),12)</f>
        <v>12</v>
      </c>
      <c r="Z206" s="16">
        <f ca="1">IFERROR(__xludf.dummyfunction("""COMPUTED_VALUE"""),4)</f>
        <v>4</v>
      </c>
      <c r="AA206" s="30">
        <f ca="1">IFERROR(__xludf.dummyfunction("""COMPUTED_VALUE"""),3)</f>
        <v>3</v>
      </c>
      <c r="AB206" s="30">
        <f ca="1">IFERROR(__xludf.dummyfunction("""COMPUTED_VALUE"""),1)</f>
        <v>1</v>
      </c>
      <c r="AC206" s="30">
        <f ca="1">IFERROR(__xludf.dummyfunction("""COMPUTED_VALUE"""),8)</f>
        <v>8</v>
      </c>
      <c r="AD206" s="16"/>
      <c r="AE206" s="30"/>
      <c r="AF206" s="30"/>
      <c r="AG206" s="30"/>
    </row>
    <row r="207" spans="1:33" ht="26.4">
      <c r="A207" s="25"/>
      <c r="B207" s="26" t="s">
        <v>29</v>
      </c>
      <c r="C207" s="26" t="s">
        <v>310</v>
      </c>
      <c r="D207" s="26">
        <v>6</v>
      </c>
      <c r="E207" s="27" t="s">
        <v>593</v>
      </c>
      <c r="F207" s="28"/>
      <c r="G207" s="26" t="s">
        <v>616</v>
      </c>
      <c r="H207" s="28" t="str">
        <f ca="1">IFERROR(__xludf.dummyfunction("IFERROR(
  VLOOKUP(G207, IMPORTRANGE(""https://docs.google.com/spreadsheets/d/14deopnvwcrKtEGCKuYXdUHJbeLDZlkiSSWWT0g7x2pM/edit#gid=849066331"", ""LU List Maths (Filter)!A:B""), 2, FALSE),
  IFERROR(
    VLOOKUP(G207, IMPORTRANGE(""https://docs.google.com"&amp;"/spreadsheets/d/14deopnvwcrKtEGCKuYXdUHJbeLDZlkiSSWWT0g7x2pM/edit#gid=849066331"", ""LU List Science (Filter)!A:B""), 2, FALSE),
    ""Not Found""
  )
)
"),"Elements of a circle (arc, chord, secant)")</f>
        <v>Elements of a circle (arc, chord, secant)</v>
      </c>
      <c r="I207" s="28"/>
      <c r="J207" s="29" t="str">
        <f t="shared" si="18"/>
        <v>LU001093.001</v>
      </c>
      <c r="K207" s="29" t="str">
        <f ca="1">IFERROR(__xludf.dummyfunction("VLOOKUP(J207, IMPORTRANGE(""https://docs.google.com/spreadsheets/d/1yDAaXNsi4Mr5FtRQL4tbmSdIzhx6_m4wkOD7IG-k_eo/edit#gid=0"", ""Maths!M:N""), 2, FALSE)"),"List the definitions of an arc, chord, and secant in a circle.")</f>
        <v>List the definitions of an arc, chord, and secant in a circle.</v>
      </c>
      <c r="L207" s="29" t="str">
        <f t="shared" si="19"/>
        <v>LU001093.002</v>
      </c>
      <c r="M207" s="29" t="str">
        <f ca="1">IFERROR(__xludf.dummyfunction("VLOOKUP(L207, IMPORTRANGE(""https://docs.google.com/spreadsheets/d/1yDAaXNsi4Mr5FtRQL4tbmSdIzhx6_m4wkOD7IG-k_eo/edit#gid=0"", ""Maths!M:N""), 2, FALSE)"),"Explain the properties and differences between arcs, chords, and secants.")</f>
        <v>Explain the properties and differences between arcs, chords, and secants.</v>
      </c>
      <c r="N207" s="29" t="str">
        <f t="shared" si="20"/>
        <v>LU001093.003</v>
      </c>
      <c r="O207" s="29" t="str">
        <f ca="1">IFERROR(__xludf.dummyfunction("VLOOKUP(N207, IMPORTRANGE(""https://docs.google.com/spreadsheets/d/1yDAaXNsi4Mr5FtRQL4tbmSdIzhx6_m4wkOD7IG-k_eo/edit#gid=0"", ""Maths!M:N""), 2, FALSE)"),"Identify arcs, chords, and secants in various circle diagrams.")</f>
        <v>Identify arcs, chords, and secants in various circle diagrams.</v>
      </c>
      <c r="P207" s="29" t="str">
        <f t="shared" si="21"/>
        <v>LU001093.004</v>
      </c>
      <c r="Q207" s="29" t="str">
        <f ca="1">IFERROR(__xludf.dummyfunction("VLOOKUP(P207, IMPORTRANGE(""https://docs.google.com/spreadsheets/d/1yDAaXNsi4Mr5FtRQL4tbmSdIzhx6_m4wkOD7IG-k_eo/edit#gid=0"", ""Maths!M:N""), 2, FALSE)"),"Analyse a circle to distinguish between its arcs, chords, and secants.")</f>
        <v>Analyse a circle to distinguish between its arcs, chords, and secants.</v>
      </c>
      <c r="R207" s="29" t="str">
        <f t="shared" si="22"/>
        <v>LU001093.005</v>
      </c>
      <c r="S207" s="29" t="str">
        <f ca="1">IFERROR(__xludf.dummyfunction("VLOOKUP(R207, IMPORTRANGE(""https://docs.google.com/spreadsheets/d/1yDAaXNsi4Mr5FtRQL4tbmSdIzhx6_m4wkOD7IG-k_eo/edit#gid=0"", ""Maths!M:N""), 2, FALSE)"),"Evaluate geometric problems involving circles to determine the roles of arcs, chords, and secants.")</f>
        <v>Evaluate geometric problems involving circles to determine the roles of arcs, chords, and secants.</v>
      </c>
      <c r="T207" s="29" t="str">
        <f t="shared" si="23"/>
        <v>LU001093.006</v>
      </c>
      <c r="U207" s="29" t="str">
        <f ca="1">IFERROR(__xludf.dummyfunction("VLOOKUP(T207, IMPORTRANGE(""https://docs.google.com/spreadsheets/d/1yDAaXNsi4Mr5FtRQL4tbmSdIzhx6_m4wkOD7IG-k_eo/edit#gid=0"", ""Maths!M:N""), 2, FALSE)"),"Create diagrams or problems that incorporate the use of arcs, chords, and secants in a circle.")</f>
        <v>Create diagrams or problems that incorporate the use of arcs, chords, and secants in a circle.</v>
      </c>
      <c r="V207" s="16" t="str">
        <f ca="1">IFERROR(__xludf.dummyfunction("ArrayFormula(VLOOKUP(G207, IMPORTRANGE(""https://docs.google.com/spreadsheets/d/1p7R4vtkWt5VOBim4ltsDG9KTzSjrtKXsMtQGXPHyND0/edit#gid=795171502"", ""'Filter 30_05_2024'!A1:M2000""), {2, 3, 4, 5,6,7,8,9,10,11,12,13}, 0))"),"#N/A")</f>
        <v>#N/A</v>
      </c>
      <c r="W207" s="16" t="str">
        <f ca="1">IFERROR(__xludf.dummyfunction("""COMPUTED_VALUE"""),"#N/A")</f>
        <v>#N/A</v>
      </c>
      <c r="X207" s="16" t="str">
        <f ca="1">IFERROR(__xludf.dummyfunction("""COMPUTED_VALUE"""),"#N/A")</f>
        <v>#N/A</v>
      </c>
      <c r="Y207" s="16" t="str">
        <f ca="1">IFERROR(__xludf.dummyfunction("""COMPUTED_VALUE"""),"#N/A")</f>
        <v>#N/A</v>
      </c>
      <c r="Z207" s="16" t="str">
        <f ca="1">IFERROR(__xludf.dummyfunction("""COMPUTED_VALUE"""),"#N/A")</f>
        <v>#N/A</v>
      </c>
      <c r="AA207" s="30" t="str">
        <f ca="1">IFERROR(__xludf.dummyfunction("""COMPUTED_VALUE"""),"#N/A")</f>
        <v>#N/A</v>
      </c>
      <c r="AB207" s="30" t="str">
        <f ca="1">IFERROR(__xludf.dummyfunction("""COMPUTED_VALUE"""),"#N/A")</f>
        <v>#N/A</v>
      </c>
      <c r="AC207" s="30" t="str">
        <f ca="1">IFERROR(__xludf.dummyfunction("""COMPUTED_VALUE"""),"#N/A")</f>
        <v>#N/A</v>
      </c>
      <c r="AD207" s="16" t="str">
        <f ca="1">IFERROR(__xludf.dummyfunction("""COMPUTED_VALUE"""),"#N/A")</f>
        <v>#N/A</v>
      </c>
      <c r="AE207" s="30" t="str">
        <f ca="1">IFERROR(__xludf.dummyfunction("""COMPUTED_VALUE"""),"#N/A")</f>
        <v>#N/A</v>
      </c>
      <c r="AF207" s="30" t="str">
        <f ca="1">IFERROR(__xludf.dummyfunction("""COMPUTED_VALUE"""),"#N/A")</f>
        <v>#N/A</v>
      </c>
      <c r="AG207" s="30" t="str">
        <f ca="1">IFERROR(__xludf.dummyfunction("""COMPUTED_VALUE"""),"#N/A")</f>
        <v>#N/A</v>
      </c>
    </row>
    <row r="208" spans="1:33" ht="26.4">
      <c r="A208" s="25"/>
      <c r="B208" s="26" t="s">
        <v>29</v>
      </c>
      <c r="C208" s="26" t="s">
        <v>310</v>
      </c>
      <c r="D208" s="26">
        <v>6</v>
      </c>
      <c r="E208" s="27" t="s">
        <v>593</v>
      </c>
      <c r="F208" s="28"/>
      <c r="G208" s="26" t="s">
        <v>617</v>
      </c>
      <c r="H208" s="28" t="str">
        <f ca="1">IFERROR(__xludf.dummyfunction("IFERROR(
  VLOOKUP(G208, IMPORTRANGE(""https://docs.google.com/spreadsheets/d/14deopnvwcrKtEGCKuYXdUHJbeLDZlkiSSWWT0g7x2pM/edit#gid=849066331"", ""LU List Maths (Filter)!A:B""), 2, FALSE),
  IFERROR(
    VLOOKUP(G208, IMPORTRANGE(""https://docs.google.com"&amp;"/spreadsheets/d/14deopnvwcrKtEGCKuYXdUHJbeLDZlkiSSWWT0g7x2pM/edit#gid=849066331"", ""LU List Science (Filter)!A:B""), 2, FALSE),
    ""Not Found""
  )
)
"),"Definition of a semicircle")</f>
        <v>Definition of a semicircle</v>
      </c>
      <c r="I208" s="28"/>
      <c r="J208" s="29" t="str">
        <f t="shared" si="18"/>
        <v>LU001094.001</v>
      </c>
      <c r="K208" s="29" t="str">
        <f ca="1">IFERROR(__xludf.dummyfunction("VLOOKUP(J208, IMPORTRANGE(""https://docs.google.com/spreadsheets/d/1yDAaXNsi4Mr5FtRQL4tbmSdIzhx6_m4wkOD7IG-k_eo/edit#gid=0"", ""Maths!M:N""), 2, FALSE)"),"Recall the definition of a semicircle.")</f>
        <v>Recall the definition of a semicircle.</v>
      </c>
      <c r="L208" s="29" t="str">
        <f t="shared" si="19"/>
        <v>LU001094.002</v>
      </c>
      <c r="M208" s="29" t="str">
        <f ca="1">IFERROR(__xludf.dummyfunction("VLOOKUP(L208, IMPORTRANGE(""https://docs.google.com/spreadsheets/d/1yDAaXNsi4Mr5FtRQL4tbmSdIzhx6_m4wkOD7IG-k_eo/edit#gid=0"", ""Maths!M:N""), 2, FALSE)"),"Explain the characteristics of a semicircle.")</f>
        <v>Explain the characteristics of a semicircle.</v>
      </c>
      <c r="N208" s="29" t="str">
        <f t="shared" si="20"/>
        <v>LU001094.003</v>
      </c>
      <c r="O208" s="29" t="str">
        <f ca="1">IFERROR(__xludf.dummyfunction("VLOOKUP(N208, IMPORTRANGE(""https://docs.google.com/spreadsheets/d/1yDAaXNsi4Mr5FtRQL4tbmSdIzhx6_m4wkOD7IG-k_eo/edit#gid=0"", ""Maths!M:N""), 2, FALSE)"),"Identify semicircles in various geometric shapes and diagrams.")</f>
        <v>Identify semicircles in various geometric shapes and diagrams.</v>
      </c>
      <c r="P208" s="29" t="str">
        <f t="shared" si="21"/>
        <v>LU001094.004</v>
      </c>
      <c r="Q208" s="29" t="str">
        <f ca="1">IFERROR(__xludf.dummyfunction("VLOOKUP(P208, IMPORTRANGE(""https://docs.google.com/spreadsheets/d/1yDAaXNsi4Mr5FtRQL4tbmSdIzhx6_m4wkOD7IG-k_eo/edit#gid=0"", ""Maths!M:N""), 2, FALSE)"),"Analyse the properties that distinguish a semicircle from other circular segments.")</f>
        <v>Analyse the properties that distinguish a semicircle from other circular segments.</v>
      </c>
      <c r="R208" s="29" t="str">
        <f t="shared" si="22"/>
        <v>LU001094.005</v>
      </c>
      <c r="S208" s="29" t="str">
        <f ca="1">IFERROR(__xludf.dummyfunction("VLOOKUP(R208, IMPORTRANGE(""https://docs.google.com/spreadsheets/d/1yDAaXNsi4Mr5FtRQL4tbmSdIzhx6_m4wkOD7IG-k_eo/edit#gid=0"", ""Maths!M:N""), 2, FALSE)"),"Evaluate geometric figures to determine if they accurately represent a semicircle.")</f>
        <v>Evaluate geometric figures to determine if they accurately represent a semicircle.</v>
      </c>
      <c r="T208" s="29" t="str">
        <f t="shared" si="23"/>
        <v>LU001094.006</v>
      </c>
      <c r="U208" s="29" t="str">
        <f ca="1">IFERROR(__xludf.dummyfunction("VLOOKUP(T208, IMPORTRANGE(""https://docs.google.com/spreadsheets/d/1yDAaXNsi4Mr5FtRQL4tbmSdIzhx6_m4wkOD7IG-k_eo/edit#gid=0"", ""Maths!M:N""), 2, FALSE)"),"Create a drawing or model that effectively demonstrates the concept of a semicircle.")</f>
        <v>Create a drawing or model that effectively demonstrates the concept of a semicircle.</v>
      </c>
      <c r="V208" s="16" t="str">
        <f ca="1">IFERROR(__xludf.dummyfunction("ArrayFormula(VLOOKUP(G208, IMPORTRANGE(""https://docs.google.com/spreadsheets/d/1p7R4vtkWt5VOBim4ltsDG9KTzSjrtKXsMtQGXPHyND0/edit#gid=795171502"", ""'Filter 30_05_2024'!A1:M2000""), {2, 3, 4, 5,6,7,8,9,10,11,12,13}, 0))"),"#N/A")</f>
        <v>#N/A</v>
      </c>
      <c r="W208" s="16" t="str">
        <f ca="1">IFERROR(__xludf.dummyfunction("""COMPUTED_VALUE"""),"#N/A")</f>
        <v>#N/A</v>
      </c>
      <c r="X208" s="16" t="str">
        <f ca="1">IFERROR(__xludf.dummyfunction("""COMPUTED_VALUE"""),"#N/A")</f>
        <v>#N/A</v>
      </c>
      <c r="Y208" s="16" t="str">
        <f ca="1">IFERROR(__xludf.dummyfunction("""COMPUTED_VALUE"""),"#N/A")</f>
        <v>#N/A</v>
      </c>
      <c r="Z208" s="16" t="str">
        <f ca="1">IFERROR(__xludf.dummyfunction("""COMPUTED_VALUE"""),"#N/A")</f>
        <v>#N/A</v>
      </c>
      <c r="AA208" s="30" t="str">
        <f ca="1">IFERROR(__xludf.dummyfunction("""COMPUTED_VALUE"""),"#N/A")</f>
        <v>#N/A</v>
      </c>
      <c r="AB208" s="30" t="str">
        <f ca="1">IFERROR(__xludf.dummyfunction("""COMPUTED_VALUE"""),"#N/A")</f>
        <v>#N/A</v>
      </c>
      <c r="AC208" s="30" t="str">
        <f ca="1">IFERROR(__xludf.dummyfunction("""COMPUTED_VALUE"""),"#N/A")</f>
        <v>#N/A</v>
      </c>
      <c r="AD208" s="16" t="str">
        <f ca="1">IFERROR(__xludf.dummyfunction("""COMPUTED_VALUE"""),"#N/A")</f>
        <v>#N/A</v>
      </c>
      <c r="AE208" s="30" t="str">
        <f ca="1">IFERROR(__xludf.dummyfunction("""COMPUTED_VALUE"""),"#N/A")</f>
        <v>#N/A</v>
      </c>
      <c r="AF208" s="30" t="str">
        <f ca="1">IFERROR(__xludf.dummyfunction("""COMPUTED_VALUE"""),"#N/A")</f>
        <v>#N/A</v>
      </c>
      <c r="AG208" s="30" t="str">
        <f ca="1">IFERROR(__xludf.dummyfunction("""COMPUTED_VALUE"""),"#N/A")</f>
        <v>#N/A</v>
      </c>
    </row>
    <row r="209" spans="1:33" ht="26.4">
      <c r="A209" s="25"/>
      <c r="B209" s="26" t="s">
        <v>29</v>
      </c>
      <c r="C209" s="26" t="s">
        <v>310</v>
      </c>
      <c r="D209" s="26">
        <v>6</v>
      </c>
      <c r="E209" s="27" t="s">
        <v>618</v>
      </c>
      <c r="F209" s="28" t="s">
        <v>619</v>
      </c>
      <c r="G209" s="26" t="s">
        <v>620</v>
      </c>
      <c r="H209" s="28" t="str">
        <f ca="1">IFERROR(__xludf.dummyfunction("IFERROR(
  VLOOKUP(G209, IMPORTRANGE(""https://docs.google.com/spreadsheets/d/14deopnvwcrKtEGCKuYXdUHJbeLDZlkiSSWWT0g7x2pM/edit#gid=849066331"", ""LU List Maths (Filter)!A:B""), 2, FALSE),
  IFERROR(
    VLOOKUP(G209, IMPORTRANGE(""https://docs.google.com"&amp;"/spreadsheets/d/14deopnvwcrKtEGCKuYXdUHJbeLDZlkiSSWWT0g7x2pM/edit#gid=849066331"", ""LU List Science (Filter)!A:B""), 2, FALSE),
    ""Not Found""
  )
)
"),"Measurement of length of line segments using ruler")</f>
        <v>Measurement of length of line segments using ruler</v>
      </c>
      <c r="I209" s="28"/>
      <c r="J209" s="29" t="str">
        <f t="shared" si="18"/>
        <v>LU000970.001</v>
      </c>
      <c r="K209" s="29" t="str">
        <f ca="1">IFERROR(__xludf.dummyfunction("VLOOKUP(J209, IMPORTRANGE(""https://docs.google.com/spreadsheets/d/1yDAaXNsi4Mr5FtRQL4tbmSdIzhx6_m4wkOD7IG-k_eo/edit#gid=0"", ""Maths!M:N""), 2, FALSE)"),"Recall the correct technique for using a ruler to measure the length of a line segment accurately.")</f>
        <v>Recall the correct technique for using a ruler to measure the length of a line segment accurately.</v>
      </c>
      <c r="L209" s="29" t="str">
        <f t="shared" si="19"/>
        <v>LU000970.002</v>
      </c>
      <c r="M209" s="29" t="str">
        <f ca="1">IFERROR(__xludf.dummyfunction("VLOOKUP(L209, IMPORTRANGE(""https://docs.google.com/spreadsheets/d/1yDAaXNsi4Mr5FtRQL4tbmSdIzhx6_m4wkOD7IG-k_eo/edit#gid=0"", ""Maths!M:N""), 2, FALSE)"),"Explain the importance of aligning the ruler properly and reading the scale to obtain accurate measurements of line segments.")</f>
        <v>Explain the importance of aligning the ruler properly and reading the scale to obtain accurate measurements of line segments.</v>
      </c>
      <c r="N209" s="29" t="str">
        <f t="shared" si="20"/>
        <v>LU000970.003</v>
      </c>
      <c r="O209" s="29" t="str">
        <f ca="1">IFERROR(__xludf.dummyfunction("VLOOKUP(N209, IMPORTRANGE(""https://docs.google.com/spreadsheets/d/1yDAaXNsi4Mr5FtRQL4tbmSdIzhx6_m4wkOD7IG-k_eo/edit#gid=0"", ""Maths!M:N""), 2, FALSE)"),"Apply the knowledge of using a ruler to measure the length of various line segments with precision.")</f>
        <v>Apply the knowledge of using a ruler to measure the length of various line segments with precision.</v>
      </c>
      <c r="P209" s="29" t="str">
        <f t="shared" si="21"/>
        <v>LU000970.004</v>
      </c>
      <c r="Q209" s="29" t="str">
        <f ca="1">IFERROR(__xludf.dummyfunction("VLOOKUP(P209, IMPORTRANGE(""https://docs.google.com/spreadsheets/d/1yDAaXNsi4Mr5FtRQL4tbmSdIzhx6_m4wkOD7IG-k_eo/edit#gid=0"", ""Maths!M:N""), 2, FALSE)"),"Analyze different line segments to determine the appropriate measurement technique and the units to be used on the ruler.")</f>
        <v>Analyze different line segments to determine the appropriate measurement technique and the units to be used on the ruler.</v>
      </c>
      <c r="R209" s="29" t="str">
        <f t="shared" si="22"/>
        <v>LU000970.005</v>
      </c>
      <c r="S209" s="29" t="str">
        <f ca="1">IFERROR(__xludf.dummyfunction("VLOOKUP(R209, IMPORTRANGE(""https://docs.google.com/spreadsheets/d/1yDAaXNsi4Mr5FtRQL4tbmSdIzhx6_m4wkOD7IG-k_eo/edit#gid=0"", ""Maths!M:N""), 2, FALSE)"),"Evaluate the accuracy of measurements taken with a ruler and identify any potential sources of error.")</f>
        <v>Evaluate the accuracy of measurements taken with a ruler and identify any potential sources of error.</v>
      </c>
      <c r="T209" s="29" t="str">
        <f t="shared" si="23"/>
        <v>LU000970.006</v>
      </c>
      <c r="U209" s="29" t="str">
        <f ca="1">IFERROR(__xludf.dummyfunction("VLOOKUP(T209, IMPORTRANGE(""https://docs.google.com/spreadsheets/d/1yDAaXNsi4Mr5FtRQL4tbmSdIzhx6_m4wkOD7IG-k_eo/edit#gid=0"", ""Maths!M:N""), 2, FALSE)"),"Create and solve measurement tasks that involve line segments, demonstrating the ability to use a ruler effectively and accurately measure lengths.")</f>
        <v>Create and solve measurement tasks that involve line segments, demonstrating the ability to use a ruler effectively and accurately measure lengths.</v>
      </c>
      <c r="V209" s="16">
        <f ca="1">IFERROR(__xludf.dummyfunction("ArrayFormula(VLOOKUP(G209, IMPORTRANGE(""https://docs.google.com/spreadsheets/d/1p7R4vtkWt5VOBim4ltsDG9KTzSjrtKXsMtQGXPHyND0/edit#gid=795171502"", ""'Filter 30_05_2024'!A1:M2000""), {2, 3, 4, 5,6,7,8,9,10,11,12,13}, 0))"),5)</f>
        <v>5</v>
      </c>
      <c r="W209" s="16">
        <f ca="1">IFERROR(__xludf.dummyfunction("""COMPUTED_VALUE"""),12)</f>
        <v>12</v>
      </c>
      <c r="X209" s="16">
        <f ca="1">IFERROR(__xludf.dummyfunction("""COMPUTED_VALUE"""),2)</f>
        <v>2</v>
      </c>
      <c r="Y209" s="16">
        <f ca="1">IFERROR(__xludf.dummyfunction("""COMPUTED_VALUE"""),19)</f>
        <v>19</v>
      </c>
      <c r="Z209" s="16">
        <f ca="1">IFERROR(__xludf.dummyfunction("""COMPUTED_VALUE"""),4)</f>
        <v>4</v>
      </c>
      <c r="AA209" s="30">
        <f ca="1">IFERROR(__xludf.dummyfunction("""COMPUTED_VALUE"""),5)</f>
        <v>5</v>
      </c>
      <c r="AB209" s="30">
        <f ca="1">IFERROR(__xludf.dummyfunction("""COMPUTED_VALUE"""),1)</f>
        <v>1</v>
      </c>
      <c r="AC209" s="30">
        <f ca="1">IFERROR(__xludf.dummyfunction("""COMPUTED_VALUE"""),10)</f>
        <v>10</v>
      </c>
      <c r="AD209" s="16"/>
      <c r="AE209" s="30"/>
      <c r="AF209" s="30"/>
      <c r="AG209" s="30"/>
    </row>
    <row r="210" spans="1:33" ht="26.4">
      <c r="A210" s="25"/>
      <c r="B210" s="26" t="s">
        <v>29</v>
      </c>
      <c r="C210" s="26" t="s">
        <v>310</v>
      </c>
      <c r="D210" s="26">
        <v>6</v>
      </c>
      <c r="E210" s="27" t="s">
        <v>618</v>
      </c>
      <c r="F210" s="28"/>
      <c r="G210" s="26" t="s">
        <v>621</v>
      </c>
      <c r="H210" s="28" t="str">
        <f ca="1">IFERROR(__xludf.dummyfunction("IFERROR(
  VLOOKUP(G210, IMPORTRANGE(""https://docs.google.com/spreadsheets/d/14deopnvwcrKtEGCKuYXdUHJbeLDZlkiSSWWT0g7x2pM/edit#gid=849066331"", ""LU List Maths (Filter)!A:B""), 2, FALSE),
  IFERROR(
    VLOOKUP(G210, IMPORTRANGE(""https://docs.google.com"&amp;"/spreadsheets/d/14deopnvwcrKtEGCKuYXdUHJbeLDZlkiSSWWT0g7x2pM/edit#gid=849066331"", ""LU List Science (Filter)!A:B""), 2, FALSE),
    ""Not Found""
  )
)
"),"Measurement of length of line segments using ruler and divider")</f>
        <v>Measurement of length of line segments using ruler and divider</v>
      </c>
      <c r="I210" s="28"/>
      <c r="J210" s="29" t="str">
        <f t="shared" si="18"/>
        <v>LU000971.001</v>
      </c>
      <c r="K210" s="29" t="str">
        <f ca="1">IFERROR(__xludf.dummyfunction("VLOOKUP(J210, IMPORTRANGE(""https://docs.google.com/spreadsheets/d/1yDAaXNsi4Mr5FtRQL4tbmSdIzhx6_m4wkOD7IG-k_eo/edit#gid=0"", ""Maths!M:N""), 2, FALSE)"),"Recall how to use a ruler and divider for measuring line segments.")</f>
        <v>Recall how to use a ruler and divider for measuring line segments.</v>
      </c>
      <c r="L210" s="29" t="str">
        <f t="shared" si="19"/>
        <v>LU000971.002</v>
      </c>
      <c r="M210" s="29" t="str">
        <f ca="1">IFERROR(__xludf.dummyfunction("VLOOKUP(L210, IMPORTRANGE(""https://docs.google.com/spreadsheets/d/1yDAaXNsi4Mr5FtRQL4tbmSdIzhx6_m4wkOD7IG-k_eo/edit#gid=0"", ""Maths!M:N""), 2, FALSE)"),"Explain the importance of precision when using a ruler and divider for accurate measurements.")</f>
        <v>Explain the importance of precision when using a ruler and divider for accurate measurements.</v>
      </c>
      <c r="N210" s="29" t="str">
        <f t="shared" si="20"/>
        <v>LU000971.003</v>
      </c>
      <c r="O210" s="29" t="str">
        <f ca="1">IFERROR(__xludf.dummyfunction("VLOOKUP(N210, IMPORTRANGE(""https://docs.google.com/spreadsheets/d/1yDAaXNsi4Mr5FtRQL4tbmSdIzhx6_m4wkOD7IG-k_eo/edit#gid=0"", ""Maths!M:N""), 2, FALSE)"),"Apply knowledge to measure the lengths of line segments precisely using a ruler and divider.")</f>
        <v>Apply knowledge to measure the lengths of line segments precisely using a ruler and divider.</v>
      </c>
      <c r="P210" s="29" t="str">
        <f t="shared" si="21"/>
        <v>LU000971.004</v>
      </c>
      <c r="Q210" s="29" t="str">
        <f ca="1">IFERROR(__xludf.dummyfunction("VLOOKUP(P210, IMPORTRANGE(""https://docs.google.com/spreadsheets/d/1yDAaXNsi4Mr5FtRQL4tbmSdIzhx6_m4wkOD7IG-k_eo/edit#gid=0"", ""Maths!M:N""), 2, FALSE)"),"Analyze line segments to choose the appropriate tools and techniques for precise measurements.")</f>
        <v>Analyze line segments to choose the appropriate tools and techniques for precise measurements.</v>
      </c>
      <c r="R210" s="29" t="str">
        <f t="shared" si="22"/>
        <v>LU000971.005</v>
      </c>
      <c r="S210" s="29" t="str">
        <f ca="1">IFERROR(__xludf.dummyfunction("VLOOKUP(R210, IMPORTRANGE(""https://docs.google.com/spreadsheets/d/1yDAaXNsi4Mr5FtRQL4tbmSdIzhx6_m4wkOD7IG-k_eo/edit#gid=0"", ""Maths!M:N""), 2, FALSE)"),"Evaluate measurement accuracy, identifying and correcting potential errors when using a ruler and divider.")</f>
        <v>Evaluate measurement accuracy, identifying and correcting potential errors when using a ruler and divider.</v>
      </c>
      <c r="T210" s="29" t="str">
        <f t="shared" si="23"/>
        <v>LU000971.006</v>
      </c>
      <c r="U210" s="29" t="str">
        <f ca="1">IFERROR(__xludf.dummyfunction("VLOOKUP(T210, IMPORTRANGE(""https://docs.google.com/spreadsheets/d/1yDAaXNsi4Mr5FtRQL4tbmSdIzhx6_m4wkOD7IG-k_eo/edit#gid=0"", ""Maths!M:N""), 2, FALSE)"),"Create and solve measurement tasks involving line segments, demonstrating expertise in using a ruler and divider for accurate measurements.")</f>
        <v>Create and solve measurement tasks involving line segments, demonstrating expertise in using a ruler and divider for accurate measurements.</v>
      </c>
      <c r="V210" s="16">
        <f ca="1">IFERROR(__xludf.dummyfunction("ArrayFormula(VLOOKUP(G210, IMPORTRANGE(""https://docs.google.com/spreadsheets/d/1p7R4vtkWt5VOBim4ltsDG9KTzSjrtKXsMtQGXPHyND0/edit#gid=795171502"", ""'Filter 30_05_2024'!A1:M2000""), {2, 3, 4, 5,6,7,8,9,10,11,12,13}, 0))"),3)</f>
        <v>3</v>
      </c>
      <c r="W210" s="16">
        <f ca="1">IFERROR(__xludf.dummyfunction("""COMPUTED_VALUE"""),6)</f>
        <v>6</v>
      </c>
      <c r="X210" s="16">
        <f ca="1">IFERROR(__xludf.dummyfunction("""COMPUTED_VALUE"""),2)</f>
        <v>2</v>
      </c>
      <c r="Y210" s="16">
        <f ca="1">IFERROR(__xludf.dummyfunction("""COMPUTED_VALUE"""),11)</f>
        <v>11</v>
      </c>
      <c r="Z210" s="16">
        <f ca="1">IFERROR(__xludf.dummyfunction("""COMPUTED_VALUE"""),5)</f>
        <v>5</v>
      </c>
      <c r="AA210" s="30">
        <f ca="1">IFERROR(__xludf.dummyfunction("""COMPUTED_VALUE"""),3)</f>
        <v>3</v>
      </c>
      <c r="AB210" s="30">
        <f ca="1">IFERROR(__xludf.dummyfunction("""COMPUTED_VALUE"""),1)</f>
        <v>1</v>
      </c>
      <c r="AC210" s="30">
        <f ca="1">IFERROR(__xludf.dummyfunction("""COMPUTED_VALUE"""),9)</f>
        <v>9</v>
      </c>
      <c r="AD210" s="16"/>
      <c r="AE210" s="30"/>
      <c r="AF210" s="30"/>
      <c r="AG210" s="30"/>
    </row>
    <row r="211" spans="1:33" ht="26.4">
      <c r="A211" s="25"/>
      <c r="B211" s="26" t="s">
        <v>29</v>
      </c>
      <c r="C211" s="26" t="s">
        <v>310</v>
      </c>
      <c r="D211" s="26">
        <v>6</v>
      </c>
      <c r="E211" s="27" t="s">
        <v>618</v>
      </c>
      <c r="F211" s="28"/>
      <c r="G211" s="26" t="s">
        <v>622</v>
      </c>
      <c r="H211" s="28" t="str">
        <f ca="1">IFERROR(__xludf.dummyfunction("IFERROR(
  VLOOKUP(G211, IMPORTRANGE(""https://docs.google.com/spreadsheets/d/14deopnvwcrKtEGCKuYXdUHJbeLDZlkiSSWWT0g7x2pM/edit#gid=849066331"", ""LU List Maths (Filter)!A:B""), 2, FALSE),
  IFERROR(
    VLOOKUP(G211, IMPORTRANGE(""https://docs.google.com"&amp;"/spreadsheets/d/14deopnvwcrKtEGCKuYXdUHJbeLDZlkiSSWWT0g7x2pM/edit#gid=849066331"", ""LU List Science (Filter)!A:B""), 2, FALSE),
    ""Not Found""
  )
)
"),"Comparison of line segments by observation method")</f>
        <v>Comparison of line segments by observation method</v>
      </c>
      <c r="I211" s="28"/>
      <c r="J211" s="29" t="str">
        <f t="shared" si="18"/>
        <v>LU000972.001</v>
      </c>
      <c r="K211" s="29" t="str">
        <f ca="1">IFERROR(__xludf.dummyfunction("VLOOKUP(J211, IMPORTRANGE(""https://docs.google.com/spreadsheets/d/1yDAaXNsi4Mr5FtRQL4tbmSdIzhx6_m4wkOD7IG-k_eo/edit#gid=0"", ""Maths!M:N""), 2, FALSE)"),"Recall how to compare line segments through observation.")</f>
        <v>Recall how to compare line segments through observation.</v>
      </c>
      <c r="L211" s="29" t="str">
        <f t="shared" si="19"/>
        <v>LU000972.002</v>
      </c>
      <c r="M211" s="29" t="str">
        <f ca="1">IFERROR(__xludf.dummyfunction("VLOOKUP(L211, IMPORTRANGE(""https://docs.google.com/spreadsheets/d/1yDAaXNsi4Mr5FtRQL4tbmSdIzhx6_m4wkOD7IG-k_eo/edit#gid=0"", ""Maths!M:N""), 2, FALSE)"),"Explain the concept of visually comparing line segments based on length and orientation.")</f>
        <v>Explain the concept of visually comparing line segments based on length and orientation.</v>
      </c>
      <c r="N211" s="29" t="str">
        <f t="shared" si="20"/>
        <v>LU000972.003</v>
      </c>
      <c r="O211" s="29" t="str">
        <f ca="1">IFERROR(__xludf.dummyfunction("VLOOKUP(N211, IMPORTRANGE(""https://docs.google.com/spreadsheets/d/1yDAaXNsi4Mr5FtRQL4tbmSdIzhx6_m4wkOD7IG-k_eo/edit#gid=0"", ""Maths!M:N""), 2, FALSE)"),"Apply observation skills to accurately compare line segments visually.")</f>
        <v>Apply observation skills to accurately compare line segments visually.</v>
      </c>
      <c r="P211" s="29" t="str">
        <f t="shared" si="21"/>
        <v>LU000972.004</v>
      </c>
      <c r="Q211" s="29" t="str">
        <f ca="1">IFERROR(__xludf.dummyfunction("VLOOKUP(P211, IMPORTRANGE(""https://docs.google.com/spreadsheets/d/1yDAaXNsi4Mr5FtRQL4tbmSdIzhx6_m4wkOD7IG-k_eo/edit#gid=0"", ""Maths!M:N""), 2, FALSE)"),"Analyze line segments and identify differences in their lengths and orientations through visual observation.")</f>
        <v>Analyze line segments and identify differences in their lengths and orientations through visual observation.</v>
      </c>
      <c r="R211" s="29" t="str">
        <f t="shared" si="22"/>
        <v>LU000972.005</v>
      </c>
      <c r="S211" s="29" t="str">
        <f ca="1">IFERROR(__xludf.dummyfunction("VLOOKUP(R211, IMPORTRANGE(""https://docs.google.com/spreadsheets/d/1yDAaXNsi4Mr5FtRQL4tbmSdIzhx6_m4wkOD7IG-k_eo/edit#gid=0"", ""Maths!M:N""), 2, FALSE)"),"Evaluate the accuracy of comparisons made through observation, providing justifications.")</f>
        <v>Evaluate the accuracy of comparisons made through observation, providing justifications.</v>
      </c>
      <c r="T211" s="29" t="str">
        <f t="shared" si="23"/>
        <v>LU000972.006</v>
      </c>
      <c r="U211" s="29" t="str">
        <f ca="1">IFERROR(__xludf.dummyfunction("VLOOKUP(T211, IMPORTRANGE(""https://docs.google.com/spreadsheets/d/1yDAaXNsi4Mr5FtRQL4tbmSdIzhx6_m4wkOD7IG-k_eo/edit#gid=0"", ""Maths!M:N""), 2, FALSE)"),"#N/A")</f>
        <v>#N/A</v>
      </c>
      <c r="V211" s="16">
        <f ca="1">IFERROR(__xludf.dummyfunction("ArrayFormula(VLOOKUP(G211, IMPORTRANGE(""https://docs.google.com/spreadsheets/d/1p7R4vtkWt5VOBim4ltsDG9KTzSjrtKXsMtQGXPHyND0/edit#gid=795171502"", ""'Filter 30_05_2024'!A1:M2000""), {2, 3, 4, 5,6,7,8,9,10,11,12,13}, 0))"),4)</f>
        <v>4</v>
      </c>
      <c r="W211" s="16">
        <f ca="1">IFERROR(__xludf.dummyfunction("""COMPUTED_VALUE"""),6)</f>
        <v>6</v>
      </c>
      <c r="X211" s="16">
        <f ca="1">IFERROR(__xludf.dummyfunction("""COMPUTED_VALUE"""),2)</f>
        <v>2</v>
      </c>
      <c r="Y211" s="16">
        <f ca="1">IFERROR(__xludf.dummyfunction("""COMPUTED_VALUE"""),12)</f>
        <v>12</v>
      </c>
      <c r="Z211" s="16">
        <f ca="1">IFERROR(__xludf.dummyfunction("""COMPUTED_VALUE"""),4)</f>
        <v>4</v>
      </c>
      <c r="AA211" s="30">
        <f ca="1">IFERROR(__xludf.dummyfunction("""COMPUTED_VALUE"""),3)</f>
        <v>3</v>
      </c>
      <c r="AB211" s="30">
        <f ca="1">IFERROR(__xludf.dummyfunction("""COMPUTED_VALUE"""),1)</f>
        <v>1</v>
      </c>
      <c r="AC211" s="30">
        <f ca="1">IFERROR(__xludf.dummyfunction("""COMPUTED_VALUE"""),8)</f>
        <v>8</v>
      </c>
      <c r="AD211" s="16"/>
      <c r="AE211" s="30"/>
      <c r="AF211" s="30"/>
      <c r="AG211" s="30"/>
    </row>
    <row r="212" spans="1:33" ht="26.4">
      <c r="A212" s="25"/>
      <c r="B212" s="26" t="s">
        <v>29</v>
      </c>
      <c r="C212" s="26" t="s">
        <v>310</v>
      </c>
      <c r="D212" s="26">
        <v>6</v>
      </c>
      <c r="E212" s="27" t="s">
        <v>618</v>
      </c>
      <c r="F212" s="28"/>
      <c r="G212" s="26" t="s">
        <v>623</v>
      </c>
      <c r="H212" s="28" t="str">
        <f ca="1">IFERROR(__xludf.dummyfunction("IFERROR(
  VLOOKUP(G212, IMPORTRANGE(""https://docs.google.com/spreadsheets/d/14deopnvwcrKtEGCKuYXdUHJbeLDZlkiSSWWT0g7x2pM/edit#gid=849066331"", ""LU List Maths (Filter)!A:B""), 2, FALSE),
  IFERROR(
    VLOOKUP(G212, IMPORTRANGE(""https://docs.google.com"&amp;"/spreadsheets/d/14deopnvwcrKtEGCKuYXdUHJbeLDZlkiSSWWT0g7x2pM/edit#gid=849066331"", ""LU List Science (Filter)!A:B""), 2, FALSE),
    ""Not Found""
  )
)
"),"Comparison of line segments by tracing method")</f>
        <v>Comparison of line segments by tracing method</v>
      </c>
      <c r="I212" s="28"/>
      <c r="J212" s="29" t="str">
        <f t="shared" si="18"/>
        <v>LU000973.001</v>
      </c>
      <c r="K212" s="29" t="str">
        <f ca="1">IFERROR(__xludf.dummyfunction("VLOOKUP(J212, IMPORTRANGE(""https://docs.google.com/spreadsheets/d/1yDAaXNsi4Mr5FtRQL4tbmSdIzhx6_m4wkOD7IG-k_eo/edit#gid=0"", ""Maths!M:N""), 2, FALSE)"),"Recall the basic steps involved in comparing line segments using the tracing method.")</f>
        <v>Recall the basic steps involved in comparing line segments using the tracing method.</v>
      </c>
      <c r="L212" s="29" t="str">
        <f t="shared" si="19"/>
        <v>LU000973.002</v>
      </c>
      <c r="M212" s="29" t="str">
        <f ca="1">IFERROR(__xludf.dummyfunction("VLOOKUP(L212, IMPORTRANGE(""https://docs.google.com/spreadsheets/d/1yDAaXNsi4Mr5FtRQL4tbmSdIzhx6_m4wkOD7IG-k_eo/edit#gid=0"", ""Maths!M:N""), 2, FALSE)"),"Explain the concept of comparing line segments through the tracing method, emphasizing the importance of precision.")</f>
        <v>Explain the concept of comparing line segments through the tracing method, emphasizing the importance of precision.</v>
      </c>
      <c r="N212" s="29" t="str">
        <f t="shared" si="20"/>
        <v>LU000973.003</v>
      </c>
      <c r="O212" s="29" t="str">
        <f ca="1">IFERROR(__xludf.dummyfunction("VLOOKUP(N212, IMPORTRANGE(""https://docs.google.com/spreadsheets/d/1yDAaXNsi4Mr5FtRQL4tbmSdIzhx6_m4wkOD7IG-k_eo/edit#gid=0"", ""Maths!M:N""), 2, FALSE)"),"Apply the tracing method effectively to compare line segments accurately, ensuring proper alignment during tracing.")</f>
        <v>Apply the tracing method effectively to compare line segments accurately, ensuring proper alignment during tracing.</v>
      </c>
      <c r="P212" s="29" t="str">
        <f t="shared" si="21"/>
        <v>LU000973.004</v>
      </c>
      <c r="Q212" s="29" t="str">
        <f ca="1">IFERROR(__xludf.dummyfunction("VLOOKUP(P212, IMPORTRANGE(""https://docs.google.com/spreadsheets/d/1yDAaXNsi4Mr5FtRQL4tbmSdIzhx6_m4wkOD7IG-k_eo/edit#gid=0"", ""Maths!M:N""), 2, FALSE)"),"Analyze traced line segments to identify differences or similarities in length and orientation, using the tracing method as a visual aid.")</f>
        <v>Analyze traced line segments to identify differences or similarities in length and orientation, using the tracing method as a visual aid.</v>
      </c>
      <c r="R212" s="29" t="str">
        <f t="shared" si="22"/>
        <v>LU000973.005</v>
      </c>
      <c r="S212" s="29" t="str">
        <f ca="1">IFERROR(__xludf.dummyfunction("VLOOKUP(R212, IMPORTRANGE(""https://docs.google.com/spreadsheets/d/1yDAaXNsi4Mr5FtRQL4tbmSdIzhx6_m4wkOD7IG-k_eo/edit#gid=0"", ""Maths!M:N""), 2, FALSE)"),"Evaluate the accuracy of comparisons made through the tracing method, providing explanations for any discrepancies.")</f>
        <v>Evaluate the accuracy of comparisons made through the tracing method, providing explanations for any discrepancies.</v>
      </c>
      <c r="T212" s="29" t="str">
        <f t="shared" si="23"/>
        <v>LU000973.006</v>
      </c>
      <c r="U212" s="29" t="str">
        <f ca="1">IFERROR(__xludf.dummyfunction("VLOOKUP(T212, IMPORTRANGE(""https://docs.google.com/spreadsheets/d/1yDAaXNsi4Mr5FtRQL4tbmSdIzhx6_m4wkOD7IG-k_eo/edit#gid=0"", ""Maths!M:N""), 2, FALSE)"),"#N/A")</f>
        <v>#N/A</v>
      </c>
      <c r="V212" s="16">
        <f ca="1">IFERROR(__xludf.dummyfunction("ArrayFormula(VLOOKUP(G212, IMPORTRANGE(""https://docs.google.com/spreadsheets/d/1p7R4vtkWt5VOBim4ltsDG9KTzSjrtKXsMtQGXPHyND0/edit#gid=795171502"", ""'Filter 30_05_2024'!A1:M2000""), {2, 3, 4, 5,6,7,8,9,10,11,12,13}, 0))"),5)</f>
        <v>5</v>
      </c>
      <c r="W212" s="16">
        <f ca="1">IFERROR(__xludf.dummyfunction("""COMPUTED_VALUE"""),4)</f>
        <v>4</v>
      </c>
      <c r="X212" s="16">
        <f ca="1">IFERROR(__xludf.dummyfunction("""COMPUTED_VALUE"""),2)</f>
        <v>2</v>
      </c>
      <c r="Y212" s="16">
        <f ca="1">IFERROR(__xludf.dummyfunction("""COMPUTED_VALUE"""),11)</f>
        <v>11</v>
      </c>
      <c r="Z212" s="16">
        <f ca="1">IFERROR(__xludf.dummyfunction("""COMPUTED_VALUE"""),4)</f>
        <v>4</v>
      </c>
      <c r="AA212" s="30">
        <f ca="1">IFERROR(__xludf.dummyfunction("""COMPUTED_VALUE"""),5)</f>
        <v>5</v>
      </c>
      <c r="AB212" s="30">
        <f ca="1">IFERROR(__xludf.dummyfunction("""COMPUTED_VALUE"""),1)</f>
        <v>1</v>
      </c>
      <c r="AC212" s="30">
        <f ca="1">IFERROR(__xludf.dummyfunction("""COMPUTED_VALUE"""),10)</f>
        <v>10</v>
      </c>
      <c r="AD212" s="16"/>
      <c r="AE212" s="30"/>
      <c r="AF212" s="30"/>
      <c r="AG212" s="30"/>
    </row>
    <row r="213" spans="1:33" ht="26.4">
      <c r="A213" s="25"/>
      <c r="B213" s="26" t="s">
        <v>29</v>
      </c>
      <c r="C213" s="26" t="s">
        <v>310</v>
      </c>
      <c r="D213" s="26">
        <v>6</v>
      </c>
      <c r="E213" s="27" t="s">
        <v>618</v>
      </c>
      <c r="F213" s="28"/>
      <c r="G213" s="26" t="s">
        <v>624</v>
      </c>
      <c r="H213" s="28" t="str">
        <f ca="1">IFERROR(__xludf.dummyfunction("IFERROR(
  VLOOKUP(G213, IMPORTRANGE(""https://docs.google.com/spreadsheets/d/14deopnvwcrKtEGCKuYXdUHJbeLDZlkiSSWWT0g7x2pM/edit#gid=849066331"", ""LU List Maths (Filter)!A:B""), 2, FALSE),
  IFERROR(
    VLOOKUP(G213, IMPORTRANGE(""https://docs.google.com"&amp;"/spreadsheets/d/14deopnvwcrKtEGCKuYXdUHJbeLDZlkiSSWWT0g7x2pM/edit#gid=849066331"", ""LU List Science (Filter)!A:B""), 2, FALSE),
    ""Not Found""
  )
)
"),"Comparison of line segments using ruler and divider")</f>
        <v>Comparison of line segments using ruler and divider</v>
      </c>
      <c r="I213" s="28"/>
      <c r="J213" s="29" t="str">
        <f t="shared" si="18"/>
        <v>LU000974.001</v>
      </c>
      <c r="K213" s="29" t="str">
        <f ca="1">IFERROR(__xludf.dummyfunction("VLOOKUP(J213, IMPORTRANGE(""https://docs.google.com/spreadsheets/d/1yDAaXNsi4Mr5FtRQL4tbmSdIzhx6_m4wkOD7IG-k_eo/edit#gid=0"", ""Maths!M:N""), 2, FALSE)"),"Recall the steps involved in comparing line segments using a ruler and divider.")</f>
        <v>Recall the steps involved in comparing line segments using a ruler and divider.</v>
      </c>
      <c r="L213" s="29" t="str">
        <f t="shared" si="19"/>
        <v>LU000974.002</v>
      </c>
      <c r="M213" s="29" t="str">
        <f ca="1">IFERROR(__xludf.dummyfunction("VLOOKUP(L213, IMPORTRANGE(""https://docs.google.com/spreadsheets/d/1yDAaXNsi4Mr5FtRQL4tbmSdIzhx6_m4wkOD7IG-k_eo/edit#gid=0"", ""Maths!M:N""), 2, FALSE)"),"Explain the concept of comparing line segments with a ruler and divider, emphasizing the role of precision.")</f>
        <v>Explain the concept of comparing line segments with a ruler and divider, emphasizing the role of precision.</v>
      </c>
      <c r="N213" s="29" t="str">
        <f t="shared" si="20"/>
        <v>LU000974.003</v>
      </c>
      <c r="O213" s="29" t="str">
        <f ca="1">IFERROR(__xludf.dummyfunction("VLOOKUP(N213, IMPORTRANGE(""https://docs.google.com/spreadsheets/d/1yDAaXNsi4Mr5FtRQL4tbmSdIzhx6_m4wkOD7IG-k_eo/edit#gid=0"", ""Maths!M:N""), 2, FALSE)"),"Apply the ruler and divider method proficiently to compare line segments accurately, ensuring precise measurement and alignment.")</f>
        <v>Apply the ruler and divider method proficiently to compare line segments accurately, ensuring precise measurement and alignment.</v>
      </c>
      <c r="P213" s="29" t="str">
        <f t="shared" si="21"/>
        <v>LU000974.004</v>
      </c>
      <c r="Q213" s="29" t="str">
        <f ca="1">IFERROR(__xludf.dummyfunction("VLOOKUP(P213, IMPORTRANGE(""https://docs.google.com/spreadsheets/d/1yDAaXNsi4Mr5FtRQL4tbmSdIzhx6_m4wkOD7IG-k_eo/edit#gid=0"", ""Maths!M:N""), 2, FALSE)"),"Analyze the measured line segments to identify differences or similarities in their lengths and make informed comparisons.")</f>
        <v>Analyze the measured line segments to identify differences or similarities in their lengths and make informed comparisons.</v>
      </c>
      <c r="R213" s="29" t="str">
        <f t="shared" si="22"/>
        <v>LU000974.005</v>
      </c>
      <c r="S213" s="29" t="str">
        <f ca="1">IFERROR(__xludf.dummyfunction("VLOOKUP(R213, IMPORTRANGE(""https://docs.google.com/spreadsheets/d/1yDAaXNsi4Mr5FtRQL4tbmSdIzhx6_m4wkOD7IG-k_eo/edit#gid=0"", ""Maths!M:N""), 2, FALSE)"),"Evaluate the accuracy of comparisons made using a ruler and divider, providing justifications for the assessments.")</f>
        <v>Evaluate the accuracy of comparisons made using a ruler and divider, providing justifications for the assessments.</v>
      </c>
      <c r="T213" s="29" t="str">
        <f t="shared" si="23"/>
        <v>LU000974.006</v>
      </c>
      <c r="U213" s="29" t="str">
        <f ca="1">IFERROR(__xludf.dummyfunction("VLOOKUP(T213, IMPORTRANGE(""https://docs.google.com/spreadsheets/d/1yDAaXNsi4Mr5FtRQL4tbmSdIzhx6_m4wkOD7IG-k_eo/edit#gid=0"", ""Maths!M:N""), 2, FALSE)"),"#N/A")</f>
        <v>#N/A</v>
      </c>
      <c r="V213" s="16">
        <f ca="1">IFERROR(__xludf.dummyfunction("ArrayFormula(VLOOKUP(G213, IMPORTRANGE(""https://docs.google.com/spreadsheets/d/1p7R4vtkWt5VOBim4ltsDG9KTzSjrtKXsMtQGXPHyND0/edit#gid=795171502"", ""'Filter 30_05_2024'!A1:M2000""), {2, 3, 4, 5,6,7,8,9,10,11,12,13}, 0))"),4)</f>
        <v>4</v>
      </c>
      <c r="W213" s="16">
        <f ca="1">IFERROR(__xludf.dummyfunction("""COMPUTED_VALUE"""),10)</f>
        <v>10</v>
      </c>
      <c r="X213" s="16"/>
      <c r="Y213" s="16">
        <f ca="1">IFERROR(__xludf.dummyfunction("""COMPUTED_VALUE"""),14)</f>
        <v>14</v>
      </c>
      <c r="Z213" s="16">
        <f ca="1">IFERROR(__xludf.dummyfunction("""COMPUTED_VALUE"""),4)</f>
        <v>4</v>
      </c>
      <c r="AA213" s="30">
        <f ca="1">IFERROR(__xludf.dummyfunction("""COMPUTED_VALUE"""),2)</f>
        <v>2</v>
      </c>
      <c r="AB213" s="30">
        <f ca="1">IFERROR(__xludf.dummyfunction("""COMPUTED_VALUE"""),1)</f>
        <v>1</v>
      </c>
      <c r="AC213" s="30">
        <f ca="1">IFERROR(__xludf.dummyfunction("""COMPUTED_VALUE"""),7)</f>
        <v>7</v>
      </c>
      <c r="AD213" s="16"/>
      <c r="AE213" s="30"/>
      <c r="AF213" s="30"/>
      <c r="AG213" s="30"/>
    </row>
    <row r="214" spans="1:33" ht="26.4">
      <c r="A214" s="25"/>
      <c r="B214" s="26" t="s">
        <v>29</v>
      </c>
      <c r="C214" s="26" t="s">
        <v>310</v>
      </c>
      <c r="D214" s="26">
        <v>6</v>
      </c>
      <c r="E214" s="27" t="s">
        <v>618</v>
      </c>
      <c r="F214" s="28" t="s">
        <v>625</v>
      </c>
      <c r="G214" s="26" t="s">
        <v>626</v>
      </c>
      <c r="H214" s="28" t="str">
        <f ca="1">IFERROR(__xludf.dummyfunction("IFERROR(
  VLOOKUP(G214, IMPORTRANGE(""https://docs.google.com/spreadsheets/d/14deopnvwcrKtEGCKuYXdUHJbeLDZlkiSSWWT0g7x2pM/edit#gid=849066331"", ""LU List Maths (Filter)!A:B""), 2, FALSE),
  IFERROR(
    VLOOKUP(G214, IMPORTRANGE(""https://docs.google.com"&amp;"/spreadsheets/d/14deopnvwcrKtEGCKuYXdUHJbeLDZlkiSSWWT0g7x2pM/edit#gid=849066331"", ""LU List Science (Filter)!A:B""), 2, FALSE),
    ""Not Found""
  )
)
"),"Definition and identification of intersecting lines")</f>
        <v>Definition and identification of intersecting lines</v>
      </c>
      <c r="I214" s="28"/>
      <c r="J214" s="29" t="str">
        <f t="shared" si="18"/>
        <v>LU000221.001</v>
      </c>
      <c r="K214" s="29" t="str">
        <f ca="1">IFERROR(__xludf.dummyfunction("VLOOKUP(J214, IMPORTRANGE(""https://docs.google.com/spreadsheets/d/1yDAaXNsi4Mr5FtRQL4tbmSdIzhx6_m4wkOD7IG-k_eo/edit#gid=0"", ""Maths!M:N""), 2, FALSE)"),"Define intersecting lines and point of intersection.")</f>
        <v>Define intersecting lines and point of intersection.</v>
      </c>
      <c r="L214" s="29" t="str">
        <f t="shared" si="19"/>
        <v>LU000221.002</v>
      </c>
      <c r="M214" s="29" t="str">
        <f ca="1">IFERROR(__xludf.dummyfunction("VLOOKUP(L214, IMPORTRANGE(""https://docs.google.com/spreadsheets/d/1yDAaXNsi4Mr5FtRQL4tbmSdIzhx6_m4wkOD7IG-k_eo/edit#gid=0"", ""Maths!M:N""), 2, FALSE)"),"Find the measure of unknown angles made by intersecting lines.")</f>
        <v>Find the measure of unknown angles made by intersecting lines.</v>
      </c>
      <c r="N214" s="29" t="str">
        <f t="shared" si="20"/>
        <v>LU000221.003</v>
      </c>
      <c r="O214" s="29" t="str">
        <f ca="1">IFERROR(__xludf.dummyfunction("VLOOKUP(N214, IMPORTRANGE(""https://docs.google.com/spreadsheets/d/1yDAaXNsi4Mr5FtRQL4tbmSdIzhx6_m4wkOD7IG-k_eo/edit#gid=0"", ""Maths!M:N""), 2, FALSE)"),"Distinguish intersecting lines from the given pairs of lines.")</f>
        <v>Distinguish intersecting lines from the given pairs of lines.</v>
      </c>
      <c r="P214" s="29" t="str">
        <f t="shared" si="21"/>
        <v>LU000221.004</v>
      </c>
      <c r="Q214" s="29" t="str">
        <f ca="1">IFERROR(__xludf.dummyfunction("VLOOKUP(P214, IMPORTRANGE(""https://docs.google.com/spreadsheets/d/1yDAaXNsi4Mr5FtRQL4tbmSdIzhx6_m4wkOD7IG-k_eo/edit#gid=0"", ""Maths!M:N""), 2, FALSE)"),"Analyze geometric figures to recognise that two lines do not intersect at more than one point, and that multiple lines can intersect at a single point.")</f>
        <v>Analyze geometric figures to recognise that two lines do not intersect at more than one point, and that multiple lines can intersect at a single point.</v>
      </c>
      <c r="R214" s="29" t="str">
        <f t="shared" si="22"/>
        <v>LU000221.005</v>
      </c>
      <c r="S214" s="29" t="str">
        <f ca="1">IFERROR(__xludf.dummyfunction("VLOOKUP(R214, IMPORTRANGE(""https://docs.google.com/spreadsheets/d/1yDAaXNsi4Mr5FtRQL4tbmSdIzhx6_m4wkOD7IG-k_eo/edit#gid=0"", ""Maths!M:N""), 2, FALSE)"),"#N/A")</f>
        <v>#N/A</v>
      </c>
      <c r="T214" s="29" t="str">
        <f t="shared" si="23"/>
        <v>LU000221.006</v>
      </c>
      <c r="U214" s="29" t="str">
        <f ca="1">IFERROR(__xludf.dummyfunction("VLOOKUP(T214, IMPORTRANGE(""https://docs.google.com/spreadsheets/d/1yDAaXNsi4Mr5FtRQL4tbmSdIzhx6_m4wkOD7IG-k_eo/edit#gid=0"", ""Maths!M:N""), 2, FALSE)"),"Create visual representations of scenarios where two lines intersect at a single point.")</f>
        <v>Create visual representations of scenarios where two lines intersect at a single point.</v>
      </c>
      <c r="V214" s="16">
        <f ca="1">IFERROR(__xludf.dummyfunction("ArrayFormula(VLOOKUP(G214, IMPORTRANGE(""https://docs.google.com/spreadsheets/d/1p7R4vtkWt5VOBim4ltsDG9KTzSjrtKXsMtQGXPHyND0/edit#gid=795171502"", ""'Filter 30_05_2024'!A1:M2000""), {2, 3, 4, 5,6,7,8,9,10,11,12,13}, 0))"),7)</f>
        <v>7</v>
      </c>
      <c r="W214" s="16">
        <f ca="1">IFERROR(__xludf.dummyfunction("""COMPUTED_VALUE"""),15)</f>
        <v>15</v>
      </c>
      <c r="X214" s="16">
        <f ca="1">IFERROR(__xludf.dummyfunction("""COMPUTED_VALUE"""),2)</f>
        <v>2</v>
      </c>
      <c r="Y214" s="16">
        <f ca="1">IFERROR(__xludf.dummyfunction("""COMPUTED_VALUE"""),24)</f>
        <v>24</v>
      </c>
      <c r="Z214" s="16">
        <f ca="1">IFERROR(__xludf.dummyfunction("""COMPUTED_VALUE"""),3)</f>
        <v>3</v>
      </c>
      <c r="AA214" s="30">
        <f ca="1">IFERROR(__xludf.dummyfunction("""COMPUTED_VALUE"""),3)</f>
        <v>3</v>
      </c>
      <c r="AB214" s="30">
        <f ca="1">IFERROR(__xludf.dummyfunction("""COMPUTED_VALUE"""),1)</f>
        <v>1</v>
      </c>
      <c r="AC214" s="30">
        <f ca="1">IFERROR(__xludf.dummyfunction("""COMPUTED_VALUE"""),7)</f>
        <v>7</v>
      </c>
      <c r="AD214" s="16"/>
      <c r="AE214" s="30"/>
      <c r="AF214" s="30"/>
      <c r="AG214" s="30"/>
    </row>
    <row r="215" spans="1:33" ht="26.4">
      <c r="A215" s="25"/>
      <c r="B215" s="26" t="s">
        <v>29</v>
      </c>
      <c r="C215" s="26" t="s">
        <v>310</v>
      </c>
      <c r="D215" s="26">
        <v>6</v>
      </c>
      <c r="E215" s="27" t="s">
        <v>618</v>
      </c>
      <c r="F215" s="28"/>
      <c r="G215" s="26" t="s">
        <v>627</v>
      </c>
      <c r="H215" s="28" t="str">
        <f ca="1">IFERROR(__xludf.dummyfunction("IFERROR(
  VLOOKUP(G215, IMPORTRANGE(""https://docs.google.com/spreadsheets/d/14deopnvwcrKtEGCKuYXdUHJbeLDZlkiSSWWT0g7x2pM/edit#gid=849066331"", ""LU List Maths (Filter)!A:B""), 2, FALSE),
  IFERROR(
    VLOOKUP(G215, IMPORTRANGE(""https://docs.google.com"&amp;"/spreadsheets/d/14deopnvwcrKtEGCKuYXdUHJbeLDZlkiSSWWT0g7x2pM/edit#gid=849066331"", ""LU List Science (Filter)!A:B""), 2, FALSE),
    ""Not Found""
  )
)
"),"Definition and identification of parallel lines")</f>
        <v>Definition and identification of parallel lines</v>
      </c>
      <c r="I215" s="28"/>
      <c r="J215" s="29" t="str">
        <f t="shared" si="18"/>
        <v>LU000222.001</v>
      </c>
      <c r="K215" s="29" t="str">
        <f ca="1">IFERROR(__xludf.dummyfunction("VLOOKUP(J215, IMPORTRANGE(""https://docs.google.com/spreadsheets/d/1yDAaXNsi4Mr5FtRQL4tbmSdIzhx6_m4wkOD7IG-k_eo/edit#gid=0"", ""Maths!M:N""), 2, FALSE)"),"Define parallel lines.")</f>
        <v>Define parallel lines.</v>
      </c>
      <c r="L215" s="29" t="str">
        <f t="shared" si="19"/>
        <v>LU000222.002</v>
      </c>
      <c r="M215" s="29" t="str">
        <f ca="1">IFERROR(__xludf.dummyfunction("VLOOKUP(L215, IMPORTRANGE(""https://docs.google.com/spreadsheets/d/1yDAaXNsi4Mr5FtRQL4tbmSdIzhx6_m4wkOD7IG-k_eo/edit#gid=0"", ""Maths!M:N""), 2, FALSE)"),"List the real-word examples of parallel lines.")</f>
        <v>List the real-word examples of parallel lines.</v>
      </c>
      <c r="N215" s="29" t="str">
        <f t="shared" si="20"/>
        <v>LU000222.003</v>
      </c>
      <c r="O215" s="29" t="str">
        <f ca="1">IFERROR(__xludf.dummyfunction("VLOOKUP(N215, IMPORTRANGE(""https://docs.google.com/spreadsheets/d/1yDAaXNsi4Mr5FtRQL4tbmSdIzhx6_m4wkOD7IG-k_eo/edit#gid=0"", ""Maths!M:N""), 2, FALSE)"),"Distinguish parallel lines from the given pairs of lines/line segment.")</f>
        <v>Distinguish parallel lines from the given pairs of lines/line segment.</v>
      </c>
      <c r="P215" s="29" t="str">
        <f t="shared" si="21"/>
        <v>LU000222.004</v>
      </c>
      <c r="Q215" s="29" t="str">
        <f ca="1">IFERROR(__xludf.dummyfunction("VLOOKUP(P215, IMPORTRANGE(""https://docs.google.com/spreadsheets/d/1yDAaXNsi4Mr5FtRQL4tbmSdIzhx6_m4wkOD7IG-k_eo/edit#gid=0"", ""Maths!M:N""), 2, FALSE)"),"Examine various sets of lines and distinguish parallel lines from others, analyzing their properties and the relationship between them.")</f>
        <v>Examine various sets of lines and distinguish parallel lines from others, analyzing their properties and the relationship between them.</v>
      </c>
      <c r="R215" s="29" t="str">
        <f t="shared" si="22"/>
        <v>LU000222.005</v>
      </c>
      <c r="S215" s="29" t="str">
        <f ca="1">IFERROR(__xludf.dummyfunction("VLOOKUP(R215, IMPORTRANGE(""https://docs.google.com/spreadsheets/d/1yDAaXNsi4Mr5FtRQL4tbmSdIzhx6_m4wkOD7IG-k_eo/edit#gid=0"", ""Maths!M:N""), 2, FALSE)"),"#N/A")</f>
        <v>#N/A</v>
      </c>
      <c r="T215" s="29" t="str">
        <f t="shared" si="23"/>
        <v>LU000222.006</v>
      </c>
      <c r="U215" s="29" t="str">
        <f ca="1">IFERROR(__xludf.dummyfunction("VLOOKUP(T215, IMPORTRANGE(""https://docs.google.com/spreadsheets/d/1yDAaXNsi4Mr5FtRQL4tbmSdIzhx6_m4wkOD7IG-k_eo/edit#gid=0"", ""Maths!M:N""), 2, FALSE)"),"Visual representations of scenarios where two lines intersect at a single point.")</f>
        <v>Visual representations of scenarios where two lines intersect at a single point.</v>
      </c>
      <c r="V215" s="16">
        <f ca="1">IFERROR(__xludf.dummyfunction("ArrayFormula(VLOOKUP(G215, IMPORTRANGE(""https://docs.google.com/spreadsheets/d/1p7R4vtkWt5VOBim4ltsDG9KTzSjrtKXsMtQGXPHyND0/edit#gid=795171502"", ""'Filter 30_05_2024'!A1:M2000""), {2, 3, 4, 5,6,7,8,9,10,11,12,13}, 0))"),14)</f>
        <v>14</v>
      </c>
      <c r="W215" s="16">
        <f ca="1">IFERROR(__xludf.dummyfunction("""COMPUTED_VALUE"""),5)</f>
        <v>5</v>
      </c>
      <c r="X215" s="16">
        <f ca="1">IFERROR(__xludf.dummyfunction("""COMPUTED_VALUE"""),2)</f>
        <v>2</v>
      </c>
      <c r="Y215" s="16">
        <f ca="1">IFERROR(__xludf.dummyfunction("""COMPUTED_VALUE"""),21)</f>
        <v>21</v>
      </c>
      <c r="Z215" s="16">
        <f ca="1">IFERROR(__xludf.dummyfunction("""COMPUTED_VALUE"""),5)</f>
        <v>5</v>
      </c>
      <c r="AA215" s="30">
        <f ca="1">IFERROR(__xludf.dummyfunction("""COMPUTED_VALUE"""),3)</f>
        <v>3</v>
      </c>
      <c r="AB215" s="30">
        <f ca="1">IFERROR(__xludf.dummyfunction("""COMPUTED_VALUE"""),2)</f>
        <v>2</v>
      </c>
      <c r="AC215" s="30">
        <f ca="1">IFERROR(__xludf.dummyfunction("""COMPUTED_VALUE"""),10)</f>
        <v>10</v>
      </c>
      <c r="AD215" s="16"/>
      <c r="AE215" s="30"/>
      <c r="AF215" s="30"/>
      <c r="AG215" s="30"/>
    </row>
    <row r="216" spans="1:33" ht="26.4">
      <c r="A216" s="25"/>
      <c r="B216" s="26" t="s">
        <v>29</v>
      </c>
      <c r="C216" s="26" t="s">
        <v>310</v>
      </c>
      <c r="D216" s="26">
        <v>6</v>
      </c>
      <c r="E216" s="27" t="s">
        <v>618</v>
      </c>
      <c r="F216" s="28" t="s">
        <v>628</v>
      </c>
      <c r="G216" s="26" t="s">
        <v>629</v>
      </c>
      <c r="H216" s="28" t="str">
        <f ca="1">IFERROR(__xludf.dummyfunction("IFERROR(
  VLOOKUP(G216, IMPORTRANGE(""https://docs.google.com/spreadsheets/d/14deopnvwcrKtEGCKuYXdUHJbeLDZlkiSSWWT0g7x2pM/edit#gid=849066331"", ""LU List Maths (Filter)!A:B""), 2, FALSE),
  IFERROR(
    VLOOKUP(G216, IMPORTRANGE(""https://docs.google.com"&amp;"/spreadsheets/d/14deopnvwcrKtEGCKuYXdUHJbeLDZlkiSSWWT0g7x2pM/edit#gid=849066331"", ""LU List Science (Filter)!A:B""), 2, FALSE),
    ""Not Found""
  )
)
"),"Definition of perpendicular lines")</f>
        <v>Definition of perpendicular lines</v>
      </c>
      <c r="I216" s="28"/>
      <c r="J216" s="29" t="str">
        <f t="shared" si="18"/>
        <v>LU000244.001</v>
      </c>
      <c r="K216" s="29" t="str">
        <f ca="1">IFERROR(__xludf.dummyfunction("VLOOKUP(J216, IMPORTRANGE(""https://docs.google.com/spreadsheets/d/1yDAaXNsi4Mr5FtRQL4tbmSdIzhx6_m4wkOD7IG-k_eo/edit#gid=0"", ""Maths!M:N""), 2, FALSE)"),"Define perpendicular lines")</f>
        <v>Define perpendicular lines</v>
      </c>
      <c r="L216" s="29" t="str">
        <f t="shared" si="19"/>
        <v>LU000244.002</v>
      </c>
      <c r="M216" s="29" t="str">
        <f ca="1">IFERROR(__xludf.dummyfunction("VLOOKUP(L216, IMPORTRANGE(""https://docs.google.com/spreadsheets/d/1yDAaXNsi4Mr5FtRQL4tbmSdIzhx6_m4wkOD7IG-k_eo/edit#gid=0"", ""Maths!M:N""), 2, FALSE)"),"Real-life examples of perpendicular lines")</f>
        <v>Real-life examples of perpendicular lines</v>
      </c>
      <c r="N216" s="29" t="str">
        <f t="shared" si="20"/>
        <v>LU000244.003</v>
      </c>
      <c r="O216" s="29" t="str">
        <f ca="1">IFERROR(__xludf.dummyfunction("VLOOKUP(N216, IMPORTRANGE(""https://docs.google.com/spreadsheets/d/1yDAaXNsi4Mr5FtRQL4tbmSdIzhx6_m4wkOD7IG-k_eo/edit#gid=0"", ""Maths!M:N""), 2, FALSE)"),"Identify perpendicular lines in the given figures.")</f>
        <v>Identify perpendicular lines in the given figures.</v>
      </c>
      <c r="P216" s="29" t="str">
        <f t="shared" si="21"/>
        <v>LU000244.004</v>
      </c>
      <c r="Q216" s="29" t="str">
        <f ca="1">IFERROR(__xludf.dummyfunction("VLOOKUP(P216, IMPORTRANGE(""https://docs.google.com/spreadsheets/d/1yDAaXNsi4Mr5FtRQL4tbmSdIzhx6_m4wkOD7IG-k_eo/edit#gid=0"", ""Maths!M:N""), 2, FALSE)"),"Analyse real-world examples and identify perpendicular lines")</f>
        <v>Analyse real-world examples and identify perpendicular lines</v>
      </c>
      <c r="R216" s="29" t="str">
        <f t="shared" si="22"/>
        <v>LU000244.005</v>
      </c>
      <c r="S216" s="29" t="str">
        <f ca="1">IFERROR(__xludf.dummyfunction("VLOOKUP(R216, IMPORTRANGE(""https://docs.google.com/spreadsheets/d/1yDAaXNsi4Mr5FtRQL4tbmSdIzhx6_m4wkOD7IG-k_eo/edit#gid=0"", ""Maths!M:N""), 2, FALSE)"),"#N/A")</f>
        <v>#N/A</v>
      </c>
      <c r="T216" s="29" t="str">
        <f t="shared" si="23"/>
        <v>LU000244.006</v>
      </c>
      <c r="U216" s="29" t="str">
        <f ca="1">IFERROR(__xludf.dummyfunction("VLOOKUP(T216, IMPORTRANGE(""https://docs.google.com/spreadsheets/d/1yDAaXNsi4Mr5FtRQL4tbmSdIzhx6_m4wkOD7IG-k_eo/edit#gid=0"", ""Maths!M:N""), 2, FALSE)"),"Create diagrams illustrating perpendicular lines in different geometrical figures.")</f>
        <v>Create diagrams illustrating perpendicular lines in different geometrical figures.</v>
      </c>
      <c r="V216" s="16">
        <f ca="1">IFERROR(__xludf.dummyfunction("ArrayFormula(VLOOKUP(G216, IMPORTRANGE(""https://docs.google.com/spreadsheets/d/1p7R4vtkWt5VOBim4ltsDG9KTzSjrtKXsMtQGXPHyND0/edit#gid=795171502"", ""'Filter 30_05_2024'!A1:M2000""), {2, 3, 4, 5,6,7,8,9,10,11,12,13}, 0))"),10)</f>
        <v>10</v>
      </c>
      <c r="W216" s="16">
        <f ca="1">IFERROR(__xludf.dummyfunction("""COMPUTED_VALUE"""),2)</f>
        <v>2</v>
      </c>
      <c r="X216" s="16">
        <f ca="1">IFERROR(__xludf.dummyfunction("""COMPUTED_VALUE"""),2)</f>
        <v>2</v>
      </c>
      <c r="Y216" s="16">
        <f ca="1">IFERROR(__xludf.dummyfunction("""COMPUTED_VALUE"""),14)</f>
        <v>14</v>
      </c>
      <c r="Z216" s="16">
        <f ca="1">IFERROR(__xludf.dummyfunction("""COMPUTED_VALUE"""),4)</f>
        <v>4</v>
      </c>
      <c r="AA216" s="30">
        <f ca="1">IFERROR(__xludf.dummyfunction("""COMPUTED_VALUE"""),7)</f>
        <v>7</v>
      </c>
      <c r="AB216" s="30">
        <f ca="1">IFERROR(__xludf.dummyfunction("""COMPUTED_VALUE"""),1)</f>
        <v>1</v>
      </c>
      <c r="AC216" s="30">
        <f ca="1">IFERROR(__xludf.dummyfunction("""COMPUTED_VALUE"""),12)</f>
        <v>12</v>
      </c>
      <c r="AD216" s="16"/>
      <c r="AE216" s="30"/>
      <c r="AF216" s="30"/>
      <c r="AG216" s="30"/>
    </row>
    <row r="217" spans="1:33" ht="26.4">
      <c r="A217" s="25"/>
      <c r="B217" s="26" t="s">
        <v>29</v>
      </c>
      <c r="C217" s="26" t="s">
        <v>310</v>
      </c>
      <c r="D217" s="26">
        <v>6</v>
      </c>
      <c r="E217" s="27" t="s">
        <v>618</v>
      </c>
      <c r="F217" s="28"/>
      <c r="G217" s="26" t="s">
        <v>630</v>
      </c>
      <c r="H217" s="28" t="str">
        <f ca="1">IFERROR(__xludf.dummyfunction("IFERROR(
  VLOOKUP(G217, IMPORTRANGE(""https://docs.google.com/spreadsheets/d/14deopnvwcrKtEGCKuYXdUHJbeLDZlkiSSWWT0g7x2pM/edit#gid=849066331"", ""LU List Maths (Filter)!A:B""), 2, FALSE),
  IFERROR(
    VLOOKUP(G217, IMPORTRANGE(""https://docs.google.com"&amp;"/spreadsheets/d/14deopnvwcrKtEGCKuYXdUHJbeLDZlkiSSWWT0g7x2pM/edit#gid=849066331"", ""LU List Science (Filter)!A:B""), 2, FALSE),
    ""Not Found""
  )
)
"),"Definition of a perpendicular bisector")</f>
        <v>Definition of a perpendicular bisector</v>
      </c>
      <c r="I217" s="28"/>
      <c r="J217" s="29" t="str">
        <f t="shared" si="18"/>
        <v>LU000250.001</v>
      </c>
      <c r="K217" s="29" t="str">
        <f ca="1">IFERROR(__xludf.dummyfunction("VLOOKUP(J217, IMPORTRANGE(""https://docs.google.com/spreadsheets/d/1yDAaXNsi4Mr5FtRQL4tbmSdIzhx6_m4wkOD7IG-k_eo/edit#gid=0"", ""Maths!M:N""), 2, FALSE)"),"Define a perpendicular bisector")</f>
        <v>Define a perpendicular bisector</v>
      </c>
      <c r="L217" s="29" t="str">
        <f t="shared" si="19"/>
        <v>LU000250.002</v>
      </c>
      <c r="M217" s="29" t="str">
        <f ca="1">IFERROR(__xludf.dummyfunction("VLOOKUP(L217, IMPORTRANGE(""https://docs.google.com/spreadsheets/d/1yDAaXNsi4Mr5FtRQL4tbmSdIzhx6_m4wkOD7IG-k_eo/edit#gid=0"", ""Maths!M:N""), 2, FALSE)"),"Real-life examples of a perpendicular bisector")</f>
        <v>Real-life examples of a perpendicular bisector</v>
      </c>
      <c r="N217" s="29" t="str">
        <f t="shared" si="20"/>
        <v>LU000250.003</v>
      </c>
      <c r="O217" s="29" t="str">
        <f ca="1">IFERROR(__xludf.dummyfunction("VLOOKUP(N217, IMPORTRANGE(""https://docs.google.com/spreadsheets/d/1yDAaXNsi4Mr5FtRQL4tbmSdIzhx6_m4wkOD7IG-k_eo/edit#gid=0"", ""Maths!M:N""), 2, FALSE)"),"Identify perpendicular bisector in the given figures.")</f>
        <v>Identify perpendicular bisector in the given figures.</v>
      </c>
      <c r="P217" s="29" t="str">
        <f t="shared" si="21"/>
        <v>LU000250.004</v>
      </c>
      <c r="Q217" s="29" t="str">
        <f ca="1">IFERROR(__xludf.dummyfunction("VLOOKUP(P217, IMPORTRANGE(""https://docs.google.com/spreadsheets/d/1yDAaXNsi4Mr5FtRQL4tbmSdIzhx6_m4wkOD7IG-k_eo/edit#gid=0"", ""Maths!M:N""), 2, FALSE)"),"Use perpendicular bisector properties to calculate line segment lengths in geometric figures")</f>
        <v>Use perpendicular bisector properties to calculate line segment lengths in geometric figures</v>
      </c>
      <c r="R217" s="29" t="str">
        <f t="shared" si="22"/>
        <v>LU000250.005</v>
      </c>
      <c r="S217" s="29" t="str">
        <f ca="1">IFERROR(__xludf.dummyfunction("VLOOKUP(R217, IMPORTRANGE(""https://docs.google.com/spreadsheets/d/1yDAaXNsi4Mr5FtRQL4tbmSdIzhx6_m4wkOD7IG-k_eo/edit#gid=0"", ""Maths!M:N""), 2, FALSE)"),"#N/A")</f>
        <v>#N/A</v>
      </c>
      <c r="T217" s="29" t="str">
        <f t="shared" si="23"/>
        <v>LU000250.006</v>
      </c>
      <c r="U217" s="29" t="str">
        <f ca="1">IFERROR(__xludf.dummyfunction("VLOOKUP(T217, IMPORTRANGE(""https://docs.google.com/spreadsheets/d/1yDAaXNsi4Mr5FtRQL4tbmSdIzhx6_m4wkOD7IG-k_eo/edit#gid=0"", ""Maths!M:N""), 2, FALSE)"),"Create diagrams illustrating perpendicular bisectors in different geometrical figures.")</f>
        <v>Create diagrams illustrating perpendicular bisectors in different geometrical figures.</v>
      </c>
      <c r="V217" s="16">
        <f ca="1">IFERROR(__xludf.dummyfunction("ArrayFormula(VLOOKUP(G217, IMPORTRANGE(""https://docs.google.com/spreadsheets/d/1p7R4vtkWt5VOBim4ltsDG9KTzSjrtKXsMtQGXPHyND0/edit#gid=795171502"", ""'Filter 30_05_2024'!A1:M2000""), {2, 3, 4, 5,6,7,8,9,10,11,12,13}, 0))"),4)</f>
        <v>4</v>
      </c>
      <c r="W217" s="16">
        <f ca="1">IFERROR(__xludf.dummyfunction("""COMPUTED_VALUE"""),12)</f>
        <v>12</v>
      </c>
      <c r="X217" s="16">
        <f ca="1">IFERROR(__xludf.dummyfunction("""COMPUTED_VALUE"""),6)</f>
        <v>6</v>
      </c>
      <c r="Y217" s="16">
        <f ca="1">IFERROR(__xludf.dummyfunction("""COMPUTED_VALUE"""),22)</f>
        <v>22</v>
      </c>
      <c r="Z217" s="16">
        <f ca="1">IFERROR(__xludf.dummyfunction("""COMPUTED_VALUE"""),4)</f>
        <v>4</v>
      </c>
      <c r="AA217" s="30">
        <f ca="1">IFERROR(__xludf.dummyfunction("""COMPUTED_VALUE"""),4)</f>
        <v>4</v>
      </c>
      <c r="AB217" s="30">
        <f ca="1">IFERROR(__xludf.dummyfunction("""COMPUTED_VALUE"""),2)</f>
        <v>2</v>
      </c>
      <c r="AC217" s="30">
        <f ca="1">IFERROR(__xludf.dummyfunction("""COMPUTED_VALUE"""),10)</f>
        <v>10</v>
      </c>
      <c r="AD217" s="16"/>
      <c r="AE217" s="30"/>
      <c r="AF217" s="30"/>
      <c r="AG217" s="30"/>
    </row>
    <row r="218" spans="1:33" ht="26.4">
      <c r="A218" s="25"/>
      <c r="B218" s="26" t="s">
        <v>29</v>
      </c>
      <c r="C218" s="26" t="s">
        <v>310</v>
      </c>
      <c r="D218" s="26">
        <v>6</v>
      </c>
      <c r="E218" s="27" t="s">
        <v>618</v>
      </c>
      <c r="F218" s="28" t="s">
        <v>631</v>
      </c>
      <c r="G218" s="26" t="s">
        <v>632</v>
      </c>
      <c r="H218" s="28" t="str">
        <f ca="1">IFERROR(__xludf.dummyfunction("IFERROR(
  VLOOKUP(G218, IMPORTRANGE(""https://docs.google.com/spreadsheets/d/14deopnvwcrKtEGCKuYXdUHJbeLDZlkiSSWWT0g7x2pM/edit#gid=849066331"", ""LU List Maths (Filter)!A:B""), 2, FALSE),
  IFERROR(
    VLOOKUP(G218, IMPORTRANGE(""https://docs.google.com"&amp;"/spreadsheets/d/14deopnvwcrKtEGCKuYXdUHJbeLDZlkiSSWWT0g7x2pM/edit#gid=849066331"", ""LU List Science (Filter)!A:B""), 2, FALSE),
    ""Not Found""
  )
)
"),"Definition of a straight angle")</f>
        <v>Definition of a straight angle</v>
      </c>
      <c r="I218" s="28"/>
      <c r="J218" s="29" t="str">
        <f t="shared" si="18"/>
        <v>LU000259.001</v>
      </c>
      <c r="K218" s="29" t="str">
        <f ca="1">IFERROR(__xludf.dummyfunction("VLOOKUP(J218, IMPORTRANGE(""https://docs.google.com/spreadsheets/d/1yDAaXNsi4Mr5FtRQL4tbmSdIzhx6_m4wkOD7IG-k_eo/edit#gid=0"", ""Maths!M:N""), 2, FALSE)"),"Define a straight angle.")</f>
        <v>Define a straight angle.</v>
      </c>
      <c r="L218" s="29" t="str">
        <f t="shared" si="19"/>
        <v>LU000259.002</v>
      </c>
      <c r="M218" s="29" t="str">
        <f ca="1">IFERROR(__xludf.dummyfunction("VLOOKUP(L218, IMPORTRANGE(""https://docs.google.com/spreadsheets/d/1yDAaXNsi4Mr5FtRQL4tbmSdIzhx6_m4wkOD7IG-k_eo/edit#gid=0"", ""Maths!M:N""), 2, FALSE)"),"Explain the concept of a straight angle in your own words, including its relation to right angles.")</f>
        <v>Explain the concept of a straight angle in your own words, including its relation to right angles.</v>
      </c>
      <c r="N218" s="29" t="str">
        <f t="shared" si="20"/>
        <v>LU000259.003</v>
      </c>
      <c r="O218" s="29" t="str">
        <f ca="1">IFERROR(__xludf.dummyfunction("VLOOKUP(N218, IMPORTRANGE(""https://docs.google.com/spreadsheets/d/1yDAaXNsi4Mr5FtRQL4tbmSdIzhx6_m4wkOD7IG-k_eo/edit#gid=0"", ""Maths!M:N""), 2, FALSE)"),"Identify straight angles in a geometric figure and calculate the measures of any unknown angles connected to them")</f>
        <v>Identify straight angles in a geometric figure and calculate the measures of any unknown angles connected to them</v>
      </c>
      <c r="P218" s="29" t="str">
        <f t="shared" si="21"/>
        <v>LU000259.004</v>
      </c>
      <c r="Q218" s="29" t="str">
        <f ca="1">IFERROR(__xludf.dummyfunction("VLOOKUP(P218, IMPORTRANGE(""https://docs.google.com/spreadsheets/d/1yDAaXNsi4Mr5FtRQL4tbmSdIzhx6_m4wkOD7IG-k_eo/edit#gid=0"", ""Maths!M:N""), 2, FALSE)"),"Analyse different types of angles, including straight angles, and compare their properties.")</f>
        <v>Analyse different types of angles, including straight angles, and compare their properties.</v>
      </c>
      <c r="R218" s="29" t="str">
        <f t="shared" si="22"/>
        <v>LU000259.005</v>
      </c>
      <c r="S218" s="29" t="str">
        <f ca="1">IFERROR(__xludf.dummyfunction("VLOOKUP(R218, IMPORTRANGE(""https://docs.google.com/spreadsheets/d/1yDAaXNsi4Mr5FtRQL4tbmSdIzhx6_m4wkOD7IG-k_eo/edit#gid=0"", ""Maths!M:N""), 2, FALSE)"),"Critique the importance of understanding straight angle angles in geometry and its relevance to solving practical problems.")</f>
        <v>Critique the importance of understanding straight angle angles in geometry and its relevance to solving practical problems.</v>
      </c>
      <c r="T218" s="29" t="str">
        <f t="shared" si="23"/>
        <v>LU000259.006</v>
      </c>
      <c r="U218" s="29" t="str">
        <f ca="1">IFERROR(__xludf.dummyfunction("VLOOKUP(T218, IMPORTRANGE(""https://docs.google.com/spreadsheets/d/1yDAaXNsi4Mr5FtRQL4tbmSdIzhx6_m4wkOD7IG-k_eo/edit#gid=0"", ""Maths!M:N""), 2, FALSE)"),"Create diagrams showcasing examples of a straight angle.")</f>
        <v>Create diagrams showcasing examples of a straight angle.</v>
      </c>
      <c r="V218" s="16">
        <f ca="1">IFERROR(__xludf.dummyfunction("ArrayFormula(VLOOKUP(G218, IMPORTRANGE(""https://docs.google.com/spreadsheets/d/1p7R4vtkWt5VOBim4ltsDG9KTzSjrtKXsMtQGXPHyND0/edit#gid=795171502"", ""'Filter 30_05_2024'!A1:M2000""), {2, 3, 4, 5,6,7,8,9,10,11,12,13}, 0))"),4)</f>
        <v>4</v>
      </c>
      <c r="W218" s="16">
        <f ca="1">IFERROR(__xludf.dummyfunction("""COMPUTED_VALUE"""),3)</f>
        <v>3</v>
      </c>
      <c r="X218" s="16">
        <f ca="1">IFERROR(__xludf.dummyfunction("""COMPUTED_VALUE"""),2)</f>
        <v>2</v>
      </c>
      <c r="Y218" s="16">
        <f ca="1">IFERROR(__xludf.dummyfunction("""COMPUTED_VALUE"""),9)</f>
        <v>9</v>
      </c>
      <c r="Z218" s="16">
        <f ca="1">IFERROR(__xludf.dummyfunction("""COMPUTED_VALUE"""),4)</f>
        <v>4</v>
      </c>
      <c r="AA218" s="30">
        <f ca="1">IFERROR(__xludf.dummyfunction("""COMPUTED_VALUE"""),2)</f>
        <v>2</v>
      </c>
      <c r="AB218" s="30">
        <f ca="1">IFERROR(__xludf.dummyfunction("""COMPUTED_VALUE"""),1)</f>
        <v>1</v>
      </c>
      <c r="AC218" s="30">
        <f ca="1">IFERROR(__xludf.dummyfunction("""COMPUTED_VALUE"""),7)</f>
        <v>7</v>
      </c>
      <c r="AD218" s="16"/>
      <c r="AE218" s="30"/>
      <c r="AF218" s="30"/>
      <c r="AG218" s="30"/>
    </row>
    <row r="219" spans="1:33" ht="26.4">
      <c r="A219" s="25"/>
      <c r="B219" s="26" t="s">
        <v>29</v>
      </c>
      <c r="C219" s="26" t="s">
        <v>310</v>
      </c>
      <c r="D219" s="26">
        <v>6</v>
      </c>
      <c r="E219" s="27" t="s">
        <v>618</v>
      </c>
      <c r="F219" s="28"/>
      <c r="G219" s="26" t="s">
        <v>633</v>
      </c>
      <c r="H219" s="28" t="str">
        <f ca="1">IFERROR(__xludf.dummyfunction("IFERROR(
  VLOOKUP(G219, IMPORTRANGE(""https://docs.google.com/spreadsheets/d/14deopnvwcrKtEGCKuYXdUHJbeLDZlkiSSWWT0g7x2pM/edit#gid=849066331"", ""LU List Maths (Filter)!A:B""), 2, FALSE),
  IFERROR(
    VLOOKUP(G219, IMPORTRANGE(""https://docs.google.com"&amp;"/spreadsheets/d/14deopnvwcrKtEGCKuYXdUHJbeLDZlkiSSWWT0g7x2pM/edit#gid=849066331"", ""LU List Science (Filter)!A:B""), 2, FALSE),
    ""Not Found""
  )
)
"),"Definition of a complete angle")</f>
        <v>Definition of a complete angle</v>
      </c>
      <c r="I219" s="28"/>
      <c r="J219" s="29" t="str">
        <f t="shared" si="18"/>
        <v>LU000260.001</v>
      </c>
      <c r="K219" s="29" t="str">
        <f ca="1">IFERROR(__xludf.dummyfunction("VLOOKUP(J219, IMPORTRANGE(""https://docs.google.com/spreadsheets/d/1yDAaXNsi4Mr5FtRQL4tbmSdIzhx6_m4wkOD7IG-k_eo/edit#gid=0"", ""Maths!M:N""), 2, FALSE)"),"Define a complete angle.")</f>
        <v>Define a complete angle.</v>
      </c>
      <c r="L219" s="29" t="str">
        <f t="shared" si="19"/>
        <v>LU000260.002</v>
      </c>
      <c r="M219" s="29" t="str">
        <f ca="1">IFERROR(__xludf.dummyfunction("VLOOKUP(L219, IMPORTRANGE(""https://docs.google.com/spreadsheets/d/1yDAaXNsi4Mr5FtRQL4tbmSdIzhx6_m4wkOD7IG-k_eo/edit#gid=0"", ""Maths!M:N""), 2, FALSE)"),"Explain the concept of a complete angle in your own words, including its relation to right angles.")</f>
        <v>Explain the concept of a complete angle in your own words, including its relation to right angles.</v>
      </c>
      <c r="N219" s="29" t="str">
        <f t="shared" si="20"/>
        <v>LU000260.003</v>
      </c>
      <c r="O219" s="29" t="str">
        <f ca="1">IFERROR(__xludf.dummyfunction("VLOOKUP(N219, IMPORTRANGE(""https://docs.google.com/spreadsheets/d/1yDAaXNsi4Mr5FtRQL4tbmSdIzhx6_m4wkOD7IG-k_eo/edit#gid=0"", ""Maths!M:N""), 2, FALSE)"),"Given a geometric figure, identify and classify complete angles within it.")</f>
        <v>Given a geometric figure, identify and classify complete angles within it.</v>
      </c>
      <c r="P219" s="29" t="str">
        <f t="shared" si="21"/>
        <v>LU000260.004</v>
      </c>
      <c r="Q219" s="29" t="str">
        <f ca="1">IFERROR(__xludf.dummyfunction("VLOOKUP(P219, IMPORTRANGE(""https://docs.google.com/spreadsheets/d/1yDAaXNsi4Mr5FtRQL4tbmSdIzhx6_m4wkOD7IG-k_eo/edit#gid=0"", ""Maths!M:N""), 2, FALSE)"),"Analyse different types of angles, including complete angles, and compare their properties.")</f>
        <v>Analyse different types of angles, including complete angles, and compare their properties.</v>
      </c>
      <c r="R219" s="29" t="str">
        <f t="shared" si="22"/>
        <v>LU000260.005</v>
      </c>
      <c r="S219" s="29" t="str">
        <f ca="1">IFERROR(__xludf.dummyfunction("VLOOKUP(R219, IMPORTRANGE(""https://docs.google.com/spreadsheets/d/1yDAaXNsi4Mr5FtRQL4tbmSdIzhx6_m4wkOD7IG-k_eo/edit#gid=0"", ""Maths!M:N""), 2, FALSE)"),"Critique the importance of understanding complete angle angles in geometry and its relevance to solving practical problems.")</f>
        <v>Critique the importance of understanding complete angle angles in geometry and its relevance to solving practical problems.</v>
      </c>
      <c r="T219" s="29" t="str">
        <f t="shared" si="23"/>
        <v>LU000260.006</v>
      </c>
      <c r="U219" s="29" t="str">
        <f ca="1">IFERROR(__xludf.dummyfunction("VLOOKUP(T219, IMPORTRANGE(""https://docs.google.com/spreadsheets/d/1yDAaXNsi4Mr5FtRQL4tbmSdIzhx6_m4wkOD7IG-k_eo/edit#gid=0"", ""Maths!M:N""), 2, FALSE)"),"Create diagrams showcasing examples of a complete angle.")</f>
        <v>Create diagrams showcasing examples of a complete angle.</v>
      </c>
      <c r="V219" s="16">
        <f ca="1">IFERROR(__xludf.dummyfunction("ArrayFormula(VLOOKUP(G219, IMPORTRANGE(""https://docs.google.com/spreadsheets/d/1p7R4vtkWt5VOBim4ltsDG9KTzSjrtKXsMtQGXPHyND0/edit#gid=795171502"", ""'Filter 30_05_2024'!A1:M2000""), {2, 3, 4, 5,6,7,8,9,10,11,12,13}, 0))"),4)</f>
        <v>4</v>
      </c>
      <c r="W219" s="16">
        <f ca="1">IFERROR(__xludf.dummyfunction("""COMPUTED_VALUE"""),6)</f>
        <v>6</v>
      </c>
      <c r="X219" s="16">
        <f ca="1">IFERROR(__xludf.dummyfunction("""COMPUTED_VALUE"""),2)</f>
        <v>2</v>
      </c>
      <c r="Y219" s="16">
        <f ca="1">IFERROR(__xludf.dummyfunction("""COMPUTED_VALUE"""),12)</f>
        <v>12</v>
      </c>
      <c r="Z219" s="16">
        <f ca="1">IFERROR(__xludf.dummyfunction("""COMPUTED_VALUE"""),4)</f>
        <v>4</v>
      </c>
      <c r="AA219" s="30">
        <f ca="1">IFERROR(__xludf.dummyfunction("""COMPUTED_VALUE"""),3)</f>
        <v>3</v>
      </c>
      <c r="AB219" s="30">
        <f ca="1">IFERROR(__xludf.dummyfunction("""COMPUTED_VALUE"""),1)</f>
        <v>1</v>
      </c>
      <c r="AC219" s="30">
        <f ca="1">IFERROR(__xludf.dummyfunction("""COMPUTED_VALUE"""),8)</f>
        <v>8</v>
      </c>
      <c r="AD219" s="16"/>
      <c r="AE219" s="30"/>
      <c r="AF219" s="30"/>
      <c r="AG219" s="30"/>
    </row>
    <row r="220" spans="1:33" ht="26.4">
      <c r="A220" s="25"/>
      <c r="B220" s="26" t="s">
        <v>29</v>
      </c>
      <c r="C220" s="26" t="s">
        <v>310</v>
      </c>
      <c r="D220" s="26">
        <v>6</v>
      </c>
      <c r="E220" s="27" t="s">
        <v>618</v>
      </c>
      <c r="F220" s="28"/>
      <c r="G220" s="26" t="s">
        <v>634</v>
      </c>
      <c r="H220" s="28" t="str">
        <f ca="1">IFERROR(__xludf.dummyfunction("IFERROR(
  VLOOKUP(G220, IMPORTRANGE(""https://docs.google.com/spreadsheets/d/14deopnvwcrKtEGCKuYXdUHJbeLDZlkiSSWWT0g7x2pM/edit#gid=849066331"", ""LU List Maths (Filter)!A:B""), 2, FALSE),
  IFERROR(
    VLOOKUP(G220, IMPORTRANGE(""https://docs.google.com"&amp;"/spreadsheets/d/14deopnvwcrKtEGCKuYXdUHJbeLDZlkiSSWWT0g7x2pM/edit#gid=849066331"", ""LU List Science (Filter)!A:B""), 2, FALSE),
    ""Not Found""
  )
)
"),"Definition of an acute angle")</f>
        <v>Definition of an acute angle</v>
      </c>
      <c r="I220" s="28"/>
      <c r="J220" s="29" t="str">
        <f t="shared" si="18"/>
        <v>LU000242.001</v>
      </c>
      <c r="K220" s="29" t="str">
        <f ca="1">IFERROR(__xludf.dummyfunction("VLOOKUP(J220, IMPORTRANGE(""https://docs.google.com/spreadsheets/d/1yDAaXNsi4Mr5FtRQL4tbmSdIzhx6_m4wkOD7IG-k_eo/edit#gid=0"", ""Maths!M:N""), 2, FALSE)"),"Define an acute angle.")</f>
        <v>Define an acute angle.</v>
      </c>
      <c r="L220" s="29" t="str">
        <f t="shared" si="19"/>
        <v>LU000242.002</v>
      </c>
      <c r="M220" s="29" t="str">
        <f ca="1">IFERROR(__xludf.dummyfunction("VLOOKUP(L220, IMPORTRANGE(""https://docs.google.com/spreadsheets/d/1yDAaXNsi4Mr5FtRQL4tbmSdIzhx6_m4wkOD7IG-k_eo/edit#gid=0"", ""Maths!M:N""), 2, FALSE)"),"Explain the concept of an acute angle in your own words, including its relation to right angles.")</f>
        <v>Explain the concept of an acute angle in your own words, including its relation to right angles.</v>
      </c>
      <c r="N220" s="29" t="str">
        <f t="shared" si="20"/>
        <v>LU000242.003</v>
      </c>
      <c r="O220" s="29" t="str">
        <f ca="1">IFERROR(__xludf.dummyfunction("VLOOKUP(N220, IMPORTRANGE(""https://docs.google.com/spreadsheets/d/1yDAaXNsi4Mr5FtRQL4tbmSdIzhx6_m4wkOD7IG-k_eo/edit#gid=0"", ""Maths!M:N""), 2, FALSE)"),"Use knowledge of acute angles to identify and measure them in geometric figures or objects in the environment.")</f>
        <v>Use knowledge of acute angles to identify and measure them in geometric figures or objects in the environment.</v>
      </c>
      <c r="P220" s="29" t="str">
        <f t="shared" si="21"/>
        <v>LU000242.004</v>
      </c>
      <c r="Q220" s="29" t="str">
        <f ca="1">IFERROR(__xludf.dummyfunction("VLOOKUP(P220, IMPORTRANGE(""https://docs.google.com/spreadsheets/d/1yDAaXNsi4Mr5FtRQL4tbmSdIzhx6_m4wkOD7IG-k_eo/edit#gid=0"", ""Maths!M:N""), 2, FALSE)"),"Analyse geometric figures to identify acute angles within them.")</f>
        <v>Analyse geometric figures to identify acute angles within them.</v>
      </c>
      <c r="R220" s="29" t="str">
        <f t="shared" si="22"/>
        <v>LU000242.005</v>
      </c>
      <c r="S220" s="29" t="str">
        <f ca="1">IFERROR(__xludf.dummyfunction("VLOOKUP(R220, IMPORTRANGE(""https://docs.google.com/spreadsheets/d/1yDAaXNsi4Mr5FtRQL4tbmSdIzhx6_m4wkOD7IG-k_eo/edit#gid=0"", ""Maths!M:N""), 2, FALSE)"),"Critique the importance of understanding acute angles in geometry and its relevance to solving practical problems.")</f>
        <v>Critique the importance of understanding acute angles in geometry and its relevance to solving practical problems.</v>
      </c>
      <c r="T220" s="29" t="str">
        <f t="shared" si="23"/>
        <v>LU000242.006</v>
      </c>
      <c r="U220" s="29" t="str">
        <f ca="1">IFERROR(__xludf.dummyfunction("VLOOKUP(T220, IMPORTRANGE(""https://docs.google.com/spreadsheets/d/1yDAaXNsi4Mr5FtRQL4tbmSdIzhx6_m4wkOD7IG-k_eo/edit#gid=0"", ""Maths!M:N""), 2, FALSE)"),"Create diagrams showcasing examples of an acute.")</f>
        <v>Create diagrams showcasing examples of an acute.</v>
      </c>
      <c r="V220" s="16">
        <f ca="1">IFERROR(__xludf.dummyfunction("ArrayFormula(VLOOKUP(G220, IMPORTRANGE(""https://docs.google.com/spreadsheets/d/1p7R4vtkWt5VOBim4ltsDG9KTzSjrtKXsMtQGXPHyND0/edit#gid=795171502"", ""'Filter 30_05_2024'!A1:M2000""), {2, 3, 4, 5,6,7,8,9,10,11,12,13}, 0))"),4)</f>
        <v>4</v>
      </c>
      <c r="W220" s="16">
        <f ca="1">IFERROR(__xludf.dummyfunction("""COMPUTED_VALUE"""),4)</f>
        <v>4</v>
      </c>
      <c r="X220" s="16">
        <f ca="1">IFERROR(__xludf.dummyfunction("""COMPUTED_VALUE"""),2)</f>
        <v>2</v>
      </c>
      <c r="Y220" s="16">
        <f ca="1">IFERROR(__xludf.dummyfunction("""COMPUTED_VALUE"""),10)</f>
        <v>10</v>
      </c>
      <c r="Z220" s="16">
        <f ca="1">IFERROR(__xludf.dummyfunction("""COMPUTED_VALUE"""),4)</f>
        <v>4</v>
      </c>
      <c r="AA220" s="30">
        <f ca="1">IFERROR(__xludf.dummyfunction("""COMPUTED_VALUE"""),5)</f>
        <v>5</v>
      </c>
      <c r="AB220" s="30">
        <f ca="1">IFERROR(__xludf.dummyfunction("""COMPUTED_VALUE"""),1)</f>
        <v>1</v>
      </c>
      <c r="AC220" s="30">
        <f ca="1">IFERROR(__xludf.dummyfunction("""COMPUTED_VALUE"""),10)</f>
        <v>10</v>
      </c>
      <c r="AD220" s="16"/>
      <c r="AE220" s="30"/>
      <c r="AF220" s="30"/>
      <c r="AG220" s="30"/>
    </row>
    <row r="221" spans="1:33" ht="26.4">
      <c r="A221" s="25"/>
      <c r="B221" s="26" t="s">
        <v>29</v>
      </c>
      <c r="C221" s="26" t="s">
        <v>310</v>
      </c>
      <c r="D221" s="26">
        <v>6</v>
      </c>
      <c r="E221" s="27" t="s">
        <v>618</v>
      </c>
      <c r="F221" s="28"/>
      <c r="G221" s="26" t="s">
        <v>635</v>
      </c>
      <c r="H221" s="28" t="str">
        <f ca="1">IFERROR(__xludf.dummyfunction("IFERROR(
  VLOOKUP(G221, IMPORTRANGE(""https://docs.google.com/spreadsheets/d/14deopnvwcrKtEGCKuYXdUHJbeLDZlkiSSWWT0g7x2pM/edit#gid=849066331"", ""LU List Maths (Filter)!A:B""), 2, FALSE),
  IFERROR(
    VLOOKUP(G221, IMPORTRANGE(""https://docs.google.com"&amp;"/spreadsheets/d/14deopnvwcrKtEGCKuYXdUHJbeLDZlkiSSWWT0g7x2pM/edit#gid=849066331"", ""LU List Science (Filter)!A:B""), 2, FALSE),
    ""Not Found""
  )
)
"),"Definition of an obtuse angle")</f>
        <v>Definition of an obtuse angle</v>
      </c>
      <c r="I221" s="28"/>
      <c r="J221" s="29" t="str">
        <f t="shared" si="18"/>
        <v>LU000257.001</v>
      </c>
      <c r="K221" s="29" t="str">
        <f ca="1">IFERROR(__xludf.dummyfunction("VLOOKUP(J221, IMPORTRANGE(""https://docs.google.com/spreadsheets/d/1yDAaXNsi4Mr5FtRQL4tbmSdIzhx6_m4wkOD7IG-k_eo/edit#gid=0"", ""Maths!M:N""), 2, FALSE)"),"Define an obtuse angle.")</f>
        <v>Define an obtuse angle.</v>
      </c>
      <c r="L221" s="29" t="str">
        <f t="shared" si="19"/>
        <v>LU000257.002</v>
      </c>
      <c r="M221" s="29" t="str">
        <f ca="1">IFERROR(__xludf.dummyfunction("VLOOKUP(L221, IMPORTRANGE(""https://docs.google.com/spreadsheets/d/1yDAaXNsi4Mr5FtRQL4tbmSdIzhx6_m4wkOD7IG-k_eo/edit#gid=0"", ""Maths!M:N""), 2, FALSE)"),"Explain the concept of an obtuse angle in your own words, including its relation to right angles.")</f>
        <v>Explain the concept of an obtuse angle in your own words, including its relation to right angles.</v>
      </c>
      <c r="N221" s="29" t="str">
        <f t="shared" si="20"/>
        <v>LU000257.003</v>
      </c>
      <c r="O221" s="29" t="str">
        <f ca="1">IFERROR(__xludf.dummyfunction("VLOOKUP(N221, IMPORTRANGE(""https://docs.google.com/spreadsheets/d/1yDAaXNsi4Mr5FtRQL4tbmSdIzhx6_m4wkOD7IG-k_eo/edit#gid=0"", ""Maths!M:N""), 2, FALSE)"),"Use knowledge of obtuse angles to identify and measure them in geometric figures or objects in the environment.")</f>
        <v>Use knowledge of obtuse angles to identify and measure them in geometric figures or objects in the environment.</v>
      </c>
      <c r="P221" s="29" t="str">
        <f t="shared" si="21"/>
        <v>LU000257.004</v>
      </c>
      <c r="Q221" s="29" t="str">
        <f ca="1">IFERROR(__xludf.dummyfunction("VLOOKUP(P221, IMPORTRANGE(""https://docs.google.com/spreadsheets/d/1yDAaXNsi4Mr5FtRQL4tbmSdIzhx6_m4wkOD7IG-k_eo/edit#gid=0"", ""Maths!M:N""), 2, FALSE)"),"Analyse geometric figures to identify obtuse angles within them.")</f>
        <v>Analyse geometric figures to identify obtuse angles within them.</v>
      </c>
      <c r="R221" s="29" t="str">
        <f t="shared" si="22"/>
        <v>LU000257.005</v>
      </c>
      <c r="S221" s="29" t="str">
        <f ca="1">IFERROR(__xludf.dummyfunction("VLOOKUP(R221, IMPORTRANGE(""https://docs.google.com/spreadsheets/d/1yDAaXNsi4Mr5FtRQL4tbmSdIzhx6_m4wkOD7IG-k_eo/edit#gid=0"", ""Maths!M:N""), 2, FALSE)"),"Critique the importance of understanding obtuse angles in geometry and its relevance to solving practical problems.")</f>
        <v>Critique the importance of understanding obtuse angles in geometry and its relevance to solving practical problems.</v>
      </c>
      <c r="T221" s="29" t="str">
        <f t="shared" si="23"/>
        <v>LU000257.006</v>
      </c>
      <c r="U221" s="29" t="str">
        <f ca="1">IFERROR(__xludf.dummyfunction("VLOOKUP(T221, IMPORTRANGE(""https://docs.google.com/spreadsheets/d/1yDAaXNsi4Mr5FtRQL4tbmSdIzhx6_m4wkOD7IG-k_eo/edit#gid=0"", ""Maths!M:N""), 2, FALSE)"),"Create diagrams showcasing examples of an obtuse.")</f>
        <v>Create diagrams showcasing examples of an obtuse.</v>
      </c>
      <c r="V221" s="16">
        <f ca="1">IFERROR(__xludf.dummyfunction("ArrayFormula(VLOOKUP(G221, IMPORTRANGE(""https://docs.google.com/spreadsheets/d/1p7R4vtkWt5VOBim4ltsDG9KTzSjrtKXsMtQGXPHyND0/edit#gid=795171502"", ""'Filter 30_05_2024'!A1:M2000""), {2, 3, 4, 5,6,7,8,9,10,11,12,13}, 0))"),5)</f>
        <v>5</v>
      </c>
      <c r="W221" s="16">
        <f ca="1">IFERROR(__xludf.dummyfunction("""COMPUTED_VALUE"""),6)</f>
        <v>6</v>
      </c>
      <c r="X221" s="16">
        <f ca="1">IFERROR(__xludf.dummyfunction("""COMPUTED_VALUE"""),2)</f>
        <v>2</v>
      </c>
      <c r="Y221" s="16">
        <f ca="1">IFERROR(__xludf.dummyfunction("""COMPUTED_VALUE"""),13)</f>
        <v>13</v>
      </c>
      <c r="Z221" s="16">
        <f ca="1">IFERROR(__xludf.dummyfunction("""COMPUTED_VALUE"""),4)</f>
        <v>4</v>
      </c>
      <c r="AA221" s="30">
        <f ca="1">IFERROR(__xludf.dummyfunction("""COMPUTED_VALUE"""),3)</f>
        <v>3</v>
      </c>
      <c r="AB221" s="30">
        <f ca="1">IFERROR(__xludf.dummyfunction("""COMPUTED_VALUE"""),1)</f>
        <v>1</v>
      </c>
      <c r="AC221" s="30">
        <f ca="1">IFERROR(__xludf.dummyfunction("""COMPUTED_VALUE"""),8)</f>
        <v>8</v>
      </c>
      <c r="AD221" s="16"/>
      <c r="AE221" s="30"/>
      <c r="AF221" s="30"/>
      <c r="AG221" s="30"/>
    </row>
    <row r="222" spans="1:33" ht="26.4">
      <c r="A222" s="25"/>
      <c r="B222" s="26" t="s">
        <v>29</v>
      </c>
      <c r="C222" s="26" t="s">
        <v>310</v>
      </c>
      <c r="D222" s="26">
        <v>6</v>
      </c>
      <c r="E222" s="27" t="s">
        <v>618</v>
      </c>
      <c r="F222" s="28"/>
      <c r="G222" s="26" t="s">
        <v>636</v>
      </c>
      <c r="H222" s="28" t="str">
        <f ca="1">IFERROR(__xludf.dummyfunction("IFERROR(
  VLOOKUP(G222, IMPORTRANGE(""https://docs.google.com/spreadsheets/d/14deopnvwcrKtEGCKuYXdUHJbeLDZlkiSSWWT0g7x2pM/edit#gid=849066331"", ""LU List Maths (Filter)!A:B""), 2, FALSE),
  IFERROR(
    VLOOKUP(G222, IMPORTRANGE(""https://docs.google.com"&amp;"/spreadsheets/d/14deopnvwcrKtEGCKuYXdUHJbeLDZlkiSSWWT0g7x2pM/edit#gid=849066331"", ""LU List Science (Filter)!A:B""), 2, FALSE),
    ""Not Found""
  )
)
"),"Definition of a reflex angle")</f>
        <v>Definition of a reflex angle</v>
      </c>
      <c r="I222" s="28"/>
      <c r="J222" s="29" t="str">
        <f t="shared" si="18"/>
        <v>LU000258.001</v>
      </c>
      <c r="K222" s="29" t="str">
        <f ca="1">IFERROR(__xludf.dummyfunction("VLOOKUP(J222, IMPORTRANGE(""https://docs.google.com/spreadsheets/d/1yDAaXNsi4Mr5FtRQL4tbmSdIzhx6_m4wkOD7IG-k_eo/edit#gid=0"", ""Maths!M:N""), 2, FALSE)"),"Define a reflex angle.")</f>
        <v>Define a reflex angle.</v>
      </c>
      <c r="L222" s="29" t="str">
        <f t="shared" si="19"/>
        <v>LU000258.002</v>
      </c>
      <c r="M222" s="29" t="str">
        <f ca="1">IFERROR(__xludf.dummyfunction("VLOOKUP(L222, IMPORTRANGE(""https://docs.google.com/spreadsheets/d/1yDAaXNsi4Mr5FtRQL4tbmSdIzhx6_m4wkOD7IG-k_eo/edit#gid=0"", ""Maths!M:N""), 2, FALSE)"),"Explain the concept of a reflex angle in your own words, including its relation to right angles.")</f>
        <v>Explain the concept of a reflex angle in your own words, including its relation to right angles.</v>
      </c>
      <c r="N222" s="29" t="str">
        <f t="shared" si="20"/>
        <v>LU000258.003</v>
      </c>
      <c r="O222" s="29" t="str">
        <f ca="1">IFERROR(__xludf.dummyfunction("VLOOKUP(N222, IMPORTRANGE(""https://docs.google.com/spreadsheets/d/1yDAaXNsi4Mr5FtRQL4tbmSdIzhx6_m4wkOD7IG-k_eo/edit#gid=0"", ""Maths!M:N""), 2, FALSE)"),"Use knowledge of reflex angles to identify and measure them in geometric figures or objects in the environment.")</f>
        <v>Use knowledge of reflex angles to identify and measure them in geometric figures or objects in the environment.</v>
      </c>
      <c r="P222" s="29" t="str">
        <f t="shared" si="21"/>
        <v>LU000258.004</v>
      </c>
      <c r="Q222" s="29" t="str">
        <f ca="1">IFERROR(__xludf.dummyfunction("VLOOKUP(P222, IMPORTRANGE(""https://docs.google.com/spreadsheets/d/1yDAaXNsi4Mr5FtRQL4tbmSdIzhx6_m4wkOD7IG-k_eo/edit#gid=0"", ""Maths!M:N""), 2, FALSE)"),"Compare a given set of angles with a reflex angle.")</f>
        <v>Compare a given set of angles with a reflex angle.</v>
      </c>
      <c r="R222" s="29" t="str">
        <f t="shared" si="22"/>
        <v>LU000258.005</v>
      </c>
      <c r="S222" s="29" t="str">
        <f ca="1">IFERROR(__xludf.dummyfunction("VLOOKUP(R222, IMPORTRANGE(""https://docs.google.com/spreadsheets/d/1yDAaXNsi4Mr5FtRQL4tbmSdIzhx6_m4wkOD7IG-k_eo/edit#gid=0"", ""Maths!M:N""), 2, FALSE)"),"Critique the importance of understanding reflex angles in geometry and its relevance to solving practical problems.")</f>
        <v>Critique the importance of understanding reflex angles in geometry and its relevance to solving practical problems.</v>
      </c>
      <c r="T222" s="29" t="str">
        <f t="shared" si="23"/>
        <v>LU000258.006</v>
      </c>
      <c r="U222" s="29" t="str">
        <f ca="1">IFERROR(__xludf.dummyfunction("VLOOKUP(T222, IMPORTRANGE(""https://docs.google.com/spreadsheets/d/1yDAaXNsi4Mr5FtRQL4tbmSdIzhx6_m4wkOD7IG-k_eo/edit#gid=0"", ""Maths!M:N""), 2, FALSE)"),"Create diagrams showcasing examples of a reflex.")</f>
        <v>Create diagrams showcasing examples of a reflex.</v>
      </c>
      <c r="V222" s="16">
        <f ca="1">IFERROR(__xludf.dummyfunction("ArrayFormula(VLOOKUP(G222, IMPORTRANGE(""https://docs.google.com/spreadsheets/d/1p7R4vtkWt5VOBim4ltsDG9KTzSjrtKXsMtQGXPHyND0/edit#gid=795171502"", ""'Filter 30_05_2024'!A1:M2000""), {2, 3, 4, 5,6,7,8,9,10,11,12,13}, 0))"),4)</f>
        <v>4</v>
      </c>
      <c r="W222" s="16">
        <f ca="1">IFERROR(__xludf.dummyfunction("""COMPUTED_VALUE"""),4)</f>
        <v>4</v>
      </c>
      <c r="X222" s="16">
        <f ca="1">IFERROR(__xludf.dummyfunction("""COMPUTED_VALUE"""),11)</f>
        <v>11</v>
      </c>
      <c r="Y222" s="16">
        <f ca="1">IFERROR(__xludf.dummyfunction("""COMPUTED_VALUE"""),19)</f>
        <v>19</v>
      </c>
      <c r="Z222" s="16">
        <f ca="1">IFERROR(__xludf.dummyfunction("""COMPUTED_VALUE"""),4)</f>
        <v>4</v>
      </c>
      <c r="AA222" s="30">
        <f ca="1">IFERROR(__xludf.dummyfunction("""COMPUTED_VALUE"""),5)</f>
        <v>5</v>
      </c>
      <c r="AB222" s="30">
        <f ca="1">IFERROR(__xludf.dummyfunction("""COMPUTED_VALUE"""),3)</f>
        <v>3</v>
      </c>
      <c r="AC222" s="30">
        <f ca="1">IFERROR(__xludf.dummyfunction("""COMPUTED_VALUE"""),12)</f>
        <v>12</v>
      </c>
      <c r="AD222" s="16"/>
      <c r="AE222" s="30"/>
      <c r="AF222" s="30"/>
      <c r="AG222" s="30"/>
    </row>
    <row r="223" spans="1:33" ht="41.4">
      <c r="A223" s="25"/>
      <c r="B223" s="26" t="s">
        <v>29</v>
      </c>
      <c r="C223" s="26" t="s">
        <v>310</v>
      </c>
      <c r="D223" s="26">
        <v>6</v>
      </c>
      <c r="E223" s="27" t="s">
        <v>618</v>
      </c>
      <c r="F223" s="28"/>
      <c r="G223" s="26" t="s">
        <v>637</v>
      </c>
      <c r="H223" s="28" t="str">
        <f ca="1">IFERROR(__xludf.dummyfunction("IFERROR(
  VLOOKUP(G223, IMPORTRANGE(""https://docs.google.com/spreadsheets/d/14deopnvwcrKtEGCKuYXdUHJbeLDZlkiSSWWT0g7x2pM/edit#gid=849066331"", ""LU List Maths (Filter)!A:B""), 2, FALSE),
  IFERROR(
    VLOOKUP(G223, IMPORTRANGE(""https://docs.google.com"&amp;"/spreadsheets/d/14deopnvwcrKtEGCKuYXdUHJbeLDZlkiSSWWT0g7x2pM/edit#gid=849066331"", ""LU List Science (Filter)!A:B""), 2, FALSE),
    ""Not Found""
  )
)
"),"Relationship between revolution and right angles")</f>
        <v>Relationship between revolution and right angles</v>
      </c>
      <c r="I223" s="28"/>
      <c r="J223" s="29" t="str">
        <f t="shared" si="18"/>
        <v>LU000240.001</v>
      </c>
      <c r="K223" s="29" t="str">
        <f ca="1">IFERROR(__xludf.dummyfunction("VLOOKUP(J223, IMPORTRANGE(""https://docs.google.com/spreadsheets/d/1yDAaXNsi4Mr5FtRQL4tbmSdIzhx6_m4wkOD7IG-k_eo/edit#gid=0"", ""Maths!M:N""), 2, FALSE)"),"Recall the concept of a right angle.")</f>
        <v>Recall the concept of a right angle.</v>
      </c>
      <c r="L223" s="29" t="str">
        <f t="shared" si="19"/>
        <v>LU000240.002</v>
      </c>
      <c r="M223" s="29" t="str">
        <f ca="1">IFERROR(__xludf.dummyfunction("VLOOKUP(L223, IMPORTRANGE(""https://docs.google.com/spreadsheets/d/1yDAaXNsi4Mr5FtRQL4tbmSdIzhx6_m4wkOD7IG-k_eo/edit#gid=0"", ""Maths!M:N""), 2, FALSE)"),"Explain the relation between revolution and right angles.")</f>
        <v>Explain the relation between revolution and right angles.</v>
      </c>
      <c r="N223" s="29" t="str">
        <f t="shared" si="20"/>
        <v>LU000240.003</v>
      </c>
      <c r="O223" s="49" t="str">
        <f ca="1">IFERROR(__xludf.dummyfunction("VLOOKUP(N223, IMPORTRANGE(""https://docs.google.com/spreadsheets/d/1yDAaXNsi4Mr5FtRQL4tbmSdIzhx6_m4wkOD7IG-k_eo/edit#gid=0"", ""Maths!M:N""), 2, FALSE)"),"
Find the number of right angles in revolutions on a clock.")</f>
        <v xml:space="preserve">
Find the number of right angles in revolutions on a clock.</v>
      </c>
      <c r="P223" s="29" t="str">
        <f t="shared" si="21"/>
        <v>LU000240.004</v>
      </c>
      <c r="Q223" s="29" t="str">
        <f ca="1">IFERROR(__xludf.dummyfunction("VLOOKUP(P223, IMPORTRANGE(""https://docs.google.com/spreadsheets/d/1yDAaXNsi4Mr5FtRQL4tbmSdIzhx6_m4wkOD7IG-k_eo/edit#gid=0"", ""Maths!M:N""), 2, FALSE)"),"Analyse clockwise and anti-clockwise rotations to find the number of right angles involved.")</f>
        <v>Analyse clockwise and anti-clockwise rotations to find the number of right angles involved.</v>
      </c>
      <c r="R223" s="29" t="str">
        <f t="shared" si="22"/>
        <v>LU000240.005</v>
      </c>
      <c r="S223" s="29" t="str">
        <f ca="1">IFERROR(__xludf.dummyfunction("VLOOKUP(R223, IMPORTRANGE(""https://docs.google.com/spreadsheets/d/1yDAaXNsi4Mr5FtRQL4tbmSdIzhx6_m4wkOD7IG-k_eo/edit#gid=0"", ""Maths!M:N""), 2, FALSE)"),"#N/A")</f>
        <v>#N/A</v>
      </c>
      <c r="T223" s="29" t="str">
        <f t="shared" si="23"/>
        <v>LU000240.006</v>
      </c>
      <c r="U223" s="29" t="str">
        <f ca="1">IFERROR(__xludf.dummyfunction("VLOOKUP(T223, IMPORTRANGE(""https://docs.google.com/spreadsheets/d/1yDAaXNsi4Mr5FtRQL4tbmSdIzhx6_m4wkOD7IG-k_eo/edit#gid=0"", ""Maths!M:N""), 2, FALSE)"),"Create visual representations illustrating the connection between revolutions, right angles, and rotations.")</f>
        <v>Create visual representations illustrating the connection between revolutions, right angles, and rotations.</v>
      </c>
      <c r="V223" s="16">
        <f ca="1">IFERROR(__xludf.dummyfunction("ArrayFormula(VLOOKUP(G223, IMPORTRANGE(""https://docs.google.com/spreadsheets/d/1p7R4vtkWt5VOBim4ltsDG9KTzSjrtKXsMtQGXPHyND0/edit#gid=795171502"", ""'Filter 30_05_2024'!A1:M2000""), {2, 3, 4, 5,6,7,8,9,10,11,12,13}, 0))"),4)</f>
        <v>4</v>
      </c>
      <c r="W223" s="16">
        <f ca="1">IFERROR(__xludf.dummyfunction("""COMPUTED_VALUE"""),8)</f>
        <v>8</v>
      </c>
      <c r="X223" s="16">
        <f ca="1">IFERROR(__xludf.dummyfunction("""COMPUTED_VALUE"""),2)</f>
        <v>2</v>
      </c>
      <c r="Y223" s="16">
        <f ca="1">IFERROR(__xludf.dummyfunction("""COMPUTED_VALUE"""),14)</f>
        <v>14</v>
      </c>
      <c r="Z223" s="16">
        <f ca="1">IFERROR(__xludf.dummyfunction("""COMPUTED_VALUE"""),1)</f>
        <v>1</v>
      </c>
      <c r="AA223" s="30">
        <f ca="1">IFERROR(__xludf.dummyfunction("""COMPUTED_VALUE"""),4)</f>
        <v>4</v>
      </c>
      <c r="AB223" s="30">
        <f ca="1">IFERROR(__xludf.dummyfunction("""COMPUTED_VALUE"""),2)</f>
        <v>2</v>
      </c>
      <c r="AC223" s="30">
        <f ca="1">IFERROR(__xludf.dummyfunction("""COMPUTED_VALUE"""),7)</f>
        <v>7</v>
      </c>
      <c r="AD223" s="16"/>
      <c r="AE223" s="30"/>
      <c r="AF223" s="30"/>
      <c r="AG223" s="30"/>
    </row>
    <row r="224" spans="1:33" ht="26.4">
      <c r="A224" s="25"/>
      <c r="B224" s="26" t="s">
        <v>29</v>
      </c>
      <c r="C224" s="26" t="s">
        <v>310</v>
      </c>
      <c r="D224" s="26">
        <v>6</v>
      </c>
      <c r="E224" s="27" t="s">
        <v>618</v>
      </c>
      <c r="F224" s="28"/>
      <c r="G224" s="26" t="s">
        <v>638</v>
      </c>
      <c r="H224" s="28" t="str">
        <f ca="1">IFERROR(__xludf.dummyfunction("IFERROR(
  VLOOKUP(G224, IMPORTRANGE(""https://docs.google.com/spreadsheets/d/14deopnvwcrKtEGCKuYXdUHJbeLDZlkiSSWWT0g7x2pM/edit#gid=849066331"", ""LU List Maths (Filter)!A:B""), 2, FALSE),
  IFERROR(
    VLOOKUP(G224, IMPORTRANGE(""https://docs.google.com"&amp;"/spreadsheets/d/14deopnvwcrKtEGCKuYXdUHJbeLDZlkiSSWWT0g7x2pM/edit#gid=849066331"", ""LU List Science (Filter)!A:B""), 2, FALSE),
    ""Not Found""
  )
)
"),"Relationship between right angles, straight angles, and complete angles")</f>
        <v>Relationship between right angles, straight angles, and complete angles</v>
      </c>
      <c r="I224" s="28"/>
      <c r="J224" s="29" t="str">
        <f t="shared" si="18"/>
        <v>LU000241.001</v>
      </c>
      <c r="K224" s="29" t="str">
        <f ca="1">IFERROR(__xludf.dummyfunction("VLOOKUP(J224, IMPORTRANGE(""https://docs.google.com/spreadsheets/d/1yDAaXNsi4Mr5FtRQL4tbmSdIzhx6_m4wkOD7IG-k_eo/edit#gid=0"", ""Maths!M:N""), 2, FALSE)"),"Recall definitions of right angles, straight angles, and complete angles.")</f>
        <v>Recall definitions of right angles, straight angles, and complete angles.</v>
      </c>
      <c r="L224" s="29" t="str">
        <f t="shared" si="19"/>
        <v>LU000241.002</v>
      </c>
      <c r="M224" s="29" t="str">
        <f ca="1">IFERROR(__xludf.dummyfunction("VLOOKUP(L224, IMPORTRANGE(""https://docs.google.com/spreadsheets/d/1yDAaXNsi4Mr5FtRQL4tbmSdIzhx6_m4wkOD7IG-k_eo/edit#gid=0"", ""Maths!M:N""), 2, FALSE)"),"Explain how right angles combine to form a straight angle and complete angle.")</f>
        <v>Explain how right angles combine to form a straight angle and complete angle.</v>
      </c>
      <c r="N224" s="29" t="str">
        <f t="shared" si="20"/>
        <v>LU000241.003</v>
      </c>
      <c r="O224" s="29" t="str">
        <f ca="1">IFERROR(__xludf.dummyfunction("VLOOKUP(N224, IMPORTRANGE(""https://docs.google.com/spreadsheets/d/1yDAaXNsi4Mr5FtRQL4tbmSdIzhx6_m4wkOD7IG-k_eo/edit#gid=0"", ""Maths!M:N""), 2, FALSE)"),"Find the number of right/ straight angles in straight/complete angles in geometric shapes.")</f>
        <v>Find the number of right/ straight angles in straight/complete angles in geometric shapes.</v>
      </c>
      <c r="P224" s="29" t="str">
        <f t="shared" si="21"/>
        <v>LU000241.004</v>
      </c>
      <c r="Q224" s="29" t="str">
        <f ca="1">IFERROR(__xludf.dummyfunction("VLOOKUP(P224, IMPORTRANGE(""https://docs.google.com/spreadsheets/d/1yDAaXNsi4Mr5FtRQL4tbmSdIzhx6_m4wkOD7IG-k_eo/edit#gid=0"", ""Maths!M:N""), 2, FALSE)"),"Analyse the relationship between right angles, straight angles, and complete angles in various geometric configurations.")</f>
        <v>Analyse the relationship between right angles, straight angles, and complete angles in various geometric configurations.</v>
      </c>
      <c r="R224" s="29" t="str">
        <f t="shared" si="22"/>
        <v>LU000241.005</v>
      </c>
      <c r="S224" s="29" t="str">
        <f ca="1">IFERROR(__xludf.dummyfunction("VLOOKUP(R224, IMPORTRANGE(""https://docs.google.com/spreadsheets/d/1yDAaXNsi4Mr5FtRQL4tbmSdIzhx6_m4wkOD7IG-k_eo/edit#gid=0"", ""Maths!M:N""), 2, FALSE)"),"Evaluate the significance of understanding the interrelation of angles in practical situations.")</f>
        <v>Evaluate the significance of understanding the interrelation of angles in practical situations.</v>
      </c>
      <c r="T224" s="29" t="str">
        <f t="shared" si="23"/>
        <v>LU000241.006</v>
      </c>
      <c r="U224" s="29" t="str">
        <f ca="1">IFERROR(__xludf.dummyfunction("VLOOKUP(T224, IMPORTRANGE(""https://docs.google.com/spreadsheets/d/1yDAaXNsi4Mr5FtRQL4tbmSdIzhx6_m4wkOD7IG-k_eo/edit#gid=0"", ""Maths!M:N""), 2, FALSE)"),"Construct visual models depicting the progression from right angles to complete angles in geometrical figures.")</f>
        <v>Construct visual models depicting the progression from right angles to complete angles in geometrical figures.</v>
      </c>
      <c r="V224" s="16">
        <f ca="1">IFERROR(__xludf.dummyfunction("ArrayFormula(VLOOKUP(G224, IMPORTRANGE(""https://docs.google.com/spreadsheets/d/1p7R4vtkWt5VOBim4ltsDG9KTzSjrtKXsMtQGXPHyND0/edit#gid=795171502"", ""'Filter 30_05_2024'!A1:M2000""), {2, 3, 4, 5,6,7,8,9,10,11,12,13}, 0))"),7)</f>
        <v>7</v>
      </c>
      <c r="W224" s="16">
        <f ca="1">IFERROR(__xludf.dummyfunction("""COMPUTED_VALUE"""),4)</f>
        <v>4</v>
      </c>
      <c r="X224" s="16">
        <f ca="1">IFERROR(__xludf.dummyfunction("""COMPUTED_VALUE"""),2)</f>
        <v>2</v>
      </c>
      <c r="Y224" s="16">
        <f ca="1">IFERROR(__xludf.dummyfunction("""COMPUTED_VALUE"""),13)</f>
        <v>13</v>
      </c>
      <c r="Z224" s="16">
        <f ca="1">IFERROR(__xludf.dummyfunction("""COMPUTED_VALUE"""),4)</f>
        <v>4</v>
      </c>
      <c r="AA224" s="30">
        <f ca="1">IFERROR(__xludf.dummyfunction("""COMPUTED_VALUE"""),3)</f>
        <v>3</v>
      </c>
      <c r="AB224" s="30">
        <f ca="1">IFERROR(__xludf.dummyfunction("""COMPUTED_VALUE"""),1)</f>
        <v>1</v>
      </c>
      <c r="AC224" s="30">
        <f ca="1">IFERROR(__xludf.dummyfunction("""COMPUTED_VALUE"""),8)</f>
        <v>8</v>
      </c>
      <c r="AD224" s="16"/>
      <c r="AE224" s="30"/>
      <c r="AF224" s="30"/>
      <c r="AG224" s="30"/>
    </row>
    <row r="225" spans="1:33" ht="26.4">
      <c r="A225" s="25"/>
      <c r="B225" s="26" t="s">
        <v>29</v>
      </c>
      <c r="C225" s="26" t="s">
        <v>310</v>
      </c>
      <c r="D225" s="26">
        <v>6</v>
      </c>
      <c r="E225" s="27" t="s">
        <v>618</v>
      </c>
      <c r="F225" s="28" t="s">
        <v>639</v>
      </c>
      <c r="G225" s="26" t="s">
        <v>640</v>
      </c>
      <c r="H225" s="28" t="str">
        <f ca="1">IFERROR(__xludf.dummyfunction("IFERROR(
  VLOOKUP(G225, IMPORTRANGE(""https://docs.google.com/spreadsheets/d/14deopnvwcrKtEGCKuYXdUHJbeLDZlkiSSWWT0g7x2pM/edit#gid=849066331"", ""LU List Maths (Filter)!A:B""), 2, FALSE),
  IFERROR(
    VLOOKUP(G225, IMPORTRANGE(""https://docs.google.com"&amp;"/spreadsheets/d/14deopnvwcrKtEGCKuYXdUHJbeLDZlkiSSWWT0g7x2pM/edit#gid=849066331"", ""LU List Science (Filter)!A:B""), 2, FALSE),
    ""Not Found""
  )
)
"),"Measurement of angles using protractor")</f>
        <v>Measurement of angles using protractor</v>
      </c>
      <c r="I225" s="28"/>
      <c r="J225" s="29" t="str">
        <f t="shared" si="18"/>
        <v>LU000243.001</v>
      </c>
      <c r="K225" s="29" t="str">
        <f ca="1">IFERROR(__xludf.dummyfunction("VLOOKUP(J225, IMPORTRANGE(""https://docs.google.com/spreadsheets/d/1yDAaXNsi4Mr5FtRQL4tbmSdIzhx6_m4wkOD7IG-k_eo/edit#gid=0"", ""Maths!M:N""), 2, FALSE)"),"Identify the 'degree' as the unit of measurement.")</f>
        <v>Identify the 'degree' as the unit of measurement.</v>
      </c>
      <c r="L225" s="29" t="str">
        <f t="shared" si="19"/>
        <v>LU000243.002</v>
      </c>
      <c r="M225" s="29" t="str">
        <f ca="1">IFERROR(__xludf.dummyfunction("VLOOKUP(L225, IMPORTRANGE(""https://docs.google.com/spreadsheets/d/1yDAaXNsi4Mr5FtRQL4tbmSdIzhx6_m4wkOD7IG-k_eo/edit#gid=0"", ""Maths!M:N""), 2, FALSE)"),"Measure the given angle using a protractor.")</f>
        <v>Measure the given angle using a protractor.</v>
      </c>
      <c r="N225" s="29" t="str">
        <f t="shared" si="20"/>
        <v>LU000243.003</v>
      </c>
      <c r="O225" s="29" t="str">
        <f ca="1">IFERROR(__xludf.dummyfunction("VLOOKUP(N225, IMPORTRANGE(""https://docs.google.com/spreadsheets/d/1yDAaXNsi4Mr5FtRQL4tbmSdIzhx6_m4wkOD7IG-k_eo/edit#gid=0"", ""Maths!M:N""), 2, FALSE)"),"Estimate the measure of the given angles and confirm their measures by comparing them.")</f>
        <v>Estimate the measure of the given angles and confirm their measures by comparing them.</v>
      </c>
      <c r="P225" s="29" t="str">
        <f t="shared" si="21"/>
        <v>LU000243.004</v>
      </c>
      <c r="Q225" s="29" t="str">
        <f ca="1">IFERROR(__xludf.dummyfunction("VLOOKUP(P225, IMPORTRANGE(""https://docs.google.com/spreadsheets/d/1yDAaXNsi4Mr5FtRQL4tbmSdIzhx6_m4wkOD7IG-k_eo/edit#gid=0"", ""Maths!M:N""), 2, FALSE)"),"Analyse the process of folding a circular sheet to create angles and identify their measures.")</f>
        <v>Analyse the process of folding a circular sheet to create angles and identify their measures.</v>
      </c>
      <c r="R225" s="29" t="str">
        <f t="shared" si="22"/>
        <v>LU000243.005</v>
      </c>
      <c r="S225" s="29" t="str">
        <f ca="1">IFERROR(__xludf.dummyfunction("VLOOKUP(R225, IMPORTRANGE(""https://docs.google.com/spreadsheets/d/1yDAaXNsi4Mr5FtRQL4tbmSdIzhx6_m4wkOD7IG-k_eo/edit#gid=0"", ""Maths!M:N""), 2, FALSE)"),"Evaluate the accuracy of angle measurements using protractors and identify potential errors.")</f>
        <v>Evaluate the accuracy of angle measurements using protractors and identify potential errors.</v>
      </c>
      <c r="T225" s="29" t="str">
        <f t="shared" si="23"/>
        <v>LU000243.006</v>
      </c>
      <c r="U225" s="29" t="str">
        <f ca="1">IFERROR(__xludf.dummyfunction("VLOOKUP(T225, IMPORTRANGE(""https://docs.google.com/spreadsheets/d/1yDAaXNsi4Mr5FtRQL4tbmSdIzhx6_m4wkOD7IG-k_eo/edit#gid=0"", ""Maths!M:N""), 2, FALSE)"),"Create a visual representation demonstrating the step-by-step process of folding a circular sheet to measure angles.")</f>
        <v>Create a visual representation demonstrating the step-by-step process of folding a circular sheet to measure angles.</v>
      </c>
      <c r="V225" s="16">
        <f ca="1">IFERROR(__xludf.dummyfunction("ArrayFormula(VLOOKUP(G225, IMPORTRANGE(""https://docs.google.com/spreadsheets/d/1p7R4vtkWt5VOBim4ltsDG9KTzSjrtKXsMtQGXPHyND0/edit#gid=795171502"", ""'Filter 30_05_2024'!A1:M2000""), {2, 3, 4, 5,6,7,8,9,10,11,12,13}, 0))"),5)</f>
        <v>5</v>
      </c>
      <c r="W225" s="16">
        <f ca="1">IFERROR(__xludf.dummyfunction("""COMPUTED_VALUE"""),6)</f>
        <v>6</v>
      </c>
      <c r="X225" s="16">
        <f ca="1">IFERROR(__xludf.dummyfunction("""COMPUTED_VALUE"""),2)</f>
        <v>2</v>
      </c>
      <c r="Y225" s="16">
        <f ca="1">IFERROR(__xludf.dummyfunction("""COMPUTED_VALUE"""),13)</f>
        <v>13</v>
      </c>
      <c r="Z225" s="16">
        <f ca="1">IFERROR(__xludf.dummyfunction("""COMPUTED_VALUE"""),7)</f>
        <v>7</v>
      </c>
      <c r="AA225" s="30">
        <f ca="1">IFERROR(__xludf.dummyfunction("""COMPUTED_VALUE"""),3)</f>
        <v>3</v>
      </c>
      <c r="AB225" s="30">
        <f ca="1">IFERROR(__xludf.dummyfunction("""COMPUTED_VALUE"""),1)</f>
        <v>1</v>
      </c>
      <c r="AC225" s="30">
        <f ca="1">IFERROR(__xludf.dummyfunction("""COMPUTED_VALUE"""),11)</f>
        <v>11</v>
      </c>
      <c r="AD225" s="16"/>
      <c r="AE225" s="30"/>
      <c r="AF225" s="30"/>
      <c r="AG225" s="30"/>
    </row>
    <row r="226" spans="1:33" ht="26.4">
      <c r="A226" s="25"/>
      <c r="B226" s="26" t="s">
        <v>29</v>
      </c>
      <c r="C226" s="26" t="s">
        <v>310</v>
      </c>
      <c r="D226" s="26">
        <v>6</v>
      </c>
      <c r="E226" s="27" t="s">
        <v>618</v>
      </c>
      <c r="F226" s="28" t="s">
        <v>641</v>
      </c>
      <c r="G226" s="26" t="s">
        <v>642</v>
      </c>
      <c r="H226" s="28" t="str">
        <f ca="1">IFERROR(__xludf.dummyfunction("IFERROR(
  VLOOKUP(G226, IMPORTRANGE(""https://docs.google.com/spreadsheets/d/14deopnvwcrKtEGCKuYXdUHJbeLDZlkiSSWWT0g7x2pM/edit#gid=849066331"", ""LU List Maths (Filter)!A:B""), 2, FALSE),
  IFERROR(
    VLOOKUP(G226, IMPORTRANGE(""https://docs.google.com"&amp;"/spreadsheets/d/14deopnvwcrKtEGCKuYXdUHJbeLDZlkiSSWWT0g7x2pM/edit#gid=849066331"", ""LU List Science (Filter)!A:B""), 2, FALSE),
    ""Not Found""
  )
)
"),"Definition of an equilateral triangle")</f>
        <v>Definition of an equilateral triangle</v>
      </c>
      <c r="I226" s="28"/>
      <c r="J226" s="29" t="str">
        <f t="shared" si="18"/>
        <v>LU000246.001</v>
      </c>
      <c r="K226" s="29" t="str">
        <f ca="1">IFERROR(__xludf.dummyfunction("VLOOKUP(J226, IMPORTRANGE(""https://docs.google.com/spreadsheets/d/1yDAaXNsi4Mr5FtRQL4tbmSdIzhx6_m4wkOD7IG-k_eo/edit#gid=0"", ""Maths!M:N""), 2, FALSE)"),"Recall the definition of an equilateral triangle.")</f>
        <v>Recall the definition of an equilateral triangle.</v>
      </c>
      <c r="L226" s="29" t="str">
        <f t="shared" si="19"/>
        <v>LU000246.002</v>
      </c>
      <c r="M226" s="29" t="str">
        <f ca="1">IFERROR(__xludf.dummyfunction("VLOOKUP(L226, IMPORTRANGE(""https://docs.google.com/spreadsheets/d/1yDAaXNsi4Mr5FtRQL4tbmSdIzhx6_m4wkOD7IG-k_eo/edit#gid=0"", ""Maths!M:N""), 2, FALSE)"),"Describe why all three sides of an equilateral triangle are of equal length.")</f>
        <v>Describe why all three sides of an equilateral triangle are of equal length.</v>
      </c>
      <c r="N226" s="29" t="str">
        <f t="shared" si="20"/>
        <v>LU000246.003</v>
      </c>
      <c r="O226" s="29" t="str">
        <f ca="1">IFERROR(__xludf.dummyfunction("VLOOKUP(N226, IMPORTRANGE(""https://docs.google.com/spreadsheets/d/1yDAaXNsi4Mr5FtRQL4tbmSdIzhx6_m4wkOD7IG-k_eo/edit#gid=0"", ""Maths!M:N""), 2, FALSE)"),"Given a set of side measurements, determine whether a given triangle is an equilateral triangle or not.")</f>
        <v>Given a set of side measurements, determine whether a given triangle is an equilateral triangle or not.</v>
      </c>
      <c r="P226" s="29" t="str">
        <f t="shared" si="21"/>
        <v>LU000246.004</v>
      </c>
      <c r="Q226" s="29" t="str">
        <f ca="1">IFERROR(__xludf.dummyfunction("VLOOKUP(P226, IMPORTRANGE(""https://docs.google.com/spreadsheets/d/1yDAaXNsi4Mr5FtRQL4tbmSdIzhx6_m4wkOD7IG-k_eo/edit#gid=0"", ""Maths!M:N""), 2, FALSE)"),"Analyse different triangles and classify them based on their side measurements, with a focus on identifying equilateral triangles.")</f>
        <v>Analyse different triangles and classify them based on their side measurements, with a focus on identifying equilateral triangles.</v>
      </c>
      <c r="R226" s="29" t="str">
        <f t="shared" si="22"/>
        <v>LU000246.005</v>
      </c>
      <c r="S226" s="29" t="str">
        <f ca="1">IFERROR(__xludf.dummyfunction("VLOOKUP(R226, IMPORTRANGE(""https://docs.google.com/spreadsheets/d/1yDAaXNsi4Mr5FtRQL4tbmSdIzhx6_m4wkOD7IG-k_eo/edit#gid=0"", ""Maths!M:N""), 2, FALSE)"),"Evaluate examples of triangles and assess if they meet the criteria for being equilateral triangles.")</f>
        <v>Evaluate examples of triangles and assess if they meet the criteria for being equilateral triangles.</v>
      </c>
      <c r="T226" s="29" t="str">
        <f t="shared" si="23"/>
        <v>LU000246.006</v>
      </c>
      <c r="U226" s="29" t="str">
        <f ca="1">IFERROR(__xludf.dummyfunction("VLOOKUP(T226, IMPORTRANGE(""https://docs.google.com/spreadsheets/d/1yDAaXNsi4Mr5FtRQL4tbmSdIzhx6_m4wkOD7IG-k_eo/edit#gid=0"", ""Maths!M:N""), 2, FALSE)"),"Design a visual representation or diagram that illustrates an equilateral triangle and its properties.")</f>
        <v>Design a visual representation or diagram that illustrates an equilateral triangle and its properties.</v>
      </c>
      <c r="V226" s="16">
        <f ca="1">IFERROR(__xludf.dummyfunction("ArrayFormula(VLOOKUP(G226, IMPORTRANGE(""https://docs.google.com/spreadsheets/d/1p7R4vtkWt5VOBim4ltsDG9KTzSjrtKXsMtQGXPHyND0/edit#gid=795171502"", ""'Filter 30_05_2024'!A1:M2000""), {2, 3, 4, 5,6,7,8,9,10,11,12,13}, 0))"),5)</f>
        <v>5</v>
      </c>
      <c r="W226" s="16">
        <f ca="1">IFERROR(__xludf.dummyfunction("""COMPUTED_VALUE"""),2)</f>
        <v>2</v>
      </c>
      <c r="X226" s="16">
        <f ca="1">IFERROR(__xludf.dummyfunction("""COMPUTED_VALUE"""),1)</f>
        <v>1</v>
      </c>
      <c r="Y226" s="16">
        <f ca="1">IFERROR(__xludf.dummyfunction("""COMPUTED_VALUE"""),8)</f>
        <v>8</v>
      </c>
      <c r="Z226" s="16">
        <f ca="1">IFERROR(__xludf.dummyfunction("""COMPUTED_VALUE"""),4)</f>
        <v>4</v>
      </c>
      <c r="AA226" s="30">
        <f ca="1">IFERROR(__xludf.dummyfunction("""COMPUTED_VALUE"""),7)</f>
        <v>7</v>
      </c>
      <c r="AB226" s="30">
        <f ca="1">IFERROR(__xludf.dummyfunction("""COMPUTED_VALUE"""),3)</f>
        <v>3</v>
      </c>
      <c r="AC226" s="30">
        <f ca="1">IFERROR(__xludf.dummyfunction("""COMPUTED_VALUE"""),14)</f>
        <v>14</v>
      </c>
      <c r="AD226" s="16"/>
      <c r="AE226" s="30"/>
      <c r="AF226" s="30"/>
      <c r="AG226" s="30"/>
    </row>
    <row r="227" spans="1:33" ht="26.4">
      <c r="A227" s="25"/>
      <c r="B227" s="26" t="s">
        <v>29</v>
      </c>
      <c r="C227" s="26" t="s">
        <v>310</v>
      </c>
      <c r="D227" s="26">
        <v>6</v>
      </c>
      <c r="E227" s="27" t="s">
        <v>618</v>
      </c>
      <c r="F227" s="28"/>
      <c r="G227" s="26" t="s">
        <v>643</v>
      </c>
      <c r="H227" s="28" t="str">
        <f ca="1">IFERROR(__xludf.dummyfunction("IFERROR(
  VLOOKUP(G227, IMPORTRANGE(""https://docs.google.com/spreadsheets/d/14deopnvwcrKtEGCKuYXdUHJbeLDZlkiSSWWT0g7x2pM/edit#gid=849066331"", ""LU List Maths (Filter)!A:B""), 2, FALSE),
  IFERROR(
    VLOOKUP(G227, IMPORTRANGE(""https://docs.google.com"&amp;"/spreadsheets/d/14deopnvwcrKtEGCKuYXdUHJbeLDZlkiSSWWT0g7x2pM/edit#gid=849066331"", ""LU List Science (Filter)!A:B""), 2, FALSE),
    ""Not Found""
  )
)
"),"Definition of an isosceles triangle")</f>
        <v>Definition of an isosceles triangle</v>
      </c>
      <c r="I227" s="28"/>
      <c r="J227" s="29" t="str">
        <f t="shared" si="18"/>
        <v>LU000263.001</v>
      </c>
      <c r="K227" s="29" t="str">
        <f ca="1">IFERROR(__xludf.dummyfunction("VLOOKUP(J227, IMPORTRANGE(""https://docs.google.com/spreadsheets/d/1yDAaXNsi4Mr5FtRQL4tbmSdIzhx6_m4wkOD7IG-k_eo/edit#gid=0"", ""Maths!M:N""), 2, FALSE)"),"Recall the definition of an isosceles triangle.")</f>
        <v>Recall the definition of an isosceles triangle.</v>
      </c>
      <c r="L227" s="29" t="str">
        <f t="shared" si="19"/>
        <v>LU000263.002</v>
      </c>
      <c r="M227" s="29" t="str">
        <f ca="1">IFERROR(__xludf.dummyfunction("VLOOKUP(L227, IMPORTRANGE(""https://docs.google.com/spreadsheets/d/1yDAaXNsi4Mr5FtRQL4tbmSdIzhx6_m4wkOD7IG-k_eo/edit#gid=0"", ""Maths!M:N""), 2, FALSE)"),"Describe why an isosceles triangle has two sides of equal length and the implications of this property.")</f>
        <v>Describe why an isosceles triangle has two sides of equal length and the implications of this property.</v>
      </c>
      <c r="N227" s="29" t="str">
        <f t="shared" si="20"/>
        <v>LU000263.003</v>
      </c>
      <c r="O227" s="29" t="str">
        <f ca="1">IFERROR(__xludf.dummyfunction("VLOOKUP(N227, IMPORTRANGE(""https://docs.google.com/spreadsheets/d/1yDAaXNsi4Mr5FtRQL4tbmSdIzhx6_m4wkOD7IG-k_eo/edit#gid=0"", ""Maths!M:N""), 2, FALSE)"),"Given a set of side measurements, determine whether a given triangle is an isosceles triangle or not.")</f>
        <v>Given a set of side measurements, determine whether a given triangle is an isosceles triangle or not.</v>
      </c>
      <c r="P227" s="29" t="str">
        <f t="shared" si="21"/>
        <v>LU000263.004</v>
      </c>
      <c r="Q227" s="29" t="str">
        <f ca="1">IFERROR(__xludf.dummyfunction("VLOOKUP(P227, IMPORTRANGE(""https://docs.google.com/spreadsheets/d/1yDAaXNsi4Mr5FtRQL4tbmSdIzhx6_m4wkOD7IG-k_eo/edit#gid=0"", ""Maths!M:N""), 2, FALSE)"),"Analyse different triangles and classify them based on their side measurements, with a focus on identifying isosceles triangles.")</f>
        <v>Analyse different triangles and classify them based on their side measurements, with a focus on identifying isosceles triangles.</v>
      </c>
      <c r="R227" s="29" t="str">
        <f t="shared" si="22"/>
        <v>LU000263.005</v>
      </c>
      <c r="S227" s="29" t="str">
        <f ca="1">IFERROR(__xludf.dummyfunction("VLOOKUP(R227, IMPORTRANGE(""https://docs.google.com/spreadsheets/d/1yDAaXNsi4Mr5FtRQL4tbmSdIzhx6_m4wkOD7IG-k_eo/edit#gid=0"", ""Maths!M:N""), 2, FALSE)"),"Evaluate examples of triangles and assess if they meet the criteria for being isosceles triangles.")</f>
        <v>Evaluate examples of triangles and assess if they meet the criteria for being isosceles triangles.</v>
      </c>
      <c r="T227" s="29" t="str">
        <f t="shared" si="23"/>
        <v>LU000263.006</v>
      </c>
      <c r="U227" s="29" t="str">
        <f ca="1">IFERROR(__xludf.dummyfunction("VLOOKUP(T227, IMPORTRANGE(""https://docs.google.com/spreadsheets/d/1yDAaXNsi4Mr5FtRQL4tbmSdIzhx6_m4wkOD7IG-k_eo/edit#gid=0"", ""Maths!M:N""), 2, FALSE)"),"Design a visual representation or diagram that illustrates an isosceles triangle and its properties.")</f>
        <v>Design a visual representation or diagram that illustrates an isosceles triangle and its properties.</v>
      </c>
      <c r="V227" s="16">
        <f ca="1">IFERROR(__xludf.dummyfunction("ArrayFormula(VLOOKUP(G227, IMPORTRANGE(""https://docs.google.com/spreadsheets/d/1p7R4vtkWt5VOBim4ltsDG9KTzSjrtKXsMtQGXPHyND0/edit#gid=795171502"", ""'Filter 30_05_2024'!A1:M2000""), {2, 3, 4, 5,6,7,8,9,10,11,12,13}, 0))"),4)</f>
        <v>4</v>
      </c>
      <c r="W227" s="16">
        <f ca="1">IFERROR(__xludf.dummyfunction("""COMPUTED_VALUE"""),3)</f>
        <v>3</v>
      </c>
      <c r="X227" s="16">
        <f ca="1">IFERROR(__xludf.dummyfunction("""COMPUTED_VALUE"""),1)</f>
        <v>1</v>
      </c>
      <c r="Y227" s="16">
        <f ca="1">IFERROR(__xludf.dummyfunction("""COMPUTED_VALUE"""),8)</f>
        <v>8</v>
      </c>
      <c r="Z227" s="16">
        <f ca="1">IFERROR(__xludf.dummyfunction("""COMPUTED_VALUE"""),4)</f>
        <v>4</v>
      </c>
      <c r="AA227" s="30">
        <f ca="1">IFERROR(__xludf.dummyfunction("""COMPUTED_VALUE"""),5)</f>
        <v>5</v>
      </c>
      <c r="AB227" s="30">
        <f ca="1">IFERROR(__xludf.dummyfunction("""COMPUTED_VALUE"""),3)</f>
        <v>3</v>
      </c>
      <c r="AC227" s="30">
        <f ca="1">IFERROR(__xludf.dummyfunction("""COMPUTED_VALUE"""),12)</f>
        <v>12</v>
      </c>
      <c r="AD227" s="16"/>
      <c r="AE227" s="30"/>
      <c r="AF227" s="30"/>
      <c r="AG227" s="30"/>
    </row>
    <row r="228" spans="1:33" ht="26.4">
      <c r="A228" s="25"/>
      <c r="B228" s="26" t="s">
        <v>29</v>
      </c>
      <c r="C228" s="26" t="s">
        <v>310</v>
      </c>
      <c r="D228" s="26">
        <v>6</v>
      </c>
      <c r="E228" s="27" t="s">
        <v>618</v>
      </c>
      <c r="F228" s="28"/>
      <c r="G228" s="26" t="s">
        <v>644</v>
      </c>
      <c r="H228" s="28" t="str">
        <f ca="1">IFERROR(__xludf.dummyfunction("IFERROR(
  VLOOKUP(G228, IMPORTRANGE(""https://docs.google.com/spreadsheets/d/14deopnvwcrKtEGCKuYXdUHJbeLDZlkiSSWWT0g7x2pM/edit#gid=849066331"", ""LU List Maths (Filter)!A:B""), 2, FALSE),
  IFERROR(
    VLOOKUP(G228, IMPORTRANGE(""https://docs.google.com"&amp;"/spreadsheets/d/14deopnvwcrKtEGCKuYXdUHJbeLDZlkiSSWWT0g7x2pM/edit#gid=849066331"", ""LU List Science (Filter)!A:B""), 2, FALSE),
    ""Not Found""
  )
)
"),"Definition of a scalene triangle")</f>
        <v>Definition of a scalene triangle</v>
      </c>
      <c r="I228" s="28"/>
      <c r="J228" s="29" t="str">
        <f t="shared" si="18"/>
        <v>LU000264.001</v>
      </c>
      <c r="K228" s="29" t="str">
        <f ca="1">IFERROR(__xludf.dummyfunction("VLOOKUP(J228, IMPORTRANGE(""https://docs.google.com/spreadsheets/d/1yDAaXNsi4Mr5FtRQL4tbmSdIzhx6_m4wkOD7IG-k_eo/edit#gid=0"", ""Maths!M:N""), 2, FALSE)"),"Recall the definition of a scalene triangle.")</f>
        <v>Recall the definition of a scalene triangle.</v>
      </c>
      <c r="L228" s="29" t="str">
        <f t="shared" si="19"/>
        <v>LU000264.002</v>
      </c>
      <c r="M228" s="29" t="str">
        <f ca="1">IFERROR(__xludf.dummyfunction("VLOOKUP(L228, IMPORTRANGE(""https://docs.google.com/spreadsheets/d/1yDAaXNsi4Mr5FtRQL4tbmSdIzhx6_m4wkOD7IG-k_eo/edit#gid=0"", ""Maths!M:N""), 2, FALSE)"),"Describe why a scalene triangle has two sides of equal length and the implications of this property.")</f>
        <v>Describe why a scalene triangle has two sides of equal length and the implications of this property.</v>
      </c>
      <c r="N228" s="29" t="str">
        <f t="shared" si="20"/>
        <v>LU000264.003</v>
      </c>
      <c r="O228" s="29" t="str">
        <f ca="1">IFERROR(__xludf.dummyfunction("VLOOKUP(N228, IMPORTRANGE(""https://docs.google.com/spreadsheets/d/1yDAaXNsi4Mr5FtRQL4tbmSdIzhx6_m4wkOD7IG-k_eo/edit#gid=0"", ""Maths!M:N""), 2, FALSE)"),"Given a set of side measurements, determine whether a given triangle is a scalene triangle or not.")</f>
        <v>Given a set of side measurements, determine whether a given triangle is a scalene triangle or not.</v>
      </c>
      <c r="P228" s="29" t="str">
        <f t="shared" si="21"/>
        <v>LU000264.004</v>
      </c>
      <c r="Q228" s="29" t="str">
        <f ca="1">IFERROR(__xludf.dummyfunction("VLOOKUP(P228, IMPORTRANGE(""https://docs.google.com/spreadsheets/d/1yDAaXNsi4Mr5FtRQL4tbmSdIzhx6_m4wkOD7IG-k_eo/edit#gid=0"", ""Maths!M:N""), 2, FALSE)"),"Analyse different triangles and classify them based on their side measurements, with a focus on identifying scalene triangles.")</f>
        <v>Analyse different triangles and classify them based on their side measurements, with a focus on identifying scalene triangles.</v>
      </c>
      <c r="R228" s="29" t="str">
        <f t="shared" si="22"/>
        <v>LU000264.005</v>
      </c>
      <c r="S228" s="29" t="str">
        <f ca="1">IFERROR(__xludf.dummyfunction("VLOOKUP(R228, IMPORTRANGE(""https://docs.google.com/spreadsheets/d/1yDAaXNsi4Mr5FtRQL4tbmSdIzhx6_m4wkOD7IG-k_eo/edit#gid=0"", ""Maths!M:N""), 2, FALSE)"),"Evaluate examples of triangles and assess if they meet the criteria for being scalene triangles.")</f>
        <v>Evaluate examples of triangles and assess if they meet the criteria for being scalene triangles.</v>
      </c>
      <c r="T228" s="29" t="str">
        <f t="shared" si="23"/>
        <v>LU000264.006</v>
      </c>
      <c r="U228" s="29" t="str">
        <f ca="1">IFERROR(__xludf.dummyfunction("VLOOKUP(T228, IMPORTRANGE(""https://docs.google.com/spreadsheets/d/1yDAaXNsi4Mr5FtRQL4tbmSdIzhx6_m4wkOD7IG-k_eo/edit#gid=0"", ""Maths!M:N""), 2, FALSE)"),"Design a visual representation or diagram that illustrates a scalene triangle and its properties.")</f>
        <v>Design a visual representation or diagram that illustrates a scalene triangle and its properties.</v>
      </c>
      <c r="V228" s="16">
        <f ca="1">IFERROR(__xludf.dummyfunction("ArrayFormula(VLOOKUP(G228, IMPORTRANGE(""https://docs.google.com/spreadsheets/d/1p7R4vtkWt5VOBim4ltsDG9KTzSjrtKXsMtQGXPHyND0/edit#gid=795171502"", ""'Filter 30_05_2024'!A1:M2000""), {2, 3, 4, 5,6,7,8,9,10,11,12,13}, 0))"),5)</f>
        <v>5</v>
      </c>
      <c r="W228" s="16">
        <f ca="1">IFERROR(__xludf.dummyfunction("""COMPUTED_VALUE"""),4)</f>
        <v>4</v>
      </c>
      <c r="X228" s="16">
        <f ca="1">IFERROR(__xludf.dummyfunction("""COMPUTED_VALUE"""),2)</f>
        <v>2</v>
      </c>
      <c r="Y228" s="16">
        <f ca="1">IFERROR(__xludf.dummyfunction("""COMPUTED_VALUE"""),11)</f>
        <v>11</v>
      </c>
      <c r="Z228" s="16">
        <f ca="1">IFERROR(__xludf.dummyfunction("""COMPUTED_VALUE"""),4)</f>
        <v>4</v>
      </c>
      <c r="AA228" s="30">
        <f ca="1">IFERROR(__xludf.dummyfunction("""COMPUTED_VALUE"""),5)</f>
        <v>5</v>
      </c>
      <c r="AB228" s="30">
        <f ca="1">IFERROR(__xludf.dummyfunction("""COMPUTED_VALUE"""),1)</f>
        <v>1</v>
      </c>
      <c r="AC228" s="30">
        <f ca="1">IFERROR(__xludf.dummyfunction("""COMPUTED_VALUE"""),10)</f>
        <v>10</v>
      </c>
      <c r="AD228" s="16"/>
      <c r="AE228" s="30"/>
      <c r="AF228" s="30"/>
      <c r="AG228" s="30"/>
    </row>
    <row r="229" spans="1:33" ht="26.4">
      <c r="A229" s="25"/>
      <c r="B229" s="26" t="s">
        <v>29</v>
      </c>
      <c r="C229" s="26" t="s">
        <v>310</v>
      </c>
      <c r="D229" s="26">
        <v>6</v>
      </c>
      <c r="E229" s="27" t="s">
        <v>618</v>
      </c>
      <c r="F229" s="28" t="s">
        <v>645</v>
      </c>
      <c r="G229" s="26" t="s">
        <v>646</v>
      </c>
      <c r="H229" s="28" t="str">
        <f ca="1">IFERROR(__xludf.dummyfunction("IFERROR(
  VLOOKUP(G229, IMPORTRANGE(""https://docs.google.com/spreadsheets/d/14deopnvwcrKtEGCKuYXdUHJbeLDZlkiSSWWT0g7x2pM/edit#gid=849066331"", ""LU List Maths (Filter)!A:B""), 2, FALSE),
  IFERROR(
    VLOOKUP(G229, IMPORTRANGE(""https://docs.google.com"&amp;"/spreadsheets/d/14deopnvwcrKtEGCKuYXdUHJbeLDZlkiSSWWT0g7x2pM/edit#gid=849066331"", ""LU List Science (Filter)!A:B""), 2, FALSE),
    ""Not Found""
  )
)
"),"Definition of an acute angled triangle")</f>
        <v>Definition of an acute angled triangle</v>
      </c>
      <c r="I229" s="28"/>
      <c r="J229" s="29" t="str">
        <f t="shared" si="18"/>
        <v>LU000247.001</v>
      </c>
      <c r="K229" s="29" t="str">
        <f ca="1">IFERROR(__xludf.dummyfunction("VLOOKUP(J229, IMPORTRANGE(""https://docs.google.com/spreadsheets/d/1yDAaXNsi4Mr5FtRQL4tbmSdIzhx6_m4wkOD7IG-k_eo/edit#gid=0"", ""Maths!M:N""), 2, FALSE)"),"Recall the definition of an acute angled triangle.")</f>
        <v>Recall the definition of an acute angled triangle.</v>
      </c>
      <c r="L229" s="29" t="str">
        <f t="shared" si="19"/>
        <v>LU000247.002</v>
      </c>
      <c r="M229" s="29" t="str">
        <f ca="1">IFERROR(__xludf.dummyfunction("VLOOKUP(L229, IMPORTRANGE(""https://docs.google.com/spreadsheets/d/1yDAaXNsi4Mr5FtRQL4tbmSdIzhx6_m4wkOD7IG-k_eo/edit#gid=0"", ""Maths!M:N""), 2, FALSE)"),"Describe why an acute angled triangle has all angles measuring less than 90 degrees and its properties.")</f>
        <v>Describe why an acute angled triangle has all angles measuring less than 90 degrees and its properties.</v>
      </c>
      <c r="N229" s="29" t="str">
        <f t="shared" si="20"/>
        <v>LU000247.003</v>
      </c>
      <c r="O229" s="29" t="str">
        <f ca="1">IFERROR(__xludf.dummyfunction("VLOOKUP(N229, IMPORTRANGE(""https://docs.google.com/spreadsheets/d/1yDAaXNsi4Mr5FtRQL4tbmSdIzhx6_m4wkOD7IG-k_eo/edit#gid=0"", ""Maths!M:N""), 2, FALSE)"),"Given a set of angle measurements, identify whether a given triangle is an acute angled triangle or not.")</f>
        <v>Given a set of angle measurements, identify whether a given triangle is an acute angled triangle or not.</v>
      </c>
      <c r="P229" s="29" t="str">
        <f t="shared" si="21"/>
        <v>LU000247.004</v>
      </c>
      <c r="Q229" s="29" t="str">
        <f ca="1">IFERROR(__xludf.dummyfunction("VLOOKUP(P229, IMPORTRANGE(""https://docs.google.com/spreadsheets/d/1yDAaXNsi4Mr5FtRQL4tbmSdIzhx6_m4wkOD7IG-k_eo/edit#gid=0"", ""Maths!M:N""), 2, FALSE)"),"Analyse various triangles and differentiate between acute angled triangles and other types based on their angle measurements.")</f>
        <v>Analyse various triangles and differentiate between acute angled triangles and other types based on their angle measurements.</v>
      </c>
      <c r="R229" s="29" t="str">
        <f t="shared" si="22"/>
        <v>LU000247.005</v>
      </c>
      <c r="S229" s="29" t="str">
        <f ca="1">IFERROR(__xludf.dummyfunction("VLOOKUP(R229, IMPORTRANGE(""https://docs.google.com/spreadsheets/d/1yDAaXNsi4Mr5FtRQL4tbmSdIzhx6_m4wkOD7IG-k_eo/edit#gid=0"", ""Maths!M:N""), 2, FALSE)"),"Critique examples of triangles and determine if they meet the criteria for being acute angled triangles.")</f>
        <v>Critique examples of triangles and determine if they meet the criteria for being acute angled triangles.</v>
      </c>
      <c r="T229" s="29" t="str">
        <f t="shared" si="23"/>
        <v>LU000247.006</v>
      </c>
      <c r="U229" s="29" t="str">
        <f ca="1">IFERROR(__xludf.dummyfunction("VLOOKUP(T229, IMPORTRANGE(""https://docs.google.com/spreadsheets/d/1yDAaXNsi4Mr5FtRQL4tbmSdIzhx6_m4wkOD7IG-k_eo/edit#gid=0"", ""Maths!M:N""), 2, FALSE)"),"Design a visual representation or diagram that illustrates an acute angled triangle and its properties.")</f>
        <v>Design a visual representation or diagram that illustrates an acute angled triangle and its properties.</v>
      </c>
      <c r="V229" s="16">
        <f ca="1">IFERROR(__xludf.dummyfunction("ArrayFormula(VLOOKUP(G229, IMPORTRANGE(""https://docs.google.com/spreadsheets/d/1p7R4vtkWt5VOBim4ltsDG9KTzSjrtKXsMtQGXPHyND0/edit#gid=795171502"", ""'Filter 30_05_2024'!A1:M2000""), {2, 3, 4, 5,6,7,8,9,10,11,12,13}, 0))"),5)</f>
        <v>5</v>
      </c>
      <c r="W229" s="16">
        <f ca="1">IFERROR(__xludf.dummyfunction("""COMPUTED_VALUE"""),6)</f>
        <v>6</v>
      </c>
      <c r="X229" s="16">
        <f ca="1">IFERROR(__xludf.dummyfunction("""COMPUTED_VALUE"""),2)</f>
        <v>2</v>
      </c>
      <c r="Y229" s="16">
        <f ca="1">IFERROR(__xludf.dummyfunction("""COMPUTED_VALUE"""),13)</f>
        <v>13</v>
      </c>
      <c r="Z229" s="16">
        <f ca="1">IFERROR(__xludf.dummyfunction("""COMPUTED_VALUE"""),4)</f>
        <v>4</v>
      </c>
      <c r="AA229" s="30">
        <f ca="1">IFERROR(__xludf.dummyfunction("""COMPUTED_VALUE"""),3)</f>
        <v>3</v>
      </c>
      <c r="AB229" s="30">
        <f ca="1">IFERROR(__xludf.dummyfunction("""COMPUTED_VALUE"""),1)</f>
        <v>1</v>
      </c>
      <c r="AC229" s="30">
        <f ca="1">IFERROR(__xludf.dummyfunction("""COMPUTED_VALUE"""),8)</f>
        <v>8</v>
      </c>
      <c r="AD229" s="16"/>
      <c r="AE229" s="30"/>
      <c r="AF229" s="30"/>
      <c r="AG229" s="30"/>
    </row>
    <row r="230" spans="1:33" ht="26.4">
      <c r="A230" s="25"/>
      <c r="B230" s="26" t="s">
        <v>29</v>
      </c>
      <c r="C230" s="26" t="s">
        <v>310</v>
      </c>
      <c r="D230" s="26">
        <v>6</v>
      </c>
      <c r="E230" s="27" t="s">
        <v>618</v>
      </c>
      <c r="F230" s="28"/>
      <c r="G230" s="26" t="s">
        <v>647</v>
      </c>
      <c r="H230" s="28" t="str">
        <f ca="1">IFERROR(__xludf.dummyfunction("IFERROR(
  VLOOKUP(G230, IMPORTRANGE(""https://docs.google.com/spreadsheets/d/14deopnvwcrKtEGCKuYXdUHJbeLDZlkiSSWWT0g7x2pM/edit#gid=849066331"", ""LU List Maths (Filter)!A:B""), 2, FALSE),
  IFERROR(
    VLOOKUP(G230, IMPORTRANGE(""https://docs.google.com"&amp;"/spreadsheets/d/14deopnvwcrKtEGCKuYXdUHJbeLDZlkiSSWWT0g7x2pM/edit#gid=849066331"", ""LU List Science (Filter)!A:B""), 2, FALSE),
    ""Not Found""
  )
)
"),"Definition of an obtuse angled triangle")</f>
        <v>Definition of an obtuse angled triangle</v>
      </c>
      <c r="I230" s="28"/>
      <c r="J230" s="29" t="str">
        <f t="shared" si="18"/>
        <v>LU000261.001</v>
      </c>
      <c r="K230" s="29" t="str">
        <f ca="1">IFERROR(__xludf.dummyfunction("VLOOKUP(J230, IMPORTRANGE(""https://docs.google.com/spreadsheets/d/1yDAaXNsi4Mr5FtRQL4tbmSdIzhx6_m4wkOD7IG-k_eo/edit#gid=0"", ""Maths!M:N""), 2, FALSE)"),"Recall the definition of an obtuse angled triangle.")</f>
        <v>Recall the definition of an obtuse angled triangle.</v>
      </c>
      <c r="L230" s="29" t="str">
        <f t="shared" si="19"/>
        <v>LU000261.002</v>
      </c>
      <c r="M230" s="29" t="str">
        <f ca="1">IFERROR(__xludf.dummyfunction("VLOOKUP(L230, IMPORTRANGE(""https://docs.google.com/spreadsheets/d/1yDAaXNsi4Mr5FtRQL4tbmSdIzhx6_m4wkOD7IG-k_eo/edit#gid=0"", ""Maths!M:N""), 2, FALSE)"),"Describe why an obtuse angled triangle has one angle measuring more than 90 degrees and its properties.")</f>
        <v>Describe why an obtuse angled triangle has one angle measuring more than 90 degrees and its properties.</v>
      </c>
      <c r="N230" s="29" t="str">
        <f t="shared" si="20"/>
        <v>LU000261.003</v>
      </c>
      <c r="O230" s="29" t="str">
        <f ca="1">IFERROR(__xludf.dummyfunction("VLOOKUP(N230, IMPORTRANGE(""https://docs.google.com/spreadsheets/d/1yDAaXNsi4Mr5FtRQL4tbmSdIzhx6_m4wkOD7IG-k_eo/edit#gid=0"", ""Maths!M:N""), 2, FALSE)"),"Given a set of angle measurements, identify whether a given triangle is an obtuse angled triangle or not.")</f>
        <v>Given a set of angle measurements, identify whether a given triangle is an obtuse angled triangle or not.</v>
      </c>
      <c r="P230" s="29" t="str">
        <f t="shared" si="21"/>
        <v>LU000261.004</v>
      </c>
      <c r="Q230" s="29" t="str">
        <f ca="1">IFERROR(__xludf.dummyfunction("VLOOKUP(P230, IMPORTRANGE(""https://docs.google.com/spreadsheets/d/1yDAaXNsi4Mr5FtRQL4tbmSdIzhx6_m4wkOD7IG-k_eo/edit#gid=0"", ""Maths!M:N""), 2, FALSE)"),"Analyse various triangles and differentiate between obtuse angled triangles and other types based on their angle measurements.")</f>
        <v>Analyse various triangles and differentiate between obtuse angled triangles and other types based on their angle measurements.</v>
      </c>
      <c r="R230" s="29" t="str">
        <f t="shared" si="22"/>
        <v>LU000261.005</v>
      </c>
      <c r="S230" s="29" t="str">
        <f ca="1">IFERROR(__xludf.dummyfunction("VLOOKUP(R230, IMPORTRANGE(""https://docs.google.com/spreadsheets/d/1yDAaXNsi4Mr5FtRQL4tbmSdIzhx6_m4wkOD7IG-k_eo/edit#gid=0"", ""Maths!M:N""), 2, FALSE)"),"Critique examples of triangles and determine if they meet the criteria for being obtuse angled triangles.")</f>
        <v>Critique examples of triangles and determine if they meet the criteria for being obtuse angled triangles.</v>
      </c>
      <c r="T230" s="29" t="str">
        <f t="shared" si="23"/>
        <v>LU000261.006</v>
      </c>
      <c r="U230" s="29" t="str">
        <f ca="1">IFERROR(__xludf.dummyfunction("VLOOKUP(T230, IMPORTRANGE(""https://docs.google.com/spreadsheets/d/1yDAaXNsi4Mr5FtRQL4tbmSdIzhx6_m4wkOD7IG-k_eo/edit#gid=0"", ""Maths!M:N""), 2, FALSE)"),"Design a visual representation or diagram that illustrates an obtuse angled triangle and its properties.")</f>
        <v>Design a visual representation or diagram that illustrates an obtuse angled triangle and its properties.</v>
      </c>
      <c r="V230" s="16">
        <f ca="1">IFERROR(__xludf.dummyfunction("ArrayFormula(VLOOKUP(G230, IMPORTRANGE(""https://docs.google.com/spreadsheets/d/1p7R4vtkWt5VOBim4ltsDG9KTzSjrtKXsMtQGXPHyND0/edit#gid=795171502"", ""'Filter 30_05_2024'!A1:M2000""), {2, 3, 4, 5,6,7,8,9,10,11,12,13}, 0))"),5)</f>
        <v>5</v>
      </c>
      <c r="W230" s="16">
        <f ca="1">IFERROR(__xludf.dummyfunction("""COMPUTED_VALUE"""),6)</f>
        <v>6</v>
      </c>
      <c r="X230" s="16">
        <f ca="1">IFERROR(__xludf.dummyfunction("""COMPUTED_VALUE"""),2)</f>
        <v>2</v>
      </c>
      <c r="Y230" s="16">
        <f ca="1">IFERROR(__xludf.dummyfunction("""COMPUTED_VALUE"""),13)</f>
        <v>13</v>
      </c>
      <c r="Z230" s="16">
        <f ca="1">IFERROR(__xludf.dummyfunction("""COMPUTED_VALUE"""),4)</f>
        <v>4</v>
      </c>
      <c r="AA230" s="30">
        <f ca="1">IFERROR(__xludf.dummyfunction("""COMPUTED_VALUE"""),4)</f>
        <v>4</v>
      </c>
      <c r="AB230" s="30">
        <f ca="1">IFERROR(__xludf.dummyfunction("""COMPUTED_VALUE"""),1)</f>
        <v>1</v>
      </c>
      <c r="AC230" s="30">
        <f ca="1">IFERROR(__xludf.dummyfunction("""COMPUTED_VALUE"""),9)</f>
        <v>9</v>
      </c>
      <c r="AD230" s="16"/>
      <c r="AE230" s="30"/>
      <c r="AF230" s="30"/>
      <c r="AG230" s="30"/>
    </row>
    <row r="231" spans="1:33" ht="26.4">
      <c r="A231" s="25"/>
      <c r="B231" s="26" t="s">
        <v>29</v>
      </c>
      <c r="C231" s="26" t="s">
        <v>310</v>
      </c>
      <c r="D231" s="26">
        <v>6</v>
      </c>
      <c r="E231" s="27" t="s">
        <v>618</v>
      </c>
      <c r="F231" s="28"/>
      <c r="G231" s="26" t="s">
        <v>648</v>
      </c>
      <c r="H231" s="28" t="str">
        <f ca="1">IFERROR(__xludf.dummyfunction("IFERROR(
  VLOOKUP(G231, IMPORTRANGE(""https://docs.google.com/spreadsheets/d/14deopnvwcrKtEGCKuYXdUHJbeLDZlkiSSWWT0g7x2pM/edit#gid=849066331"", ""LU List Maths (Filter)!A:B""), 2, FALSE),
  IFERROR(
    VLOOKUP(G231, IMPORTRANGE(""https://docs.google.com"&amp;"/spreadsheets/d/14deopnvwcrKtEGCKuYXdUHJbeLDZlkiSSWWT0g7x2pM/edit#gid=849066331"", ""LU List Science (Filter)!A:B""), 2, FALSE),
    ""Not Found""
  )
)
"),"Definition of a right triangle")</f>
        <v>Definition of a right triangle</v>
      </c>
      <c r="I231" s="28"/>
      <c r="J231" s="29" t="str">
        <f t="shared" si="18"/>
        <v>LU000262.001</v>
      </c>
      <c r="K231" s="29" t="str">
        <f ca="1">IFERROR(__xludf.dummyfunction("VLOOKUP(J231, IMPORTRANGE(""https://docs.google.com/spreadsheets/d/1yDAaXNsi4Mr5FtRQL4tbmSdIzhx6_m4wkOD7IG-k_eo/edit#gid=0"", ""Maths!M:N""), 2, FALSE)"),"Recall the definition of a right angled triangle.")</f>
        <v>Recall the definition of a right angled triangle.</v>
      </c>
      <c r="L231" s="29" t="str">
        <f t="shared" si="19"/>
        <v>LU000262.002</v>
      </c>
      <c r="M231" s="29" t="str">
        <f ca="1">IFERROR(__xludf.dummyfunction("VLOOKUP(L231, IMPORTRANGE(""https://docs.google.com/spreadsheets/d/1yDAaXNsi4Mr5FtRQL4tbmSdIzhx6_m4wkOD7IG-k_eo/edit#gid=0"", ""Maths!M:N""), 2, FALSE)"),"Describe why a right angled triangle has one angle measuring 90 degrees and its implications for the triangle's sides.")</f>
        <v>Describe why a right angled triangle has one angle measuring 90 degrees and its implications for the triangle's sides.</v>
      </c>
      <c r="N231" s="29" t="str">
        <f t="shared" si="20"/>
        <v>LU000262.003</v>
      </c>
      <c r="O231" s="29" t="str">
        <f ca="1">IFERROR(__xludf.dummyfunction("VLOOKUP(N231, IMPORTRANGE(""https://docs.google.com/spreadsheets/d/1yDAaXNsi4Mr5FtRQL4tbmSdIzhx6_m4wkOD7IG-k_eo/edit#gid=0"", ""Maths!M:N""), 2, FALSE)"),"Given a set of angle measurements, identify whether a given triangle is a right angled triangle or not.")</f>
        <v>Given a set of angle measurements, identify whether a given triangle is a right angled triangle or not.</v>
      </c>
      <c r="P231" s="29" t="str">
        <f t="shared" si="21"/>
        <v>LU000262.004</v>
      </c>
      <c r="Q231" s="29" t="str">
        <f ca="1">IFERROR(__xludf.dummyfunction("VLOOKUP(P231, IMPORTRANGE(""https://docs.google.com/spreadsheets/d/1yDAaXNsi4Mr5FtRQL4tbmSdIzhx6_m4wkOD7IG-k_eo/edit#gid=0"", ""Maths!M:N""), 2, FALSE)"),"Analyse various triangles and differentiate between right angled triangles and other types based on their angle measurements.")</f>
        <v>Analyse various triangles and differentiate between right angled triangles and other types based on their angle measurements.</v>
      </c>
      <c r="R231" s="29" t="str">
        <f t="shared" si="22"/>
        <v>LU000262.005</v>
      </c>
      <c r="S231" s="29" t="str">
        <f ca="1">IFERROR(__xludf.dummyfunction("VLOOKUP(R231, IMPORTRANGE(""https://docs.google.com/spreadsheets/d/1yDAaXNsi4Mr5FtRQL4tbmSdIzhx6_m4wkOD7IG-k_eo/edit#gid=0"", ""Maths!M:N""), 2, FALSE)"),"Critique examples of triangles and determine if they meet the criteria for being right angled triangles.")</f>
        <v>Critique examples of triangles and determine if they meet the criteria for being right angled triangles.</v>
      </c>
      <c r="T231" s="29" t="str">
        <f t="shared" si="23"/>
        <v>LU000262.006</v>
      </c>
      <c r="U231" s="29" t="str">
        <f ca="1">IFERROR(__xludf.dummyfunction("VLOOKUP(T231, IMPORTRANGE(""https://docs.google.com/spreadsheets/d/1yDAaXNsi4Mr5FtRQL4tbmSdIzhx6_m4wkOD7IG-k_eo/edit#gid=0"", ""Maths!M:N""), 2, FALSE)"),"Design a visual representation or diagram that illustrates a right angled triangle and its properties.")</f>
        <v>Design a visual representation or diagram that illustrates a right angled triangle and its properties.</v>
      </c>
      <c r="V231" s="16">
        <f ca="1">IFERROR(__xludf.dummyfunction("ArrayFormula(VLOOKUP(G231, IMPORTRANGE(""https://docs.google.com/spreadsheets/d/1p7R4vtkWt5VOBim4ltsDG9KTzSjrtKXsMtQGXPHyND0/edit#gid=795171502"", ""'Filter 30_05_2024'!A1:M2000""), {2, 3, 4, 5,6,7,8,9,10,11,12,13}, 0))"),4)</f>
        <v>4</v>
      </c>
      <c r="W231" s="16">
        <f ca="1">IFERROR(__xludf.dummyfunction("""COMPUTED_VALUE"""),4)</f>
        <v>4</v>
      </c>
      <c r="X231" s="16">
        <f ca="1">IFERROR(__xludf.dummyfunction("""COMPUTED_VALUE"""),3)</f>
        <v>3</v>
      </c>
      <c r="Y231" s="16">
        <f ca="1">IFERROR(__xludf.dummyfunction("""COMPUTED_VALUE"""),11)</f>
        <v>11</v>
      </c>
      <c r="Z231" s="16">
        <f ca="1">IFERROR(__xludf.dummyfunction("""COMPUTED_VALUE"""),5)</f>
        <v>5</v>
      </c>
      <c r="AA231" s="30">
        <f ca="1">IFERROR(__xludf.dummyfunction("""COMPUTED_VALUE"""),4)</f>
        <v>4</v>
      </c>
      <c r="AB231" s="30">
        <f ca="1">IFERROR(__xludf.dummyfunction("""COMPUTED_VALUE"""),1)</f>
        <v>1</v>
      </c>
      <c r="AC231" s="30">
        <f ca="1">IFERROR(__xludf.dummyfunction("""COMPUTED_VALUE"""),10)</f>
        <v>10</v>
      </c>
      <c r="AD231" s="16"/>
      <c r="AE231" s="30"/>
      <c r="AF231" s="30"/>
      <c r="AG231" s="30"/>
    </row>
    <row r="232" spans="1:33" ht="26.4">
      <c r="A232" s="25"/>
      <c r="B232" s="26" t="s">
        <v>29</v>
      </c>
      <c r="C232" s="26" t="s">
        <v>310</v>
      </c>
      <c r="D232" s="26">
        <v>6</v>
      </c>
      <c r="E232" s="27" t="s">
        <v>618</v>
      </c>
      <c r="F232" s="28" t="s">
        <v>649</v>
      </c>
      <c r="G232" s="26" t="s">
        <v>650</v>
      </c>
      <c r="H232" s="28" t="str">
        <f ca="1">IFERROR(__xludf.dummyfunction("IFERROR(
  VLOOKUP(G232, IMPORTRANGE(""https://docs.google.com/spreadsheets/d/14deopnvwcrKtEGCKuYXdUHJbeLDZlkiSSWWT0g7x2pM/edit#gid=849066331"", ""LU List Maths (Filter)!A:B""), 2, FALSE),
  IFERROR(
    VLOOKUP(G232, IMPORTRANGE(""https://docs.google.com"&amp;"/spreadsheets/d/14deopnvwcrKtEGCKuYXdUHJbeLDZlkiSSWWT0g7x2pM/edit#gid=849066331"", ""LU List Science (Filter)!A:B""), 2, FALSE),
    ""Not Found""
  )
)
"),"Classification of isosceles triangle based on the measure of angles")</f>
        <v>Classification of isosceles triangle based on the measure of angles</v>
      </c>
      <c r="I232" s="28"/>
      <c r="J232" s="29" t="str">
        <f t="shared" si="18"/>
        <v>LU000923.001</v>
      </c>
      <c r="K232" s="29" t="str">
        <f ca="1">IFERROR(__xludf.dummyfunction("VLOOKUP(J232, IMPORTRANGE(""https://docs.google.com/spreadsheets/d/1yDAaXNsi4Mr5FtRQL4tbmSdIzhx6_m4wkOD7IG-k_eo/edit#gid=0"", ""Maths!M:N""), 2, FALSE)"),"State the classification of isosceles triangles based on the measure of their angles, specifically acute, obtuse, and right-angled isosceles triangles.")</f>
        <v>State the classification of isosceles triangles based on the measure of their angles, specifically acute, obtuse, and right-angled isosceles triangles.</v>
      </c>
      <c r="L232" s="29" t="str">
        <f t="shared" si="19"/>
        <v>LU000923.002</v>
      </c>
      <c r="M232" s="29" t="str">
        <f ca="1">IFERROR(__xludf.dummyfunction("VLOOKUP(L232, IMPORTRANGE(""https://docs.google.com/spreadsheets/d/1yDAaXNsi4Mr5FtRQL4tbmSdIzhx6_m4wkOD7IG-k_eo/edit#gid=0"", ""Maths!M:N""), 2, FALSE)"),"Describe the significance of classifying isosceles triangles based on the measures of their angles.")</f>
        <v>Describe the significance of classifying isosceles triangles based on the measures of their angles.</v>
      </c>
      <c r="N232" s="29" t="str">
        <f t="shared" si="20"/>
        <v>LU000923.003</v>
      </c>
      <c r="O232" s="29" t="str">
        <f ca="1">IFERROR(__xludf.dummyfunction("VLOOKUP(N232, IMPORTRANGE(""https://docs.google.com/spreadsheets/d/1yDAaXNsi4Mr5FtRQL4tbmSdIzhx6_m4wkOD7IG-k_eo/edit#gid=0"", ""Maths!M:N""), 2, FALSE)"),"Demonstrate the ability to determine whether a isosceles triangle is acute, obtuse, or right-angled based on angle measurements.")</f>
        <v>Demonstrate the ability to determine whether a isosceles triangle is acute, obtuse, or right-angled based on angle measurements.</v>
      </c>
      <c r="P232" s="29" t="str">
        <f t="shared" si="21"/>
        <v>LU000923.004</v>
      </c>
      <c r="Q232" s="29" t="str">
        <f ca="1">IFERROR(__xludf.dummyfunction("VLOOKUP(P232, IMPORTRANGE(""https://docs.google.com/spreadsheets/d/1yDAaXNsi4Mr5FtRQL4tbmSdIzhx6_m4wkOD7IG-k_eo/edit#gid=0"", ""Maths!M:N""), 2, FALSE)"),"Compare and contrast the characteristics of acute, obtuse, and right-angled isosceles triangles.")</f>
        <v>Compare and contrast the characteristics of acute, obtuse, and right-angled isosceles triangles.</v>
      </c>
      <c r="R232" s="29" t="str">
        <f t="shared" si="22"/>
        <v>LU000923.005</v>
      </c>
      <c r="S232" s="29" t="str">
        <f ca="1">IFERROR(__xludf.dummyfunction("VLOOKUP(R232, IMPORTRANGE(""https://docs.google.com/spreadsheets/d/1yDAaXNsi4Mr5FtRQL4tbmSdIzhx6_m4wkOD7IG-k_eo/edit#gid=0"", ""Maths!M:N""), 2, FALSE)"),"Assess the importance of understanding and applying isosceles triangle classifications in real-world contexts.")</f>
        <v>Assess the importance of understanding and applying isosceles triangle classifications in real-world contexts.</v>
      </c>
      <c r="T232" s="29" t="str">
        <f t="shared" si="23"/>
        <v>LU000923.006</v>
      </c>
      <c r="U232" s="29" t="str">
        <f ca="1">IFERROR(__xludf.dummyfunction("VLOOKUP(T232, IMPORTRANGE(""https://docs.google.com/spreadsheets/d/1yDAaXNsi4Mr5FtRQL4tbmSdIzhx6_m4wkOD7IG-k_eo/edit#gid=0"", ""Maths!M:N""), 2, FALSE)"),"Develop geometric scenarios or problems that require the classification of isosceles triangles to find solutions.")</f>
        <v>Develop geometric scenarios or problems that require the classification of isosceles triangles to find solutions.</v>
      </c>
      <c r="V232" s="16">
        <f ca="1">IFERROR(__xludf.dummyfunction("ArrayFormula(VLOOKUP(G232, IMPORTRANGE(""https://docs.google.com/spreadsheets/d/1p7R4vtkWt5VOBim4ltsDG9KTzSjrtKXsMtQGXPHyND0/edit#gid=795171502"", ""'Filter 30_05_2024'!A1:M2000""), {2, 3, 4, 5,6,7,8,9,10,11,12,13}, 0))"),4)</f>
        <v>4</v>
      </c>
      <c r="W232" s="16">
        <f ca="1">IFERROR(__xludf.dummyfunction("""COMPUTED_VALUE"""),6)</f>
        <v>6</v>
      </c>
      <c r="X232" s="16">
        <f ca="1">IFERROR(__xludf.dummyfunction("""COMPUTED_VALUE"""),2)</f>
        <v>2</v>
      </c>
      <c r="Y232" s="16">
        <f ca="1">IFERROR(__xludf.dummyfunction("""COMPUTED_VALUE"""),12)</f>
        <v>12</v>
      </c>
      <c r="Z232" s="16">
        <f ca="1">IFERROR(__xludf.dummyfunction("""COMPUTED_VALUE"""),4)</f>
        <v>4</v>
      </c>
      <c r="AA232" s="30">
        <f ca="1">IFERROR(__xludf.dummyfunction("""COMPUTED_VALUE"""),3)</f>
        <v>3</v>
      </c>
      <c r="AB232" s="30">
        <f ca="1">IFERROR(__xludf.dummyfunction("""COMPUTED_VALUE"""),1)</f>
        <v>1</v>
      </c>
      <c r="AC232" s="30">
        <f ca="1">IFERROR(__xludf.dummyfunction("""COMPUTED_VALUE"""),8)</f>
        <v>8</v>
      </c>
      <c r="AD232" s="16"/>
      <c r="AE232" s="30"/>
      <c r="AF232" s="30"/>
      <c r="AG232" s="30"/>
    </row>
    <row r="233" spans="1:33" ht="26.4">
      <c r="A233" s="25"/>
      <c r="B233" s="26" t="s">
        <v>29</v>
      </c>
      <c r="C233" s="26" t="s">
        <v>310</v>
      </c>
      <c r="D233" s="26">
        <v>6</v>
      </c>
      <c r="E233" s="27" t="s">
        <v>618</v>
      </c>
      <c r="F233" s="28"/>
      <c r="G233" s="26" t="s">
        <v>651</v>
      </c>
      <c r="H233" s="28" t="str">
        <f ca="1">IFERROR(__xludf.dummyfunction("IFERROR(
  VLOOKUP(G233, IMPORTRANGE(""https://docs.google.com/spreadsheets/d/14deopnvwcrKtEGCKuYXdUHJbeLDZlkiSSWWT0g7x2pM/edit#gid=849066331"", ""LU List Maths (Filter)!A:B""), 2, FALSE),
  IFERROR(
    VLOOKUP(G233, IMPORTRANGE(""https://docs.google.com"&amp;"/spreadsheets/d/14deopnvwcrKtEGCKuYXdUHJbeLDZlkiSSWWT0g7x2pM/edit#gid=849066331"", ""LU List Science (Filter)!A:B""), 2, FALSE),
    ""Not Found""
  )
)
"),"Classification of scalene triangle based on the measure of angles")</f>
        <v>Classification of scalene triangle based on the measure of angles</v>
      </c>
      <c r="I233" s="28"/>
      <c r="J233" s="29" t="str">
        <f t="shared" si="18"/>
        <v>LU000924.001</v>
      </c>
      <c r="K233" s="29" t="str">
        <f ca="1">IFERROR(__xludf.dummyfunction("VLOOKUP(J233, IMPORTRANGE(""https://docs.google.com/spreadsheets/d/1yDAaXNsi4Mr5FtRQL4tbmSdIzhx6_m4wkOD7IG-k_eo/edit#gid=0"", ""Maths!M:N""), 2, FALSE)"),"State the classification of scalene triangles based on the measure of their angles, specifically acute, obtuse, and right-angled scalene triangles.")</f>
        <v>State the classification of scalene triangles based on the measure of their angles, specifically acute, obtuse, and right-angled scalene triangles.</v>
      </c>
      <c r="L233" s="29" t="str">
        <f t="shared" si="19"/>
        <v>LU000924.002</v>
      </c>
      <c r="M233" s="29" t="str">
        <f ca="1">IFERROR(__xludf.dummyfunction("VLOOKUP(L233, IMPORTRANGE(""https://docs.google.com/spreadsheets/d/1yDAaXNsi4Mr5FtRQL4tbmSdIzhx6_m4wkOD7IG-k_eo/edit#gid=0"", ""Maths!M:N""), 2, FALSE)"),"Describe the significance of classifying scalene triangles based on the measures of their angles.")</f>
        <v>Describe the significance of classifying scalene triangles based on the measures of their angles.</v>
      </c>
      <c r="N233" s="29" t="str">
        <f t="shared" si="20"/>
        <v>LU000924.003</v>
      </c>
      <c r="O233" s="29" t="str">
        <f ca="1">IFERROR(__xludf.dummyfunction("VLOOKUP(N233, IMPORTRANGE(""https://docs.google.com/spreadsheets/d/1yDAaXNsi4Mr5FtRQL4tbmSdIzhx6_m4wkOD7IG-k_eo/edit#gid=0"", ""Maths!M:N""), 2, FALSE)"),"Demonstrate the ability to determine whether a scalene triangle is acute, obtuse, or right-angled based on angle measurements.")</f>
        <v>Demonstrate the ability to determine whether a scalene triangle is acute, obtuse, or right-angled based on angle measurements.</v>
      </c>
      <c r="P233" s="29" t="str">
        <f t="shared" si="21"/>
        <v>LU000924.004</v>
      </c>
      <c r="Q233" s="29" t="str">
        <f ca="1">IFERROR(__xludf.dummyfunction("VLOOKUP(P233, IMPORTRANGE(""https://docs.google.com/spreadsheets/d/1yDAaXNsi4Mr5FtRQL4tbmSdIzhx6_m4wkOD7IG-k_eo/edit#gid=0"", ""Maths!M:N""), 2, FALSE)"),"Compare and contrast the characteristics of acute, obtuse, and right-angled scalene triangles.")</f>
        <v>Compare and contrast the characteristics of acute, obtuse, and right-angled scalene triangles.</v>
      </c>
      <c r="R233" s="29" t="str">
        <f t="shared" si="22"/>
        <v>LU000924.005</v>
      </c>
      <c r="S233" s="29" t="str">
        <f ca="1">IFERROR(__xludf.dummyfunction("VLOOKUP(R233, IMPORTRANGE(""https://docs.google.com/spreadsheets/d/1yDAaXNsi4Mr5FtRQL4tbmSdIzhx6_m4wkOD7IG-k_eo/edit#gid=0"", ""Maths!M:N""), 2, FALSE)"),"Assess the importance of understanding and applying scalene triangle classifications in real-world contexts.")</f>
        <v>Assess the importance of understanding and applying scalene triangle classifications in real-world contexts.</v>
      </c>
      <c r="T233" s="29" t="str">
        <f t="shared" si="23"/>
        <v>LU000924.006</v>
      </c>
      <c r="U233" s="29" t="str">
        <f ca="1">IFERROR(__xludf.dummyfunction("VLOOKUP(T233, IMPORTRANGE(""https://docs.google.com/spreadsheets/d/1yDAaXNsi4Mr5FtRQL4tbmSdIzhx6_m4wkOD7IG-k_eo/edit#gid=0"", ""Maths!M:N""), 2, FALSE)"),"Develop geometric scenarios or problems that require the classification of scalene triangles to find solutions.")</f>
        <v>Develop geometric scenarios or problems that require the classification of scalene triangles to find solutions.</v>
      </c>
      <c r="V233" s="16">
        <f ca="1">IFERROR(__xludf.dummyfunction("ArrayFormula(VLOOKUP(G233, IMPORTRANGE(""https://docs.google.com/spreadsheets/d/1p7R4vtkWt5VOBim4ltsDG9KTzSjrtKXsMtQGXPHyND0/edit#gid=795171502"", ""'Filter 30_05_2024'!A1:M2000""), {2, 3, 4, 5,6,7,8,9,10,11,12,13}, 0))"),4)</f>
        <v>4</v>
      </c>
      <c r="W233" s="16">
        <f ca="1">IFERROR(__xludf.dummyfunction("""COMPUTED_VALUE"""),6)</f>
        <v>6</v>
      </c>
      <c r="X233" s="16">
        <f ca="1">IFERROR(__xludf.dummyfunction("""COMPUTED_VALUE"""),2)</f>
        <v>2</v>
      </c>
      <c r="Y233" s="16">
        <f ca="1">IFERROR(__xludf.dummyfunction("""COMPUTED_VALUE"""),12)</f>
        <v>12</v>
      </c>
      <c r="Z233" s="16">
        <f ca="1">IFERROR(__xludf.dummyfunction("""COMPUTED_VALUE"""),4)</f>
        <v>4</v>
      </c>
      <c r="AA233" s="30">
        <f ca="1">IFERROR(__xludf.dummyfunction("""COMPUTED_VALUE"""),3)</f>
        <v>3</v>
      </c>
      <c r="AB233" s="30">
        <f ca="1">IFERROR(__xludf.dummyfunction("""COMPUTED_VALUE"""),1)</f>
        <v>1</v>
      </c>
      <c r="AC233" s="30">
        <f ca="1">IFERROR(__xludf.dummyfunction("""COMPUTED_VALUE"""),8)</f>
        <v>8</v>
      </c>
      <c r="AD233" s="16"/>
      <c r="AE233" s="30"/>
      <c r="AF233" s="30"/>
      <c r="AG233" s="30"/>
    </row>
    <row r="234" spans="1:33" ht="26.4">
      <c r="A234" s="25"/>
      <c r="B234" s="26" t="s">
        <v>29</v>
      </c>
      <c r="C234" s="26" t="s">
        <v>310</v>
      </c>
      <c r="D234" s="26">
        <v>6</v>
      </c>
      <c r="E234" s="27" t="s">
        <v>618</v>
      </c>
      <c r="F234" s="28" t="s">
        <v>652</v>
      </c>
      <c r="G234" s="26" t="s">
        <v>653</v>
      </c>
      <c r="H234" s="28" t="str">
        <f ca="1">IFERROR(__xludf.dummyfunction("IFERROR(
  VLOOKUP(G234, IMPORTRANGE(""https://docs.google.com/spreadsheets/d/14deopnvwcrKtEGCKuYXdUHJbeLDZlkiSSWWT0g7x2pM/edit#gid=849066331"", ""LU List Maths (Filter)!A:B""), 2, FALSE),
  IFERROR(
    VLOOKUP(G234, IMPORTRANGE(""https://docs.google.com"&amp;"/spreadsheets/d/14deopnvwcrKtEGCKuYXdUHJbeLDZlkiSSWWT0g7x2pM/edit#gid=849066331"", ""LU List Science (Filter)!A:B""), 2, FALSE),
    ""Not Found""
  )
)
"),"Altitudes of a triangle")</f>
        <v>Altitudes of a triangle</v>
      </c>
      <c r="I234" s="28"/>
      <c r="J234" s="29" t="str">
        <f t="shared" si="18"/>
        <v>LU000424.001</v>
      </c>
      <c r="K234" s="29" t="str">
        <f ca="1">IFERROR(__xludf.dummyfunction("VLOOKUP(J234, IMPORTRANGE(""https://docs.google.com/spreadsheets/d/1yDAaXNsi4Mr5FtRQL4tbmSdIzhx6_m4wkOD7IG-k_eo/edit#gid=0"", ""Maths!M:N""), 2, FALSE)"),"Define altitude of a triangle.")</f>
        <v>Define altitude of a triangle.</v>
      </c>
      <c r="L234" s="29" t="str">
        <f t="shared" si="19"/>
        <v>LU000424.002</v>
      </c>
      <c r="M234" s="29" t="str">
        <f ca="1">IFERROR(__xludf.dummyfunction("VLOOKUP(L234, IMPORTRANGE(""https://docs.google.com/spreadsheets/d/1yDAaXNsi4Mr5FtRQL4tbmSdIzhx6_m4wkOD7IG-k_eo/edit#gid=0"", ""Maths!M:N""), 2, FALSE)"),"Identify and name all the altitudes for the given triangle.")</f>
        <v>Identify and name all the altitudes for the given triangle.</v>
      </c>
      <c r="N234" s="29" t="str">
        <f t="shared" si="20"/>
        <v>LU000424.003</v>
      </c>
      <c r="O234" s="29" t="str">
        <f ca="1">IFERROR(__xludf.dummyfunction("VLOOKUP(N234, IMPORTRANGE(""https://docs.google.com/spreadsheets/d/1yDAaXNsi4Mr5FtRQL4tbmSdIzhx6_m4wkOD7IG-k_eo/edit#gid=0"", ""Maths!M:N""), 2, FALSE)"),"Apply the concept of altitudes to draw altitudes from different vertices of a triangle.")</f>
        <v>Apply the concept of altitudes to draw altitudes from different vertices of a triangle.</v>
      </c>
      <c r="P234" s="29" t="str">
        <f t="shared" si="21"/>
        <v>LU000424.004</v>
      </c>
      <c r="Q234" s="29" t="str">
        <f ca="1">IFERROR(__xludf.dummyfunction("VLOOKUP(P234, IMPORTRANGE(""https://docs.google.com/spreadsheets/d/1yDAaXNsi4Mr5FtRQL4tbmSdIzhx6_m4wkOD7IG-k_eo/edit#gid=0"", ""Maths!M:N""), 2, FALSE)"),"Assess the validity of a statement about the position of an altitude within a triangle.")</f>
        <v>Assess the validity of a statement about the position of an altitude within a triangle.</v>
      </c>
      <c r="R234" s="29" t="str">
        <f t="shared" si="22"/>
        <v>LU000424.005</v>
      </c>
      <c r="S234" s="29" t="str">
        <f ca="1">IFERROR(__xludf.dummyfunction("VLOOKUP(R234, IMPORTRANGE(""https://docs.google.com/spreadsheets/d/1yDAaXNsi4Mr5FtRQL4tbmSdIzhx6_m4wkOD7IG-k_eo/edit#gid=0"", ""Maths!M:N""), 2, FALSE)"),"Evaluate the possibility of an altitude lies within the interior or exterior of a triangle.")</f>
        <v>Evaluate the possibility of an altitude lies within the interior or exterior of a triangle.</v>
      </c>
      <c r="T234" s="29" t="str">
        <f t="shared" si="23"/>
        <v>LU000424.006</v>
      </c>
      <c r="U234" s="29" t="str">
        <f ca="1">IFERROR(__xludf.dummyfunction("VLOOKUP(T234, IMPORTRANGE(""https://docs.google.com/spreadsheets/d/1yDAaXNsi4Mr5FtRQL4tbmSdIzhx6_m4wkOD7IG-k_eo/edit#gid=0"", ""Maths!M:N""), 2, FALSE)"),"Create a visual representation of a triangle with two altitudes as two of its sides.")</f>
        <v>Create a visual representation of a triangle with two altitudes as two of its sides.</v>
      </c>
      <c r="V234" s="16">
        <f ca="1">IFERROR(__xludf.dummyfunction("ArrayFormula(VLOOKUP(G234, IMPORTRANGE(""https://docs.google.com/spreadsheets/d/1p7R4vtkWt5VOBim4ltsDG9KTzSjrtKXsMtQGXPHyND0/edit#gid=795171502"", ""'Filter 30_05_2024'!A1:M2000""), {2, 3, 4, 5,6,7,8,9,10,11,12,13}, 0))"),15)</f>
        <v>15</v>
      </c>
      <c r="W234" s="16">
        <f ca="1">IFERROR(__xludf.dummyfunction("""COMPUTED_VALUE"""),6)</f>
        <v>6</v>
      </c>
      <c r="X234" s="16">
        <f ca="1">IFERROR(__xludf.dummyfunction("""COMPUTED_VALUE"""),2)</f>
        <v>2</v>
      </c>
      <c r="Y234" s="16">
        <f ca="1">IFERROR(__xludf.dummyfunction("""COMPUTED_VALUE"""),23)</f>
        <v>23</v>
      </c>
      <c r="Z234" s="16">
        <f ca="1">IFERROR(__xludf.dummyfunction("""COMPUTED_VALUE"""),6)</f>
        <v>6</v>
      </c>
      <c r="AA234" s="30">
        <f ca="1">IFERROR(__xludf.dummyfunction("""COMPUTED_VALUE"""),3)</f>
        <v>3</v>
      </c>
      <c r="AB234" s="30">
        <f ca="1">IFERROR(__xludf.dummyfunction("""COMPUTED_VALUE"""),1)</f>
        <v>1</v>
      </c>
      <c r="AC234" s="30">
        <f ca="1">IFERROR(__xludf.dummyfunction("""COMPUTED_VALUE"""),10)</f>
        <v>10</v>
      </c>
      <c r="AD234" s="16"/>
      <c r="AE234" s="30"/>
      <c r="AF234" s="30"/>
      <c r="AG234" s="30"/>
    </row>
    <row r="235" spans="1:33" ht="26.4">
      <c r="A235" s="25"/>
      <c r="B235" s="26" t="s">
        <v>29</v>
      </c>
      <c r="C235" s="26" t="s">
        <v>310</v>
      </c>
      <c r="D235" s="26">
        <v>6</v>
      </c>
      <c r="E235" s="27" t="s">
        <v>618</v>
      </c>
      <c r="F235" s="28"/>
      <c r="G235" s="26" t="s">
        <v>654</v>
      </c>
      <c r="H235" s="28" t="str">
        <f ca="1">IFERROR(__xludf.dummyfunction("IFERROR(
  VLOOKUP(G235, IMPORTRANGE(""https://docs.google.com/spreadsheets/d/14deopnvwcrKtEGCKuYXdUHJbeLDZlkiSSWWT0g7x2pM/edit#gid=849066331"", ""LU List Maths (Filter)!A:B""), 2, FALSE),
  IFERROR(
    VLOOKUP(G235, IMPORTRANGE(""https://docs.google.com"&amp;"/spreadsheets/d/14deopnvwcrKtEGCKuYXdUHJbeLDZlkiSSWWT0g7x2pM/edit#gid=849066331"", ""LU List Science (Filter)!A:B""), 2, FALSE),
    ""Not Found""
  )
)
"),"Medians of a triangle")</f>
        <v>Medians of a triangle</v>
      </c>
      <c r="I235" s="28"/>
      <c r="J235" s="29" t="str">
        <f t="shared" si="18"/>
        <v>LU000423.001</v>
      </c>
      <c r="K235" s="29" t="str">
        <f ca="1">IFERROR(__xludf.dummyfunction("VLOOKUP(J235, IMPORTRANGE(""https://docs.google.com/spreadsheets/d/1yDAaXNsi4Mr5FtRQL4tbmSdIzhx6_m4wkOD7IG-k_eo/edit#gid=0"", ""Maths!M:N""), 2, FALSE)"),"Define median of a triangle.")</f>
        <v>Define median of a triangle.</v>
      </c>
      <c r="L235" s="29" t="str">
        <f t="shared" si="19"/>
        <v>LU000423.002</v>
      </c>
      <c r="M235" s="29" t="str">
        <f ca="1">IFERROR(__xludf.dummyfunction("VLOOKUP(L235, IMPORTRANGE(""https://docs.google.com/spreadsheets/d/1yDAaXNsi4Mr5FtRQL4tbmSdIzhx6_m4wkOD7IG-k_eo/edit#gid=0"", ""Maths!M:N""), 2, FALSE)"),"Explain the concept of medians in a triangle and their connection to midpoints.")</f>
        <v>Explain the concept of medians in a triangle and their connection to midpoints.</v>
      </c>
      <c r="N235" s="29" t="str">
        <f t="shared" si="20"/>
        <v>LU000423.003</v>
      </c>
      <c r="O235" s="29" t="str">
        <f ca="1">IFERROR(__xludf.dummyfunction("VLOOKUP(N235, IMPORTRANGE(""https://docs.google.com/spreadsheets/d/1yDAaXNsi4Mr5FtRQL4tbmSdIzhx6_m4wkOD7IG-k_eo/edit#gid=0"", ""Maths!M:N""), 2, FALSE)"),"Identify and name all the medians for the given triangle.")</f>
        <v>Identify and name all the medians for the given triangle.</v>
      </c>
      <c r="P235" s="29" t="str">
        <f t="shared" si="21"/>
        <v>LU000423.004</v>
      </c>
      <c r="Q235" s="29" t="str">
        <f ca="1">IFERROR(__xludf.dummyfunction("VLOOKUP(P235, IMPORTRANGE(""https://docs.google.com/spreadsheets/d/1yDAaXNsi4Mr5FtRQL4tbmSdIzhx6_m4wkOD7IG-k_eo/edit#gid=0"", ""Maths!M:N""), 2, FALSE)"),"Analyze the relationship between medians and triangle sides, and determine the number of medians.")</f>
        <v>Analyze the relationship between medians and triangle sides, and determine the number of medians.</v>
      </c>
      <c r="R235" s="29" t="str">
        <f t="shared" si="22"/>
        <v>LU000423.005</v>
      </c>
      <c r="S235" s="29" t="str">
        <f ca="1">IFERROR(__xludf.dummyfunction("VLOOKUP(R235, IMPORTRANGE(""https://docs.google.com/spreadsheets/d/1yDAaXNsi4Mr5FtRQL4tbmSdIzhx6_m4wkOD7IG-k_eo/edit#gid=0"", ""Maths!M:N""), 2, FALSE)"),"Assess the validity of statements about medians and their position in a triangle.")</f>
        <v>Assess the validity of statements about medians and their position in a triangle.</v>
      </c>
      <c r="T235" s="29" t="str">
        <f t="shared" si="23"/>
        <v>LU000423.006</v>
      </c>
      <c r="U235" s="29" t="str">
        <f ca="1">IFERROR(__xludf.dummyfunction("VLOOKUP(T235, IMPORTRANGE(""https://docs.google.com/spreadsheets/d/1yDAaXNsi4Mr5FtRQL4tbmSdIzhx6_m4wkOD7IG-k_eo/edit#gid=0"", ""Maths!M:N""), 2, FALSE)"),"Design a triangle and its medians, showcasing their properties and relationships visually.")</f>
        <v>Design a triangle and its medians, showcasing their properties and relationships visually.</v>
      </c>
      <c r="V235" s="16">
        <f ca="1">IFERROR(__xludf.dummyfunction("ArrayFormula(VLOOKUP(G235, IMPORTRANGE(""https://docs.google.com/spreadsheets/d/1p7R4vtkWt5VOBim4ltsDG9KTzSjrtKXsMtQGXPHyND0/edit#gid=795171502"", ""'Filter 30_05_2024'!A1:M2000""), {2, 3, 4, 5,6,7,8,9,10,11,12,13}, 0))"),4)</f>
        <v>4</v>
      </c>
      <c r="W235" s="16">
        <f ca="1">IFERROR(__xludf.dummyfunction("""COMPUTED_VALUE"""),10)</f>
        <v>10</v>
      </c>
      <c r="X235" s="16">
        <f ca="1">IFERROR(__xludf.dummyfunction("""COMPUTED_VALUE"""),2)</f>
        <v>2</v>
      </c>
      <c r="Y235" s="16">
        <f ca="1">IFERROR(__xludf.dummyfunction("""COMPUTED_VALUE"""),16)</f>
        <v>16</v>
      </c>
      <c r="Z235" s="16">
        <f ca="1">IFERROR(__xludf.dummyfunction("""COMPUTED_VALUE"""),4)</f>
        <v>4</v>
      </c>
      <c r="AA235" s="30">
        <f ca="1">IFERROR(__xludf.dummyfunction("""COMPUTED_VALUE"""),3)</f>
        <v>3</v>
      </c>
      <c r="AB235" s="30">
        <f ca="1">IFERROR(__xludf.dummyfunction("""COMPUTED_VALUE"""),1)</f>
        <v>1</v>
      </c>
      <c r="AC235" s="30">
        <f ca="1">IFERROR(__xludf.dummyfunction("""COMPUTED_VALUE"""),8)</f>
        <v>8</v>
      </c>
      <c r="AD235" s="16"/>
      <c r="AE235" s="30"/>
      <c r="AF235" s="30"/>
      <c r="AG235" s="30"/>
    </row>
    <row r="236" spans="1:33" ht="26.4">
      <c r="A236" s="25"/>
      <c r="B236" s="26" t="s">
        <v>29</v>
      </c>
      <c r="C236" s="26" t="s">
        <v>310</v>
      </c>
      <c r="D236" s="26">
        <v>6</v>
      </c>
      <c r="E236" s="27" t="s">
        <v>618</v>
      </c>
      <c r="F236" s="28" t="s">
        <v>655</v>
      </c>
      <c r="G236" s="26" t="s">
        <v>656</v>
      </c>
      <c r="H236" s="28" t="str">
        <f ca="1">IFERROR(__xludf.dummyfunction("IFERROR(
  VLOOKUP(G236, IMPORTRANGE(""https://docs.google.com/spreadsheets/d/14deopnvwcrKtEGCKuYXdUHJbeLDZlkiSSWWT0g7x2pM/edit#gid=849066331"", ""LU List Maths (Filter)!A:B""), 2, FALSE),
  IFERROR(
    VLOOKUP(G236, IMPORTRANGE(""https://docs.google.com"&amp;"/spreadsheets/d/14deopnvwcrKtEGCKuYXdUHJbeLDZlkiSSWWT0g7x2pM/edit#gid=849066331"", ""LU List Science (Filter)!A:B""), 2, FALSE),
    ""Not Found""
  )
)
"),"Definition of trapezium")</f>
        <v>Definition of trapezium</v>
      </c>
      <c r="I236" s="28" t="s">
        <v>657</v>
      </c>
      <c r="J236" s="29" t="str">
        <f t="shared" si="18"/>
        <v>LU000593.001</v>
      </c>
      <c r="K236" s="29" t="str">
        <f ca="1">IFERROR(__xludf.dummyfunction("VLOOKUP(J236, IMPORTRANGE(""https://docs.google.com/spreadsheets/d/1yDAaXNsi4Mr5FtRQL4tbmSdIzhx6_m4wkOD7IG-k_eo/edit#gid=0"", ""Maths!M:N""), 2, FALSE)"),"List the characteristics that define a geometric shape as a trapezium.")</f>
        <v>List the characteristics that define a geometric shape as a trapezium.</v>
      </c>
      <c r="L236" s="29" t="str">
        <f t="shared" si="19"/>
        <v>LU000593.002</v>
      </c>
      <c r="M236" s="29" t="str">
        <f ca="1">IFERROR(__xludf.dummyfunction("VLOOKUP(L236, IMPORTRANGE(""https://docs.google.com/spreadsheets/d/1yDAaXNsi4Mr5FtRQL4tbmSdIzhx6_m4wkOD7IG-k_eo/edit#gid=0"", ""Maths!M:N""), 2, FALSE)"),"Explain the properties that distinguish a trapezium from other quadrilaterals.")</f>
        <v>Explain the properties that distinguish a trapezium from other quadrilaterals.</v>
      </c>
      <c r="N236" s="29" t="str">
        <f t="shared" si="20"/>
        <v>LU000593.003</v>
      </c>
      <c r="O236" s="29" t="str">
        <f ca="1">IFERROR(__xludf.dummyfunction("VLOOKUP(N236, IMPORTRANGE(""https://docs.google.com/spreadsheets/d/1yDAaXNsi4Mr5FtRQL4tbmSdIzhx6_m4wkOD7IG-k_eo/edit#gid=0"", ""Maths!M:N""), 2, FALSE)"),"Apply the trapezium definition to classify shapes as trapeziums or non-trapeziums.")</f>
        <v>Apply the trapezium definition to classify shapes as trapeziums or non-trapeziums.</v>
      </c>
      <c r="P236" s="29" t="str">
        <f t="shared" si="21"/>
        <v>LU000593.004</v>
      </c>
      <c r="Q236" s="29" t="str">
        <f ca="1">IFERROR(__xludf.dummyfunction("VLOOKUP(P236, IMPORTRANGE(""https://docs.google.com/spreadsheets/d/1yDAaXNsi4Mr5FtRQL4tbmSdIzhx6_m4wkOD7IG-k_eo/edit#gid=0"", ""Maths!M:N""), 2, FALSE)"),"Analyse the properties of a trapezium and compare them with other quadrilaterals.")</f>
        <v>Analyse the properties of a trapezium and compare them with other quadrilaterals.</v>
      </c>
      <c r="R236" s="29" t="str">
        <f t="shared" si="22"/>
        <v>LU000593.005</v>
      </c>
      <c r="S236" s="29" t="str">
        <f ca="1">IFERROR(__xludf.dummyfunction("VLOOKUP(R236, IMPORTRANGE(""https://docs.google.com/spreadsheets/d/1yDAaXNsi4Mr5FtRQL4tbmSdIzhx6_m4wkOD7IG-k_eo/edit#gid=0"", ""Maths!M:N""), 2, FALSE)"),"Determine the accuracy of the statement and justify whether rectangles/squares/parallelograms/rhombus can be classified as trapeziums.")</f>
        <v>Determine the accuracy of the statement and justify whether rectangles/squares/parallelograms/rhombus can be classified as trapeziums.</v>
      </c>
      <c r="T236" s="29" t="str">
        <f t="shared" si="23"/>
        <v>LU000593.006</v>
      </c>
      <c r="U236" s="29" t="str">
        <f ca="1">IFERROR(__xludf.dummyfunction("VLOOKUP(T236, IMPORTRANGE(""https://docs.google.com/spreadsheets/d/1yDAaXNsi4Mr5FtRQL4tbmSdIzhx6_m4wkOD7IG-k_eo/edit#gid=0"", ""Maths!M:N""), 2, FALSE)"),"Create a visual representation comparing a trapezium and an isosceles trapezium.")</f>
        <v>Create a visual representation comparing a trapezium and an isosceles trapezium.</v>
      </c>
      <c r="V236" s="16">
        <f ca="1">IFERROR(__xludf.dummyfunction("ArrayFormula(VLOOKUP(G236, IMPORTRANGE(""https://docs.google.com/spreadsheets/d/1p7R4vtkWt5VOBim4ltsDG9KTzSjrtKXsMtQGXPHyND0/edit#gid=795171502"", ""'Filter 30_05_2024'!A1:M2000""), {2, 3, 4, 5,6,7,8,9,10,11,12,13}, 0))"),5)</f>
        <v>5</v>
      </c>
      <c r="W236" s="16">
        <f ca="1">IFERROR(__xludf.dummyfunction("""COMPUTED_VALUE"""),8)</f>
        <v>8</v>
      </c>
      <c r="X236" s="16">
        <f ca="1">IFERROR(__xludf.dummyfunction("""COMPUTED_VALUE"""),2)</f>
        <v>2</v>
      </c>
      <c r="Y236" s="16">
        <f ca="1">IFERROR(__xludf.dummyfunction("""COMPUTED_VALUE"""),15)</f>
        <v>15</v>
      </c>
      <c r="Z236" s="16">
        <f ca="1">IFERROR(__xludf.dummyfunction("""COMPUTED_VALUE"""),5)</f>
        <v>5</v>
      </c>
      <c r="AA236" s="30">
        <f ca="1">IFERROR(__xludf.dummyfunction("""COMPUTED_VALUE"""),4)</f>
        <v>4</v>
      </c>
      <c r="AB236" s="30">
        <f ca="1">IFERROR(__xludf.dummyfunction("""COMPUTED_VALUE"""),1)</f>
        <v>1</v>
      </c>
      <c r="AC236" s="30">
        <f ca="1">IFERROR(__xludf.dummyfunction("""COMPUTED_VALUE"""),10)</f>
        <v>10</v>
      </c>
      <c r="AD236" s="16"/>
      <c r="AE236" s="30"/>
      <c r="AF236" s="30"/>
      <c r="AG236" s="30"/>
    </row>
    <row r="237" spans="1:33" ht="26.4">
      <c r="A237" s="25"/>
      <c r="B237" s="26" t="s">
        <v>29</v>
      </c>
      <c r="C237" s="26" t="s">
        <v>310</v>
      </c>
      <c r="D237" s="26">
        <v>6</v>
      </c>
      <c r="E237" s="27" t="s">
        <v>618</v>
      </c>
      <c r="F237" s="28"/>
      <c r="G237" s="26" t="s">
        <v>658</v>
      </c>
      <c r="H237" s="28" t="str">
        <f ca="1">IFERROR(__xludf.dummyfunction("IFERROR(
  VLOOKUP(G237, IMPORTRANGE(""https://docs.google.com/spreadsheets/d/14deopnvwcrKtEGCKuYXdUHJbeLDZlkiSSWWT0g7x2pM/edit#gid=849066331"", ""LU List Maths (Filter)!A:B""), 2, FALSE),
  IFERROR(
    VLOOKUP(G237, IMPORTRANGE(""https://docs.google.com"&amp;"/spreadsheets/d/14deopnvwcrKtEGCKuYXdUHJbeLDZlkiSSWWT0g7x2pM/edit#gid=849066331"", ""LU List Science (Filter)!A:B""), 2, FALSE),
    ""Not Found""
  )
)
"),"Definition of parallelogram")</f>
        <v>Definition of parallelogram</v>
      </c>
      <c r="I237" s="28"/>
      <c r="J237" s="29" t="str">
        <f t="shared" si="18"/>
        <v>LU000595.001</v>
      </c>
      <c r="K237" s="29" t="str">
        <f ca="1">IFERROR(__xludf.dummyfunction("VLOOKUP(J237, IMPORTRANGE(""https://docs.google.com/spreadsheets/d/1yDAaXNsi4Mr5FtRQL4tbmSdIzhx6_m4wkOD7IG-k_eo/edit#gid=0"", ""Maths!M:N""), 2, FALSE)"),"State definition of a parallelogram and identify its elements like base and height.")</f>
        <v>State definition of a parallelogram and identify its elements like base and height.</v>
      </c>
      <c r="L237" s="29" t="str">
        <f t="shared" si="19"/>
        <v>LU000595.002</v>
      </c>
      <c r="M237" s="29" t="str">
        <f ca="1">IFERROR(__xludf.dummyfunction("VLOOKUP(L237, IMPORTRANGE(""https://docs.google.com/spreadsheets/d/1yDAaXNsi4Mr5FtRQL4tbmSdIzhx6_m4wkOD7IG-k_eo/edit#gid=0"", ""Maths!M:N""), 2, FALSE)"),"Explain the properties that distinguish a parallelogram from other quadrilaterals.")</f>
        <v>Explain the properties that distinguish a parallelogram from other quadrilaterals.</v>
      </c>
      <c r="N237" s="29" t="str">
        <f t="shared" si="20"/>
        <v>LU000595.003</v>
      </c>
      <c r="O237" s="29" t="str">
        <f ca="1">IFERROR(__xludf.dummyfunction("VLOOKUP(N237, IMPORTRANGE(""https://docs.google.com/spreadsheets/d/1yDAaXNsi4Mr5FtRQL4tbmSdIzhx6_m4wkOD7IG-k_eo/edit#gid=0"", ""Maths!M:N""), 2, FALSE)"),"Apply the definition of a parallelogram to identify parallelograms in given shapes.")</f>
        <v>Apply the definition of a parallelogram to identify parallelograms in given shapes.</v>
      </c>
      <c r="P237" s="29" t="str">
        <f t="shared" si="21"/>
        <v>LU000595.004</v>
      </c>
      <c r="Q237" s="29" t="str">
        <f ca="1">IFERROR(__xludf.dummyfunction("VLOOKUP(P237, IMPORTRANGE(""https://docs.google.com/spreadsheets/d/1yDAaXNsi4Mr5FtRQL4tbmSdIzhx6_m4wkOD7IG-k_eo/edit#gid=0"", ""Maths!M:N""), 2, FALSE)"),"Compare the characteristics of a parallelogram with those of other quadrilaterals to understand their distinctions.")</f>
        <v>Compare the characteristics of a parallelogram with those of other quadrilaterals to understand their distinctions.</v>
      </c>
      <c r="R237" s="29" t="str">
        <f t="shared" si="22"/>
        <v>LU000595.005</v>
      </c>
      <c r="S237" s="29" t="str">
        <f ca="1">IFERROR(__xludf.dummyfunction("VLOOKUP(R237, IMPORTRANGE(""https://docs.google.com/spreadsheets/d/1yDAaXNsi4Mr5FtRQL4tbmSdIzhx6_m4wkOD7IG-k_eo/edit#gid=0"", ""Maths!M:N""), 2, FALSE)"),"Evaluate whether a given shape is a parallelogram based on side relationships.")</f>
        <v>Evaluate whether a given shape is a parallelogram based on side relationships.</v>
      </c>
      <c r="T237" s="29" t="str">
        <f t="shared" si="23"/>
        <v>LU000595.006</v>
      </c>
      <c r="U237" s="29" t="str">
        <f ca="1">IFERROR(__xludf.dummyfunction("VLOOKUP(T237, IMPORTRANGE(""https://docs.google.com/spreadsheets/d/1yDAaXNsi4Mr5FtRQL4tbmSdIzhx6_m4wkOD7IG-k_eo/edit#gid=0"", ""Maths!M:N""), 2, FALSE)"),"Design a visual representation illustrating the unique characteristics of a parallelogram.")</f>
        <v>Design a visual representation illustrating the unique characteristics of a parallelogram.</v>
      </c>
      <c r="V237" s="16">
        <f ca="1">IFERROR(__xludf.dummyfunction("ArrayFormula(VLOOKUP(G237, IMPORTRANGE(""https://docs.google.com/spreadsheets/d/1p7R4vtkWt5VOBim4ltsDG9KTzSjrtKXsMtQGXPHyND0/edit#gid=795171502"", ""'Filter 30_05_2024'!A1:M2000""), {2, 3, 4, 5,6,7,8,9,10,11,12,13}, 0))"),12)</f>
        <v>12</v>
      </c>
      <c r="W237" s="16">
        <f ca="1">IFERROR(__xludf.dummyfunction("""COMPUTED_VALUE"""),6)</f>
        <v>6</v>
      </c>
      <c r="X237" s="16">
        <f ca="1">IFERROR(__xludf.dummyfunction("""COMPUTED_VALUE"""),3)</f>
        <v>3</v>
      </c>
      <c r="Y237" s="16">
        <f ca="1">IFERROR(__xludf.dummyfunction("""COMPUTED_VALUE"""),21)</f>
        <v>21</v>
      </c>
      <c r="Z237" s="16">
        <f ca="1">IFERROR(__xludf.dummyfunction("""COMPUTED_VALUE"""),7)</f>
        <v>7</v>
      </c>
      <c r="AA237" s="30">
        <f ca="1">IFERROR(__xludf.dummyfunction("""COMPUTED_VALUE"""),6)</f>
        <v>6</v>
      </c>
      <c r="AB237" s="30">
        <f ca="1">IFERROR(__xludf.dummyfunction("""COMPUTED_VALUE"""),1)</f>
        <v>1</v>
      </c>
      <c r="AC237" s="30">
        <f ca="1">IFERROR(__xludf.dummyfunction("""COMPUTED_VALUE"""),14)</f>
        <v>14</v>
      </c>
      <c r="AD237" s="16"/>
      <c r="AE237" s="30"/>
      <c r="AF237" s="30"/>
      <c r="AG237" s="30"/>
    </row>
    <row r="238" spans="1:33" ht="26.4">
      <c r="A238" s="25"/>
      <c r="B238" s="26" t="s">
        <v>29</v>
      </c>
      <c r="C238" s="26" t="s">
        <v>310</v>
      </c>
      <c r="D238" s="26">
        <v>6</v>
      </c>
      <c r="E238" s="27" t="s">
        <v>618</v>
      </c>
      <c r="F238" s="28"/>
      <c r="G238" s="26" t="s">
        <v>659</v>
      </c>
      <c r="H238" s="28" t="str">
        <f ca="1">IFERROR(__xludf.dummyfunction("IFERROR(
  VLOOKUP(G238, IMPORTRANGE(""https://docs.google.com/spreadsheets/d/14deopnvwcrKtEGCKuYXdUHJbeLDZlkiSSWWT0g7x2pM/edit#gid=849066331"", ""LU List Maths (Filter)!A:B""), 2, FALSE),
  IFERROR(
    VLOOKUP(G238, IMPORTRANGE(""https://docs.google.com"&amp;"/spreadsheets/d/14deopnvwcrKtEGCKuYXdUHJbeLDZlkiSSWWT0g7x2pM/edit#gid=849066331"", ""LU List Science (Filter)!A:B""), 2, FALSE),
    ""Not Found""
  )
)
"),"Definition of rhombus")</f>
        <v>Definition of rhombus</v>
      </c>
      <c r="I238" s="28"/>
      <c r="J238" s="29" t="str">
        <f t="shared" si="18"/>
        <v>LU000596.001</v>
      </c>
      <c r="K238" s="29" t="str">
        <f ca="1">IFERROR(__xludf.dummyfunction("VLOOKUP(J238, IMPORTRANGE(""https://docs.google.com/spreadsheets/d/1yDAaXNsi4Mr5FtRQL4tbmSdIzhx6_m4wkOD7IG-k_eo/edit#gid=0"", ""Maths!M:N""), 2, FALSE)"),"Recall the definition of a rhombus.")</f>
        <v>Recall the definition of a rhombus.</v>
      </c>
      <c r="L238" s="29" t="str">
        <f t="shared" si="19"/>
        <v>LU000596.002</v>
      </c>
      <c r="M238" s="29" t="str">
        <f ca="1">IFERROR(__xludf.dummyfunction("VLOOKUP(L238, IMPORTRANGE(""https://docs.google.com/spreadsheets/d/1yDAaXNsi4Mr5FtRQL4tbmSdIzhx6_m4wkOD7IG-k_eo/edit#gid=0"", ""Maths!M:N""), 2, FALSE)"),"Explain the properties that distinguish a rhombus from other quadrilaterals.")</f>
        <v>Explain the properties that distinguish a rhombus from other quadrilaterals.</v>
      </c>
      <c r="N238" s="29" t="str">
        <f t="shared" si="20"/>
        <v>LU000596.003</v>
      </c>
      <c r="O238" s="29" t="str">
        <f ca="1">IFERROR(__xludf.dummyfunction("VLOOKUP(N238, IMPORTRANGE(""https://docs.google.com/spreadsheets/d/1yDAaXNsi4Mr5FtRQL4tbmSdIzhx6_m4wkOD7IG-k_eo/edit#gid=0"", ""Maths!M:N""), 2, FALSE)"),"Apply the definition of a rhombus to identify rhombus in given shapes.")</f>
        <v>Apply the definition of a rhombus to identify rhombus in given shapes.</v>
      </c>
      <c r="P238" s="29" t="str">
        <f t="shared" si="21"/>
        <v>LU000596.004</v>
      </c>
      <c r="Q238" s="29" t="str">
        <f ca="1">IFERROR(__xludf.dummyfunction("VLOOKUP(P238, IMPORTRANGE(""https://docs.google.com/spreadsheets/d/1yDAaXNsi4Mr5FtRQL4tbmSdIzhx6_m4wkOD7IG-k_eo/edit#gid=0"", ""Maths!M:N""), 2, FALSE)"),"Compare the characteristics of a rhombus with those of other quadrilaterals to understand their distinctions.")</f>
        <v>Compare the characteristics of a rhombus with those of other quadrilaterals to understand their distinctions.</v>
      </c>
      <c r="R238" s="29" t="str">
        <f t="shared" si="22"/>
        <v>LU000596.005</v>
      </c>
      <c r="S238" s="29" t="str">
        <f ca="1">IFERROR(__xludf.dummyfunction("VLOOKUP(R238, IMPORTRANGE(""https://docs.google.com/spreadsheets/d/1yDAaXNsi4Mr5FtRQL4tbmSdIzhx6_m4wkOD7IG-k_eo/edit#gid=0"", ""Maths!M:N""), 2, FALSE)"),"Evaluate whether a given shape is a rhombus based on side relationships.")</f>
        <v>Evaluate whether a given shape is a rhombus based on side relationships.</v>
      </c>
      <c r="T238" s="29" t="str">
        <f t="shared" si="23"/>
        <v>LU000596.006</v>
      </c>
      <c r="U238" s="29" t="str">
        <f ca="1">IFERROR(__xludf.dummyfunction("VLOOKUP(T238, IMPORTRANGE(""https://docs.google.com/spreadsheets/d/1yDAaXNsi4Mr5FtRQL4tbmSdIzhx6_m4wkOD7IG-k_eo/edit#gid=0"", ""Maths!M:N""), 2, FALSE)"),"Design a visual representation illustrating the unique characteristics of a rhombus.")</f>
        <v>Design a visual representation illustrating the unique characteristics of a rhombus.</v>
      </c>
      <c r="V238" s="16">
        <f ca="1">IFERROR(__xludf.dummyfunction("ArrayFormula(VLOOKUP(G238, IMPORTRANGE(""https://docs.google.com/spreadsheets/d/1p7R4vtkWt5VOBim4ltsDG9KTzSjrtKXsMtQGXPHyND0/edit#gid=795171502"", ""'Filter 30_05_2024'!A1:M2000""), {2, 3, 4, 5,6,7,8,9,10,11,12,13}, 0))"),4)</f>
        <v>4</v>
      </c>
      <c r="W238" s="16">
        <f ca="1">IFERROR(__xludf.dummyfunction("""COMPUTED_VALUE"""),8)</f>
        <v>8</v>
      </c>
      <c r="X238" s="16">
        <f ca="1">IFERROR(__xludf.dummyfunction("""COMPUTED_VALUE"""),2)</f>
        <v>2</v>
      </c>
      <c r="Y238" s="16">
        <f ca="1">IFERROR(__xludf.dummyfunction("""COMPUTED_VALUE"""),14)</f>
        <v>14</v>
      </c>
      <c r="Z238" s="16">
        <f ca="1">IFERROR(__xludf.dummyfunction("""COMPUTED_VALUE"""),6)</f>
        <v>6</v>
      </c>
      <c r="AA238" s="30">
        <f ca="1">IFERROR(__xludf.dummyfunction("""COMPUTED_VALUE"""),4)</f>
        <v>4</v>
      </c>
      <c r="AB238" s="30">
        <f ca="1">IFERROR(__xludf.dummyfunction("""COMPUTED_VALUE"""),1)</f>
        <v>1</v>
      </c>
      <c r="AC238" s="30">
        <f ca="1">IFERROR(__xludf.dummyfunction("""COMPUTED_VALUE"""),11)</f>
        <v>11</v>
      </c>
      <c r="AD238" s="16"/>
      <c r="AE238" s="30"/>
      <c r="AF238" s="30"/>
      <c r="AG238" s="30"/>
    </row>
    <row r="239" spans="1:33" ht="26.4">
      <c r="A239" s="25"/>
      <c r="B239" s="26" t="s">
        <v>29</v>
      </c>
      <c r="C239" s="26" t="s">
        <v>310</v>
      </c>
      <c r="D239" s="26">
        <v>6</v>
      </c>
      <c r="E239" s="27" t="s">
        <v>618</v>
      </c>
      <c r="F239" s="28" t="s">
        <v>660</v>
      </c>
      <c r="G239" s="26" t="s">
        <v>661</v>
      </c>
      <c r="H239" s="28" t="str">
        <f ca="1">IFERROR(__xludf.dummyfunction("IFERROR(
  VLOOKUP(G239, IMPORTRANGE(""https://docs.google.com/spreadsheets/d/14deopnvwcrKtEGCKuYXdUHJbeLDZlkiSSWWT0g7x2pM/edit#gid=849066331"", ""LU List Maths (Filter)!A:B""), 2, FALSE),
  IFERROR(
    VLOOKUP(G239, IMPORTRANGE(""https://docs.google.com"&amp;"/spreadsheets/d/14deopnvwcrKtEGCKuYXdUHJbeLDZlkiSSWWT0g7x2pM/edit#gid=849066331"", ""LU List Science (Filter)!A:B""), 2, FALSE),
    ""Not Found""
  )
)
"),"Definition of rectangle")</f>
        <v>Definition of rectangle</v>
      </c>
      <c r="I239" s="28"/>
      <c r="J239" s="29" t="str">
        <f t="shared" si="18"/>
        <v>LU000597.001</v>
      </c>
      <c r="K239" s="29" t="str">
        <f ca="1">IFERROR(__xludf.dummyfunction("VLOOKUP(J239, IMPORTRANGE(""https://docs.google.com/spreadsheets/d/1yDAaXNsi4Mr5FtRQL4tbmSdIzhx6_m4wkOD7IG-k_eo/edit#gid=0"", ""Maths!M:N""), 2, FALSE)"),"Recall the definition of a rectangle.")</f>
        <v>Recall the definition of a rectangle.</v>
      </c>
      <c r="L239" s="29" t="str">
        <f t="shared" si="19"/>
        <v>LU000597.002</v>
      </c>
      <c r="M239" s="29" t="str">
        <f ca="1">IFERROR(__xludf.dummyfunction("VLOOKUP(L239, IMPORTRANGE(""https://docs.google.com/spreadsheets/d/1yDAaXNsi4Mr5FtRQL4tbmSdIzhx6_m4wkOD7IG-k_eo/edit#gid=0"", ""Maths!M:N""), 2, FALSE)"),"Explain the properties that distinguish a rectangle from other quadrilaterals.")</f>
        <v>Explain the properties that distinguish a rectangle from other quadrilaterals.</v>
      </c>
      <c r="N239" s="29" t="str">
        <f t="shared" si="20"/>
        <v>LU000597.003</v>
      </c>
      <c r="O239" s="29" t="str">
        <f ca="1">IFERROR(__xludf.dummyfunction("VLOOKUP(N239, IMPORTRANGE(""https://docs.google.com/spreadsheets/d/1yDAaXNsi4Mr5FtRQL4tbmSdIzhx6_m4wkOD7IG-k_eo/edit#gid=0"", ""Maths!M:N""), 2, FALSE)"),"Apply the definition of a rectangle to identify rectangle in given shapes.")</f>
        <v>Apply the definition of a rectangle to identify rectangle in given shapes.</v>
      </c>
      <c r="P239" s="29" t="str">
        <f t="shared" si="21"/>
        <v>LU000597.004</v>
      </c>
      <c r="Q239" s="29" t="str">
        <f ca="1">IFERROR(__xludf.dummyfunction("VLOOKUP(P239, IMPORTRANGE(""https://docs.google.com/spreadsheets/d/1yDAaXNsi4Mr5FtRQL4tbmSdIzhx6_m4wkOD7IG-k_eo/edit#gid=0"", ""Maths!M:N""), 2, FALSE)"),"Compare the characteristics of a rectangle with those of other quadrilaterals to understand their distinctions.")</f>
        <v>Compare the characteristics of a rectangle with those of other quadrilaterals to understand their distinctions.</v>
      </c>
      <c r="R239" s="29" t="str">
        <f t="shared" si="22"/>
        <v>LU000597.005</v>
      </c>
      <c r="S239" s="29" t="str">
        <f ca="1">IFERROR(__xludf.dummyfunction("VLOOKUP(R239, IMPORTRANGE(""https://docs.google.com/spreadsheets/d/1yDAaXNsi4Mr5FtRQL4tbmSdIzhx6_m4wkOD7IG-k_eo/edit#gid=0"", ""Maths!M:N""), 2, FALSE)"),"Evaluate whether a given shape is a rectangle based on side and angle relationships.")</f>
        <v>Evaluate whether a given shape is a rectangle based on side and angle relationships.</v>
      </c>
      <c r="T239" s="29" t="str">
        <f t="shared" si="23"/>
        <v>LU000597.006</v>
      </c>
      <c r="U239" s="29" t="str">
        <f ca="1">IFERROR(__xludf.dummyfunction("VLOOKUP(T239, IMPORTRANGE(""https://docs.google.com/spreadsheets/d/1yDAaXNsi4Mr5FtRQL4tbmSdIzhx6_m4wkOD7IG-k_eo/edit#gid=0"", ""Maths!M:N""), 2, FALSE)"),"Design a visual representation illustrating the unique characteristics of a rectangle.")</f>
        <v>Design a visual representation illustrating the unique characteristics of a rectangle.</v>
      </c>
      <c r="V239" s="16">
        <f ca="1">IFERROR(__xludf.dummyfunction("ArrayFormula(VLOOKUP(G239, IMPORTRANGE(""https://docs.google.com/spreadsheets/d/1p7R4vtkWt5VOBim4ltsDG9KTzSjrtKXsMtQGXPHyND0/edit#gid=795171502"", ""'Filter 30_05_2024'!A1:M2000""), {2, 3, 4, 5,6,7,8,9,10,11,12,13}, 0))"),5)</f>
        <v>5</v>
      </c>
      <c r="W239" s="16">
        <f ca="1">IFERROR(__xludf.dummyfunction("""COMPUTED_VALUE"""),6)</f>
        <v>6</v>
      </c>
      <c r="X239" s="16">
        <f ca="1">IFERROR(__xludf.dummyfunction("""COMPUTED_VALUE"""),2)</f>
        <v>2</v>
      </c>
      <c r="Y239" s="16">
        <f ca="1">IFERROR(__xludf.dummyfunction("""COMPUTED_VALUE"""),13)</f>
        <v>13</v>
      </c>
      <c r="Z239" s="16">
        <f ca="1">IFERROR(__xludf.dummyfunction("""COMPUTED_VALUE"""),5)</f>
        <v>5</v>
      </c>
      <c r="AA239" s="30">
        <f ca="1">IFERROR(__xludf.dummyfunction("""COMPUTED_VALUE"""),6)</f>
        <v>6</v>
      </c>
      <c r="AB239" s="30">
        <f ca="1">IFERROR(__xludf.dummyfunction("""COMPUTED_VALUE"""),1)</f>
        <v>1</v>
      </c>
      <c r="AC239" s="30">
        <f ca="1">IFERROR(__xludf.dummyfunction("""COMPUTED_VALUE"""),12)</f>
        <v>12</v>
      </c>
      <c r="AD239" s="16"/>
      <c r="AE239" s="30"/>
      <c r="AF239" s="30"/>
      <c r="AG239" s="30"/>
    </row>
    <row r="240" spans="1:33" ht="26.4">
      <c r="A240" s="25"/>
      <c r="B240" s="26" t="s">
        <v>29</v>
      </c>
      <c r="C240" s="26" t="s">
        <v>310</v>
      </c>
      <c r="D240" s="26">
        <v>6</v>
      </c>
      <c r="E240" s="27" t="s">
        <v>618</v>
      </c>
      <c r="F240" s="28"/>
      <c r="G240" s="26" t="s">
        <v>662</v>
      </c>
      <c r="H240" s="28" t="str">
        <f ca="1">IFERROR(__xludf.dummyfunction("IFERROR(
  VLOOKUP(G240, IMPORTRANGE(""https://docs.google.com/spreadsheets/d/14deopnvwcrKtEGCKuYXdUHJbeLDZlkiSSWWT0g7x2pM/edit#gid=849066331"", ""LU List Maths (Filter)!A:B""), 2, FALSE),
  IFERROR(
    VLOOKUP(G240, IMPORTRANGE(""https://docs.google.com"&amp;"/spreadsheets/d/14deopnvwcrKtEGCKuYXdUHJbeLDZlkiSSWWT0g7x2pM/edit#gid=849066331"", ""LU List Science (Filter)!A:B""), 2, FALSE),
    ""Not Found""
  )
)
"),"Definition of square")</f>
        <v>Definition of square</v>
      </c>
      <c r="I240" s="28"/>
      <c r="J240" s="29" t="str">
        <f t="shared" si="18"/>
        <v>LU000598.001</v>
      </c>
      <c r="K240" s="29" t="str">
        <f ca="1">IFERROR(__xludf.dummyfunction("VLOOKUP(J240, IMPORTRANGE(""https://docs.google.com/spreadsheets/d/1yDAaXNsi4Mr5FtRQL4tbmSdIzhx6_m4wkOD7IG-k_eo/edit#gid=0"", ""Maths!M:N""), 2, FALSE)"),"Recall the definition of a square.")</f>
        <v>Recall the definition of a square.</v>
      </c>
      <c r="L240" s="29" t="str">
        <f t="shared" si="19"/>
        <v>LU000598.002</v>
      </c>
      <c r="M240" s="29" t="str">
        <f ca="1">IFERROR(__xludf.dummyfunction("VLOOKUP(L240, IMPORTRANGE(""https://docs.google.com/spreadsheets/d/1yDAaXNsi4Mr5FtRQL4tbmSdIzhx6_m4wkOD7IG-k_eo/edit#gid=0"", ""Maths!M:N""), 2, FALSE)"),"Explain the properties that distinguish a square from other quadrilaterals.")</f>
        <v>Explain the properties that distinguish a square from other quadrilaterals.</v>
      </c>
      <c r="N240" s="29" t="str">
        <f t="shared" si="20"/>
        <v>LU000598.003</v>
      </c>
      <c r="O240" s="29" t="str">
        <f ca="1">IFERROR(__xludf.dummyfunction("VLOOKUP(N240, IMPORTRANGE(""https://docs.google.com/spreadsheets/d/1yDAaXNsi4Mr5FtRQL4tbmSdIzhx6_m4wkOD7IG-k_eo/edit#gid=0"", ""Maths!M:N""), 2, FALSE)"),"Apply the definition of a square to identify square in given shapes.")</f>
        <v>Apply the definition of a square to identify square in given shapes.</v>
      </c>
      <c r="P240" s="29" t="str">
        <f t="shared" si="21"/>
        <v>LU000598.004</v>
      </c>
      <c r="Q240" s="29" t="str">
        <f ca="1">IFERROR(__xludf.dummyfunction("VLOOKUP(P240, IMPORTRANGE(""https://docs.google.com/spreadsheets/d/1yDAaXNsi4Mr5FtRQL4tbmSdIzhx6_m4wkOD7IG-k_eo/edit#gid=0"", ""Maths!M:N""), 2, FALSE)"),"Compare the characteristics of a square with those of other quadrilaterals to understand their distinctions.")</f>
        <v>Compare the characteristics of a square with those of other quadrilaterals to understand their distinctions.</v>
      </c>
      <c r="R240" s="29" t="str">
        <f t="shared" si="22"/>
        <v>LU000598.005</v>
      </c>
      <c r="S240" s="29" t="str">
        <f ca="1">IFERROR(__xludf.dummyfunction("VLOOKUP(R240, IMPORTRANGE(""https://docs.google.com/spreadsheets/d/1yDAaXNsi4Mr5FtRQL4tbmSdIzhx6_m4wkOD7IG-k_eo/edit#gid=0"", ""Maths!M:N""), 2, FALSE)"),"Evaluate whether a given shape is a square based on side and angle relationships.")</f>
        <v>Evaluate whether a given shape is a square based on side and angle relationships.</v>
      </c>
      <c r="T240" s="29" t="str">
        <f t="shared" si="23"/>
        <v>LU000598.006</v>
      </c>
      <c r="U240" s="29" t="str">
        <f ca="1">IFERROR(__xludf.dummyfunction("VLOOKUP(T240, IMPORTRANGE(""https://docs.google.com/spreadsheets/d/1yDAaXNsi4Mr5FtRQL4tbmSdIzhx6_m4wkOD7IG-k_eo/edit#gid=0"", ""Maths!M:N""), 2, FALSE)"),"Design a visual representation illustrating the unique characteristics of a square.")</f>
        <v>Design a visual representation illustrating the unique characteristics of a square.</v>
      </c>
      <c r="V240" s="16">
        <f ca="1">IFERROR(__xludf.dummyfunction("ArrayFormula(VLOOKUP(G240, IMPORTRANGE(""https://docs.google.com/spreadsheets/d/1p7R4vtkWt5VOBim4ltsDG9KTzSjrtKXsMtQGXPHyND0/edit#gid=795171502"", ""'Filter 30_05_2024'!A1:M2000""), {2, 3, 4, 5,6,7,8,9,10,11,12,13}, 0))"),5)</f>
        <v>5</v>
      </c>
      <c r="W240" s="16">
        <f ca="1">IFERROR(__xludf.dummyfunction("""COMPUTED_VALUE"""),8)</f>
        <v>8</v>
      </c>
      <c r="X240" s="16">
        <f ca="1">IFERROR(__xludf.dummyfunction("""COMPUTED_VALUE"""),3)</f>
        <v>3</v>
      </c>
      <c r="Y240" s="16">
        <f ca="1">IFERROR(__xludf.dummyfunction("""COMPUTED_VALUE"""),16)</f>
        <v>16</v>
      </c>
      <c r="Z240" s="16">
        <f ca="1">IFERROR(__xludf.dummyfunction("""COMPUTED_VALUE"""),5)</f>
        <v>5</v>
      </c>
      <c r="AA240" s="30">
        <f ca="1">IFERROR(__xludf.dummyfunction("""COMPUTED_VALUE"""),4)</f>
        <v>4</v>
      </c>
      <c r="AB240" s="30">
        <f ca="1">IFERROR(__xludf.dummyfunction("""COMPUTED_VALUE"""),2)</f>
        <v>2</v>
      </c>
      <c r="AC240" s="30">
        <f ca="1">IFERROR(__xludf.dummyfunction("""COMPUTED_VALUE"""),11)</f>
        <v>11</v>
      </c>
      <c r="AD240" s="16"/>
      <c r="AE240" s="30"/>
      <c r="AF240" s="30"/>
      <c r="AG240" s="30"/>
    </row>
    <row r="241" spans="1:33" ht="26.4">
      <c r="A241" s="25"/>
      <c r="B241" s="26" t="s">
        <v>29</v>
      </c>
      <c r="C241" s="26" t="s">
        <v>310</v>
      </c>
      <c r="D241" s="26">
        <v>6</v>
      </c>
      <c r="E241" s="27" t="s">
        <v>618</v>
      </c>
      <c r="F241" s="28" t="s">
        <v>663</v>
      </c>
      <c r="G241" s="55" t="s">
        <v>664</v>
      </c>
      <c r="H241" s="28" t="str">
        <f ca="1">IFERROR(__xludf.dummyfunction("IFERROR(
  VLOOKUP(G241, IMPORTRANGE(""https://docs.google.com/spreadsheets/d/14deopnvwcrKtEGCKuYXdUHJbeLDZlkiSSWWT0g7x2pM/edit#gid=849066331"", ""LU List Maths (Filter)!A:B""), 2, FALSE),
  IFERROR(
    VLOOKUP(G241, IMPORTRANGE(""https://docs.google.com"&amp;"/spreadsheets/d/14deopnvwcrKtEGCKuYXdUHJbeLDZlkiSSWWT0g7x2pM/edit#gid=849066331"", ""LU List Science (Filter)!A:B""), 2, FALSE),
    ""Not Found""
  )
)
"),"Definition and elements of a polygon")</f>
        <v>Definition and elements of a polygon</v>
      </c>
      <c r="I241" s="28"/>
      <c r="J241" s="29" t="str">
        <f t="shared" si="18"/>
        <v>LU000227.001</v>
      </c>
      <c r="K241" s="29" t="str">
        <f ca="1">IFERROR(__xludf.dummyfunction("VLOOKUP(J241, IMPORTRANGE(""https://docs.google.com/spreadsheets/d/1yDAaXNsi4Mr5FtRQL4tbmSdIzhx6_m4wkOD7IG-k_eo/edit#gid=0"", ""Maths!M:N""), 2, FALSE)"),"Recall the definition of a polygon as a closed geometric figure with straight sides, and identify its basic elements such as vertices, sides, and diagonals.")</f>
        <v>Recall the definition of a polygon as a closed geometric figure with straight sides, and identify its basic elements such as vertices, sides, and diagonals.</v>
      </c>
      <c r="L241" s="29" t="str">
        <f t="shared" si="19"/>
        <v>LU000227.002</v>
      </c>
      <c r="M241" s="29" t="str">
        <f ca="1">IFERROR(__xludf.dummyfunction("VLOOKUP(L241, IMPORTRANGE(""https://docs.google.com/spreadsheets/d/1yDAaXNsi4Mr5FtRQL4tbmSdIzhx6_m4wkOD7IG-k_eo/edit#gid=0"", ""Maths!M:N""), 2, FALSE)"),"Identify the angles and sides adjacent to and opposite from a specific angle or side within a polygon.")</f>
        <v>Identify the angles and sides adjacent to and opposite from a specific angle or side within a polygon.</v>
      </c>
      <c r="N241" s="29" t="str">
        <f t="shared" si="20"/>
        <v>LU000227.003</v>
      </c>
      <c r="O241" s="29" t="str">
        <f ca="1">IFERROR(__xludf.dummyfunction("VLOOKUP(N241, IMPORTRANGE(""https://docs.google.com/spreadsheets/d/1yDAaXNsi4Mr5FtRQL4tbmSdIzhx6_m4wkOD7IG-k_eo/edit#gid=0"", ""Maths!M:N""), 2, FALSE)"),"Apply the knowledge of polygon elements to correctly label and describe different components in given polygon diagrams, distinguishing between vertices, sides, diagonals, adjacent sides, and adjacent vertices.")</f>
        <v>Apply the knowledge of polygon elements to correctly label and describe different components in given polygon diagrams, distinguishing between vertices, sides, diagonals, adjacent sides, and adjacent vertices.</v>
      </c>
      <c r="P241" s="29" t="str">
        <f t="shared" si="21"/>
        <v>LU000227.004</v>
      </c>
      <c r="Q241" s="29" t="str">
        <f ca="1">IFERROR(__xludf.dummyfunction("VLOOKUP(P241, IMPORTRANGE(""https://docs.google.com/spreadsheets/d/1yDAaXNsi4Mr5FtRQL4tbmSdIzhx6_m4wkOD7IG-k_eo/edit#gid=0"", ""Maths!M:N""), 2, FALSE)"),"Analyse the relationships between polygon elements, examining how vertices connect to form sides, how diagonals intersect within polygons, and how adjacent sides and vertices relate geometrically.")</f>
        <v>Analyse the relationships between polygon elements, examining how vertices connect to form sides, how diagonals intersect within polygons, and how adjacent sides and vertices relate geometrically.</v>
      </c>
      <c r="R241" s="29" t="str">
        <f t="shared" si="22"/>
        <v>LU000227.005</v>
      </c>
      <c r="S241" s="29" t="str">
        <f ca="1">IFERROR(__xludf.dummyfunction("VLOOKUP(R241, IMPORTRANGE(""https://docs.google.com/spreadsheets/d/1yDAaXNsi4Mr5FtRQL4tbmSdIzhx6_m4wkOD7IG-k_eo/edit#gid=0"", ""Maths!M:N""), 2, FALSE)"),"#N/A")</f>
        <v>#N/A</v>
      </c>
      <c r="T241" s="29" t="str">
        <f t="shared" si="23"/>
        <v>LU000227.006</v>
      </c>
      <c r="U241" s="29" t="str">
        <f ca="1">IFERROR(__xludf.dummyfunction("VLOOKUP(T241, IMPORTRANGE(""https://docs.google.com/spreadsheets/d/1yDAaXNsi4Mr5FtRQL4tbmSdIzhx6_m4wkOD7IG-k_eo/edit#gid=0"", ""Maths!M:N""), 2, FALSE)"),"Create visual representations of polygons, accurately depicting their elements such as vertices, sides, diagonals, adjacent sides, and adjacent vertices, showcasing an understanding of their arrangement and connectivity.")</f>
        <v>Create visual representations of polygons, accurately depicting their elements such as vertices, sides, diagonals, adjacent sides, and adjacent vertices, showcasing an understanding of their arrangement and connectivity.</v>
      </c>
      <c r="V241" s="16">
        <f ca="1">IFERROR(__xludf.dummyfunction("ArrayFormula(VLOOKUP(G241, IMPORTRANGE(""https://docs.google.com/spreadsheets/d/1p7R4vtkWt5VOBim4ltsDG9KTzSjrtKXsMtQGXPHyND0/edit#gid=795171502"", ""'Filter 30_05_2024'!A1:M2000""), {2, 3, 4, 5,6,7,8,9,10,11,12,13}, 0))"),13)</f>
        <v>13</v>
      </c>
      <c r="W241" s="16">
        <f ca="1">IFERROR(__xludf.dummyfunction("""COMPUTED_VALUE"""),7)</f>
        <v>7</v>
      </c>
      <c r="X241" s="16">
        <f ca="1">IFERROR(__xludf.dummyfunction("""COMPUTED_VALUE"""),2)</f>
        <v>2</v>
      </c>
      <c r="Y241" s="16">
        <f ca="1">IFERROR(__xludf.dummyfunction("""COMPUTED_VALUE"""),22)</f>
        <v>22</v>
      </c>
      <c r="Z241" s="16">
        <f ca="1">IFERROR(__xludf.dummyfunction("""COMPUTED_VALUE"""),6)</f>
        <v>6</v>
      </c>
      <c r="AA241" s="30">
        <f ca="1">IFERROR(__xludf.dummyfunction("""COMPUTED_VALUE"""),4)</f>
        <v>4</v>
      </c>
      <c r="AB241" s="30">
        <f ca="1">IFERROR(__xludf.dummyfunction("""COMPUTED_VALUE"""),1)</f>
        <v>1</v>
      </c>
      <c r="AC241" s="30">
        <f ca="1">IFERROR(__xludf.dummyfunction("""COMPUTED_VALUE"""),11)</f>
        <v>11</v>
      </c>
      <c r="AD241" s="16"/>
      <c r="AE241" s="30"/>
      <c r="AF241" s="30"/>
      <c r="AG241" s="30"/>
    </row>
    <row r="242" spans="1:33" ht="26.4">
      <c r="A242" s="25"/>
      <c r="B242" s="26" t="s">
        <v>29</v>
      </c>
      <c r="C242" s="26" t="s">
        <v>310</v>
      </c>
      <c r="D242" s="26">
        <v>6</v>
      </c>
      <c r="E242" s="27" t="s">
        <v>618</v>
      </c>
      <c r="F242" s="28"/>
      <c r="G242" s="26" t="s">
        <v>665</v>
      </c>
      <c r="H242" s="28" t="str">
        <f ca="1">IFERROR(__xludf.dummyfunction("IFERROR(
  VLOOKUP(G242, IMPORTRANGE(""https://docs.google.com/spreadsheets/d/14deopnvwcrKtEGCKuYXdUHJbeLDZlkiSSWWT0g7x2pM/edit#gid=849066331"", ""LU List Maths (Filter)!A:B""), 2, FALSE),
  IFERROR(
    VLOOKUP(G242, IMPORTRANGE(""https://docs.google.com"&amp;"/spreadsheets/d/14deopnvwcrKtEGCKuYXdUHJbeLDZlkiSSWWT0g7x2pM/edit#gid=849066331"", ""LU List Science (Filter)!A:B""), 2, FALSE),
    ""Not Found""
  )
)
"),"Definition of regular and irregular polygon")</f>
        <v>Definition of regular and irregular polygon</v>
      </c>
      <c r="I242" s="28"/>
      <c r="J242" s="29" t="str">
        <f t="shared" si="18"/>
        <v>LU000905.001</v>
      </c>
      <c r="K242" s="29" t="str">
        <f ca="1">IFERROR(__xludf.dummyfunction("VLOOKUP(J242, IMPORTRANGE(""https://docs.google.com/spreadsheets/d/1yDAaXNsi4Mr5FtRQL4tbmSdIzhx6_m4wkOD7IG-k_eo/edit#gid=0"", ""Maths!M:N""), 2, FALSE)"),"List properties of regular and irregular polygons.")</f>
        <v>List properties of regular and irregular polygons.</v>
      </c>
      <c r="L242" s="29" t="str">
        <f t="shared" si="19"/>
        <v>LU000905.002</v>
      </c>
      <c r="M242" s="29" t="str">
        <f ca="1">IFERROR(__xludf.dummyfunction("VLOOKUP(L242, IMPORTRANGE(""https://docs.google.com/spreadsheets/d/1yDAaXNsi4Mr5FtRQL4tbmSdIzhx6_m4wkOD7IG-k_eo/edit#gid=0"", ""Maths!M:N""), 2, FALSE)"),"Summarize what makes a polygon regular and what makes it irregular.")</f>
        <v>Summarize what makes a polygon regular and what makes it irregular.</v>
      </c>
      <c r="N242" s="29" t="str">
        <f t="shared" si="20"/>
        <v>LU000905.003</v>
      </c>
      <c r="O242" s="29" t="str">
        <f ca="1">IFERROR(__xludf.dummyfunction("VLOOKUP(N242, IMPORTRANGE(""https://docs.google.com/spreadsheets/d/1yDAaXNsi4Mr5FtRQL4tbmSdIzhx6_m4wkOD7IG-k_eo/edit#gid=0"", ""Maths!M:N""), 2, FALSE)"),"Identify regular and irregular polygons in various contexts.")</f>
        <v>Identify regular and irregular polygons in various contexts.</v>
      </c>
      <c r="P242" s="29" t="str">
        <f t="shared" si="21"/>
        <v>LU000905.004</v>
      </c>
      <c r="Q242" s="29" t="str">
        <f ca="1">IFERROR(__xludf.dummyfunction("VLOOKUP(P242, IMPORTRANGE(""https://docs.google.com/spreadsheets/d/1yDAaXNsi4Mr5FtRQL4tbmSdIzhx6_m4wkOD7IG-k_eo/edit#gid=0"", ""Maths!M:N""), 2, FALSE)"),"Examine and discuss the properties of regular and irregular polygons.")</f>
        <v>Examine and discuss the properties of regular and irregular polygons.</v>
      </c>
      <c r="R242" s="29" t="str">
        <f t="shared" si="22"/>
        <v>LU000905.005</v>
      </c>
      <c r="S242" s="29" t="str">
        <f ca="1">IFERROR(__xludf.dummyfunction("VLOOKUP(R242, IMPORTRANGE(""https://docs.google.com/spreadsheets/d/1yDAaXNsi4Mr5FtRQL4tbmSdIzhx6_m4wkOD7IG-k_eo/edit#gid=0"", ""Maths!M:N""), 2, FALSE)"),"Assess the regularity and irregularity of a given polygon.")</f>
        <v>Assess the regularity and irregularity of a given polygon.</v>
      </c>
      <c r="T242" s="29" t="str">
        <f t="shared" si="23"/>
        <v>LU000905.006</v>
      </c>
      <c r="U242" s="29" t="str">
        <f ca="1">IFERROR(__xludf.dummyfunction("VLOOKUP(T242, IMPORTRANGE(""https://docs.google.com/spreadsheets/d/1yDAaXNsi4Mr5FtRQL4tbmSdIzhx6_m4wkOD7IG-k_eo/edit#gid=0"", ""Maths!M:N""), 2, FALSE)"),"Design a project using regular and irregular polygons.")</f>
        <v>Design a project using regular and irregular polygons.</v>
      </c>
      <c r="V242" s="16">
        <f ca="1">IFERROR(__xludf.dummyfunction("ArrayFormula(VLOOKUP(G242, IMPORTRANGE(""https://docs.google.com/spreadsheets/d/1p7R4vtkWt5VOBim4ltsDG9KTzSjrtKXsMtQGXPHyND0/edit#gid=795171502"", ""'Filter 30_05_2024'!A1:M2000""), {2, 3, 4, 5,6,7,8,9,10,11,12,13}, 0))"),5)</f>
        <v>5</v>
      </c>
      <c r="W242" s="16">
        <f ca="1">IFERROR(__xludf.dummyfunction("""COMPUTED_VALUE"""),7)</f>
        <v>7</v>
      </c>
      <c r="X242" s="16">
        <f ca="1">IFERROR(__xludf.dummyfunction("""COMPUTED_VALUE"""),3)</f>
        <v>3</v>
      </c>
      <c r="Y242" s="16">
        <f ca="1">IFERROR(__xludf.dummyfunction("""COMPUTED_VALUE"""),15)</f>
        <v>15</v>
      </c>
      <c r="Z242" s="16">
        <f ca="1">IFERROR(__xludf.dummyfunction("""COMPUTED_VALUE"""),5)</f>
        <v>5</v>
      </c>
      <c r="AA242" s="30">
        <f ca="1">IFERROR(__xludf.dummyfunction("""COMPUTED_VALUE"""),7)</f>
        <v>7</v>
      </c>
      <c r="AB242" s="30">
        <f ca="1">IFERROR(__xludf.dummyfunction("""COMPUTED_VALUE"""),1)</f>
        <v>1</v>
      </c>
      <c r="AC242" s="30">
        <f ca="1">IFERROR(__xludf.dummyfunction("""COMPUTED_VALUE"""),13)</f>
        <v>13</v>
      </c>
      <c r="AD242" s="16"/>
      <c r="AE242" s="30"/>
      <c r="AF242" s="30"/>
      <c r="AG242" s="30"/>
    </row>
    <row r="243" spans="1:33" ht="26.4">
      <c r="A243" s="25"/>
      <c r="B243" s="26" t="s">
        <v>29</v>
      </c>
      <c r="C243" s="26" t="s">
        <v>310</v>
      </c>
      <c r="D243" s="26">
        <v>6</v>
      </c>
      <c r="E243" s="27" t="s">
        <v>618</v>
      </c>
      <c r="F243" s="28"/>
      <c r="G243" s="26" t="s">
        <v>666</v>
      </c>
      <c r="H243" s="28" t="str">
        <f ca="1">IFERROR(__xludf.dummyfunction("IFERROR(
  VLOOKUP(G243, IMPORTRANGE(""https://docs.google.com/spreadsheets/d/14deopnvwcrKtEGCKuYXdUHJbeLDZlkiSSWWT0g7x2pM/edit#gid=849066331"", ""LU List Maths (Filter)!A:B""), 2, FALSE),
  IFERROR(
    VLOOKUP(G243, IMPORTRANGE(""https://docs.google.com"&amp;"/spreadsheets/d/14deopnvwcrKtEGCKuYXdUHJbeLDZlkiSSWWT0g7x2pM/edit#gid=849066331"", ""LU List Science (Filter)!A:B""), 2, FALSE),
    ""Not Found""
  )
)
"),"Classification of polygons based on the number of the sides")</f>
        <v>Classification of polygons based on the number of the sides</v>
      </c>
      <c r="I243" s="28"/>
      <c r="J243" s="29" t="str">
        <f t="shared" si="18"/>
        <v>LU000245.001</v>
      </c>
      <c r="K243" s="29" t="str">
        <f ca="1">IFERROR(__xludf.dummyfunction("VLOOKUP(J243, IMPORTRANGE(""https://docs.google.com/spreadsheets/d/1yDAaXNsi4Mr5FtRQL4tbmSdIzhx6_m4wkOD7IG-k_eo/edit#gid=0"", ""Maths!M:N""), 2, FALSE)"),"Examine the given figures in order to identify polygons.")</f>
        <v>Examine the given figures in order to identify polygons.</v>
      </c>
      <c r="L243" s="29" t="str">
        <f t="shared" si="19"/>
        <v>LU000245.002</v>
      </c>
      <c r="M243" s="29" t="str">
        <f ca="1">IFERROR(__xludf.dummyfunction("VLOOKUP(L243, IMPORTRANGE(""https://docs.google.com/spreadsheets/d/1yDAaXNsi4Mr5FtRQL4tbmSdIzhx6_m4wkOD7IG-k_eo/edit#gid=0"", ""Maths!M:N""), 2, FALSE)"),"Identify real-life examples of polygons.")</f>
        <v>Identify real-life examples of polygons.</v>
      </c>
      <c r="N243" s="29" t="str">
        <f t="shared" si="20"/>
        <v>LU000245.003</v>
      </c>
      <c r="O243" s="29" t="str">
        <f ca="1">IFERROR(__xludf.dummyfunction("VLOOKUP(N243, IMPORTRANGE(""https://docs.google.com/spreadsheets/d/1yDAaXNsi4Mr5FtRQL4tbmSdIzhx6_m4wkOD7IG-k_eo/edit#gid=0"", ""Maths!M:N""), 2, FALSE)"),"Identify given shapes as triangles, quadrilaterals, pentagons, hexagons, or octagons.")</f>
        <v>Identify given shapes as triangles, quadrilaterals, pentagons, hexagons, or octagons.</v>
      </c>
      <c r="P243" s="29" t="str">
        <f t="shared" si="21"/>
        <v>LU000245.004</v>
      </c>
      <c r="Q243" s="29" t="str">
        <f ca="1">IFERROR(__xludf.dummyfunction("VLOOKUP(P243, IMPORTRANGE(""https://docs.google.com/spreadsheets/d/1yDAaXNsi4Mr5FtRQL4tbmSdIzhx6_m4wkOD7IG-k_eo/edit#gid=0"", ""Maths!M:N""), 2, FALSE)"),"Analyse various real-life examples of polygons to classify them based on the number of sides.")</f>
        <v>Analyse various real-life examples of polygons to classify them based on the number of sides.</v>
      </c>
      <c r="R243" s="29" t="str">
        <f t="shared" si="22"/>
        <v>LU000245.005</v>
      </c>
      <c r="S243" s="29" t="str">
        <f ca="1">IFERROR(__xludf.dummyfunction("VLOOKUP(R243, IMPORTRANGE(""https://docs.google.com/spreadsheets/d/1yDAaXNsi4Mr5FtRQL4tbmSdIzhx6_m4wkOD7IG-k_eo/edit#gid=0"", ""Maths!M:N""), 2, FALSE)"),"Determine the number of sides, diagonals, vertices, and interior angles for different polygons.")</f>
        <v>Determine the number of sides, diagonals, vertices, and interior angles for different polygons.</v>
      </c>
      <c r="T243" s="29" t="str">
        <f t="shared" si="23"/>
        <v>LU000245.006</v>
      </c>
      <c r="U243" s="29" t="str">
        <f ca="1">IFERROR(__xludf.dummyfunction("VLOOKUP(T243, IMPORTRANGE(""https://docs.google.com/spreadsheets/d/1yDAaXNsi4Mr5FtRQL4tbmSdIzhx6_m4wkOD7IG-k_eo/edit#gid=0"", ""Maths!M:N""), 2, FALSE)"),"Draw some diagrams showcasing different polygons, labelling them as triangles, quadrilaterals, pentagons, hexagons, or octagons.")</f>
        <v>Draw some diagrams showcasing different polygons, labelling them as triangles, quadrilaterals, pentagons, hexagons, or octagons.</v>
      </c>
      <c r="V243" s="16">
        <f ca="1">IFERROR(__xludf.dummyfunction("ArrayFormula(VLOOKUP(G243, IMPORTRANGE(""https://docs.google.com/spreadsheets/d/1p7R4vtkWt5VOBim4ltsDG9KTzSjrtKXsMtQGXPHyND0/edit#gid=795171502"", ""'Filter 30_05_2024'!A1:M2000""), {2, 3, 4, 5,6,7,8,9,10,11,12,13}, 0))"),5)</f>
        <v>5</v>
      </c>
      <c r="W243" s="16">
        <f ca="1">IFERROR(__xludf.dummyfunction("""COMPUTED_VALUE"""),2)</f>
        <v>2</v>
      </c>
      <c r="X243" s="16">
        <f ca="1">IFERROR(__xludf.dummyfunction("""COMPUTED_VALUE"""),2)</f>
        <v>2</v>
      </c>
      <c r="Y243" s="16">
        <f ca="1">IFERROR(__xludf.dummyfunction("""COMPUTED_VALUE"""),9)</f>
        <v>9</v>
      </c>
      <c r="Z243" s="16">
        <f ca="1">IFERROR(__xludf.dummyfunction("""COMPUTED_VALUE"""),4)</f>
        <v>4</v>
      </c>
      <c r="AA243" s="30">
        <f ca="1">IFERROR(__xludf.dummyfunction("""COMPUTED_VALUE"""),6)</f>
        <v>6</v>
      </c>
      <c r="AB243" s="30">
        <f ca="1">IFERROR(__xludf.dummyfunction("""COMPUTED_VALUE"""),1)</f>
        <v>1</v>
      </c>
      <c r="AC243" s="30">
        <f ca="1">IFERROR(__xludf.dummyfunction("""COMPUTED_VALUE"""),11)</f>
        <v>11</v>
      </c>
      <c r="AD243" s="16"/>
      <c r="AE243" s="30"/>
      <c r="AF243" s="30"/>
      <c r="AG243" s="30"/>
    </row>
    <row r="244" spans="1:33" ht="26.4">
      <c r="A244" s="25"/>
      <c r="B244" s="26" t="s">
        <v>29</v>
      </c>
      <c r="C244" s="26" t="s">
        <v>310</v>
      </c>
      <c r="D244" s="26">
        <v>6</v>
      </c>
      <c r="E244" s="27" t="s">
        <v>618</v>
      </c>
      <c r="F244" s="28" t="s">
        <v>667</v>
      </c>
      <c r="G244" s="26" t="s">
        <v>668</v>
      </c>
      <c r="H244" s="28" t="str">
        <f ca="1">IFERROR(__xludf.dummyfunction("IFERROR(
  VLOOKUP(G244, IMPORTRANGE(""https://docs.google.com/spreadsheets/d/14deopnvwcrKtEGCKuYXdUHJbeLDZlkiSSWWT0g7x2pM/edit#gid=849066331"", ""LU List Maths (Filter)!A:B""), 2, FALSE),
  IFERROR(
    VLOOKUP(G244, IMPORTRANGE(""https://docs.google.com"&amp;"/spreadsheets/d/14deopnvwcrKtEGCKuYXdUHJbeLDZlkiSSWWT0g7x2pM/edit#gid=849066331"", ""LU List Science (Filter)!A:B""), 2, FALSE),
    ""Not Found""
  )
)
"),"Lexical explanation of three dimensional shapes-Cube")</f>
        <v>Lexical explanation of three dimensional shapes-Cube</v>
      </c>
      <c r="I244" s="28"/>
      <c r="J244" s="29" t="str">
        <f t="shared" si="18"/>
        <v>LU000249.001</v>
      </c>
      <c r="K244" s="29" t="str">
        <f ca="1">IFERROR(__xludf.dummyfunction("VLOOKUP(J244, IMPORTRANGE(""https://docs.google.com/spreadsheets/d/1yDAaXNsi4Mr5FtRQL4tbmSdIzhx6_m4wkOD7IG-k_eo/edit#gid=0"", ""Maths!M:N""), 2, FALSE)"),"Define the terms face, edge, and vertex in the context of three-dimensional shape-cube.")</f>
        <v>Define the terms face, edge, and vertex in the context of three-dimensional shape-cube.</v>
      </c>
      <c r="L244" s="29" t="str">
        <f t="shared" si="19"/>
        <v>LU000249.002</v>
      </c>
      <c r="M244" s="29" t="str">
        <f ca="1">IFERROR(__xludf.dummyfunction("VLOOKUP(L244, IMPORTRANGE(""https://docs.google.com/spreadsheets/d/1yDAaXNsi4Mr5FtRQL4tbmSdIzhx6_m4wkOD7IG-k_eo/edit#gid=0"", ""Maths!M:N""), 2, FALSE)"),"Identify and count the number of faces, edges, and vertices of three-dimensional shape-cube")</f>
        <v>Identify and count the number of faces, edges, and vertices of three-dimensional shape-cube</v>
      </c>
      <c r="N244" s="29" t="str">
        <f t="shared" si="20"/>
        <v>LU000249.003</v>
      </c>
      <c r="O244" s="29" t="str">
        <f ca="1">IFERROR(__xludf.dummyfunction("VLOOKUP(N244, IMPORTRANGE(""https://docs.google.com/spreadsheets/d/1yDAaXNsi4Mr5FtRQL4tbmSdIzhx6_m4wkOD7IG-k_eo/edit#gid=0"", ""Maths!M:N""), 2, FALSE)"),"Demonstrate the ability to distinguish a cube from other three-dimensional shapes based on its faces, edges and vertices.")</f>
        <v>Demonstrate the ability to distinguish a cube from other three-dimensional shapes based on its faces, edges and vertices.</v>
      </c>
      <c r="P244" s="29" t="str">
        <f t="shared" si="21"/>
        <v>LU000249.004</v>
      </c>
      <c r="Q244" s="29" t="str">
        <f ca="1">IFERROR(__xludf.dummyfunction("VLOOKUP(P244, IMPORTRANGE(""https://docs.google.com/spreadsheets/d/1yDAaXNsi4Mr5FtRQL4tbmSdIzhx6_m4wkOD7IG-k_eo/edit#gid=0"", ""Maths!M:N""), 2, FALSE)"),"Analyze the unique characteristics of the cube, including their edgelessness and base properties.")</f>
        <v>Analyze the unique characteristics of the cube, including their edgelessness and base properties.</v>
      </c>
      <c r="R244" s="29" t="str">
        <f t="shared" si="22"/>
        <v>LU000249.005</v>
      </c>
      <c r="S244" s="29" t="str">
        <f ca="1">IFERROR(__xludf.dummyfunction("VLOOKUP(R244, IMPORTRANGE(""https://docs.google.com/spreadsheets/d/1yDAaXNsi4Mr5FtRQL4tbmSdIzhx6_m4wkOD7IG-k_eo/edit#gid=0"", ""Maths!M:N""), 2, FALSE)"),"Evaluate the appropriateness of using specific three-dimensional shape-cube for different applications or scenarios.")</f>
        <v>Evaluate the appropriateness of using specific three-dimensional shape-cube for different applications or scenarios.</v>
      </c>
      <c r="T244" s="29" t="str">
        <f t="shared" si="23"/>
        <v>LU000249.006</v>
      </c>
      <c r="U244" s="29" t="str">
        <f ca="1">IFERROR(__xludf.dummyfunction("VLOOKUP(T244, IMPORTRANGE(""https://docs.google.com/spreadsheets/d/1yDAaXNsi4Mr5FtRQL4tbmSdIzhx6_m4wkOD7IG-k_eo/edit#gid=0"", ""Maths!M:N""), 2, FALSE)"),"Create visual representations or models of three-dimensional shape-cube.")</f>
        <v>Create visual representations or models of three-dimensional shape-cube.</v>
      </c>
      <c r="V244" s="16">
        <f ca="1">IFERROR(__xludf.dummyfunction("ArrayFormula(VLOOKUP(G244, IMPORTRANGE(""https://docs.google.com/spreadsheets/d/1p7R4vtkWt5VOBim4ltsDG9KTzSjrtKXsMtQGXPHyND0/edit#gid=795171502"", ""'Filter 30_05_2024'!A1:M2000""), {2, 3, 4, 5,6,7,8,9,10,11,12,13}, 0))"),4)</f>
        <v>4</v>
      </c>
      <c r="W244" s="16">
        <f ca="1">IFERROR(__xludf.dummyfunction("""COMPUTED_VALUE"""),6)</f>
        <v>6</v>
      </c>
      <c r="X244" s="16">
        <f ca="1">IFERROR(__xludf.dummyfunction("""COMPUTED_VALUE"""),2)</f>
        <v>2</v>
      </c>
      <c r="Y244" s="16">
        <f ca="1">IFERROR(__xludf.dummyfunction("""COMPUTED_VALUE"""),12)</f>
        <v>12</v>
      </c>
      <c r="Z244" s="16">
        <f ca="1">IFERROR(__xludf.dummyfunction("""COMPUTED_VALUE"""),4)</f>
        <v>4</v>
      </c>
      <c r="AA244" s="30">
        <f ca="1">IFERROR(__xludf.dummyfunction("""COMPUTED_VALUE"""),3)</f>
        <v>3</v>
      </c>
      <c r="AB244" s="30">
        <f ca="1">IFERROR(__xludf.dummyfunction("""COMPUTED_VALUE"""),1)</f>
        <v>1</v>
      </c>
      <c r="AC244" s="30">
        <f ca="1">IFERROR(__xludf.dummyfunction("""COMPUTED_VALUE"""),8)</f>
        <v>8</v>
      </c>
      <c r="AD244" s="16"/>
      <c r="AE244" s="30"/>
      <c r="AF244" s="30"/>
      <c r="AG244" s="30"/>
    </row>
    <row r="245" spans="1:33" ht="26.4">
      <c r="A245" s="25"/>
      <c r="B245" s="26" t="s">
        <v>29</v>
      </c>
      <c r="C245" s="26" t="s">
        <v>310</v>
      </c>
      <c r="D245" s="26">
        <v>6</v>
      </c>
      <c r="E245" s="27" t="s">
        <v>618</v>
      </c>
      <c r="F245" s="28"/>
      <c r="G245" s="26" t="s">
        <v>669</v>
      </c>
      <c r="H245" s="28" t="str">
        <f ca="1">IFERROR(__xludf.dummyfunction("IFERROR(
  VLOOKUP(G245, IMPORTRANGE(""https://docs.google.com/spreadsheets/d/14deopnvwcrKtEGCKuYXdUHJbeLDZlkiSSWWT0g7x2pM/edit#gid=849066331"", ""LU List Maths (Filter)!A:B""), 2, FALSE),
  IFERROR(
    VLOOKUP(G245, IMPORTRANGE(""https://docs.google.com"&amp;"/spreadsheets/d/14deopnvwcrKtEGCKuYXdUHJbeLDZlkiSSWWT0g7x2pM/edit#gid=849066331"", ""LU List Science (Filter)!A:B""), 2, FALSE),
    ""Not Found""
  )
)
"),"Lexical explanation of three dimensional shapes-cuboids")</f>
        <v>Lexical explanation of three dimensional shapes-cuboids</v>
      </c>
      <c r="I245" s="28"/>
      <c r="J245" s="29" t="str">
        <f t="shared" si="18"/>
        <v>LU000251.001</v>
      </c>
      <c r="K245" s="29" t="str">
        <f ca="1">IFERROR(__xludf.dummyfunction("VLOOKUP(J245, IMPORTRANGE(""https://docs.google.com/spreadsheets/d/1yDAaXNsi4Mr5FtRQL4tbmSdIzhx6_m4wkOD7IG-k_eo/edit#gid=0"", ""Maths!M:N""), 2, FALSE)"),"Define the terms face, edge, and vertex in the context of three-dimensional shape-cuboid.")</f>
        <v>Define the terms face, edge, and vertex in the context of three-dimensional shape-cuboid.</v>
      </c>
      <c r="L245" s="29" t="str">
        <f t="shared" si="19"/>
        <v>LU000251.002</v>
      </c>
      <c r="M245" s="29" t="str">
        <f ca="1">IFERROR(__xludf.dummyfunction("VLOOKUP(L245, IMPORTRANGE(""https://docs.google.com/spreadsheets/d/1yDAaXNsi4Mr5FtRQL4tbmSdIzhx6_m4wkOD7IG-k_eo/edit#gid=0"", ""Maths!M:N""), 2, FALSE)"),"Identify and count the number of faces, edges, and vertices of three-dimensional shape-cuboid")</f>
        <v>Identify and count the number of faces, edges, and vertices of three-dimensional shape-cuboid</v>
      </c>
      <c r="N245" s="29" t="str">
        <f t="shared" si="20"/>
        <v>LU000251.003</v>
      </c>
      <c r="O245" s="29" t="str">
        <f ca="1">IFERROR(__xludf.dummyfunction("VLOOKUP(N245, IMPORTRANGE(""https://docs.google.com/spreadsheets/d/1yDAaXNsi4Mr5FtRQL4tbmSdIzhx6_m4wkOD7IG-k_eo/edit#gid=0"", ""Maths!M:N""), 2, FALSE)"),"Demonstrate the ability to distinguish a cuboid from other three-dimensional shapes based on its faces, edges and vertices.")</f>
        <v>Demonstrate the ability to distinguish a cuboid from other three-dimensional shapes based on its faces, edges and vertices.</v>
      </c>
      <c r="P245" s="29" t="str">
        <f t="shared" si="21"/>
        <v>LU000251.004</v>
      </c>
      <c r="Q245" s="29" t="str">
        <f ca="1">IFERROR(__xludf.dummyfunction("VLOOKUP(P245, IMPORTRANGE(""https://docs.google.com/spreadsheets/d/1yDAaXNsi4Mr5FtRQL4tbmSdIzhx6_m4wkOD7IG-k_eo/edit#gid=0"", ""Maths!M:N""), 2, FALSE)"),"Analyze the unique characteristics of the cuboid, including their edgelessness and base properties.")</f>
        <v>Analyze the unique characteristics of the cuboid, including their edgelessness and base properties.</v>
      </c>
      <c r="R245" s="29" t="str">
        <f t="shared" si="22"/>
        <v>LU000251.005</v>
      </c>
      <c r="S245" s="29" t="str">
        <f ca="1">IFERROR(__xludf.dummyfunction("VLOOKUP(R245, IMPORTRANGE(""https://docs.google.com/spreadsheets/d/1yDAaXNsi4Mr5FtRQL4tbmSdIzhx6_m4wkOD7IG-k_eo/edit#gid=0"", ""Maths!M:N""), 2, FALSE)"),"Evaluate the appropriateness of using specific three-dimensional shape-cuboid for different applications or scenarios.")</f>
        <v>Evaluate the appropriateness of using specific three-dimensional shape-cuboid for different applications or scenarios.</v>
      </c>
      <c r="T245" s="29" t="str">
        <f t="shared" si="23"/>
        <v>LU000251.006</v>
      </c>
      <c r="U245" s="29" t="str">
        <f ca="1">IFERROR(__xludf.dummyfunction("VLOOKUP(T245, IMPORTRANGE(""https://docs.google.com/spreadsheets/d/1yDAaXNsi4Mr5FtRQL4tbmSdIzhx6_m4wkOD7IG-k_eo/edit#gid=0"", ""Maths!M:N""), 2, FALSE)"),"Create visual representations or models of three-dimensional shape-cuboid")</f>
        <v>Create visual representations or models of three-dimensional shape-cuboid</v>
      </c>
      <c r="V245" s="16">
        <f ca="1">IFERROR(__xludf.dummyfunction("ArrayFormula(VLOOKUP(G245, IMPORTRANGE(""https://docs.google.com/spreadsheets/d/1p7R4vtkWt5VOBim4ltsDG9KTzSjrtKXsMtQGXPHyND0/edit#gid=795171502"", ""'Filter 30_05_2024'!A1:M2000""), {2, 3, 4, 5,6,7,8,9,10,11,12,13}, 0))"),4)</f>
        <v>4</v>
      </c>
      <c r="W245" s="16">
        <f ca="1">IFERROR(__xludf.dummyfunction("""COMPUTED_VALUE"""),6)</f>
        <v>6</v>
      </c>
      <c r="X245" s="16">
        <f ca="1">IFERROR(__xludf.dummyfunction("""COMPUTED_VALUE"""),2)</f>
        <v>2</v>
      </c>
      <c r="Y245" s="16">
        <f ca="1">IFERROR(__xludf.dummyfunction("""COMPUTED_VALUE"""),12)</f>
        <v>12</v>
      </c>
      <c r="Z245" s="16">
        <f ca="1">IFERROR(__xludf.dummyfunction("""COMPUTED_VALUE"""),4)</f>
        <v>4</v>
      </c>
      <c r="AA245" s="30">
        <f ca="1">IFERROR(__xludf.dummyfunction("""COMPUTED_VALUE"""),3)</f>
        <v>3</v>
      </c>
      <c r="AB245" s="30">
        <f ca="1">IFERROR(__xludf.dummyfunction("""COMPUTED_VALUE"""),1)</f>
        <v>1</v>
      </c>
      <c r="AC245" s="30">
        <f ca="1">IFERROR(__xludf.dummyfunction("""COMPUTED_VALUE"""),8)</f>
        <v>8</v>
      </c>
      <c r="AD245" s="16"/>
      <c r="AE245" s="30"/>
      <c r="AF245" s="30"/>
      <c r="AG245" s="30"/>
    </row>
    <row r="246" spans="1:33" ht="26.4">
      <c r="A246" s="25"/>
      <c r="B246" s="26" t="s">
        <v>29</v>
      </c>
      <c r="C246" s="26" t="s">
        <v>310</v>
      </c>
      <c r="D246" s="26">
        <v>6</v>
      </c>
      <c r="E246" s="27" t="s">
        <v>618</v>
      </c>
      <c r="F246" s="28"/>
      <c r="G246" s="26" t="s">
        <v>670</v>
      </c>
      <c r="H246" s="28" t="str">
        <f ca="1">IFERROR(__xludf.dummyfunction("IFERROR(
  VLOOKUP(G246, IMPORTRANGE(""https://docs.google.com/spreadsheets/d/14deopnvwcrKtEGCKuYXdUHJbeLDZlkiSSWWT0g7x2pM/edit#gid=849066331"", ""LU List Maths (Filter)!A:B""), 2, FALSE),
  IFERROR(
    VLOOKUP(G246, IMPORTRANGE(""https://docs.google.com"&amp;"/spreadsheets/d/14deopnvwcrKtEGCKuYXdUHJbeLDZlkiSSWWT0g7x2pM/edit#gid=849066331"", ""LU List Science (Filter)!A:B""), 2, FALSE),
    ""Not Found""
  )
)
"),"Lexical explanation of three dimensional shapes-prisms")</f>
        <v>Lexical explanation of three dimensional shapes-prisms</v>
      </c>
      <c r="I246" s="28"/>
      <c r="J246" s="29" t="str">
        <f t="shared" si="18"/>
        <v>LU000255.001</v>
      </c>
      <c r="K246" s="29" t="str">
        <f ca="1">IFERROR(__xludf.dummyfunction("VLOOKUP(J246, IMPORTRANGE(""https://docs.google.com/spreadsheets/d/1yDAaXNsi4Mr5FtRQL4tbmSdIzhx6_m4wkOD7IG-k_eo/edit#gid=0"", ""Maths!M:N""), 2, FALSE)"),"Define the terms face, edge, and vertex in the context of three-dimensional shape-prism")</f>
        <v>Define the terms face, edge, and vertex in the context of three-dimensional shape-prism</v>
      </c>
      <c r="L246" s="29" t="str">
        <f t="shared" si="19"/>
        <v>LU000255.002</v>
      </c>
      <c r="M246" s="29" t="str">
        <f ca="1">IFERROR(__xludf.dummyfunction("VLOOKUP(L246, IMPORTRANGE(""https://docs.google.com/spreadsheets/d/1yDAaXNsi4Mr5FtRQL4tbmSdIzhx6_m4wkOD7IG-k_eo/edit#gid=0"", ""Maths!M:N""), 2, FALSE)"),"Identify and count the number of faces, edges, and vertices of three-dimensional shape-prism")</f>
        <v>Identify and count the number of faces, edges, and vertices of three-dimensional shape-prism</v>
      </c>
      <c r="N246" s="29" t="str">
        <f t="shared" si="20"/>
        <v>LU000255.003</v>
      </c>
      <c r="O246" s="29" t="str">
        <f ca="1">IFERROR(__xludf.dummyfunction("VLOOKUP(N246, IMPORTRANGE(""https://docs.google.com/spreadsheets/d/1yDAaXNsi4Mr5FtRQL4tbmSdIzhx6_m4wkOD7IG-k_eo/edit#gid=0"", ""Maths!M:N""), 2, FALSE)"),"Demonstrate the ability to distinguish a prism from other three-dimensional shapes based on its faces, edges and vertices.")</f>
        <v>Demonstrate the ability to distinguish a prism from other three-dimensional shapes based on its faces, edges and vertices.</v>
      </c>
      <c r="P246" s="29" t="str">
        <f t="shared" si="21"/>
        <v>LU000255.004</v>
      </c>
      <c r="Q246" s="29" t="str">
        <f ca="1">IFERROR(__xludf.dummyfunction("VLOOKUP(P246, IMPORTRANGE(""https://docs.google.com/spreadsheets/d/1yDAaXNsi4Mr5FtRQL4tbmSdIzhx6_m4wkOD7IG-k_eo/edit#gid=0"", ""Maths!M:N""), 2, FALSE)"),"Analyze the unique characteristics of the prism, including their edgelessness and base properties.")</f>
        <v>Analyze the unique characteristics of the prism, including their edgelessness and base properties.</v>
      </c>
      <c r="R246" s="29" t="str">
        <f t="shared" si="22"/>
        <v>LU000255.005</v>
      </c>
      <c r="S246" s="29" t="str">
        <f ca="1">IFERROR(__xludf.dummyfunction("VLOOKUP(R246, IMPORTRANGE(""https://docs.google.com/spreadsheets/d/1yDAaXNsi4Mr5FtRQL4tbmSdIzhx6_m4wkOD7IG-k_eo/edit#gid=0"", ""Maths!M:N""), 2, FALSE)"),"Evaluate the appropriateness of using specific three-dimensional shape-prism for different applications or scenarios.")</f>
        <v>Evaluate the appropriateness of using specific three-dimensional shape-prism for different applications or scenarios.</v>
      </c>
      <c r="T246" s="29" t="str">
        <f t="shared" si="23"/>
        <v>LU000255.006</v>
      </c>
      <c r="U246" s="29" t="str">
        <f ca="1">IFERROR(__xludf.dummyfunction("VLOOKUP(T246, IMPORTRANGE(""https://docs.google.com/spreadsheets/d/1yDAaXNsi4Mr5FtRQL4tbmSdIzhx6_m4wkOD7IG-k_eo/edit#gid=0"", ""Maths!M:N""), 2, FALSE)"),"Create visual representations or models of three-dimensional shape-prism")</f>
        <v>Create visual representations or models of three-dimensional shape-prism</v>
      </c>
      <c r="V246" s="16">
        <f ca="1">IFERROR(__xludf.dummyfunction("ArrayFormula(VLOOKUP(G246, IMPORTRANGE(""https://docs.google.com/spreadsheets/d/1p7R4vtkWt5VOBim4ltsDG9KTzSjrtKXsMtQGXPHyND0/edit#gid=795171502"", ""'Filter 30_05_2024'!A1:M2000""), {2, 3, 4, 5,6,7,8,9,10,11,12,13}, 0))"),4)</f>
        <v>4</v>
      </c>
      <c r="W246" s="16">
        <f ca="1">IFERROR(__xludf.dummyfunction("""COMPUTED_VALUE"""),6)</f>
        <v>6</v>
      </c>
      <c r="X246" s="16">
        <f ca="1">IFERROR(__xludf.dummyfunction("""COMPUTED_VALUE"""),2)</f>
        <v>2</v>
      </c>
      <c r="Y246" s="16">
        <f ca="1">IFERROR(__xludf.dummyfunction("""COMPUTED_VALUE"""),12)</f>
        <v>12</v>
      </c>
      <c r="Z246" s="16">
        <f ca="1">IFERROR(__xludf.dummyfunction("""COMPUTED_VALUE"""),4)</f>
        <v>4</v>
      </c>
      <c r="AA246" s="30">
        <f ca="1">IFERROR(__xludf.dummyfunction("""COMPUTED_VALUE"""),3)</f>
        <v>3</v>
      </c>
      <c r="AB246" s="30">
        <f ca="1">IFERROR(__xludf.dummyfunction("""COMPUTED_VALUE"""),1)</f>
        <v>1</v>
      </c>
      <c r="AC246" s="30">
        <f ca="1">IFERROR(__xludf.dummyfunction("""COMPUTED_VALUE"""),8)</f>
        <v>8</v>
      </c>
      <c r="AD246" s="16"/>
      <c r="AE246" s="30"/>
      <c r="AF246" s="30"/>
      <c r="AG246" s="30"/>
    </row>
    <row r="247" spans="1:33" ht="26.4">
      <c r="A247" s="25"/>
      <c r="B247" s="26" t="s">
        <v>29</v>
      </c>
      <c r="C247" s="26" t="s">
        <v>310</v>
      </c>
      <c r="D247" s="26">
        <v>6</v>
      </c>
      <c r="E247" s="27" t="s">
        <v>618</v>
      </c>
      <c r="F247" s="28"/>
      <c r="G247" s="26" t="s">
        <v>671</v>
      </c>
      <c r="H247" s="28" t="str">
        <f ca="1">IFERROR(__xludf.dummyfunction("IFERROR(
  VLOOKUP(G247, IMPORTRANGE(""https://docs.google.com/spreadsheets/d/14deopnvwcrKtEGCKuYXdUHJbeLDZlkiSSWWT0g7x2pM/edit#gid=849066331"", ""LU List Maths (Filter)!A:B""), 2, FALSE),
  IFERROR(
    VLOOKUP(G247, IMPORTRANGE(""https://docs.google.com"&amp;"/spreadsheets/d/14deopnvwcrKtEGCKuYXdUHJbeLDZlkiSSWWT0g7x2pM/edit#gid=849066331"", ""LU List Science (Filter)!A:B""), 2, FALSE),
    ""Not Found""
  )
)
"),"Lexical explanation of three dimensional shapes-cones")</f>
        <v>Lexical explanation of three dimensional shapes-cones</v>
      </c>
      <c r="I247" s="28"/>
      <c r="J247" s="29" t="str">
        <f t="shared" si="18"/>
        <v>LU000254.001</v>
      </c>
      <c r="K247" s="29" t="str">
        <f ca="1">IFERROR(__xludf.dummyfunction("VLOOKUP(J247, IMPORTRANGE(""https://docs.google.com/spreadsheets/d/1yDAaXNsi4Mr5FtRQL4tbmSdIzhx6_m4wkOD7IG-k_eo/edit#gid=0"", ""Maths!M:N""), 2, FALSE)"),"Define the terms face, edge, and vertex in the context of three-dimensional shape-cone")</f>
        <v>Define the terms face, edge, and vertex in the context of three-dimensional shape-cone</v>
      </c>
      <c r="L247" s="29" t="str">
        <f t="shared" si="19"/>
        <v>LU000254.002</v>
      </c>
      <c r="M247" s="29" t="str">
        <f ca="1">IFERROR(__xludf.dummyfunction("VLOOKUP(L247, IMPORTRANGE(""https://docs.google.com/spreadsheets/d/1yDAaXNsi4Mr5FtRQL4tbmSdIzhx6_m4wkOD7IG-k_eo/edit#gid=0"", ""Maths!M:N""), 2, FALSE)"),"Identify and count the number of faces, edges, and vertices of three-dimensional shape-cone")</f>
        <v>Identify and count the number of faces, edges, and vertices of three-dimensional shape-cone</v>
      </c>
      <c r="N247" s="29" t="str">
        <f t="shared" si="20"/>
        <v>LU000254.003</v>
      </c>
      <c r="O247" s="29" t="str">
        <f ca="1">IFERROR(__xludf.dummyfunction("VLOOKUP(N247, IMPORTRANGE(""https://docs.google.com/spreadsheets/d/1yDAaXNsi4Mr5FtRQL4tbmSdIzhx6_m4wkOD7IG-k_eo/edit#gid=0"", ""Maths!M:N""), 2, FALSE)"),"Demonstrate the ability to distinguish a cone from other three-dimensional shapes based on its faces, edges and vertices.")</f>
        <v>Demonstrate the ability to distinguish a cone from other three-dimensional shapes based on its faces, edges and vertices.</v>
      </c>
      <c r="P247" s="29" t="str">
        <f t="shared" si="21"/>
        <v>LU000254.004</v>
      </c>
      <c r="Q247" s="29" t="str">
        <f ca="1">IFERROR(__xludf.dummyfunction("VLOOKUP(P247, IMPORTRANGE(""https://docs.google.com/spreadsheets/d/1yDAaXNsi4Mr5FtRQL4tbmSdIzhx6_m4wkOD7IG-k_eo/edit#gid=0"", ""Maths!M:N""), 2, FALSE)"),"Analyze the unique characteristics of the cone, including their edgelessness and base properties.")</f>
        <v>Analyze the unique characteristics of the cone, including their edgelessness and base properties.</v>
      </c>
      <c r="R247" s="29" t="str">
        <f t="shared" si="22"/>
        <v>LU000254.005</v>
      </c>
      <c r="S247" s="29" t="str">
        <f ca="1">IFERROR(__xludf.dummyfunction("VLOOKUP(R247, IMPORTRANGE(""https://docs.google.com/spreadsheets/d/1yDAaXNsi4Mr5FtRQL4tbmSdIzhx6_m4wkOD7IG-k_eo/edit#gid=0"", ""Maths!M:N""), 2, FALSE)"),"Evaluate the appropriateness of using specific three-dimensional shape-cone for different applications or scenarios.")</f>
        <v>Evaluate the appropriateness of using specific three-dimensional shape-cone for different applications or scenarios.</v>
      </c>
      <c r="T247" s="29" t="str">
        <f t="shared" si="23"/>
        <v>LU000254.006</v>
      </c>
      <c r="U247" s="29" t="str">
        <f ca="1">IFERROR(__xludf.dummyfunction("VLOOKUP(T247, IMPORTRANGE(""https://docs.google.com/spreadsheets/d/1yDAaXNsi4Mr5FtRQL4tbmSdIzhx6_m4wkOD7IG-k_eo/edit#gid=0"", ""Maths!M:N""), 2, FALSE)"),"Create visual representations or models of three-dimensional shape-cone")</f>
        <v>Create visual representations or models of three-dimensional shape-cone</v>
      </c>
      <c r="V247" s="16">
        <f ca="1">IFERROR(__xludf.dummyfunction("ArrayFormula(VLOOKUP(G247, IMPORTRANGE(""https://docs.google.com/spreadsheets/d/1p7R4vtkWt5VOBim4ltsDG9KTzSjrtKXsMtQGXPHyND0/edit#gid=795171502"", ""'Filter 30_05_2024'!A1:M2000""), {2, 3, 4, 5,6,7,8,9,10,11,12,13}, 0))"),4)</f>
        <v>4</v>
      </c>
      <c r="W247" s="16">
        <f ca="1">IFERROR(__xludf.dummyfunction("""COMPUTED_VALUE"""),6)</f>
        <v>6</v>
      </c>
      <c r="X247" s="16">
        <f ca="1">IFERROR(__xludf.dummyfunction("""COMPUTED_VALUE"""),2)</f>
        <v>2</v>
      </c>
      <c r="Y247" s="16">
        <f ca="1">IFERROR(__xludf.dummyfunction("""COMPUTED_VALUE"""),12)</f>
        <v>12</v>
      </c>
      <c r="Z247" s="16">
        <f ca="1">IFERROR(__xludf.dummyfunction("""COMPUTED_VALUE"""),4)</f>
        <v>4</v>
      </c>
      <c r="AA247" s="30">
        <f ca="1">IFERROR(__xludf.dummyfunction("""COMPUTED_VALUE"""),3)</f>
        <v>3</v>
      </c>
      <c r="AB247" s="30">
        <f ca="1">IFERROR(__xludf.dummyfunction("""COMPUTED_VALUE"""),1)</f>
        <v>1</v>
      </c>
      <c r="AC247" s="30">
        <f ca="1">IFERROR(__xludf.dummyfunction("""COMPUTED_VALUE"""),8)</f>
        <v>8</v>
      </c>
      <c r="AD247" s="16"/>
      <c r="AE247" s="30"/>
      <c r="AF247" s="30"/>
      <c r="AG247" s="30"/>
    </row>
    <row r="248" spans="1:33" ht="26.4">
      <c r="A248" s="25"/>
      <c r="B248" s="26" t="s">
        <v>29</v>
      </c>
      <c r="C248" s="26" t="s">
        <v>310</v>
      </c>
      <c r="D248" s="26">
        <v>6</v>
      </c>
      <c r="E248" s="27" t="s">
        <v>618</v>
      </c>
      <c r="F248" s="28"/>
      <c r="G248" s="26" t="s">
        <v>672</v>
      </c>
      <c r="H248" s="28" t="str">
        <f ca="1">IFERROR(__xludf.dummyfunction("IFERROR(
  VLOOKUP(G248, IMPORTRANGE(""https://docs.google.com/spreadsheets/d/14deopnvwcrKtEGCKuYXdUHJbeLDZlkiSSWWT0g7x2pM/edit#gid=849066331"", ""LU List Maths (Filter)!A:B""), 2, FALSE),
  IFERROR(
    VLOOKUP(G248, IMPORTRANGE(""https://docs.google.com"&amp;"/spreadsheets/d/14deopnvwcrKtEGCKuYXdUHJbeLDZlkiSSWWT0g7x2pM/edit#gid=849066331"", ""LU List Science (Filter)!A:B""), 2, FALSE),
    ""Not Found""
  )
)
"),"Lexical explanation of three dimensional shapes-cylinders")</f>
        <v>Lexical explanation of three dimensional shapes-cylinders</v>
      </c>
      <c r="I248" s="28"/>
      <c r="J248" s="29" t="str">
        <f t="shared" si="18"/>
        <v>LU000253.001</v>
      </c>
      <c r="K248" s="29" t="str">
        <f ca="1">IFERROR(__xludf.dummyfunction("VLOOKUP(J248, IMPORTRANGE(""https://docs.google.com/spreadsheets/d/1yDAaXNsi4Mr5FtRQL4tbmSdIzhx6_m4wkOD7IG-k_eo/edit#gid=0"", ""Maths!M:N""), 2, FALSE)"),"Define the terms face, and edge in the context of three-dimensional shape-cylinder")</f>
        <v>Define the terms face, and edge in the context of three-dimensional shape-cylinder</v>
      </c>
      <c r="L248" s="29" t="str">
        <f t="shared" si="19"/>
        <v>LU000253.002</v>
      </c>
      <c r="M248" s="29" t="str">
        <f ca="1">IFERROR(__xludf.dummyfunction("VLOOKUP(L248, IMPORTRANGE(""https://docs.google.com/spreadsheets/d/1yDAaXNsi4Mr5FtRQL4tbmSdIzhx6_m4wkOD7IG-k_eo/edit#gid=0"", ""Maths!M:N""), 2, FALSE)"),"Identify and count the number of face, and edge of three-dimensional shape-cylinder")</f>
        <v>Identify and count the number of face, and edge of three-dimensional shape-cylinder</v>
      </c>
      <c r="N248" s="29" t="str">
        <f t="shared" si="20"/>
        <v>LU000253.003</v>
      </c>
      <c r="O248" s="29" t="str">
        <f ca="1">IFERROR(__xludf.dummyfunction("VLOOKUP(N248, IMPORTRANGE(""https://docs.google.com/spreadsheets/d/1yDAaXNsi4Mr5FtRQL4tbmSdIzhx6_m4wkOD7IG-k_eo/edit#gid=0"", ""Maths!M:N""), 2, FALSE)"),"Demonstrate the ability to distinguish a cone from other three-dimensional shapes based on its faces, edges and vertices.")</f>
        <v>Demonstrate the ability to distinguish a cone from other three-dimensional shapes based on its faces, edges and vertices.</v>
      </c>
      <c r="P248" s="29" t="str">
        <f t="shared" si="21"/>
        <v>LU000253.004</v>
      </c>
      <c r="Q248" s="29" t="str">
        <f ca="1">IFERROR(__xludf.dummyfunction("VLOOKUP(P248, IMPORTRANGE(""https://docs.google.com/spreadsheets/d/1yDAaXNsi4Mr5FtRQL4tbmSdIzhx6_m4wkOD7IG-k_eo/edit#gid=0"", ""Maths!M:N""), 2, FALSE)"),"Analyze the unique characteristics of the cylinder, including their edgelessness and base properties.")</f>
        <v>Analyze the unique characteristics of the cylinder, including their edgelessness and base properties.</v>
      </c>
      <c r="R248" s="29" t="str">
        <f t="shared" si="22"/>
        <v>LU000253.005</v>
      </c>
      <c r="S248" s="29" t="str">
        <f ca="1">IFERROR(__xludf.dummyfunction("VLOOKUP(R248, IMPORTRANGE(""https://docs.google.com/spreadsheets/d/1yDAaXNsi4Mr5FtRQL4tbmSdIzhx6_m4wkOD7IG-k_eo/edit#gid=0"", ""Maths!M:N""), 2, FALSE)"),"Evaluate the appropriateness of using specific three-dimensional shape-cylinder for different applications or scenarios.")</f>
        <v>Evaluate the appropriateness of using specific three-dimensional shape-cylinder for different applications or scenarios.</v>
      </c>
      <c r="T248" s="29" t="str">
        <f t="shared" si="23"/>
        <v>LU000253.006</v>
      </c>
      <c r="U248" s="29" t="str">
        <f ca="1">IFERROR(__xludf.dummyfunction("VLOOKUP(T248, IMPORTRANGE(""https://docs.google.com/spreadsheets/d/1yDAaXNsi4Mr5FtRQL4tbmSdIzhx6_m4wkOD7IG-k_eo/edit#gid=0"", ""Maths!M:N""), 2, FALSE)"),"Create visual representations or models of three-dimensional shape-cylinder")</f>
        <v>Create visual representations or models of three-dimensional shape-cylinder</v>
      </c>
      <c r="V248" s="16">
        <f ca="1">IFERROR(__xludf.dummyfunction("ArrayFormula(VLOOKUP(G248, IMPORTRANGE(""https://docs.google.com/spreadsheets/d/1p7R4vtkWt5VOBim4ltsDG9KTzSjrtKXsMtQGXPHyND0/edit#gid=795171502"", ""'Filter 30_05_2024'!A1:M2000""), {2, 3, 4, 5,6,7,8,9,10,11,12,13}, 0))"),4)</f>
        <v>4</v>
      </c>
      <c r="W248" s="16">
        <f ca="1">IFERROR(__xludf.dummyfunction("""COMPUTED_VALUE"""),6)</f>
        <v>6</v>
      </c>
      <c r="X248" s="16">
        <f ca="1">IFERROR(__xludf.dummyfunction("""COMPUTED_VALUE"""),2)</f>
        <v>2</v>
      </c>
      <c r="Y248" s="16">
        <f ca="1">IFERROR(__xludf.dummyfunction("""COMPUTED_VALUE"""),12)</f>
        <v>12</v>
      </c>
      <c r="Z248" s="16">
        <f ca="1">IFERROR(__xludf.dummyfunction("""COMPUTED_VALUE"""),4)</f>
        <v>4</v>
      </c>
      <c r="AA248" s="30">
        <f ca="1">IFERROR(__xludf.dummyfunction("""COMPUTED_VALUE"""),3)</f>
        <v>3</v>
      </c>
      <c r="AB248" s="30">
        <f ca="1">IFERROR(__xludf.dummyfunction("""COMPUTED_VALUE"""),1)</f>
        <v>1</v>
      </c>
      <c r="AC248" s="30">
        <f ca="1">IFERROR(__xludf.dummyfunction("""COMPUTED_VALUE"""),8)</f>
        <v>8</v>
      </c>
      <c r="AD248" s="16"/>
      <c r="AE248" s="30"/>
      <c r="AF248" s="30"/>
      <c r="AG248" s="30"/>
    </row>
    <row r="249" spans="1:33" ht="26.4">
      <c r="A249" s="25"/>
      <c r="B249" s="26" t="s">
        <v>29</v>
      </c>
      <c r="C249" s="26" t="s">
        <v>310</v>
      </c>
      <c r="D249" s="26">
        <v>6</v>
      </c>
      <c r="E249" s="27" t="s">
        <v>618</v>
      </c>
      <c r="F249" s="28"/>
      <c r="G249" s="26" t="s">
        <v>673</v>
      </c>
      <c r="H249" s="28" t="str">
        <f ca="1">IFERROR(__xludf.dummyfunction("IFERROR(
  VLOOKUP(G249, IMPORTRANGE(""https://docs.google.com/spreadsheets/d/14deopnvwcrKtEGCKuYXdUHJbeLDZlkiSSWWT0g7x2pM/edit#gid=849066331"", ""LU List Maths (Filter)!A:B""), 2, FALSE),
  IFERROR(
    VLOOKUP(G249, IMPORTRANGE(""https://docs.google.com"&amp;"/spreadsheets/d/14deopnvwcrKtEGCKuYXdUHJbeLDZlkiSSWWT0g7x2pM/edit#gid=849066331"", ""LU List Science (Filter)!A:B""), 2, FALSE),
    ""Not Found""
  )
)
"),"Lexical explanation of three dimensional shapes-pyramids")</f>
        <v>Lexical explanation of three dimensional shapes-pyramids</v>
      </c>
      <c r="I249" s="28"/>
      <c r="J249" s="29" t="str">
        <f t="shared" si="18"/>
        <v>LU000256.001</v>
      </c>
      <c r="K249" s="29" t="str">
        <f ca="1">IFERROR(__xludf.dummyfunction("VLOOKUP(J249, IMPORTRANGE(""https://docs.google.com/spreadsheets/d/1yDAaXNsi4Mr5FtRQL4tbmSdIzhx6_m4wkOD7IG-k_eo/edit#gid=0"", ""Maths!M:N""), 2, FALSE)"),"Define the terms face, edge, and vertex in the context of three-dimensional shape-pyramid")</f>
        <v>Define the terms face, edge, and vertex in the context of three-dimensional shape-pyramid</v>
      </c>
      <c r="L249" s="29" t="str">
        <f t="shared" si="19"/>
        <v>LU000256.002</v>
      </c>
      <c r="M249" s="29" t="str">
        <f ca="1">IFERROR(__xludf.dummyfunction("VLOOKUP(L249, IMPORTRANGE(""https://docs.google.com/spreadsheets/d/1yDAaXNsi4Mr5FtRQL4tbmSdIzhx6_m4wkOD7IG-k_eo/edit#gid=0"", ""Maths!M:N""), 2, FALSE)"),"Identify and count the number of faces, edges, and vertices of three-dimensional shape-pyramid")</f>
        <v>Identify and count the number of faces, edges, and vertices of three-dimensional shape-pyramid</v>
      </c>
      <c r="N249" s="29" t="str">
        <f t="shared" si="20"/>
        <v>LU000256.003</v>
      </c>
      <c r="O249" s="29" t="str">
        <f ca="1">IFERROR(__xludf.dummyfunction("VLOOKUP(N249, IMPORTRANGE(""https://docs.google.com/spreadsheets/d/1yDAaXNsi4Mr5FtRQL4tbmSdIzhx6_m4wkOD7IG-k_eo/edit#gid=0"", ""Maths!M:N""), 2, FALSE)"),"Demonstrate the ability to distinguish a pyramid from other three-dimensional shapes based on its faces, edges and vertices.")</f>
        <v>Demonstrate the ability to distinguish a pyramid from other three-dimensional shapes based on its faces, edges and vertices.</v>
      </c>
      <c r="P249" s="29" t="str">
        <f t="shared" si="21"/>
        <v>LU000256.004</v>
      </c>
      <c r="Q249" s="29" t="str">
        <f ca="1">IFERROR(__xludf.dummyfunction("VLOOKUP(P249, IMPORTRANGE(""https://docs.google.com/spreadsheets/d/1yDAaXNsi4Mr5FtRQL4tbmSdIzhx6_m4wkOD7IG-k_eo/edit#gid=0"", ""Maths!M:N""), 2, FALSE)"),"Analyze the unique characteristics of the pyramid, including their edgelessness and base properties.")</f>
        <v>Analyze the unique characteristics of the pyramid, including their edgelessness and base properties.</v>
      </c>
      <c r="R249" s="29" t="str">
        <f t="shared" si="22"/>
        <v>LU000256.005</v>
      </c>
      <c r="S249" s="29" t="str">
        <f ca="1">IFERROR(__xludf.dummyfunction("VLOOKUP(R249, IMPORTRANGE(""https://docs.google.com/spreadsheets/d/1yDAaXNsi4Mr5FtRQL4tbmSdIzhx6_m4wkOD7IG-k_eo/edit#gid=0"", ""Maths!M:N""), 2, FALSE)"),"Evaluate the appropriateness of using specific three-dimensional shape-pyramid for different applications or scenarios.")</f>
        <v>Evaluate the appropriateness of using specific three-dimensional shape-pyramid for different applications or scenarios.</v>
      </c>
      <c r="T249" s="29" t="str">
        <f t="shared" si="23"/>
        <v>LU000256.006</v>
      </c>
      <c r="U249" s="29" t="str">
        <f ca="1">IFERROR(__xludf.dummyfunction("VLOOKUP(T249, IMPORTRANGE(""https://docs.google.com/spreadsheets/d/1yDAaXNsi4Mr5FtRQL4tbmSdIzhx6_m4wkOD7IG-k_eo/edit#gid=0"", ""Maths!M:N""), 2, FALSE)"),"Create visual representations or models of three-dimensional shape-pyramid")</f>
        <v>Create visual representations or models of three-dimensional shape-pyramid</v>
      </c>
      <c r="V249" s="16">
        <f ca="1">IFERROR(__xludf.dummyfunction("ArrayFormula(VLOOKUP(G249, IMPORTRANGE(""https://docs.google.com/spreadsheets/d/1p7R4vtkWt5VOBim4ltsDG9KTzSjrtKXsMtQGXPHyND0/edit#gid=795171502"", ""'Filter 30_05_2024'!A1:M2000""), {2, 3, 4, 5,6,7,8,9,10,11,12,13}, 0))"),4)</f>
        <v>4</v>
      </c>
      <c r="W249" s="16">
        <f ca="1">IFERROR(__xludf.dummyfunction("""COMPUTED_VALUE"""),6)</f>
        <v>6</v>
      </c>
      <c r="X249" s="16">
        <f ca="1">IFERROR(__xludf.dummyfunction("""COMPUTED_VALUE"""),2)</f>
        <v>2</v>
      </c>
      <c r="Y249" s="16">
        <f ca="1">IFERROR(__xludf.dummyfunction("""COMPUTED_VALUE"""),12)</f>
        <v>12</v>
      </c>
      <c r="Z249" s="16">
        <f ca="1">IFERROR(__xludf.dummyfunction("""COMPUTED_VALUE"""),4)</f>
        <v>4</v>
      </c>
      <c r="AA249" s="30">
        <f ca="1">IFERROR(__xludf.dummyfunction("""COMPUTED_VALUE"""),3)</f>
        <v>3</v>
      </c>
      <c r="AB249" s="30">
        <f ca="1">IFERROR(__xludf.dummyfunction("""COMPUTED_VALUE"""),1)</f>
        <v>1</v>
      </c>
      <c r="AC249" s="30">
        <f ca="1">IFERROR(__xludf.dummyfunction("""COMPUTED_VALUE"""),8)</f>
        <v>8</v>
      </c>
      <c r="AD249" s="16"/>
      <c r="AE249" s="30"/>
      <c r="AF249" s="30"/>
      <c r="AG249" s="30"/>
    </row>
    <row r="250" spans="1:33" ht="26.4">
      <c r="A250" s="25"/>
      <c r="B250" s="26" t="s">
        <v>29</v>
      </c>
      <c r="C250" s="26" t="s">
        <v>310</v>
      </c>
      <c r="D250" s="26">
        <v>6</v>
      </c>
      <c r="E250" s="27" t="s">
        <v>618</v>
      </c>
      <c r="F250" s="28"/>
      <c r="G250" s="26" t="s">
        <v>674</v>
      </c>
      <c r="H250" s="28" t="str">
        <f ca="1">IFERROR(__xludf.dummyfunction("IFERROR(
  VLOOKUP(G250, IMPORTRANGE(""https://docs.google.com/spreadsheets/d/14deopnvwcrKtEGCKuYXdUHJbeLDZlkiSSWWT0g7x2pM/edit#gid=849066331"", ""LU List Maths (Filter)!A:B""), 2, FALSE),
  IFERROR(
    VLOOKUP(G250, IMPORTRANGE(""https://docs.google.com"&amp;"/spreadsheets/d/14deopnvwcrKtEGCKuYXdUHJbeLDZlkiSSWWT0g7x2pM/edit#gid=849066331"", ""LU List Science (Filter)!A:B""), 2, FALSE),
    ""Not Found""
  )
)
"),"Definition of three dimensional shape - tetrahedron")</f>
        <v>Definition of three dimensional shape - tetrahedron</v>
      </c>
      <c r="I250" s="28"/>
      <c r="J250" s="29" t="str">
        <f t="shared" si="18"/>
        <v>LU000570.001</v>
      </c>
      <c r="K250" s="29" t="str">
        <f ca="1">IFERROR(__xludf.dummyfunction("VLOOKUP(J250, IMPORTRANGE(""https://docs.google.com/spreadsheets/d/1yDAaXNsi4Mr5FtRQL4tbmSdIzhx6_m4wkOD7IG-k_eo/edit#gid=0"", ""Maths!M:N""), 2, FALSE)"),"State the definition of a tetrahedron")</f>
        <v>State the definition of a tetrahedron</v>
      </c>
      <c r="L250" s="29" t="str">
        <f t="shared" si="19"/>
        <v>LU000570.002</v>
      </c>
      <c r="M250" s="29" t="str">
        <f ca="1">IFERROR(__xludf.dummyfunction("VLOOKUP(L250, IMPORTRANGE(""https://docs.google.com/spreadsheets/d/1yDAaXNsi4Mr5FtRQL4tbmSdIzhx6_m4wkOD7IG-k_eo/edit#gid=0"", ""Maths!M:N""), 2, FALSE)"),"Explain the properties of a tetrahedron")</f>
        <v>Explain the properties of a tetrahedron</v>
      </c>
      <c r="N250" s="29" t="str">
        <f t="shared" si="20"/>
        <v>LU000570.003</v>
      </c>
      <c r="O250" s="29" t="str">
        <f ca="1">IFERROR(__xludf.dummyfunction("VLOOKUP(N250, IMPORTRANGE(""https://docs.google.com/spreadsheets/d/1yDAaXNsi4Mr5FtRQL4tbmSdIzhx6_m4wkOD7IG-k_eo/edit#gid=0"", ""Maths!M:N""), 2, FALSE)"),"Apply the knowledge of a tetrahedron's properties to identify and classify objects as tetrahedron.")</f>
        <v>Apply the knowledge of a tetrahedron's properties to identify and classify objects as tetrahedron.</v>
      </c>
      <c r="P250" s="29" t="str">
        <f t="shared" si="21"/>
        <v>LU000570.004</v>
      </c>
      <c r="Q250" s="29" t="str">
        <f ca="1">IFERROR(__xludf.dummyfunction("VLOOKUP(P250, IMPORTRANGE(""https://docs.google.com/spreadsheets/d/1yDAaXNsi4Mr5FtRQL4tbmSdIzhx6_m4wkOD7IG-k_eo/edit#gid=0"", ""Maths!M:N""), 2, FALSE)"),"Analyse the geometric characteristics of a tetrahedron, including its faces, edges, and vertices.")</f>
        <v>Analyse the geometric characteristics of a tetrahedron, including its faces, edges, and vertices.</v>
      </c>
      <c r="R250" s="29" t="str">
        <f t="shared" si="22"/>
        <v>LU000570.005</v>
      </c>
      <c r="S250" s="29" t="str">
        <f ca="1">IFERROR(__xludf.dummyfunction("VLOOKUP(R250, IMPORTRANGE(""https://docs.google.com/spreadsheets/d/1yDAaXNsi4Mr5FtRQL4tbmSdIzhx6_m4wkOD7IG-k_eo/edit#gid=0"", ""Maths!M:N""), 2, FALSE)"),"Evaluate the practical uses and applications of tetrahedron in various fields")</f>
        <v>Evaluate the practical uses and applications of tetrahedron in various fields</v>
      </c>
      <c r="T250" s="29" t="str">
        <f t="shared" si="23"/>
        <v>LU000570.006</v>
      </c>
      <c r="U250" s="29" t="str">
        <f ca="1">IFERROR(__xludf.dummyfunction("VLOOKUP(T250, IMPORTRANGE(""https://docs.google.com/spreadsheets/d/1yDAaXNsi4Mr5FtRQL4tbmSdIzhx6_m4wkOD7IG-k_eo/edit#gid=0"", ""Maths!M:N""), 2, FALSE)"),"Create a three-dimensional model of a tetrahedron using physical materials or software, demonstrating an understanding of its shape and properties.")</f>
        <v>Create a three-dimensional model of a tetrahedron using physical materials or software, demonstrating an understanding of its shape and properties.</v>
      </c>
      <c r="V250" s="16">
        <f ca="1">IFERROR(__xludf.dummyfunction("ArrayFormula(VLOOKUP(G250, IMPORTRANGE(""https://docs.google.com/spreadsheets/d/1p7R4vtkWt5VOBim4ltsDG9KTzSjrtKXsMtQGXPHyND0/edit#gid=795171502"", ""'Filter 30_05_2024'!A1:M2000""), {2, 3, 4, 5,6,7,8,9,10,11,12,13}, 0))"),4)</f>
        <v>4</v>
      </c>
      <c r="W250" s="16">
        <f ca="1">IFERROR(__xludf.dummyfunction("""COMPUTED_VALUE"""),6)</f>
        <v>6</v>
      </c>
      <c r="X250" s="16">
        <f ca="1">IFERROR(__xludf.dummyfunction("""COMPUTED_VALUE"""),2)</f>
        <v>2</v>
      </c>
      <c r="Y250" s="16">
        <f ca="1">IFERROR(__xludf.dummyfunction("""COMPUTED_VALUE"""),12)</f>
        <v>12</v>
      </c>
      <c r="Z250" s="16">
        <f ca="1">IFERROR(__xludf.dummyfunction("""COMPUTED_VALUE"""),4)</f>
        <v>4</v>
      </c>
      <c r="AA250" s="30">
        <f ca="1">IFERROR(__xludf.dummyfunction("""COMPUTED_VALUE"""),3)</f>
        <v>3</v>
      </c>
      <c r="AB250" s="30">
        <f ca="1">IFERROR(__xludf.dummyfunction("""COMPUTED_VALUE"""),1)</f>
        <v>1</v>
      </c>
      <c r="AC250" s="30">
        <f ca="1">IFERROR(__xludf.dummyfunction("""COMPUTED_VALUE"""),8)</f>
        <v>8</v>
      </c>
      <c r="AD250" s="16"/>
      <c r="AE250" s="30"/>
      <c r="AF250" s="30"/>
      <c r="AG250" s="30"/>
    </row>
    <row r="251" spans="1:33" ht="26.4">
      <c r="A251" s="43"/>
      <c r="B251" s="44" t="s">
        <v>29</v>
      </c>
      <c r="C251" s="44" t="s">
        <v>310</v>
      </c>
      <c r="D251" s="44">
        <v>6</v>
      </c>
      <c r="E251" s="45" t="s">
        <v>618</v>
      </c>
      <c r="F251" s="46"/>
      <c r="G251" s="44" t="s">
        <v>675</v>
      </c>
      <c r="H251" s="46" t="str">
        <f ca="1">IFERROR(__xludf.dummyfunction("IFERROR(
  VLOOKUP(G251, IMPORTRANGE(""https://docs.google.com/spreadsheets/d/14deopnvwcrKtEGCKuYXdUHJbeLDZlkiSSWWT0g7x2pM/edit#gid=849066331"", ""LU List Maths (Filter)!A:B""), 2, FALSE),
  IFERROR(
    VLOOKUP(G251, IMPORTRANGE(""https://docs.google.com"&amp;"/spreadsheets/d/14deopnvwcrKtEGCKuYXdUHJbeLDZlkiSSWWT0g7x2pM/edit#gid=849066331"", ""LU List Science (Filter)!A:B""), 2, FALSE),
    ""Not Found""
  )
)
"),"Lexical explanation of three dimensional shapes-spheres")</f>
        <v>Lexical explanation of three dimensional shapes-spheres</v>
      </c>
      <c r="I251" s="46"/>
      <c r="J251" s="29" t="str">
        <f t="shared" si="18"/>
        <v>LU000252.001</v>
      </c>
      <c r="K251" s="29" t="str">
        <f ca="1">IFERROR(__xludf.dummyfunction("VLOOKUP(J251, IMPORTRANGE(""https://docs.google.com/spreadsheets/d/1yDAaXNsi4Mr5FtRQL4tbmSdIzhx6_m4wkOD7IG-k_eo/edit#gid=0"", ""Maths!M:N""), 2, FALSE)"),"Define the terms face, edge, and vertex in the context of three-dimensional shape-sphere")</f>
        <v>Define the terms face, edge, and vertex in the context of three-dimensional shape-sphere</v>
      </c>
      <c r="L251" s="29" t="str">
        <f t="shared" si="19"/>
        <v>LU000252.002</v>
      </c>
      <c r="M251" s="29" t="str">
        <f ca="1">IFERROR(__xludf.dummyfunction("VLOOKUP(L251, IMPORTRANGE(""https://docs.google.com/spreadsheets/d/1yDAaXNsi4Mr5FtRQL4tbmSdIzhx6_m4wkOD7IG-k_eo/edit#gid=0"", ""Maths!M:N""), 2, FALSE)"),"Identify and count the number of faces, edges, and vertices of three-dimensional shape-sphere")</f>
        <v>Identify and count the number of faces, edges, and vertices of three-dimensional shape-sphere</v>
      </c>
      <c r="N251" s="29" t="str">
        <f t="shared" si="20"/>
        <v>LU000252.003</v>
      </c>
      <c r="O251" s="29" t="str">
        <f ca="1">IFERROR(__xludf.dummyfunction("VLOOKUP(N251, IMPORTRANGE(""https://docs.google.com/spreadsheets/d/1yDAaXNsi4Mr5FtRQL4tbmSdIzhx6_m4wkOD7IG-k_eo/edit#gid=0"", ""Maths!M:N""), 2, FALSE)"),"#N/A")</f>
        <v>#N/A</v>
      </c>
      <c r="P251" s="29" t="str">
        <f t="shared" si="21"/>
        <v>LU000252.004</v>
      </c>
      <c r="Q251" s="29" t="str">
        <f ca="1">IFERROR(__xludf.dummyfunction("VLOOKUP(P251, IMPORTRANGE(""https://docs.google.com/spreadsheets/d/1yDAaXNsi4Mr5FtRQL4tbmSdIzhx6_m4wkOD7IG-k_eo/edit#gid=0"", ""Maths!M:N""), 2, FALSE)"),"Analyze the unique characteristics of the sphere, including their edgelessness and base properties.")</f>
        <v>Analyze the unique characteristics of the sphere, including their edgelessness and base properties.</v>
      </c>
      <c r="R251" s="29" t="str">
        <f t="shared" si="22"/>
        <v>LU000252.005</v>
      </c>
      <c r="S251" s="29" t="str">
        <f ca="1">IFERROR(__xludf.dummyfunction("VLOOKUP(R251, IMPORTRANGE(""https://docs.google.com/spreadsheets/d/1yDAaXNsi4Mr5FtRQL4tbmSdIzhx6_m4wkOD7IG-k_eo/edit#gid=0"", ""Maths!M:N""), 2, FALSE)"),"Evaluate the appropriateness of using specific three-dimensional shape-sphere for different applications or scenarios.")</f>
        <v>Evaluate the appropriateness of using specific three-dimensional shape-sphere for different applications or scenarios.</v>
      </c>
      <c r="T251" s="29" t="str">
        <f t="shared" si="23"/>
        <v>LU000252.006</v>
      </c>
      <c r="U251" s="29" t="str">
        <f ca="1">IFERROR(__xludf.dummyfunction("VLOOKUP(T251, IMPORTRANGE(""https://docs.google.com/spreadsheets/d/1yDAaXNsi4Mr5FtRQL4tbmSdIzhx6_m4wkOD7IG-k_eo/edit#gid=0"", ""Maths!M:N""), 2, FALSE)"),"Create visual representations or models of three-dimensional shape-sphere")</f>
        <v>Create visual representations or models of three-dimensional shape-sphere</v>
      </c>
      <c r="V251" s="16" t="str">
        <f ca="1">IFERROR(__xludf.dummyfunction("ArrayFormula(VLOOKUP(G251, IMPORTRANGE(""https://docs.google.com/spreadsheets/d/1p7R4vtkWt5VOBim4ltsDG9KTzSjrtKXsMtQGXPHyND0/edit#gid=795171502"", ""'Filter 30_05_2024'!A1:M2000""), {2, 3, 4, 5,6,7,8,9,10,11,12,13}, 0))"),"#N/A")</f>
        <v>#N/A</v>
      </c>
      <c r="W251" s="16" t="str">
        <f ca="1">IFERROR(__xludf.dummyfunction("""COMPUTED_VALUE"""),"#N/A")</f>
        <v>#N/A</v>
      </c>
      <c r="X251" s="16" t="str">
        <f ca="1">IFERROR(__xludf.dummyfunction("""COMPUTED_VALUE"""),"#N/A")</f>
        <v>#N/A</v>
      </c>
      <c r="Y251" s="16" t="str">
        <f ca="1">IFERROR(__xludf.dummyfunction("""COMPUTED_VALUE"""),"#N/A")</f>
        <v>#N/A</v>
      </c>
      <c r="Z251" s="16" t="str">
        <f ca="1">IFERROR(__xludf.dummyfunction("""COMPUTED_VALUE"""),"#N/A")</f>
        <v>#N/A</v>
      </c>
      <c r="AA251" s="30" t="str">
        <f ca="1">IFERROR(__xludf.dummyfunction("""COMPUTED_VALUE"""),"#N/A")</f>
        <v>#N/A</v>
      </c>
      <c r="AB251" s="30" t="str">
        <f ca="1">IFERROR(__xludf.dummyfunction("""COMPUTED_VALUE"""),"#N/A")</f>
        <v>#N/A</v>
      </c>
      <c r="AC251" s="30" t="str">
        <f ca="1">IFERROR(__xludf.dummyfunction("""COMPUTED_VALUE"""),"#N/A")</f>
        <v>#N/A</v>
      </c>
      <c r="AD251" s="16" t="str">
        <f ca="1">IFERROR(__xludf.dummyfunction("""COMPUTED_VALUE"""),"#N/A")</f>
        <v>#N/A</v>
      </c>
      <c r="AE251" s="30" t="str">
        <f ca="1">IFERROR(__xludf.dummyfunction("""COMPUTED_VALUE"""),"#N/A")</f>
        <v>#N/A</v>
      </c>
      <c r="AF251" s="30" t="str">
        <f ca="1">IFERROR(__xludf.dummyfunction("""COMPUTED_VALUE"""),"#N/A")</f>
        <v>#N/A</v>
      </c>
      <c r="AG251" s="30" t="str">
        <f ca="1">IFERROR(__xludf.dummyfunction("""COMPUTED_VALUE"""),"#N/A")</f>
        <v>#N/A</v>
      </c>
    </row>
    <row r="252" spans="1:33" ht="52.8">
      <c r="A252" s="43"/>
      <c r="B252" s="44" t="s">
        <v>29</v>
      </c>
      <c r="C252" s="44" t="s">
        <v>310</v>
      </c>
      <c r="D252" s="44">
        <v>6</v>
      </c>
      <c r="E252" s="45" t="s">
        <v>618</v>
      </c>
      <c r="F252" s="46"/>
      <c r="G252" s="44" t="s">
        <v>676</v>
      </c>
      <c r="H252" s="46" t="str">
        <f ca="1">IFERROR(__xludf.dummyfunction("IFERROR(
  VLOOKUP(G252, IMPORTRANGE(""https://docs.google.com/spreadsheets/d/14deopnvwcrKtEGCKuYXdUHJbeLDZlkiSSWWT0g7x2pM/edit#gid=849066331"", ""LU List Maths (Filter)!A:B""), 2, FALSE),
  IFERROR(
    VLOOKUP(G252, IMPORTRANGE(""https://docs.google.com"&amp;"/spreadsheets/d/14deopnvwcrKtEGCKuYXdUHJbeLDZlkiSSWWT0g7x2pM/edit#gid=849066331"", ""LU List Science (Filter)!A:B""), 2, FALSE),
    ""Not Found""
  )
)
"),"Lexical explanation of composite three dimensional shapes (made of cube/cuboids/spheres/cylinders/cones/prisms/triangular pyramids/square pyramids)")</f>
        <v>Lexical explanation of composite three dimensional shapes (made of cube/cuboids/spheres/cylinders/cones/prisms/triangular pyramids/square pyramids)</v>
      </c>
      <c r="I252" s="46"/>
      <c r="J252" s="29" t="str">
        <f t="shared" si="18"/>
        <v>LU000555.001</v>
      </c>
      <c r="K252" s="29" t="str">
        <f ca="1">IFERROR(__xludf.dummyfunction("VLOOKUP(J252, IMPORTRANGE(""https://docs.google.com/spreadsheets/d/1yDAaXNsi4Mr5FtRQL4tbmSdIzhx6_m4wkOD7IG-k_eo/edit#gid=0"", ""Maths!M:N""), 2, FALSE)"),"State that composite 3D shapes are formed by combining multiple fundamental shapes (like cubes, spheres, cylinders, cones, prisms, triangular pyramids, and square pyramids).")</f>
        <v>State that composite 3D shapes are formed by combining multiple fundamental shapes (like cubes, spheres, cylinders, cones, prisms, triangular pyramids, and square pyramids).</v>
      </c>
      <c r="L252" s="29" t="str">
        <f t="shared" si="19"/>
        <v>LU000555.002</v>
      </c>
      <c r="M252" s="29" t="str">
        <f ca="1">IFERROR(__xludf.dummyfunction("VLOOKUP(L252, IMPORTRANGE(""https://docs.google.com/spreadsheets/d/1yDAaXNsi4Mr5FtRQL4tbmSdIzhx6_m4wkOD7IG-k_eo/edit#gid=0"", ""Maths!M:N""), 2, FALSE)"),"Describe how composite 3D shapes are created by integrating multiple individual 3D shapes together, providing structural details.")</f>
        <v>Describe how composite 3D shapes are created by integrating multiple individual 3D shapes together, providing structural details.</v>
      </c>
      <c r="N252" s="29" t="str">
        <f t="shared" si="20"/>
        <v>LU000555.003</v>
      </c>
      <c r="O252" s="29" t="str">
        <f ca="1">IFERROR(__xludf.dummyfunction("VLOOKUP(N252, IMPORTRANGE(""https://docs.google.com/spreadsheets/d/1yDAaXNsi4Mr5FtRQL4tbmSdIzhx6_m4wkOD7IG-k_eo/edit#gid=0"", ""Maths!M:N""), 2, FALSE)"),"Apply knowledge of composite solid shapes to identify faces, edges and vertices of composite 3D shape formed by combining various simpler shapes.")</f>
        <v>Apply knowledge of composite solid shapes to identify faces, edges and vertices of composite 3D shape formed by combining various simpler shapes.</v>
      </c>
      <c r="P252" s="29" t="str">
        <f t="shared" si="21"/>
        <v>LU000555.004</v>
      </c>
      <c r="Q252" s="29" t="str">
        <f ca="1">IFERROR(__xludf.dummyfunction("VLOOKUP(P252, IMPORTRANGE(""https://docs.google.com/spreadsheets/d/1yDAaXNsi4Mr5FtRQL4tbmSdIzhx6_m4wkOD7IG-k_eo/edit#gid=0"", ""Maths!M:N""), 2, FALSE)"),"Analyse complex composite 3D shapes to deconstruct them into their constituent components and explain their arrangement.")</f>
        <v>Analyse complex composite 3D shapes to deconstruct them into their constituent components and explain their arrangement.</v>
      </c>
      <c r="R252" s="29" t="str">
        <f t="shared" si="22"/>
        <v>LU000555.005</v>
      </c>
      <c r="S252" s="29" t="str">
        <f ca="1">IFERROR(__xludf.dummyfunction("VLOOKUP(R252, IMPORTRANGE(""https://docs.google.com/spreadsheets/d/1yDAaXNsi4Mr5FtRQL4tbmSdIzhx6_m4wkOD7IG-k_eo/edit#gid=0"", ""Maths!M:N""), 2, FALSE)"),"Evaluate the practical significance of understanding composite 3D shapes in real-world contexts.")</f>
        <v>Evaluate the practical significance of understanding composite 3D shapes in real-world contexts.</v>
      </c>
      <c r="T252" s="29" t="str">
        <f t="shared" si="23"/>
        <v>LU000555.006</v>
      </c>
      <c r="U252" s="29" t="str">
        <f ca="1">IFERROR(__xludf.dummyfunction("VLOOKUP(T252, IMPORTRANGE(""https://docs.google.com/spreadsheets/d/1yDAaXNsi4Mr5FtRQL4tbmSdIzhx6_m4wkOD7IG-k_eo/edit#gid=0"", ""Maths!M:N""), 2, FALSE)"),"Generate a comprehensive written explanation of a composite 3D shape, showcasing clear lexical skills.")</f>
        <v>Generate a comprehensive written explanation of a composite 3D shape, showcasing clear lexical skills.</v>
      </c>
      <c r="V252" s="16">
        <f ca="1">IFERROR(__xludf.dummyfunction("ArrayFormula(VLOOKUP(G252, IMPORTRANGE(""https://docs.google.com/spreadsheets/d/1p7R4vtkWt5VOBim4ltsDG9KTzSjrtKXsMtQGXPHyND0/edit#gid=795171502"", ""'Filter 30_05_2024'!A1:M2000""), {2, 3, 4, 5,6,7,8,9,10,11,12,13}, 0))"),7)</f>
        <v>7</v>
      </c>
      <c r="W252" s="16">
        <f ca="1">IFERROR(__xludf.dummyfunction("""COMPUTED_VALUE"""),4)</f>
        <v>4</v>
      </c>
      <c r="X252" s="16">
        <f ca="1">IFERROR(__xludf.dummyfunction("""COMPUTED_VALUE"""),2)</f>
        <v>2</v>
      </c>
      <c r="Y252" s="16">
        <f ca="1">IFERROR(__xludf.dummyfunction("""COMPUTED_VALUE"""),13)</f>
        <v>13</v>
      </c>
      <c r="Z252" s="16">
        <f ca="1">IFERROR(__xludf.dummyfunction("""COMPUTED_VALUE"""),4)</f>
        <v>4</v>
      </c>
      <c r="AA252" s="30">
        <f ca="1">IFERROR(__xludf.dummyfunction("""COMPUTED_VALUE"""),3)</f>
        <v>3</v>
      </c>
      <c r="AB252" s="30">
        <f ca="1">IFERROR(__xludf.dummyfunction("""COMPUTED_VALUE"""),1)</f>
        <v>1</v>
      </c>
      <c r="AC252" s="30">
        <f ca="1">IFERROR(__xludf.dummyfunction("""COMPUTED_VALUE"""),8)</f>
        <v>8</v>
      </c>
      <c r="AD252" s="16"/>
      <c r="AE252" s="30"/>
      <c r="AF252" s="30"/>
      <c r="AG252" s="30"/>
    </row>
    <row r="253" spans="1:33" ht="39.6">
      <c r="A253" s="25"/>
      <c r="B253" s="26" t="s">
        <v>29</v>
      </c>
      <c r="C253" s="26" t="s">
        <v>310</v>
      </c>
      <c r="D253" s="26">
        <v>6</v>
      </c>
      <c r="E253" s="27" t="s">
        <v>618</v>
      </c>
      <c r="F253" s="28" t="s">
        <v>677</v>
      </c>
      <c r="G253" s="26" t="s">
        <v>678</v>
      </c>
      <c r="H253" s="28" t="str">
        <f ca="1">IFERROR(__xludf.dummyfunction("IFERROR(
  VLOOKUP(G253, IMPORTRANGE(""https://docs.google.com/spreadsheets/d/14deopnvwcrKtEGCKuYXdUHJbeLDZlkiSSWWT0g7x2pM/edit#gid=849066331"", ""LU List Maths (Filter)!A:B""), 2, FALSE),
  IFERROR(
    VLOOKUP(G253, IMPORTRANGE(""https://docs.google.com"&amp;"/spreadsheets/d/14deopnvwcrKtEGCKuYXdUHJbeLDZlkiSSWWT0g7x2pM/edit#gid=849066331"", ""LU List Science (Filter)!A:B""), 2, FALSE),
    ""Not Found""
  )
)
"),"Identify three dimensional shapes(Cube/cuboids/spheres/cylinders/cones/prisms/pyramids)")</f>
        <v>Identify three dimensional shapes(Cube/cuboids/spheres/cylinders/cones/prisms/pyramids)</v>
      </c>
      <c r="I253" s="28"/>
      <c r="J253" s="29" t="str">
        <f t="shared" si="18"/>
        <v>LU000248.001</v>
      </c>
      <c r="K253" s="29" t="str">
        <f ca="1">IFERROR(__xludf.dummyfunction("VLOOKUP(J253, IMPORTRANGE(""https://docs.google.com/spreadsheets/d/1yDAaXNsi4Mr5FtRQL4tbmSdIzhx6_m4wkOD7IG-k_eo/edit#gid=0"", ""Maths!M:N""), 2, FALSE)"),"List the examples of three-dimensional shapes (cube, cuboid, sphere, cylinder, cone, prism, pyramid).")</f>
        <v>List the examples of three-dimensional shapes (cube, cuboid, sphere, cylinder, cone, prism, pyramid).</v>
      </c>
      <c r="L253" s="29" t="str">
        <f t="shared" si="19"/>
        <v>LU000248.002</v>
      </c>
      <c r="M253" s="29" t="str">
        <f ca="1">IFERROR(__xludf.dummyfunction("VLOOKUP(L253, IMPORTRANGE(""https://docs.google.com/spreadsheets/d/1yDAaXNsi4Mr5FtRQL4tbmSdIzhx6_m4wkOD7IG-k_eo/edit#gid=0"", ""Maths!M:N""), 2, FALSE)"),"Explain the key characteristics that differentiate three-dimensional shapes from flat shapes.")</f>
        <v>Explain the key characteristics that differentiate three-dimensional shapes from flat shapes.</v>
      </c>
      <c r="N253" s="29" t="str">
        <f t="shared" si="20"/>
        <v>LU000248.003</v>
      </c>
      <c r="O253" s="29" t="str">
        <f ca="1">IFERROR(__xludf.dummyfunction("VLOOKUP(N253, IMPORTRANGE(""https://docs.google.com/spreadsheets/d/1yDAaXNsi4Mr5FtRQL4tbmSdIzhx6_m4wkOD7IG-k_eo/edit#gid=0"", ""Maths!M:N""), 2, FALSE)"),"Apply the understanding of three-dimensional shapes to classify given shapes as cube, cuboid, sphere, cylinder, cone, prism, or pyramid.")</f>
        <v>Apply the understanding of three-dimensional shapes to classify given shapes as cube, cuboid, sphere, cylinder, cone, prism, or pyramid.</v>
      </c>
      <c r="P253" s="29" t="str">
        <f t="shared" si="21"/>
        <v>LU000248.004</v>
      </c>
      <c r="Q253" s="29" t="str">
        <f ca="1">IFERROR(__xludf.dummyfunction("VLOOKUP(P253, IMPORTRANGE(""https://docs.google.com/spreadsheets/d/1yDAaXNsi4Mr5FtRQL4tbmSdIzhx6_m4wkOD7IG-k_eo/edit#gid=0"", ""Maths!M:N""), 2, FALSE)"),"Analyse various real-life examples and identify them as cube, cuboid, sphere, cylinder, cone, prism, and pyramid.")</f>
        <v>Analyse various real-life examples and identify them as cube, cuboid, sphere, cylinder, cone, prism, and pyramid.</v>
      </c>
      <c r="R253" s="29" t="str">
        <f t="shared" si="22"/>
        <v>LU000248.005</v>
      </c>
      <c r="S253" s="29" t="str">
        <f ca="1">IFERROR(__xludf.dummyfunction("VLOOKUP(R253, IMPORTRANGE(""https://docs.google.com/spreadsheets/d/1yDAaXNsi4Mr5FtRQL4tbmSdIzhx6_m4wkOD7IG-k_eo/edit#gid=0"", ""Maths!M:N""), 2, FALSE)"),"#N/A")</f>
        <v>#N/A</v>
      </c>
      <c r="T253" s="29" t="str">
        <f t="shared" si="23"/>
        <v>LU000248.006</v>
      </c>
      <c r="U253" s="29" t="str">
        <f ca="1">IFERROR(__xludf.dummyfunction("VLOOKUP(T253, IMPORTRANGE(""https://docs.google.com/spreadsheets/d/1yDAaXNsi4Mr5FtRQL4tbmSdIzhx6_m4wkOD7IG-k_eo/edit#gid=0"", ""Maths!M:N""), 2, FALSE)"),"Create a visual representation or model that demonstrates the differences between cube, cuboid, sphere, cylinder, cone, prism, and pyramid shapes.")</f>
        <v>Create a visual representation or model that demonstrates the differences between cube, cuboid, sphere, cylinder, cone, prism, and pyramid shapes.</v>
      </c>
      <c r="V253" s="16">
        <f ca="1">IFERROR(__xludf.dummyfunction("ArrayFormula(VLOOKUP(G253, IMPORTRANGE(""https://docs.google.com/spreadsheets/d/1p7R4vtkWt5VOBim4ltsDG9KTzSjrtKXsMtQGXPHyND0/edit#gid=795171502"", ""'Filter 30_05_2024'!A1:M2000""), {2, 3, 4, 5,6,7,8,9,10,11,12,13}, 0))"),4)</f>
        <v>4</v>
      </c>
      <c r="W253" s="16">
        <f ca="1">IFERROR(__xludf.dummyfunction("""COMPUTED_VALUE"""),11)</f>
        <v>11</v>
      </c>
      <c r="X253" s="16">
        <f ca="1">IFERROR(__xludf.dummyfunction("""COMPUTED_VALUE"""),2)</f>
        <v>2</v>
      </c>
      <c r="Y253" s="16">
        <f ca="1">IFERROR(__xludf.dummyfunction("""COMPUTED_VALUE"""),17)</f>
        <v>17</v>
      </c>
      <c r="Z253" s="16">
        <f ca="1">IFERROR(__xludf.dummyfunction("""COMPUTED_VALUE"""),4)</f>
        <v>4</v>
      </c>
      <c r="AA253" s="30">
        <f ca="1">IFERROR(__xludf.dummyfunction("""COMPUTED_VALUE"""),5)</f>
        <v>5</v>
      </c>
      <c r="AB253" s="30">
        <f ca="1">IFERROR(__xludf.dummyfunction("""COMPUTED_VALUE"""),1)</f>
        <v>1</v>
      </c>
      <c r="AC253" s="30">
        <f ca="1">IFERROR(__xludf.dummyfunction("""COMPUTED_VALUE"""),10)</f>
        <v>10</v>
      </c>
      <c r="AD253" s="16"/>
      <c r="AE253" s="30"/>
      <c r="AF253" s="30"/>
      <c r="AG253" s="30"/>
    </row>
    <row r="254" spans="1:33" ht="26.4">
      <c r="A254" s="25"/>
      <c r="B254" s="26" t="s">
        <v>29</v>
      </c>
      <c r="C254" s="26" t="s">
        <v>310</v>
      </c>
      <c r="D254" s="26">
        <v>6</v>
      </c>
      <c r="E254" s="27" t="s">
        <v>618</v>
      </c>
      <c r="F254" s="28" t="s">
        <v>679</v>
      </c>
      <c r="G254" s="26" t="s">
        <v>680</v>
      </c>
      <c r="H254" s="28" t="str">
        <f ca="1">IFERROR(__xludf.dummyfunction("IFERROR(
  VLOOKUP(G254, IMPORTRANGE(""https://docs.google.com/spreadsheets/d/14deopnvwcrKtEGCKuYXdUHJbeLDZlkiSSWWT0g7x2pM/edit#gid=849066331"", ""LU List Maths (Filter)!A:B""), 2, FALSE),
  IFERROR(
    VLOOKUP(G254, IMPORTRANGE(""https://docs.google.com"&amp;"/spreadsheets/d/14deopnvwcrKtEGCKuYXdUHJbeLDZlkiSSWWT0g7x2pM/edit#gid=849066331"", ""LU List Science (Filter)!A:B""), 2, FALSE),
    ""Not Found""
  )
)
"),"2D representation (drawing of the nets) of a cube")</f>
        <v>2D representation (drawing of the nets) of a cube</v>
      </c>
      <c r="I254" s="28"/>
      <c r="J254" s="29" t="str">
        <f t="shared" si="18"/>
        <v>LU000080.001</v>
      </c>
      <c r="K254" s="29" t="str">
        <f ca="1">IFERROR(__xludf.dummyfunction("VLOOKUP(J254, IMPORTRANGE(""https://docs.google.com/spreadsheets/d/1yDAaXNsi4Mr5FtRQL4tbmSdIzhx6_m4wkOD7IG-k_eo/edit#gid=0"", ""Maths!M:N""), 2, FALSE)"),"Remember the steps involved in drawing a net for a cube.")</f>
        <v>Remember the steps involved in drawing a net for a cube.</v>
      </c>
      <c r="L254" s="29" t="str">
        <f t="shared" si="19"/>
        <v>LU000080.002</v>
      </c>
      <c r="M254" s="29" t="str">
        <f ca="1">IFERROR(__xludf.dummyfunction("VLOOKUP(L254, IMPORTRANGE(""https://docs.google.com/spreadsheets/d/1yDAaXNsi4Mr5FtRQL4tbmSdIzhx6_m4wkOD7IG-k_eo/edit#gid=0"", ""Maths!M:N""), 2, FALSE)"),"Understand the concept of representing a cube through its net.")</f>
        <v>Understand the concept of representing a cube through its net.</v>
      </c>
      <c r="N254" s="29" t="str">
        <f t="shared" si="20"/>
        <v>LU000080.003</v>
      </c>
      <c r="O254" s="29" t="str">
        <f ca="1">IFERROR(__xludf.dummyfunction("VLOOKUP(N254, IMPORTRANGE(""https://docs.google.com/spreadsheets/d/1yDAaXNsi4Mr5FtRQL4tbmSdIzhx6_m4wkOD7IG-k_eo/edit#gid=0"", ""Maths!M:N""), 2, FALSE)"),"Apply your knowledge to identify the correct net of a cube among options.")</f>
        <v>Apply your knowledge to identify the correct net of a cube among options.</v>
      </c>
      <c r="P254" s="29" t="str">
        <f t="shared" si="21"/>
        <v>LU000080.004</v>
      </c>
      <c r="Q254" s="29" t="str">
        <f ca="1">IFERROR(__xludf.dummyfunction("VLOOKUP(P254, IMPORTRANGE(""https://docs.google.com/spreadsheets/d/1yDAaXNsi4Mr5FtRQL4tbmSdIzhx6_m4wkOD7IG-k_eo/edit#gid=0"", ""Maths!M:N""), 2, FALSE)"),"Analyse and differentiate between various nets to select the one that forms a cube when folded.")</f>
        <v>Analyse and differentiate between various nets to select the one that forms a cube when folded.</v>
      </c>
      <c r="R254" s="29" t="str">
        <f t="shared" si="22"/>
        <v>LU000080.005</v>
      </c>
      <c r="S254" s="29" t="str">
        <f ca="1">IFERROR(__xludf.dummyfunction("VLOOKUP(R254, IMPORTRANGE(""https://docs.google.com/spreadsheets/d/1yDAaXNsi4Mr5FtRQL4tbmSdIzhx6_m4wkOD7IG-k_eo/edit#gid=0"", ""Maths!M:N""), 2, FALSE)"),"Evaluate the effectiveness of your chosen net in representing a cube accurately.")</f>
        <v>Evaluate the effectiveness of your chosen net in representing a cube accurately.</v>
      </c>
      <c r="T254" s="29" t="str">
        <f t="shared" si="23"/>
        <v>LU000080.006</v>
      </c>
      <c r="U254" s="29" t="str">
        <f ca="1">IFERROR(__xludf.dummyfunction("VLOOKUP(T254, IMPORTRANGE(""https://docs.google.com/spreadsheets/d/1yDAaXNsi4Mr5FtRQL4tbmSdIzhx6_m4wkOD7IG-k_eo/edit#gid=0"", ""Maths!M:N""), 2, FALSE)"),"Design your own nets for cubes, showcasing your ability to represent three-dimensional objects accurately in two dimensions.")</f>
        <v>Design your own nets for cubes, showcasing your ability to represent three-dimensional objects accurately in two dimensions.</v>
      </c>
      <c r="V254" s="16">
        <f ca="1">IFERROR(__xludf.dummyfunction("ArrayFormula(VLOOKUP(G254, IMPORTRANGE(""https://docs.google.com/spreadsheets/d/1p7R4vtkWt5VOBim4ltsDG9KTzSjrtKXsMtQGXPHyND0/edit#gid=795171502"", ""'Filter 30_05_2024'!A1:M2000""), {2, 3, 4, 5,6,7,8,9,10,11,12,13}, 0))"),4)</f>
        <v>4</v>
      </c>
      <c r="W254" s="16">
        <f ca="1">IFERROR(__xludf.dummyfunction("""COMPUTED_VALUE"""),2)</f>
        <v>2</v>
      </c>
      <c r="X254" s="16">
        <f ca="1">IFERROR(__xludf.dummyfunction("""COMPUTED_VALUE"""),2)</f>
        <v>2</v>
      </c>
      <c r="Y254" s="16">
        <f ca="1">IFERROR(__xludf.dummyfunction("""COMPUTED_VALUE"""),8)</f>
        <v>8</v>
      </c>
      <c r="Z254" s="16">
        <f ca="1">IFERROR(__xludf.dummyfunction("""COMPUTED_VALUE"""),4)</f>
        <v>4</v>
      </c>
      <c r="AA254" s="30">
        <f ca="1">IFERROR(__xludf.dummyfunction("""COMPUTED_VALUE"""),7)</f>
        <v>7</v>
      </c>
      <c r="AB254" s="30">
        <f ca="1">IFERROR(__xludf.dummyfunction("""COMPUTED_VALUE"""),2)</f>
        <v>2</v>
      </c>
      <c r="AC254" s="30">
        <f ca="1">IFERROR(__xludf.dummyfunction("""COMPUTED_VALUE"""),13)</f>
        <v>13</v>
      </c>
      <c r="AD254" s="16"/>
      <c r="AE254" s="30"/>
      <c r="AF254" s="30"/>
      <c r="AG254" s="30"/>
    </row>
    <row r="255" spans="1:33" ht="26.4">
      <c r="A255" s="25"/>
      <c r="B255" s="26" t="s">
        <v>29</v>
      </c>
      <c r="C255" s="26" t="s">
        <v>310</v>
      </c>
      <c r="D255" s="26">
        <v>6</v>
      </c>
      <c r="E255" s="27" t="s">
        <v>618</v>
      </c>
      <c r="F255" s="28"/>
      <c r="G255" s="26" t="s">
        <v>681</v>
      </c>
      <c r="H255" s="28" t="str">
        <f ca="1">IFERROR(__xludf.dummyfunction("IFERROR(
  VLOOKUP(G255, IMPORTRANGE(""https://docs.google.com/spreadsheets/d/14deopnvwcrKtEGCKuYXdUHJbeLDZlkiSSWWT0g7x2pM/edit#gid=849066331"", ""LU List Maths (Filter)!A:B""), 2, FALSE),
  IFERROR(
    VLOOKUP(G255, IMPORTRANGE(""https://docs.google.com"&amp;"/spreadsheets/d/14deopnvwcrKtEGCKuYXdUHJbeLDZlkiSSWWT0g7x2pM/edit#gid=849066331"", ""LU List Science (Filter)!A:B""), 2, FALSE),
    ""Not Found""
  )
)
"),"2D representation (drawing of the nets) of a cuboid")</f>
        <v>2D representation (drawing of the nets) of a cuboid</v>
      </c>
      <c r="I255" s="28"/>
      <c r="J255" s="29" t="str">
        <f t="shared" si="18"/>
        <v>LU000081.001</v>
      </c>
      <c r="K255" s="29" t="str">
        <f ca="1">IFERROR(__xludf.dummyfunction("VLOOKUP(J255, IMPORTRANGE(""https://docs.google.com/spreadsheets/d/1yDAaXNsi4Mr5FtRQL4tbmSdIzhx6_m4wkOD7IG-k_eo/edit#gid=0"", ""Maths!M:N""), 2, FALSE)"),"Remember the steps involved in drawing a net for a cuboid.")</f>
        <v>Remember the steps involved in drawing a net for a cuboid.</v>
      </c>
      <c r="L255" s="29" t="str">
        <f t="shared" si="19"/>
        <v>LU000081.002</v>
      </c>
      <c r="M255" s="29" t="str">
        <f ca="1">IFERROR(__xludf.dummyfunction("VLOOKUP(L255, IMPORTRANGE(""https://docs.google.com/spreadsheets/d/1yDAaXNsi4Mr5FtRQL4tbmSdIzhx6_m4wkOD7IG-k_eo/edit#gid=0"", ""Maths!M:N""), 2, FALSE)"),"Understand the concept of representing a cuboid through its net.")</f>
        <v>Understand the concept of representing a cuboid through its net.</v>
      </c>
      <c r="N255" s="29" t="str">
        <f t="shared" si="20"/>
        <v>LU000081.003</v>
      </c>
      <c r="O255" s="29" t="str">
        <f ca="1">IFERROR(__xludf.dummyfunction("VLOOKUP(N255, IMPORTRANGE(""https://docs.google.com/spreadsheets/d/1yDAaXNsi4Mr5FtRQL4tbmSdIzhx6_m4wkOD7IG-k_eo/edit#gid=0"", ""Maths!M:N""), 2, FALSE)"),"Apply your knowledge to identify the correct net of a cuboid among options.")</f>
        <v>Apply your knowledge to identify the correct net of a cuboid among options.</v>
      </c>
      <c r="P255" s="29" t="str">
        <f t="shared" si="21"/>
        <v>LU000081.004</v>
      </c>
      <c r="Q255" s="29" t="str">
        <f ca="1">IFERROR(__xludf.dummyfunction("VLOOKUP(P255, IMPORTRANGE(""https://docs.google.com/spreadsheets/d/1yDAaXNsi4Mr5FtRQL4tbmSdIzhx6_m4wkOD7IG-k_eo/edit#gid=0"", ""Maths!M:N""), 2, FALSE)"),"Analyse and differentiate between various nets to select the one that forms a cuboid when folded.")</f>
        <v>Analyse and differentiate between various nets to select the one that forms a cuboid when folded.</v>
      </c>
      <c r="R255" s="29" t="str">
        <f t="shared" si="22"/>
        <v>LU000081.005</v>
      </c>
      <c r="S255" s="29" t="str">
        <f ca="1">IFERROR(__xludf.dummyfunction("VLOOKUP(R255, IMPORTRANGE(""https://docs.google.com/spreadsheets/d/1yDAaXNsi4Mr5FtRQL4tbmSdIzhx6_m4wkOD7IG-k_eo/edit#gid=0"", ""Maths!M:N""), 2, FALSE)"),"Evaluate the effectiveness of your chosen net in representing a cuboid accurately.")</f>
        <v>Evaluate the effectiveness of your chosen net in representing a cuboid accurately.</v>
      </c>
      <c r="T255" s="29" t="str">
        <f t="shared" si="23"/>
        <v>LU000081.006</v>
      </c>
      <c r="U255" s="29" t="str">
        <f ca="1">IFERROR(__xludf.dummyfunction("VLOOKUP(T255, IMPORTRANGE(""https://docs.google.com/spreadsheets/d/1yDAaXNsi4Mr5FtRQL4tbmSdIzhx6_m4wkOD7IG-k_eo/edit#gid=0"", ""Maths!M:N""), 2, FALSE)"),"Design your own nets for cuboids, showcasing your ability to represent three-dimensional objects accurately in two dimensions.")</f>
        <v>Design your own nets for cuboids, showcasing your ability to represent three-dimensional objects accurately in two dimensions.</v>
      </c>
      <c r="V255" s="16">
        <f ca="1">IFERROR(__xludf.dummyfunction("ArrayFormula(VLOOKUP(G255, IMPORTRANGE(""https://docs.google.com/spreadsheets/d/1p7R4vtkWt5VOBim4ltsDG9KTzSjrtKXsMtQGXPHyND0/edit#gid=795171502"", ""'Filter 30_05_2024'!A1:M2000""), {2, 3, 4, 5,6,7,8,9,10,11,12,13}, 0))"),4)</f>
        <v>4</v>
      </c>
      <c r="W255" s="16">
        <f ca="1">IFERROR(__xludf.dummyfunction("""COMPUTED_VALUE"""),4)</f>
        <v>4</v>
      </c>
      <c r="X255" s="16">
        <f ca="1">IFERROR(__xludf.dummyfunction("""COMPUTED_VALUE"""),2)</f>
        <v>2</v>
      </c>
      <c r="Y255" s="16">
        <f ca="1">IFERROR(__xludf.dummyfunction("""COMPUTED_VALUE"""),10)</f>
        <v>10</v>
      </c>
      <c r="Z255" s="16">
        <f ca="1">IFERROR(__xludf.dummyfunction("""COMPUTED_VALUE"""),4)</f>
        <v>4</v>
      </c>
      <c r="AA255" s="30">
        <f ca="1">IFERROR(__xludf.dummyfunction("""COMPUTED_VALUE"""),5)</f>
        <v>5</v>
      </c>
      <c r="AB255" s="30">
        <f ca="1">IFERROR(__xludf.dummyfunction("""COMPUTED_VALUE"""),1)</f>
        <v>1</v>
      </c>
      <c r="AC255" s="30">
        <f ca="1">IFERROR(__xludf.dummyfunction("""COMPUTED_VALUE"""),10)</f>
        <v>10</v>
      </c>
      <c r="AD255" s="16"/>
      <c r="AE255" s="30"/>
      <c r="AF255" s="30"/>
      <c r="AG255" s="30"/>
    </row>
    <row r="256" spans="1:33" ht="26.4">
      <c r="A256" s="25"/>
      <c r="B256" s="26" t="s">
        <v>29</v>
      </c>
      <c r="C256" s="26" t="s">
        <v>310</v>
      </c>
      <c r="D256" s="26">
        <v>6</v>
      </c>
      <c r="E256" s="27" t="s">
        <v>618</v>
      </c>
      <c r="F256" s="28"/>
      <c r="G256" s="39" t="s">
        <v>682</v>
      </c>
      <c r="H256" s="28" t="str">
        <f ca="1">IFERROR(__xludf.dummyfunction("IFERROR(
  VLOOKUP(G256, IMPORTRANGE(""https://docs.google.com/spreadsheets/d/14deopnvwcrKtEGCKuYXdUHJbeLDZlkiSSWWT0g7x2pM/edit#gid=849066331"", ""LU List Maths (Filter)!A:B""), 2, FALSE),
  IFERROR(
    VLOOKUP(G256, IMPORTRANGE(""https://docs.google.com"&amp;"/spreadsheets/d/14deopnvwcrKtEGCKuYXdUHJbeLDZlkiSSWWT0g7x2pM/edit#gid=849066331"", ""LU List Science (Filter)!A:B""), 2, FALSE),
    ""Not Found""
  )
)
"),"2D representation (drawing of the nets) of a triangular prism")</f>
        <v>2D representation (drawing of the nets) of a triangular prism</v>
      </c>
      <c r="I256" s="28"/>
      <c r="J256" s="29" t="str">
        <f t="shared" si="18"/>
        <v>LU000082.001</v>
      </c>
      <c r="K256" s="29" t="str">
        <f ca="1">IFERROR(__xludf.dummyfunction("VLOOKUP(J256, IMPORTRANGE(""https://docs.google.com/spreadsheets/d/1yDAaXNsi4Mr5FtRQL4tbmSdIzhx6_m4wkOD7IG-k_eo/edit#gid=0"", ""Maths!M:N""), 2, FALSE)"),"Remember the steps involved in drawing a net for a triangular prism.")</f>
        <v>Remember the steps involved in drawing a net for a triangular prism.</v>
      </c>
      <c r="L256" s="29" t="str">
        <f t="shared" si="19"/>
        <v>LU000082.002</v>
      </c>
      <c r="M256" s="29" t="str">
        <f ca="1">IFERROR(__xludf.dummyfunction("VLOOKUP(L256, IMPORTRANGE(""https://docs.google.com/spreadsheets/d/1yDAaXNsi4Mr5FtRQL4tbmSdIzhx6_m4wkOD7IG-k_eo/edit#gid=0"", ""Maths!M:N""), 2, FALSE)"),"Understand the concept of representing a triangular prism through its net.")</f>
        <v>Understand the concept of representing a triangular prism through its net.</v>
      </c>
      <c r="N256" s="29" t="str">
        <f t="shared" si="20"/>
        <v>LU000082.003</v>
      </c>
      <c r="O256" s="29" t="str">
        <f ca="1">IFERROR(__xludf.dummyfunction("VLOOKUP(N256, IMPORTRANGE(""https://docs.google.com/spreadsheets/d/1yDAaXNsi4Mr5FtRQL4tbmSdIzhx6_m4wkOD7IG-k_eo/edit#gid=0"", ""Maths!M:N""), 2, FALSE)"),"Apply your knowledge to identify the correct net of a triangular prism among options.")</f>
        <v>Apply your knowledge to identify the correct net of a triangular prism among options.</v>
      </c>
      <c r="P256" s="29" t="str">
        <f t="shared" si="21"/>
        <v>LU000082.004</v>
      </c>
      <c r="Q256" s="29" t="str">
        <f ca="1">IFERROR(__xludf.dummyfunction("VLOOKUP(P256, IMPORTRANGE(""https://docs.google.com/spreadsheets/d/1yDAaXNsi4Mr5FtRQL4tbmSdIzhx6_m4wkOD7IG-k_eo/edit#gid=0"", ""Maths!M:N""), 2, FALSE)"),"Analyse and differentiate between various nets to select the one that forms a triangular prism when folded.")</f>
        <v>Analyse and differentiate between various nets to select the one that forms a triangular prism when folded.</v>
      </c>
      <c r="R256" s="29" t="str">
        <f t="shared" si="22"/>
        <v>LU000082.005</v>
      </c>
      <c r="S256" s="29" t="str">
        <f ca="1">IFERROR(__xludf.dummyfunction("VLOOKUP(R256, IMPORTRANGE(""https://docs.google.com/spreadsheets/d/1yDAaXNsi4Mr5FtRQL4tbmSdIzhx6_m4wkOD7IG-k_eo/edit#gid=0"", ""Maths!M:N""), 2, FALSE)"),"Evaluate the effectiveness of your chosen net in representing a triangular prism accurately.")</f>
        <v>Evaluate the effectiveness of your chosen net in representing a triangular prism accurately.</v>
      </c>
      <c r="T256" s="29" t="str">
        <f t="shared" si="23"/>
        <v>LU000082.006</v>
      </c>
      <c r="U256" s="29" t="str">
        <f ca="1">IFERROR(__xludf.dummyfunction("VLOOKUP(T256, IMPORTRANGE(""https://docs.google.com/spreadsheets/d/1yDAaXNsi4Mr5FtRQL4tbmSdIzhx6_m4wkOD7IG-k_eo/edit#gid=0"", ""Maths!M:N""), 2, FALSE)"),"Design your own nets for triangular prisms, showcasing your ability to represent three-dimensional objects accurately in two dimensions.")</f>
        <v>Design your own nets for triangular prisms, showcasing your ability to represent three-dimensional objects accurately in two dimensions.</v>
      </c>
      <c r="V256" s="16">
        <f ca="1">IFERROR(__xludf.dummyfunction("ArrayFormula(VLOOKUP(G256, IMPORTRANGE(""https://docs.google.com/spreadsheets/d/1p7R4vtkWt5VOBim4ltsDG9KTzSjrtKXsMtQGXPHyND0/edit#gid=795171502"", ""'Filter 30_05_2024'!A1:M2000""), {2, 3, 4, 5,6,7,8,9,10,11,12,13}, 0))"),4)</f>
        <v>4</v>
      </c>
      <c r="W256" s="16">
        <f ca="1">IFERROR(__xludf.dummyfunction("""COMPUTED_VALUE"""),7)</f>
        <v>7</v>
      </c>
      <c r="X256" s="16">
        <f ca="1">IFERROR(__xludf.dummyfunction("""COMPUTED_VALUE"""),2)</f>
        <v>2</v>
      </c>
      <c r="Y256" s="16">
        <f ca="1">IFERROR(__xludf.dummyfunction("""COMPUTED_VALUE"""),13)</f>
        <v>13</v>
      </c>
      <c r="Z256" s="16">
        <f ca="1">IFERROR(__xludf.dummyfunction("""COMPUTED_VALUE"""),4)</f>
        <v>4</v>
      </c>
      <c r="AA256" s="30">
        <f ca="1">IFERROR(__xludf.dummyfunction("""COMPUTED_VALUE"""),3)</f>
        <v>3</v>
      </c>
      <c r="AB256" s="30">
        <f ca="1">IFERROR(__xludf.dummyfunction("""COMPUTED_VALUE"""),1)</f>
        <v>1</v>
      </c>
      <c r="AC256" s="30">
        <f ca="1">IFERROR(__xludf.dummyfunction("""COMPUTED_VALUE"""),8)</f>
        <v>8</v>
      </c>
      <c r="AD256" s="16"/>
      <c r="AE256" s="30"/>
      <c r="AF256" s="30"/>
      <c r="AG256" s="30"/>
    </row>
    <row r="257" spans="1:33" ht="26.4">
      <c r="A257" s="25"/>
      <c r="B257" s="26" t="s">
        <v>29</v>
      </c>
      <c r="C257" s="26" t="s">
        <v>310</v>
      </c>
      <c r="D257" s="26">
        <v>6</v>
      </c>
      <c r="E257" s="27" t="s">
        <v>618</v>
      </c>
      <c r="F257" s="28" t="s">
        <v>683</v>
      </c>
      <c r="G257" s="26" t="s">
        <v>684</v>
      </c>
      <c r="H257" s="28" t="str">
        <f ca="1">IFERROR(__xludf.dummyfunction("IFERROR(
  VLOOKUP(G257, IMPORTRANGE(""https://docs.google.com/spreadsheets/d/14deopnvwcrKtEGCKuYXdUHJbeLDZlkiSSWWT0g7x2pM/edit#gid=849066331"", ""LU List Maths (Filter)!A:B""), 2, FALSE),
  IFERROR(
    VLOOKUP(G257, IMPORTRANGE(""https://docs.google.com"&amp;"/spreadsheets/d/14deopnvwcrKtEGCKuYXdUHJbeLDZlkiSSWWT0g7x2pM/edit#gid=849066331"", ""LU List Science (Filter)!A:B""), 2, FALSE),
    ""Not Found""
  )
)
"),"2D representation (drawing of the nets) of a cylinder")</f>
        <v>2D representation (drawing of the nets) of a cylinder</v>
      </c>
      <c r="I257" s="28"/>
      <c r="J257" s="29" t="str">
        <f t="shared" si="18"/>
        <v>LU000083.001</v>
      </c>
      <c r="K257" s="29" t="str">
        <f ca="1">IFERROR(__xludf.dummyfunction("VLOOKUP(J257, IMPORTRANGE(""https://docs.google.com/spreadsheets/d/1yDAaXNsi4Mr5FtRQL4tbmSdIzhx6_m4wkOD7IG-k_eo/edit#gid=0"", ""Maths!M:N""), 2, FALSE)"),"Remember the steps involved in drawing a net for a cylinder.")</f>
        <v>Remember the steps involved in drawing a net for a cylinder.</v>
      </c>
      <c r="L257" s="29" t="str">
        <f t="shared" si="19"/>
        <v>LU000083.002</v>
      </c>
      <c r="M257" s="29" t="str">
        <f ca="1">IFERROR(__xludf.dummyfunction("VLOOKUP(L257, IMPORTRANGE(""https://docs.google.com/spreadsheets/d/1yDAaXNsi4Mr5FtRQL4tbmSdIzhx6_m4wkOD7IG-k_eo/edit#gid=0"", ""Maths!M:N""), 2, FALSE)"),"Understand the concept of representing a cylinder through its net.")</f>
        <v>Understand the concept of representing a cylinder through its net.</v>
      </c>
      <c r="N257" s="29" t="str">
        <f t="shared" si="20"/>
        <v>LU000083.003</v>
      </c>
      <c r="O257" s="29" t="str">
        <f ca="1">IFERROR(__xludf.dummyfunction("VLOOKUP(N257, IMPORTRANGE(""https://docs.google.com/spreadsheets/d/1yDAaXNsi4Mr5FtRQL4tbmSdIzhx6_m4wkOD7IG-k_eo/edit#gid=0"", ""Maths!M:N""), 2, FALSE)"),"Apply your knowledge to identify the correct net of a cylinder among options.")</f>
        <v>Apply your knowledge to identify the correct net of a cylinder among options.</v>
      </c>
      <c r="P257" s="29" t="str">
        <f t="shared" si="21"/>
        <v>LU000083.004</v>
      </c>
      <c r="Q257" s="29" t="str">
        <f ca="1">IFERROR(__xludf.dummyfunction("VLOOKUP(P257, IMPORTRANGE(""https://docs.google.com/spreadsheets/d/1yDAaXNsi4Mr5FtRQL4tbmSdIzhx6_m4wkOD7IG-k_eo/edit#gid=0"", ""Maths!M:N""), 2, FALSE)"),"Analyse and differentiate between various nets to select the one that forms a cylinder when folded.")</f>
        <v>Analyse and differentiate between various nets to select the one that forms a cylinder when folded.</v>
      </c>
      <c r="R257" s="29" t="str">
        <f t="shared" si="22"/>
        <v>LU000083.005</v>
      </c>
      <c r="S257" s="29" t="str">
        <f ca="1">IFERROR(__xludf.dummyfunction("VLOOKUP(R257, IMPORTRANGE(""https://docs.google.com/spreadsheets/d/1yDAaXNsi4Mr5FtRQL4tbmSdIzhx6_m4wkOD7IG-k_eo/edit#gid=0"", ""Maths!M:N""), 2, FALSE)"),"Evaluate the effectiveness of your chosen net in representing a cylinder accurately.")</f>
        <v>Evaluate the effectiveness of your chosen net in representing a cylinder accurately.</v>
      </c>
      <c r="T257" s="29" t="str">
        <f t="shared" si="23"/>
        <v>LU000083.006</v>
      </c>
      <c r="U257" s="29" t="str">
        <f ca="1">IFERROR(__xludf.dummyfunction("VLOOKUP(T257, IMPORTRANGE(""https://docs.google.com/spreadsheets/d/1yDAaXNsi4Mr5FtRQL4tbmSdIzhx6_m4wkOD7IG-k_eo/edit#gid=0"", ""Maths!M:N""), 2, FALSE)"),"Design your own nets for cylinder, showcasing your ability to represent three-dimensional objects accurately in two dimensions.")</f>
        <v>Design your own nets for cylinder, showcasing your ability to represent three-dimensional objects accurately in two dimensions.</v>
      </c>
      <c r="V257" s="16">
        <f ca="1">IFERROR(__xludf.dummyfunction("ArrayFormula(VLOOKUP(G257, IMPORTRANGE(""https://docs.google.com/spreadsheets/d/1p7R4vtkWt5VOBim4ltsDG9KTzSjrtKXsMtQGXPHyND0/edit#gid=795171502"", ""'Filter 30_05_2024'!A1:M2000""), {2, 3, 4, 5,6,7,8,9,10,11,12,13}, 0))"),4)</f>
        <v>4</v>
      </c>
      <c r="W257" s="16">
        <f ca="1">IFERROR(__xludf.dummyfunction("""COMPUTED_VALUE"""),6)</f>
        <v>6</v>
      </c>
      <c r="X257" s="16">
        <f ca="1">IFERROR(__xludf.dummyfunction("""COMPUTED_VALUE"""),2)</f>
        <v>2</v>
      </c>
      <c r="Y257" s="16">
        <f ca="1">IFERROR(__xludf.dummyfunction("""COMPUTED_VALUE"""),12)</f>
        <v>12</v>
      </c>
      <c r="Z257" s="16">
        <f ca="1">IFERROR(__xludf.dummyfunction("""COMPUTED_VALUE"""),4)</f>
        <v>4</v>
      </c>
      <c r="AA257" s="30">
        <f ca="1">IFERROR(__xludf.dummyfunction("""COMPUTED_VALUE"""),3)</f>
        <v>3</v>
      </c>
      <c r="AB257" s="30">
        <f ca="1">IFERROR(__xludf.dummyfunction("""COMPUTED_VALUE"""),1)</f>
        <v>1</v>
      </c>
      <c r="AC257" s="30">
        <f ca="1">IFERROR(__xludf.dummyfunction("""COMPUTED_VALUE"""),8)</f>
        <v>8</v>
      </c>
      <c r="AD257" s="16"/>
      <c r="AE257" s="30"/>
      <c r="AF257" s="30"/>
      <c r="AG257" s="30"/>
    </row>
    <row r="258" spans="1:33" ht="26.4">
      <c r="A258" s="25"/>
      <c r="B258" s="26" t="s">
        <v>29</v>
      </c>
      <c r="C258" s="26" t="s">
        <v>310</v>
      </c>
      <c r="D258" s="26">
        <v>6</v>
      </c>
      <c r="E258" s="27" t="s">
        <v>618</v>
      </c>
      <c r="F258" s="28"/>
      <c r="G258" s="26" t="s">
        <v>685</v>
      </c>
      <c r="H258" s="28" t="str">
        <f ca="1">IFERROR(__xludf.dummyfunction("IFERROR(
  VLOOKUP(G258, IMPORTRANGE(""https://docs.google.com/spreadsheets/d/14deopnvwcrKtEGCKuYXdUHJbeLDZlkiSSWWT0g7x2pM/edit#gid=849066331"", ""LU List Maths (Filter)!A:B""), 2, FALSE),
  IFERROR(
    VLOOKUP(G258, IMPORTRANGE(""https://docs.google.com"&amp;"/spreadsheets/d/14deopnvwcrKtEGCKuYXdUHJbeLDZlkiSSWWT0g7x2pM/edit#gid=849066331"", ""LU List Science (Filter)!A:B""), 2, FALSE),
    ""Not Found""
  )
)
"),"2D representation (drawing of the nets) of a cone")</f>
        <v>2D representation (drawing of the nets) of a cone</v>
      </c>
      <c r="I258" s="28"/>
      <c r="J258" s="29" t="str">
        <f t="shared" ref="J258:J307" si="24">G258 &amp; ".001"</f>
        <v>LU000087.001</v>
      </c>
      <c r="K258" s="29" t="str">
        <f ca="1">IFERROR(__xludf.dummyfunction("VLOOKUP(J258, IMPORTRANGE(""https://docs.google.com/spreadsheets/d/1yDAaXNsi4Mr5FtRQL4tbmSdIzhx6_m4wkOD7IG-k_eo/edit#gid=0"", ""Maths!M:N""), 2, FALSE)"),"Remember the steps involved in drawing a net for a cone.")</f>
        <v>Remember the steps involved in drawing a net for a cone.</v>
      </c>
      <c r="L258" s="29" t="str">
        <f t="shared" ref="L258:L307" si="25">G258 &amp; ".002"</f>
        <v>LU000087.002</v>
      </c>
      <c r="M258" s="29" t="str">
        <f ca="1">IFERROR(__xludf.dummyfunction("VLOOKUP(L258, IMPORTRANGE(""https://docs.google.com/spreadsheets/d/1yDAaXNsi4Mr5FtRQL4tbmSdIzhx6_m4wkOD7IG-k_eo/edit#gid=0"", ""Maths!M:N""), 2, FALSE)"),"Understand the concept of representing a cone through its net.")</f>
        <v>Understand the concept of representing a cone through its net.</v>
      </c>
      <c r="N258" s="29" t="str">
        <f t="shared" ref="N258:N307" si="26">G258 &amp; ".003"</f>
        <v>LU000087.003</v>
      </c>
      <c r="O258" s="29" t="str">
        <f ca="1">IFERROR(__xludf.dummyfunction("VLOOKUP(N258, IMPORTRANGE(""https://docs.google.com/spreadsheets/d/1yDAaXNsi4Mr5FtRQL4tbmSdIzhx6_m4wkOD7IG-k_eo/edit#gid=0"", ""Maths!M:N""), 2, FALSE)"),"Apply your knowledge to identify the correct net of a cone among options.")</f>
        <v>Apply your knowledge to identify the correct net of a cone among options.</v>
      </c>
      <c r="P258" s="29" t="str">
        <f t="shared" ref="P258:P307" si="27">G258 &amp; ".004"</f>
        <v>LU000087.004</v>
      </c>
      <c r="Q258" s="29" t="str">
        <f ca="1">IFERROR(__xludf.dummyfunction("VLOOKUP(P258, IMPORTRANGE(""https://docs.google.com/spreadsheets/d/1yDAaXNsi4Mr5FtRQL4tbmSdIzhx6_m4wkOD7IG-k_eo/edit#gid=0"", ""Maths!M:N""), 2, FALSE)"),"Analyse and differentiate between various nets to select the one that forms a cone when folded.")</f>
        <v>Analyse and differentiate between various nets to select the one that forms a cone when folded.</v>
      </c>
      <c r="R258" s="29" t="str">
        <f t="shared" ref="R258:R307" si="28">G258 &amp; ".005"</f>
        <v>LU000087.005</v>
      </c>
      <c r="S258" s="29" t="str">
        <f ca="1">IFERROR(__xludf.dummyfunction("VLOOKUP(R258, IMPORTRANGE(""https://docs.google.com/spreadsheets/d/1yDAaXNsi4Mr5FtRQL4tbmSdIzhx6_m4wkOD7IG-k_eo/edit#gid=0"", ""Maths!M:N""), 2, FALSE)"),"Evaluate the effectiveness of your chosen net in representing a cone accurately.")</f>
        <v>Evaluate the effectiveness of your chosen net in representing a cone accurately.</v>
      </c>
      <c r="T258" s="29" t="str">
        <f t="shared" ref="T258:T307" si="29">G258 &amp; ".006"</f>
        <v>LU000087.006</v>
      </c>
      <c r="U258" s="29" t="str">
        <f ca="1">IFERROR(__xludf.dummyfunction("VLOOKUP(T258, IMPORTRANGE(""https://docs.google.com/spreadsheets/d/1yDAaXNsi4Mr5FtRQL4tbmSdIzhx6_m4wkOD7IG-k_eo/edit#gid=0"", ""Maths!M:N""), 2, FALSE)"),"Design your own nets for cone, showcasing your ability to represent three-dimensional objects accurately in two dimensions.")</f>
        <v>Design your own nets for cone, showcasing your ability to represent three-dimensional objects accurately in two dimensions.</v>
      </c>
      <c r="V258" s="16">
        <f ca="1">IFERROR(__xludf.dummyfunction("ArrayFormula(VLOOKUP(G258, IMPORTRANGE(""https://docs.google.com/spreadsheets/d/1p7R4vtkWt5VOBim4ltsDG9KTzSjrtKXsMtQGXPHyND0/edit#gid=795171502"", ""'Filter 30_05_2024'!A1:M2000""), {2, 3, 4, 5,6,7,8,9,10,11,12,13}, 0))"),4)</f>
        <v>4</v>
      </c>
      <c r="W258" s="16">
        <f ca="1">IFERROR(__xludf.dummyfunction("""COMPUTED_VALUE"""),6)</f>
        <v>6</v>
      </c>
      <c r="X258" s="16">
        <f ca="1">IFERROR(__xludf.dummyfunction("""COMPUTED_VALUE"""),2)</f>
        <v>2</v>
      </c>
      <c r="Y258" s="16">
        <f ca="1">IFERROR(__xludf.dummyfunction("""COMPUTED_VALUE"""),12)</f>
        <v>12</v>
      </c>
      <c r="Z258" s="16">
        <f ca="1">IFERROR(__xludf.dummyfunction("""COMPUTED_VALUE"""),4)</f>
        <v>4</v>
      </c>
      <c r="AA258" s="30">
        <f ca="1">IFERROR(__xludf.dummyfunction("""COMPUTED_VALUE"""),3)</f>
        <v>3</v>
      </c>
      <c r="AB258" s="30">
        <f ca="1">IFERROR(__xludf.dummyfunction("""COMPUTED_VALUE"""),1)</f>
        <v>1</v>
      </c>
      <c r="AC258" s="30">
        <f ca="1">IFERROR(__xludf.dummyfunction("""COMPUTED_VALUE"""),8)</f>
        <v>8</v>
      </c>
      <c r="AD258" s="16"/>
      <c r="AE258" s="30"/>
      <c r="AF258" s="30"/>
      <c r="AG258" s="30"/>
    </row>
    <row r="259" spans="1:33" ht="26.4">
      <c r="A259" s="25"/>
      <c r="B259" s="26" t="s">
        <v>29</v>
      </c>
      <c r="C259" s="26" t="s">
        <v>310</v>
      </c>
      <c r="D259" s="26">
        <v>6</v>
      </c>
      <c r="E259" s="27" t="s">
        <v>618</v>
      </c>
      <c r="F259" s="28"/>
      <c r="G259" s="26" t="s">
        <v>686</v>
      </c>
      <c r="H259" s="28" t="str">
        <f ca="1">IFERROR(__xludf.dummyfunction("IFERROR(
  VLOOKUP(G259, IMPORTRANGE(""https://docs.google.com/spreadsheets/d/14deopnvwcrKtEGCKuYXdUHJbeLDZlkiSSWWT0g7x2pM/edit#gid=849066331"", ""LU List Maths (Filter)!A:B""), 2, FALSE),
  IFERROR(
    VLOOKUP(G259, IMPORTRANGE(""https://docs.google.com"&amp;"/spreadsheets/d/14deopnvwcrKtEGCKuYXdUHJbeLDZlkiSSWWT0g7x2pM/edit#gid=849066331"", ""LU List Science (Filter)!A:B""), 2, FALSE),
    ""Not Found""
  )
)
"),"2D representation (drawing of the nets) of a pyramid")</f>
        <v>2D representation (drawing of the nets) of a pyramid</v>
      </c>
      <c r="I259" s="28"/>
      <c r="J259" s="29" t="str">
        <f t="shared" si="24"/>
        <v>LU000091.001</v>
      </c>
      <c r="K259" s="29" t="str">
        <f ca="1">IFERROR(__xludf.dummyfunction("VLOOKUP(J259, IMPORTRANGE(""https://docs.google.com/spreadsheets/d/1yDAaXNsi4Mr5FtRQL4tbmSdIzhx6_m4wkOD7IG-k_eo/edit#gid=0"", ""Maths!M:N""), 2, FALSE)"),"Remember the steps involved in drawing a net for a pyramid")</f>
        <v>Remember the steps involved in drawing a net for a pyramid</v>
      </c>
      <c r="L259" s="29" t="str">
        <f t="shared" si="25"/>
        <v>LU000091.002</v>
      </c>
      <c r="M259" s="29" t="str">
        <f ca="1">IFERROR(__xludf.dummyfunction("VLOOKUP(L259, IMPORTRANGE(""https://docs.google.com/spreadsheets/d/1yDAaXNsi4Mr5FtRQL4tbmSdIzhx6_m4wkOD7IG-k_eo/edit#gid=0"", ""Maths!M:N""), 2, FALSE)"),"Understand the concept of representing a pyramid through its net.")</f>
        <v>Understand the concept of representing a pyramid through its net.</v>
      </c>
      <c r="N259" s="29" t="str">
        <f t="shared" si="26"/>
        <v>LU000091.003</v>
      </c>
      <c r="O259" s="29" t="str">
        <f ca="1">IFERROR(__xludf.dummyfunction("VLOOKUP(N259, IMPORTRANGE(""https://docs.google.com/spreadsheets/d/1yDAaXNsi4Mr5FtRQL4tbmSdIzhx6_m4wkOD7IG-k_eo/edit#gid=0"", ""Maths!M:N""), 2, FALSE)"),"Apply your knowledge to identify the correct net of a pyramid among options.")</f>
        <v>Apply your knowledge to identify the correct net of a pyramid among options.</v>
      </c>
      <c r="P259" s="29" t="str">
        <f t="shared" si="27"/>
        <v>LU000091.004</v>
      </c>
      <c r="Q259" s="29" t="str">
        <f ca="1">IFERROR(__xludf.dummyfunction("VLOOKUP(P259, IMPORTRANGE(""https://docs.google.com/spreadsheets/d/1yDAaXNsi4Mr5FtRQL4tbmSdIzhx6_m4wkOD7IG-k_eo/edit#gid=0"", ""Maths!M:N""), 2, FALSE)"),"Analyse and differentiate between various nets to select the one that forms a pyramid when folded.")</f>
        <v>Analyse and differentiate between various nets to select the one that forms a pyramid when folded.</v>
      </c>
      <c r="R259" s="29" t="str">
        <f t="shared" si="28"/>
        <v>LU000091.005</v>
      </c>
      <c r="S259" s="29" t="str">
        <f ca="1">IFERROR(__xludf.dummyfunction("VLOOKUP(R259, IMPORTRANGE(""https://docs.google.com/spreadsheets/d/1yDAaXNsi4Mr5FtRQL4tbmSdIzhx6_m4wkOD7IG-k_eo/edit#gid=0"", ""Maths!M:N""), 2, FALSE)"),"Evaluate the effectiveness of your chosen net in representing a pyramid accurately.")</f>
        <v>Evaluate the effectiveness of your chosen net in representing a pyramid accurately.</v>
      </c>
      <c r="T259" s="29" t="str">
        <f t="shared" si="29"/>
        <v>LU000091.006</v>
      </c>
      <c r="U259" s="29" t="str">
        <f ca="1">IFERROR(__xludf.dummyfunction("VLOOKUP(T259, IMPORTRANGE(""https://docs.google.com/spreadsheets/d/1yDAaXNsi4Mr5FtRQL4tbmSdIzhx6_m4wkOD7IG-k_eo/edit#gid=0"", ""Maths!M:N""), 2, FALSE)"),"Design your own nets for pyramids, showcasing your ability to represent three-dimensional objects accurately in two dimensions.")</f>
        <v>Design your own nets for pyramids, showcasing your ability to represent three-dimensional objects accurately in two dimensions.</v>
      </c>
      <c r="V259" s="16">
        <f ca="1">IFERROR(__xludf.dummyfunction("ArrayFormula(VLOOKUP(G259, IMPORTRANGE(""https://docs.google.com/spreadsheets/d/1p7R4vtkWt5VOBim4ltsDG9KTzSjrtKXsMtQGXPHyND0/edit#gid=795171502"", ""'Filter 30_05_2024'!A1:M2000""), {2, 3, 4, 5,6,7,8,9,10,11,12,13}, 0))"),4)</f>
        <v>4</v>
      </c>
      <c r="W259" s="16">
        <f ca="1">IFERROR(__xludf.dummyfunction("""COMPUTED_VALUE"""),3)</f>
        <v>3</v>
      </c>
      <c r="X259" s="16">
        <f ca="1">IFERROR(__xludf.dummyfunction("""COMPUTED_VALUE"""),2)</f>
        <v>2</v>
      </c>
      <c r="Y259" s="16">
        <f ca="1">IFERROR(__xludf.dummyfunction("""COMPUTED_VALUE"""),9)</f>
        <v>9</v>
      </c>
      <c r="Z259" s="16">
        <f ca="1">IFERROR(__xludf.dummyfunction("""COMPUTED_VALUE"""),4)</f>
        <v>4</v>
      </c>
      <c r="AA259" s="30">
        <f ca="1">IFERROR(__xludf.dummyfunction("""COMPUTED_VALUE"""),7)</f>
        <v>7</v>
      </c>
      <c r="AB259" s="30">
        <f ca="1">IFERROR(__xludf.dummyfunction("""COMPUTED_VALUE"""),1)</f>
        <v>1</v>
      </c>
      <c r="AC259" s="30">
        <f ca="1">IFERROR(__xludf.dummyfunction("""COMPUTED_VALUE"""),12)</f>
        <v>12</v>
      </c>
      <c r="AD259" s="16"/>
      <c r="AE259" s="30"/>
      <c r="AF259" s="30">
        <f ca="1">IFERROR(__xludf.dummyfunction("""COMPUTED_VALUE"""),1)</f>
        <v>1</v>
      </c>
      <c r="AG259" s="30">
        <f ca="1">IFERROR(__xludf.dummyfunction("""COMPUTED_VALUE"""),1)</f>
        <v>1</v>
      </c>
    </row>
    <row r="260" spans="1:33" ht="13.8">
      <c r="A260" s="25"/>
      <c r="B260" s="26" t="s">
        <v>29</v>
      </c>
      <c r="C260" s="26" t="s">
        <v>310</v>
      </c>
      <c r="D260" s="26">
        <v>6</v>
      </c>
      <c r="E260" s="27" t="s">
        <v>687</v>
      </c>
      <c r="F260" s="28" t="s">
        <v>688</v>
      </c>
      <c r="G260" s="26" t="s">
        <v>689</v>
      </c>
      <c r="H260" s="28" t="str">
        <f ca="1">IFERROR(__xludf.dummyfunction("IFERROR(
  VLOOKUP(G260, IMPORTRANGE(""https://docs.google.com/spreadsheets/d/14deopnvwcrKtEGCKuYXdUHJbeLDZlkiSSWWT0g7x2pM/edit#gid=849066331"", ""LU List Maths (Filter)!A:B""), 2, FALSE),
  IFERROR(
    VLOOKUP(G260, IMPORTRANGE(""https://docs.google.com"&amp;"/spreadsheets/d/14deopnvwcrKtEGCKuYXdUHJbeLDZlkiSSWWT0g7x2pM/edit#gid=849066331"", ""LU List Science (Filter)!A:B""), 2, FALSE),
    ""Not Found""
  )
)
"),"Definition of symmetry")</f>
        <v>Definition of symmetry</v>
      </c>
      <c r="I260" s="28"/>
      <c r="J260" s="29" t="str">
        <f t="shared" si="24"/>
        <v>LU000789.001</v>
      </c>
      <c r="K260" s="29" t="str">
        <f ca="1">IFERROR(__xludf.dummyfunction("VLOOKUP(J260, IMPORTRANGE(""https://docs.google.com/spreadsheets/d/1yDAaXNsi4Mr5FtRQL4tbmSdIzhx6_m4wkOD7IG-k_eo/edit#gid=0"", ""Maths!M:N""), 2, FALSE)"),"State that symmetry is a property in which an object looks the same after a transformation, such as reflection or rotation.")</f>
        <v>State that symmetry is a property in which an object looks the same after a transformation, such as reflection or rotation.</v>
      </c>
      <c r="L260" s="29" t="str">
        <f t="shared" si="25"/>
        <v>LU000789.002</v>
      </c>
      <c r="M260" s="29" t="str">
        <f ca="1">IFERROR(__xludf.dummyfunction("VLOOKUP(L260, IMPORTRANGE(""https://docs.google.com/spreadsheets/d/1yDAaXNsi4Mr5FtRQL4tbmSdIzhx6_m4wkOD7IG-k_eo/edit#gid=0"", ""Maths!M:N""), 2, FALSE)"),"Explain why symmetry is an important concept in mathematics and art.")</f>
        <v>Explain why symmetry is an important concept in mathematics and art.</v>
      </c>
      <c r="N260" s="29" t="str">
        <f t="shared" si="26"/>
        <v>LU000789.003</v>
      </c>
      <c r="O260" s="29" t="str">
        <f ca="1">IFERROR(__xludf.dummyfunction("VLOOKUP(N260, IMPORTRANGE(""https://docs.google.com/spreadsheets/d/1yDAaXNsi4Mr5FtRQL4tbmSdIzhx6_m4wkOD7IG-k_eo/edit#gid=0"", ""Maths!M:N""), 2, FALSE)"),"Apply the definition of symmetry to identify symmetrical objects in the environment.")</f>
        <v>Apply the definition of symmetry to identify symmetrical objects in the environment.</v>
      </c>
      <c r="P260" s="29" t="str">
        <f t="shared" si="27"/>
        <v>LU000789.004</v>
      </c>
      <c r="Q260" s="29" t="str">
        <f ca="1">IFERROR(__xludf.dummyfunction("VLOOKUP(P260, IMPORTRANGE(""https://docs.google.com/spreadsheets/d/1yDAaXNsi4Mr5FtRQL4tbmSdIzhx6_m4wkOD7IG-k_eo/edit#gid=0"", ""Maths!M:N""), 2, FALSE)"),"Analyse complex designs to determine the type of symmetry(line and rotational symmetry) they exhibit.")</f>
        <v>Analyse complex designs to determine the type of symmetry(line and rotational symmetry) they exhibit.</v>
      </c>
      <c r="R260" s="29" t="str">
        <f t="shared" si="28"/>
        <v>LU000789.005</v>
      </c>
      <c r="S260" s="29" t="str">
        <f ca="1">IFERROR(__xludf.dummyfunction("VLOOKUP(R260, IMPORTRANGE(""https://docs.google.com/spreadsheets/d/1yDAaXNsi4Mr5FtRQL4tbmSdIzhx6_m4wkOD7IG-k_eo/edit#gid=0"", ""Maths!M:N""), 2, FALSE)"),"Evaluate the effectiveness of symmetry in creating balance and beauty in art.")</f>
        <v>Evaluate the effectiveness of symmetry in creating balance and beauty in art.</v>
      </c>
      <c r="T260" s="29" t="str">
        <f t="shared" si="29"/>
        <v>LU000789.006</v>
      </c>
      <c r="U260" s="29" t="str">
        <f ca="1">IFERROR(__xludf.dummyfunction("VLOOKUP(T260, IMPORTRANGE(""https://docs.google.com/spreadsheets/d/1yDAaXNsi4Mr5FtRQL4tbmSdIzhx6_m4wkOD7IG-k_eo/edit#gid=0"", ""Maths!M:N""), 2, FALSE)"),"Generate original symmetrical designs using various symmetry techniques.")</f>
        <v>Generate original symmetrical designs using various symmetry techniques.</v>
      </c>
      <c r="V260" s="16">
        <f ca="1">IFERROR(__xludf.dummyfunction("ArrayFormula(VLOOKUP(G260, IMPORTRANGE(""https://docs.google.com/spreadsheets/d/1p7R4vtkWt5VOBim4ltsDG9KTzSjrtKXsMtQGXPHyND0/edit#gid=795171502"", ""'Filter 30_05_2024'!A1:M2000""), {2, 3, 4, 5,6,7,8,9,10,11,12,13}, 0))"),2)</f>
        <v>2</v>
      </c>
      <c r="W260" s="16">
        <f ca="1">IFERROR(__xludf.dummyfunction("""COMPUTED_VALUE"""),6)</f>
        <v>6</v>
      </c>
      <c r="X260" s="16">
        <f ca="1">IFERROR(__xludf.dummyfunction("""COMPUTED_VALUE"""),2)</f>
        <v>2</v>
      </c>
      <c r="Y260" s="16">
        <f ca="1">IFERROR(__xludf.dummyfunction("""COMPUTED_VALUE"""),10)</f>
        <v>10</v>
      </c>
      <c r="Z260" s="16">
        <f ca="1">IFERROR(__xludf.dummyfunction("""COMPUTED_VALUE"""),6)</f>
        <v>6</v>
      </c>
      <c r="AA260" s="30">
        <f ca="1">IFERROR(__xludf.dummyfunction("""COMPUTED_VALUE"""),3)</f>
        <v>3</v>
      </c>
      <c r="AB260" s="30">
        <f ca="1">IFERROR(__xludf.dummyfunction("""COMPUTED_VALUE"""),1)</f>
        <v>1</v>
      </c>
      <c r="AC260" s="30">
        <f ca="1">IFERROR(__xludf.dummyfunction("""COMPUTED_VALUE"""),10)</f>
        <v>10</v>
      </c>
      <c r="AD260" s="16"/>
      <c r="AE260" s="30"/>
      <c r="AF260" s="30"/>
      <c r="AG260" s="30"/>
    </row>
    <row r="261" spans="1:33" ht="26.4">
      <c r="A261" s="25"/>
      <c r="B261" s="26" t="s">
        <v>29</v>
      </c>
      <c r="C261" s="26" t="s">
        <v>310</v>
      </c>
      <c r="D261" s="26">
        <v>6</v>
      </c>
      <c r="E261" s="27" t="s">
        <v>687</v>
      </c>
      <c r="F261" s="28"/>
      <c r="G261" s="26" t="s">
        <v>690</v>
      </c>
      <c r="H261" s="28" t="str">
        <f ca="1">IFERROR(__xludf.dummyfunction("IFERROR(
  VLOOKUP(G261, IMPORTRANGE(""https://docs.google.com/spreadsheets/d/14deopnvwcrKtEGCKuYXdUHJbeLDZlkiSSWWT0g7x2pM/edit#gid=849066331"", ""LU List Maths (Filter)!A:B""), 2, FALSE),
  IFERROR(
    VLOOKUP(G261, IMPORTRANGE(""https://docs.google.com"&amp;"/spreadsheets/d/14deopnvwcrKtEGCKuYXdUHJbeLDZlkiSSWWT0g7x2pM/edit#gid=849066331"", ""LU List Science (Filter)!A:B""), 2, FALSE),
    ""Not Found""
  )
)
"),"Relationship between mirror reflection and line symmetry")</f>
        <v>Relationship between mirror reflection and line symmetry</v>
      </c>
      <c r="I261" s="28"/>
      <c r="J261" s="29" t="str">
        <f t="shared" si="24"/>
        <v>LU000900.001</v>
      </c>
      <c r="K261" s="29" t="str">
        <f ca="1">IFERROR(__xludf.dummyfunction("VLOOKUP(J261, IMPORTRANGE(""https://docs.google.com/spreadsheets/d/1yDAaXNsi4Mr5FtRQL4tbmSdIzhx6_m4wkOD7IG-k_eo/edit#gid=0"", ""Maths!M:N""), 2, FALSE)"),"State the definitions of mirror reflection and line symmetry and distinguish between these two types of symmetry.")</f>
        <v>State the definitions of mirror reflection and line symmetry and distinguish between these two types of symmetry.</v>
      </c>
      <c r="L261" s="29" t="str">
        <f t="shared" si="25"/>
        <v>LU000900.002</v>
      </c>
      <c r="M261" s="29" t="str">
        <f ca="1">IFERROR(__xludf.dummyfunction("VLOOKUP(L261, IMPORTRANGE(""https://docs.google.com/spreadsheets/d/1yDAaXNsi4Mr5FtRQL4tbmSdIzhx6_m4wkOD7IG-k_eo/edit#gid=0"", ""Maths!M:N""), 2, FALSE)"),"Explain the fundamental differences and similarities between mirror reflection and line symmetry")</f>
        <v>Explain the fundamental differences and similarities between mirror reflection and line symmetry</v>
      </c>
      <c r="N261" s="29" t="str">
        <f t="shared" si="26"/>
        <v>LU000900.003</v>
      </c>
      <c r="O261" s="29" t="str">
        <f ca="1">IFERROR(__xludf.dummyfunction("VLOOKUP(N261, IMPORTRANGE(""https://docs.google.com/spreadsheets/d/1yDAaXNsi4Mr5FtRQL4tbmSdIzhx6_m4wkOD7IG-k_eo/edit#gid=0"", ""Maths!M:N""), 2, FALSE)"),"Apply knowledge of mirror reflection and line symmetry to identify examples of each in various geometric shapes and everyday objects.")</f>
        <v>Apply knowledge of mirror reflection and line symmetry to identify examples of each in various geometric shapes and everyday objects.</v>
      </c>
      <c r="P261" s="29" t="str">
        <f t="shared" si="27"/>
        <v>LU000900.004</v>
      </c>
      <c r="Q261" s="29" t="str">
        <f ca="1">IFERROR(__xludf.dummyfunction("VLOOKUP(P261, IMPORTRANGE(""https://docs.google.com/spreadsheets/d/1yDAaXNsi4Mr5FtRQL4tbmSdIzhx6_m4wkOD7IG-k_eo/edit#gid=0"", ""Maths!M:N""), 2, FALSE)"),"Analyze complex patterns or designs to determine whether they exhibit mirror reflection, line symmetry, both, or neither")</f>
        <v>Analyze complex patterns or designs to determine whether they exhibit mirror reflection, line symmetry, both, or neither</v>
      </c>
      <c r="R261" s="29" t="str">
        <f t="shared" si="28"/>
        <v>LU000900.005</v>
      </c>
      <c r="S261" s="29" t="str">
        <f ca="1">IFERROR(__xludf.dummyfunction("VLOOKUP(R261, IMPORTRANGE(""https://docs.google.com/spreadsheets/d/1yDAaXNsi4Mr5FtRQL4tbmSdIzhx6_m4wkOD7IG-k_eo/edit#gid=0"", ""Maths!M:N""), 2, FALSE)"),"Evaluate the importance of understanding both mirror reflection and line symmetry in geometry and design")</f>
        <v>Evaluate the importance of understanding both mirror reflection and line symmetry in geometry and design</v>
      </c>
      <c r="T261" s="29" t="str">
        <f t="shared" si="29"/>
        <v>LU000900.006</v>
      </c>
      <c r="U261" s="29" t="str">
        <f ca="1">IFERROR(__xludf.dummyfunction("VLOOKUP(T261, IMPORTRANGE(""https://docs.google.com/spreadsheets/d/1yDAaXNsi4Mr5FtRQL4tbmSdIzhx6_m4wkOD7IG-k_eo/edit#gid=0"", ""Maths!M:N""), 2, FALSE)"),"Create a visual presentation or diagram that illustrates the relationship between mirror reflection and line symmetry, showcasing their connections and distinctions effectively.")</f>
        <v>Create a visual presentation or diagram that illustrates the relationship between mirror reflection and line symmetry, showcasing their connections and distinctions effectively.</v>
      </c>
      <c r="V261" s="16">
        <f ca="1">IFERROR(__xludf.dummyfunction("ArrayFormula(VLOOKUP(G261, IMPORTRANGE(""https://docs.google.com/spreadsheets/d/1p7R4vtkWt5VOBim4ltsDG9KTzSjrtKXsMtQGXPHyND0/edit#gid=795171502"", ""'Filter 30_05_2024'!A1:M2000""), {2, 3, 4, 5,6,7,8,9,10,11,12,13}, 0))"),4)</f>
        <v>4</v>
      </c>
      <c r="W261" s="16">
        <f ca="1">IFERROR(__xludf.dummyfunction("""COMPUTED_VALUE"""),3)</f>
        <v>3</v>
      </c>
      <c r="X261" s="16">
        <f ca="1">IFERROR(__xludf.dummyfunction("""COMPUTED_VALUE"""),2)</f>
        <v>2</v>
      </c>
      <c r="Y261" s="16">
        <f ca="1">IFERROR(__xludf.dummyfunction("""COMPUTED_VALUE"""),9)</f>
        <v>9</v>
      </c>
      <c r="Z261" s="16">
        <f ca="1">IFERROR(__xludf.dummyfunction("""COMPUTED_VALUE"""),4)</f>
        <v>4</v>
      </c>
      <c r="AA261" s="30">
        <f ca="1">IFERROR(__xludf.dummyfunction("""COMPUTED_VALUE"""),6)</f>
        <v>6</v>
      </c>
      <c r="AB261" s="30">
        <f ca="1">IFERROR(__xludf.dummyfunction("""COMPUTED_VALUE"""),1)</f>
        <v>1</v>
      </c>
      <c r="AC261" s="30">
        <f ca="1">IFERROR(__xludf.dummyfunction("""COMPUTED_VALUE"""),11)</f>
        <v>11</v>
      </c>
      <c r="AD261" s="16"/>
      <c r="AE261" s="30"/>
      <c r="AF261" s="30"/>
      <c r="AG261" s="30"/>
    </row>
    <row r="262" spans="1:33" ht="13.8">
      <c r="A262" s="25"/>
      <c r="B262" s="26" t="s">
        <v>29</v>
      </c>
      <c r="C262" s="26" t="s">
        <v>310</v>
      </c>
      <c r="D262" s="26">
        <v>6</v>
      </c>
      <c r="E262" s="27" t="s">
        <v>687</v>
      </c>
      <c r="F262" s="28"/>
      <c r="G262" s="26" t="s">
        <v>691</v>
      </c>
      <c r="H262" s="28" t="str">
        <f ca="1">IFERROR(__xludf.dummyfunction("IFERROR(
  VLOOKUP(G262, IMPORTRANGE(""https://docs.google.com/spreadsheets/d/14deopnvwcrKtEGCKuYXdUHJbeLDZlkiSSWWT0g7x2pM/edit#gid=849066331"", ""LU List Maths (Filter)!A:B""), 2, FALSE),
  IFERROR(
    VLOOKUP(G262, IMPORTRANGE(""https://docs.google.com"&amp;"/spreadsheets/d/14deopnvwcrKtEGCKuYXdUHJbeLDZlkiSSWWT0g7x2pM/edit#gid=849066331"", ""LU List Science (Filter)!A:B""), 2, FALSE),
    ""Not Found""
  )
)
"),"Lexical explanation of line symmetry")</f>
        <v>Lexical explanation of line symmetry</v>
      </c>
      <c r="I262" s="28"/>
      <c r="J262" s="29" t="str">
        <f t="shared" si="24"/>
        <v>LU000790.001</v>
      </c>
      <c r="K262" s="29" t="str">
        <f ca="1">IFERROR(__xludf.dummyfunction("VLOOKUP(J262, IMPORTRANGE(""https://docs.google.com/spreadsheets/d/1yDAaXNsi4Mr5FtRQL4tbmSdIzhx6_m4wkOD7IG-k_eo/edit#gid=0"", ""Maths!M:N""), 2, FALSE)"),"State that line symmetry is a property of an object where it can be divided into two equal halves by a single straight line.")</f>
        <v>State that line symmetry is a property of an object where it can be divided into two equal halves by a single straight line.</v>
      </c>
      <c r="L262" s="29" t="str">
        <f t="shared" si="25"/>
        <v>LU000790.002</v>
      </c>
      <c r="M262" s="29" t="str">
        <f ca="1">IFERROR(__xludf.dummyfunction("VLOOKUP(L262, IMPORTRANGE(""https://docs.google.com/spreadsheets/d/1yDAaXNsi4Mr5FtRQL4tbmSdIzhx6_m4wkOD7IG-k_eo/edit#gid=0"", ""Maths!M:N""), 2, FALSE)"),"Describe how objects with line symmetry can be folded along the line of symmetry to match the two halves like a reflection in a mirror.")</f>
        <v>Describe how objects with line symmetry can be folded along the line of symmetry to match the two halves like a reflection in a mirror.</v>
      </c>
      <c r="N262" s="29" t="str">
        <f t="shared" si="26"/>
        <v>LU000790.003</v>
      </c>
      <c r="O262" s="29" t="str">
        <f ca="1">IFERROR(__xludf.dummyfunction("VLOOKUP(N262, IMPORTRANGE(""https://docs.google.com/spreadsheets/d/1yDAaXNsi4Mr5FtRQL4tbmSdIzhx6_m4wkOD7IG-k_eo/edit#gid=0"", ""Maths!M:N""), 2, FALSE)"),"Identify line of symmetry(horizontal or vertical) in various geometric shapes and explain why they have this property.")</f>
        <v>Identify line of symmetry(horizontal or vertical) in various geometric shapes and explain why they have this property.</v>
      </c>
      <c r="P262" s="29" t="str">
        <f t="shared" si="27"/>
        <v>LU000790.004</v>
      </c>
      <c r="Q262" s="29" t="str">
        <f ca="1">IFERROR(__xludf.dummyfunction("VLOOKUP(P262, IMPORTRANGE(""https://docs.google.com/spreadsheets/d/1yDAaXNsi4Mr5FtRQL4tbmSdIzhx6_m4wkOD7IG-k_eo/edit#gid=0"", ""Maths!M:N""), 2, FALSE)"),"Examine a decorative pattern and identify its line of symmetry, explaining how the pattern is symmetric with respect to that line.")</f>
        <v>Examine a decorative pattern and identify its line of symmetry, explaining how the pattern is symmetric with respect to that line.</v>
      </c>
      <c r="R262" s="29" t="str">
        <f t="shared" si="28"/>
        <v>LU000790.005</v>
      </c>
      <c r="S262" s="29" t="str">
        <f ca="1">IFERROR(__xludf.dummyfunction("VLOOKUP(R262, IMPORTRANGE(""https://docs.google.com/spreadsheets/d/1yDAaXNsi4Mr5FtRQL4tbmSdIzhx6_m4wkOD7IG-k_eo/edit#gid=0"", ""Maths!M:N""), 2, FALSE)"),"Evaluate the significance of line symmetry in art and design.")</f>
        <v>Evaluate the significance of line symmetry in art and design.</v>
      </c>
      <c r="T262" s="29" t="str">
        <f t="shared" si="29"/>
        <v>LU000790.006</v>
      </c>
      <c r="U262" s="29" t="str">
        <f ca="1">IFERROR(__xludf.dummyfunction("VLOOKUP(T262, IMPORTRANGE(""https://docs.google.com/spreadsheets/d/1yDAaXNsi4Mr5FtRQL4tbmSdIzhx6_m4wkOD7IG-k_eo/edit#gid=0"", ""Maths!M:N""), 2, FALSE)"),"Design a symmetrical pattern that combines multiple lines of symmetry to form an intricate, visually appealing artwork.")</f>
        <v>Design a symmetrical pattern that combines multiple lines of symmetry to form an intricate, visually appealing artwork.</v>
      </c>
      <c r="V262" s="16">
        <f ca="1">IFERROR(__xludf.dummyfunction("ArrayFormula(VLOOKUP(G262, IMPORTRANGE(""https://docs.google.com/spreadsheets/d/1p7R4vtkWt5VOBim4ltsDG9KTzSjrtKXsMtQGXPHyND0/edit#gid=795171502"", ""'Filter 30_05_2024'!A1:M2000""), {2, 3, 4, 5,6,7,8,9,10,11,12,13}, 0))"),4)</f>
        <v>4</v>
      </c>
      <c r="W262" s="16">
        <f ca="1">IFERROR(__xludf.dummyfunction("""COMPUTED_VALUE"""),6)</f>
        <v>6</v>
      </c>
      <c r="X262" s="16">
        <f ca="1">IFERROR(__xludf.dummyfunction("""COMPUTED_VALUE"""),2)</f>
        <v>2</v>
      </c>
      <c r="Y262" s="16">
        <f ca="1">IFERROR(__xludf.dummyfunction("""COMPUTED_VALUE"""),12)</f>
        <v>12</v>
      </c>
      <c r="Z262" s="16">
        <f ca="1">IFERROR(__xludf.dummyfunction("""COMPUTED_VALUE"""),4)</f>
        <v>4</v>
      </c>
      <c r="AA262" s="30">
        <f ca="1">IFERROR(__xludf.dummyfunction("""COMPUTED_VALUE"""),3)</f>
        <v>3</v>
      </c>
      <c r="AB262" s="30">
        <f ca="1">IFERROR(__xludf.dummyfunction("""COMPUTED_VALUE"""),1)</f>
        <v>1</v>
      </c>
      <c r="AC262" s="30">
        <f ca="1">IFERROR(__xludf.dummyfunction("""COMPUTED_VALUE"""),8)</f>
        <v>8</v>
      </c>
      <c r="AD262" s="16"/>
      <c r="AE262" s="30"/>
      <c r="AF262" s="30"/>
      <c r="AG262" s="30"/>
    </row>
    <row r="263" spans="1:33" ht="13.8">
      <c r="A263" s="25"/>
      <c r="B263" s="26" t="s">
        <v>29</v>
      </c>
      <c r="C263" s="26" t="s">
        <v>310</v>
      </c>
      <c r="D263" s="26">
        <v>6</v>
      </c>
      <c r="E263" s="27" t="s">
        <v>687</v>
      </c>
      <c r="F263" s="28" t="s">
        <v>692</v>
      </c>
      <c r="G263" s="26" t="s">
        <v>693</v>
      </c>
      <c r="H263" s="28" t="str">
        <f ca="1">IFERROR(__xludf.dummyfunction("IFERROR(
  VLOOKUP(G263, IMPORTRANGE(""https://docs.google.com/spreadsheets/d/14deopnvwcrKtEGCKuYXdUHJbeLDZlkiSSWWT0g7x2pM/edit#gid=849066331"", ""LU List Maths (Filter)!A:B""), 2, FALSE),
  IFERROR(
    VLOOKUP(G263, IMPORTRANGE(""https://docs.google.com"&amp;"/spreadsheets/d/14deopnvwcrKtEGCKuYXdUHJbeLDZlkiSSWWT0g7x2pM/edit#gid=849066331"", ""LU List Science (Filter)!A:B""), 2, FALSE),
    ""Not Found""
  )
)
"),"Line of symmetry for regular polygons")</f>
        <v>Line of symmetry for regular polygons</v>
      </c>
      <c r="I263" s="28"/>
      <c r="J263" s="29" t="str">
        <f t="shared" si="24"/>
        <v>LU000791.001</v>
      </c>
      <c r="K263" s="29" t="str">
        <f ca="1">IFERROR(__xludf.dummyfunction("VLOOKUP(J263, IMPORTRANGE(""https://docs.google.com/spreadsheets/d/1yDAaXNsi4Mr5FtRQL4tbmSdIzhx6_m4wkOD7IG-k_eo/edit#gid=0"", ""Maths!M:N""), 2, FALSE)"),"State that a line of symmetry in a regular polygon divides it into two identical, mirror-image halves.")</f>
        <v>State that a line of symmetry in a regular polygon divides it into two identical, mirror-image halves.</v>
      </c>
      <c r="L263" s="29" t="str">
        <f t="shared" si="25"/>
        <v>LU000791.002</v>
      </c>
      <c r="M263" s="29" t="str">
        <f ca="1">IFERROR(__xludf.dummyfunction("VLOOKUP(L263, IMPORTRANGE(""https://docs.google.com/spreadsheets/d/1yDAaXNsi4Mr5FtRQL4tbmSdIzhx6_m4wkOD7IG-k_eo/edit#gid=0"", ""Maths!M:N""), 2, FALSE)"),"Describe how the number of sides in a regular polygon determines the number of lines of symmetry it possesses.")</f>
        <v>Describe how the number of sides in a regular polygon determines the number of lines of symmetry it possesses.</v>
      </c>
      <c r="N263" s="29" t="str">
        <f t="shared" si="26"/>
        <v>LU000791.003</v>
      </c>
      <c r="O263" s="29" t="str">
        <f ca="1">IFERROR(__xludf.dummyfunction("VLOOKUP(N263, IMPORTRANGE(""https://docs.google.com/spreadsheets/d/1yDAaXNsi4Mr5FtRQL4tbmSdIzhx6_m4wkOD7IG-k_eo/edit#gid=0"", ""Maths!M:N""), 2, FALSE)"),"Draw lines of symmetry for a regular polygon, demonstrating an understanding of their properties.")</f>
        <v>Draw lines of symmetry for a regular polygon, demonstrating an understanding of their properties.</v>
      </c>
      <c r="P263" s="29" t="str">
        <f t="shared" si="27"/>
        <v>LU000791.004</v>
      </c>
      <c r="Q263" s="29" t="str">
        <f ca="1">IFERROR(__xludf.dummyfunction("VLOOKUP(P263, IMPORTRANGE(""https://docs.google.com/spreadsheets/d/1yDAaXNsi4Mr5FtRQL4tbmSdIzhx6_m4wkOD7IG-k_eo/edit#gid=0"", ""Maths!M:N""), 2, FALSE)"),"Examine an irregular polygon and explain why it may or may not have a line of symmetry, based on its shape and angles.")</f>
        <v>Examine an irregular polygon and explain why it may or may not have a line of symmetry, based on its shape and angles.</v>
      </c>
      <c r="R263" s="29" t="str">
        <f t="shared" si="28"/>
        <v>LU000791.005</v>
      </c>
      <c r="S263" s="29" t="str">
        <f ca="1">IFERROR(__xludf.dummyfunction("VLOOKUP(R263, IMPORTRANGE(""https://docs.google.com/spreadsheets/d/1yDAaXNsi4Mr5FtRQL4tbmSdIzhx6_m4wkOD7IG-k_eo/edit#gid=0"", ""Maths!M:N""), 2, FALSE)"),"Evaluate the role of lines of symmetry in the aesthetic design of regular polygons.")</f>
        <v>Evaluate the role of lines of symmetry in the aesthetic design of regular polygons.</v>
      </c>
      <c r="T263" s="29" t="str">
        <f t="shared" si="29"/>
        <v>LU000791.006</v>
      </c>
      <c r="U263" s="29" t="str">
        <f ca="1">IFERROR(__xludf.dummyfunction("VLOOKUP(T263, IMPORTRANGE(""https://docs.google.com/spreadsheets/d/1yDAaXNsi4Mr5FtRQL4tbmSdIzhx6_m4wkOD7IG-k_eo/edit#gid=0"", ""Maths!M:N""), 2, FALSE)"),"Generate original regular polygon designs, emphasizing their lines of symmetry.")</f>
        <v>Generate original regular polygon designs, emphasizing their lines of symmetry.</v>
      </c>
      <c r="V263" s="16">
        <f ca="1">IFERROR(__xludf.dummyfunction("ArrayFormula(VLOOKUP(G263, IMPORTRANGE(""https://docs.google.com/spreadsheets/d/1p7R4vtkWt5VOBim4ltsDG9KTzSjrtKXsMtQGXPHyND0/edit#gid=795171502"", ""'Filter 30_05_2024'!A1:M2000""), {2, 3, 4, 5,6,7,8,9,10,11,12,13}, 0))"),3)</f>
        <v>3</v>
      </c>
      <c r="W263" s="16">
        <f ca="1">IFERROR(__xludf.dummyfunction("""COMPUTED_VALUE"""),6)</f>
        <v>6</v>
      </c>
      <c r="X263" s="16">
        <f ca="1">IFERROR(__xludf.dummyfunction("""COMPUTED_VALUE"""),2)</f>
        <v>2</v>
      </c>
      <c r="Y263" s="16">
        <f ca="1">IFERROR(__xludf.dummyfunction("""COMPUTED_VALUE"""),11)</f>
        <v>11</v>
      </c>
      <c r="Z263" s="16">
        <f ca="1">IFERROR(__xludf.dummyfunction("""COMPUTED_VALUE"""),5)</f>
        <v>5</v>
      </c>
      <c r="AA263" s="30">
        <f ca="1">IFERROR(__xludf.dummyfunction("""COMPUTED_VALUE"""),3)</f>
        <v>3</v>
      </c>
      <c r="AB263" s="30">
        <f ca="1">IFERROR(__xludf.dummyfunction("""COMPUTED_VALUE"""),1)</f>
        <v>1</v>
      </c>
      <c r="AC263" s="30">
        <f ca="1">IFERROR(__xludf.dummyfunction("""COMPUTED_VALUE"""),9)</f>
        <v>9</v>
      </c>
      <c r="AD263" s="16"/>
      <c r="AE263" s="30"/>
      <c r="AF263" s="30"/>
      <c r="AG263" s="30"/>
    </row>
    <row r="264" spans="1:33" ht="13.8">
      <c r="A264" s="25"/>
      <c r="B264" s="26" t="s">
        <v>29</v>
      </c>
      <c r="C264" s="26" t="s">
        <v>310</v>
      </c>
      <c r="D264" s="26">
        <v>6</v>
      </c>
      <c r="E264" s="27" t="s">
        <v>687</v>
      </c>
      <c r="F264" s="28"/>
      <c r="G264" s="26" t="s">
        <v>694</v>
      </c>
      <c r="H264" s="28" t="str">
        <f ca="1">IFERROR(__xludf.dummyfunction("IFERROR(
  VLOOKUP(G264, IMPORTRANGE(""https://docs.google.com/spreadsheets/d/14deopnvwcrKtEGCKuYXdUHJbeLDZlkiSSWWT0g7x2pM/edit#gid=849066331"", ""LU List Maths (Filter)!A:B""), 2, FALSE),
  IFERROR(
    VLOOKUP(G264, IMPORTRANGE(""https://docs.google.com"&amp;"/spreadsheets/d/14deopnvwcrKtEGCKuYXdUHJbeLDZlkiSSWWT0g7x2pM/edit#gid=849066331"", ""LU List Science (Filter)!A:B""), 2, FALSE),
    ""Not Found""
  )
)
"),"Line of symmetry for figures")</f>
        <v>Line of symmetry for figures</v>
      </c>
      <c r="I264" s="28"/>
      <c r="J264" s="29" t="str">
        <f t="shared" si="24"/>
        <v>LU000796.001</v>
      </c>
      <c r="K264" s="29" t="str">
        <f ca="1">IFERROR(__xludf.dummyfunction("VLOOKUP(J264, IMPORTRANGE(""https://docs.google.com/spreadsheets/d/1yDAaXNsi4Mr5FtRQL4tbmSdIzhx6_m4wkOD7IG-k_eo/edit#gid=0"", ""Maths!M:N""), 2, FALSE)"),"State that a line of symmetry is a straight line that divides a figure into two equal and mirror-image halves.")</f>
        <v>State that a line of symmetry is a straight line that divides a figure into two equal and mirror-image halves.</v>
      </c>
      <c r="L264" s="29" t="str">
        <f t="shared" si="25"/>
        <v>LU000796.002</v>
      </c>
      <c r="M264" s="29" t="str">
        <f ca="1">IFERROR(__xludf.dummyfunction("VLOOKUP(L264, IMPORTRANGE(""https://docs.google.com/spreadsheets/d/1yDAaXNsi4Mr5FtRQL4tbmSdIzhx6_m4wkOD7IG-k_eo/edit#gid=0"", ""Maths!M:N""), 2, FALSE)"),"Describe how recognising lines of symmetry helps in classifying and comparing different shapes and patterns.")</f>
        <v>Describe how recognising lines of symmetry helps in classifying and comparing different shapes and patterns.</v>
      </c>
      <c r="N264" s="29" t="str">
        <f t="shared" si="26"/>
        <v>LU000796.003</v>
      </c>
      <c r="O264" s="29" t="str">
        <f ca="1">IFERROR(__xludf.dummyfunction("VLOOKUP(N264, IMPORTRANGE(""https://docs.google.com/spreadsheets/d/1yDAaXNsi4Mr5FtRQL4tbmSdIzhx6_m4wkOD7IG-k_eo/edit#gid=0"", ""Maths!M:N""), 2, FALSE)"),"Apply knowledge of lines of symmetry to identify and draw lines of symmetry for various figures.")</f>
        <v>Apply knowledge of lines of symmetry to identify and draw lines of symmetry for various figures.</v>
      </c>
      <c r="P264" s="29" t="str">
        <f t="shared" si="27"/>
        <v>LU000796.004</v>
      </c>
      <c r="Q264" s="29" t="str">
        <f ca="1">IFERROR(__xludf.dummyfunction("VLOOKUP(P264, IMPORTRANGE(""https://docs.google.com/spreadsheets/d/1yDAaXNsi4Mr5FtRQL4tbmSdIzhx6_m4wkOD7IG-k_eo/edit#gid=0"", ""Maths!M:N""), 2, FALSE)"),"Analyse complex figures to determine the presence and location of lines of symmetry.")</f>
        <v>Analyse complex figures to determine the presence and location of lines of symmetry.</v>
      </c>
      <c r="R264" s="29" t="str">
        <f t="shared" si="28"/>
        <v>LU000796.005</v>
      </c>
      <c r="S264" s="29" t="str">
        <f ca="1">IFERROR(__xludf.dummyfunction("VLOOKUP(R264, IMPORTRANGE(""https://docs.google.com/spreadsheets/d/1yDAaXNsi4Mr5FtRQL4tbmSdIzhx6_m4wkOD7IG-k_eo/edit#gid=0"", ""Maths!M:N""), 2, FALSE)"),"Draw the shape with the given line(s) of symmetry.")</f>
        <v>Draw the shape with the given line(s) of symmetry.</v>
      </c>
      <c r="T264" s="29" t="str">
        <f t="shared" si="29"/>
        <v>LU000796.006</v>
      </c>
      <c r="U264" s="29" t="str">
        <f ca="1">IFERROR(__xludf.dummyfunction("VLOOKUP(T264, IMPORTRANGE(""https://docs.google.com/spreadsheets/d/1yDAaXNsi4Mr5FtRQL4tbmSdIzhx6_m4wkOD7IG-k_eo/edit#gid=0"", ""Maths!M:N""), 2, FALSE)"),"Generate original artwork or patterns that incorporate lines of symmetry.")</f>
        <v>Generate original artwork or patterns that incorporate lines of symmetry.</v>
      </c>
      <c r="V264" s="16">
        <f ca="1">IFERROR(__xludf.dummyfunction("ArrayFormula(VLOOKUP(G264, IMPORTRANGE(""https://docs.google.com/spreadsheets/d/1p7R4vtkWt5VOBim4ltsDG9KTzSjrtKXsMtQGXPHyND0/edit#gid=795171502"", ""'Filter 30_05_2024'!A1:M2000""), {2, 3, 4, 5,6,7,8,9,10,11,12,13}, 0))"),4)</f>
        <v>4</v>
      </c>
      <c r="W264" s="16">
        <f ca="1">IFERROR(__xludf.dummyfunction("""COMPUTED_VALUE"""),8)</f>
        <v>8</v>
      </c>
      <c r="X264" s="16">
        <f ca="1">IFERROR(__xludf.dummyfunction("""COMPUTED_VALUE"""),10)</f>
        <v>10</v>
      </c>
      <c r="Y264" s="16">
        <f ca="1">IFERROR(__xludf.dummyfunction("""COMPUTED_VALUE"""),22)</f>
        <v>22</v>
      </c>
      <c r="Z264" s="16">
        <f ca="1">IFERROR(__xludf.dummyfunction("""COMPUTED_VALUE"""),4)</f>
        <v>4</v>
      </c>
      <c r="AA264" s="30">
        <f ca="1">IFERROR(__xludf.dummyfunction("""COMPUTED_VALUE"""),5)</f>
        <v>5</v>
      </c>
      <c r="AB264" s="30">
        <f ca="1">IFERROR(__xludf.dummyfunction("""COMPUTED_VALUE"""),4)</f>
        <v>4</v>
      </c>
      <c r="AC264" s="30">
        <f ca="1">IFERROR(__xludf.dummyfunction("""COMPUTED_VALUE"""),13)</f>
        <v>13</v>
      </c>
      <c r="AD264" s="16"/>
      <c r="AE264" s="30"/>
      <c r="AF264" s="30"/>
      <c r="AG264" s="30"/>
    </row>
    <row r="265" spans="1:33" ht="13.8">
      <c r="A265" s="25"/>
      <c r="B265" s="26" t="s">
        <v>29</v>
      </c>
      <c r="C265" s="26" t="s">
        <v>310</v>
      </c>
      <c r="D265" s="26">
        <v>6</v>
      </c>
      <c r="E265" s="27" t="s">
        <v>687</v>
      </c>
      <c r="F265" s="28"/>
      <c r="G265" s="26" t="s">
        <v>695</v>
      </c>
      <c r="H265" s="28" t="str">
        <f ca="1">IFERROR(__xludf.dummyfunction("IFERROR(
  VLOOKUP(G265, IMPORTRANGE(""https://docs.google.com/spreadsheets/d/14deopnvwcrKtEGCKuYXdUHJbeLDZlkiSSWWT0g7x2pM/edit#gid=849066331"", ""LU List Maths (Filter)!A:B""), 2, FALSE),
  IFERROR(
    VLOOKUP(G265, IMPORTRANGE(""https://docs.google.com"&amp;"/spreadsheets/d/14deopnvwcrKtEGCKuYXdUHJbeLDZlkiSSWWT0g7x2pM/edit#gid=849066331"", ""LU List Science (Filter)!A:B""), 2, FALSE),
    ""Not Found""
  )
)
"),"Reflectional symmetry in types of triangles")</f>
        <v>Reflectional symmetry in types of triangles</v>
      </c>
      <c r="I265" s="28"/>
      <c r="J265" s="29" t="str">
        <f t="shared" si="24"/>
        <v>LU001176.001</v>
      </c>
      <c r="K265" s="29" t="str">
        <f ca="1">IFERROR(__xludf.dummyfunction("VLOOKUP(J265, IMPORTRANGE(""https://docs.google.com/spreadsheets/d/1yDAaXNsi4Mr5FtRQL4tbmSdIzhx6_m4wkOD7IG-k_eo/edit#gid=0"", ""Maths!M:N""), 2, FALSE)"),"#N/A")</f>
        <v>#N/A</v>
      </c>
      <c r="L265" s="29" t="str">
        <f t="shared" si="25"/>
        <v>LU001176.002</v>
      </c>
      <c r="M265" s="29" t="str">
        <f ca="1">IFERROR(__xludf.dummyfunction("VLOOKUP(L265, IMPORTRANGE(""https://docs.google.com/spreadsheets/d/1yDAaXNsi4Mr5FtRQL4tbmSdIzhx6_m4wkOD7IG-k_eo/edit#gid=0"", ""Maths!M:N""), 2, FALSE)"),"#N/A")</f>
        <v>#N/A</v>
      </c>
      <c r="N265" s="29" t="str">
        <f t="shared" si="26"/>
        <v>LU001176.003</v>
      </c>
      <c r="O265" s="29" t="str">
        <f ca="1">IFERROR(__xludf.dummyfunction("VLOOKUP(N265, IMPORTRANGE(""https://docs.google.com/spreadsheets/d/1yDAaXNsi4Mr5FtRQL4tbmSdIzhx6_m4wkOD7IG-k_eo/edit#gid=0"", ""Maths!M:N""), 2, FALSE)"),"#N/A")</f>
        <v>#N/A</v>
      </c>
      <c r="P265" s="29" t="str">
        <f t="shared" si="27"/>
        <v>LU001176.004</v>
      </c>
      <c r="Q265" s="29" t="str">
        <f ca="1">IFERROR(__xludf.dummyfunction("VLOOKUP(P265, IMPORTRANGE(""https://docs.google.com/spreadsheets/d/1yDAaXNsi4Mr5FtRQL4tbmSdIzhx6_m4wkOD7IG-k_eo/edit#gid=0"", ""Maths!M:N""), 2, FALSE)"),"#N/A")</f>
        <v>#N/A</v>
      </c>
      <c r="R265" s="29" t="str">
        <f t="shared" si="28"/>
        <v>LU001176.005</v>
      </c>
      <c r="S265" s="29" t="str">
        <f ca="1">IFERROR(__xludf.dummyfunction("VLOOKUP(R265, IMPORTRANGE(""https://docs.google.com/spreadsheets/d/1yDAaXNsi4Mr5FtRQL4tbmSdIzhx6_m4wkOD7IG-k_eo/edit#gid=0"", ""Maths!M:N""), 2, FALSE)"),"#N/A")</f>
        <v>#N/A</v>
      </c>
      <c r="T265" s="29" t="str">
        <f t="shared" si="29"/>
        <v>LU001176.006</v>
      </c>
      <c r="U265" s="29" t="str">
        <f ca="1">IFERROR(__xludf.dummyfunction("VLOOKUP(T265, IMPORTRANGE(""https://docs.google.com/spreadsheets/d/1yDAaXNsi4Mr5FtRQL4tbmSdIzhx6_m4wkOD7IG-k_eo/edit#gid=0"", ""Maths!M:N""), 2, FALSE)"),"#N/A")</f>
        <v>#N/A</v>
      </c>
      <c r="V265" s="16" t="str">
        <f ca="1">IFERROR(__xludf.dummyfunction("ArrayFormula(VLOOKUP(G265, IMPORTRANGE(""https://docs.google.com/spreadsheets/d/1p7R4vtkWt5VOBim4ltsDG9KTzSjrtKXsMtQGXPHyND0/edit#gid=795171502"", ""'Filter 30_05_2024'!A1:M2000""), {2, 3, 4, 5,6,7,8,9,10,11,12,13}, 0))"),"#N/A")</f>
        <v>#N/A</v>
      </c>
      <c r="W265" s="16" t="str">
        <f ca="1">IFERROR(__xludf.dummyfunction("""COMPUTED_VALUE"""),"#N/A")</f>
        <v>#N/A</v>
      </c>
      <c r="X265" s="16" t="str">
        <f ca="1">IFERROR(__xludf.dummyfunction("""COMPUTED_VALUE"""),"#N/A")</f>
        <v>#N/A</v>
      </c>
      <c r="Y265" s="16" t="str">
        <f ca="1">IFERROR(__xludf.dummyfunction("""COMPUTED_VALUE"""),"#N/A")</f>
        <v>#N/A</v>
      </c>
      <c r="Z265" s="16" t="str">
        <f ca="1">IFERROR(__xludf.dummyfunction("""COMPUTED_VALUE"""),"#N/A")</f>
        <v>#N/A</v>
      </c>
      <c r="AA265" s="30" t="str">
        <f ca="1">IFERROR(__xludf.dummyfunction("""COMPUTED_VALUE"""),"#N/A")</f>
        <v>#N/A</v>
      </c>
      <c r="AB265" s="30" t="str">
        <f ca="1">IFERROR(__xludf.dummyfunction("""COMPUTED_VALUE"""),"#N/A")</f>
        <v>#N/A</v>
      </c>
      <c r="AC265" s="30" t="str">
        <f ca="1">IFERROR(__xludf.dummyfunction("""COMPUTED_VALUE"""),"#N/A")</f>
        <v>#N/A</v>
      </c>
      <c r="AD265" s="16" t="str">
        <f ca="1">IFERROR(__xludf.dummyfunction("""COMPUTED_VALUE"""),"#N/A")</f>
        <v>#N/A</v>
      </c>
      <c r="AE265" s="30" t="str">
        <f ca="1">IFERROR(__xludf.dummyfunction("""COMPUTED_VALUE"""),"#N/A")</f>
        <v>#N/A</v>
      </c>
      <c r="AF265" s="30" t="str">
        <f ca="1">IFERROR(__xludf.dummyfunction("""COMPUTED_VALUE"""),"#N/A")</f>
        <v>#N/A</v>
      </c>
      <c r="AG265" s="30" t="str">
        <f ca="1">IFERROR(__xludf.dummyfunction("""COMPUTED_VALUE"""),"#N/A")</f>
        <v>#N/A</v>
      </c>
    </row>
    <row r="266" spans="1:33" ht="13.8">
      <c r="A266" s="25"/>
      <c r="B266" s="26" t="s">
        <v>29</v>
      </c>
      <c r="C266" s="26" t="s">
        <v>310</v>
      </c>
      <c r="D266" s="26">
        <v>6</v>
      </c>
      <c r="E266" s="27" t="s">
        <v>687</v>
      </c>
      <c r="F266" s="28"/>
      <c r="G266" s="26" t="s">
        <v>696</v>
      </c>
      <c r="H266" s="28" t="str">
        <f ca="1">IFERROR(__xludf.dummyfunction("IFERROR(
  VLOOKUP(G266, IMPORTRANGE(""https://docs.google.com/spreadsheets/d/14deopnvwcrKtEGCKuYXdUHJbeLDZlkiSSWWT0g7x2pM/edit#gid=849066331"", ""LU List Maths (Filter)!A:B""), 2, FALSE),
  IFERROR(
    VLOOKUP(G266, IMPORTRANGE(""https://docs.google.com"&amp;"/spreadsheets/d/14deopnvwcrKtEGCKuYXdUHJbeLDZlkiSSWWT0g7x2pM/edit#gid=849066331"", ""LU List Science (Filter)!A:B""), 2, FALSE),
    ""Not Found""
  )
)
"),"Lines of symmetry of types of quadrilaterals")</f>
        <v>Lines of symmetry of types of quadrilaterals</v>
      </c>
      <c r="I266" s="28"/>
      <c r="J266" s="29" t="str">
        <f t="shared" si="24"/>
        <v>LU000800.001</v>
      </c>
      <c r="K266" s="29" t="str">
        <f ca="1">IFERROR(__xludf.dummyfunction("VLOOKUP(J266, IMPORTRANGE(""https://docs.google.com/spreadsheets/d/1yDAaXNsi4Mr5FtRQL4tbmSdIzhx6_m4wkOD7IG-k_eo/edit#gid=0"", ""Maths!M:N""), 2, FALSE)"),"State that the line of symmetry divides different quadrilaterals into two equal halves.")</f>
        <v>State that the line of symmetry divides different quadrilaterals into two equal halves.</v>
      </c>
      <c r="L266" s="29" t="str">
        <f t="shared" si="25"/>
        <v>LU000800.002</v>
      </c>
      <c r="M266" s="29" t="str">
        <f ca="1">IFERROR(__xludf.dummyfunction("VLOOKUP(L266, IMPORTRANGE(""https://docs.google.com/spreadsheets/d/1yDAaXNsi4Mr5FtRQL4tbmSdIzhx6_m4wkOD7IG-k_eo/edit#gid=0"", ""Maths!M:N""), 2, FALSE)"),"Explain why recognising quadrilateral symmetry matters.")</f>
        <v>Explain why recognising quadrilateral symmetry matters.</v>
      </c>
      <c r="N266" s="29" t="str">
        <f t="shared" si="26"/>
        <v>LU000800.003</v>
      </c>
      <c r="O266" s="29" t="str">
        <f ca="1">IFERROR(__xludf.dummyfunction("VLOOKUP(N266, IMPORTRANGE(""https://docs.google.com/spreadsheets/d/1yDAaXNsi4Mr5FtRQL4tbmSdIzhx6_m4wkOD7IG-k_eo/edit#gid=0"", ""Maths!M:N""), 2, FALSE)"),"Find and sketch lines of symmetry in quadrilaterals.")</f>
        <v>Find and sketch lines of symmetry in quadrilaterals.</v>
      </c>
      <c r="P266" s="29" t="str">
        <f t="shared" si="27"/>
        <v>LU000800.004</v>
      </c>
      <c r="Q266" s="29" t="str">
        <f ca="1">IFERROR(__xludf.dummyfunction("VLOOKUP(P266, IMPORTRANGE(""https://docs.google.com/spreadsheets/d/1yDAaXNsi4Mr5FtRQL4tbmSdIzhx6_m4wkOD7IG-k_eo/edit#gid=0"", ""Maths!M:N""), 2, FALSE)"),"Analyse complex quadrilateral designs to find lines of symmetry.")</f>
        <v>Analyse complex quadrilateral designs to find lines of symmetry.</v>
      </c>
      <c r="R266" s="29" t="str">
        <f t="shared" si="28"/>
        <v>LU000800.005</v>
      </c>
      <c r="S266" s="29" t="str">
        <f ca="1">IFERROR(__xludf.dummyfunction("VLOOKUP(R266, IMPORTRANGE(""https://docs.google.com/spreadsheets/d/1yDAaXNsi4Mr5FtRQL4tbmSdIzhx6_m4wkOD7IG-k_eo/edit#gid=0"", ""Maths!M:N""), 2, FALSE)"),"Evaluate how symmetry impacts the appeal of real-world quadrilaterals.")</f>
        <v>Evaluate how symmetry impacts the appeal of real-world quadrilaterals.</v>
      </c>
      <c r="T266" s="29" t="str">
        <f t="shared" si="29"/>
        <v>LU000800.006</v>
      </c>
      <c r="U266" s="29" t="str">
        <f ca="1">IFERROR(__xludf.dummyfunction("VLOOKUP(T266, IMPORTRANGE(""https://docs.google.com/spreadsheets/d/1yDAaXNsi4Mr5FtRQL4tbmSdIzhx6_m4wkOD7IG-k_eo/edit#gid=0"", ""Maths!M:N""), 2, FALSE)"),"Generate original designs with symmetrical quadrilaterals.")</f>
        <v>Generate original designs with symmetrical quadrilaterals.</v>
      </c>
      <c r="V266" s="16">
        <f ca="1">IFERROR(__xludf.dummyfunction("ArrayFormula(VLOOKUP(G266, IMPORTRANGE(""https://docs.google.com/spreadsheets/d/1p7R4vtkWt5VOBim4ltsDG9KTzSjrtKXsMtQGXPHyND0/edit#gid=795171502"", ""'Filter 30_05_2024'!A1:M2000""), {2, 3, 4, 5,6,7,8,9,10,11,12,13}, 0))"),4)</f>
        <v>4</v>
      </c>
      <c r="W266" s="16">
        <f ca="1">IFERROR(__xludf.dummyfunction("""COMPUTED_VALUE"""),6)</f>
        <v>6</v>
      </c>
      <c r="X266" s="16">
        <f ca="1">IFERROR(__xludf.dummyfunction("""COMPUTED_VALUE"""),2)</f>
        <v>2</v>
      </c>
      <c r="Y266" s="16">
        <f ca="1">IFERROR(__xludf.dummyfunction("""COMPUTED_VALUE"""),12)</f>
        <v>12</v>
      </c>
      <c r="Z266" s="16">
        <f ca="1">IFERROR(__xludf.dummyfunction("""COMPUTED_VALUE"""),4)</f>
        <v>4</v>
      </c>
      <c r="AA266" s="30">
        <f ca="1">IFERROR(__xludf.dummyfunction("""COMPUTED_VALUE"""),3)</f>
        <v>3</v>
      </c>
      <c r="AB266" s="30">
        <f ca="1">IFERROR(__xludf.dummyfunction("""COMPUTED_VALUE"""),1)</f>
        <v>1</v>
      </c>
      <c r="AC266" s="30">
        <f ca="1">IFERROR(__xludf.dummyfunction("""COMPUTED_VALUE"""),8)</f>
        <v>8</v>
      </c>
      <c r="AD266" s="16"/>
      <c r="AE266" s="30"/>
      <c r="AF266" s="30"/>
      <c r="AG266" s="30"/>
    </row>
    <row r="267" spans="1:33" ht="13.8">
      <c r="A267" s="25"/>
      <c r="B267" s="26" t="s">
        <v>29</v>
      </c>
      <c r="C267" s="26" t="s">
        <v>310</v>
      </c>
      <c r="D267" s="26">
        <v>6</v>
      </c>
      <c r="E267" s="27" t="s">
        <v>687</v>
      </c>
      <c r="F267" s="28"/>
      <c r="G267" s="26" t="s">
        <v>697</v>
      </c>
      <c r="H267" s="28" t="str">
        <f ca="1">IFERROR(__xludf.dummyfunction("IFERROR(
  VLOOKUP(G267, IMPORTRANGE(""https://docs.google.com/spreadsheets/d/14deopnvwcrKtEGCKuYXdUHJbeLDZlkiSSWWT0g7x2pM/edit#gid=849066331"", ""LU List Maths (Filter)!A:B""), 2, FALSE),
  IFERROR(
    VLOOKUP(G267, IMPORTRANGE(""https://docs.google.com"&amp;"/spreadsheets/d/14deopnvwcrKtEGCKuYXdUHJbeLDZlkiSSWWT0g7x2pM/edit#gid=849066331"", ""LU List Science (Filter)!A:B""), 2, FALSE),
    ""Not Found""
  )
)
"),"Symmetry in letters")</f>
        <v>Symmetry in letters</v>
      </c>
      <c r="I267" s="28"/>
      <c r="J267" s="29" t="str">
        <f t="shared" si="24"/>
        <v>LU000896.001</v>
      </c>
      <c r="K267" s="29" t="str">
        <f ca="1">IFERROR(__xludf.dummyfunction("VLOOKUP(J267, IMPORTRANGE(""https://docs.google.com/spreadsheets/d/1yDAaXNsi4Mr5FtRQL4tbmSdIzhx6_m4wkOD7IG-k_eo/edit#gid=0"", ""Maths!M:N""), 2, FALSE)"),"List all the letters that exhibits symmetry.")</f>
        <v>List all the letters that exhibits symmetry.</v>
      </c>
      <c r="L267" s="29" t="str">
        <f t="shared" si="25"/>
        <v>LU000896.002</v>
      </c>
      <c r="M267" s="29" t="str">
        <f ca="1">IFERROR(__xludf.dummyfunction("VLOOKUP(L267, IMPORTRANGE(""https://docs.google.com/spreadsheets/d/1yDAaXNsi4Mr5FtRQL4tbmSdIzhx6_m4wkOD7IG-k_eo/edit#gid=0"", ""Maths!M:N""), 2, FALSE)"),"Explain the concept of line symmetry and recognize the symmetrical properties in letters of the alphabet.")</f>
        <v>Explain the concept of line symmetry and recognize the symmetrical properties in letters of the alphabet.</v>
      </c>
      <c r="N267" s="29" t="str">
        <f t="shared" si="26"/>
        <v>LU000896.003</v>
      </c>
      <c r="O267" s="29" t="str">
        <f ca="1">IFERROR(__xludf.dummyfunction("VLOOKUP(N267, IMPORTRANGE(""https://docs.google.com/spreadsheets/d/1yDAaXNsi4Mr5FtRQL4tbmSdIzhx6_m4wkOD7IG-k_eo/edit#gid=0"", ""Maths!M:N""), 2, FALSE)"),"Apply knowledge to identify and classify letters of the alphabet as having either line symmetry, rotational symmetry, or neither.")</f>
        <v>Apply knowledge to identify and classify letters of the alphabet as having either line symmetry, rotational symmetry, or neither.</v>
      </c>
      <c r="P267" s="29" t="str">
        <f t="shared" si="27"/>
        <v>LU000896.004</v>
      </c>
      <c r="Q267" s="29" t="str">
        <f ca="1">IFERROR(__xludf.dummyfunction("VLOOKUP(P267, IMPORTRANGE(""https://docs.google.com/spreadsheets/d/1yDAaXNsi4Mr5FtRQL4tbmSdIzhx6_m4wkOD7IG-k_eo/edit#gid=0"", ""Maths!M:N""), 2, FALSE)"),"Analyze the differences between letters with line symmetry (e.g., ""A,"" ""H"") and letters without line symmetry")</f>
        <v>Analyze the differences between letters with line symmetry (e.g., "A," "H") and letters without line symmetry</v>
      </c>
      <c r="R267" s="29" t="str">
        <f t="shared" si="28"/>
        <v>LU000896.005</v>
      </c>
      <c r="S267" s="29" t="str">
        <f ca="1">IFERROR(__xludf.dummyfunction("VLOOKUP(R267, IMPORTRANGE(""https://docs.google.com/spreadsheets/d/1yDAaXNsi4Mr5FtRQL4tbmSdIzhx6_m4wkOD7IG-k_eo/edit#gid=0"", ""Maths!M:N""), 2, FALSE)"),"Evaluate the aesthetic and functional aspects of using symmetrical letters in typography and graphic design")</f>
        <v>Evaluate the aesthetic and functional aspects of using symmetrical letters in typography and graphic design</v>
      </c>
      <c r="T267" s="29" t="str">
        <f t="shared" si="29"/>
        <v>LU000896.006</v>
      </c>
      <c r="U267" s="29" t="str">
        <f ca="1">IFERROR(__xludf.dummyfunction("VLOOKUP(T267, IMPORTRANGE(""https://docs.google.com/spreadsheets/d/1yDAaXNsi4Mr5FtRQL4tbmSdIzhx6_m4wkOD7IG-k_eo/edit#gid=0"", ""Maths!M:N""), 2, FALSE)"),"#N/A")</f>
        <v>#N/A</v>
      </c>
      <c r="V267" s="16">
        <f ca="1">IFERROR(__xludf.dummyfunction("ArrayFormula(VLOOKUP(G267, IMPORTRANGE(""https://docs.google.com/spreadsheets/d/1p7R4vtkWt5VOBim4ltsDG9KTzSjrtKXsMtQGXPHyND0/edit#gid=795171502"", ""'Filter 30_05_2024'!A1:M2000""), {2, 3, 4, 5,6,7,8,9,10,11,12,13}, 0))"),4)</f>
        <v>4</v>
      </c>
      <c r="W267" s="16">
        <f ca="1">IFERROR(__xludf.dummyfunction("""COMPUTED_VALUE"""),6)</f>
        <v>6</v>
      </c>
      <c r="X267" s="16">
        <f ca="1">IFERROR(__xludf.dummyfunction("""COMPUTED_VALUE"""),2)</f>
        <v>2</v>
      </c>
      <c r="Y267" s="16">
        <f ca="1">IFERROR(__xludf.dummyfunction("""COMPUTED_VALUE"""),12)</f>
        <v>12</v>
      </c>
      <c r="Z267" s="16">
        <f ca="1">IFERROR(__xludf.dummyfunction("""COMPUTED_VALUE"""),4)</f>
        <v>4</v>
      </c>
      <c r="AA267" s="30">
        <f ca="1">IFERROR(__xludf.dummyfunction("""COMPUTED_VALUE"""),3)</f>
        <v>3</v>
      </c>
      <c r="AB267" s="30">
        <f ca="1">IFERROR(__xludf.dummyfunction("""COMPUTED_VALUE"""),1)</f>
        <v>1</v>
      </c>
      <c r="AC267" s="30">
        <f ca="1">IFERROR(__xludf.dummyfunction("""COMPUTED_VALUE"""),8)</f>
        <v>8</v>
      </c>
      <c r="AD267" s="16"/>
      <c r="AE267" s="30"/>
      <c r="AF267" s="30"/>
      <c r="AG267" s="30"/>
    </row>
    <row r="268" spans="1:33" ht="39.6">
      <c r="A268" s="25"/>
      <c r="B268" s="26" t="s">
        <v>29</v>
      </c>
      <c r="C268" s="26" t="s">
        <v>310</v>
      </c>
      <c r="D268" s="26">
        <v>6</v>
      </c>
      <c r="E268" s="27" t="s">
        <v>687</v>
      </c>
      <c r="F268" s="28"/>
      <c r="G268" s="56" t="s">
        <v>698</v>
      </c>
      <c r="H268" s="28" t="str">
        <f ca="1">IFERROR(__xludf.dummyfunction("IFERROR(
  VLOOKUP(G268, IMPORTRANGE(""https://docs.google.com/spreadsheets/d/14deopnvwcrKtEGCKuYXdUHJbeLDZlkiSSWWT0g7x2pM/edit#gid=849066331"", ""LU List Maths (Filter)!A:B""), 2, FALSE),
  IFERROR(
    VLOOKUP(G268, IMPORTRANGE(""https://docs.google.com"&amp;"/spreadsheets/d/14deopnvwcrKtEGCKuYXdUHJbeLDZlkiSSWWT0g7x2pM/edit#gid=849066331"", ""LU List Science (Filter)!A:B""), 2, FALSE),
    ""Not Found""
  )
)
"),"Operation of Reflection: Simple 2-D objects")</f>
        <v>Operation of Reflection: Simple 2-D objects</v>
      </c>
      <c r="I268" s="28" t="s">
        <v>699</v>
      </c>
      <c r="J268" s="29" t="str">
        <f t="shared" si="24"/>
        <v>LU001389.001</v>
      </c>
      <c r="K268" s="29" t="str">
        <f ca="1">IFERROR(__xludf.dummyfunction("VLOOKUP(J268, IMPORTRANGE(""https://docs.google.com/spreadsheets/d/1yDAaXNsi4Mr5FtRQL4tbmSdIzhx6_m4wkOD7IG-k_eo/edit#gid=0"", ""Maths!M:N""), 2, FALSE)"),"(LU001389.001); Default - Remember")</f>
        <v>(LU001389.001); Default - Remember</v>
      </c>
      <c r="L268" s="29" t="str">
        <f t="shared" si="25"/>
        <v>LU001389.002</v>
      </c>
      <c r="M268" s="29" t="str">
        <f ca="1">IFERROR(__xludf.dummyfunction("VLOOKUP(L268, IMPORTRANGE(""https://docs.google.com/spreadsheets/d/1yDAaXNsi4Mr5FtRQL4tbmSdIzhx6_m4wkOD7IG-k_eo/edit#gid=0"", ""Maths!M:N""), 2, FALSE)"),"(LU001389.002); Default - Understand")</f>
        <v>(LU001389.002); Default - Understand</v>
      </c>
      <c r="N268" s="29" t="str">
        <f t="shared" si="26"/>
        <v>LU001389.003</v>
      </c>
      <c r="O268" s="29" t="str">
        <f ca="1">IFERROR(__xludf.dummyfunction("VLOOKUP(N268, IMPORTRANGE(""https://docs.google.com/spreadsheets/d/1yDAaXNsi4Mr5FtRQL4tbmSdIzhx6_m4wkOD7IG-k_eo/edit#gid=0"", ""Maths!M:N""), 2, FALSE)"),"(LU001389.003); Default - Apply")</f>
        <v>(LU001389.003); Default - Apply</v>
      </c>
      <c r="P268" s="29" t="str">
        <f t="shared" si="27"/>
        <v>LU001389.004</v>
      </c>
      <c r="Q268" s="29" t="str">
        <f ca="1">IFERROR(__xludf.dummyfunction("VLOOKUP(P268, IMPORTRANGE(""https://docs.google.com/spreadsheets/d/1yDAaXNsi4Mr5FtRQL4tbmSdIzhx6_m4wkOD7IG-k_eo/edit#gid=0"", ""Maths!M:N""), 2, FALSE)"),"(LU001389.004); Default - Analyse")</f>
        <v>(LU001389.004); Default - Analyse</v>
      </c>
      <c r="R268" s="29" t="str">
        <f t="shared" si="28"/>
        <v>LU001389.005</v>
      </c>
      <c r="S268" s="29" t="str">
        <f ca="1">IFERROR(__xludf.dummyfunction("VLOOKUP(R268, IMPORTRANGE(""https://docs.google.com/spreadsheets/d/1yDAaXNsi4Mr5FtRQL4tbmSdIzhx6_m4wkOD7IG-k_eo/edit#gid=0"", ""Maths!M:N""), 2, FALSE)"),"(LU001389.005); Default - Evaluate")</f>
        <v>(LU001389.005); Default - Evaluate</v>
      </c>
      <c r="T268" s="29" t="str">
        <f t="shared" si="29"/>
        <v>LU001389.006</v>
      </c>
      <c r="U268" s="29" t="str">
        <f ca="1">IFERROR(__xludf.dummyfunction("VLOOKUP(T268, IMPORTRANGE(""https://docs.google.com/spreadsheets/d/1yDAaXNsi4Mr5FtRQL4tbmSdIzhx6_m4wkOD7IG-k_eo/edit#gid=0"", ""Maths!M:N""), 2, FALSE)"),"(LU001389.006); Default - Create")</f>
        <v>(LU001389.006); Default - Create</v>
      </c>
      <c r="V268" s="16" t="str">
        <f ca="1">IFERROR(__xludf.dummyfunction("ArrayFormula(VLOOKUP(G268, IMPORTRANGE(""https://docs.google.com/spreadsheets/d/1p7R4vtkWt5VOBim4ltsDG9KTzSjrtKXsMtQGXPHyND0/edit#gid=795171502"", ""'Filter 30_05_2024'!A1:M2000""), {2, 3, 4, 5,6,7,8,9,10,11,12,13}, 0))"),"#N/A")</f>
        <v>#N/A</v>
      </c>
      <c r="W268" s="16" t="str">
        <f ca="1">IFERROR(__xludf.dummyfunction("""COMPUTED_VALUE"""),"#N/A")</f>
        <v>#N/A</v>
      </c>
      <c r="X268" s="16" t="str">
        <f ca="1">IFERROR(__xludf.dummyfunction("""COMPUTED_VALUE"""),"#N/A")</f>
        <v>#N/A</v>
      </c>
      <c r="Y268" s="16" t="str">
        <f ca="1">IFERROR(__xludf.dummyfunction("""COMPUTED_VALUE"""),"#N/A")</f>
        <v>#N/A</v>
      </c>
      <c r="Z268" s="16" t="str">
        <f ca="1">IFERROR(__xludf.dummyfunction("""COMPUTED_VALUE"""),"#N/A")</f>
        <v>#N/A</v>
      </c>
      <c r="AA268" s="30" t="str">
        <f ca="1">IFERROR(__xludf.dummyfunction("""COMPUTED_VALUE"""),"#N/A")</f>
        <v>#N/A</v>
      </c>
      <c r="AB268" s="30" t="str">
        <f ca="1">IFERROR(__xludf.dummyfunction("""COMPUTED_VALUE"""),"#N/A")</f>
        <v>#N/A</v>
      </c>
      <c r="AC268" s="30" t="str">
        <f ca="1">IFERROR(__xludf.dummyfunction("""COMPUTED_VALUE"""),"#N/A")</f>
        <v>#N/A</v>
      </c>
      <c r="AD268" s="16" t="str">
        <f ca="1">IFERROR(__xludf.dummyfunction("""COMPUTED_VALUE"""),"#N/A")</f>
        <v>#N/A</v>
      </c>
      <c r="AE268" s="30" t="str">
        <f ca="1">IFERROR(__xludf.dummyfunction("""COMPUTED_VALUE"""),"#N/A")</f>
        <v>#N/A</v>
      </c>
      <c r="AF268" s="30" t="str">
        <f ca="1">IFERROR(__xludf.dummyfunction("""COMPUTED_VALUE"""),"#N/A")</f>
        <v>#N/A</v>
      </c>
      <c r="AG268" s="30" t="str">
        <f ca="1">IFERROR(__xludf.dummyfunction("""COMPUTED_VALUE"""),"#N/A")</f>
        <v>#N/A</v>
      </c>
    </row>
    <row r="269" spans="1:33" ht="26.4">
      <c r="A269" s="25"/>
      <c r="B269" s="26" t="s">
        <v>29</v>
      </c>
      <c r="C269" s="26" t="s">
        <v>310</v>
      </c>
      <c r="D269" s="26">
        <v>6</v>
      </c>
      <c r="E269" s="27" t="s">
        <v>687</v>
      </c>
      <c r="F269" s="28"/>
      <c r="G269" s="56" t="s">
        <v>700</v>
      </c>
      <c r="H269" s="28" t="str">
        <f ca="1">IFERROR(__xludf.dummyfunction("IFERROR(
  VLOOKUP(G269, IMPORTRANGE(""https://docs.google.com/spreadsheets/d/14deopnvwcrKtEGCKuYXdUHJbeLDZlkiSSWWT0g7x2pM/edit#gid=849066331"", ""LU List Maths (Filter)!A:B""), 2, FALSE),
  IFERROR(
    VLOOKUP(G269, IMPORTRANGE(""https://docs.google.com"&amp;"/spreadsheets/d/14deopnvwcrKtEGCKuYXdUHJbeLDZlkiSSWWT0g7x2pM/edit#gid=849066331"", ""LU List Science (Filter)!A:B""), 2, FALSE),
    ""Not Found""
  )
)
"),"Recognising Reflection Symmetry (Identifying axes)")</f>
        <v>Recognising Reflection Symmetry (Identifying axes)</v>
      </c>
      <c r="I269" s="28"/>
      <c r="J269" s="29" t="str">
        <f t="shared" si="24"/>
        <v>LU001390.001</v>
      </c>
      <c r="K269" s="29" t="str">
        <f ca="1">IFERROR(__xludf.dummyfunction("VLOOKUP(J269, IMPORTRANGE(""https://docs.google.com/spreadsheets/d/1yDAaXNsi4Mr5FtRQL4tbmSdIzhx6_m4wkOD7IG-k_eo/edit#gid=0"", ""Maths!M:N""), 2, FALSE)"),"(LU001390.001); Default - Remember")</f>
        <v>(LU001390.001); Default - Remember</v>
      </c>
      <c r="L269" s="29" t="str">
        <f t="shared" si="25"/>
        <v>LU001390.002</v>
      </c>
      <c r="M269" s="29" t="str">
        <f ca="1">IFERROR(__xludf.dummyfunction("VLOOKUP(L269, IMPORTRANGE(""https://docs.google.com/spreadsheets/d/1yDAaXNsi4Mr5FtRQL4tbmSdIzhx6_m4wkOD7IG-k_eo/edit#gid=0"", ""Maths!M:N""), 2, FALSE)"),"(LU001390.002); Default - Understand")</f>
        <v>(LU001390.002); Default - Understand</v>
      </c>
      <c r="N269" s="29" t="str">
        <f t="shared" si="26"/>
        <v>LU001390.003</v>
      </c>
      <c r="O269" s="29" t="str">
        <f ca="1">IFERROR(__xludf.dummyfunction("VLOOKUP(N269, IMPORTRANGE(""https://docs.google.com/spreadsheets/d/1yDAaXNsi4Mr5FtRQL4tbmSdIzhx6_m4wkOD7IG-k_eo/edit#gid=0"", ""Maths!M:N""), 2, FALSE)"),"(LU001390.003); Default - Apply")</f>
        <v>(LU001390.003); Default - Apply</v>
      </c>
      <c r="P269" s="29" t="str">
        <f t="shared" si="27"/>
        <v>LU001390.004</v>
      </c>
      <c r="Q269" s="29" t="str">
        <f ca="1">IFERROR(__xludf.dummyfunction("VLOOKUP(P269, IMPORTRANGE(""https://docs.google.com/spreadsheets/d/1yDAaXNsi4Mr5FtRQL4tbmSdIzhx6_m4wkOD7IG-k_eo/edit#gid=0"", ""Maths!M:N""), 2, FALSE)"),"(LU001390.004); Default - Analyse")</f>
        <v>(LU001390.004); Default - Analyse</v>
      </c>
      <c r="R269" s="29" t="str">
        <f t="shared" si="28"/>
        <v>LU001390.005</v>
      </c>
      <c r="S269" s="29" t="str">
        <f ca="1">IFERROR(__xludf.dummyfunction("VLOOKUP(R269, IMPORTRANGE(""https://docs.google.com/spreadsheets/d/1yDAaXNsi4Mr5FtRQL4tbmSdIzhx6_m4wkOD7IG-k_eo/edit#gid=0"", ""Maths!M:N""), 2, FALSE)"),"(LU001390.005); Default - Evaluate")</f>
        <v>(LU001390.005); Default - Evaluate</v>
      </c>
      <c r="T269" s="29" t="str">
        <f t="shared" si="29"/>
        <v>LU001390.006</v>
      </c>
      <c r="U269" s="29" t="str">
        <f ca="1">IFERROR(__xludf.dummyfunction("VLOOKUP(T269, IMPORTRANGE(""https://docs.google.com/spreadsheets/d/1yDAaXNsi4Mr5FtRQL4tbmSdIzhx6_m4wkOD7IG-k_eo/edit#gid=0"", ""Maths!M:N""), 2, FALSE)"),"(LU001390.006); Default - Create")</f>
        <v>(LU001390.006); Default - Create</v>
      </c>
      <c r="V269" s="16" t="str">
        <f ca="1">IFERROR(__xludf.dummyfunction("ArrayFormula(VLOOKUP(G269, IMPORTRANGE(""https://docs.google.com/spreadsheets/d/1p7R4vtkWt5VOBim4ltsDG9KTzSjrtKXsMtQGXPHyND0/edit#gid=795171502"", ""'Filter 30_05_2024'!A1:M2000""), {2, 3, 4, 5,6,7,8,9,10,11,12,13}, 0))"),"#N/A")</f>
        <v>#N/A</v>
      </c>
      <c r="W269" s="16" t="str">
        <f ca="1">IFERROR(__xludf.dummyfunction("""COMPUTED_VALUE"""),"#N/A")</f>
        <v>#N/A</v>
      </c>
      <c r="X269" s="16" t="str">
        <f ca="1">IFERROR(__xludf.dummyfunction("""COMPUTED_VALUE"""),"#N/A")</f>
        <v>#N/A</v>
      </c>
      <c r="Y269" s="16" t="str">
        <f ca="1">IFERROR(__xludf.dummyfunction("""COMPUTED_VALUE"""),"#N/A")</f>
        <v>#N/A</v>
      </c>
      <c r="Z269" s="16" t="str">
        <f ca="1">IFERROR(__xludf.dummyfunction("""COMPUTED_VALUE"""),"#N/A")</f>
        <v>#N/A</v>
      </c>
      <c r="AA269" s="30" t="str">
        <f ca="1">IFERROR(__xludf.dummyfunction("""COMPUTED_VALUE"""),"#N/A")</f>
        <v>#N/A</v>
      </c>
      <c r="AB269" s="30" t="str">
        <f ca="1">IFERROR(__xludf.dummyfunction("""COMPUTED_VALUE"""),"#N/A")</f>
        <v>#N/A</v>
      </c>
      <c r="AC269" s="30" t="str">
        <f ca="1">IFERROR(__xludf.dummyfunction("""COMPUTED_VALUE"""),"#N/A")</f>
        <v>#N/A</v>
      </c>
      <c r="AD269" s="16" t="str">
        <f ca="1">IFERROR(__xludf.dummyfunction("""COMPUTED_VALUE"""),"#N/A")</f>
        <v>#N/A</v>
      </c>
      <c r="AE269" s="30" t="str">
        <f ca="1">IFERROR(__xludf.dummyfunction("""COMPUTED_VALUE"""),"#N/A")</f>
        <v>#N/A</v>
      </c>
      <c r="AF269" s="30" t="str">
        <f ca="1">IFERROR(__xludf.dummyfunction("""COMPUTED_VALUE"""),"#N/A")</f>
        <v>#N/A</v>
      </c>
      <c r="AG269" s="30" t="str">
        <f ca="1">IFERROR(__xludf.dummyfunction("""COMPUTED_VALUE"""),"#N/A")</f>
        <v>#N/A</v>
      </c>
    </row>
    <row r="270" spans="1:33" ht="13.8">
      <c r="A270" s="25"/>
      <c r="B270" s="26" t="s">
        <v>29</v>
      </c>
      <c r="C270" s="26" t="s">
        <v>310</v>
      </c>
      <c r="D270" s="26">
        <v>6</v>
      </c>
      <c r="E270" s="27" t="s">
        <v>701</v>
      </c>
      <c r="F270" s="28" t="s">
        <v>702</v>
      </c>
      <c r="G270" s="26" t="s">
        <v>703</v>
      </c>
      <c r="H270" s="28" t="str">
        <f ca="1">IFERROR(__xludf.dummyfunction("IFERROR(
  VLOOKUP(G270, IMPORTRANGE(""https://docs.google.com/spreadsheets/d/14deopnvwcrKtEGCKuYXdUHJbeLDZlkiSSWWT0g7x2pM/edit#gid=849066331"", ""LU List Maths (Filter)!A:B""), 2, FALSE),
  IFERROR(
    VLOOKUP(G270, IMPORTRANGE(""https://docs.google.com"&amp;"/spreadsheets/d/14deopnvwcrKtEGCKuYXdUHJbeLDZlkiSSWWT0g7x2pM/edit#gid=849066331"", ""LU List Science (Filter)!A:B""), 2, FALSE),
    ""Not Found""
  )
)
"),"Construction of a circle with a given radius")</f>
        <v>Construction of a circle with a given radius</v>
      </c>
      <c r="I270" s="28"/>
      <c r="J270" s="29" t="str">
        <f t="shared" si="24"/>
        <v>LU000807.001</v>
      </c>
      <c r="K270" s="29" t="str">
        <f ca="1">IFERROR(__xludf.dummyfunction("VLOOKUP(J270, IMPORTRANGE(""https://docs.google.com/spreadsheets/d/1yDAaXNsi4Mr5FtRQL4tbmSdIzhx6_m4wkOD7IG-k_eo/edit#gid=0"", ""Maths!M:N""), 2, FALSE)"),"List the essential steps involved in constructing a circle with a given radius.")</f>
        <v>List the essential steps involved in constructing a circle with a given radius.</v>
      </c>
      <c r="L270" s="29" t="str">
        <f t="shared" si="25"/>
        <v>LU000807.002</v>
      </c>
      <c r="M270" s="29" t="str">
        <f ca="1">IFERROR(__xludf.dummyfunction("VLOOKUP(L270, IMPORTRANGE(""https://docs.google.com/spreadsheets/d/1yDAaXNsi4Mr5FtRQL4tbmSdIzhx6_m4wkOD7IG-k_eo/edit#gid=0"", ""Maths!M:N""), 2, FALSE)"),"Describe the sequence of steps required to construct a circle with a specified radius accurately.")</f>
        <v>Describe the sequence of steps required to construct a circle with a specified radius accurately.</v>
      </c>
      <c r="N270" s="29" t="str">
        <f t="shared" si="26"/>
        <v>LU000807.003</v>
      </c>
      <c r="O270" s="29" t="str">
        <f ca="1">IFERROR(__xludf.dummyfunction("VLOOKUP(N270, IMPORTRANGE(""https://docs.google.com/spreadsheets/d/1yDAaXNsi4Mr5FtRQL4tbmSdIzhx6_m4wkOD7IG-k_eo/edit#gid=0"", ""Maths!M:N""), 2, FALSE)"),"Apply the knowledge of circle construction to accurately construct a circle with a specific radius.")</f>
        <v>Apply the knowledge of circle construction to accurately construct a circle with a specific radius.</v>
      </c>
      <c r="P270" s="29" t="str">
        <f t="shared" si="27"/>
        <v>LU000807.004</v>
      </c>
      <c r="Q270" s="29" t="str">
        <f ca="1">IFERROR(__xludf.dummyfunction("VLOOKUP(P270, IMPORTRANGE(""https://docs.google.com/spreadsheets/d/1yDAaXNsi4Mr5FtRQL4tbmSdIzhx6_m4wkOD7IG-k_eo/edit#gid=0"", ""Maths!M:N""), 2, FALSE)"),"Identify and rectify any incorrect steps or procedures while constructing a circle to ensure its accuracy.")</f>
        <v>Identify and rectify any incorrect steps or procedures while constructing a circle to ensure its accuracy.</v>
      </c>
      <c r="R270" s="29" t="str">
        <f t="shared" si="28"/>
        <v>LU000807.005</v>
      </c>
      <c r="S270" s="29" t="str">
        <f ca="1">IFERROR(__xludf.dummyfunction("VLOOKUP(R270, IMPORTRANGE(""https://docs.google.com/spreadsheets/d/1yDAaXNsi4Mr5FtRQL4tbmSdIzhx6_m4wkOD7IG-k_eo/edit#gid=0"", ""Maths!M:N""), 2, FALSE)"),"Assess the accuracy of a constructed circle by comparing it to a given radius.")</f>
        <v>Assess the accuracy of a constructed circle by comparing it to a given radius.</v>
      </c>
      <c r="T270" s="29" t="str">
        <f t="shared" si="29"/>
        <v>LU000807.006</v>
      </c>
      <c r="U270" s="29" t="str">
        <f ca="1">IFERROR(__xludf.dummyfunction("VLOOKUP(T270, IMPORTRANGE(""https://docs.google.com/spreadsheets/d/1yDAaXNsi4Mr5FtRQL4tbmSdIzhx6_m4wkOD7IG-k_eo/edit#gid=0"", ""Maths!M:N""), 2, FALSE)"),"Devise real-life scenarios where the knowledge of constructing circles with specific radii can be applied practically.")</f>
        <v>Devise real-life scenarios where the knowledge of constructing circles with specific radii can be applied practically.</v>
      </c>
      <c r="V270" s="16">
        <f ca="1">IFERROR(__xludf.dummyfunction("ArrayFormula(VLOOKUP(G270, IMPORTRANGE(""https://docs.google.com/spreadsheets/d/1p7R4vtkWt5VOBim4ltsDG9KTzSjrtKXsMtQGXPHyND0/edit#gid=795171502"", ""'Filter 30_05_2024'!A1:M2000""), {2, 3, 4, 5,6,7,8,9,10,11,12,13}, 0))"),4)</f>
        <v>4</v>
      </c>
      <c r="W270" s="16">
        <f ca="1">IFERROR(__xludf.dummyfunction("""COMPUTED_VALUE"""),6)</f>
        <v>6</v>
      </c>
      <c r="X270" s="16">
        <f ca="1">IFERROR(__xludf.dummyfunction("""COMPUTED_VALUE"""),2)</f>
        <v>2</v>
      </c>
      <c r="Y270" s="16">
        <f ca="1">IFERROR(__xludf.dummyfunction("""COMPUTED_VALUE"""),12)</f>
        <v>12</v>
      </c>
      <c r="Z270" s="16">
        <f ca="1">IFERROR(__xludf.dummyfunction("""COMPUTED_VALUE"""),4)</f>
        <v>4</v>
      </c>
      <c r="AA270" s="30">
        <f ca="1">IFERROR(__xludf.dummyfunction("""COMPUTED_VALUE"""),3)</f>
        <v>3</v>
      </c>
      <c r="AB270" s="30">
        <f ca="1">IFERROR(__xludf.dummyfunction("""COMPUTED_VALUE"""),1)</f>
        <v>1</v>
      </c>
      <c r="AC270" s="30">
        <f ca="1">IFERROR(__xludf.dummyfunction("""COMPUTED_VALUE"""),8)</f>
        <v>8</v>
      </c>
      <c r="AD270" s="16"/>
      <c r="AE270" s="30"/>
      <c r="AF270" s="30"/>
      <c r="AG270" s="30"/>
    </row>
    <row r="271" spans="1:33" ht="26.4">
      <c r="A271" s="25"/>
      <c r="B271" s="26" t="s">
        <v>29</v>
      </c>
      <c r="C271" s="26" t="s">
        <v>310</v>
      </c>
      <c r="D271" s="26">
        <v>6</v>
      </c>
      <c r="E271" s="27" t="s">
        <v>701</v>
      </c>
      <c r="F271" s="28" t="s">
        <v>704</v>
      </c>
      <c r="G271" s="31" t="s">
        <v>705</v>
      </c>
      <c r="H271" s="28" t="str">
        <f ca="1">IFERROR(__xludf.dummyfunction("IFERROR(
  VLOOKUP(G271, IMPORTRANGE(""https://docs.google.com/spreadsheets/d/14deopnvwcrKtEGCKuYXdUHJbeLDZlkiSSWWT0g7x2pM/edit#gid=849066331"", ""LU List Maths (Filter)!A:B""), 2, FALSE),
  IFERROR(
    VLOOKUP(G271, IMPORTRANGE(""https://docs.google.com"&amp;"/spreadsheets/d/14deopnvwcrKtEGCKuYXdUHJbeLDZlkiSSWWT0g7x2pM/edit#gid=849066331"", ""LU List Science (Filter)!A:B""), 2, FALSE),
    ""Not Found""
  )
)
"),"Construction of a line segment of a given length using a ruler")</f>
        <v>Construction of a line segment of a given length using a ruler</v>
      </c>
      <c r="I271" s="28"/>
      <c r="J271" s="29" t="str">
        <f t="shared" si="24"/>
        <v>LU000808.001</v>
      </c>
      <c r="K271" s="29" t="str">
        <f ca="1">IFERROR(__xludf.dummyfunction("VLOOKUP(J271, IMPORTRANGE(""https://docs.google.com/spreadsheets/d/1yDAaXNsi4Mr5FtRQL4tbmSdIzhx6_m4wkOD7IG-k_eo/edit#gid=0"", ""Maths!M:N""), 2, FALSE)"),"List the basic tools required for constructing a line segment of a given length.")</f>
        <v>List the basic tools required for constructing a line segment of a given length.</v>
      </c>
      <c r="L271" s="29" t="str">
        <f t="shared" si="25"/>
        <v>LU000808.002</v>
      </c>
      <c r="M271" s="29" t="str">
        <f ca="1">IFERROR(__xludf.dummyfunction("VLOOKUP(L271, IMPORTRANGE(""https://docs.google.com/spreadsheets/d/1yDAaXNsi4Mr5FtRQL4tbmSdIzhx6_m4wkOD7IG-k_eo/edit#gid=0"", ""Maths!M:N""), 2, FALSE)"),"Describe the importance of accurate measurements in constructing line segments.")</f>
        <v>Describe the importance of accurate measurements in constructing line segments.</v>
      </c>
      <c r="N271" s="29" t="str">
        <f t="shared" si="26"/>
        <v>LU000808.003</v>
      </c>
      <c r="O271" s="29" t="str">
        <f ca="1">IFERROR(__xludf.dummyfunction("VLOOKUP(N271, IMPORTRANGE(""https://docs.google.com/spreadsheets/d/1yDAaXNsi4Mr5FtRQL4tbmSdIzhx6_m4wkOD7IG-k_eo/edit#gid=0"", ""Maths!M:N""), 2, FALSE)"),"Demonstrate the step-by-step procedure to construct a line segment with a specified length using a ruler.")</f>
        <v>Demonstrate the step-by-step procedure to construct a line segment with a specified length using a ruler.</v>
      </c>
      <c r="P271" s="29" t="str">
        <f t="shared" si="27"/>
        <v>LU000808.004</v>
      </c>
      <c r="Q271" s="29" t="str">
        <f ca="1">IFERROR(__xludf.dummyfunction("VLOOKUP(P271, IMPORTRANGE(""https://docs.google.com/spreadsheets/d/1yDAaXNsi4Mr5FtRQL4tbmSdIzhx6_m4wkOD7IG-k_eo/edit#gid=0"", ""Maths!M:N""), 2, FALSE)"),"Identify and explain any common errors or misconceptions that can occur during the construction of line segments.")</f>
        <v>Identify and explain any common errors or misconceptions that can occur during the construction of line segments.</v>
      </c>
      <c r="R271" s="29" t="str">
        <f t="shared" si="28"/>
        <v>LU000808.005</v>
      </c>
      <c r="S271" s="29" t="str">
        <f ca="1">IFERROR(__xludf.dummyfunction("VLOOKUP(R271, IMPORTRANGE(""https://docs.google.com/spreadsheets/d/1yDAaXNsi4Mr5FtRQL4tbmSdIzhx6_m4wkOD7IG-k_eo/edit#gid=0"", ""Maths!M:N""), 2, FALSE)"),"Assess the accuracy of a constructed line segment using ruler by comparing it to the specified length.")</f>
        <v>Assess the accuracy of a constructed line segment using ruler by comparing it to the specified length.</v>
      </c>
      <c r="T271" s="29" t="str">
        <f t="shared" si="29"/>
        <v>LU000808.006</v>
      </c>
      <c r="U271" s="29" t="str">
        <f ca="1">IFERROR(__xludf.dummyfunction("VLOOKUP(T271, IMPORTRANGE(""https://docs.google.com/spreadsheets/d/1yDAaXNsi4Mr5FtRQL4tbmSdIzhx6_m4wkOD7IG-k_eo/edit#gid=0"", ""Maths!M:N""), 2, FALSE)"),"Design a step-by-step guide for constructing line segments with a ruler, emphasizing precision and accuracy.")</f>
        <v>Design a step-by-step guide for constructing line segments with a ruler, emphasizing precision and accuracy.</v>
      </c>
      <c r="V271" s="16" t="str">
        <f ca="1">IFERROR(__xludf.dummyfunction("ArrayFormula(VLOOKUP(G271, IMPORTRANGE(""https://docs.google.com/spreadsheets/d/1p7R4vtkWt5VOBim4ltsDG9KTzSjrtKXsMtQGXPHyND0/edit#gid=795171502"", ""'Filter 30_05_2024'!A1:M2000""), {2, 3, 4, 5,6,7,8,9,10,11,12,13}, 0))"),"#N/A")</f>
        <v>#N/A</v>
      </c>
      <c r="W271" s="16" t="str">
        <f ca="1">IFERROR(__xludf.dummyfunction("""COMPUTED_VALUE"""),"#N/A")</f>
        <v>#N/A</v>
      </c>
      <c r="X271" s="16" t="str">
        <f ca="1">IFERROR(__xludf.dummyfunction("""COMPUTED_VALUE"""),"#N/A")</f>
        <v>#N/A</v>
      </c>
      <c r="Y271" s="16" t="str">
        <f ca="1">IFERROR(__xludf.dummyfunction("""COMPUTED_VALUE"""),"#N/A")</f>
        <v>#N/A</v>
      </c>
      <c r="Z271" s="16" t="str">
        <f ca="1">IFERROR(__xludf.dummyfunction("""COMPUTED_VALUE"""),"#N/A")</f>
        <v>#N/A</v>
      </c>
      <c r="AA271" s="30" t="str">
        <f ca="1">IFERROR(__xludf.dummyfunction("""COMPUTED_VALUE"""),"#N/A")</f>
        <v>#N/A</v>
      </c>
      <c r="AB271" s="30" t="str">
        <f ca="1">IFERROR(__xludf.dummyfunction("""COMPUTED_VALUE"""),"#N/A")</f>
        <v>#N/A</v>
      </c>
      <c r="AC271" s="30" t="str">
        <f ca="1">IFERROR(__xludf.dummyfunction("""COMPUTED_VALUE"""),"#N/A")</f>
        <v>#N/A</v>
      </c>
      <c r="AD271" s="16" t="str">
        <f ca="1">IFERROR(__xludf.dummyfunction("""COMPUTED_VALUE"""),"#N/A")</f>
        <v>#N/A</v>
      </c>
      <c r="AE271" s="30" t="str">
        <f ca="1">IFERROR(__xludf.dummyfunction("""COMPUTED_VALUE"""),"#N/A")</f>
        <v>#N/A</v>
      </c>
      <c r="AF271" s="30" t="str">
        <f ca="1">IFERROR(__xludf.dummyfunction("""COMPUTED_VALUE"""),"#N/A")</f>
        <v>#N/A</v>
      </c>
      <c r="AG271" s="30" t="str">
        <f ca="1">IFERROR(__xludf.dummyfunction("""COMPUTED_VALUE"""),"#N/A")</f>
        <v>#N/A</v>
      </c>
    </row>
    <row r="272" spans="1:33" ht="26.4">
      <c r="A272" s="25"/>
      <c r="B272" s="26" t="s">
        <v>29</v>
      </c>
      <c r="C272" s="26" t="s">
        <v>310</v>
      </c>
      <c r="D272" s="26">
        <v>6</v>
      </c>
      <c r="E272" s="27" t="s">
        <v>701</v>
      </c>
      <c r="F272" s="28"/>
      <c r="G272" s="31" t="s">
        <v>706</v>
      </c>
      <c r="H272" s="28" t="str">
        <f ca="1">IFERROR(__xludf.dummyfunction("IFERROR(
  VLOOKUP(G272, IMPORTRANGE(""https://docs.google.com/spreadsheets/d/14deopnvwcrKtEGCKuYXdUHJbeLDZlkiSSWWT0g7x2pM/edit#gid=849066331"", ""LU List Maths (Filter)!A:B""), 2, FALSE),
  IFERROR(
    VLOOKUP(G272, IMPORTRANGE(""https://docs.google.com"&amp;"/spreadsheets/d/14deopnvwcrKtEGCKuYXdUHJbeLDZlkiSSWWT0g7x2pM/edit#gid=849066331"", ""LU List Science (Filter)!A:B""), 2, FALSE),
    ""Not Found""
  )
)
"),"Construction of a line segment of a given length using a ruler and compass")</f>
        <v>Construction of a line segment of a given length using a ruler and compass</v>
      </c>
      <c r="I272" s="28"/>
      <c r="J272" s="29" t="str">
        <f t="shared" si="24"/>
        <v>LU000826.001</v>
      </c>
      <c r="K272" s="29" t="str">
        <f ca="1">IFERROR(__xludf.dummyfunction("VLOOKUP(J272, IMPORTRANGE(""https://docs.google.com/spreadsheets/d/1yDAaXNsi4Mr5FtRQL4tbmSdIzhx6_m4wkOD7IG-k_eo/edit#gid=0"", ""Maths!M:N""), 2, FALSE)"),"Remember the specific steps involved in constructing a line segment of a given length.")</f>
        <v>Remember the specific steps involved in constructing a line segment of a given length.</v>
      </c>
      <c r="L272" s="29" t="str">
        <f t="shared" si="25"/>
        <v>LU000826.002</v>
      </c>
      <c r="M272" s="29" t="str">
        <f ca="1">IFERROR(__xludf.dummyfunction("VLOOKUP(L272, IMPORTRANGE(""https://docs.google.com/spreadsheets/d/1yDAaXNsi4Mr5FtRQL4tbmSdIzhx6_m4wkOD7IG-k_eo/edit#gid=0"", ""Maths!M:N""), 2, FALSE)"),"Understand the concepts of using a ruler and compass to create line segments of specific lengths.")</f>
        <v>Understand the concepts of using a ruler and compass to create line segments of specific lengths.</v>
      </c>
      <c r="N272" s="29" t="str">
        <f t="shared" si="26"/>
        <v>LU000826.003</v>
      </c>
      <c r="O272" s="29" t="str">
        <f ca="1">IFERROR(__xludf.dummyfunction("VLOOKUP(N272, IMPORTRANGE(""https://docs.google.com/spreadsheets/d/1yDAaXNsi4Mr5FtRQL4tbmSdIzhx6_m4wkOD7IG-k_eo/edit#gid=0"", ""Maths!M:N""), 2, FALSE)"),"Apply the knowledge and skills of using a ruler and compasses to accurately construct a line segment of a specified length.")</f>
        <v>Apply the knowledge and skills of using a ruler and compasses to accurately construct a line segment of a specified length.</v>
      </c>
      <c r="P272" s="29" t="str">
        <f t="shared" si="27"/>
        <v>LU000826.004</v>
      </c>
      <c r="Q272" s="29" t="str">
        <f ca="1">IFERROR(__xludf.dummyfunction("VLOOKUP(P272, IMPORTRANGE(""https://docs.google.com/spreadsheets/d/1yDAaXNsi4Mr5FtRQL4tbmSdIzhx6_m4wkOD7IG-k_eo/edit#gid=0"", ""Maths!M:N""), 2, FALSE)"),"Analyse the constructed line segment to ensure its correctness and alignment with the specified length.")</f>
        <v>Analyse the constructed line segment to ensure its correctness and alignment with the specified length.</v>
      </c>
      <c r="R272" s="29" t="str">
        <f t="shared" si="28"/>
        <v>LU000826.005</v>
      </c>
      <c r="S272" s="29" t="str">
        <f ca="1">IFERROR(__xludf.dummyfunction("VLOOKUP(R272, IMPORTRANGE(""https://docs.google.com/spreadsheets/d/1yDAaXNsi4Mr5FtRQL4tbmSdIzhx6_m4wkOD7IG-k_eo/edit#gid=0"", ""Maths!M:N""), 2, FALSE)"),"Evaluate the accuracy of the constructed line segment using measurement tools and criteria.")</f>
        <v>Evaluate the accuracy of the constructed line segment using measurement tools and criteria.</v>
      </c>
      <c r="T272" s="29" t="str">
        <f t="shared" si="29"/>
        <v>LU000826.006</v>
      </c>
      <c r="U272" s="29" t="str">
        <f ca="1">IFERROR(__xludf.dummyfunction("VLOOKUP(T272, IMPORTRANGE(""https://docs.google.com/spreadsheets/d/1yDAaXNsi4Mr5FtRQL4tbmSdIzhx6_m4wkOD7IG-k_eo/edit#gid=0"", ""Maths!M:N""), 2, FALSE)"),"Devise real-life scenarios or design challenges where the skill of constructing line segments of given lengths using a ruler and compasses can be applied practically.")</f>
        <v>Devise real-life scenarios or design challenges where the skill of constructing line segments of given lengths using a ruler and compasses can be applied practically.</v>
      </c>
      <c r="V272" s="16" t="str">
        <f ca="1">IFERROR(__xludf.dummyfunction("ArrayFormula(VLOOKUP(G272, IMPORTRANGE(""https://docs.google.com/spreadsheets/d/1p7R4vtkWt5VOBim4ltsDG9KTzSjrtKXsMtQGXPHyND0/edit#gid=795171502"", ""'Filter 30_05_2024'!A1:M2000""), {2, 3, 4, 5,6,7,8,9,10,11,12,13}, 0))"),"#N/A")</f>
        <v>#N/A</v>
      </c>
      <c r="W272" s="16" t="str">
        <f ca="1">IFERROR(__xludf.dummyfunction("""COMPUTED_VALUE"""),"#N/A")</f>
        <v>#N/A</v>
      </c>
      <c r="X272" s="16" t="str">
        <f ca="1">IFERROR(__xludf.dummyfunction("""COMPUTED_VALUE"""),"#N/A")</f>
        <v>#N/A</v>
      </c>
      <c r="Y272" s="16" t="str">
        <f ca="1">IFERROR(__xludf.dummyfunction("""COMPUTED_VALUE"""),"#N/A")</f>
        <v>#N/A</v>
      </c>
      <c r="Z272" s="16" t="str">
        <f ca="1">IFERROR(__xludf.dummyfunction("""COMPUTED_VALUE"""),"#N/A")</f>
        <v>#N/A</v>
      </c>
      <c r="AA272" s="30" t="str">
        <f ca="1">IFERROR(__xludf.dummyfunction("""COMPUTED_VALUE"""),"#N/A")</f>
        <v>#N/A</v>
      </c>
      <c r="AB272" s="30" t="str">
        <f ca="1">IFERROR(__xludf.dummyfunction("""COMPUTED_VALUE"""),"#N/A")</f>
        <v>#N/A</v>
      </c>
      <c r="AC272" s="30" t="str">
        <f ca="1">IFERROR(__xludf.dummyfunction("""COMPUTED_VALUE"""),"#N/A")</f>
        <v>#N/A</v>
      </c>
      <c r="AD272" s="16" t="str">
        <f ca="1">IFERROR(__xludf.dummyfunction("""COMPUTED_VALUE"""),"#N/A")</f>
        <v>#N/A</v>
      </c>
      <c r="AE272" s="30" t="str">
        <f ca="1">IFERROR(__xludf.dummyfunction("""COMPUTED_VALUE"""),"#N/A")</f>
        <v>#N/A</v>
      </c>
      <c r="AF272" s="30" t="str">
        <f ca="1">IFERROR(__xludf.dummyfunction("""COMPUTED_VALUE"""),"#N/A")</f>
        <v>#N/A</v>
      </c>
      <c r="AG272" s="30" t="str">
        <f ca="1">IFERROR(__xludf.dummyfunction("""COMPUTED_VALUE"""),"#N/A")</f>
        <v>#N/A</v>
      </c>
    </row>
    <row r="273" spans="1:33" ht="13.8">
      <c r="A273" s="25"/>
      <c r="B273" s="26" t="s">
        <v>29</v>
      </c>
      <c r="C273" s="26" t="s">
        <v>310</v>
      </c>
      <c r="D273" s="26">
        <v>6</v>
      </c>
      <c r="E273" s="27" t="s">
        <v>701</v>
      </c>
      <c r="F273" s="28"/>
      <c r="G273" s="31" t="s">
        <v>707</v>
      </c>
      <c r="H273" s="28" t="str">
        <f ca="1">IFERROR(__xludf.dummyfunction("IFERROR(
  VLOOKUP(G273, IMPORTRANGE(""https://docs.google.com/spreadsheets/d/14deopnvwcrKtEGCKuYXdUHJbeLDZlkiSSWWT0g7x2pM/edit#gid=849066331"", ""LU List Maths (Filter)!A:B""), 2, FALSE),
  IFERROR(
    VLOOKUP(G273, IMPORTRANGE(""https://docs.google.com"&amp;"/spreadsheets/d/14deopnvwcrKtEGCKuYXdUHJbeLDZlkiSSWWT0g7x2pM/edit#gid=849066331"", ""LU List Science (Filter)!A:B""), 2, FALSE),
    ""Not Found""
  )
)
"),"Construction of a copy of a given line segment")</f>
        <v>Construction of a copy of a given line segment</v>
      </c>
      <c r="I273" s="28"/>
      <c r="J273" s="29" t="str">
        <f t="shared" si="24"/>
        <v>LU000809.001</v>
      </c>
      <c r="K273" s="29" t="str">
        <f ca="1">IFERROR(__xludf.dummyfunction("VLOOKUP(J273, IMPORTRANGE(""https://docs.google.com/spreadsheets/d/1yDAaXNsi4Mr5FtRQL4tbmSdIzhx6_m4wkOD7IG-k_eo/edit#gid=0"", ""Maths!M:N""), 2, FALSE)"),"List the basic steps involved in copying a line segment.")</f>
        <v>List the basic steps involved in copying a line segment.</v>
      </c>
      <c r="L273" s="29" t="str">
        <f t="shared" si="25"/>
        <v>LU000809.002</v>
      </c>
      <c r="M273" s="29" t="str">
        <f ca="1">IFERROR(__xludf.dummyfunction("VLOOKUP(L273, IMPORTRANGE(""https://docs.google.com/spreadsheets/d/1yDAaXNsi4Mr5FtRQL4tbmSdIzhx6_m4wkOD7IG-k_eo/edit#gid=0"", ""Maths!M:N""), 2, FALSE)"),"Describe the concept of congruence and how it relates to copying line segments.")</f>
        <v>Describe the concept of congruence and how it relates to copying line segments.</v>
      </c>
      <c r="N273" s="29" t="str">
        <f t="shared" si="26"/>
        <v>LU000809.003</v>
      </c>
      <c r="O273" s="29" t="str">
        <f ca="1">IFERROR(__xludf.dummyfunction("VLOOKUP(N273, IMPORTRANGE(""https://docs.google.com/spreadsheets/d/1yDAaXNsi4Mr5FtRQL4tbmSdIzhx6_m4wkOD7IG-k_eo/edit#gid=0"", ""Maths!M:N""), 2, FALSE)"),"Apply the steps learned to construct a copy of a specific line segment on paper.")</f>
        <v>Apply the steps learned to construct a copy of a specific line segment on paper.</v>
      </c>
      <c r="P273" s="29" t="str">
        <f t="shared" si="27"/>
        <v>LU000809.004</v>
      </c>
      <c r="Q273" s="29" t="str">
        <f ca="1">IFERROR(__xludf.dummyfunction("VLOOKUP(P273, IMPORTRANGE(""https://docs.google.com/spreadsheets/d/1yDAaXNsi4Mr5FtRQL4tbmSdIzhx6_m4wkOD7IG-k_eo/edit#gid=0"", ""Maths!M:N""), 2, FALSE)"),"Analyse the potential errors that can occur while copying a line segment and strategies to avoid them.")</f>
        <v>Analyse the potential errors that can occur while copying a line segment and strategies to avoid them.</v>
      </c>
      <c r="R273" s="29" t="str">
        <f t="shared" si="28"/>
        <v>LU000809.005</v>
      </c>
      <c r="S273" s="29" t="str">
        <f ca="1">IFERROR(__xludf.dummyfunction("VLOOKUP(R273, IMPORTRANGE(""https://docs.google.com/spreadsheets/d/1yDAaXNsi4Mr5FtRQL4tbmSdIzhx6_m4wkOD7IG-k_eo/edit#gid=0"", ""Maths!M:N""), 2, FALSE)"),"Assess the accuracy of the copied line segment by comparing it to the original.")</f>
        <v>Assess the accuracy of the copied line segment by comparing it to the original.</v>
      </c>
      <c r="T273" s="29" t="str">
        <f t="shared" si="29"/>
        <v>LU000809.006</v>
      </c>
      <c r="U273" s="29" t="str">
        <f ca="1">IFERROR(__xludf.dummyfunction("VLOOKUP(T273, IMPORTRANGE(""https://docs.google.com/spreadsheets/d/1yDAaXNsi4Mr5FtRQL4tbmSdIzhx6_m4wkOD7IG-k_eo/edit#gid=0"", ""Maths!M:N""), 2, FALSE)"),"Design a step-by-step guide for copying line segments, emphasizing precision and congruence.")</f>
        <v>Design a step-by-step guide for copying line segments, emphasizing precision and congruence.</v>
      </c>
      <c r="V273" s="16" t="str">
        <f ca="1">IFERROR(__xludf.dummyfunction("ArrayFormula(VLOOKUP(G273, IMPORTRANGE(""https://docs.google.com/spreadsheets/d/1p7R4vtkWt5VOBim4ltsDG9KTzSjrtKXsMtQGXPHyND0/edit#gid=795171502"", ""'Filter 30_05_2024'!A1:M2000""), {2, 3, 4, 5,6,7,8,9,10,11,12,13}, 0))"),"#N/A")</f>
        <v>#N/A</v>
      </c>
      <c r="W273" s="16" t="str">
        <f ca="1">IFERROR(__xludf.dummyfunction("""COMPUTED_VALUE"""),"#N/A")</f>
        <v>#N/A</v>
      </c>
      <c r="X273" s="16" t="str">
        <f ca="1">IFERROR(__xludf.dummyfunction("""COMPUTED_VALUE"""),"#N/A")</f>
        <v>#N/A</v>
      </c>
      <c r="Y273" s="16" t="str">
        <f ca="1">IFERROR(__xludf.dummyfunction("""COMPUTED_VALUE"""),"#N/A")</f>
        <v>#N/A</v>
      </c>
      <c r="Z273" s="16" t="str">
        <f ca="1">IFERROR(__xludf.dummyfunction("""COMPUTED_VALUE"""),"#N/A")</f>
        <v>#N/A</v>
      </c>
      <c r="AA273" s="30" t="str">
        <f ca="1">IFERROR(__xludf.dummyfunction("""COMPUTED_VALUE"""),"#N/A")</f>
        <v>#N/A</v>
      </c>
      <c r="AB273" s="30" t="str">
        <f ca="1">IFERROR(__xludf.dummyfunction("""COMPUTED_VALUE"""),"#N/A")</f>
        <v>#N/A</v>
      </c>
      <c r="AC273" s="30" t="str">
        <f ca="1">IFERROR(__xludf.dummyfunction("""COMPUTED_VALUE"""),"#N/A")</f>
        <v>#N/A</v>
      </c>
      <c r="AD273" s="16" t="str">
        <f ca="1">IFERROR(__xludf.dummyfunction("""COMPUTED_VALUE"""),"#N/A")</f>
        <v>#N/A</v>
      </c>
      <c r="AE273" s="30" t="str">
        <f ca="1">IFERROR(__xludf.dummyfunction("""COMPUTED_VALUE"""),"#N/A")</f>
        <v>#N/A</v>
      </c>
      <c r="AF273" s="30" t="str">
        <f ca="1">IFERROR(__xludf.dummyfunction("""COMPUTED_VALUE"""),"#N/A")</f>
        <v>#N/A</v>
      </c>
      <c r="AG273" s="30" t="str">
        <f ca="1">IFERROR(__xludf.dummyfunction("""COMPUTED_VALUE"""),"#N/A")</f>
        <v>#N/A</v>
      </c>
    </row>
    <row r="274" spans="1:33" ht="39.6">
      <c r="A274" s="25"/>
      <c r="B274" s="26" t="s">
        <v>29</v>
      </c>
      <c r="C274" s="26" t="s">
        <v>310</v>
      </c>
      <c r="D274" s="26">
        <v>6</v>
      </c>
      <c r="E274" s="27" t="s">
        <v>701</v>
      </c>
      <c r="F274" s="28" t="s">
        <v>708</v>
      </c>
      <c r="G274" s="31" t="s">
        <v>709</v>
      </c>
      <c r="H274" s="28" t="str">
        <f ca="1">IFERROR(__xludf.dummyfunction("IFERROR(
  VLOOKUP(G274, IMPORTRANGE(""https://docs.google.com/spreadsheets/d/14deopnvwcrKtEGCKuYXdUHJbeLDZlkiSSWWT0g7x2pM/edit#gid=849066331"", ""LU List Maths (Filter)!A:B""), 2, FALSE),
  IFERROR(
    VLOOKUP(G274, IMPORTRANGE(""https://docs.google.com"&amp;"/spreadsheets/d/14deopnvwcrKtEGCKuYXdUHJbeLDZlkiSSWWT0g7x2pM/edit#gid=849066331"", ""LU List Science (Filter)!A:B""), 2, FALSE),
    ""Not Found""
  )
)
"),"Construction of a perpendicular line to another line through a point on it using a ruler and a compass")</f>
        <v>Construction of a perpendicular line to another line through a point on it using a ruler and a compass</v>
      </c>
      <c r="I274" s="57"/>
      <c r="J274" s="29" t="str">
        <f t="shared" si="24"/>
        <v>LU000812.001</v>
      </c>
      <c r="K274" s="29" t="str">
        <f ca="1">IFERROR(__xludf.dummyfunction("VLOOKUP(J274, IMPORTRANGE(""https://docs.google.com/spreadsheets/d/1yDAaXNsi4Mr5FtRQL4tbmSdIzhx6_m4wkOD7IG-k_eo/edit#gid=0"", ""Maths!M:N""), 2, FALSE)"),"Remember the basic tools required for ruler and a compass constructions.")</f>
        <v>Remember the basic tools required for ruler and a compass constructions.</v>
      </c>
      <c r="L274" s="29" t="str">
        <f t="shared" si="25"/>
        <v>LU000812.002</v>
      </c>
      <c r="M274" s="29" t="str">
        <f ca="1">IFERROR(__xludf.dummyfunction("VLOOKUP(L274, IMPORTRANGE(""https://docs.google.com/spreadsheets/d/1yDAaXNsi4Mr5FtRQL4tbmSdIzhx6_m4wkOD7IG-k_eo/edit#gid=0"", ""Maths!M:N""), 2, FALSE)"),"Understand the process of using a ruler and a compass to create a perpendicular line to another line through a point on it.")</f>
        <v>Understand the process of using a ruler and a compass to create a perpendicular line to another line through a point on it.</v>
      </c>
      <c r="N274" s="29" t="str">
        <f t="shared" si="26"/>
        <v>LU000812.003</v>
      </c>
      <c r="O274" s="29" t="str">
        <f ca="1">IFERROR(__xludf.dummyfunction("VLOOKUP(N274, IMPORTRANGE(""https://docs.google.com/spreadsheets/d/1yDAaXNsi4Mr5FtRQL4tbmSdIzhx6_m4wkOD7IG-k_eo/edit#gid=0"", ""Maths!M:N""), 2, FALSE)"),"Apply the ruler and a compass method to create a perpendicular line through a specific point on a given line.")</f>
        <v>Apply the ruler and a compass method to create a perpendicular line through a specific point on a given line.</v>
      </c>
      <c r="P274" s="29" t="str">
        <f t="shared" si="27"/>
        <v>LU000812.004</v>
      </c>
      <c r="Q274" s="29" t="str">
        <f ca="1">IFERROR(__xludf.dummyfunction("VLOOKUP(P274, IMPORTRANGE(""https://docs.google.com/spreadsheets/d/1yDAaXNsi4Mr5FtRQL4tbmSdIzhx6_m4wkOD7IG-k_eo/edit#gid=0"", ""Maths!M:N""), 2, FALSE)"),"Analyse the geometry behind the ruler and a compass method and how it ensures the construction of a perpendicular line through a specific point on a given line.")</f>
        <v>Analyse the geometry behind the ruler and a compass method and how it ensures the construction of a perpendicular line through a specific point on a given line.</v>
      </c>
      <c r="R274" s="29" t="str">
        <f t="shared" si="28"/>
        <v>LU000812.005</v>
      </c>
      <c r="S274" s="29" t="str">
        <f ca="1">IFERROR(__xludf.dummyfunction("VLOOKUP(R274, IMPORTRANGE(""https://docs.google.com/spreadsheets/d/1yDAaXNsi4Mr5FtRQL4tbmSdIzhx6_m4wkOD7IG-k_eo/edit#gid=0"", ""Maths!M:N""), 2, FALSE)"),"Critically evaluate the advantages and limitations of using the ruler and a compass method for construction of a perpendicular line through a specific point on a given line.")</f>
        <v>Critically evaluate the advantages and limitations of using the ruler and a compass method for construction of a perpendicular line through a specific point on a given line.</v>
      </c>
      <c r="T274" s="29" t="str">
        <f t="shared" si="29"/>
        <v>LU000812.006</v>
      </c>
      <c r="U274" s="29" t="str">
        <f ca="1">IFERROR(__xludf.dummyfunction("VLOOKUP(T274, IMPORTRANGE(""https://docs.google.com/spreadsheets/d/1yDAaXNsi4Mr5FtRQL4tbmSdIzhx6_m4wkOD7IG-k_eo/edit#gid=0"", ""Maths!M:N""), 2, FALSE)"),"Design a step-by-step guide with illustrations for constructing of a perpendicular line through a specific point on a given line through ruler and a compass, emphasizing precision and reliability.")</f>
        <v>Design a step-by-step guide with illustrations for constructing of a perpendicular line through a specific point on a given line through ruler and a compass, emphasizing precision and reliability.</v>
      </c>
      <c r="V274" s="16" t="str">
        <f ca="1">IFERROR(__xludf.dummyfunction("ArrayFormula(VLOOKUP(G274, IMPORTRANGE(""https://docs.google.com/spreadsheets/d/1p7R4vtkWt5VOBim4ltsDG9KTzSjrtKXsMtQGXPHyND0/edit#gid=795171502"", ""'Filter 30_05_2024'!A1:M2000""), {2, 3, 4, 5,6,7,8,9,10,11,12,13}, 0))"),"#N/A")</f>
        <v>#N/A</v>
      </c>
      <c r="W274" s="16" t="str">
        <f ca="1">IFERROR(__xludf.dummyfunction("""COMPUTED_VALUE"""),"#N/A")</f>
        <v>#N/A</v>
      </c>
      <c r="X274" s="16" t="str">
        <f ca="1">IFERROR(__xludf.dummyfunction("""COMPUTED_VALUE"""),"#N/A")</f>
        <v>#N/A</v>
      </c>
      <c r="Y274" s="16" t="str">
        <f ca="1">IFERROR(__xludf.dummyfunction("""COMPUTED_VALUE"""),"#N/A")</f>
        <v>#N/A</v>
      </c>
      <c r="Z274" s="16" t="str">
        <f ca="1">IFERROR(__xludf.dummyfunction("""COMPUTED_VALUE"""),"#N/A")</f>
        <v>#N/A</v>
      </c>
      <c r="AA274" s="30" t="str">
        <f ca="1">IFERROR(__xludf.dummyfunction("""COMPUTED_VALUE"""),"#N/A")</f>
        <v>#N/A</v>
      </c>
      <c r="AB274" s="30" t="str">
        <f ca="1">IFERROR(__xludf.dummyfunction("""COMPUTED_VALUE"""),"#N/A")</f>
        <v>#N/A</v>
      </c>
      <c r="AC274" s="30" t="str">
        <f ca="1">IFERROR(__xludf.dummyfunction("""COMPUTED_VALUE"""),"#N/A")</f>
        <v>#N/A</v>
      </c>
      <c r="AD274" s="16" t="str">
        <f ca="1">IFERROR(__xludf.dummyfunction("""COMPUTED_VALUE"""),"#N/A")</f>
        <v>#N/A</v>
      </c>
      <c r="AE274" s="30" t="str">
        <f ca="1">IFERROR(__xludf.dummyfunction("""COMPUTED_VALUE"""),"#N/A")</f>
        <v>#N/A</v>
      </c>
      <c r="AF274" s="30" t="str">
        <f ca="1">IFERROR(__xludf.dummyfunction("""COMPUTED_VALUE"""),"#N/A")</f>
        <v>#N/A</v>
      </c>
      <c r="AG274" s="30" t="str">
        <f ca="1">IFERROR(__xludf.dummyfunction("""COMPUTED_VALUE"""),"#N/A")</f>
        <v>#N/A</v>
      </c>
    </row>
    <row r="275" spans="1:33" ht="39.6">
      <c r="A275" s="25"/>
      <c r="B275" s="26" t="s">
        <v>29</v>
      </c>
      <c r="C275" s="26" t="s">
        <v>310</v>
      </c>
      <c r="D275" s="26">
        <v>6</v>
      </c>
      <c r="E275" s="27" t="s">
        <v>701</v>
      </c>
      <c r="F275" s="32"/>
      <c r="G275" s="31" t="s">
        <v>710</v>
      </c>
      <c r="H275" s="28" t="str">
        <f ca="1">IFERROR(__xludf.dummyfunction("IFERROR(
  VLOOKUP(G275, IMPORTRANGE(""https://docs.google.com/spreadsheets/d/14deopnvwcrKtEGCKuYXdUHJbeLDZlkiSSWWT0g7x2pM/edit#gid=849066331"", ""LU List Maths (Filter)!A:B""), 2, FALSE),
  IFERROR(
    VLOOKUP(G275, IMPORTRANGE(""https://docs.google.com"&amp;"/spreadsheets/d/14deopnvwcrKtEGCKuYXdUHJbeLDZlkiSSWWT0g7x2pM/edit#gid=849066331"", ""LU List Science (Filter)!A:B""), 2, FALSE),
    ""Not Found""
  )
)
"),"Construction of a perpendicular line to another line through an outside point using a ruler and a compass")</f>
        <v>Construction of a perpendicular line to another line through an outside point using a ruler and a compass</v>
      </c>
      <c r="I275" s="58"/>
      <c r="J275" s="29" t="str">
        <f t="shared" si="24"/>
        <v>LU000815.001</v>
      </c>
      <c r="K275" s="29" t="str">
        <f ca="1">IFERROR(__xludf.dummyfunction("VLOOKUP(J275, IMPORTRANGE(""https://docs.google.com/spreadsheets/d/1yDAaXNsi4Mr5FtRQL4tbmSdIzhx6_m4wkOD7IG-k_eo/edit#gid=0"", ""Maths!M:N""), 2, FALSE)"),"Remember the tools required for constructing a perpendicular line through an outside point.")</f>
        <v>Remember the tools required for constructing a perpendicular line through an outside point.</v>
      </c>
      <c r="L275" s="29" t="str">
        <f t="shared" si="25"/>
        <v>LU000815.002</v>
      </c>
      <c r="M275" s="29" t="str">
        <f ca="1">IFERROR(__xludf.dummyfunction("VLOOKUP(L275, IMPORTRANGE(""https://docs.google.com/spreadsheets/d/1yDAaXNsi4Mr5FtRQL4tbmSdIzhx6_m4wkOD7IG-k_eo/edit#gid=0"", ""Maths!M:N""), 2, FALSE)"),"Explain the concept of constructing a perpendicular line through an outside point to another line.")</f>
        <v>Explain the concept of constructing a perpendicular line through an outside point to another line.</v>
      </c>
      <c r="N275" s="29" t="str">
        <f t="shared" si="26"/>
        <v>LU000815.003</v>
      </c>
      <c r="O275" s="29" t="str">
        <f ca="1">IFERROR(__xludf.dummyfunction("VLOOKUP(N275, IMPORTRANGE(""https://docs.google.com/spreadsheets/d/1yDAaXNsi4Mr5FtRQL4tbmSdIzhx6_m4wkOD7IG-k_eo/edit#gid=0"", ""Maths!M:N""), 2, FALSE)"),"Apply the technique of using a ruler and a compass to construct a perpendicular line through an outside point accurately.")</f>
        <v>Apply the technique of using a ruler and a compass to construct a perpendicular line through an outside point accurately.</v>
      </c>
      <c r="P275" s="29" t="str">
        <f t="shared" si="27"/>
        <v>LU000815.004</v>
      </c>
      <c r="Q275" s="29" t="str">
        <f ca="1">IFERROR(__xludf.dummyfunction("VLOOKUP(P275, IMPORTRANGE(""https://docs.google.com/spreadsheets/d/1yDAaXNsi4Mr5FtRQL4tbmSdIzhx6_m4wkOD7IG-k_eo/edit#gid=0"", ""Maths!M:N""), 2, FALSE)"),"Analyse the geometry behind the ruler and a compass method and how it ensures the construction of a perpendicular line to another line through an outside point.")</f>
        <v>Analyse the geometry behind the ruler and a compass method and how it ensures the construction of a perpendicular line to another line through an outside point.</v>
      </c>
      <c r="R275" s="29" t="str">
        <f t="shared" si="28"/>
        <v>LU000815.005</v>
      </c>
      <c r="S275" s="29" t="str">
        <f ca="1">IFERROR(__xludf.dummyfunction("VLOOKUP(R275, IMPORTRANGE(""https://docs.google.com/spreadsheets/d/1yDAaXNsi4Mr5FtRQL4tbmSdIzhx6_m4wkOD7IG-k_eo/edit#gid=0"", ""Maths!M:N""), 2, FALSE)"),"Critically evaluate the advantages and limitations of using the ruler and a compass method for construction of a perpendicular line to another line through an outside point.")</f>
        <v>Critically evaluate the advantages and limitations of using the ruler and a compass method for construction of a perpendicular line to another line through an outside point.</v>
      </c>
      <c r="T275" s="29" t="str">
        <f t="shared" si="29"/>
        <v>LU000815.006</v>
      </c>
      <c r="U275" s="29" t="str">
        <f ca="1">IFERROR(__xludf.dummyfunction("VLOOKUP(T275, IMPORTRANGE(""https://docs.google.com/spreadsheets/d/1yDAaXNsi4Mr5FtRQL4tbmSdIzhx6_m4wkOD7IG-k_eo/edit#gid=0"", ""Maths!M:N""), 2, FALSE)"),"Design a step-by-step guide with illustrations for constructing of a perpendicular line to another line through an outside point through ruler and a compass, emphasizing precision and reliability.")</f>
        <v>Design a step-by-step guide with illustrations for constructing of a perpendicular line to another line through an outside point through ruler and a compass, emphasizing precision and reliability.</v>
      </c>
      <c r="V275" s="16" t="str">
        <f ca="1">IFERROR(__xludf.dummyfunction("ArrayFormula(VLOOKUP(G275, IMPORTRANGE(""https://docs.google.com/spreadsheets/d/1p7R4vtkWt5VOBim4ltsDG9KTzSjrtKXsMtQGXPHyND0/edit#gid=795171502"", ""'Filter 30_05_2024'!A1:M2000""), {2, 3, 4, 5,6,7,8,9,10,11,12,13}, 0))"),"#N/A")</f>
        <v>#N/A</v>
      </c>
      <c r="W275" s="16" t="str">
        <f ca="1">IFERROR(__xludf.dummyfunction("""COMPUTED_VALUE"""),"#N/A")</f>
        <v>#N/A</v>
      </c>
      <c r="X275" s="16" t="str">
        <f ca="1">IFERROR(__xludf.dummyfunction("""COMPUTED_VALUE"""),"#N/A")</f>
        <v>#N/A</v>
      </c>
      <c r="Y275" s="16" t="str">
        <f ca="1">IFERROR(__xludf.dummyfunction("""COMPUTED_VALUE"""),"#N/A")</f>
        <v>#N/A</v>
      </c>
      <c r="Z275" s="16" t="str">
        <f ca="1">IFERROR(__xludf.dummyfunction("""COMPUTED_VALUE"""),"#N/A")</f>
        <v>#N/A</v>
      </c>
      <c r="AA275" s="30" t="str">
        <f ca="1">IFERROR(__xludf.dummyfunction("""COMPUTED_VALUE"""),"#N/A")</f>
        <v>#N/A</v>
      </c>
      <c r="AB275" s="30" t="str">
        <f ca="1">IFERROR(__xludf.dummyfunction("""COMPUTED_VALUE"""),"#N/A")</f>
        <v>#N/A</v>
      </c>
      <c r="AC275" s="30" t="str">
        <f ca="1">IFERROR(__xludf.dummyfunction("""COMPUTED_VALUE"""),"#N/A")</f>
        <v>#N/A</v>
      </c>
      <c r="AD275" s="16" t="str">
        <f ca="1">IFERROR(__xludf.dummyfunction("""COMPUTED_VALUE"""),"#N/A")</f>
        <v>#N/A</v>
      </c>
      <c r="AE275" s="30" t="str">
        <f ca="1">IFERROR(__xludf.dummyfunction("""COMPUTED_VALUE"""),"#N/A")</f>
        <v>#N/A</v>
      </c>
      <c r="AF275" s="30" t="str">
        <f ca="1">IFERROR(__xludf.dummyfunction("""COMPUTED_VALUE"""),"#N/A")</f>
        <v>#N/A</v>
      </c>
      <c r="AG275" s="30" t="str">
        <f ca="1">IFERROR(__xludf.dummyfunction("""COMPUTED_VALUE"""),"#N/A")</f>
        <v>#N/A</v>
      </c>
    </row>
    <row r="276" spans="1:33" ht="26.4">
      <c r="A276" s="25"/>
      <c r="B276" s="26" t="s">
        <v>29</v>
      </c>
      <c r="C276" s="26" t="s">
        <v>310</v>
      </c>
      <c r="D276" s="26">
        <v>6</v>
      </c>
      <c r="E276" s="27" t="s">
        <v>701</v>
      </c>
      <c r="F276" s="28" t="s">
        <v>711</v>
      </c>
      <c r="G276" s="31" t="s">
        <v>712</v>
      </c>
      <c r="H276" s="28" t="str">
        <f ca="1">IFERROR(__xludf.dummyfunction("IFERROR(
  VLOOKUP(G276, IMPORTRANGE(""https://docs.google.com/spreadsheets/d/14deopnvwcrKtEGCKuYXdUHJbeLDZlkiSSWWT0g7x2pM/edit#gid=849066331"", ""LU List Maths (Filter)!A:B""), 2, FALSE),
  IFERROR(
    VLOOKUP(G276, IMPORTRANGE(""https://docs.google.com"&amp;"/spreadsheets/d/14deopnvwcrKtEGCKuYXdUHJbeLDZlkiSSWWT0g7x2pM/edit#gid=849066331"", ""LU List Science (Filter)!A:B""), 2, FALSE),
    ""Not Found""
  )
)
"),"Construction of a perpendicular bisector of a line segment using ruler and compass")</f>
        <v>Construction of a perpendicular bisector of a line segment using ruler and compass</v>
      </c>
      <c r="I276" s="57"/>
      <c r="J276" s="29" t="str">
        <f t="shared" si="24"/>
        <v>LU000817.001</v>
      </c>
      <c r="K276" s="29" t="str">
        <f ca="1">IFERROR(__xludf.dummyfunction("VLOOKUP(J276, IMPORTRANGE(""https://docs.google.com/spreadsheets/d/1yDAaXNsi4Mr5FtRQL4tbmSdIzhx6_m4wkOD7IG-k_eo/edit#gid=0"", ""Maths!M:N""), 2, FALSE)"),"Remember the steps involved in constructing a perpendicular bisector using a ruler and compass.")</f>
        <v>Remember the steps involved in constructing a perpendicular bisector using a ruler and compass.</v>
      </c>
      <c r="L276" s="29" t="str">
        <f t="shared" si="25"/>
        <v>LU000817.002</v>
      </c>
      <c r="M276" s="29" t="str">
        <f ca="1">IFERROR(__xludf.dummyfunction("VLOOKUP(L276, IMPORTRANGE(""https://docs.google.com/spreadsheets/d/1yDAaXNsi4Mr5FtRQL4tbmSdIzhx6_m4wkOD7IG-k_eo/edit#gid=0"", ""Maths!M:N""), 2, FALSE)"),"Explain the concept of constructing a perpendicular bisector for a given line segment using a ruler and compass.")</f>
        <v>Explain the concept of constructing a perpendicular bisector for a given line segment using a ruler and compass.</v>
      </c>
      <c r="N276" s="29" t="str">
        <f t="shared" si="26"/>
        <v>LU000817.003</v>
      </c>
      <c r="O276" s="29" t="str">
        <f ca="1">IFERROR(__xludf.dummyfunction("VLOOKUP(N276, IMPORTRANGE(""https://docs.google.com/spreadsheets/d/1yDAaXNsi4Mr5FtRQL4tbmSdIzhx6_m4wkOD7IG-k_eo/edit#gid=0"", ""Maths!M:N""), 2, FALSE)"),"Apply the technique of constructing a perpendicular bisector using a ruler and compass to accurately bisect a line segment.")</f>
        <v>Apply the technique of constructing a perpendicular bisector using a ruler and compass to accurately bisect a line segment.</v>
      </c>
      <c r="P276" s="29" t="str">
        <f t="shared" si="27"/>
        <v>LU000817.004</v>
      </c>
      <c r="Q276" s="29" t="str">
        <f ca="1">IFERROR(__xludf.dummyfunction("VLOOKUP(P276, IMPORTRANGE(""https://docs.google.com/spreadsheets/d/1yDAaXNsi4Mr5FtRQL4tbmSdIzhx6_m4wkOD7IG-k_eo/edit#gid=0"", ""Maths!M:N""), 2, FALSE)"),"Compare and contrast the construction method using a ruler and compass with other methods for constructing perpendicular bisectors.")</f>
        <v>Compare and contrast the construction method using a ruler and compass with other methods for constructing perpendicular bisectors.</v>
      </c>
      <c r="R276" s="29" t="str">
        <f t="shared" si="28"/>
        <v>LU000817.005</v>
      </c>
      <c r="S276" s="29" t="str">
        <f ca="1">IFERROR(__xludf.dummyfunction("VLOOKUP(R276, IMPORTRANGE(""https://docs.google.com/spreadsheets/d/1yDAaXNsi4Mr5FtRQL4tbmSdIzhx6_m4wkOD7IG-k_eo/edit#gid=0"", ""Maths!M:N""), 2, FALSE)"),"Critically evaluate the advantages and limitations of using a ruler and compass for this construction method.")</f>
        <v>Critically evaluate the advantages and limitations of using a ruler and compass for this construction method.</v>
      </c>
      <c r="T276" s="29" t="str">
        <f t="shared" si="29"/>
        <v>LU000817.006</v>
      </c>
      <c r="U276" s="29" t="str">
        <f ca="1">IFERROR(__xludf.dummyfunction("VLOOKUP(T276, IMPORTRANGE(""https://docs.google.com/spreadsheets/d/1yDAaXNsi4Mr5FtRQL4tbmSdIzhx6_m4wkOD7IG-k_eo/edit#gid=0"", ""Maths!M:N""), 2, FALSE)"),"Design a step-by-step guide with illustrations for constructing a perpendicular bisector using a ruler and compass.")</f>
        <v>Design a step-by-step guide with illustrations for constructing a perpendicular bisector using a ruler and compass.</v>
      </c>
      <c r="V276" s="16" t="str">
        <f ca="1">IFERROR(__xludf.dummyfunction("ArrayFormula(VLOOKUP(G276, IMPORTRANGE(""https://docs.google.com/spreadsheets/d/1p7R4vtkWt5VOBim4ltsDG9KTzSjrtKXsMtQGXPHyND0/edit#gid=795171502"", ""'Filter 30_05_2024'!A1:M2000""), {2, 3, 4, 5,6,7,8,9,10,11,12,13}, 0))"),"#N/A")</f>
        <v>#N/A</v>
      </c>
      <c r="W276" s="16" t="str">
        <f ca="1">IFERROR(__xludf.dummyfunction("""COMPUTED_VALUE"""),"#N/A")</f>
        <v>#N/A</v>
      </c>
      <c r="X276" s="16" t="str">
        <f ca="1">IFERROR(__xludf.dummyfunction("""COMPUTED_VALUE"""),"#N/A")</f>
        <v>#N/A</v>
      </c>
      <c r="Y276" s="16" t="str">
        <f ca="1">IFERROR(__xludf.dummyfunction("""COMPUTED_VALUE"""),"#N/A")</f>
        <v>#N/A</v>
      </c>
      <c r="Z276" s="16" t="str">
        <f ca="1">IFERROR(__xludf.dummyfunction("""COMPUTED_VALUE"""),"#N/A")</f>
        <v>#N/A</v>
      </c>
      <c r="AA276" s="30" t="str">
        <f ca="1">IFERROR(__xludf.dummyfunction("""COMPUTED_VALUE"""),"#N/A")</f>
        <v>#N/A</v>
      </c>
      <c r="AB276" s="30" t="str">
        <f ca="1">IFERROR(__xludf.dummyfunction("""COMPUTED_VALUE"""),"#N/A")</f>
        <v>#N/A</v>
      </c>
      <c r="AC276" s="30" t="str">
        <f ca="1">IFERROR(__xludf.dummyfunction("""COMPUTED_VALUE"""),"#N/A")</f>
        <v>#N/A</v>
      </c>
      <c r="AD276" s="16" t="str">
        <f ca="1">IFERROR(__xludf.dummyfunction("""COMPUTED_VALUE"""),"#N/A")</f>
        <v>#N/A</v>
      </c>
      <c r="AE276" s="30" t="str">
        <f ca="1">IFERROR(__xludf.dummyfunction("""COMPUTED_VALUE"""),"#N/A")</f>
        <v>#N/A</v>
      </c>
      <c r="AF276" s="30" t="str">
        <f ca="1">IFERROR(__xludf.dummyfunction("""COMPUTED_VALUE"""),"#N/A")</f>
        <v>#N/A</v>
      </c>
      <c r="AG276" s="30" t="str">
        <f ca="1">IFERROR(__xludf.dummyfunction("""COMPUTED_VALUE"""),"#N/A")</f>
        <v>#N/A</v>
      </c>
    </row>
    <row r="277" spans="1:33" ht="26.4">
      <c r="A277" s="25"/>
      <c r="B277" s="26" t="s">
        <v>29</v>
      </c>
      <c r="C277" s="26" t="s">
        <v>310</v>
      </c>
      <c r="D277" s="26">
        <v>6</v>
      </c>
      <c r="E277" s="27" t="s">
        <v>701</v>
      </c>
      <c r="F277" s="28" t="s">
        <v>713</v>
      </c>
      <c r="G277" s="31" t="s">
        <v>714</v>
      </c>
      <c r="H277" s="28" t="str">
        <f ca="1">IFERROR(__xludf.dummyfunction("IFERROR(
  VLOOKUP(G277, IMPORTRANGE(""https://docs.google.com/spreadsheets/d/14deopnvwcrKtEGCKuYXdUHJbeLDZlkiSSWWT0g7x2pM/edit#gid=849066331"", ""LU List Maths (Filter)!A:B""), 2, FALSE),
  IFERROR(
    VLOOKUP(G277, IMPORTRANGE(""https://docs.google.com"&amp;"/spreadsheets/d/14deopnvwcrKtEGCKuYXdUHJbeLDZlkiSSWWT0g7x2pM/edit#gid=849066331"", ""LU List Science (Filter)!A:B""), 2, FALSE),
    ""Not Found""
  )
)
"),"Construction of an angle of a given measure using a protractor")</f>
        <v>Construction of an angle of a given measure using a protractor</v>
      </c>
      <c r="I277" s="28"/>
      <c r="J277" s="29" t="str">
        <f t="shared" si="24"/>
        <v>LU000818.001</v>
      </c>
      <c r="K277" s="29" t="str">
        <f ca="1">IFERROR(__xludf.dummyfunction("VLOOKUP(J277, IMPORTRANGE(""https://docs.google.com/spreadsheets/d/1yDAaXNsi4Mr5FtRQL4tbmSdIzhx6_m4wkOD7IG-k_eo/edit#gid=0"", ""Maths!M:N""), 2, FALSE)"),"Remember the tools required for constructing an angle of a given measure.")</f>
        <v>Remember the tools required for constructing an angle of a given measure.</v>
      </c>
      <c r="L277" s="29" t="str">
        <f t="shared" si="25"/>
        <v>LU000818.002</v>
      </c>
      <c r="M277" s="29" t="str">
        <f ca="1">IFERROR(__xludf.dummyfunction("VLOOKUP(L277, IMPORTRANGE(""https://docs.google.com/spreadsheets/d/1yDAaXNsi4Mr5FtRQL4tbmSdIzhx6_m4wkOD7IG-k_eo/edit#gid=0"", ""Maths!M:N""), 2, FALSE)"),"Explain the concept of constructing an angle with a specific degree measurement.")</f>
        <v>Explain the concept of constructing an angle with a specific degree measurement.</v>
      </c>
      <c r="N277" s="29" t="str">
        <f t="shared" si="26"/>
        <v>LU000818.003</v>
      </c>
      <c r="O277" s="29" t="str">
        <f ca="1">IFERROR(__xludf.dummyfunction("VLOOKUP(N277, IMPORTRANGE(""https://docs.google.com/spreadsheets/d/1yDAaXNsi4Mr5FtRQL4tbmSdIzhx6_m4wkOD7IG-k_eo/edit#gid=0"", ""Maths!M:N""), 2, FALSE)"),"Apply the knowledge of angle construction to create an angle with a specified degree accurately.")</f>
        <v>Apply the knowledge of angle construction to create an angle with a specified degree accurately.</v>
      </c>
      <c r="P277" s="29" t="str">
        <f t="shared" si="27"/>
        <v>LU000818.004</v>
      </c>
      <c r="Q277" s="29" t="str">
        <f ca="1">IFERROR(__xludf.dummyfunction("VLOOKUP(P277, IMPORTRANGE(""https://docs.google.com/spreadsheets/d/1yDAaXNsi4Mr5FtRQL4tbmSdIzhx6_m4wkOD7IG-k_eo/edit#gid=0"", ""Maths!M:N""), 2, FALSE)"),"Analyse the geometric properties of the constructed angle, including the degree measurement.")</f>
        <v>Analyse the geometric properties of the constructed angle, including the degree measurement.</v>
      </c>
      <c r="R277" s="29" t="str">
        <f t="shared" si="28"/>
        <v>LU000818.005</v>
      </c>
      <c r="S277" s="29" t="str">
        <f ca="1">IFERROR(__xludf.dummyfunction("VLOOKUP(R277, IMPORTRANGE(""https://docs.google.com/spreadsheets/d/1yDAaXNsi4Mr5FtRQL4tbmSdIzhx6_m4wkOD7IG-k_eo/edit#gid=0"", ""Maths!M:N""), 2, FALSE)"),"Assess the accuracy of the constructed angle by measuring it with a protractor.")</f>
        <v>Assess the accuracy of the constructed angle by measuring it with a protractor.</v>
      </c>
      <c r="T277" s="29" t="str">
        <f t="shared" si="29"/>
        <v>LU000818.006</v>
      </c>
      <c r="U277" s="29" t="str">
        <f ca="1">IFERROR(__xludf.dummyfunction("VLOOKUP(T277, IMPORTRANGE(""https://docs.google.com/spreadsheets/d/1yDAaXNsi4Mr5FtRQL4tbmSdIzhx6_m4wkOD7IG-k_eo/edit#gid=0"", ""Maths!M:N""), 2, FALSE)"),"Design a step-by-step guide with illustrations for constructing an angle of a given measure using a protractor and ruler.")</f>
        <v>Design a step-by-step guide with illustrations for constructing an angle of a given measure using a protractor and ruler.</v>
      </c>
      <c r="V277" s="16">
        <f ca="1">IFERROR(__xludf.dummyfunction("ArrayFormula(VLOOKUP(G277, IMPORTRANGE(""https://docs.google.com/spreadsheets/d/1p7R4vtkWt5VOBim4ltsDG9KTzSjrtKXsMtQGXPHyND0/edit#gid=795171502"", ""'Filter 30_05_2024'!A1:M2000""), {2, 3, 4, 5,6,7,8,9,10,11,12,13}, 0))"),4)</f>
        <v>4</v>
      </c>
      <c r="W277" s="16">
        <f ca="1">IFERROR(__xludf.dummyfunction("""COMPUTED_VALUE"""),6)</f>
        <v>6</v>
      </c>
      <c r="X277" s="16">
        <f ca="1">IFERROR(__xludf.dummyfunction("""COMPUTED_VALUE"""),2)</f>
        <v>2</v>
      </c>
      <c r="Y277" s="16">
        <f ca="1">IFERROR(__xludf.dummyfunction("""COMPUTED_VALUE"""),12)</f>
        <v>12</v>
      </c>
      <c r="Z277" s="16">
        <f ca="1">IFERROR(__xludf.dummyfunction("""COMPUTED_VALUE"""),4)</f>
        <v>4</v>
      </c>
      <c r="AA277" s="30">
        <f ca="1">IFERROR(__xludf.dummyfunction("""COMPUTED_VALUE"""),3)</f>
        <v>3</v>
      </c>
      <c r="AB277" s="30">
        <f ca="1">IFERROR(__xludf.dummyfunction("""COMPUTED_VALUE"""),1)</f>
        <v>1</v>
      </c>
      <c r="AC277" s="30">
        <f ca="1">IFERROR(__xludf.dummyfunction("""COMPUTED_VALUE"""),8)</f>
        <v>8</v>
      </c>
      <c r="AD277" s="16"/>
      <c r="AE277" s="30"/>
      <c r="AF277" s="30"/>
      <c r="AG277" s="30"/>
    </row>
    <row r="278" spans="1:33" ht="26.4">
      <c r="A278" s="25"/>
      <c r="B278" s="26" t="s">
        <v>29</v>
      </c>
      <c r="C278" s="26" t="s">
        <v>310</v>
      </c>
      <c r="D278" s="26">
        <v>6</v>
      </c>
      <c r="E278" s="27" t="s">
        <v>701</v>
      </c>
      <c r="F278" s="28"/>
      <c r="G278" s="31" t="s">
        <v>715</v>
      </c>
      <c r="H278" s="28" t="str">
        <f ca="1">IFERROR(__xludf.dummyfunction("IFERROR(
  VLOOKUP(G278, IMPORTRANGE(""https://docs.google.com/spreadsheets/d/14deopnvwcrKtEGCKuYXdUHJbeLDZlkiSSWWT0g7x2pM/edit#gid=849066331"", ""LU List Maths (Filter)!A:B""), 2, FALSE),
  IFERROR(
    VLOOKUP(G278, IMPORTRANGE(""https://docs.google.com"&amp;"/spreadsheets/d/14deopnvwcrKtEGCKuYXdUHJbeLDZlkiSSWWT0g7x2pM/edit#gid=849066331"", ""LU List Science (Filter)!A:B""), 2, FALSE),
    ""Not Found""
  )
)
"),"Construction of a copy of an angle of unknown measure")</f>
        <v>Construction of a copy of an angle of unknown measure</v>
      </c>
      <c r="I278" s="28"/>
      <c r="J278" s="29" t="str">
        <f t="shared" si="24"/>
        <v>LU000819.001</v>
      </c>
      <c r="K278" s="29" t="str">
        <f ca="1">IFERROR(__xludf.dummyfunction("VLOOKUP(J278, IMPORTRANGE(""https://docs.google.com/spreadsheets/d/1yDAaXNsi4Mr5FtRQL4tbmSdIzhx6_m4wkOD7IG-k_eo/edit#gid=0"", ""Maths!M:N""), 2, FALSE)"),"Remember the steps involved in constructing a copy of an angle.")</f>
        <v>Remember the steps involved in constructing a copy of an angle.</v>
      </c>
      <c r="L278" s="29" t="str">
        <f t="shared" si="25"/>
        <v>LU000819.002</v>
      </c>
      <c r="M278" s="29" t="str">
        <f ca="1">IFERROR(__xludf.dummyfunction("VLOOKUP(L278, IMPORTRANGE(""https://docs.google.com/spreadsheets/d/1yDAaXNsi4Mr5FtRQL4tbmSdIzhx6_m4wkOD7IG-k_eo/edit#gid=0"", ""Maths!M:N""), 2, FALSE)"),"Explain the concept of constructing a copy of an angle without knowing its specific degree measurement.")</f>
        <v>Explain the concept of constructing a copy of an angle without knowing its specific degree measurement.</v>
      </c>
      <c r="N278" s="29" t="str">
        <f t="shared" si="26"/>
        <v>LU000819.003</v>
      </c>
      <c r="O278" s="29" t="str">
        <f ca="1">IFERROR(__xludf.dummyfunction("VLOOKUP(N278, IMPORTRANGE(""https://docs.google.com/spreadsheets/d/1yDAaXNsi4Mr5FtRQL4tbmSdIzhx6_m4wkOD7IG-k_eo/edit#gid=0"", ""Maths!M:N""), 2, FALSE)"),"Apply the knowledge and skills of angle construction to create a replica of an angle with an unknown measure.")</f>
        <v>Apply the knowledge and skills of angle construction to create a replica of an angle with an unknown measure.</v>
      </c>
      <c r="P278" s="29" t="str">
        <f t="shared" si="27"/>
        <v>LU000819.004</v>
      </c>
      <c r="Q278" s="29" t="str">
        <f ca="1">IFERROR(__xludf.dummyfunction("VLOOKUP(P278, IMPORTRANGE(""https://docs.google.com/spreadsheets/d/1yDAaXNsi4Mr5FtRQL4tbmSdIzhx6_m4wkOD7IG-k_eo/edit#gid=0"", ""Maths!M:N""), 2, FALSE)"),"Analyse the constructed copy of the angle to identify its properties and characteristics.")</f>
        <v>Analyse the constructed copy of the angle to identify its properties and characteristics.</v>
      </c>
      <c r="R278" s="29" t="str">
        <f t="shared" si="28"/>
        <v>LU000819.005</v>
      </c>
      <c r="S278" s="29" t="str">
        <f ca="1">IFERROR(__xludf.dummyfunction("VLOOKUP(R278, IMPORTRANGE(""https://docs.google.com/spreadsheets/d/1yDAaXNsi4Mr5FtRQL4tbmSdIzhx6_m4wkOD7IG-k_eo/edit#gid=0"", ""Maths!M:N""), 2, FALSE)"),"Evaluate the precision of the angle construction by measuring the copy with a protractor.")</f>
        <v>Evaluate the precision of the angle construction by measuring the copy with a protractor.</v>
      </c>
      <c r="T278" s="29" t="str">
        <f t="shared" si="29"/>
        <v>LU000819.006</v>
      </c>
      <c r="U278" s="29" t="str">
        <f ca="1">IFERROR(__xludf.dummyfunction("VLOOKUP(T278, IMPORTRANGE(""https://docs.google.com/spreadsheets/d/1yDAaXNsi4Mr5FtRQL4tbmSdIzhx6_m4wkOD7IG-k_eo/edit#gid=0"", ""Maths!M:N""), 2, FALSE)"),"Design a step-by-step guide with illustrations for constructing a copy of an angle when the degree measurement is unknown.")</f>
        <v>Design a step-by-step guide with illustrations for constructing a copy of an angle when the degree measurement is unknown.</v>
      </c>
      <c r="V278" s="16" t="str">
        <f ca="1">IFERROR(__xludf.dummyfunction("ArrayFormula(VLOOKUP(G278, IMPORTRANGE(""https://docs.google.com/spreadsheets/d/1p7R4vtkWt5VOBim4ltsDG9KTzSjrtKXsMtQGXPHyND0/edit#gid=795171502"", ""'Filter 30_05_2024'!A1:M2000""), {2, 3, 4, 5,6,7,8,9,10,11,12,13}, 0))"),"#N/A")</f>
        <v>#N/A</v>
      </c>
      <c r="W278" s="16" t="str">
        <f ca="1">IFERROR(__xludf.dummyfunction("""COMPUTED_VALUE"""),"#N/A")</f>
        <v>#N/A</v>
      </c>
      <c r="X278" s="16" t="str">
        <f ca="1">IFERROR(__xludf.dummyfunction("""COMPUTED_VALUE"""),"#N/A")</f>
        <v>#N/A</v>
      </c>
      <c r="Y278" s="16" t="str">
        <f ca="1">IFERROR(__xludf.dummyfunction("""COMPUTED_VALUE"""),"#N/A")</f>
        <v>#N/A</v>
      </c>
      <c r="Z278" s="16" t="str">
        <f ca="1">IFERROR(__xludf.dummyfunction("""COMPUTED_VALUE"""),"#N/A")</f>
        <v>#N/A</v>
      </c>
      <c r="AA278" s="30" t="str">
        <f ca="1">IFERROR(__xludf.dummyfunction("""COMPUTED_VALUE"""),"#N/A")</f>
        <v>#N/A</v>
      </c>
      <c r="AB278" s="30" t="str">
        <f ca="1">IFERROR(__xludf.dummyfunction("""COMPUTED_VALUE"""),"#N/A")</f>
        <v>#N/A</v>
      </c>
      <c r="AC278" s="30" t="str">
        <f ca="1">IFERROR(__xludf.dummyfunction("""COMPUTED_VALUE"""),"#N/A")</f>
        <v>#N/A</v>
      </c>
      <c r="AD278" s="16" t="str">
        <f ca="1">IFERROR(__xludf.dummyfunction("""COMPUTED_VALUE"""),"#N/A")</f>
        <v>#N/A</v>
      </c>
      <c r="AE278" s="30" t="str">
        <f ca="1">IFERROR(__xludf.dummyfunction("""COMPUTED_VALUE"""),"#N/A")</f>
        <v>#N/A</v>
      </c>
      <c r="AF278" s="30" t="str">
        <f ca="1">IFERROR(__xludf.dummyfunction("""COMPUTED_VALUE"""),"#N/A")</f>
        <v>#N/A</v>
      </c>
      <c r="AG278" s="30" t="str">
        <f ca="1">IFERROR(__xludf.dummyfunction("""COMPUTED_VALUE"""),"#N/A")</f>
        <v>#N/A</v>
      </c>
    </row>
    <row r="279" spans="1:33" ht="26.4">
      <c r="A279" s="25"/>
      <c r="B279" s="26" t="s">
        <v>29</v>
      </c>
      <c r="C279" s="26" t="s">
        <v>310</v>
      </c>
      <c r="D279" s="26">
        <v>6</v>
      </c>
      <c r="E279" s="27" t="s">
        <v>701</v>
      </c>
      <c r="F279" s="28"/>
      <c r="G279" s="31" t="s">
        <v>716</v>
      </c>
      <c r="H279" s="28" t="str">
        <f ca="1">IFERROR(__xludf.dummyfunction("IFERROR(
  VLOOKUP(G279, IMPORTRANGE(""https://docs.google.com/spreadsheets/d/14deopnvwcrKtEGCKuYXdUHJbeLDZlkiSSWWT0g7x2pM/edit#gid=849066331"", ""LU List Maths (Filter)!A:B""), 2, FALSE),
  IFERROR(
    VLOOKUP(G279, IMPORTRANGE(""https://docs.google.com"&amp;"/spreadsheets/d/14deopnvwcrKtEGCKuYXdUHJbeLDZlkiSSWWT0g7x2pM/edit#gid=849066331"", ""LU List Science (Filter)!A:B""), 2, FALSE),
    ""Not Found""
  )
)
"),"Construction of an angle bisector by ruler and compass")</f>
        <v>Construction of an angle bisector by ruler and compass</v>
      </c>
      <c r="I279" s="28"/>
      <c r="J279" s="29" t="str">
        <f t="shared" si="24"/>
        <v>LU000821.001</v>
      </c>
      <c r="K279" s="29" t="str">
        <f ca="1">IFERROR(__xludf.dummyfunction("VLOOKUP(J279, IMPORTRANGE(""https://docs.google.com/spreadsheets/d/1yDAaXNsi4Mr5FtRQL4tbmSdIzhx6_m4wkOD7IG-k_eo/edit#gid=0"", ""Maths!M:N""), 2, FALSE)"),"State the definition of an angle bisector as a line or ray that divides an angle into two equal parts.")</f>
        <v>State the definition of an angle bisector as a line or ray that divides an angle into two equal parts.</v>
      </c>
      <c r="L279" s="29" t="str">
        <f t="shared" si="25"/>
        <v>LU000821.002</v>
      </c>
      <c r="M279" s="29" t="str">
        <f ca="1">IFERROR(__xludf.dummyfunction("VLOOKUP(L279, IMPORTRANGE(""https://docs.google.com/spreadsheets/d/1yDAaXNsi4Mr5FtRQL4tbmSdIzhx6_m4wkOD7IG-k_eo/edit#gid=0"", ""Maths!M:N""), 2, FALSE)"),"Describe the properties of an angle bisector, such as creating two congruent angles.")</f>
        <v>Describe the properties of an angle bisector, such as creating two congruent angles.</v>
      </c>
      <c r="N279" s="29" t="str">
        <f t="shared" si="26"/>
        <v>LU000821.003</v>
      </c>
      <c r="O279" s="29" t="str">
        <f ca="1">IFERROR(__xludf.dummyfunction("VLOOKUP(N279, IMPORTRANGE(""https://docs.google.com/spreadsheets/d/1yDAaXNsi4Mr5FtRQL4tbmSdIzhx6_m4wkOD7IG-k_eo/edit#gid=0"", ""Maths!M:N""), 2, FALSE)"),"Apply the knowledge of angle bisectors to accurately construct angle bisectors for given angles.")</f>
        <v>Apply the knowledge of angle bisectors to accurately construct angle bisectors for given angles.</v>
      </c>
      <c r="P279" s="29" t="str">
        <f t="shared" si="27"/>
        <v>LU000821.004</v>
      </c>
      <c r="Q279" s="29" t="str">
        <f ca="1">IFERROR(__xludf.dummyfunction("VLOOKUP(P279, IMPORTRANGE(""https://docs.google.com/spreadsheets/d/1yDAaXNsi4Mr5FtRQL4tbmSdIzhx6_m4wkOD7IG-k_eo/edit#gid=0"", ""Maths!M:N""), 2, FALSE)"),"#N/A")</f>
        <v>#N/A</v>
      </c>
      <c r="R279" s="29" t="str">
        <f t="shared" si="28"/>
        <v>LU000821.005</v>
      </c>
      <c r="S279" s="29" t="str">
        <f ca="1">IFERROR(__xludf.dummyfunction("VLOOKUP(R279, IMPORTRANGE(""https://docs.google.com/spreadsheets/d/1yDAaXNsi4Mr5FtRQL4tbmSdIzhx6_m4wkOD7IG-k_eo/edit#gid=0"", ""Maths!M:N""), 2, FALSE)"),"Evaluate the correctness of constructed angle bisectors by verifying that they divide angles into two congruent parts.")</f>
        <v>Evaluate the correctness of constructed angle bisectors by verifying that they divide angles into two congruent parts.</v>
      </c>
      <c r="T279" s="29" t="str">
        <f t="shared" si="29"/>
        <v>LU000821.006</v>
      </c>
      <c r="U279" s="29" t="str">
        <f ca="1">IFERROR(__xludf.dummyfunction("VLOOKUP(T279, IMPORTRANGE(""https://docs.google.com/spreadsheets/d/1yDAaXNsi4Mr5FtRQL4tbmSdIzhx6_m4wkOD7IG-k_eo/edit#gid=0"", ""Maths!M:N""), 2, FALSE)"),"Construct real-world examples where understanding and using angle bisector constructions are essential")</f>
        <v>Construct real-world examples where understanding and using angle bisector constructions are essential</v>
      </c>
      <c r="V279" s="16" t="str">
        <f ca="1">IFERROR(__xludf.dummyfunction("ArrayFormula(VLOOKUP(G279, IMPORTRANGE(""https://docs.google.com/spreadsheets/d/1p7R4vtkWt5VOBim4ltsDG9KTzSjrtKXsMtQGXPHyND0/edit#gid=795171502"", ""'Filter 30_05_2024'!A1:M2000""), {2, 3, 4, 5,6,7,8,9,10,11,12,13}, 0))"),"#N/A")</f>
        <v>#N/A</v>
      </c>
      <c r="W279" s="16" t="str">
        <f ca="1">IFERROR(__xludf.dummyfunction("""COMPUTED_VALUE"""),"#N/A")</f>
        <v>#N/A</v>
      </c>
      <c r="X279" s="16" t="str">
        <f ca="1">IFERROR(__xludf.dummyfunction("""COMPUTED_VALUE"""),"#N/A")</f>
        <v>#N/A</v>
      </c>
      <c r="Y279" s="16" t="str">
        <f ca="1">IFERROR(__xludf.dummyfunction("""COMPUTED_VALUE"""),"#N/A")</f>
        <v>#N/A</v>
      </c>
      <c r="Z279" s="16" t="str">
        <f ca="1">IFERROR(__xludf.dummyfunction("""COMPUTED_VALUE"""),"#N/A")</f>
        <v>#N/A</v>
      </c>
      <c r="AA279" s="30" t="str">
        <f ca="1">IFERROR(__xludf.dummyfunction("""COMPUTED_VALUE"""),"#N/A")</f>
        <v>#N/A</v>
      </c>
      <c r="AB279" s="30" t="str">
        <f ca="1">IFERROR(__xludf.dummyfunction("""COMPUTED_VALUE"""),"#N/A")</f>
        <v>#N/A</v>
      </c>
      <c r="AC279" s="30" t="str">
        <f ca="1">IFERROR(__xludf.dummyfunction("""COMPUTED_VALUE"""),"#N/A")</f>
        <v>#N/A</v>
      </c>
      <c r="AD279" s="16" t="str">
        <f ca="1">IFERROR(__xludf.dummyfunction("""COMPUTED_VALUE"""),"#N/A")</f>
        <v>#N/A</v>
      </c>
      <c r="AE279" s="30" t="str">
        <f ca="1">IFERROR(__xludf.dummyfunction("""COMPUTED_VALUE"""),"#N/A")</f>
        <v>#N/A</v>
      </c>
      <c r="AF279" s="30" t="str">
        <f ca="1">IFERROR(__xludf.dummyfunction("""COMPUTED_VALUE"""),"#N/A")</f>
        <v>#N/A</v>
      </c>
      <c r="AG279" s="30" t="str">
        <f ca="1">IFERROR(__xludf.dummyfunction("""COMPUTED_VALUE"""),"#N/A")</f>
        <v>#N/A</v>
      </c>
    </row>
    <row r="280" spans="1:33" ht="26.4">
      <c r="A280" s="25"/>
      <c r="B280" s="26" t="s">
        <v>29</v>
      </c>
      <c r="C280" s="26" t="s">
        <v>310</v>
      </c>
      <c r="D280" s="26">
        <v>6</v>
      </c>
      <c r="E280" s="27" t="s">
        <v>701</v>
      </c>
      <c r="F280" s="28" t="s">
        <v>717</v>
      </c>
      <c r="G280" s="31" t="s">
        <v>718</v>
      </c>
      <c r="H280" s="28" t="str">
        <f ca="1">IFERROR(__xludf.dummyfunction("IFERROR(
  VLOOKUP(G280, IMPORTRANGE(""https://docs.google.com/spreadsheets/d/14deopnvwcrKtEGCKuYXdUHJbeLDZlkiSSWWT0g7x2pM/edit#gid=849066331"", ""LU List Maths (Filter)!A:B""), 2, FALSE),
  IFERROR(
    VLOOKUP(G280, IMPORTRANGE(""https://docs.google.com"&amp;"/spreadsheets/d/14deopnvwcrKtEGCKuYXdUHJbeLDZlkiSSWWT0g7x2pM/edit#gid=849066331"", ""LU List Science (Filter)!A:B""), 2, FALSE),
    ""Not Found""
  )
)
"),"Construction of an angle of 60° using a compass")</f>
        <v>Construction of an angle of 60° using a compass</v>
      </c>
      <c r="I280" s="28"/>
      <c r="J280" s="29" t="str">
        <f t="shared" si="24"/>
        <v>LU000822.001</v>
      </c>
      <c r="K280" s="29" t="str">
        <f ca="1">IFERROR(__xludf.dummyfunction("VLOOKUP(J280, IMPORTRANGE(""https://docs.google.com/spreadsheets/d/1yDAaXNsi4Mr5FtRQL4tbmSdIzhx6_m4wkOD7IG-k_eo/edit#gid=0"", ""Maths!M:N""), 2, FALSE)"),"Remember the basic steps involved in constructing angles with a compass..")</f>
        <v>Remember the basic steps involved in constructing angles with a compass..</v>
      </c>
      <c r="L280" s="29" t="str">
        <f t="shared" si="25"/>
        <v>LU000822.002</v>
      </c>
      <c r="M280" s="29" t="str">
        <f ca="1">IFERROR(__xludf.dummyfunction("VLOOKUP(L280, IMPORTRANGE(""https://docs.google.com/spreadsheets/d/1yDAaXNsi4Mr5FtRQL4tbmSdIzhx6_m4wkOD7IG-k_eo/edit#gid=0"", ""Maths!M:N""), 2, FALSE)"),"Explain the significance of a 60° angle in geometry.")</f>
        <v>Explain the significance of a 60° angle in geometry.</v>
      </c>
      <c r="N280" s="29" t="str">
        <f t="shared" si="26"/>
        <v>LU000822.003</v>
      </c>
      <c r="O280" s="29" t="str">
        <f ca="1">IFERROR(__xludf.dummyfunction("VLOOKUP(N280, IMPORTRANGE(""https://docs.google.com/spreadsheets/d/1yDAaXNsi4Mr5FtRQL4tbmSdIzhx6_m4wkOD7IG-k_eo/edit#gid=0"", ""Maths!M:N""), 2, FALSE)"),"Apply the compass technique to construct a 60° angle.")</f>
        <v>Apply the compass technique to construct a 60° angle.</v>
      </c>
      <c r="P280" s="29" t="str">
        <f t="shared" si="27"/>
        <v>LU000822.004</v>
      </c>
      <c r="Q280" s="29" t="str">
        <f ca="1">IFERROR(__xludf.dummyfunction("VLOOKUP(P280, IMPORTRANGE(""https://docs.google.com/spreadsheets/d/1yDAaXNsi4Mr5FtRQL4tbmSdIzhx6_m4wkOD7IG-k_eo/edit#gid=0"", ""Maths!M:N""), 2, FALSE)"),"Analyse the properties of the constructed 60° angle to ensure accuracy.")</f>
        <v>Analyse the properties of the constructed 60° angle to ensure accuracy.</v>
      </c>
      <c r="R280" s="29" t="str">
        <f t="shared" si="28"/>
        <v>LU000822.005</v>
      </c>
      <c r="S280" s="29" t="str">
        <f ca="1">IFERROR(__xludf.dummyfunction("VLOOKUP(R280, IMPORTRANGE(""https://docs.google.com/spreadsheets/d/1yDAaXNsi4Mr5FtRQL4tbmSdIzhx6_m4wkOD7IG-k_eo/edit#gid=0"", ""Maths!M:N""), 2, FALSE)"),"Evaluate the precision of the constructed 60° angles by measuring them with a protractor.")</f>
        <v>Evaluate the precision of the constructed 60° angles by measuring them with a protractor.</v>
      </c>
      <c r="T280" s="29" t="str">
        <f t="shared" si="29"/>
        <v>LU000822.006</v>
      </c>
      <c r="U280" s="29" t="str">
        <f ca="1">IFERROR(__xludf.dummyfunction("VLOOKUP(T280, IMPORTRANGE(""https://docs.google.com/spreadsheets/d/1yDAaXNsi4Mr5FtRQL4tbmSdIzhx6_m4wkOD7IG-k_eo/edit#gid=0"", ""Maths!M:N""), 2, FALSE)"),"Design a visual guide or tutorial with step-by-step instructions for constructing 60° angles with a compass, suitable for educational purposes.")</f>
        <v>Design a visual guide or tutorial with step-by-step instructions for constructing 60° angles with a compass, suitable for educational purposes.</v>
      </c>
      <c r="V280" s="16" t="str">
        <f ca="1">IFERROR(__xludf.dummyfunction("ArrayFormula(VLOOKUP(G280, IMPORTRANGE(""https://docs.google.com/spreadsheets/d/1p7R4vtkWt5VOBim4ltsDG9KTzSjrtKXsMtQGXPHyND0/edit#gid=795171502"", ""'Filter 30_05_2024'!A1:M2000""), {2, 3, 4, 5,6,7,8,9,10,11,12,13}, 0))"),"#N/A")</f>
        <v>#N/A</v>
      </c>
      <c r="W280" s="16" t="str">
        <f ca="1">IFERROR(__xludf.dummyfunction("""COMPUTED_VALUE"""),"#N/A")</f>
        <v>#N/A</v>
      </c>
      <c r="X280" s="16" t="str">
        <f ca="1">IFERROR(__xludf.dummyfunction("""COMPUTED_VALUE"""),"#N/A")</f>
        <v>#N/A</v>
      </c>
      <c r="Y280" s="16" t="str">
        <f ca="1">IFERROR(__xludf.dummyfunction("""COMPUTED_VALUE"""),"#N/A")</f>
        <v>#N/A</v>
      </c>
      <c r="Z280" s="16" t="str">
        <f ca="1">IFERROR(__xludf.dummyfunction("""COMPUTED_VALUE"""),"#N/A")</f>
        <v>#N/A</v>
      </c>
      <c r="AA280" s="30" t="str">
        <f ca="1">IFERROR(__xludf.dummyfunction("""COMPUTED_VALUE"""),"#N/A")</f>
        <v>#N/A</v>
      </c>
      <c r="AB280" s="30" t="str">
        <f ca="1">IFERROR(__xludf.dummyfunction("""COMPUTED_VALUE"""),"#N/A")</f>
        <v>#N/A</v>
      </c>
      <c r="AC280" s="30" t="str">
        <f ca="1">IFERROR(__xludf.dummyfunction("""COMPUTED_VALUE"""),"#N/A")</f>
        <v>#N/A</v>
      </c>
      <c r="AD280" s="16" t="str">
        <f ca="1">IFERROR(__xludf.dummyfunction("""COMPUTED_VALUE"""),"#N/A")</f>
        <v>#N/A</v>
      </c>
      <c r="AE280" s="30" t="str">
        <f ca="1">IFERROR(__xludf.dummyfunction("""COMPUTED_VALUE"""),"#N/A")</f>
        <v>#N/A</v>
      </c>
      <c r="AF280" s="30" t="str">
        <f ca="1">IFERROR(__xludf.dummyfunction("""COMPUTED_VALUE"""),"#N/A")</f>
        <v>#N/A</v>
      </c>
      <c r="AG280" s="30" t="str">
        <f ca="1">IFERROR(__xludf.dummyfunction("""COMPUTED_VALUE"""),"#N/A")</f>
        <v>#N/A</v>
      </c>
    </row>
    <row r="281" spans="1:33" ht="26.4">
      <c r="A281" s="25"/>
      <c r="B281" s="26" t="s">
        <v>29</v>
      </c>
      <c r="C281" s="26" t="s">
        <v>310</v>
      </c>
      <c r="D281" s="26">
        <v>6</v>
      </c>
      <c r="E281" s="27" t="s">
        <v>701</v>
      </c>
      <c r="F281" s="28"/>
      <c r="G281" s="31" t="s">
        <v>719</v>
      </c>
      <c r="H281" s="28" t="str">
        <f ca="1">IFERROR(__xludf.dummyfunction("IFERROR(
  VLOOKUP(G281, IMPORTRANGE(""https://docs.google.com/spreadsheets/d/14deopnvwcrKtEGCKuYXdUHJbeLDZlkiSSWWT0g7x2pM/edit#gid=849066331"", ""LU List Maths (Filter)!A:B""), 2, FALSE),
  IFERROR(
    VLOOKUP(G281, IMPORTRANGE(""https://docs.google.com"&amp;"/spreadsheets/d/14deopnvwcrKtEGCKuYXdUHJbeLDZlkiSSWWT0g7x2pM/edit#gid=849066331"", ""LU List Science (Filter)!A:B""), 2, FALSE),
    ""Not Found""
  )
)
"),"Construction of an angle of 30° using angle bisectors")</f>
        <v>Construction of an angle of 30° using angle bisectors</v>
      </c>
      <c r="I281" s="28"/>
      <c r="J281" s="29" t="str">
        <f t="shared" si="24"/>
        <v>LU000823.001</v>
      </c>
      <c r="K281" s="29" t="str">
        <f ca="1">IFERROR(__xludf.dummyfunction("VLOOKUP(J281, IMPORTRANGE(""https://docs.google.com/spreadsheets/d/1yDAaXNsi4Mr5FtRQL4tbmSdIzhx6_m4wkOD7IG-k_eo/edit#gid=0"", ""Maths!M:N""), 2, FALSE)"),"Remember the concept of angle bisectors and their role in angle construction.")</f>
        <v>Remember the concept of angle bisectors and their role in angle construction.</v>
      </c>
      <c r="L281" s="29" t="str">
        <f t="shared" si="25"/>
        <v>LU000823.002</v>
      </c>
      <c r="M281" s="29" t="str">
        <f ca="1">IFERROR(__xludf.dummyfunction("VLOOKUP(L281, IMPORTRANGE(""https://docs.google.com/spreadsheets/d/1yDAaXNsi4Mr5FtRQL4tbmSdIzhx6_m4wkOD7IG-k_eo/edit#gid=0"", ""Maths!M:N""), 2, FALSE)"),"Understand the concept of angle bisectors and how they can be used to create specific angles.")</f>
        <v>Understand the concept of angle bisectors and how they can be used to create specific angles.</v>
      </c>
      <c r="N281" s="29" t="str">
        <f t="shared" si="26"/>
        <v>LU000823.003</v>
      </c>
      <c r="O281" s="29" t="str">
        <f ca="1">IFERROR(__xludf.dummyfunction("VLOOKUP(N281, IMPORTRANGE(""https://docs.google.com/spreadsheets/d/1yDAaXNsi4Mr5FtRQL4tbmSdIzhx6_m4wkOD7IG-k_eo/edit#gid=0"", ""Maths!M:N""), 2, FALSE)"),"Apply the angle bisector technique to construct a 30° angle accurately.")</f>
        <v>Apply the angle bisector technique to construct a 30° angle accurately.</v>
      </c>
      <c r="P281" s="29" t="str">
        <f t="shared" si="27"/>
        <v>LU000823.004</v>
      </c>
      <c r="Q281" s="29" t="str">
        <f ca="1">IFERROR(__xludf.dummyfunction("VLOOKUP(P281, IMPORTRANGE(""https://docs.google.com/spreadsheets/d/1yDAaXNsi4Mr5FtRQL4tbmSdIzhx6_m4wkOD7IG-k_eo/edit#gid=0"", ""Maths!M:N""), 2, FALSE)"),"Analyse the properties of the constructed 30° angle to ensure accuracy.")</f>
        <v>Analyse the properties of the constructed 30° angle to ensure accuracy.</v>
      </c>
      <c r="R281" s="29" t="str">
        <f t="shared" si="28"/>
        <v>LU000823.005</v>
      </c>
      <c r="S281" s="29" t="str">
        <f ca="1">IFERROR(__xludf.dummyfunction("VLOOKUP(R281, IMPORTRANGE(""https://docs.google.com/spreadsheets/d/1yDAaXNsi4Mr5FtRQL4tbmSdIzhx6_m4wkOD7IG-k_eo/edit#gid=0"", ""Maths!M:N""), 2, FALSE)"),"Evaluate the precision of the constructed 30° angles by measuring them with a protractor.")</f>
        <v>Evaluate the precision of the constructed 30° angles by measuring them with a protractor.</v>
      </c>
      <c r="T281" s="29" t="str">
        <f t="shared" si="29"/>
        <v>LU000823.006</v>
      </c>
      <c r="U281" s="29" t="str">
        <f ca="1">IFERROR(__xludf.dummyfunction("VLOOKUP(T281, IMPORTRANGE(""https://docs.google.com/spreadsheets/d/1yDAaXNsi4Mr5FtRQL4tbmSdIzhx6_m4wkOD7IG-k_eo/edit#gid=0"", ""Maths!M:N""), 2, FALSE)"),"Create a comprehensive guide or visual tutorial with step-by-step instructions for constructing 30° angles using angle bisectors, suitable for educational purposes.")</f>
        <v>Create a comprehensive guide or visual tutorial with step-by-step instructions for constructing 30° angles using angle bisectors, suitable for educational purposes.</v>
      </c>
      <c r="V281" s="16" t="str">
        <f ca="1">IFERROR(__xludf.dummyfunction("ArrayFormula(VLOOKUP(G281, IMPORTRANGE(""https://docs.google.com/spreadsheets/d/1p7R4vtkWt5VOBim4ltsDG9KTzSjrtKXsMtQGXPHyND0/edit#gid=795171502"", ""'Filter 30_05_2024'!A1:M2000""), {2, 3, 4, 5,6,7,8,9,10,11,12,13}, 0))"),"#N/A")</f>
        <v>#N/A</v>
      </c>
      <c r="W281" s="16" t="str">
        <f ca="1">IFERROR(__xludf.dummyfunction("""COMPUTED_VALUE"""),"#N/A")</f>
        <v>#N/A</v>
      </c>
      <c r="X281" s="16" t="str">
        <f ca="1">IFERROR(__xludf.dummyfunction("""COMPUTED_VALUE"""),"#N/A")</f>
        <v>#N/A</v>
      </c>
      <c r="Y281" s="16" t="str">
        <f ca="1">IFERROR(__xludf.dummyfunction("""COMPUTED_VALUE"""),"#N/A")</f>
        <v>#N/A</v>
      </c>
      <c r="Z281" s="16" t="str">
        <f ca="1">IFERROR(__xludf.dummyfunction("""COMPUTED_VALUE"""),"#N/A")</f>
        <v>#N/A</v>
      </c>
      <c r="AA281" s="30" t="str">
        <f ca="1">IFERROR(__xludf.dummyfunction("""COMPUTED_VALUE"""),"#N/A")</f>
        <v>#N/A</v>
      </c>
      <c r="AB281" s="30" t="str">
        <f ca="1">IFERROR(__xludf.dummyfunction("""COMPUTED_VALUE"""),"#N/A")</f>
        <v>#N/A</v>
      </c>
      <c r="AC281" s="30" t="str">
        <f ca="1">IFERROR(__xludf.dummyfunction("""COMPUTED_VALUE"""),"#N/A")</f>
        <v>#N/A</v>
      </c>
      <c r="AD281" s="16" t="str">
        <f ca="1">IFERROR(__xludf.dummyfunction("""COMPUTED_VALUE"""),"#N/A")</f>
        <v>#N/A</v>
      </c>
      <c r="AE281" s="30" t="str">
        <f ca="1">IFERROR(__xludf.dummyfunction("""COMPUTED_VALUE"""),"#N/A")</f>
        <v>#N/A</v>
      </c>
      <c r="AF281" s="30" t="str">
        <f ca="1">IFERROR(__xludf.dummyfunction("""COMPUTED_VALUE"""),"#N/A")</f>
        <v>#N/A</v>
      </c>
      <c r="AG281" s="30" t="str">
        <f ca="1">IFERROR(__xludf.dummyfunction("""COMPUTED_VALUE"""),"#N/A")</f>
        <v>#N/A</v>
      </c>
    </row>
    <row r="282" spans="1:33" ht="26.4">
      <c r="A282" s="25"/>
      <c r="B282" s="26" t="s">
        <v>29</v>
      </c>
      <c r="C282" s="26" t="s">
        <v>310</v>
      </c>
      <c r="D282" s="26">
        <v>6</v>
      </c>
      <c r="E282" s="27" t="s">
        <v>701</v>
      </c>
      <c r="F282" s="28"/>
      <c r="G282" s="31" t="s">
        <v>720</v>
      </c>
      <c r="H282" s="28" t="str">
        <f ca="1">IFERROR(__xludf.dummyfunction("IFERROR(
  VLOOKUP(G282, IMPORTRANGE(""https://docs.google.com/spreadsheets/d/14deopnvwcrKtEGCKuYXdUHJbeLDZlkiSSWWT0g7x2pM/edit#gid=849066331"", ""LU List Maths (Filter)!A:B""), 2, FALSE),
  IFERROR(
    VLOOKUP(G282, IMPORTRANGE(""https://docs.google.com"&amp;"/spreadsheets/d/14deopnvwcrKtEGCKuYXdUHJbeLDZlkiSSWWT0g7x2pM/edit#gid=849066331"", ""LU List Science (Filter)!A:B""), 2, FALSE),
    ""Not Found""
  )
)
"),"Construction of an angle of 120° using a compass")</f>
        <v>Construction of an angle of 120° using a compass</v>
      </c>
      <c r="I282" s="28"/>
      <c r="J282" s="29" t="str">
        <f t="shared" si="24"/>
        <v>LU000824.001</v>
      </c>
      <c r="K282" s="29" t="str">
        <f ca="1">IFERROR(__xludf.dummyfunction("VLOOKUP(J282, IMPORTRANGE(""https://docs.google.com/spreadsheets/d/1yDAaXNsi4Mr5FtRQL4tbmSdIzhx6_m4wkOD7IG-k_eo/edit#gid=0"", ""Maths!M:N""), 2, FALSE)"),"Remember the basic steps involved in constructing angles with a compass..")</f>
        <v>Remember the basic steps involved in constructing angles with a compass..</v>
      </c>
      <c r="L282" s="29" t="str">
        <f t="shared" si="25"/>
        <v>LU000824.002</v>
      </c>
      <c r="M282" s="29" t="str">
        <f ca="1">IFERROR(__xludf.dummyfunction("VLOOKUP(L282, IMPORTRANGE(""https://docs.google.com/spreadsheets/d/1yDAaXNsi4Mr5FtRQL4tbmSdIzhx6_m4wkOD7IG-k_eo/edit#gid=0"", ""Maths!M:N""), 2, FALSE)"),"Explain the significance of a 120° angle in geometry.")</f>
        <v>Explain the significance of a 120° angle in geometry.</v>
      </c>
      <c r="N282" s="29" t="str">
        <f t="shared" si="26"/>
        <v>LU000824.003</v>
      </c>
      <c r="O282" s="29" t="str">
        <f ca="1">IFERROR(__xludf.dummyfunction("VLOOKUP(N282, IMPORTRANGE(""https://docs.google.com/spreadsheets/d/1yDAaXNsi4Mr5FtRQL4tbmSdIzhx6_m4wkOD7IG-k_eo/edit#gid=0"", ""Maths!M:N""), 2, FALSE)"),"Apply the compass technique to construct a 120° angle.")</f>
        <v>Apply the compass technique to construct a 120° angle.</v>
      </c>
      <c r="P282" s="29" t="str">
        <f t="shared" si="27"/>
        <v>LU000824.004</v>
      </c>
      <c r="Q282" s="29" t="str">
        <f ca="1">IFERROR(__xludf.dummyfunction("VLOOKUP(P282, IMPORTRANGE(""https://docs.google.com/spreadsheets/d/1yDAaXNsi4Mr5FtRQL4tbmSdIzhx6_m4wkOD7IG-k_eo/edit#gid=0"", ""Maths!M:N""), 2, FALSE)"),"Analyse the properties of the constructed 120° angle to ensure accuracy.")</f>
        <v>Analyse the properties of the constructed 120° angle to ensure accuracy.</v>
      </c>
      <c r="R282" s="29" t="str">
        <f t="shared" si="28"/>
        <v>LU000824.005</v>
      </c>
      <c r="S282" s="29" t="str">
        <f ca="1">IFERROR(__xludf.dummyfunction("VLOOKUP(R282, IMPORTRANGE(""https://docs.google.com/spreadsheets/d/1yDAaXNsi4Mr5FtRQL4tbmSdIzhx6_m4wkOD7IG-k_eo/edit#gid=0"", ""Maths!M:N""), 2, FALSE)"),"Evaluate the precision of the constructed 120° angles by measuring them with a protractor.")</f>
        <v>Evaluate the precision of the constructed 120° angles by measuring them with a protractor.</v>
      </c>
      <c r="T282" s="29" t="str">
        <f t="shared" si="29"/>
        <v>LU000824.006</v>
      </c>
      <c r="U282" s="29" t="str">
        <f ca="1">IFERROR(__xludf.dummyfunction("VLOOKUP(T282, IMPORTRANGE(""https://docs.google.com/spreadsheets/d/1yDAaXNsi4Mr5FtRQL4tbmSdIzhx6_m4wkOD7IG-k_eo/edit#gid=0"", ""Maths!M:N""), 2, FALSE)"),"Design a visual guide or tutorial with step-by-step instructions for constructing 120° angles with a compass, suitable for educational purposes.")</f>
        <v>Design a visual guide or tutorial with step-by-step instructions for constructing 120° angles with a compass, suitable for educational purposes.</v>
      </c>
      <c r="V282" s="16" t="str">
        <f ca="1">IFERROR(__xludf.dummyfunction("ArrayFormula(VLOOKUP(G282, IMPORTRANGE(""https://docs.google.com/spreadsheets/d/1p7R4vtkWt5VOBim4ltsDG9KTzSjrtKXsMtQGXPHyND0/edit#gid=795171502"", ""'Filter 30_05_2024'!A1:M2000""), {2, 3, 4, 5,6,7,8,9,10,11,12,13}, 0))"),"#N/A")</f>
        <v>#N/A</v>
      </c>
      <c r="W282" s="16" t="str">
        <f ca="1">IFERROR(__xludf.dummyfunction("""COMPUTED_VALUE"""),"#N/A")</f>
        <v>#N/A</v>
      </c>
      <c r="X282" s="16" t="str">
        <f ca="1">IFERROR(__xludf.dummyfunction("""COMPUTED_VALUE"""),"#N/A")</f>
        <v>#N/A</v>
      </c>
      <c r="Y282" s="16" t="str">
        <f ca="1">IFERROR(__xludf.dummyfunction("""COMPUTED_VALUE"""),"#N/A")</f>
        <v>#N/A</v>
      </c>
      <c r="Z282" s="16" t="str">
        <f ca="1">IFERROR(__xludf.dummyfunction("""COMPUTED_VALUE"""),"#N/A")</f>
        <v>#N/A</v>
      </c>
      <c r="AA282" s="30" t="str">
        <f ca="1">IFERROR(__xludf.dummyfunction("""COMPUTED_VALUE"""),"#N/A")</f>
        <v>#N/A</v>
      </c>
      <c r="AB282" s="30" t="str">
        <f ca="1">IFERROR(__xludf.dummyfunction("""COMPUTED_VALUE"""),"#N/A")</f>
        <v>#N/A</v>
      </c>
      <c r="AC282" s="30" t="str">
        <f ca="1">IFERROR(__xludf.dummyfunction("""COMPUTED_VALUE"""),"#N/A")</f>
        <v>#N/A</v>
      </c>
      <c r="AD282" s="16" t="str">
        <f ca="1">IFERROR(__xludf.dummyfunction("""COMPUTED_VALUE"""),"#N/A")</f>
        <v>#N/A</v>
      </c>
      <c r="AE282" s="30" t="str">
        <f ca="1">IFERROR(__xludf.dummyfunction("""COMPUTED_VALUE"""),"#N/A")</f>
        <v>#N/A</v>
      </c>
      <c r="AF282" s="30" t="str">
        <f ca="1">IFERROR(__xludf.dummyfunction("""COMPUTED_VALUE"""),"#N/A")</f>
        <v>#N/A</v>
      </c>
      <c r="AG282" s="30" t="str">
        <f ca="1">IFERROR(__xludf.dummyfunction("""COMPUTED_VALUE"""),"#N/A")</f>
        <v>#N/A</v>
      </c>
    </row>
    <row r="283" spans="1:33" ht="26.4">
      <c r="A283" s="25"/>
      <c r="B283" s="26" t="s">
        <v>29</v>
      </c>
      <c r="C283" s="26" t="s">
        <v>310</v>
      </c>
      <c r="D283" s="26">
        <v>6</v>
      </c>
      <c r="E283" s="27" t="s">
        <v>701</v>
      </c>
      <c r="F283" s="28"/>
      <c r="G283" s="31" t="s">
        <v>721</v>
      </c>
      <c r="H283" s="28" t="str">
        <f ca="1">IFERROR(__xludf.dummyfunction("IFERROR(
  VLOOKUP(G283, IMPORTRANGE(""https://docs.google.com/spreadsheets/d/14deopnvwcrKtEGCKuYXdUHJbeLDZlkiSSWWT0g7x2pM/edit#gid=849066331"", ""LU List Maths (Filter)!A:B""), 2, FALSE),
  IFERROR(
    VLOOKUP(G283, IMPORTRANGE(""https://docs.google.com"&amp;"/spreadsheets/d/14deopnvwcrKtEGCKuYXdUHJbeLDZlkiSSWWT0g7x2pM/edit#gid=849066331"", ""LU List Science (Filter)!A:B""), 2, FALSE),
    ""Not Found""
  )
)
"),"Construction of an angle of 90° using angle bisectors")</f>
        <v>Construction of an angle of 90° using angle bisectors</v>
      </c>
      <c r="I283" s="28"/>
      <c r="J283" s="29" t="str">
        <f t="shared" si="24"/>
        <v>LU000825.001</v>
      </c>
      <c r="K283" s="29" t="str">
        <f ca="1">IFERROR(__xludf.dummyfunction("VLOOKUP(J283, IMPORTRANGE(""https://docs.google.com/spreadsheets/d/1yDAaXNsi4Mr5FtRQL4tbmSdIzhx6_m4wkOD7IG-k_eo/edit#gid=0"", ""Maths!M:N""), 2, FALSE)"),"Remember the basic principles of angle bisectors and how they divide angles.")</f>
        <v>Remember the basic principles of angle bisectors and how they divide angles.</v>
      </c>
      <c r="L283" s="29" t="str">
        <f t="shared" si="25"/>
        <v>LU000825.002</v>
      </c>
      <c r="M283" s="29" t="str">
        <f ca="1">IFERROR(__xludf.dummyfunction("VLOOKUP(L283, IMPORTRANGE(""https://docs.google.com/spreadsheets/d/1yDAaXNsi4Mr5FtRQL4tbmSdIzhx6_m4wkOD7IG-k_eo/edit#gid=0"", ""Maths!M:N""), 2, FALSE)"),"Understand the concept of angle bisectors and their role in dividing angles into equal parts, including 90° segments.")</f>
        <v>Understand the concept of angle bisectors and their role in dividing angles into equal parts, including 90° segments.</v>
      </c>
      <c r="N283" s="29" t="str">
        <f t="shared" si="26"/>
        <v>LU000825.003</v>
      </c>
      <c r="O283" s="29" t="str">
        <f ca="1">IFERROR(__xludf.dummyfunction("VLOOKUP(N283, IMPORTRANGE(""https://docs.google.com/spreadsheets/d/1yDAaXNsi4Mr5FtRQL4tbmSdIzhx6_m4wkOD7IG-k_eo/edit#gid=0"", ""Maths!M:N""), 2, FALSE)"),"Apply the technique of angle bisectors to accurately construct a 90° angle.")</f>
        <v>Apply the technique of angle bisectors to accurately construct a 90° angle.</v>
      </c>
      <c r="P283" s="29" t="str">
        <f t="shared" si="27"/>
        <v>LU000825.004</v>
      </c>
      <c r="Q283" s="29" t="str">
        <f ca="1">IFERROR(__xludf.dummyfunction("VLOOKUP(P283, IMPORTRANGE(""https://docs.google.com/spreadsheets/d/1yDAaXNsi4Mr5FtRQL4tbmSdIzhx6_m4wkOD7IG-k_eo/edit#gid=0"", ""Maths!M:N""), 2, FALSE)"),"Analyse the constructed 90° angle to ensure its accuracy and precision.")</f>
        <v>Analyse the constructed 90° angle to ensure its accuracy and precision.</v>
      </c>
      <c r="R283" s="29" t="str">
        <f t="shared" si="28"/>
        <v>LU000825.005</v>
      </c>
      <c r="S283" s="29" t="str">
        <f ca="1">IFERROR(__xludf.dummyfunction("VLOOKUP(R283, IMPORTRANGE(""https://docs.google.com/spreadsheets/d/1yDAaXNsi4Mr5FtRQL4tbmSdIzhx6_m4wkOD7IG-k_eo/edit#gid=0"", ""Maths!M:N""), 2, FALSE)"),"Evaluate the precision of the constructed 90° angles by measuring them with a protractor.")</f>
        <v>Evaluate the precision of the constructed 90° angles by measuring them with a protractor.</v>
      </c>
      <c r="T283" s="29" t="str">
        <f t="shared" si="29"/>
        <v>LU000825.006</v>
      </c>
      <c r="U283" s="29" t="str">
        <f ca="1">IFERROR(__xludf.dummyfunction("VLOOKUP(T283, IMPORTRANGE(""https://docs.google.com/spreadsheets/d/1yDAaXNsi4Mr5FtRQL4tbmSdIzhx6_m4wkOD7IG-k_eo/edit#gid=0"", ""Maths!M:N""), 2, FALSE)"),"Create a comprehensive guide or visual tutorial with step-by-step instructions for constructing 90° angles using angle bisectors, suitable for educational purposes.")</f>
        <v>Create a comprehensive guide or visual tutorial with step-by-step instructions for constructing 90° angles using angle bisectors, suitable for educational purposes.</v>
      </c>
      <c r="V283" s="16" t="str">
        <f ca="1">IFERROR(__xludf.dummyfunction("ArrayFormula(VLOOKUP(G283, IMPORTRANGE(""https://docs.google.com/spreadsheets/d/1p7R4vtkWt5VOBim4ltsDG9KTzSjrtKXsMtQGXPHyND0/edit#gid=795171502"", ""'Filter 30_05_2024'!A1:M2000""), {2, 3, 4, 5,6,7,8,9,10,11,12,13}, 0))"),"#N/A")</f>
        <v>#N/A</v>
      </c>
      <c r="W283" s="16" t="str">
        <f ca="1">IFERROR(__xludf.dummyfunction("""COMPUTED_VALUE"""),"#N/A")</f>
        <v>#N/A</v>
      </c>
      <c r="X283" s="16" t="str">
        <f ca="1">IFERROR(__xludf.dummyfunction("""COMPUTED_VALUE"""),"#N/A")</f>
        <v>#N/A</v>
      </c>
      <c r="Y283" s="16" t="str">
        <f ca="1">IFERROR(__xludf.dummyfunction("""COMPUTED_VALUE"""),"#N/A")</f>
        <v>#N/A</v>
      </c>
      <c r="Z283" s="16" t="str">
        <f ca="1">IFERROR(__xludf.dummyfunction("""COMPUTED_VALUE"""),"#N/A")</f>
        <v>#N/A</v>
      </c>
      <c r="AA283" s="30" t="str">
        <f ca="1">IFERROR(__xludf.dummyfunction("""COMPUTED_VALUE"""),"#N/A")</f>
        <v>#N/A</v>
      </c>
      <c r="AB283" s="30" t="str">
        <f ca="1">IFERROR(__xludf.dummyfunction("""COMPUTED_VALUE"""),"#N/A")</f>
        <v>#N/A</v>
      </c>
      <c r="AC283" s="30" t="str">
        <f ca="1">IFERROR(__xludf.dummyfunction("""COMPUTED_VALUE"""),"#N/A")</f>
        <v>#N/A</v>
      </c>
      <c r="AD283" s="16" t="str">
        <f ca="1">IFERROR(__xludf.dummyfunction("""COMPUTED_VALUE"""),"#N/A")</f>
        <v>#N/A</v>
      </c>
      <c r="AE283" s="30" t="str">
        <f ca="1">IFERROR(__xludf.dummyfunction("""COMPUTED_VALUE"""),"#N/A")</f>
        <v>#N/A</v>
      </c>
      <c r="AF283" s="30" t="str">
        <f ca="1">IFERROR(__xludf.dummyfunction("""COMPUTED_VALUE"""),"#N/A")</f>
        <v>#N/A</v>
      </c>
      <c r="AG283" s="30" t="str">
        <f ca="1">IFERROR(__xludf.dummyfunction("""COMPUTED_VALUE"""),"#N/A")</f>
        <v>#N/A</v>
      </c>
    </row>
    <row r="284" spans="1:33" ht="26.4">
      <c r="A284" s="25"/>
      <c r="B284" s="26" t="s">
        <v>29</v>
      </c>
      <c r="C284" s="26" t="s">
        <v>310</v>
      </c>
      <c r="D284" s="26">
        <v>6</v>
      </c>
      <c r="E284" s="27" t="s">
        <v>701</v>
      </c>
      <c r="F284" s="28"/>
      <c r="G284" s="31" t="s">
        <v>722</v>
      </c>
      <c r="H284" s="28" t="str">
        <f ca="1">IFERROR(__xludf.dummyfunction("IFERROR(
  VLOOKUP(G284, IMPORTRANGE(""https://docs.google.com/spreadsheets/d/14deopnvwcrKtEGCKuYXdUHJbeLDZlkiSSWWT0g7x2pM/edit#gid=849066331"", ""LU List Maths (Filter)!A:B""), 2, FALSE),
  IFERROR(
    VLOOKUP(G284, IMPORTRANGE(""https://docs.google.com"&amp;"/spreadsheets/d/14deopnvwcrKtEGCKuYXdUHJbeLDZlkiSSWWT0g7x2pM/edit#gid=849066331"", ""LU List Science (Filter)!A:B""), 2, FALSE),
    ""Not Found""
  )
)
"),"Construction of an angle of 45° using angle bisectors")</f>
        <v>Construction of an angle of 45° using angle bisectors</v>
      </c>
      <c r="I284" s="28"/>
      <c r="J284" s="29" t="str">
        <f t="shared" si="24"/>
        <v>LU000829.001</v>
      </c>
      <c r="K284" s="29" t="str">
        <f ca="1">IFERROR(__xludf.dummyfunction("VLOOKUP(J284, IMPORTRANGE(""https://docs.google.com/spreadsheets/d/1yDAaXNsi4Mr5FtRQL4tbmSdIzhx6_m4wkOD7IG-k_eo/edit#gid=0"", ""Maths!M:N""), 2, FALSE)"),"Remember the basic principles of angle bisectors and how they divide angles.")</f>
        <v>Remember the basic principles of angle bisectors and how they divide angles.</v>
      </c>
      <c r="L284" s="29" t="str">
        <f t="shared" si="25"/>
        <v>LU000829.002</v>
      </c>
      <c r="M284" s="29" t="str">
        <f ca="1">IFERROR(__xludf.dummyfunction("VLOOKUP(L284, IMPORTRANGE(""https://docs.google.com/spreadsheets/d/1yDAaXNsi4Mr5FtRQL4tbmSdIzhx6_m4wkOD7IG-k_eo/edit#gid=0"", ""Maths!M:N""), 2, FALSE)"),"Understand the concept of angle bisectors and their role in dividing angles into equal parts, including 45° segments.")</f>
        <v>Understand the concept of angle bisectors and their role in dividing angles into equal parts, including 45° segments.</v>
      </c>
      <c r="N284" s="29" t="str">
        <f t="shared" si="26"/>
        <v>LU000829.003</v>
      </c>
      <c r="O284" s="29" t="str">
        <f ca="1">IFERROR(__xludf.dummyfunction("VLOOKUP(N284, IMPORTRANGE(""https://docs.google.com/spreadsheets/d/1yDAaXNsi4Mr5FtRQL4tbmSdIzhx6_m4wkOD7IG-k_eo/edit#gid=0"", ""Maths!M:N""), 2, FALSE)"),"Apply the technique of angle bisectors to accurately construct a 45° angle.")</f>
        <v>Apply the technique of angle bisectors to accurately construct a 45° angle.</v>
      </c>
      <c r="P284" s="29" t="str">
        <f t="shared" si="27"/>
        <v>LU000829.004</v>
      </c>
      <c r="Q284" s="29" t="str">
        <f ca="1">IFERROR(__xludf.dummyfunction("VLOOKUP(P284, IMPORTRANGE(""https://docs.google.com/spreadsheets/d/1yDAaXNsi4Mr5FtRQL4tbmSdIzhx6_m4wkOD7IG-k_eo/edit#gid=0"", ""Maths!M:N""), 2, FALSE)"),"Analyse the constructed 45° angle to ensure its accuracy and precision.")</f>
        <v>Analyse the constructed 45° angle to ensure its accuracy and precision.</v>
      </c>
      <c r="R284" s="29" t="str">
        <f t="shared" si="28"/>
        <v>LU000829.005</v>
      </c>
      <c r="S284" s="29" t="str">
        <f ca="1">IFERROR(__xludf.dummyfunction("VLOOKUP(R284, IMPORTRANGE(""https://docs.google.com/spreadsheets/d/1yDAaXNsi4Mr5FtRQL4tbmSdIzhx6_m4wkOD7IG-k_eo/edit#gid=0"", ""Maths!M:N""), 2, FALSE)"),"Evaluate the precision of the constructed 45° angles by measuring them with a protractor.")</f>
        <v>Evaluate the precision of the constructed 45° angles by measuring them with a protractor.</v>
      </c>
      <c r="T284" s="29" t="str">
        <f t="shared" si="29"/>
        <v>LU000829.006</v>
      </c>
      <c r="U284" s="29" t="str">
        <f ca="1">IFERROR(__xludf.dummyfunction("VLOOKUP(T284, IMPORTRANGE(""https://docs.google.com/spreadsheets/d/1yDAaXNsi4Mr5FtRQL4tbmSdIzhx6_m4wkOD7IG-k_eo/edit#gid=0"", ""Maths!M:N""), 2, FALSE)"),"Create a comprehensive guide or visual tutorial with step-by-step instructions for constructing 45° angles using angle bisectors, suitable for educational purposes.")</f>
        <v>Create a comprehensive guide or visual tutorial with step-by-step instructions for constructing 45° angles using angle bisectors, suitable for educational purposes.</v>
      </c>
      <c r="V284" s="16" t="str">
        <f ca="1">IFERROR(__xludf.dummyfunction("ArrayFormula(VLOOKUP(G284, IMPORTRANGE(""https://docs.google.com/spreadsheets/d/1p7R4vtkWt5VOBim4ltsDG9KTzSjrtKXsMtQGXPHyND0/edit#gid=795171502"", ""'Filter 30_05_2024'!A1:M2000""), {2, 3, 4, 5,6,7,8,9,10,11,12,13}, 0))"),"#N/A")</f>
        <v>#N/A</v>
      </c>
      <c r="W284" s="16" t="str">
        <f ca="1">IFERROR(__xludf.dummyfunction("""COMPUTED_VALUE"""),"#N/A")</f>
        <v>#N/A</v>
      </c>
      <c r="X284" s="16" t="str">
        <f ca="1">IFERROR(__xludf.dummyfunction("""COMPUTED_VALUE"""),"#N/A")</f>
        <v>#N/A</v>
      </c>
      <c r="Y284" s="16" t="str">
        <f ca="1">IFERROR(__xludf.dummyfunction("""COMPUTED_VALUE"""),"#N/A")</f>
        <v>#N/A</v>
      </c>
      <c r="Z284" s="16" t="str">
        <f ca="1">IFERROR(__xludf.dummyfunction("""COMPUTED_VALUE"""),"#N/A")</f>
        <v>#N/A</v>
      </c>
      <c r="AA284" s="30" t="str">
        <f ca="1">IFERROR(__xludf.dummyfunction("""COMPUTED_VALUE"""),"#N/A")</f>
        <v>#N/A</v>
      </c>
      <c r="AB284" s="30" t="str">
        <f ca="1">IFERROR(__xludf.dummyfunction("""COMPUTED_VALUE"""),"#N/A")</f>
        <v>#N/A</v>
      </c>
      <c r="AC284" s="30" t="str">
        <f ca="1">IFERROR(__xludf.dummyfunction("""COMPUTED_VALUE"""),"#N/A")</f>
        <v>#N/A</v>
      </c>
      <c r="AD284" s="16" t="str">
        <f ca="1">IFERROR(__xludf.dummyfunction("""COMPUTED_VALUE"""),"#N/A")</f>
        <v>#N/A</v>
      </c>
      <c r="AE284" s="30" t="str">
        <f ca="1">IFERROR(__xludf.dummyfunction("""COMPUTED_VALUE"""),"#N/A")</f>
        <v>#N/A</v>
      </c>
      <c r="AF284" s="30" t="str">
        <f ca="1">IFERROR(__xludf.dummyfunction("""COMPUTED_VALUE"""),"#N/A")</f>
        <v>#N/A</v>
      </c>
      <c r="AG284" s="30" t="str">
        <f ca="1">IFERROR(__xludf.dummyfunction("""COMPUTED_VALUE"""),"#N/A")</f>
        <v>#N/A</v>
      </c>
    </row>
    <row r="285" spans="1:33" ht="13.8">
      <c r="A285" s="25"/>
      <c r="B285" s="26" t="s">
        <v>29</v>
      </c>
      <c r="C285" s="26" t="s">
        <v>310</v>
      </c>
      <c r="D285" s="26">
        <v>6</v>
      </c>
      <c r="E285" s="27" t="s">
        <v>723</v>
      </c>
      <c r="F285" s="28" t="s">
        <v>724</v>
      </c>
      <c r="G285" s="39" t="s">
        <v>725</v>
      </c>
      <c r="H285" s="28" t="str">
        <f ca="1">IFERROR(__xludf.dummyfunction("IFERROR(
  VLOOKUP(G285, IMPORTRANGE(""https://docs.google.com/spreadsheets/d/14deopnvwcrKtEGCKuYXdUHJbeLDZlkiSSWWT0g7x2pM/edit#gid=849066331"", ""LU List Maths (Filter)!A:B""), 2, FALSE),
  IFERROR(
    VLOOKUP(G285, IMPORTRANGE(""https://docs.google.com"&amp;"/spreadsheets/d/14deopnvwcrKtEGCKuYXdUHJbeLDZlkiSSWWT0g7x2pM/edit#gid=849066331"", ""LU List Science (Filter)!A:B""), 2, FALSE),
    ""Not Found""
  )
)
"),"Definition of perimeter")</f>
        <v>Definition of perimeter</v>
      </c>
      <c r="I285" s="28"/>
      <c r="J285" s="29" t="str">
        <f t="shared" si="24"/>
        <v>LU000027.001</v>
      </c>
      <c r="K285" s="29" t="str">
        <f ca="1">IFERROR(__xludf.dummyfunction("VLOOKUP(J285, IMPORTRANGE(""https://docs.google.com/spreadsheets/d/1yDAaXNsi4Mr5FtRQL4tbmSdIzhx6_m4wkOD7IG-k_eo/edit#gid=0"", ""Maths!M:N""), 2, FALSE)"),"Define perimeter.")</f>
        <v>Define perimeter.</v>
      </c>
      <c r="L285" s="29" t="str">
        <f t="shared" si="25"/>
        <v>LU000027.002</v>
      </c>
      <c r="M285" s="29" t="str">
        <f ca="1">IFERROR(__xludf.dummyfunction("VLOOKUP(L285, IMPORTRANGE(""https://docs.google.com/spreadsheets/d/1yDAaXNsi4Mr5FtRQL4tbmSdIzhx6_m4wkOD7IG-k_eo/edit#gid=0"", ""Maths!M:N""), 2, FALSE)"),"List real-life situations where finding the perimeter is required.")</f>
        <v>List real-life situations where finding the perimeter is required.</v>
      </c>
      <c r="N285" s="29" t="str">
        <f t="shared" si="26"/>
        <v>LU000027.003</v>
      </c>
      <c r="O285" s="29" t="str">
        <f ca="1">IFERROR(__xludf.dummyfunction("VLOOKUP(N285, IMPORTRANGE(""https://docs.google.com/spreadsheets/d/1yDAaXNsi4Mr5FtRQL4tbmSdIzhx6_m4wkOD7IG-k_eo/edit#gid=0"", ""Maths!M:N""), 2, FALSE)"),"Explain that the unit of the perimeter of any closed figure is the same as the unit of its side.")</f>
        <v>Explain that the unit of the perimeter of any closed figure is the same as the unit of its side.</v>
      </c>
      <c r="P285" s="29" t="str">
        <f t="shared" si="27"/>
        <v>LU000027.004</v>
      </c>
      <c r="Q285" s="29" t="str">
        <f ca="1">IFERROR(__xludf.dummyfunction("VLOOKUP(P285, IMPORTRANGE(""https://docs.google.com/spreadsheets/d/1yDAaXNsi4Mr5FtRQL4tbmSdIzhx6_m4wkOD7IG-k_eo/edit#gid=0"", ""Maths!M:N""), 2, FALSE)"),"Analyse the boundary of closed figures to determine the total length required to enclose them, considering different shapes and dimensions.")</f>
        <v>Analyse the boundary of closed figures to determine the total length required to enclose them, considering different shapes and dimensions.</v>
      </c>
      <c r="R285" s="29" t="str">
        <f t="shared" si="28"/>
        <v>LU000027.005</v>
      </c>
      <c r="S285" s="29" t="str">
        <f ca="1">IFERROR(__xludf.dummyfunction("VLOOKUP(R285, IMPORTRANGE(""https://docs.google.com/spreadsheets/d/1yDAaXNsi4Mr5FtRQL4tbmSdIzhx6_m4wkOD7IG-k_eo/edit#gid=0"", ""Maths!M:N""), 2, FALSE)"),"Evaluate the importance of calculating perimeter in various real-life contexts.")</f>
        <v>Evaluate the importance of calculating perimeter in various real-life contexts.</v>
      </c>
      <c r="T285" s="29" t="str">
        <f t="shared" si="29"/>
        <v>LU000027.006</v>
      </c>
      <c r="U285" s="29" t="str">
        <f ca="1">IFERROR(__xludf.dummyfunction("VLOOKUP(T285, IMPORTRANGE(""https://docs.google.com/spreadsheets/d/1yDAaXNsi4Mr5FtRQL4tbmSdIzhx6_m4wkOD7IG-k_eo/edit#gid=0"", ""Maths!M:N""), 2, FALSE)"),"Design problems that require calculating the perimeter of different closed figures.")</f>
        <v>Design problems that require calculating the perimeter of different closed figures.</v>
      </c>
      <c r="V285" s="16">
        <f ca="1">IFERROR(__xludf.dummyfunction("ArrayFormula(VLOOKUP(G285, IMPORTRANGE(""https://docs.google.com/spreadsheets/d/1p7R4vtkWt5VOBim4ltsDG9KTzSjrtKXsMtQGXPHyND0/edit#gid=795171502"", ""'Filter 30_05_2024'!A1:M2000""), {2, 3, 4, 5,6,7,8,9,10,11,12,13}, 0))"),8)</f>
        <v>8</v>
      </c>
      <c r="W285" s="16"/>
      <c r="X285" s="16"/>
      <c r="Y285" s="16">
        <f ca="1">IFERROR(__xludf.dummyfunction("""COMPUTED_VALUE"""),8)</f>
        <v>8</v>
      </c>
      <c r="Z285" s="16">
        <f ca="1">IFERROR(__xludf.dummyfunction("""COMPUTED_VALUE"""),1)</f>
        <v>1</v>
      </c>
      <c r="AA285" s="30"/>
      <c r="AB285" s="30">
        <f ca="1">IFERROR(__xludf.dummyfunction("""COMPUTED_VALUE"""),1)</f>
        <v>1</v>
      </c>
      <c r="AC285" s="30">
        <f ca="1">IFERROR(__xludf.dummyfunction("""COMPUTED_VALUE"""),2)</f>
        <v>2</v>
      </c>
      <c r="AD285" s="16"/>
      <c r="AE285" s="30"/>
      <c r="AF285" s="30"/>
      <c r="AG285" s="30"/>
    </row>
    <row r="286" spans="1:33" ht="13.8">
      <c r="A286" s="25"/>
      <c r="B286" s="26" t="s">
        <v>29</v>
      </c>
      <c r="C286" s="26" t="s">
        <v>310</v>
      </c>
      <c r="D286" s="26">
        <v>6</v>
      </c>
      <c r="E286" s="27" t="s">
        <v>723</v>
      </c>
      <c r="F286" s="28"/>
      <c r="G286" s="26" t="s">
        <v>726</v>
      </c>
      <c r="H286" s="28" t="str">
        <f ca="1">IFERROR(__xludf.dummyfunction("IFERROR(
  VLOOKUP(G286, IMPORTRANGE(""https://docs.google.com/spreadsheets/d/14deopnvwcrKtEGCKuYXdUHJbeLDZlkiSSWWT0g7x2pM/edit#gid=849066331"", ""LU List Maths (Filter)!A:B""), 2, FALSE),
  IFERROR(
    VLOOKUP(G286, IMPORTRANGE(""https://docs.google.com"&amp;"/spreadsheets/d/14deopnvwcrKtEGCKuYXdUHJbeLDZlkiSSWWT0g7x2pM/edit#gid=849066331"", ""LU List Science (Filter)!A:B""), 2, FALSE),
    ""Not Found""
  )
)
"),"Perimeter of closed figures")</f>
        <v>Perimeter of closed figures</v>
      </c>
      <c r="I286" s="28"/>
      <c r="J286" s="29" t="str">
        <f t="shared" si="24"/>
        <v>LU000323.001</v>
      </c>
      <c r="K286" s="29" t="str">
        <f ca="1">IFERROR(__xludf.dummyfunction("VLOOKUP(J286, IMPORTRANGE(""https://docs.google.com/spreadsheets/d/1yDAaXNsi4Mr5FtRQL4tbmSdIzhx6_m4wkOD7IG-k_eo/edit#gid=0"", ""Maths!M:N""), 2, FALSE)"),"Recall the method to find the perimeter of a closed figure.")</f>
        <v>Recall the method to find the perimeter of a closed figure.</v>
      </c>
      <c r="L286" s="29" t="str">
        <f t="shared" si="25"/>
        <v>LU000323.002</v>
      </c>
      <c r="M286" s="29" t="str">
        <f ca="1">IFERROR(__xludf.dummyfunction("VLOOKUP(L286, IMPORTRANGE(""https://docs.google.com/spreadsheets/d/1yDAaXNsi4Mr5FtRQL4tbmSdIzhx6_m4wkOD7IG-k_eo/edit#gid=0"", ""Maths!M:N""), 2, FALSE)"),"Explain the concept that the perimeter of a closed figure is the sum of the lengths of its sides.")</f>
        <v>Explain the concept that the perimeter of a closed figure is the sum of the lengths of its sides.</v>
      </c>
      <c r="N286" s="29" t="str">
        <f t="shared" si="26"/>
        <v>LU000323.003</v>
      </c>
      <c r="O286" s="29" t="str">
        <f ca="1">IFERROR(__xludf.dummyfunction("VLOOKUP(N286, IMPORTRANGE(""https://docs.google.com/spreadsheets/d/1yDAaXNsi4Mr5FtRQL4tbmSdIzhx6_m4wkOD7IG-k_eo/edit#gid=0"", ""Maths!M:N""), 2, FALSE)"),"Calculate the perimeter of closed shapes and rectilinear figures.")</f>
        <v>Calculate the perimeter of closed shapes and rectilinear figures.</v>
      </c>
      <c r="P286" s="29" t="str">
        <f t="shared" si="27"/>
        <v>LU000323.004</v>
      </c>
      <c r="Q286" s="29" t="str">
        <f ca="1">IFERROR(__xludf.dummyfunction("VLOOKUP(P286, IMPORTRANGE(""https://docs.google.com/spreadsheets/d/1yDAaXNsi4Mr5FtRQL4tbmSdIzhx6_m4wkOD7IG-k_eo/edit#gid=0"", ""Maths!M:N""), 2, FALSE)"),"Identify the figures of different shapes that have the same perimeter.")</f>
        <v>Identify the figures of different shapes that have the same perimeter.</v>
      </c>
      <c r="R286" s="29" t="str">
        <f t="shared" si="28"/>
        <v>LU000323.005</v>
      </c>
      <c r="S286" s="29" t="str">
        <f ca="1">IFERROR(__xludf.dummyfunction("VLOOKUP(R286, IMPORTRANGE(""https://docs.google.com/spreadsheets/d/1yDAaXNsi4Mr5FtRQL4tbmSdIzhx6_m4wkOD7IG-k_eo/edit#gid=0"", ""Maths!M:N""), 2, FALSE)"),"Solve real world problems involving perimeters of closed figures.")</f>
        <v>Solve real world problems involving perimeters of closed figures.</v>
      </c>
      <c r="T286" s="29" t="str">
        <f t="shared" si="29"/>
        <v>LU000323.006</v>
      </c>
      <c r="U286" s="29" t="str">
        <f ca="1">IFERROR(__xludf.dummyfunction("VLOOKUP(T286, IMPORTRANGE(""https://docs.google.com/spreadsheets/d/1yDAaXNsi4Mr5FtRQL4tbmSdIzhx6_m4wkOD7IG-k_eo/edit#gid=0"", ""Maths!M:N""), 2, FALSE)"),"Devise activities where students measure and calculate the perimeters of different closed shapes using the sum of their side lengths.")</f>
        <v>Devise activities where students measure and calculate the perimeters of different closed shapes using the sum of their side lengths.</v>
      </c>
      <c r="V286" s="16">
        <f ca="1">IFERROR(__xludf.dummyfunction("ArrayFormula(VLOOKUP(G286, IMPORTRANGE(""https://docs.google.com/spreadsheets/d/1p7R4vtkWt5VOBim4ltsDG9KTzSjrtKXsMtQGXPHyND0/edit#gid=795171502"", ""'Filter 30_05_2024'!A1:M2000""), {2, 3, 4, 5,6,7,8,9,10,11,12,13}, 0))"),4)</f>
        <v>4</v>
      </c>
      <c r="W286" s="16">
        <f ca="1">IFERROR(__xludf.dummyfunction("""COMPUTED_VALUE"""),9)</f>
        <v>9</v>
      </c>
      <c r="X286" s="16">
        <f ca="1">IFERROR(__xludf.dummyfunction("""COMPUTED_VALUE"""),10)</f>
        <v>10</v>
      </c>
      <c r="Y286" s="16">
        <f ca="1">IFERROR(__xludf.dummyfunction("""COMPUTED_VALUE"""),23)</f>
        <v>23</v>
      </c>
      <c r="Z286" s="16">
        <f ca="1">IFERROR(__xludf.dummyfunction("""COMPUTED_VALUE"""),4)</f>
        <v>4</v>
      </c>
      <c r="AA286" s="30">
        <f ca="1">IFERROR(__xludf.dummyfunction("""COMPUTED_VALUE"""),5)</f>
        <v>5</v>
      </c>
      <c r="AB286" s="30">
        <f ca="1">IFERROR(__xludf.dummyfunction("""COMPUTED_VALUE"""),4)</f>
        <v>4</v>
      </c>
      <c r="AC286" s="30">
        <f ca="1">IFERROR(__xludf.dummyfunction("""COMPUTED_VALUE"""),13)</f>
        <v>13</v>
      </c>
      <c r="AD286" s="16"/>
      <c r="AE286" s="30"/>
      <c r="AF286" s="30"/>
      <c r="AG286" s="30"/>
    </row>
    <row r="287" spans="1:33" ht="26.4">
      <c r="A287" s="25"/>
      <c r="B287" s="26" t="s">
        <v>29</v>
      </c>
      <c r="C287" s="26" t="s">
        <v>310</v>
      </c>
      <c r="D287" s="26">
        <v>6</v>
      </c>
      <c r="E287" s="27" t="s">
        <v>723</v>
      </c>
      <c r="F287" s="28" t="s">
        <v>727</v>
      </c>
      <c r="G287" s="26" t="s">
        <v>728</v>
      </c>
      <c r="H287" s="28" t="str">
        <f ca="1">IFERROR(__xludf.dummyfunction("IFERROR(
  VLOOKUP(G287, IMPORTRANGE(""https://docs.google.com/spreadsheets/d/14deopnvwcrKtEGCKuYXdUHJbeLDZlkiSSWWT0g7x2pM/edit#gid=849066331"", ""LU List Maths (Filter)!A:B""), 2, FALSE),
  IFERROR(
    VLOOKUP(G287, IMPORTRANGE(""https://docs.google.com"&amp;"/spreadsheets/d/14deopnvwcrKtEGCKuYXdUHJbeLDZlkiSSWWT0g7x2pM/edit#gid=849066331"", ""LU List Science (Filter)!A:B""), 2, FALSE),
    ""Not Found""
  )
)
"),"Perimeter of a rectangle using formula")</f>
        <v>Perimeter of a rectangle using formula</v>
      </c>
      <c r="I287" s="28"/>
      <c r="J287" s="29" t="str">
        <f t="shared" si="24"/>
        <v>LU000324.001</v>
      </c>
      <c r="K287" s="29" t="str">
        <f ca="1">IFERROR(__xludf.dummyfunction("VLOOKUP(J287, IMPORTRANGE(""https://docs.google.com/spreadsheets/d/1yDAaXNsi4Mr5FtRQL4tbmSdIzhx6_m4wkOD7IG-k_eo/edit#gid=0"", ""Maths!M:N""), 2, FALSE)"),"Deduce the formula for the perimeter of a rectangle.")</f>
        <v>Deduce the formula for the perimeter of a rectangle.</v>
      </c>
      <c r="L287" s="29" t="str">
        <f t="shared" si="25"/>
        <v>LU000324.002</v>
      </c>
      <c r="M287" s="29" t="str">
        <f ca="1">IFERROR(__xludf.dummyfunction("VLOOKUP(L287, IMPORTRANGE(""https://docs.google.com/spreadsheets/d/1yDAaXNsi4Mr5FtRQL4tbmSdIzhx6_m4wkOD7IG-k_eo/edit#gid=0"", ""Maths!M:N""), 2, FALSE)"),"Calculate the perimeter of a rectangle if length and width, or the relation between them, are given.")</f>
        <v>Calculate the perimeter of a rectangle if length and width, or the relation between them, are given.</v>
      </c>
      <c r="N287" s="29" t="str">
        <f t="shared" si="26"/>
        <v>LU000324.003</v>
      </c>
      <c r="O287" s="29" t="str">
        <f ca="1">IFERROR(__xludf.dummyfunction("VLOOKUP(N287, IMPORTRANGE(""https://docs.google.com/spreadsheets/d/1yDAaXNsi4Mr5FtRQL4tbmSdIzhx6_m4wkOD7IG-k_eo/edit#gid=0"", ""Maths!M:N""), 2, FALSE)"),"Determine the unknown side length if the perimeter or related description of a rectangle is given in context.")</f>
        <v>Determine the unknown side length if the perimeter or related description of a rectangle is given in context.</v>
      </c>
      <c r="P287" s="29" t="str">
        <f t="shared" si="27"/>
        <v>LU000324.004</v>
      </c>
      <c r="Q287" s="29" t="str">
        <f ca="1">IFERROR(__xludf.dummyfunction("VLOOKUP(P287, IMPORTRANGE(""https://docs.google.com/spreadsheets/d/1yDAaXNsi4Mr5FtRQL4tbmSdIzhx6_m4wkOD7IG-k_eo/edit#gid=0"", ""Maths!M:N""), 2, FALSE)"),"Solve word problems involving the formula for the perimeter of a rectangle.")</f>
        <v>Solve word problems involving the formula for the perimeter of a rectangle.</v>
      </c>
      <c r="R287" s="29" t="str">
        <f t="shared" si="28"/>
        <v>LU000324.005</v>
      </c>
      <c r="S287" s="29" t="str">
        <f ca="1">IFERROR(__xludf.dummyfunction("VLOOKUP(R287, IMPORTRANGE(""https://docs.google.com/spreadsheets/d/1yDAaXNsi4Mr5FtRQL4tbmSdIzhx6_m4wkOD7IG-k_eo/edit#gid=0"", ""Maths!M:N""), 2, FALSE)"),"#N/A")</f>
        <v>#N/A</v>
      </c>
      <c r="T287" s="29" t="str">
        <f t="shared" si="29"/>
        <v>LU000324.006</v>
      </c>
      <c r="U287" s="29" t="str">
        <f ca="1">IFERROR(__xludf.dummyfunction("VLOOKUP(T287, IMPORTRANGE(""https://docs.google.com/spreadsheets/d/1yDAaXNsi4Mr5FtRQL4tbmSdIzhx6_m4wkOD7IG-k_eo/edit#gid=0"", ""Maths!M:N""), 2, FALSE)"),"#N/A")</f>
        <v>#N/A</v>
      </c>
      <c r="V287" s="16">
        <f ca="1">IFERROR(__xludf.dummyfunction("ArrayFormula(VLOOKUP(G287, IMPORTRANGE(""https://docs.google.com/spreadsheets/d/1p7R4vtkWt5VOBim4ltsDG9KTzSjrtKXsMtQGXPHyND0/edit#gid=795171502"", ""'Filter 30_05_2024'!A1:M2000""), {2, 3, 4, 5,6,7,8,9,10,11,12,13}, 0))"),21)</f>
        <v>21</v>
      </c>
      <c r="W287" s="16">
        <f ca="1">IFERROR(__xludf.dummyfunction("""COMPUTED_VALUE"""),11)</f>
        <v>11</v>
      </c>
      <c r="X287" s="16">
        <f ca="1">IFERROR(__xludf.dummyfunction("""COMPUTED_VALUE"""),2)</f>
        <v>2</v>
      </c>
      <c r="Y287" s="16">
        <f ca="1">IFERROR(__xludf.dummyfunction("""COMPUTED_VALUE"""),34)</f>
        <v>34</v>
      </c>
      <c r="Z287" s="16">
        <f ca="1">IFERROR(__xludf.dummyfunction("""COMPUTED_VALUE"""),10)</f>
        <v>10</v>
      </c>
      <c r="AA287" s="30">
        <f ca="1">IFERROR(__xludf.dummyfunction("""COMPUTED_VALUE"""),4)</f>
        <v>4</v>
      </c>
      <c r="AB287" s="30">
        <f ca="1">IFERROR(__xludf.dummyfunction("""COMPUTED_VALUE"""),3)</f>
        <v>3</v>
      </c>
      <c r="AC287" s="30">
        <f ca="1">IFERROR(__xludf.dummyfunction("""COMPUTED_VALUE"""),17)</f>
        <v>17</v>
      </c>
      <c r="AD287" s="16"/>
      <c r="AE287" s="30"/>
      <c r="AF287" s="30"/>
      <c r="AG287" s="30"/>
    </row>
    <row r="288" spans="1:33" ht="13.8">
      <c r="A288" s="25"/>
      <c r="B288" s="26" t="s">
        <v>29</v>
      </c>
      <c r="C288" s="26" t="s">
        <v>310</v>
      </c>
      <c r="D288" s="26">
        <v>6</v>
      </c>
      <c r="E288" s="27" t="s">
        <v>723</v>
      </c>
      <c r="F288" s="28"/>
      <c r="G288" s="27" t="s">
        <v>729</v>
      </c>
      <c r="H288" s="28" t="str">
        <f ca="1">IFERROR(__xludf.dummyfunction("IFERROR(
  VLOOKUP(G288, IMPORTRANGE(""https://docs.google.com/spreadsheets/d/14deopnvwcrKtEGCKuYXdUHJbeLDZlkiSSWWT0g7x2pM/edit#gid=849066331"", ""LU List Maths (Filter)!A:B""), 2, FALSE),
  IFERROR(
    VLOOKUP(G288, IMPORTRANGE(""https://docs.google.com"&amp;"/spreadsheets/d/14deopnvwcrKtEGCKuYXdUHJbeLDZlkiSSWWT0g7x2pM/edit#gid=849066331"", ""LU List Science (Filter)!A:B""), 2, FALSE),
    ""Not Found""
  )
)
"),"Perimeter of a square using formula")</f>
        <v>Perimeter of a square using formula</v>
      </c>
      <c r="I288" s="59"/>
      <c r="J288" s="29" t="str">
        <f t="shared" si="24"/>
        <v>LU001356.001</v>
      </c>
      <c r="K288" s="29" t="str">
        <f ca="1">IFERROR(__xludf.dummyfunction("VLOOKUP(J288, IMPORTRANGE(""https://docs.google.com/spreadsheets/d/1yDAaXNsi4Mr5FtRQL4tbmSdIzhx6_m4wkOD7IG-k_eo/edit#gid=0"", ""Maths!M:N""), 2, FALSE)"),"Recall the formula for calculating the perimeter of a square.")</f>
        <v>Recall the formula for calculating the perimeter of a square.</v>
      </c>
      <c r="L288" s="29" t="str">
        <f t="shared" si="25"/>
        <v>LU001356.002</v>
      </c>
      <c r="M288" s="29" t="str">
        <f ca="1">IFERROR(__xludf.dummyfunction("VLOOKUP(L288, IMPORTRANGE(""https://docs.google.com/spreadsheets/d/1yDAaXNsi4Mr5FtRQL4tbmSdIzhx6_m4wkOD7IG-k_eo/edit#gid=0"", ""Maths!M:N""), 2, FALSE)"),"Explain how the side length of a square relates to its perimeter.")</f>
        <v>Explain how the side length of a square relates to its perimeter.</v>
      </c>
      <c r="N288" s="29" t="str">
        <f t="shared" si="26"/>
        <v>LU001356.003</v>
      </c>
      <c r="O288" s="29" t="str">
        <f ca="1">IFERROR(__xludf.dummyfunction("VLOOKUP(N288, IMPORTRANGE(""https://docs.google.com/spreadsheets/d/1yDAaXNsi4Mr5FtRQL4tbmSdIzhx6_m4wkOD7IG-k_eo/edit#gid=0"", ""Maths!M:N""), 2, FALSE)"),"Calculate the perimeter of various squares given their side lengths.")</f>
        <v>Calculate the perimeter of various squares given their side lengths.</v>
      </c>
      <c r="P288" s="29" t="str">
        <f t="shared" si="27"/>
        <v>LU001356.004</v>
      </c>
      <c r="Q288" s="29" t="str">
        <f ca="1">IFERROR(__xludf.dummyfunction("VLOOKUP(P288, IMPORTRANGE(""https://docs.google.com/spreadsheets/d/1yDAaXNsi4Mr5FtRQL4tbmSdIzhx6_m4wkOD7IG-k_eo/edit#gid=0"", ""Maths!M:N""), 2, FALSE)"),"Compare the perimeters of squares with different side lengths using the formula.")</f>
        <v>Compare the perimeters of squares with different side lengths using the formula.</v>
      </c>
      <c r="R288" s="29" t="str">
        <f t="shared" si="28"/>
        <v>LU001356.005</v>
      </c>
      <c r="S288" s="29" t="str">
        <f ca="1">IFERROR(__xludf.dummyfunction("VLOOKUP(R288, IMPORTRANGE(""https://docs.google.com/spreadsheets/d/1yDAaXNsi4Mr5FtRQL4tbmSdIzhx6_m4wkOD7IG-k_eo/edit#gid=0"", ""Maths!M:N""), 2, FALSE)"),"Evaluate the accuracy of perimeter calculations for squares in different contexts.")</f>
        <v>Evaluate the accuracy of perimeter calculations for squares in different contexts.</v>
      </c>
      <c r="T288" s="29" t="str">
        <f t="shared" si="29"/>
        <v>LU001356.006</v>
      </c>
      <c r="U288" s="29" t="str">
        <f ca="1">IFERROR(__xludf.dummyfunction("VLOOKUP(T288, IMPORTRANGE(""https://docs.google.com/spreadsheets/d/1yDAaXNsi4Mr5FtRQL4tbmSdIzhx6_m4wkOD7IG-k_eo/edit#gid=0"", ""Maths!M:N""), 2, FALSE)"),"Create word problems involving the perimeter of a square and solve them using the formula.")</f>
        <v>Create word problems involving the perimeter of a square and solve them using the formula.</v>
      </c>
      <c r="V288" s="16">
        <f ca="1">IFERROR(__xludf.dummyfunction("ArrayFormula(VLOOKUP(G288, IMPORTRANGE(""https://docs.google.com/spreadsheets/d/1p7R4vtkWt5VOBim4ltsDG9KTzSjrtKXsMtQGXPHyND0/edit#gid=795171502"", ""'Filter 30_05_2024'!A1:M2000""), {2, 3, 4, 5,6,7,8,9,10,11,12,13}, 0))"),4)</f>
        <v>4</v>
      </c>
      <c r="W288" s="16">
        <f ca="1">IFERROR(__xludf.dummyfunction("""COMPUTED_VALUE"""),6)</f>
        <v>6</v>
      </c>
      <c r="X288" s="16">
        <f ca="1">IFERROR(__xludf.dummyfunction("""COMPUTED_VALUE"""),2)</f>
        <v>2</v>
      </c>
      <c r="Y288" s="16">
        <f ca="1">IFERROR(__xludf.dummyfunction("""COMPUTED_VALUE"""),12)</f>
        <v>12</v>
      </c>
      <c r="Z288" s="16">
        <f ca="1">IFERROR(__xludf.dummyfunction("""COMPUTED_VALUE"""),4)</f>
        <v>4</v>
      </c>
      <c r="AA288" s="30">
        <f ca="1">IFERROR(__xludf.dummyfunction("""COMPUTED_VALUE"""),3)</f>
        <v>3</v>
      </c>
      <c r="AB288" s="30">
        <f ca="1">IFERROR(__xludf.dummyfunction("""COMPUTED_VALUE"""),1)</f>
        <v>1</v>
      </c>
      <c r="AC288" s="30">
        <f ca="1">IFERROR(__xludf.dummyfunction("""COMPUTED_VALUE"""),8)</f>
        <v>8</v>
      </c>
      <c r="AD288" s="16"/>
      <c r="AE288" s="30"/>
      <c r="AF288" s="30"/>
      <c r="AG288" s="30"/>
    </row>
    <row r="289" spans="1:33" ht="13.8">
      <c r="A289" s="25"/>
      <c r="B289" s="26" t="s">
        <v>29</v>
      </c>
      <c r="C289" s="26" t="s">
        <v>310</v>
      </c>
      <c r="D289" s="26">
        <v>6</v>
      </c>
      <c r="E289" s="27" t="s">
        <v>723</v>
      </c>
      <c r="F289" s="28"/>
      <c r="G289" s="26" t="s">
        <v>730</v>
      </c>
      <c r="H289" s="28" t="str">
        <f ca="1">IFERROR(__xludf.dummyfunction("IFERROR(
  VLOOKUP(G289, IMPORTRANGE(""https://docs.google.com/spreadsheets/d/14deopnvwcrKtEGCKuYXdUHJbeLDZlkiSSWWT0g7x2pM/edit#gid=849066331"", ""LU List Maths (Filter)!A:B""), 2, FALSE),
  IFERROR(
    VLOOKUP(G289, IMPORTRANGE(""https://docs.google.com"&amp;"/spreadsheets/d/14deopnvwcrKtEGCKuYXdUHJbeLDZlkiSSWWT0g7x2pM/edit#gid=849066331"", ""LU List Science (Filter)!A:B""), 2, FALSE),
    ""Not Found""
  )
)
"),"Perimeter of regular shapes (regular polygons)")</f>
        <v>Perimeter of regular shapes (regular polygons)</v>
      </c>
      <c r="I289" s="28"/>
      <c r="J289" s="29" t="str">
        <f t="shared" si="24"/>
        <v>LU000325.001</v>
      </c>
      <c r="K289" s="29" t="str">
        <f ca="1">IFERROR(__xludf.dummyfunction("VLOOKUP(J289, IMPORTRANGE(""https://docs.google.com/spreadsheets/d/1yDAaXNsi4Mr5FtRQL4tbmSdIzhx6_m4wkOD7IG-k_eo/edit#gid=0"", ""Maths!M:N""), 2, FALSE)"),"Deduce the formula for the Perimeter of regular shapes (regular polygons). (equilateral triangle, square, pentagon, hexagon, heptagon, octagon)")</f>
        <v>Deduce the formula for the Perimeter of regular shapes (regular polygons). (equilateral triangle, square, pentagon, hexagon, heptagon, octagon)</v>
      </c>
      <c r="L289" s="29" t="str">
        <f t="shared" si="25"/>
        <v>LU000325.002</v>
      </c>
      <c r="M289" s="29" t="str">
        <f ca="1">IFERROR(__xludf.dummyfunction("VLOOKUP(L289, IMPORTRANGE(""https://docs.google.com/spreadsheets/d/1yDAaXNsi4Mr5FtRQL4tbmSdIzhx6_m4wkOD7IG-k_eo/edit#gid=0"", ""Maths!M:N""), 2, FALSE)"),"Calculate the Perimeter of regular shapes (regular polygons). (equilateral triangle, square, pentagon, hexagon, heptagon, octagon).")</f>
        <v>Calculate the Perimeter of regular shapes (regular polygons). (equilateral triangle, square, pentagon, hexagon, heptagon, octagon).</v>
      </c>
      <c r="N289" s="29" t="str">
        <f t="shared" si="26"/>
        <v>LU000325.003</v>
      </c>
      <c r="O289" s="29" t="str">
        <f ca="1">IFERROR(__xludf.dummyfunction("VLOOKUP(N289, IMPORTRANGE(""https://docs.google.com/spreadsheets/d/1yDAaXNsi4Mr5FtRQL4tbmSdIzhx6_m4wkOD7IG-k_eo/edit#gid=0"", ""Maths!M:N""), 2, FALSE)"),"Solve real-world problems involving the perimeters of regular polygons (equilateral triangle, square, pentagon, hexagon, heptagon, octagon).")</f>
        <v>Solve real-world problems involving the perimeters of regular polygons (equilateral triangle, square, pentagon, hexagon, heptagon, octagon).</v>
      </c>
      <c r="P289" s="29" t="str">
        <f t="shared" si="27"/>
        <v>LU000325.004</v>
      </c>
      <c r="Q289" s="29" t="str">
        <f ca="1">IFERROR(__xludf.dummyfunction("VLOOKUP(P289, IMPORTRANGE(""https://docs.google.com/spreadsheets/d/1yDAaXNsi4Mr5FtRQL4tbmSdIzhx6_m4wkOD7IG-k_eo/edit#gid=0"", ""Maths!M:N""), 2, FALSE)"),"Determine the unknown side length if the perimeter or related description of a polygon is given in context.")</f>
        <v>Determine the unknown side length if the perimeter or related description of a polygon is given in context.</v>
      </c>
      <c r="R289" s="29" t="str">
        <f t="shared" si="28"/>
        <v>LU000325.005</v>
      </c>
      <c r="S289" s="29" t="str">
        <f ca="1">IFERROR(__xludf.dummyfunction("VLOOKUP(R289, IMPORTRANGE(""https://docs.google.com/spreadsheets/d/1yDAaXNsi4Mr5FtRQL4tbmSdIzhx6_m4wkOD7IG-k_eo/edit#gid=0"", ""Maths!M:N""), 2, FALSE)"),"Evaluate the efficiency of using the perimeter formula for different regular shapes in practical contexts.")</f>
        <v>Evaluate the efficiency of using the perimeter formula for different regular shapes in practical contexts.</v>
      </c>
      <c r="T289" s="29" t="str">
        <f t="shared" si="29"/>
        <v>LU000325.006</v>
      </c>
      <c r="U289" s="29" t="str">
        <f ca="1">IFERROR(__xludf.dummyfunction("VLOOKUP(T289, IMPORTRANGE(""https://docs.google.com/spreadsheets/d/1yDAaXNsi4Mr5FtRQL4tbmSdIzhx6_m4wkOD7IG-k_eo/edit#gid=0"", ""Maths!M:N""), 2, FALSE)"),"Generate scenarios that require calculating the perimeters of various regular shapes.")</f>
        <v>Generate scenarios that require calculating the perimeters of various regular shapes.</v>
      </c>
      <c r="V289" s="16">
        <f ca="1">IFERROR(__xludf.dummyfunction("ArrayFormula(VLOOKUP(G289, IMPORTRANGE(""https://docs.google.com/spreadsheets/d/1p7R4vtkWt5VOBim4ltsDG9KTzSjrtKXsMtQGXPHyND0/edit#gid=795171502"", ""'Filter 30_05_2024'!A1:M2000""), {2, 3, 4, 5,6,7,8,9,10,11,12,13}, 0))"),4)</f>
        <v>4</v>
      </c>
      <c r="W289" s="16">
        <f ca="1">IFERROR(__xludf.dummyfunction("""COMPUTED_VALUE"""),6)</f>
        <v>6</v>
      </c>
      <c r="X289" s="16">
        <f ca="1">IFERROR(__xludf.dummyfunction("""COMPUTED_VALUE"""),2)</f>
        <v>2</v>
      </c>
      <c r="Y289" s="16">
        <f ca="1">IFERROR(__xludf.dummyfunction("""COMPUTED_VALUE"""),12)</f>
        <v>12</v>
      </c>
      <c r="Z289" s="16">
        <f ca="1">IFERROR(__xludf.dummyfunction("""COMPUTED_VALUE"""),4)</f>
        <v>4</v>
      </c>
      <c r="AA289" s="30">
        <f ca="1">IFERROR(__xludf.dummyfunction("""COMPUTED_VALUE"""),6)</f>
        <v>6</v>
      </c>
      <c r="AB289" s="30">
        <f ca="1">IFERROR(__xludf.dummyfunction("""COMPUTED_VALUE"""),1)</f>
        <v>1</v>
      </c>
      <c r="AC289" s="30">
        <f ca="1">IFERROR(__xludf.dummyfunction("""COMPUTED_VALUE"""),11)</f>
        <v>11</v>
      </c>
      <c r="AD289" s="16"/>
      <c r="AE289" s="30"/>
      <c r="AF289" s="30"/>
      <c r="AG289" s="30"/>
    </row>
    <row r="290" spans="1:33" ht="26.4">
      <c r="A290" s="25"/>
      <c r="B290" s="26" t="s">
        <v>29</v>
      </c>
      <c r="C290" s="26" t="s">
        <v>310</v>
      </c>
      <c r="D290" s="26">
        <v>6</v>
      </c>
      <c r="E290" s="27" t="s">
        <v>723</v>
      </c>
      <c r="F290" s="60" t="s">
        <v>731</v>
      </c>
      <c r="G290" s="33" t="s">
        <v>732</v>
      </c>
      <c r="H290" s="28" t="str">
        <f ca="1">IFERROR(__xludf.dummyfunction("IFERROR(
  VLOOKUP(G290, IMPORTRANGE(""https://docs.google.com/spreadsheets/d/14deopnvwcrKtEGCKuYXdUHJbeLDZlkiSSWWT0g7x2pM/edit#gid=849066331"", ""LU List Maths (Filter)!A:B""), 2, FALSE),
  IFERROR(
    VLOOKUP(G290, IMPORTRANGE(""https://docs.google.com"&amp;"/spreadsheets/d/14deopnvwcrKtEGCKuYXdUHJbeLDZlkiSSWWT0g7x2pM/edit#gid=849066331"", ""LU List Science (Filter)!A:B""), 2, FALSE),
    ""Not Found""
  )
)
"),"Shapes of different kinds with the same perimeter")</f>
        <v>Shapes of different kinds with the same perimeter</v>
      </c>
      <c r="I290" s="57"/>
      <c r="J290" s="29" t="str">
        <f t="shared" si="24"/>
        <v>LU001391.001</v>
      </c>
      <c r="K290" s="29" t="str">
        <f ca="1">IFERROR(__xludf.dummyfunction("VLOOKUP(J290, IMPORTRANGE(""https://docs.google.com/spreadsheets/d/1yDAaXNsi4Mr5FtRQL4tbmSdIzhx6_m4wkOD7IG-k_eo/edit#gid=0"", ""Maths!M:N""), 2, FALSE)"),"(LU001391.001); Default - Remember")</f>
        <v>(LU001391.001); Default - Remember</v>
      </c>
      <c r="L290" s="29" t="str">
        <f t="shared" si="25"/>
        <v>LU001391.002</v>
      </c>
      <c r="M290" s="29" t="str">
        <f ca="1">IFERROR(__xludf.dummyfunction("VLOOKUP(L290, IMPORTRANGE(""https://docs.google.com/spreadsheets/d/1yDAaXNsi4Mr5FtRQL4tbmSdIzhx6_m4wkOD7IG-k_eo/edit#gid=0"", ""Maths!M:N""), 2, FALSE)"),"(LU001391.002); Default - Understand")</f>
        <v>(LU001391.002); Default - Understand</v>
      </c>
      <c r="N290" s="29" t="str">
        <f t="shared" si="26"/>
        <v>LU001391.003</v>
      </c>
      <c r="O290" s="29" t="str">
        <f ca="1">IFERROR(__xludf.dummyfunction("VLOOKUP(N290, IMPORTRANGE(""https://docs.google.com/spreadsheets/d/1yDAaXNsi4Mr5FtRQL4tbmSdIzhx6_m4wkOD7IG-k_eo/edit#gid=0"", ""Maths!M:N""), 2, FALSE)"),"(LU001391.003); Default - Apply")</f>
        <v>(LU001391.003); Default - Apply</v>
      </c>
      <c r="P290" s="29" t="str">
        <f t="shared" si="27"/>
        <v>LU001391.004</v>
      </c>
      <c r="Q290" s="29" t="str">
        <f ca="1">IFERROR(__xludf.dummyfunction("VLOOKUP(P290, IMPORTRANGE(""https://docs.google.com/spreadsheets/d/1yDAaXNsi4Mr5FtRQL4tbmSdIzhx6_m4wkOD7IG-k_eo/edit#gid=0"", ""Maths!M:N""), 2, FALSE)"),"(LU001391.004); Default - Analyse")</f>
        <v>(LU001391.004); Default - Analyse</v>
      </c>
      <c r="R290" s="29" t="str">
        <f t="shared" si="28"/>
        <v>LU001391.005</v>
      </c>
      <c r="S290" s="29" t="str">
        <f ca="1">IFERROR(__xludf.dummyfunction("VLOOKUP(R290, IMPORTRANGE(""https://docs.google.com/spreadsheets/d/1yDAaXNsi4Mr5FtRQL4tbmSdIzhx6_m4wkOD7IG-k_eo/edit#gid=0"", ""Maths!M:N""), 2, FALSE)"),"(LU001391.005); Default - Evaluate")</f>
        <v>(LU001391.005); Default - Evaluate</v>
      </c>
      <c r="T290" s="29" t="str">
        <f t="shared" si="29"/>
        <v>LU001391.006</v>
      </c>
      <c r="U290" s="29" t="str">
        <f ca="1">IFERROR(__xludf.dummyfunction("VLOOKUP(T290, IMPORTRANGE(""https://docs.google.com/spreadsheets/d/1yDAaXNsi4Mr5FtRQL4tbmSdIzhx6_m4wkOD7IG-k_eo/edit#gid=0"", ""Maths!M:N""), 2, FALSE)"),"(LU001391.006); Default - Create")</f>
        <v>(LU001391.006); Default - Create</v>
      </c>
      <c r="V290" s="16" t="str">
        <f ca="1">IFERROR(__xludf.dummyfunction("ArrayFormula(VLOOKUP(G290, IMPORTRANGE(""https://docs.google.com/spreadsheets/d/1p7R4vtkWt5VOBim4ltsDG9KTzSjrtKXsMtQGXPHyND0/edit#gid=795171502"", ""'Filter 30_05_2024'!A1:M2000""), {2, 3, 4, 5,6,7,8,9,10,11,12,13}, 0))"),"#N/A")</f>
        <v>#N/A</v>
      </c>
      <c r="W290" s="16" t="str">
        <f ca="1">IFERROR(__xludf.dummyfunction("""COMPUTED_VALUE"""),"#N/A")</f>
        <v>#N/A</v>
      </c>
      <c r="X290" s="16" t="str">
        <f ca="1">IFERROR(__xludf.dummyfunction("""COMPUTED_VALUE"""),"#N/A")</f>
        <v>#N/A</v>
      </c>
      <c r="Y290" s="16" t="str">
        <f ca="1">IFERROR(__xludf.dummyfunction("""COMPUTED_VALUE"""),"#N/A")</f>
        <v>#N/A</v>
      </c>
      <c r="Z290" s="16" t="str">
        <f ca="1">IFERROR(__xludf.dummyfunction("""COMPUTED_VALUE"""),"#N/A")</f>
        <v>#N/A</v>
      </c>
      <c r="AA290" s="30" t="str">
        <f ca="1">IFERROR(__xludf.dummyfunction("""COMPUTED_VALUE"""),"#N/A")</f>
        <v>#N/A</v>
      </c>
      <c r="AB290" s="30" t="str">
        <f ca="1">IFERROR(__xludf.dummyfunction("""COMPUTED_VALUE"""),"#N/A")</f>
        <v>#N/A</v>
      </c>
      <c r="AC290" s="30" t="str">
        <f ca="1">IFERROR(__xludf.dummyfunction("""COMPUTED_VALUE"""),"#N/A")</f>
        <v>#N/A</v>
      </c>
      <c r="AD290" s="16" t="str">
        <f ca="1">IFERROR(__xludf.dummyfunction("""COMPUTED_VALUE"""),"#N/A")</f>
        <v>#N/A</v>
      </c>
      <c r="AE290" s="30" t="str">
        <f ca="1">IFERROR(__xludf.dummyfunction("""COMPUTED_VALUE"""),"#N/A")</f>
        <v>#N/A</v>
      </c>
      <c r="AF290" s="30" t="str">
        <f ca="1">IFERROR(__xludf.dummyfunction("""COMPUTED_VALUE"""),"#N/A")</f>
        <v>#N/A</v>
      </c>
      <c r="AG290" s="30" t="str">
        <f ca="1">IFERROR(__xludf.dummyfunction("""COMPUTED_VALUE"""),"#N/A")</f>
        <v>#N/A</v>
      </c>
    </row>
    <row r="291" spans="1:33" ht="13.8">
      <c r="A291" s="25"/>
      <c r="B291" s="26" t="s">
        <v>29</v>
      </c>
      <c r="C291" s="26" t="s">
        <v>310</v>
      </c>
      <c r="D291" s="26">
        <v>6</v>
      </c>
      <c r="E291" s="27" t="s">
        <v>723</v>
      </c>
      <c r="F291" s="28" t="s">
        <v>733</v>
      </c>
      <c r="G291" s="61" t="s">
        <v>734</v>
      </c>
      <c r="H291" s="28" t="str">
        <f ca="1">IFERROR(__xludf.dummyfunction("IFERROR(
  VLOOKUP(G291, IMPORTRANGE(""https://docs.google.com/spreadsheets/d/14deopnvwcrKtEGCKuYXdUHJbeLDZlkiSSWWT0g7x2pM/edit#gid=849066331"", ""LU List Maths (Filter)!A:B""), 2, FALSE),
  IFERROR(
    VLOOKUP(G291, IMPORTRANGE(""https://docs.google.com"&amp;"/spreadsheets/d/14deopnvwcrKtEGCKuYXdUHJbeLDZlkiSSWWT0g7x2pM/edit#gid=849066331"", ""LU List Science (Filter)!A:B""), 2, FALSE),
    ""Not Found""
  )
)
"),"Definition of area")</f>
        <v>Definition of area</v>
      </c>
      <c r="I291" s="57"/>
      <c r="J291" s="29" t="str">
        <f t="shared" si="24"/>
        <v>LU000030.001</v>
      </c>
      <c r="K291" s="29" t="str">
        <f ca="1">IFERROR(__xludf.dummyfunction("VLOOKUP(J291, IMPORTRANGE(""https://docs.google.com/spreadsheets/d/1yDAaXNsi4Mr5FtRQL4tbmSdIzhx6_m4wkOD7IG-k_eo/edit#gid=0"", ""Maths!M:N""), 2, FALSE)"),"Describe area.")</f>
        <v>Describe area.</v>
      </c>
      <c r="L291" s="29" t="str">
        <f t="shared" si="25"/>
        <v>LU000030.002</v>
      </c>
      <c r="M291" s="29" t="str">
        <f ca="1">IFERROR(__xludf.dummyfunction("VLOOKUP(L291, IMPORTRANGE(""https://docs.google.com/spreadsheets/d/1yDAaXNsi4Mr5FtRQL4tbmSdIzhx6_m4wkOD7IG-k_eo/edit#gid=0"", ""Maths!M:N""), 2, FALSE)"),"Identify the unit of area.")</f>
        <v>Identify the unit of area.</v>
      </c>
      <c r="N291" s="29" t="str">
        <f t="shared" si="26"/>
        <v>LU000030.003</v>
      </c>
      <c r="O291" s="29" t="str">
        <f ca="1">IFERROR(__xludf.dummyfunction("VLOOKUP(N291, IMPORTRANGE(""https://docs.google.com/spreadsheets/d/1yDAaXNsi4Mr5FtRQL4tbmSdIzhx6_m4wkOD7IG-k_eo/edit#gid=0"", ""Maths!M:N""), 2, FALSE)"),"List real-life situations where finding the area is required.")</f>
        <v>List real-life situations where finding the area is required.</v>
      </c>
      <c r="P291" s="29" t="str">
        <f t="shared" si="27"/>
        <v>LU000030.004</v>
      </c>
      <c r="Q291" s="29" t="str">
        <f ca="1">IFERROR(__xludf.dummyfunction("VLOOKUP(P291, IMPORTRANGE(""https://docs.google.com/spreadsheets/d/1yDAaXNsi4Mr5FtRQL4tbmSdIzhx6_m4wkOD7IG-k_eo/edit#gid=0"", ""Maths!M:N""), 2, FALSE)"),"Analyse the relative sizes of different closed figures by comparing their respective areas.")</f>
        <v>Analyse the relative sizes of different closed figures by comparing their respective areas.</v>
      </c>
      <c r="R291" s="29" t="str">
        <f t="shared" si="28"/>
        <v>LU000030.005</v>
      </c>
      <c r="S291" s="29" t="str">
        <f ca="1">IFERROR(__xludf.dummyfunction("VLOOKUP(R291, IMPORTRANGE(""https://docs.google.com/spreadsheets/d/1yDAaXNsi4Mr5FtRQL4tbmSdIzhx6_m4wkOD7IG-k_eo/edit#gid=0"", ""Maths!M:N""), 2, FALSE)"),"Evaluate the importance of understanding the area in practical scenarios.")</f>
        <v>Evaluate the importance of understanding the area in practical scenarios.</v>
      </c>
      <c r="T291" s="29" t="str">
        <f t="shared" si="29"/>
        <v>LU000030.006</v>
      </c>
      <c r="U291" s="29" t="str">
        <f ca="1">IFERROR(__xludf.dummyfunction("VLOOKUP(T291, IMPORTRANGE(""https://docs.google.com/spreadsheets/d/1yDAaXNsi4Mr5FtRQL4tbmSdIzhx6_m4wkOD7IG-k_eo/edit#gid=0"", ""Maths!M:N""), 2, FALSE)"),"Develop visual representations or diagrams illustrating the concept of area.")</f>
        <v>Develop visual representations or diagrams illustrating the concept of area.</v>
      </c>
      <c r="V291" s="16" t="str">
        <f ca="1">IFERROR(__xludf.dummyfunction("ArrayFormula(VLOOKUP(G291, IMPORTRANGE(""https://docs.google.com/spreadsheets/d/1p7R4vtkWt5VOBim4ltsDG9KTzSjrtKXsMtQGXPHyND0/edit#gid=795171502"", ""'Filter 30_05_2024'!A1:M2000""), {2, 3, 4, 5,6,7,8,9,10,11,12,13}, 0))"),"#N/A")</f>
        <v>#N/A</v>
      </c>
      <c r="W291" s="16" t="str">
        <f ca="1">IFERROR(__xludf.dummyfunction("""COMPUTED_VALUE"""),"#N/A")</f>
        <v>#N/A</v>
      </c>
      <c r="X291" s="16" t="str">
        <f ca="1">IFERROR(__xludf.dummyfunction("""COMPUTED_VALUE"""),"#N/A")</f>
        <v>#N/A</v>
      </c>
      <c r="Y291" s="16" t="str">
        <f ca="1">IFERROR(__xludf.dummyfunction("""COMPUTED_VALUE"""),"#N/A")</f>
        <v>#N/A</v>
      </c>
      <c r="Z291" s="16" t="str">
        <f ca="1">IFERROR(__xludf.dummyfunction("""COMPUTED_VALUE"""),"#N/A")</f>
        <v>#N/A</v>
      </c>
      <c r="AA291" s="30" t="str">
        <f ca="1">IFERROR(__xludf.dummyfunction("""COMPUTED_VALUE"""),"#N/A")</f>
        <v>#N/A</v>
      </c>
      <c r="AB291" s="30" t="str">
        <f ca="1">IFERROR(__xludf.dummyfunction("""COMPUTED_VALUE"""),"#N/A")</f>
        <v>#N/A</v>
      </c>
      <c r="AC291" s="30" t="str">
        <f ca="1">IFERROR(__xludf.dummyfunction("""COMPUTED_VALUE"""),"#N/A")</f>
        <v>#N/A</v>
      </c>
      <c r="AD291" s="16" t="str">
        <f ca="1">IFERROR(__xludf.dummyfunction("""COMPUTED_VALUE"""),"#N/A")</f>
        <v>#N/A</v>
      </c>
      <c r="AE291" s="30" t="str">
        <f ca="1">IFERROR(__xludf.dummyfunction("""COMPUTED_VALUE"""),"#N/A")</f>
        <v>#N/A</v>
      </c>
      <c r="AF291" s="30" t="str">
        <f ca="1">IFERROR(__xludf.dummyfunction("""COMPUTED_VALUE"""),"#N/A")</f>
        <v>#N/A</v>
      </c>
      <c r="AG291" s="30" t="str">
        <f ca="1">IFERROR(__xludf.dummyfunction("""COMPUTED_VALUE"""),"#N/A")</f>
        <v>#N/A</v>
      </c>
    </row>
    <row r="292" spans="1:33" ht="13.8">
      <c r="A292" s="25"/>
      <c r="B292" s="26" t="s">
        <v>29</v>
      </c>
      <c r="C292" s="26" t="s">
        <v>310</v>
      </c>
      <c r="D292" s="26">
        <v>6</v>
      </c>
      <c r="E292" s="27" t="s">
        <v>723</v>
      </c>
      <c r="F292" s="28" t="s">
        <v>735</v>
      </c>
      <c r="G292" s="26" t="s">
        <v>736</v>
      </c>
      <c r="H292" s="28" t="str">
        <f ca="1">IFERROR(__xludf.dummyfunction("IFERROR(
  VLOOKUP(G292, IMPORTRANGE(""https://docs.google.com/spreadsheets/d/14deopnvwcrKtEGCKuYXdUHJbeLDZlkiSSWWT0g7x2pM/edit#gid=849066331"", ""LU List Maths (Filter)!A:B""), 2, FALSE),
  IFERROR(
    VLOOKUP(G292, IMPORTRANGE(""https://docs.google.com"&amp;"/spreadsheets/d/14deopnvwcrKtEGCKuYXdUHJbeLDZlkiSSWWT0g7x2pM/edit#gid=849066331"", ""LU List Science (Filter)!A:B""), 2, FALSE),
    ""Not Found""
  )
)
"),"Area of a rectangle using formula")</f>
        <v>Area of a rectangle using formula</v>
      </c>
      <c r="I292" s="28"/>
      <c r="J292" s="29" t="str">
        <f t="shared" si="24"/>
        <v>LU000327.001</v>
      </c>
      <c r="K292" s="29" t="str">
        <f ca="1">IFERROR(__xludf.dummyfunction("VLOOKUP(J292, IMPORTRANGE(""https://docs.google.com/spreadsheets/d/1yDAaXNsi4Mr5FtRQL4tbmSdIzhx6_m4wkOD7IG-k_eo/edit#gid=0"", ""Maths!M:N""), 2, FALSE)"),"Recall the formula for calculating the area of a rectangle.")</f>
        <v>Recall the formula for calculating the area of a rectangle.</v>
      </c>
      <c r="L292" s="29" t="str">
        <f t="shared" si="25"/>
        <v>LU000327.002</v>
      </c>
      <c r="M292" s="29" t="str">
        <f ca="1">IFERROR(__xludf.dummyfunction("VLOOKUP(L292, IMPORTRANGE(""https://docs.google.com/spreadsheets/d/1yDAaXNsi4Mr5FtRQL4tbmSdIzhx6_m4wkOD7IG-k_eo/edit#gid=0"", ""Maths!M:N""), 2, FALSE)"),"Find the area of a rectangle using its formula.")</f>
        <v>Find the area of a rectangle using its formula.</v>
      </c>
      <c r="N292" s="29" t="str">
        <f t="shared" si="26"/>
        <v>LU000327.003</v>
      </c>
      <c r="O292" s="29" t="str">
        <f ca="1">IFERROR(__xludf.dummyfunction("VLOOKUP(N292, IMPORTRANGE(""https://docs.google.com/spreadsheets/d/1yDAaXNsi4Mr5FtRQL4tbmSdIzhx6_m4wkOD7IG-k_eo/edit#gid=0"", ""Maths!M:N""), 2, FALSE)"),"Solve word problems involving the area of a rectangle.")</f>
        <v>Solve word problems involving the area of a rectangle.</v>
      </c>
      <c r="P292" s="29" t="str">
        <f t="shared" si="27"/>
        <v>LU000327.004</v>
      </c>
      <c r="Q292" s="29" t="str">
        <f ca="1">IFERROR(__xludf.dummyfunction("VLOOKUP(P292, IMPORTRANGE(""https://docs.google.com/spreadsheets/d/1yDAaXNsi4Mr5FtRQL4tbmSdIzhx6_m4wkOD7IG-k_eo/edit#gid=0"", ""Maths!M:N""), 2, FALSE)"),"Determine the unknown side if the area and one side of the rectangle is given.")</f>
        <v>Determine the unknown side if the area and one side of the rectangle is given.</v>
      </c>
      <c r="R292" s="29" t="str">
        <f t="shared" si="28"/>
        <v>LU000327.005</v>
      </c>
      <c r="S292" s="29" t="str">
        <f ca="1">IFERROR(__xludf.dummyfunction("VLOOKUP(R292, IMPORTRANGE(""https://docs.google.com/spreadsheets/d/1yDAaXNsi4Mr5FtRQL4tbmSdIzhx6_m4wkOD7IG-k_eo/edit#gid=0"", ""Maths!M:N""), 2, FALSE)"),"Find the rectangle with the smallest perimeter by comparing rectangles with the same area but different perimeters.")</f>
        <v>Find the rectangle with the smallest perimeter by comparing rectangles with the same area but different perimeters.</v>
      </c>
      <c r="T292" s="29" t="str">
        <f t="shared" si="29"/>
        <v>LU000327.006</v>
      </c>
      <c r="U292" s="29" t="str">
        <f ca="1">IFERROR(__xludf.dummyfunction("VLOOKUP(T292, IMPORTRANGE(""https://docs.google.com/spreadsheets/d/1yDAaXNsi4Mr5FtRQL4tbmSdIzhx6_m4wkOD7IG-k_eo/edit#gid=0"", ""Maths!M:N""), 2, FALSE)"),"#N/A")</f>
        <v>#N/A</v>
      </c>
      <c r="V292" s="16">
        <f ca="1">IFERROR(__xludf.dummyfunction("ArrayFormula(VLOOKUP(G292, IMPORTRANGE(""https://docs.google.com/spreadsheets/d/1p7R4vtkWt5VOBim4ltsDG9KTzSjrtKXsMtQGXPHyND0/edit#gid=795171502"", ""'Filter 30_05_2024'!A1:M2000""), {2, 3, 4, 5,6,7,8,9,10,11,12,13}, 0))"),7)</f>
        <v>7</v>
      </c>
      <c r="W292" s="16">
        <f ca="1">IFERROR(__xludf.dummyfunction("""COMPUTED_VALUE"""),12)</f>
        <v>12</v>
      </c>
      <c r="X292" s="16">
        <f ca="1">IFERROR(__xludf.dummyfunction("""COMPUTED_VALUE"""),3)</f>
        <v>3</v>
      </c>
      <c r="Y292" s="16">
        <f ca="1">IFERROR(__xludf.dummyfunction("""COMPUTED_VALUE"""),22)</f>
        <v>22</v>
      </c>
      <c r="Z292" s="16">
        <f ca="1">IFERROR(__xludf.dummyfunction("""COMPUTED_VALUE"""),9)</f>
        <v>9</v>
      </c>
      <c r="AA292" s="30">
        <f ca="1">IFERROR(__xludf.dummyfunction("""COMPUTED_VALUE"""),4)</f>
        <v>4</v>
      </c>
      <c r="AB292" s="30">
        <f ca="1">IFERROR(__xludf.dummyfunction("""COMPUTED_VALUE"""),1)</f>
        <v>1</v>
      </c>
      <c r="AC292" s="30">
        <f ca="1">IFERROR(__xludf.dummyfunction("""COMPUTED_VALUE"""),14)</f>
        <v>14</v>
      </c>
      <c r="AD292" s="16"/>
      <c r="AE292" s="30"/>
      <c r="AF292" s="30"/>
      <c r="AG292" s="30"/>
    </row>
    <row r="293" spans="1:33" ht="13.8">
      <c r="A293" s="25"/>
      <c r="B293" s="26" t="s">
        <v>29</v>
      </c>
      <c r="C293" s="26" t="s">
        <v>310</v>
      </c>
      <c r="D293" s="26">
        <v>6</v>
      </c>
      <c r="E293" s="27" t="s">
        <v>723</v>
      </c>
      <c r="F293" s="28"/>
      <c r="G293" s="26" t="s">
        <v>737</v>
      </c>
      <c r="H293" s="28" t="str">
        <f ca="1">IFERROR(__xludf.dummyfunction("IFERROR(
  VLOOKUP(G293, IMPORTRANGE(""https://docs.google.com/spreadsheets/d/14deopnvwcrKtEGCKuYXdUHJbeLDZlkiSSWWT0g7x2pM/edit#gid=849066331"", ""LU List Maths (Filter)!A:B""), 2, FALSE),
  IFERROR(
    VLOOKUP(G293, IMPORTRANGE(""https://docs.google.com"&amp;"/spreadsheets/d/14deopnvwcrKtEGCKuYXdUHJbeLDZlkiSSWWT0g7x2pM/edit#gid=849066331"", ""LU List Science (Filter)!A:B""), 2, FALSE),
    ""Not Found""
  )
)
"),"Area of a square using formula")</f>
        <v>Area of a square using formula</v>
      </c>
      <c r="I293" s="28"/>
      <c r="J293" s="29" t="str">
        <f t="shared" si="24"/>
        <v>LU000328.001</v>
      </c>
      <c r="K293" s="29" t="str">
        <f ca="1">IFERROR(__xludf.dummyfunction("VLOOKUP(J293, IMPORTRANGE(""https://docs.google.com/spreadsheets/d/1yDAaXNsi4Mr5FtRQL4tbmSdIzhx6_m4wkOD7IG-k_eo/edit#gid=0"", ""Maths!M:N""), 2, FALSE)"),"Recall the formula for calculating the area of a square.")</f>
        <v>Recall the formula for calculating the area of a square.</v>
      </c>
      <c r="L293" s="29" t="str">
        <f t="shared" si="25"/>
        <v>LU000328.002</v>
      </c>
      <c r="M293" s="29" t="str">
        <f ca="1">IFERROR(__xludf.dummyfunction("VLOOKUP(L293, IMPORTRANGE(""https://docs.google.com/spreadsheets/d/1yDAaXNsi4Mr5FtRQL4tbmSdIzhx6_m4wkOD7IG-k_eo/edit#gid=0"", ""Maths!M:N""), 2, FALSE)"),"Find the area of a square.")</f>
        <v>Find the area of a square.</v>
      </c>
      <c r="N293" s="29" t="str">
        <f t="shared" si="26"/>
        <v>LU000328.003</v>
      </c>
      <c r="O293" s="29" t="str">
        <f ca="1">IFERROR(__xludf.dummyfunction("VLOOKUP(N293, IMPORTRANGE(""https://docs.google.com/spreadsheets/d/1yDAaXNsi4Mr5FtRQL4tbmSdIzhx6_m4wkOD7IG-k_eo/edit#gid=0"", ""Maths!M:N""), 2, FALSE)"),"Solve word problems involving the area of a square.")</f>
        <v>Solve word problems involving the area of a square.</v>
      </c>
      <c r="P293" s="29" t="str">
        <f t="shared" si="27"/>
        <v>LU000328.004</v>
      </c>
      <c r="Q293" s="29" t="str">
        <f ca="1">IFERROR(__xludf.dummyfunction("VLOOKUP(P293, IMPORTRANGE(""https://docs.google.com/spreadsheets/d/1yDAaXNsi4Mr5FtRQL4tbmSdIzhx6_m4wkOD7IG-k_eo/edit#gid=0"", ""Maths!M:N""), 2, FALSE)"),"Determine the unknown side if the area of the square is given.")</f>
        <v>Determine the unknown side if the area of the square is given.</v>
      </c>
      <c r="R293" s="29" t="str">
        <f t="shared" si="28"/>
        <v>LU000328.005</v>
      </c>
      <c r="S293" s="29" t="str">
        <f ca="1">IFERROR(__xludf.dummyfunction("VLOOKUP(R293, IMPORTRANGE(""https://docs.google.com/spreadsheets/d/1yDAaXNsi4Mr5FtRQL4tbmSdIzhx6_m4wkOD7IG-k_eo/edit#gid=0"", ""Maths!M:N""), 2, FALSE)"),"Calculate the area of the given figures by the splitting the figures into squares and/or rectangles.")</f>
        <v>Calculate the area of the given figures by the splitting the figures into squares and/or rectangles.</v>
      </c>
      <c r="T293" s="29" t="str">
        <f t="shared" si="29"/>
        <v>LU000328.006</v>
      </c>
      <c r="U293" s="29" t="str">
        <f ca="1">IFERROR(__xludf.dummyfunction("VLOOKUP(T293, IMPORTRANGE(""https://docs.google.com/spreadsheets/d/1yDAaXNsi4Mr5FtRQL4tbmSdIzhx6_m4wkOD7IG-k_eo/edit#gid=0"", ""Maths!M:N""), 2, FALSE)"),"#N/A")</f>
        <v>#N/A</v>
      </c>
      <c r="V293" s="16">
        <f ca="1">IFERROR(__xludf.dummyfunction("ArrayFormula(VLOOKUP(G293, IMPORTRANGE(""https://docs.google.com/spreadsheets/d/1p7R4vtkWt5VOBim4ltsDG9KTzSjrtKXsMtQGXPHyND0/edit#gid=795171502"", ""'Filter 30_05_2024'!A1:M2000""), {2, 3, 4, 5,6,7,8,9,10,11,12,13}, 0))"),13)</f>
        <v>13</v>
      </c>
      <c r="W293" s="16">
        <f ca="1">IFERROR(__xludf.dummyfunction("""COMPUTED_VALUE"""),9)</f>
        <v>9</v>
      </c>
      <c r="X293" s="16">
        <f ca="1">IFERROR(__xludf.dummyfunction("""COMPUTED_VALUE"""),2)</f>
        <v>2</v>
      </c>
      <c r="Y293" s="16">
        <f ca="1">IFERROR(__xludf.dummyfunction("""COMPUTED_VALUE"""),24)</f>
        <v>24</v>
      </c>
      <c r="Z293" s="16">
        <f ca="1">IFERROR(__xludf.dummyfunction("""COMPUTED_VALUE"""),9)</f>
        <v>9</v>
      </c>
      <c r="AA293" s="30">
        <f ca="1">IFERROR(__xludf.dummyfunction("""COMPUTED_VALUE"""),4)</f>
        <v>4</v>
      </c>
      <c r="AB293" s="30">
        <f ca="1">IFERROR(__xludf.dummyfunction("""COMPUTED_VALUE"""),1)</f>
        <v>1</v>
      </c>
      <c r="AC293" s="30">
        <f ca="1">IFERROR(__xludf.dummyfunction("""COMPUTED_VALUE"""),14)</f>
        <v>14</v>
      </c>
      <c r="AD293" s="16"/>
      <c r="AE293" s="30"/>
      <c r="AF293" s="30"/>
      <c r="AG293" s="30"/>
    </row>
    <row r="294" spans="1:33" ht="26.4">
      <c r="A294" s="25"/>
      <c r="B294" s="26" t="s">
        <v>29</v>
      </c>
      <c r="C294" s="26" t="s">
        <v>310</v>
      </c>
      <c r="D294" s="26">
        <v>6</v>
      </c>
      <c r="E294" s="27" t="s">
        <v>723</v>
      </c>
      <c r="F294" s="28" t="s">
        <v>738</v>
      </c>
      <c r="G294" s="39" t="s">
        <v>739</v>
      </c>
      <c r="H294" s="28" t="str">
        <f ca="1">IFERROR(__xludf.dummyfunction("IFERROR(
  VLOOKUP(G294, IMPORTRANGE(""https://docs.google.com/spreadsheets/d/14deopnvwcrKtEGCKuYXdUHJbeLDZlkiSSWWT0g7x2pM/edit#gid=849066331"", ""LU List Maths (Filter)!A:B""), 2, FALSE),
  IFERROR(
    VLOOKUP(G294, IMPORTRANGE(""https://docs.google.com"&amp;"/spreadsheets/d/14deopnvwcrKtEGCKuYXdUHJbeLDZlkiSSWWT0g7x2pM/edit#gid=849066331"", ""LU List Science (Filter)!A:B""), 2, FALSE),
    ""Not Found""
  )
)
"),"Area of a composite shape (made of more than one basic geometrical shapes)")</f>
        <v>Area of a composite shape (made of more than one basic geometrical shapes)</v>
      </c>
      <c r="I294" s="28"/>
      <c r="J294" s="29" t="str">
        <f t="shared" si="24"/>
        <v>LU000926.001</v>
      </c>
      <c r="K294" s="29" t="str">
        <f ca="1">IFERROR(__xludf.dummyfunction("VLOOKUP(J294, IMPORTRANGE(""https://docs.google.com/spreadsheets/d/1yDAaXNsi4Mr5FtRQL4tbmSdIzhx6_m4wkOD7IG-k_eo/edit#gid=0"", ""Maths!M:N""), 2, FALSE)"),"Recall the method for finding the area of composite shapes made from basic geometrical shapes.")</f>
        <v>Recall the method for finding the area of composite shapes made from basic geometrical shapes.</v>
      </c>
      <c r="L294" s="29" t="str">
        <f t="shared" si="25"/>
        <v>LU000926.002</v>
      </c>
      <c r="M294" s="29" t="str">
        <f ca="1">IFERROR(__xludf.dummyfunction("VLOOKUP(L294, IMPORTRANGE(""https://docs.google.com/spreadsheets/d/1yDAaXNsi4Mr5FtRQL4tbmSdIzhx6_m4wkOD7IG-k_eo/edit#gid=0"", ""Maths!M:N""), 2, FALSE)"),"Explain the concept of composite shapes and how they are formed by combining basic geometrical shapes.")</f>
        <v>Explain the concept of composite shapes and how they are formed by combining basic geometrical shapes.</v>
      </c>
      <c r="N294" s="29" t="str">
        <f t="shared" si="26"/>
        <v>LU000926.003</v>
      </c>
      <c r="O294" s="29" t="str">
        <f ca="1">IFERROR(__xludf.dummyfunction("VLOOKUP(N294, IMPORTRANGE(""https://docs.google.com/spreadsheets/d/1yDAaXNsi4Mr5FtRQL4tbmSdIzhx6_m4wkOD7IG-k_eo/edit#gid=0"", ""Maths!M:N""), 2, FALSE)"),"Apply the appropriate area formulas for individual shapes to calculate the total area of a composite shape.")</f>
        <v>Apply the appropriate area formulas for individual shapes to calculate the total area of a composite shape.</v>
      </c>
      <c r="P294" s="29" t="str">
        <f t="shared" si="27"/>
        <v>LU000926.004</v>
      </c>
      <c r="Q294" s="29" t="str">
        <f ca="1">IFERROR(__xludf.dummyfunction("VLOOKUP(P294, IMPORTRANGE(""https://docs.google.com/spreadsheets/d/1yDAaXNsi4Mr5FtRQL4tbmSdIzhx6_m4wkOD7IG-k_eo/edit#gid=0"", ""Maths!M:N""), 2, FALSE)"),"Analyze the decomposition of a composite shape into basic geometrical shapes for area calculation.")</f>
        <v>Analyze the decomposition of a composite shape into basic geometrical shapes for area calculation.</v>
      </c>
      <c r="R294" s="29" t="str">
        <f t="shared" si="28"/>
        <v>LU000926.005</v>
      </c>
      <c r="S294" s="29" t="str">
        <f ca="1">IFERROR(__xludf.dummyfunction("VLOOKUP(R294, IMPORTRANGE(""https://docs.google.com/spreadsheets/d/1yDAaXNsi4Mr5FtRQL4tbmSdIzhx6_m4wkOD7IG-k_eo/edit#gid=0"", ""Maths!M:N""), 2, FALSE)"),"Evaluate the accuracy of solutions to area problems involving composite shapes.")</f>
        <v>Evaluate the accuracy of solutions to area problems involving composite shapes.</v>
      </c>
      <c r="T294" s="29" t="str">
        <f t="shared" si="29"/>
        <v>LU000926.006</v>
      </c>
      <c r="U294" s="29" t="str">
        <f ca="1">IFERROR(__xludf.dummyfunction("VLOOKUP(T294, IMPORTRANGE(""https://docs.google.com/spreadsheets/d/1yDAaXNsi4Mr5FtRQL4tbmSdIzhx6_m4wkOD7IG-k_eo/edit#gid=0"", ""Maths!M:N""), 2, FALSE)"),"Create a real-world scenario where finding the area of composite shapes is crucial")</f>
        <v>Create a real-world scenario where finding the area of composite shapes is crucial</v>
      </c>
      <c r="V294" s="16">
        <f ca="1">IFERROR(__xludf.dummyfunction("ArrayFormula(VLOOKUP(G294, IMPORTRANGE(""https://docs.google.com/spreadsheets/d/1p7R4vtkWt5VOBim4ltsDG9KTzSjrtKXsMtQGXPHyND0/edit#gid=795171502"", ""'Filter 30_05_2024'!A1:M2000""), {2, 3, 4, 5,6,7,8,9,10,11,12,13}, 0))"),5)</f>
        <v>5</v>
      </c>
      <c r="W294" s="16">
        <f ca="1">IFERROR(__xludf.dummyfunction("""COMPUTED_VALUE"""),6)</f>
        <v>6</v>
      </c>
      <c r="X294" s="16">
        <f ca="1">IFERROR(__xludf.dummyfunction("""COMPUTED_VALUE"""),3)</f>
        <v>3</v>
      </c>
      <c r="Y294" s="16">
        <f ca="1">IFERROR(__xludf.dummyfunction("""COMPUTED_VALUE"""),14)</f>
        <v>14</v>
      </c>
      <c r="Z294" s="16">
        <f ca="1">IFERROR(__xludf.dummyfunction("""COMPUTED_VALUE"""),4)</f>
        <v>4</v>
      </c>
      <c r="AA294" s="30">
        <f ca="1">IFERROR(__xludf.dummyfunction("""COMPUTED_VALUE"""),3)</f>
        <v>3</v>
      </c>
      <c r="AB294" s="30">
        <f ca="1">IFERROR(__xludf.dummyfunction("""COMPUTED_VALUE"""),1)</f>
        <v>1</v>
      </c>
      <c r="AC294" s="30">
        <f ca="1">IFERROR(__xludf.dummyfunction("""COMPUTED_VALUE"""),8)</f>
        <v>8</v>
      </c>
      <c r="AD294" s="16"/>
      <c r="AE294" s="30"/>
      <c r="AF294" s="30"/>
      <c r="AG294" s="30"/>
    </row>
    <row r="295" spans="1:33" ht="13.8">
      <c r="A295" s="25"/>
      <c r="B295" s="26" t="s">
        <v>29</v>
      </c>
      <c r="C295" s="26" t="s">
        <v>310</v>
      </c>
      <c r="D295" s="26">
        <v>6</v>
      </c>
      <c r="E295" s="27" t="s">
        <v>740</v>
      </c>
      <c r="F295" s="28" t="s">
        <v>741</v>
      </c>
      <c r="G295" s="26" t="s">
        <v>742</v>
      </c>
      <c r="H295" s="28" t="str">
        <f ca="1">IFERROR(__xludf.dummyfunction("IFERROR(
  VLOOKUP(G295, IMPORTRANGE(""https://docs.google.com/spreadsheets/d/14deopnvwcrKtEGCKuYXdUHJbeLDZlkiSSWWT0g7x2pM/edit#gid=849066331"", ""LU List Maths (Filter)!A:B""), 2, FALSE),
  IFERROR(
    VLOOKUP(G295, IMPORTRANGE(""https://docs.google.com"&amp;"/spreadsheets/d/14deopnvwcrKtEGCKuYXdUHJbeLDZlkiSSWWT0g7x2pM/edit#gid=849066331"", ""LU List Science (Filter)!A:B""), 2, FALSE),
    ""Not Found""
  )
)
"),"Definition of data and information")</f>
        <v>Definition of data and information</v>
      </c>
      <c r="I295" s="59"/>
      <c r="J295" s="29" t="str">
        <f t="shared" si="24"/>
        <v>LU000308.001</v>
      </c>
      <c r="K295" s="29" t="str">
        <f ca="1">IFERROR(__xludf.dummyfunction("VLOOKUP(J295, IMPORTRANGE(""https://docs.google.com/spreadsheets/d/1yDAaXNsi4Mr5FtRQL4tbmSdIzhx6_m4wkOD7IG-k_eo/edit#gid=0"", ""Maths!M:N""), 2, FALSE)"),"State the definition of data and information and differentiate between them by highlighting their distinct characteristics.")</f>
        <v>State the definition of data and information and differentiate between them by highlighting their distinct characteristics.</v>
      </c>
      <c r="L295" s="29" t="str">
        <f t="shared" si="25"/>
        <v>LU000308.002</v>
      </c>
      <c r="M295" s="29" t="str">
        <f ca="1">IFERROR(__xludf.dummyfunction("VLOOKUP(L295, IMPORTRANGE(""https://docs.google.com/spreadsheets/d/1yDAaXNsi4Mr5FtRQL4tbmSdIzhx6_m4wkOD7IG-k_eo/edit#gid=0"", ""Maths!M:N""), 2, FALSE)"),"Describe the concept of data as raw facts or observations, and explain how information is derived from processed data with context and meaning.")</f>
        <v>Describe the concept of data as raw facts or observations, and explain how information is derived from processed data with context and meaning.</v>
      </c>
      <c r="N295" s="29" t="str">
        <f t="shared" si="26"/>
        <v>LU000308.003</v>
      </c>
      <c r="O295" s="29" t="str">
        <f ca="1">IFERROR(__xludf.dummyfunction("VLOOKUP(N295, IMPORTRANGE(""https://docs.google.com/spreadsheets/d/1yDAaXNsi4Mr5FtRQL4tbmSdIzhx6_m4wkOD7IG-k_eo/edit#gid=0"", ""Maths!M:N""), 2, FALSE)"),"Apply the understanding of data and information to categorize given examples into the appropriate category")</f>
        <v>Apply the understanding of data and information to categorize given examples into the appropriate category</v>
      </c>
      <c r="P295" s="29" t="str">
        <f t="shared" si="27"/>
        <v>LU000308.004</v>
      </c>
      <c r="Q295" s="29" t="str">
        <f ca="1">IFERROR(__xludf.dummyfunction("VLOOKUP(P295, IMPORTRANGE(""https://docs.google.com/spreadsheets/d/1yDAaXNsi4Mr5FtRQL4tbmSdIzhx6_m4wkOD7IG-k_eo/edit#gid=0"", ""Maths!M:N""), 2, FALSE)"),"Examine how data is transformed into meaningful information through processing and explain the role of context in this transformation.")</f>
        <v>Examine how data is transformed into meaningful information through processing and explain the role of context in this transformation.</v>
      </c>
      <c r="R295" s="29" t="str">
        <f t="shared" si="28"/>
        <v>LU000308.005</v>
      </c>
      <c r="S295" s="29" t="str">
        <f ca="1">IFERROR(__xludf.dummyfunction("VLOOKUP(R295, IMPORTRANGE(""https://docs.google.com/spreadsheets/d/1yDAaXNsi4Mr5FtRQL4tbmSdIzhx6_m4wkOD7IG-k_eo/edit#gid=0"", ""Maths!M:N""), 2, FALSE)"),"Evaluate the accuracy of classifications of examples as data or information, assessing the correctness of the categorizations")</f>
        <v>Evaluate the accuracy of classifications of examples as data or information, assessing the correctness of the categorizations</v>
      </c>
      <c r="T295" s="29" t="str">
        <f t="shared" si="29"/>
        <v>LU000308.006</v>
      </c>
      <c r="U295" s="29" t="str">
        <f ca="1">IFERROR(__xludf.dummyfunction("VLOOKUP(T295, IMPORTRANGE(""https://docs.google.com/spreadsheets/d/1yDAaXNsi4Mr5FtRQL4tbmSdIzhx6_m4wkOD7IG-k_eo/edit#gid=0"", ""Maths!M:N""), 2, FALSE)"),"Create scenarios and identify and explain instances of data and information in each scenario, highlighting the key differences.")</f>
        <v>Create scenarios and identify and explain instances of data and information in each scenario, highlighting the key differences.</v>
      </c>
      <c r="V295" s="16">
        <f ca="1">IFERROR(__xludf.dummyfunction("ArrayFormula(VLOOKUP(G295, IMPORTRANGE(""https://docs.google.com/spreadsheets/d/1p7R4vtkWt5VOBim4ltsDG9KTzSjrtKXsMtQGXPHyND0/edit#gid=795171502"", ""'Filter 30_05_2024'!A1:M2000""), {2, 3, 4, 5,6,7,8,9,10,11,12,13}, 0))"),16)</f>
        <v>16</v>
      </c>
      <c r="W295" s="16">
        <f ca="1">IFERROR(__xludf.dummyfunction("""COMPUTED_VALUE"""),6)</f>
        <v>6</v>
      </c>
      <c r="X295" s="16">
        <f ca="1">IFERROR(__xludf.dummyfunction("""COMPUTED_VALUE"""),2)</f>
        <v>2</v>
      </c>
      <c r="Y295" s="16">
        <f ca="1">IFERROR(__xludf.dummyfunction("""COMPUTED_VALUE"""),24)</f>
        <v>24</v>
      </c>
      <c r="Z295" s="16">
        <f ca="1">IFERROR(__xludf.dummyfunction("""COMPUTED_VALUE"""),5)</f>
        <v>5</v>
      </c>
      <c r="AA295" s="30">
        <f ca="1">IFERROR(__xludf.dummyfunction("""COMPUTED_VALUE"""),3)</f>
        <v>3</v>
      </c>
      <c r="AB295" s="30">
        <f ca="1">IFERROR(__xludf.dummyfunction("""COMPUTED_VALUE"""),1)</f>
        <v>1</v>
      </c>
      <c r="AC295" s="30">
        <f ca="1">IFERROR(__xludf.dummyfunction("""COMPUTED_VALUE"""),9)</f>
        <v>9</v>
      </c>
      <c r="AD295" s="16"/>
      <c r="AE295" s="30"/>
      <c r="AF295" s="30"/>
      <c r="AG295" s="30"/>
    </row>
    <row r="296" spans="1:33" ht="13.8">
      <c r="A296" s="25"/>
      <c r="B296" s="26" t="s">
        <v>29</v>
      </c>
      <c r="C296" s="26" t="s">
        <v>310</v>
      </c>
      <c r="D296" s="26">
        <v>6</v>
      </c>
      <c r="E296" s="27" t="s">
        <v>740</v>
      </c>
      <c r="F296" s="28"/>
      <c r="G296" s="26" t="s">
        <v>743</v>
      </c>
      <c r="H296" s="28" t="str">
        <f ca="1">IFERROR(__xludf.dummyfunction("IFERROR(
  VLOOKUP(G296, IMPORTRANGE(""https://docs.google.com/spreadsheets/d/14deopnvwcrKtEGCKuYXdUHJbeLDZlkiSSWWT0g7x2pM/edit#gid=849066331"", ""LU List Maths (Filter)!A:B""), 2, FALSE),
  IFERROR(
    VLOOKUP(G296, IMPORTRANGE(""https://docs.google.com"&amp;"/spreadsheets/d/14deopnvwcrKtEGCKuYXdUHJbeLDZlkiSSWWT0g7x2pM/edit#gid=849066331"", ""LU List Science (Filter)!A:B""), 2, FALSE),
    ""Not Found""
  )
)
"),"Organisation of data")</f>
        <v>Organisation of data</v>
      </c>
      <c r="I296" s="59"/>
      <c r="J296" s="29" t="str">
        <f t="shared" si="24"/>
        <v>LU000309.001</v>
      </c>
      <c r="K296" s="29" t="str">
        <f ca="1">IFERROR(__xludf.dummyfunction("VLOOKUP(J296, IMPORTRANGE(""https://docs.google.com/spreadsheets/d/1yDAaXNsi4Mr5FtRQL4tbmSdIzhx6_m4wkOD7IG-k_eo/edit#gid=0"", ""Maths!M:N""), 2, FALSE)"),"State the methods for organizing data (like including tables, charts, and graphs) and explain their role in visually representing information.")</f>
        <v>State the methods for organizing data (like including tables, charts, and graphs) and explain their role in visually representing information.</v>
      </c>
      <c r="L296" s="29" t="str">
        <f t="shared" si="25"/>
        <v>LU000309.002</v>
      </c>
      <c r="M296" s="29" t="str">
        <f ca="1">IFERROR(__xludf.dummyfunction("VLOOKUP(L296, IMPORTRANGE(""https://docs.google.com/spreadsheets/d/1yDAaXNsi4Mr5FtRQL4tbmSdIzhx6_m4wkOD7IG-k_eo/edit#gid=0"", ""Maths!M:N""), 2, FALSE)"),"Describe how organizing data enhances comprehension by visually highlighting patterns and relationships in the information.")</f>
        <v>Describe how organizing data enhances comprehension by visually highlighting patterns and relationships in the information.</v>
      </c>
      <c r="N296" s="29" t="str">
        <f t="shared" si="26"/>
        <v>LU000309.003</v>
      </c>
      <c r="O296" s="29" t="str">
        <f ca="1">IFERROR(__xludf.dummyfunction("VLOOKUP(N296, IMPORTRANGE(""https://docs.google.com/spreadsheets/d/1yDAaXNsi4Mr5FtRQL4tbmSdIzhx6_m4wkOD7IG-k_eo/edit#gid=0"", ""Maths!M:N""), 2, FALSE)"),"Apply the understanding of data organisation by selecting an appropriate method to present a given set of data in a clear and organised manner.")</f>
        <v>Apply the understanding of data organisation by selecting an appropriate method to present a given set of data in a clear and organised manner.</v>
      </c>
      <c r="P296" s="29" t="str">
        <f t="shared" si="27"/>
        <v>LU000309.004</v>
      </c>
      <c r="Q296" s="29" t="str">
        <f ca="1">IFERROR(__xludf.dummyfunction("VLOOKUP(P296, IMPORTRANGE(""https://docs.google.com/spreadsheets/d/1yDAaXNsi4Mr5FtRQL4tbmSdIzhx6_m4wkOD7IG-k_eo/edit#gid=0"", ""Maths!M:N""), 2, FALSE)"),"Analyse the effectiveness of different data organisation methods for specific types of data, discussing how each method highlights different aspects.")</f>
        <v>Analyse the effectiveness of different data organisation methods for specific types of data, discussing how each method highlights different aspects.</v>
      </c>
      <c r="R296" s="29" t="str">
        <f t="shared" si="28"/>
        <v>LU000309.005</v>
      </c>
      <c r="S296" s="29" t="str">
        <f ca="1">IFERROR(__xludf.dummyfunction("VLOOKUP(R296, IMPORTRANGE(""https://docs.google.com/spreadsheets/d/1yDAaXNsi4Mr5FtRQL4tbmSdIzhx6_m4wkOD7IG-k_eo/edit#gid=0"", ""Maths!M:N""), 2, FALSE)"),"Evaluate the appropriateness of data organisation methods for specific datasets, assessing the effectiveness of the chosen methods.")</f>
        <v>Evaluate the appropriateness of data organisation methods for specific datasets, assessing the effectiveness of the chosen methods.</v>
      </c>
      <c r="T296" s="29" t="str">
        <f t="shared" si="29"/>
        <v>LU000309.006</v>
      </c>
      <c r="U296" s="29" t="str">
        <f ca="1">IFERROR(__xludf.dummyfunction("VLOOKUP(T296, IMPORTRANGE(""https://docs.google.com/spreadsheets/d/1yDAaXNsi4Mr5FtRQL4tbmSdIzhx6_m4wkOD7IG-k_eo/edit#gid=0"", ""Maths!M:N""), 2, FALSE)"),"Create a set of data and select an appropriate method for organising it, justifying the choice based on the characteristics of the data.")</f>
        <v>Create a set of data and select an appropriate method for organising it, justifying the choice based on the characteristics of the data.</v>
      </c>
      <c r="V296" s="16">
        <f ca="1">IFERROR(__xludf.dummyfunction("ArrayFormula(VLOOKUP(G296, IMPORTRANGE(""https://docs.google.com/spreadsheets/d/1p7R4vtkWt5VOBim4ltsDG9KTzSjrtKXsMtQGXPHyND0/edit#gid=795171502"", ""'Filter 30_05_2024'!A1:M2000""), {2, 3, 4, 5,6,7,8,9,10,11,12,13}, 0))"),4)</f>
        <v>4</v>
      </c>
      <c r="W296" s="16">
        <f ca="1">IFERROR(__xludf.dummyfunction("""COMPUTED_VALUE"""),15)</f>
        <v>15</v>
      </c>
      <c r="X296" s="16">
        <f ca="1">IFERROR(__xludf.dummyfunction("""COMPUTED_VALUE"""),2)</f>
        <v>2</v>
      </c>
      <c r="Y296" s="16">
        <f ca="1">IFERROR(__xludf.dummyfunction("""COMPUTED_VALUE"""),21)</f>
        <v>21</v>
      </c>
      <c r="Z296" s="16">
        <f ca="1">IFERROR(__xludf.dummyfunction("""COMPUTED_VALUE"""),4)</f>
        <v>4</v>
      </c>
      <c r="AA296" s="30">
        <f ca="1">IFERROR(__xludf.dummyfunction("""COMPUTED_VALUE"""),5)</f>
        <v>5</v>
      </c>
      <c r="AB296" s="30">
        <f ca="1">IFERROR(__xludf.dummyfunction("""COMPUTED_VALUE"""),1)</f>
        <v>1</v>
      </c>
      <c r="AC296" s="30">
        <f ca="1">IFERROR(__xludf.dummyfunction("""COMPUTED_VALUE"""),10)</f>
        <v>10</v>
      </c>
      <c r="AD296" s="16"/>
      <c r="AE296" s="30"/>
      <c r="AF296" s="30"/>
      <c r="AG296" s="30"/>
    </row>
    <row r="297" spans="1:33" ht="13.8">
      <c r="A297" s="25"/>
      <c r="B297" s="26" t="s">
        <v>29</v>
      </c>
      <c r="C297" s="26" t="s">
        <v>310</v>
      </c>
      <c r="D297" s="26">
        <v>6</v>
      </c>
      <c r="E297" s="27" t="s">
        <v>740</v>
      </c>
      <c r="F297" s="28" t="s">
        <v>744</v>
      </c>
      <c r="G297" s="26" t="s">
        <v>745</v>
      </c>
      <c r="H297" s="28" t="str">
        <f ca="1">IFERROR(__xludf.dummyfunction("IFERROR(
  VLOOKUP(G297, IMPORTRANGE(""https://docs.google.com/spreadsheets/d/14deopnvwcrKtEGCKuYXdUHJbeLDZlkiSSWWT0g7x2pM/edit#gid=849066331"", ""LU List Maths (Filter)!A:B""), 2, FALSE),
  IFERROR(
    VLOOKUP(G297, IMPORTRANGE(""https://docs.google.com"&amp;"/spreadsheets/d/14deopnvwcrKtEGCKuYXdUHJbeLDZlkiSSWWT0g7x2pM/edit#gid=849066331"", ""LU List Science (Filter)!A:B""), 2, FALSE),
    ""Not Found""
  )
)
"),"Definition of tally chart")</f>
        <v>Definition of tally chart</v>
      </c>
      <c r="I297" s="59"/>
      <c r="J297" s="29" t="str">
        <f t="shared" si="24"/>
        <v>LU000310.001</v>
      </c>
      <c r="K297" s="29" t="str">
        <f ca="1">IFERROR(__xludf.dummyfunction("VLOOKUP(J297, IMPORTRANGE(""https://docs.google.com/spreadsheets/d/1yDAaXNsi4Mr5FtRQL4tbmSdIzhx6_m4wkOD7IG-k_eo/edit#gid=0"", ""Maths!M:N""), 2, FALSE)"),"State the definition of a tally chart and explain how it is used to visually represent and count occurrences of data.")</f>
        <v>State the definition of a tally chart and explain how it is used to visually represent and count occurrences of data.</v>
      </c>
      <c r="L297" s="29" t="str">
        <f t="shared" si="25"/>
        <v>LU000310.002</v>
      </c>
      <c r="M297" s="29" t="str">
        <f ca="1">IFERROR(__xludf.dummyfunction("VLOOKUP(L297, IMPORTRANGE(""https://docs.google.com/spreadsheets/d/1yDAaXNsi4Mr5FtRQL4tbmSdIzhx6_m4wkOD7IG-k_eo/edit#gid=0"", ""Maths!M:N""), 2, FALSE)"),"Describe the purpose of a tally chart in organising and counting data, and explain how tally marks are used to represent each data point.")</f>
        <v>Describe the purpose of a tally chart in organising and counting data, and explain how tally marks are used to represent each data point.</v>
      </c>
      <c r="N297" s="29" t="str">
        <f t="shared" si="26"/>
        <v>LU000310.003</v>
      </c>
      <c r="O297" s="29" t="str">
        <f ca="1">IFERROR(__xludf.dummyfunction("VLOOKUP(N297, IMPORTRANGE(""https://docs.google.com/spreadsheets/d/1yDAaXNsi4Mr5FtRQL4tbmSdIzhx6_m4wkOD7IG-k_eo/edit#gid=0"", ""Maths!M:N""), 2, FALSE)"),"Identify the tally chart corresponding to the given data.")</f>
        <v>Identify the tally chart corresponding to the given data.</v>
      </c>
      <c r="P297" s="29" t="str">
        <f t="shared" si="27"/>
        <v>LU000310.004</v>
      </c>
      <c r="Q297" s="29" t="str">
        <f ca="1">IFERROR(__xludf.dummyfunction("VLOOKUP(P297, IMPORTRANGE(""https://docs.google.com/spreadsheets/d/1yDAaXNsi4Mr5FtRQL4tbmSdIzhx6_m4wkOD7IG-k_eo/edit#gid=0"", ""Maths!M:N""), 2, FALSE)"),"Analyse the effectiveness of using tally charts for specific types of data.")</f>
        <v>Analyse the effectiveness of using tally charts for specific types of data.</v>
      </c>
      <c r="R297" s="29" t="str">
        <f t="shared" si="28"/>
        <v>LU000310.005</v>
      </c>
      <c r="S297" s="29" t="str">
        <f ca="1">IFERROR(__xludf.dummyfunction("VLOOKUP(R297, IMPORTRANGE(""https://docs.google.com/spreadsheets/d/1yDAaXNsi4Mr5FtRQL4tbmSdIzhx6_m4wkOD7IG-k_eo/edit#gid=0"", ""Maths!M:N""), 2, FALSE)"),"Evaluate the appropriateness of tally charts for specific datasets, assessing the accuracy of the tally marks.")</f>
        <v>Evaluate the appropriateness of tally charts for specific datasets, assessing the accuracy of the tally marks.</v>
      </c>
      <c r="T297" s="29" t="str">
        <f t="shared" si="29"/>
        <v>LU000310.006</v>
      </c>
      <c r="U297" s="29" t="str">
        <f ca="1">IFERROR(__xludf.dummyfunction("VLOOKUP(T297, IMPORTRANGE(""https://docs.google.com/spreadsheets/d/1yDAaXNsi4Mr5FtRQL4tbmSdIzhx6_m4wkOD7IG-k_eo/edit#gid=0"", ""Maths!M:N""), 2, FALSE)"),"#N/A")</f>
        <v>#N/A</v>
      </c>
      <c r="V297" s="16">
        <f ca="1">IFERROR(__xludf.dummyfunction("ArrayFormula(VLOOKUP(G297, IMPORTRANGE(""https://docs.google.com/spreadsheets/d/1p7R4vtkWt5VOBim4ltsDG9KTzSjrtKXsMtQGXPHyND0/edit#gid=795171502"", ""'Filter 30_05_2024'!A1:M2000""), {2, 3, 4, 5,6,7,8,9,10,11,12,13}, 0))"),4)</f>
        <v>4</v>
      </c>
      <c r="W297" s="16">
        <f ca="1">IFERROR(__xludf.dummyfunction("""COMPUTED_VALUE"""),6)</f>
        <v>6</v>
      </c>
      <c r="X297" s="16">
        <f ca="1">IFERROR(__xludf.dummyfunction("""COMPUTED_VALUE"""),2)</f>
        <v>2</v>
      </c>
      <c r="Y297" s="16">
        <f ca="1">IFERROR(__xludf.dummyfunction("""COMPUTED_VALUE"""),12)</f>
        <v>12</v>
      </c>
      <c r="Z297" s="16">
        <f ca="1">IFERROR(__xludf.dummyfunction("""COMPUTED_VALUE"""),4)</f>
        <v>4</v>
      </c>
      <c r="AA297" s="30">
        <f ca="1">IFERROR(__xludf.dummyfunction("""COMPUTED_VALUE"""),3)</f>
        <v>3</v>
      </c>
      <c r="AB297" s="30">
        <f ca="1">IFERROR(__xludf.dummyfunction("""COMPUTED_VALUE"""),1)</f>
        <v>1</v>
      </c>
      <c r="AC297" s="30">
        <f ca="1">IFERROR(__xludf.dummyfunction("""COMPUTED_VALUE"""),8)</f>
        <v>8</v>
      </c>
      <c r="AD297" s="16"/>
      <c r="AE297" s="30"/>
      <c r="AF297" s="30"/>
      <c r="AG297" s="30"/>
    </row>
    <row r="298" spans="1:33" ht="13.8">
      <c r="A298" s="25"/>
      <c r="B298" s="26" t="s">
        <v>29</v>
      </c>
      <c r="C298" s="26" t="s">
        <v>310</v>
      </c>
      <c r="D298" s="26">
        <v>6</v>
      </c>
      <c r="E298" s="27" t="s">
        <v>740</v>
      </c>
      <c r="F298" s="28"/>
      <c r="G298" s="26" t="s">
        <v>746</v>
      </c>
      <c r="H298" s="28" t="str">
        <f ca="1">IFERROR(__xludf.dummyfunction("IFERROR(
  VLOOKUP(G298, IMPORTRANGE(""https://docs.google.com/spreadsheets/d/14deopnvwcrKtEGCKuYXdUHJbeLDZlkiSSWWT0g7x2pM/edit#gid=849066331"", ""LU List Maths (Filter)!A:B""), 2, FALSE),
  IFERROR(
    VLOOKUP(G298, IMPORTRANGE(""https://docs.google.com"&amp;"/spreadsheets/d/14deopnvwcrKtEGCKuYXdUHJbeLDZlkiSSWWT0g7x2pM/edit#gid=849066331"", ""LU List Science (Filter)!A:B""), 2, FALSE),
    ""Not Found""
  )
)
"),"Interpretation of tally chart")</f>
        <v>Interpretation of tally chart</v>
      </c>
      <c r="I298" s="59"/>
      <c r="J298" s="29" t="str">
        <f t="shared" si="24"/>
        <v>LU000311.001</v>
      </c>
      <c r="K298" s="29" t="str">
        <f ca="1">IFERROR(__xludf.dummyfunction("VLOOKUP(J298, IMPORTRANGE(""https://docs.google.com/spreadsheets/d/1yDAaXNsi4Mr5FtRQL4tbmSdIzhx6_m4wkOD7IG-k_eo/edit#gid=0"", ""Maths!M:N""), 2, FALSE)"),"State the components of a tally chart (tally marks and categories) and explain how tally marks are used to represent data occurrences.")</f>
        <v>State the components of a tally chart (tally marks and categories) and explain how tally marks are used to represent data occurrences.</v>
      </c>
      <c r="L298" s="29" t="str">
        <f t="shared" si="25"/>
        <v>LU000311.002</v>
      </c>
      <c r="M298" s="29" t="str">
        <f ca="1">IFERROR(__xludf.dummyfunction("VLOOKUP(L298, IMPORTRANGE(""https://docs.google.com/spreadsheets/d/1yDAaXNsi4Mr5FtRQL4tbmSdIzhx6_m4wkOD7IG-k_eo/edit#gid=0"", ""Maths!M:N""), 2, FALSE)"),"Describe how tally marks in a tally chart are grouped in sets of five or ten and counted to determine the frequency of each data category.")</f>
        <v>Describe how tally marks in a tally chart are grouped in sets of five or ten and counted to determine the frequency of each data category.</v>
      </c>
      <c r="N298" s="29" t="str">
        <f t="shared" si="26"/>
        <v>LU000311.003</v>
      </c>
      <c r="O298" s="29" t="str">
        <f ca="1">IFERROR(__xludf.dummyfunction("VLOOKUP(N298, IMPORTRANGE(""https://docs.google.com/spreadsheets/d/1yDAaXNsi4Mr5FtRQL4tbmSdIzhx6_m4wkOD7IG-k_eo/edit#gid=0"", ""Maths!M:N""), 2, FALSE)"),"Apply the understanding of interpreting tally charts by analyzing a given tally chart and determining the most and least frequent data categories.")</f>
        <v>Apply the understanding of interpreting tally charts by analyzing a given tally chart and determining the most and least frequent data categories.</v>
      </c>
      <c r="P298" s="29" t="str">
        <f t="shared" si="27"/>
        <v>LU000311.004</v>
      </c>
      <c r="Q298" s="29" t="str">
        <f ca="1">IFERROR(__xludf.dummyfunction("VLOOKUP(P298, IMPORTRANGE(""https://docs.google.com/spreadsheets/d/1yDAaXNsi4Mr5FtRQL4tbmSdIzhx6_m4wkOD7IG-k_eo/edit#gid=0"", ""Maths!M:N""), 2, FALSE)"),"Analyse the patterns and trends in a tally chart, discussing how tally marks can reveal insights about data distribution.")</f>
        <v>Analyse the patterns and trends in a tally chart, discussing how tally marks can reveal insights about data distribution.</v>
      </c>
      <c r="R298" s="29" t="str">
        <f t="shared" si="28"/>
        <v>LU000311.005</v>
      </c>
      <c r="S298" s="29" t="str">
        <f ca="1">IFERROR(__xludf.dummyfunction("VLOOKUP(R298, IMPORTRANGE(""https://docs.google.com/spreadsheets/d/1yDAaXNsi4Mr5FtRQL4tbmSdIzhx6_m4wkOD7IG-k_eo/edit#gid=0"", ""Maths!M:N""), 2, FALSE)"),"Evaluate the accuracy of interpretations of tally charts, assessing the correctness of the frequency determinations and insights drawn.")</f>
        <v>Evaluate the accuracy of interpretations of tally charts, assessing the correctness of the frequency determinations and insights drawn.</v>
      </c>
      <c r="T298" s="29" t="str">
        <f t="shared" si="29"/>
        <v>LU000311.006</v>
      </c>
      <c r="U298" s="29" t="str">
        <f ca="1">IFERROR(__xludf.dummyfunction("VLOOKUP(T298, IMPORTRANGE(""https://docs.google.com/spreadsheets/d/1yDAaXNsi4Mr5FtRQL4tbmSdIzhx6_m4wkOD7IG-k_eo/edit#gid=0"", ""Maths!M:N""), 2, FALSE)"),"Create real-world scenarios involving a tally chart and data, interpret the chart, identify trends and draw conclusions based on the tally marks.")</f>
        <v>Create real-world scenarios involving a tally chart and data, interpret the chart, identify trends and draw conclusions based on the tally marks.</v>
      </c>
      <c r="V298" s="16">
        <f ca="1">IFERROR(__xludf.dummyfunction("ArrayFormula(VLOOKUP(G298, IMPORTRANGE(""https://docs.google.com/spreadsheets/d/1p7R4vtkWt5VOBim4ltsDG9KTzSjrtKXsMtQGXPHyND0/edit#gid=795171502"", ""'Filter 30_05_2024'!A1:M2000""), {2, 3, 4, 5,6,7,8,9,10,11,12,13}, 0))"),17)</f>
        <v>17</v>
      </c>
      <c r="W298" s="16">
        <f ca="1">IFERROR(__xludf.dummyfunction("""COMPUTED_VALUE"""),6)</f>
        <v>6</v>
      </c>
      <c r="X298" s="16">
        <f ca="1">IFERROR(__xludf.dummyfunction("""COMPUTED_VALUE"""),1)</f>
        <v>1</v>
      </c>
      <c r="Y298" s="16">
        <f ca="1">IFERROR(__xludf.dummyfunction("""COMPUTED_VALUE"""),24)</f>
        <v>24</v>
      </c>
      <c r="Z298" s="16">
        <f ca="1">IFERROR(__xludf.dummyfunction("""COMPUTED_VALUE"""),6)</f>
        <v>6</v>
      </c>
      <c r="AA298" s="30">
        <f ca="1">IFERROR(__xludf.dummyfunction("""COMPUTED_VALUE"""),3)</f>
        <v>3</v>
      </c>
      <c r="AB298" s="30">
        <f ca="1">IFERROR(__xludf.dummyfunction("""COMPUTED_VALUE"""),1)</f>
        <v>1</v>
      </c>
      <c r="AC298" s="30">
        <f ca="1">IFERROR(__xludf.dummyfunction("""COMPUTED_VALUE"""),10)</f>
        <v>10</v>
      </c>
      <c r="AD298" s="16"/>
      <c r="AE298" s="30"/>
      <c r="AF298" s="30"/>
      <c r="AG298" s="30"/>
    </row>
    <row r="299" spans="1:33" ht="13.8">
      <c r="A299" s="25"/>
      <c r="B299" s="26" t="s">
        <v>29</v>
      </c>
      <c r="C299" s="26" t="s">
        <v>310</v>
      </c>
      <c r="D299" s="26">
        <v>6</v>
      </c>
      <c r="E299" s="27" t="s">
        <v>740</v>
      </c>
      <c r="F299" s="28"/>
      <c r="G299" s="26" t="s">
        <v>747</v>
      </c>
      <c r="H299" s="28" t="str">
        <f ca="1">IFERROR(__xludf.dummyfunction("IFERROR(
  VLOOKUP(G299, IMPORTRANGE(""https://docs.google.com/spreadsheets/d/14deopnvwcrKtEGCKuYXdUHJbeLDZlkiSSWWT0g7x2pM/edit#gid=849066331"", ""LU List Maths (Filter)!A:B""), 2, FALSE),
  IFERROR(
    VLOOKUP(G299, IMPORTRANGE(""https://docs.google.com"&amp;"/spreadsheets/d/14deopnvwcrKtEGCKuYXdUHJbeLDZlkiSSWWT0g7x2pM/edit#gid=849066331"", ""LU List Science (Filter)!A:B""), 2, FALSE),
    ""Not Found""
  )
)
"),"Construction of tally chart")</f>
        <v>Construction of tally chart</v>
      </c>
      <c r="I299" s="59"/>
      <c r="J299" s="29" t="str">
        <f t="shared" si="24"/>
        <v>LU000312.001</v>
      </c>
      <c r="K299" s="29" t="str">
        <f ca="1">IFERROR(__xludf.dummyfunction("VLOOKUP(J299, IMPORTRANGE(""https://docs.google.com/spreadsheets/d/1yDAaXNsi4Mr5FtRQL4tbmSdIzhx6_m4wkOD7IG-k_eo/edit#gid=0"", ""Maths!M:N""), 2, FALSE)"),"State the essential components needed to create a tally chart (like categories, tally marks, and appropriate headings).")</f>
        <v>State the essential components needed to create a tally chart (like categories, tally marks, and appropriate headings).</v>
      </c>
      <c r="L299" s="29" t="str">
        <f t="shared" si="25"/>
        <v>LU000312.002</v>
      </c>
      <c r="M299" s="29" t="str">
        <f ca="1">IFERROR(__xludf.dummyfunction("VLOOKUP(L299, IMPORTRANGE(""https://docs.google.com/spreadsheets/d/1yDAaXNsi4Mr5FtRQL4tbmSdIzhx6_m4wkOD7IG-k_eo/edit#gid=0"", ""Maths!M:N""), 2, FALSE)"),"Describe how to create a tally chart by listing categories vertically, adding tally marks for each data point and providing headings for context")</f>
        <v>Describe how to create a tally chart by listing categories vertically, adding tally marks for each data point and providing headings for context</v>
      </c>
      <c r="N299" s="29" t="str">
        <f t="shared" si="26"/>
        <v>LU000312.003</v>
      </c>
      <c r="O299" s="29" t="str">
        <f ca="1">IFERROR(__xludf.dummyfunction("VLOOKUP(N299, IMPORTRANGE(""https://docs.google.com/spreadsheets/d/1yDAaXNsi4Mr5FtRQL4tbmSdIzhx6_m4wkOD7IG-k_eo/edit#gid=0"", ""Maths!M:N""), 2, FALSE)"),"Apply the process of constructing a tally chart to organize and represent data from a real-world scenarios.")</f>
        <v>Apply the process of constructing a tally chart to organize and represent data from a real-world scenarios.</v>
      </c>
      <c r="P299" s="29" t="str">
        <f t="shared" si="27"/>
        <v>LU000312.004</v>
      </c>
      <c r="Q299" s="29" t="str">
        <f ca="1">IFERROR(__xludf.dummyfunction("VLOOKUP(P299, IMPORTRANGE(""https://docs.google.com/spreadsheets/d/1yDAaXNsi4Mr5FtRQL4tbmSdIzhx6_m4wkOD7IG-k_eo/edit#gid=0"", ""Maths!M:N""), 2, FALSE)"),"Analyse the construction process of tally charts.")</f>
        <v>Analyse the construction process of tally charts.</v>
      </c>
      <c r="R299" s="29" t="str">
        <f t="shared" si="28"/>
        <v>LU000312.005</v>
      </c>
      <c r="S299" s="29" t="str">
        <f ca="1">IFERROR(__xludf.dummyfunction("VLOOKUP(R299, IMPORTRANGE(""https://docs.google.com/spreadsheets/d/1yDAaXNsi4Mr5FtRQL4tbmSdIzhx6_m4wkOD7IG-k_eo/edit#gid=0"", ""Maths!M:N""), 2, FALSE)"),"Evaluate the effectiveness of different data presentation methods, comparing the advantages of tally charts with other visual representations like bar graphs.")</f>
        <v>Evaluate the effectiveness of different data presentation methods, comparing the advantages of tally charts with other visual representations like bar graphs.</v>
      </c>
      <c r="T299" s="29" t="str">
        <f t="shared" si="29"/>
        <v>LU000312.006</v>
      </c>
      <c r="U299" s="29" t="str">
        <f ca="1">IFERROR(__xludf.dummyfunction("VLOOKUP(T299, IMPORTRANGE(""https://docs.google.com/spreadsheets/d/1yDAaXNsi4Mr5FtRQL4tbmSdIzhx6_m4wkOD7IG-k_eo/edit#gid=0"", ""Maths!M:N""), 2, FALSE)"),"#N/A")</f>
        <v>#N/A</v>
      </c>
      <c r="V299" s="16">
        <f ca="1">IFERROR(__xludf.dummyfunction("ArrayFormula(VLOOKUP(G299, IMPORTRANGE(""https://docs.google.com/spreadsheets/d/1p7R4vtkWt5VOBim4ltsDG9KTzSjrtKXsMtQGXPHyND0/edit#gid=795171502"", ""'Filter 30_05_2024'!A1:M2000""), {2, 3, 4, 5,6,7,8,9,10,11,12,13}, 0))"),3)</f>
        <v>3</v>
      </c>
      <c r="W299" s="16">
        <f ca="1">IFERROR(__xludf.dummyfunction("""COMPUTED_VALUE"""),12)</f>
        <v>12</v>
      </c>
      <c r="X299" s="16">
        <f ca="1">IFERROR(__xludf.dummyfunction("""COMPUTED_VALUE"""),2)</f>
        <v>2</v>
      </c>
      <c r="Y299" s="16">
        <f ca="1">IFERROR(__xludf.dummyfunction("""COMPUTED_VALUE"""),17)</f>
        <v>17</v>
      </c>
      <c r="Z299" s="16">
        <f ca="1">IFERROR(__xludf.dummyfunction("""COMPUTED_VALUE"""),5)</f>
        <v>5</v>
      </c>
      <c r="AA299" s="30">
        <f ca="1">IFERROR(__xludf.dummyfunction("""COMPUTED_VALUE"""),6)</f>
        <v>6</v>
      </c>
      <c r="AB299" s="30">
        <f ca="1">IFERROR(__xludf.dummyfunction("""COMPUTED_VALUE"""),2)</f>
        <v>2</v>
      </c>
      <c r="AC299" s="30">
        <f ca="1">IFERROR(__xludf.dummyfunction("""COMPUTED_VALUE"""),13)</f>
        <v>13</v>
      </c>
      <c r="AD299" s="16"/>
      <c r="AE299" s="30"/>
      <c r="AF299" s="30"/>
      <c r="AG299" s="30"/>
    </row>
    <row r="300" spans="1:33" ht="55.2">
      <c r="A300" s="25"/>
      <c r="B300" s="26" t="s">
        <v>29</v>
      </c>
      <c r="C300" s="26" t="s">
        <v>310</v>
      </c>
      <c r="D300" s="26">
        <v>6</v>
      </c>
      <c r="E300" s="27" t="s">
        <v>740</v>
      </c>
      <c r="F300" s="28" t="s">
        <v>748</v>
      </c>
      <c r="G300" s="26" t="s">
        <v>749</v>
      </c>
      <c r="H300" s="28" t="str">
        <f ca="1">IFERROR(__xludf.dummyfunction("IFERROR(
  VLOOKUP(G300, IMPORTRANGE(""https://docs.google.com/spreadsheets/d/14deopnvwcrKtEGCKuYXdUHJbeLDZlkiSSWWT0g7x2pM/edit#gid=849066331"", ""LU List Maths (Filter)!A:B""), 2, FALSE),
  IFERROR(
    VLOOKUP(G300, IMPORTRANGE(""https://docs.google.com"&amp;"/spreadsheets/d/14deopnvwcrKtEGCKuYXdUHJbeLDZlkiSSWWT0g7x2pM/edit#gid=849066331"", ""LU List Science (Filter)!A:B""), 2, FALSE),
    ""Not Found""
  )
)
"),"Definition of pictograph")</f>
        <v>Definition of pictograph</v>
      </c>
      <c r="I300" s="59"/>
      <c r="J300" s="29" t="str">
        <f t="shared" si="24"/>
        <v>LU000313.001</v>
      </c>
      <c r="K300" s="29" t="str">
        <f ca="1">IFERROR(__xludf.dummyfunction("VLOOKUP(J300, IMPORTRANGE(""https://docs.google.com/spreadsheets/d/1yDAaXNsi4Mr5FtRQL4tbmSdIzhx6_m4wkOD7IG-k_eo/edit#gid=0"", ""Maths!M:N""), 2, FALSE)"),"State the definition of a pictograph and explain how it uses pictures or symbols to visually represent data.")</f>
        <v>State the definition of a pictograph and explain how it uses pictures or symbols to visually represent data.</v>
      </c>
      <c r="L300" s="29" t="str">
        <f t="shared" si="25"/>
        <v>LU000313.002</v>
      </c>
      <c r="M300" s="49" t="str">
        <f ca="1">IFERROR(__xludf.dummyfunction("VLOOKUP(L300, IMPORTRANGE(""https://docs.google.com/spreadsheets/d/1yDAaXNsi4Mr5FtRQL4tbmSdIzhx6_m4wkOD7IG-k_eo/edit#gid=0"", ""Maths!M:N""), 2, FALSE)"),"Describe how a pictograph is used to represent data using pictures or symbols.
")</f>
        <v xml:space="preserve">Describe how a pictograph is used to represent data using pictures or symbols.
</v>
      </c>
      <c r="N300" s="29" t="str">
        <f t="shared" si="26"/>
        <v>LU000313.003</v>
      </c>
      <c r="O300" s="29" t="str">
        <f ca="1">IFERROR(__xludf.dummyfunction("VLOOKUP(N300, IMPORTRANGE(""https://docs.google.com/spreadsheets/d/1yDAaXNsi4Mr5FtRQL4tbmSdIzhx6_m4wkOD7IG-k_eo/edit#gid=0"", ""Maths!M:N""), 2, FALSE)"),"Identify the pictograph corresponding to the given data.")</f>
        <v>Identify the pictograph corresponding to the given data.</v>
      </c>
      <c r="P300" s="29" t="str">
        <f t="shared" si="27"/>
        <v>LU000313.004</v>
      </c>
      <c r="Q300" s="29" t="str">
        <f ca="1">IFERROR(__xludf.dummyfunction("VLOOKUP(P300, IMPORTRANGE(""https://docs.google.com/spreadsheets/d/1yDAaXNsi4Mr5FtRQL4tbmSdIzhx6_m4wkOD7IG-k_eo/edit#gid=0"", ""Maths!M:N""), 2, FALSE)"),"Examine how the choice of pictures or symbols in a pictograph affects the clarity of data representation.")</f>
        <v>Examine how the choice of pictures or symbols in a pictograph affects the clarity of data representation.</v>
      </c>
      <c r="R300" s="29" t="str">
        <f t="shared" si="28"/>
        <v>LU000313.005</v>
      </c>
      <c r="S300" s="29" t="str">
        <f ca="1">IFERROR(__xludf.dummyfunction("VLOOKUP(R300, IMPORTRANGE(""https://docs.google.com/spreadsheets/d/1yDAaXNsi4Mr5FtRQL4tbmSdIzhx6_m4wkOD7IG-k_eo/edit#gid=0"", ""Maths!M:N""), 2, FALSE)"),"Evaluate the appropriateness of pictographs in accurately representing data, assessing the suitability of their chosen pictures or symbols")</f>
        <v>Evaluate the appropriateness of pictographs in accurately representing data, assessing the suitability of their chosen pictures or symbols</v>
      </c>
      <c r="T300" s="29" t="str">
        <f t="shared" si="29"/>
        <v>LU000313.006</v>
      </c>
      <c r="U300" s="29" t="str">
        <f ca="1">IFERROR(__xludf.dummyfunction("VLOOKUP(T300, IMPORTRANGE(""https://docs.google.com/spreadsheets/d/1yDAaXNsi4Mr5FtRQL4tbmSdIzhx6_m4wkOD7IG-k_eo/edit#gid=0"", ""Maths!M:N""), 2, FALSE)"),"#N/A")</f>
        <v>#N/A</v>
      </c>
      <c r="V300" s="16">
        <f ca="1">IFERROR(__xludf.dummyfunction("ArrayFormula(VLOOKUP(G300, IMPORTRANGE(""https://docs.google.com/spreadsheets/d/1p7R4vtkWt5VOBim4ltsDG9KTzSjrtKXsMtQGXPHyND0/edit#gid=795171502"", ""'Filter 30_05_2024'!A1:M2000""), {2, 3, 4, 5,6,7,8,9,10,11,12,13}, 0))"),3)</f>
        <v>3</v>
      </c>
      <c r="W300" s="16">
        <f ca="1">IFERROR(__xludf.dummyfunction("""COMPUTED_VALUE"""),6)</f>
        <v>6</v>
      </c>
      <c r="X300" s="16">
        <f ca="1">IFERROR(__xludf.dummyfunction("""COMPUTED_VALUE"""),2)</f>
        <v>2</v>
      </c>
      <c r="Y300" s="16">
        <f ca="1">IFERROR(__xludf.dummyfunction("""COMPUTED_VALUE"""),11)</f>
        <v>11</v>
      </c>
      <c r="Z300" s="16">
        <f ca="1">IFERROR(__xludf.dummyfunction("""COMPUTED_VALUE"""),5)</f>
        <v>5</v>
      </c>
      <c r="AA300" s="30">
        <f ca="1">IFERROR(__xludf.dummyfunction("""COMPUTED_VALUE"""),3)</f>
        <v>3</v>
      </c>
      <c r="AB300" s="30">
        <f ca="1">IFERROR(__xludf.dummyfunction("""COMPUTED_VALUE"""),1)</f>
        <v>1</v>
      </c>
      <c r="AC300" s="30">
        <f ca="1">IFERROR(__xludf.dummyfunction("""COMPUTED_VALUE"""),9)</f>
        <v>9</v>
      </c>
      <c r="AD300" s="16"/>
      <c r="AE300" s="30"/>
      <c r="AF300" s="30"/>
      <c r="AG300" s="30"/>
    </row>
    <row r="301" spans="1:33" ht="13.8">
      <c r="A301" s="25"/>
      <c r="B301" s="26" t="s">
        <v>29</v>
      </c>
      <c r="C301" s="26" t="s">
        <v>310</v>
      </c>
      <c r="D301" s="26">
        <v>6</v>
      </c>
      <c r="E301" s="27" t="s">
        <v>740</v>
      </c>
      <c r="F301" s="28"/>
      <c r="G301" s="26" t="s">
        <v>750</v>
      </c>
      <c r="H301" s="28" t="str">
        <f ca="1">IFERROR(__xludf.dummyfunction("IFERROR(
  VLOOKUP(G301, IMPORTRANGE(""https://docs.google.com/spreadsheets/d/14deopnvwcrKtEGCKuYXdUHJbeLDZlkiSSWWT0g7x2pM/edit#gid=849066331"", ""LU List Maths (Filter)!A:B""), 2, FALSE),
  IFERROR(
    VLOOKUP(G301, IMPORTRANGE(""https://docs.google.com"&amp;"/spreadsheets/d/14deopnvwcrKtEGCKuYXdUHJbeLDZlkiSSWWT0g7x2pM/edit#gid=849066331"", ""LU List Science (Filter)!A:B""), 2, FALSE),
    ""Not Found""
  )
)
"),"Interpretation of pictographs")</f>
        <v>Interpretation of pictographs</v>
      </c>
      <c r="I301" s="28"/>
      <c r="J301" s="29" t="str">
        <f t="shared" si="24"/>
        <v>LU000314.001</v>
      </c>
      <c r="K301" s="29" t="str">
        <f ca="1">IFERROR(__xludf.dummyfunction("VLOOKUP(J301, IMPORTRANGE(""https://docs.google.com/spreadsheets/d/1yDAaXNsi4Mr5FtRQL4tbmSdIzhx6_m4wkOD7IG-k_eo/edit#gid=0"", ""Maths!M:N""), 2, FALSE)"),"State the features of a pictograph, such as pictures or symbols and the key that explains the correspondence between pictures and quantities.")</f>
        <v>State the features of a pictograph, such as pictures or symbols and the key that explains the correspondence between pictures and quantities.</v>
      </c>
      <c r="L301" s="29" t="str">
        <f t="shared" si="25"/>
        <v>LU000314.002</v>
      </c>
      <c r="M301" s="29" t="str">
        <f ca="1">IFERROR(__xludf.dummyfunction("VLOOKUP(L301, IMPORTRANGE(""https://docs.google.com/spreadsheets/d/1yDAaXNsi4Mr5FtRQL4tbmSdIzhx6_m4wkOD7IG-k_eo/edit#gid=0"", ""Maths!M:N""), 2, FALSE)"),"Describe how a pictograph conveys data using pictures or symbols.")</f>
        <v>Describe how a pictograph conveys data using pictures or symbols.</v>
      </c>
      <c r="N301" s="29" t="str">
        <f t="shared" si="26"/>
        <v>LU000314.003</v>
      </c>
      <c r="O301" s="29" t="str">
        <f ca="1">IFERROR(__xludf.dummyfunction("VLOOKUP(N301, IMPORTRANGE(""https://docs.google.com/spreadsheets/d/1yDAaXNsi4Mr5FtRQL4tbmSdIzhx6_m4wkOD7IG-k_eo/edit#gid=0"", ""Maths!M:N""), 2, FALSE)"),"Analyse the given pictograph, identify the quantities represented by the pictures or symbols and drawing conclusions.")</f>
        <v>Analyse the given pictograph, identify the quantities represented by the pictures or symbols and drawing conclusions.</v>
      </c>
      <c r="P301" s="29" t="str">
        <f t="shared" si="27"/>
        <v>LU000314.004</v>
      </c>
      <c r="Q301" s="29" t="str">
        <f ca="1">IFERROR(__xludf.dummyfunction("VLOOKUP(P301, IMPORTRANGE(""https://docs.google.com/spreadsheets/d/1yDAaXNsi4Mr5FtRQL4tbmSdIzhx6_m4wkOD7IG-k_eo/edit#gid=0"", ""Maths!M:N""), 2, FALSE)"),"Analyse the patterns and trends in a pictograph, discuss how the arrangement and frequency of pictures or symbols reflect the data distribution.")</f>
        <v>Analyse the patterns and trends in a pictograph, discuss how the arrangement and frequency of pictures or symbols reflect the data distribution.</v>
      </c>
      <c r="R301" s="29" t="str">
        <f t="shared" si="28"/>
        <v>LU000314.005</v>
      </c>
      <c r="S301" s="29" t="str">
        <f ca="1">IFERROR(__xludf.dummyfunction("VLOOKUP(R301, IMPORTRANGE(""https://docs.google.com/spreadsheets/d/1yDAaXNsi4Mr5FtRQL4tbmSdIzhx6_m4wkOD7IG-k_eo/edit#gid=0"", ""Maths!M:N""), 2, FALSE)"),"#N/A")</f>
        <v>#N/A</v>
      </c>
      <c r="T301" s="29" t="str">
        <f t="shared" si="29"/>
        <v>LU000314.006</v>
      </c>
      <c r="U301" s="29" t="str">
        <f ca="1">IFERROR(__xludf.dummyfunction("VLOOKUP(T301, IMPORTRANGE(""https://docs.google.com/spreadsheets/d/1yDAaXNsi4Mr5FtRQL4tbmSdIzhx6_m4wkOD7IG-k_eo/edit#gid=0"", ""Maths!M:N""), 2, FALSE)"),"Create a dataset and develop a set of questions related to a self-designed pictograph. Interpret the pictograph, answer the questions, and draw conclusions based on the analysis.")</f>
        <v>Create a dataset and develop a set of questions related to a self-designed pictograph. Interpret the pictograph, answer the questions, and draw conclusions based on the analysis.</v>
      </c>
      <c r="V301" s="16">
        <f ca="1">IFERROR(__xludf.dummyfunction("ArrayFormula(VLOOKUP(G301, IMPORTRANGE(""https://docs.google.com/spreadsheets/d/1p7R4vtkWt5VOBim4ltsDG9KTzSjrtKXsMtQGXPHyND0/edit#gid=795171502"", ""'Filter 30_05_2024'!A1:M2000""), {2, 3, 4, 5,6,7,8,9,10,11,12,13}, 0))"),4)</f>
        <v>4</v>
      </c>
      <c r="W301" s="16">
        <f ca="1">IFERROR(__xludf.dummyfunction("""COMPUTED_VALUE"""),6)</f>
        <v>6</v>
      </c>
      <c r="X301" s="16">
        <f ca="1">IFERROR(__xludf.dummyfunction("""COMPUTED_VALUE"""),2)</f>
        <v>2</v>
      </c>
      <c r="Y301" s="16">
        <f ca="1">IFERROR(__xludf.dummyfunction("""COMPUTED_VALUE"""),12)</f>
        <v>12</v>
      </c>
      <c r="Z301" s="16">
        <f ca="1">IFERROR(__xludf.dummyfunction("""COMPUTED_VALUE"""),4)</f>
        <v>4</v>
      </c>
      <c r="AA301" s="30">
        <f ca="1">IFERROR(__xludf.dummyfunction("""COMPUTED_VALUE"""),13)</f>
        <v>13</v>
      </c>
      <c r="AB301" s="30">
        <f ca="1">IFERROR(__xludf.dummyfunction("""COMPUTED_VALUE"""),1)</f>
        <v>1</v>
      </c>
      <c r="AC301" s="30">
        <f ca="1">IFERROR(__xludf.dummyfunction("""COMPUTED_VALUE"""),18)</f>
        <v>18</v>
      </c>
      <c r="AD301" s="16"/>
      <c r="AE301" s="30"/>
      <c r="AF301" s="30"/>
      <c r="AG301" s="30"/>
    </row>
    <row r="302" spans="1:33" ht="13.8">
      <c r="A302" s="25"/>
      <c r="B302" s="26" t="s">
        <v>29</v>
      </c>
      <c r="C302" s="26" t="s">
        <v>310</v>
      </c>
      <c r="D302" s="26">
        <v>6</v>
      </c>
      <c r="E302" s="27" t="s">
        <v>740</v>
      </c>
      <c r="F302" s="28"/>
      <c r="G302" s="26" t="s">
        <v>751</v>
      </c>
      <c r="H302" s="28" t="str">
        <f ca="1">IFERROR(__xludf.dummyfunction("IFERROR(
  VLOOKUP(G302, IMPORTRANGE(""https://docs.google.com/spreadsheets/d/14deopnvwcrKtEGCKuYXdUHJbeLDZlkiSSWWT0g7x2pM/edit#gid=849066331"", ""LU List Maths (Filter)!A:B""), 2, FALSE),
  IFERROR(
    VLOOKUP(G302, IMPORTRANGE(""https://docs.google.com"&amp;"/spreadsheets/d/14deopnvwcrKtEGCKuYXdUHJbeLDZlkiSSWWT0g7x2pM/edit#gid=849066331"", ""LU List Science (Filter)!A:B""), 2, FALSE),
    ""Not Found""
  )
)
"),"Construction of pictographs")</f>
        <v>Construction of pictographs</v>
      </c>
      <c r="I302" s="28"/>
      <c r="J302" s="29" t="str">
        <f t="shared" si="24"/>
        <v>LU000315.001</v>
      </c>
      <c r="K302" s="29" t="str">
        <f ca="1">IFERROR(__xludf.dummyfunction("VLOOKUP(J302, IMPORTRANGE(""https://docs.google.com/spreadsheets/d/1yDAaXNsi4Mr5FtRQL4tbmSdIzhx6_m4wkOD7IG-k_eo/edit#gid=0"", ""Maths!M:N""), 2, FALSE)"),"State the steps required to construct a pictograph (such as choosing a relevant title, designing appropriate symbols and providing a key).")</f>
        <v>State the steps required to construct a pictograph (such as choosing a relevant title, designing appropriate symbols and providing a key).</v>
      </c>
      <c r="L302" s="29" t="str">
        <f t="shared" si="25"/>
        <v>LU000315.002</v>
      </c>
      <c r="M302" s="29" t="str">
        <f ca="1">IFERROR(__xludf.dummyfunction("VLOOKUP(L302, IMPORTRANGE(""https://docs.google.com/spreadsheets/d/1yDAaXNsi4Mr5FtRQL4tbmSdIzhx6_m4wkOD7IG-k_eo/edit#gid=0"", ""Maths!M:N""), 2, FALSE)"),"Describe how constructing a pictograph helps in visually representing data and explain how the title, symbols and key collaborate to make the data interpretation clear.")</f>
        <v>Describe how constructing a pictograph helps in visually representing data and explain how the title, symbols and key collaborate to make the data interpretation clear.</v>
      </c>
      <c r="N302" s="29" t="str">
        <f t="shared" si="26"/>
        <v>LU000315.003</v>
      </c>
      <c r="O302" s="29" t="str">
        <f ca="1">IFERROR(__xludf.dummyfunction("VLOOKUP(N302, IMPORTRANGE(""https://docs.google.com/spreadsheets/d/1yDAaXNsi4Mr5FtRQL4tbmSdIzhx6_m4wkOD7IG-k_eo/edit#gid=0"", ""Maths!M:N""), 2, FALSE)"),"Apply the understanding of pictograph construction by creating a pictograph based on given data, ensuring appropriate symbol design and clear labeling.")</f>
        <v>Apply the understanding of pictograph construction by creating a pictograph based on given data, ensuring appropriate symbol design and clear labeling.</v>
      </c>
      <c r="P302" s="29" t="str">
        <f t="shared" si="27"/>
        <v>LU000315.004</v>
      </c>
      <c r="Q302" s="29" t="str">
        <f ca="1">IFERROR(__xludf.dummyfunction("VLOOKUP(P302, IMPORTRANGE(""https://docs.google.com/spreadsheets/d/1yDAaXNsi4Mr5FtRQL4tbmSdIzhx6_m4wkOD7IG-k_eo/edit#gid=0"", ""Maths!M:N""), 2, FALSE)"),"Analyse the construction process of pictographs.")</f>
        <v>Analyse the construction process of pictographs.</v>
      </c>
      <c r="R302" s="29" t="str">
        <f t="shared" si="28"/>
        <v>LU000315.005</v>
      </c>
      <c r="S302" s="29" t="str">
        <f ca="1">IFERROR(__xludf.dummyfunction("VLOOKUP(R302, IMPORTRANGE(""https://docs.google.com/spreadsheets/d/1yDAaXNsi4Mr5FtRQL4tbmSdIzhx6_m4wkOD7IG-k_eo/edit#gid=0"", ""Maths!M:N""), 2, FALSE)"),"Evaluate the accuracy of constructed pictographs, assessing the appropriateness of the chosen symbols or pictures.")</f>
        <v>Evaluate the accuracy of constructed pictographs, assessing the appropriateness of the chosen symbols or pictures.</v>
      </c>
      <c r="T302" s="29" t="str">
        <f t="shared" si="29"/>
        <v>LU000315.006</v>
      </c>
      <c r="U302" s="29" t="str">
        <f ca="1">IFERROR(__xludf.dummyfunction("VLOOKUP(T302, IMPORTRANGE(""https://docs.google.com/spreadsheets/d/1yDAaXNsi4Mr5FtRQL4tbmSdIzhx6_m4wkOD7IG-k_eo/edit#gid=0"", ""Maths!M:N""), 2, FALSE)"),"#N/A")</f>
        <v>#N/A</v>
      </c>
      <c r="V302" s="16">
        <f ca="1">IFERROR(__xludf.dummyfunction("ArrayFormula(VLOOKUP(G302, IMPORTRANGE(""https://docs.google.com/spreadsheets/d/1p7R4vtkWt5VOBim4ltsDG9KTzSjrtKXsMtQGXPHyND0/edit#gid=795171502"", ""'Filter 30_05_2024'!A1:M2000""), {2, 3, 4, 5,6,7,8,9,10,11,12,13}, 0))"),4)</f>
        <v>4</v>
      </c>
      <c r="W302" s="16">
        <f ca="1">IFERROR(__xludf.dummyfunction("""COMPUTED_VALUE"""),2)</f>
        <v>2</v>
      </c>
      <c r="X302" s="16">
        <f ca="1">IFERROR(__xludf.dummyfunction("""COMPUTED_VALUE"""),1)</f>
        <v>1</v>
      </c>
      <c r="Y302" s="16">
        <f ca="1">IFERROR(__xludf.dummyfunction("""COMPUTED_VALUE"""),7)</f>
        <v>7</v>
      </c>
      <c r="Z302" s="16">
        <f ca="1">IFERROR(__xludf.dummyfunction("""COMPUTED_VALUE"""),4)</f>
        <v>4</v>
      </c>
      <c r="AA302" s="30">
        <f ca="1">IFERROR(__xludf.dummyfunction("""COMPUTED_VALUE"""),4)</f>
        <v>4</v>
      </c>
      <c r="AB302" s="30">
        <f ca="1">IFERROR(__xludf.dummyfunction("""COMPUTED_VALUE"""),1)</f>
        <v>1</v>
      </c>
      <c r="AC302" s="30">
        <f ca="1">IFERROR(__xludf.dummyfunction("""COMPUTED_VALUE"""),9)</f>
        <v>9</v>
      </c>
      <c r="AD302" s="16"/>
      <c r="AE302" s="30"/>
      <c r="AF302" s="30"/>
      <c r="AG302" s="30"/>
    </row>
    <row r="303" spans="1:33" ht="13.8">
      <c r="A303" s="25"/>
      <c r="B303" s="26" t="s">
        <v>29</v>
      </c>
      <c r="C303" s="26" t="s">
        <v>310</v>
      </c>
      <c r="D303" s="26">
        <v>6</v>
      </c>
      <c r="E303" s="27" t="s">
        <v>740</v>
      </c>
      <c r="F303" s="28" t="s">
        <v>752</v>
      </c>
      <c r="G303" s="26" t="s">
        <v>753</v>
      </c>
      <c r="H303" s="28" t="str">
        <f ca="1">IFERROR(__xludf.dummyfunction("IFERROR(
  VLOOKUP(G303, IMPORTRANGE(""https://docs.google.com/spreadsheets/d/14deopnvwcrKtEGCKuYXdUHJbeLDZlkiSSWWT0g7x2pM/edit#gid=849066331"", ""LU List Maths (Filter)!A:B""), 2, FALSE),
  IFERROR(
    VLOOKUP(G303, IMPORTRANGE(""https://docs.google.com"&amp;"/spreadsheets/d/14deopnvwcrKtEGCKuYXdUHJbeLDZlkiSSWWT0g7x2pM/edit#gid=849066331"", ""LU List Science (Filter)!A:B""), 2, FALSE),
    ""Not Found""
  )
)
"),"Definition of bar graph")</f>
        <v>Definition of bar graph</v>
      </c>
      <c r="I303" s="28"/>
      <c r="J303" s="29" t="str">
        <f t="shared" si="24"/>
        <v>LU000316.001</v>
      </c>
      <c r="K303" s="29" t="str">
        <f ca="1">IFERROR(__xludf.dummyfunction("VLOOKUP(J303, IMPORTRANGE(""https://docs.google.com/spreadsheets/d/1yDAaXNsi4Mr5FtRQL4tbmSdIzhx6_m4wkOD7IG-k_eo/edit#gid=0"", ""Maths!M:N""), 2, FALSE)"),"Define of a bar graph as a visual representation of data using rectangular bars to display the frequency or count of different categories.")</f>
        <v>Define of a bar graph as a visual representation of data using rectangular bars to display the frequency or count of different categories.</v>
      </c>
      <c r="L303" s="29" t="str">
        <f t="shared" si="25"/>
        <v>LU000316.002</v>
      </c>
      <c r="M303" s="29" t="str">
        <f ca="1">IFERROR(__xludf.dummyfunction("VLOOKUP(L303, IMPORTRANGE(""https://docs.google.com/spreadsheets/d/1yDAaXNsi4Mr5FtRQL4tbmSdIzhx6_m4wkOD7IG-k_eo/edit#gid=0"", ""Maths!M:N""), 2, FALSE)"),"Explain the purpose and structure of a bar graph by describing how it displays data using bars of varying lengths.")</f>
        <v>Explain the purpose and structure of a bar graph by describing how it displays data using bars of varying lengths.</v>
      </c>
      <c r="N303" s="29" t="str">
        <f t="shared" si="26"/>
        <v>LU000316.003</v>
      </c>
      <c r="O303" s="29" t="str">
        <f ca="1">IFERROR(__xludf.dummyfunction("VLOOKUP(N303, IMPORTRANGE(""https://docs.google.com/spreadsheets/d/1yDAaXNsi4Mr5FtRQL4tbmSdIzhx6_m4wkOD7IG-k_eo/edit#gid=0"", ""Maths!M:N""), 2, FALSE)"),"#N/A")</f>
        <v>#N/A</v>
      </c>
      <c r="P303" s="29" t="str">
        <f t="shared" si="27"/>
        <v>LU000316.004</v>
      </c>
      <c r="Q303" s="29" t="str">
        <f ca="1">IFERROR(__xludf.dummyfunction("VLOOKUP(P303, IMPORTRANGE(""https://docs.google.com/spreadsheets/d/1yDAaXNsi4Mr5FtRQL4tbmSdIzhx6_m4wkOD7IG-k_eo/edit#gid=0"", ""Maths!M:N""), 2, FALSE)"),"Analyse the effectiveness of bar graphs in comparison to other types of graphs.")</f>
        <v>Analyse the effectiveness of bar graphs in comparison to other types of graphs.</v>
      </c>
      <c r="R303" s="29" t="str">
        <f t="shared" si="28"/>
        <v>LU000316.005</v>
      </c>
      <c r="S303" s="29" t="str">
        <f ca="1">IFERROR(__xludf.dummyfunction("VLOOKUP(R303, IMPORTRANGE(""https://docs.google.com/spreadsheets/d/1yDAaXNsi4Mr5FtRQL4tbmSdIzhx6_m4wkOD7IG-k_eo/edit#gid=0"", ""Maths!M:N""), 2, FALSE)"),"Evaluate the effectiveness of different bar graphs for representing specific types of data, comparing their ability to convey information clearly and accurately.")</f>
        <v>Evaluate the effectiveness of different bar graphs for representing specific types of data, comparing their ability to convey information clearly and accurately.</v>
      </c>
      <c r="T303" s="29" t="str">
        <f t="shared" si="29"/>
        <v>LU000316.006</v>
      </c>
      <c r="U303" s="29" t="str">
        <f ca="1">IFERROR(__xludf.dummyfunction("VLOOKUP(T303, IMPORTRANGE(""https://docs.google.com/spreadsheets/d/1yDAaXNsi4Mr5FtRQL4tbmSdIzhx6_m4wkOD7IG-k_eo/edit#gid=0"", ""Maths!M:N""), 2, FALSE)"),"#N/A")</f>
        <v>#N/A</v>
      </c>
      <c r="V303" s="16">
        <f ca="1">IFERROR(__xludf.dummyfunction("ArrayFormula(VLOOKUP(G303, IMPORTRANGE(""https://docs.google.com/spreadsheets/d/1p7R4vtkWt5VOBim4ltsDG9KTzSjrtKXsMtQGXPHyND0/edit#gid=795171502"", ""'Filter 30_05_2024'!A1:M2000""), {2, 3, 4, 5,6,7,8,9,10,11,12,13}, 0))"),4)</f>
        <v>4</v>
      </c>
      <c r="W303" s="16">
        <f ca="1">IFERROR(__xludf.dummyfunction("""COMPUTED_VALUE"""),6)</f>
        <v>6</v>
      </c>
      <c r="X303" s="16">
        <f ca="1">IFERROR(__xludf.dummyfunction("""COMPUTED_VALUE"""),2)</f>
        <v>2</v>
      </c>
      <c r="Y303" s="16">
        <f ca="1">IFERROR(__xludf.dummyfunction("""COMPUTED_VALUE"""),12)</f>
        <v>12</v>
      </c>
      <c r="Z303" s="16">
        <f ca="1">IFERROR(__xludf.dummyfunction("""COMPUTED_VALUE"""),4)</f>
        <v>4</v>
      </c>
      <c r="AA303" s="30">
        <f ca="1">IFERROR(__xludf.dummyfunction("""COMPUTED_VALUE"""),3)</f>
        <v>3</v>
      </c>
      <c r="AB303" s="30">
        <f ca="1">IFERROR(__xludf.dummyfunction("""COMPUTED_VALUE"""),1)</f>
        <v>1</v>
      </c>
      <c r="AC303" s="30">
        <f ca="1">IFERROR(__xludf.dummyfunction("""COMPUTED_VALUE"""),8)</f>
        <v>8</v>
      </c>
      <c r="AD303" s="16"/>
      <c r="AE303" s="30"/>
      <c r="AF303" s="30"/>
      <c r="AG303" s="30"/>
    </row>
    <row r="304" spans="1:33" ht="26.4">
      <c r="A304" s="25"/>
      <c r="B304" s="26" t="s">
        <v>29</v>
      </c>
      <c r="C304" s="26" t="s">
        <v>310</v>
      </c>
      <c r="D304" s="26">
        <v>6</v>
      </c>
      <c r="E304" s="27" t="s">
        <v>740</v>
      </c>
      <c r="F304" s="28"/>
      <c r="G304" s="26" t="s">
        <v>754</v>
      </c>
      <c r="H304" s="28" t="str">
        <f ca="1">IFERROR(__xludf.dummyfunction("IFERROR(
  VLOOKUP(G304, IMPORTRANGE(""https://docs.google.com/spreadsheets/d/14deopnvwcrKtEGCKuYXdUHJbeLDZlkiSSWWT0g7x2pM/edit#gid=849066331"", ""LU List Maths (Filter)!A:B""), 2, FALSE),
  IFERROR(
    VLOOKUP(G304, IMPORTRANGE(""https://docs.google.com"&amp;"/spreadsheets/d/14deopnvwcrKtEGCKuYXdUHJbeLDZlkiSSWWT0g7x2pM/edit#gid=849066331"", ""LU List Science (Filter)!A:B""), 2, FALSE),
    ""Not Found""
  )
)
"),"Interpretation of bar graphs (horizontal and vertical)")</f>
        <v>Interpretation of bar graphs (horizontal and vertical)</v>
      </c>
      <c r="I304" s="28"/>
      <c r="J304" s="29" t="str">
        <f t="shared" si="24"/>
        <v>LU000317.001</v>
      </c>
      <c r="K304" s="29" t="str">
        <f ca="1">IFERROR(__xludf.dummyfunction("VLOOKUP(J304, IMPORTRANGE(""https://docs.google.com/spreadsheets/d/1yDAaXNsi4Mr5FtRQL4tbmSdIzhx6_m4wkOD7IG-k_eo/edit#gid=0"", ""Maths!M:N""), 2, FALSE)"),"State the components of a bar graph, such as the vertical bars representing data, categories on the horizontal axis, and the numerical scale on the vertical axis.")</f>
        <v>State the components of a bar graph, such as the vertical bars representing data, categories on the horizontal axis, and the numerical scale on the vertical axis.</v>
      </c>
      <c r="L304" s="29" t="str">
        <f t="shared" si="25"/>
        <v>LU000317.002</v>
      </c>
      <c r="M304" s="29" t="str">
        <f ca="1">IFERROR(__xludf.dummyfunction("VLOOKUP(L304, IMPORTRANGE(""https://docs.google.com/spreadsheets/d/1yDAaXNsi4Mr5FtRQL4tbmSdIzhx6_m4wkOD7IG-k_eo/edit#gid=0"", ""Maths!M:N""), 2, FALSE)"),"Explain the process of interpreting a bar graph by describing how bar lengths convey data quantities and how categories on the horizontal axis provide context.")</f>
        <v>Explain the process of interpreting a bar graph by describing how bar lengths convey data quantities and how categories on the horizontal axis provide context.</v>
      </c>
      <c r="N304" s="29" t="str">
        <f t="shared" si="26"/>
        <v>LU000317.003</v>
      </c>
      <c r="O304" s="29" t="str">
        <f ca="1">IFERROR(__xludf.dummyfunction("VLOOKUP(N304, IMPORTRANGE(""https://docs.google.com/spreadsheets/d/1yDAaXNsi4Mr5FtRQL4tbmSdIzhx6_m4wkOD7IG-k_eo/edit#gid=0"", ""Maths!M:N""), 2, FALSE)"),"Apply the understanding of interpreting bar graphs by analyzing a given bar graph, identifying trends, and drawing conclusions")</f>
        <v>Apply the understanding of interpreting bar graphs by analyzing a given bar graph, identifying trends, and drawing conclusions</v>
      </c>
      <c r="P304" s="29" t="str">
        <f t="shared" si="27"/>
        <v>LU000317.004</v>
      </c>
      <c r="Q304" s="29" t="str">
        <f ca="1">IFERROR(__xludf.dummyfunction("VLOOKUP(P304, IMPORTRANGE(""https://docs.google.com/spreadsheets/d/1yDAaXNsi4Mr5FtRQL4tbmSdIzhx6_m4wkOD7IG-k_eo/edit#gid=0"", ""Maths!M:N""), 2, FALSE)"),"Analyse the patterns in a bar graph, discussing how variations in bar lengths reflect differences in data quantities and discussing potential reasons for the patterns observed.")</f>
        <v>Analyse the patterns in a bar graph, discussing how variations in bar lengths reflect differences in data quantities and discussing potential reasons for the patterns observed.</v>
      </c>
      <c r="R304" s="29" t="str">
        <f t="shared" si="28"/>
        <v>LU000317.005</v>
      </c>
      <c r="S304" s="29" t="str">
        <f ca="1">IFERROR(__xludf.dummyfunction("VLOOKUP(R304, IMPORTRANGE(""https://docs.google.com/spreadsheets/d/1yDAaXNsi4Mr5FtRQL4tbmSdIzhx6_m4wkOD7IG-k_eo/edit#gid=0"", ""Maths!M:N""), 2, FALSE)"),"Evaluate the effectiveness of interpretations of bar graphs, assessing the accuracy of the observations and conclusions drawn from the bar graph.")</f>
        <v>Evaluate the effectiveness of interpretations of bar graphs, assessing the accuracy of the observations and conclusions drawn from the bar graph.</v>
      </c>
      <c r="T304" s="29" t="str">
        <f t="shared" si="29"/>
        <v>LU000317.006</v>
      </c>
      <c r="U304" s="29" t="str">
        <f ca="1">IFERROR(__xludf.dummyfunction("VLOOKUP(T304, IMPORTRANGE(""https://docs.google.com/spreadsheets/d/1yDAaXNsi4Mr5FtRQL4tbmSdIzhx6_m4wkOD7IG-k_eo/edit#gid=0"", ""Maths!M:N""), 2, FALSE)"),"#N/A")</f>
        <v>#N/A</v>
      </c>
      <c r="V304" s="16">
        <f ca="1">IFERROR(__xludf.dummyfunction("ArrayFormula(VLOOKUP(G304, IMPORTRANGE(""https://docs.google.com/spreadsheets/d/1p7R4vtkWt5VOBim4ltsDG9KTzSjrtKXsMtQGXPHyND0/edit#gid=795171502"", ""'Filter 30_05_2024'!A1:M2000""), {2, 3, 4, 5,6,7,8,9,10,11,12,13}, 0))"),7)</f>
        <v>7</v>
      </c>
      <c r="W304" s="16">
        <f ca="1">IFERROR(__xludf.dummyfunction("""COMPUTED_VALUE"""),8)</f>
        <v>8</v>
      </c>
      <c r="X304" s="16">
        <f ca="1">IFERROR(__xludf.dummyfunction("""COMPUTED_VALUE"""),2)</f>
        <v>2</v>
      </c>
      <c r="Y304" s="16">
        <f ca="1">IFERROR(__xludf.dummyfunction("""COMPUTED_VALUE"""),17)</f>
        <v>17</v>
      </c>
      <c r="Z304" s="16">
        <f ca="1">IFERROR(__xludf.dummyfunction("""COMPUTED_VALUE"""),3)</f>
        <v>3</v>
      </c>
      <c r="AA304" s="30">
        <f ca="1">IFERROR(__xludf.dummyfunction("""COMPUTED_VALUE"""),6)</f>
        <v>6</v>
      </c>
      <c r="AB304" s="30">
        <f ca="1">IFERROR(__xludf.dummyfunction("""COMPUTED_VALUE"""),1)</f>
        <v>1</v>
      </c>
      <c r="AC304" s="30">
        <f ca="1">IFERROR(__xludf.dummyfunction("""COMPUTED_VALUE"""),10)</f>
        <v>10</v>
      </c>
      <c r="AD304" s="16"/>
      <c r="AE304" s="30"/>
      <c r="AF304" s="30"/>
      <c r="AG304" s="30"/>
    </row>
    <row r="305" spans="1:33" ht="26.4">
      <c r="A305" s="25"/>
      <c r="B305" s="26" t="s">
        <v>29</v>
      </c>
      <c r="C305" s="26" t="s">
        <v>310</v>
      </c>
      <c r="D305" s="26">
        <v>6</v>
      </c>
      <c r="E305" s="27" t="s">
        <v>740</v>
      </c>
      <c r="F305" s="28"/>
      <c r="G305" s="26" t="s">
        <v>755</v>
      </c>
      <c r="H305" s="28" t="str">
        <f ca="1">IFERROR(__xludf.dummyfunction("IFERROR(
  VLOOKUP(G305, IMPORTRANGE(""https://docs.google.com/spreadsheets/d/14deopnvwcrKtEGCKuYXdUHJbeLDZlkiSSWWT0g7x2pM/edit#gid=849066331"", ""LU List Maths (Filter)!A:B""), 2, FALSE),
  IFERROR(
    VLOOKUP(G305, IMPORTRANGE(""https://docs.google.com"&amp;"/spreadsheets/d/14deopnvwcrKtEGCKuYXdUHJbeLDZlkiSSWWT0g7x2pM/edit#gid=849066331"", ""LU List Science (Filter)!A:B""), 2, FALSE),
    ""Not Found""
  )
)
"),"Construction of bar graphs (horizontal and vertical)")</f>
        <v>Construction of bar graphs (horizontal and vertical)</v>
      </c>
      <c r="I305" s="28"/>
      <c r="J305" s="29" t="str">
        <f t="shared" si="24"/>
        <v>LU000318.001</v>
      </c>
      <c r="K305" s="29" t="str">
        <f ca="1">IFERROR(__xludf.dummyfunction("VLOOKUP(J305, IMPORTRANGE(""https://docs.google.com/spreadsheets/d/1yDAaXNsi4Mr5FtRQL4tbmSdIzhx6_m4wkOD7IG-k_eo/edit#gid=0"", ""Maths!M:N""), 2, FALSE)"),"State the essential steps involved in creating a bar graph.")</f>
        <v>State the essential steps involved in creating a bar graph.</v>
      </c>
      <c r="L305" s="29" t="str">
        <f t="shared" si="25"/>
        <v>LU000318.002</v>
      </c>
      <c r="M305" s="29" t="str">
        <f ca="1">IFERROR(__xludf.dummyfunction("VLOOKUP(L305, IMPORTRANGE(""https://docs.google.com/spreadsheets/d/1yDAaXNsi4Mr5FtRQL4tbmSdIzhx6_m4wkOD7IG-k_eo/edit#gid=0"", ""Maths!M:N""), 2, FALSE)"),"Describe how a bar graph is constructed by organizing data into categories, establishing a scale on the vertical/horizontal axis and using vertical/horizontal bars to visually represent quantities.")</f>
        <v>Describe how a bar graph is constructed by organizing data into categories, establishing a scale on the vertical/horizontal axis and using vertical/horizontal bars to visually represent quantities.</v>
      </c>
      <c r="N305" s="29" t="str">
        <f t="shared" si="26"/>
        <v>LU000318.003</v>
      </c>
      <c r="O305" s="29" t="str">
        <f ca="1">IFERROR(__xludf.dummyfunction("VLOOKUP(N305, IMPORTRANGE(""https://docs.google.com/spreadsheets/d/1yDAaXNsi4Mr5FtRQL4tbmSdIzhx6_m4wkOD7IG-k_eo/edit#gid=0"", ""Maths!M:N""), 2, FALSE)"),"Create a bar graph based on given data, accurately selecting categories, scaling the axes and drawing bars.")</f>
        <v>Create a bar graph based on given data, accurately selecting categories, scaling the axes and drawing bars.</v>
      </c>
      <c r="P305" s="29" t="str">
        <f t="shared" si="27"/>
        <v>LU000318.004</v>
      </c>
      <c r="Q305" s="29" t="str">
        <f ca="1">IFERROR(__xludf.dummyfunction("VLOOKUP(P305, IMPORTRANGE(""https://docs.google.com/spreadsheets/d/1yDAaXNsi4Mr5FtRQL4tbmSdIzhx6_m4wkOD7IG-k_eo/edit#gid=0"", ""Maths!M:N""), 2, FALSE)"),"Analyse the appropriateness of the chosen scale on the vertical axis for a given dataset.")</f>
        <v>Analyse the appropriateness of the chosen scale on the vertical axis for a given dataset.</v>
      </c>
      <c r="R305" s="29" t="str">
        <f t="shared" si="28"/>
        <v>LU000318.005</v>
      </c>
      <c r="S305" s="29" t="str">
        <f ca="1">IFERROR(__xludf.dummyfunction("VLOOKUP(R305, IMPORTRANGE(""https://docs.google.com/spreadsheets/d/1yDAaXNsi4Mr5FtRQL4tbmSdIzhx6_m4wkOD7IG-k_eo/edit#gid=0"", ""Maths!M:N""), 2, FALSE)"),"Evaluate the effectiveness of constructed bar graphs, assessing the accuracy of their bar lengths, the appropriateness of their scale and the overall clarity of the representation.")</f>
        <v>Evaluate the effectiveness of constructed bar graphs, assessing the accuracy of their bar lengths, the appropriateness of their scale and the overall clarity of the representation.</v>
      </c>
      <c r="T305" s="29" t="str">
        <f t="shared" si="29"/>
        <v>LU000318.006</v>
      </c>
      <c r="U305" s="29" t="str">
        <f ca="1">IFERROR(__xludf.dummyfunction("VLOOKUP(T305, IMPORTRANGE(""https://docs.google.com/spreadsheets/d/1yDAaXNsi4Mr5FtRQL4tbmSdIzhx6_m4wkOD7IG-k_eo/edit#gid=0"", ""Maths!M:N""), 2, FALSE)"),"Develop a dataset related to day to day activities and create a well-structured bar graph that effectively communicates the data's message, using thoughtful choices for categories and scales.")</f>
        <v>Develop a dataset related to day to day activities and create a well-structured bar graph that effectively communicates the data's message, using thoughtful choices for categories and scales.</v>
      </c>
      <c r="V305" s="16">
        <f ca="1">IFERROR(__xludf.dummyfunction("ArrayFormula(VLOOKUP(G305, IMPORTRANGE(""https://docs.google.com/spreadsheets/d/1p7R4vtkWt5VOBim4ltsDG9KTzSjrtKXsMtQGXPHyND0/edit#gid=795171502"", ""'Filter 30_05_2024'!A1:M2000""), {2, 3, 4, 5,6,7,8,9,10,11,12,13}, 0))"),4)</f>
        <v>4</v>
      </c>
      <c r="W305" s="16">
        <f ca="1">IFERROR(__xludf.dummyfunction("""COMPUTED_VALUE"""),18)</f>
        <v>18</v>
      </c>
      <c r="X305" s="16">
        <f ca="1">IFERROR(__xludf.dummyfunction("""COMPUTED_VALUE"""),2)</f>
        <v>2</v>
      </c>
      <c r="Y305" s="16">
        <f ca="1">IFERROR(__xludf.dummyfunction("""COMPUTED_VALUE"""),24)</f>
        <v>24</v>
      </c>
      <c r="Z305" s="16">
        <f ca="1">IFERROR(__xludf.dummyfunction("""COMPUTED_VALUE"""),4)</f>
        <v>4</v>
      </c>
      <c r="AA305" s="30">
        <f ca="1">IFERROR(__xludf.dummyfunction("""COMPUTED_VALUE"""),9)</f>
        <v>9</v>
      </c>
      <c r="AB305" s="30">
        <f ca="1">IFERROR(__xludf.dummyfunction("""COMPUTED_VALUE"""),1)</f>
        <v>1</v>
      </c>
      <c r="AC305" s="30">
        <f ca="1">IFERROR(__xludf.dummyfunction("""COMPUTED_VALUE"""),14)</f>
        <v>14</v>
      </c>
      <c r="AD305" s="16"/>
      <c r="AE305" s="30"/>
      <c r="AF305" s="30"/>
      <c r="AG305" s="30"/>
    </row>
    <row r="306" spans="1:33" ht="26.4">
      <c r="A306" s="25"/>
      <c r="B306" s="26" t="s">
        <v>29</v>
      </c>
      <c r="C306" s="26" t="s">
        <v>310</v>
      </c>
      <c r="D306" s="26">
        <v>6</v>
      </c>
      <c r="E306" s="27" t="s">
        <v>740</v>
      </c>
      <c r="F306" s="28" t="s">
        <v>756</v>
      </c>
      <c r="G306" s="26" t="s">
        <v>757</v>
      </c>
      <c r="H306" s="28" t="str">
        <f ca="1">IFERROR(__xludf.dummyfunction("IFERROR(
  VLOOKUP(G306, IMPORTRANGE(""https://docs.google.com/spreadsheets/d/14deopnvwcrKtEGCKuYXdUHJbeLDZlkiSSWWT0g7x2pM/edit#gid=849066331"", ""LU List Maths (Filter)!A:B""), 2, FALSE),
  IFERROR(
    VLOOKUP(G306, IMPORTRANGE(""https://docs.google.com"&amp;"/spreadsheets/d/14deopnvwcrKtEGCKuYXdUHJbeLDZlkiSSWWT0g7x2pM/edit#gid=849066331"", ""LU List Science (Filter)!A:B""), 2, FALSE),
    ""Not Found""
  )
)
"),"Definition of arithmetic mean/average of the observations")</f>
        <v>Definition of arithmetic mean/average of the observations</v>
      </c>
      <c r="I306" s="28"/>
      <c r="J306" s="29" t="str">
        <f t="shared" si="24"/>
        <v>LU000386.001</v>
      </c>
      <c r="K306" s="29" t="str">
        <f ca="1">IFERROR(__xludf.dummyfunction("VLOOKUP(J306, IMPORTRANGE(""https://docs.google.com/spreadsheets/d/1yDAaXNsi4Mr5FtRQL4tbmSdIzhx6_m4wkOD7IG-k_eo/edit#gid=0"", ""Maths!M:N""), 2, FALSE)"),"State the definition of the arithmetic mean of observations and explain why it is used to represent the central value of data.")</f>
        <v>State the definition of the arithmetic mean of observations and explain why it is used to represent the central value of data.</v>
      </c>
      <c r="L306" s="29" t="str">
        <f t="shared" si="25"/>
        <v>LU000386.002</v>
      </c>
      <c r="M306" s="29" t="str">
        <f ca="1">IFERROR(__xludf.dummyfunction("VLOOKUP(L306, IMPORTRANGE(""https://docs.google.com/spreadsheets/d/1yDAaXNsi4Mr5FtRQL4tbmSdIzhx6_m4wkOD7IG-k_eo/edit#gid=0"", ""Maths!M:N""), 2, FALSE)"),"Explain the concept of the arithmetic mean of observations and its mathematical calculation.")</f>
        <v>Explain the concept of the arithmetic mean of observations and its mathematical calculation.</v>
      </c>
      <c r="N306" s="29" t="str">
        <f t="shared" si="26"/>
        <v>LU000386.003</v>
      </c>
      <c r="O306" s="29" t="str">
        <f ca="1">IFERROR(__xludf.dummyfunction("VLOOKUP(N306, IMPORTRANGE(""https://docs.google.com/spreadsheets/d/1yDAaXNsi4Mr5FtRQL4tbmSdIzhx6_m4wkOD7IG-k_eo/edit#gid=0"", ""Maths!M:N""), 2, FALSE)"),"Apply the concept of the arithmetic mean of observations to calculate the mean of a given data set.")</f>
        <v>Apply the concept of the arithmetic mean of observations to calculate the mean of a given data set.</v>
      </c>
      <c r="P306" s="29" t="str">
        <f t="shared" si="27"/>
        <v>LU000386.004</v>
      </c>
      <c r="Q306" s="29" t="str">
        <f ca="1">IFERROR(__xludf.dummyfunction("VLOOKUP(P306, IMPORTRANGE(""https://docs.google.com/spreadsheets/d/1yDAaXNsi4Mr5FtRQL4tbmSdIzhx6_m4wkOD7IG-k_eo/edit#gid=0"", ""Maths!M:N""), 2, FALSE)"),"Differentiate between the arithmetic mean and other measures of central tendency (median, mode) in various data sets")</f>
        <v>Differentiate between the arithmetic mean and other measures of central tendency (median, mode) in various data sets</v>
      </c>
      <c r="R306" s="29" t="str">
        <f t="shared" si="28"/>
        <v>LU000386.005</v>
      </c>
      <c r="S306" s="29" t="str">
        <f ca="1">IFERROR(__xludf.dummyfunction("VLOOKUP(R306, IMPORTRANGE(""https://docs.google.com/spreadsheets/d/1yDAaXNsi4Mr5FtRQL4tbmSdIzhx6_m4wkOD7IG-k_eo/edit#gid=0"", ""Maths!M:N""), 2, FALSE)"),"Evaluate the strengths and limitations of using the arithmetic mean of observations as a measure of central tendency.")</f>
        <v>Evaluate the strengths and limitations of using the arithmetic mean of observations as a measure of central tendency.</v>
      </c>
      <c r="T306" s="29" t="str">
        <f t="shared" si="29"/>
        <v>LU000386.006</v>
      </c>
      <c r="U306" s="29" t="str">
        <f ca="1">IFERROR(__xludf.dummyfunction("VLOOKUP(T306, IMPORTRANGE(""https://docs.google.com/spreadsheets/d/1yDAaXNsi4Mr5FtRQL4tbmSdIzhx6_m4wkOD7IG-k_eo/edit#gid=0"", ""Maths!M:N""), 2, FALSE)"),"Design a set of data sets with specific characteristics and calculate the arithmetic mean for each while considering the data's distribution.")</f>
        <v>Design a set of data sets with specific characteristics and calculate the arithmetic mean for each while considering the data's distribution.</v>
      </c>
      <c r="V306" s="16">
        <f ca="1">IFERROR(__xludf.dummyfunction("ArrayFormula(VLOOKUP(G306, IMPORTRANGE(""https://docs.google.com/spreadsheets/d/1p7R4vtkWt5VOBim4ltsDG9KTzSjrtKXsMtQGXPHyND0/edit#gid=795171502"", ""'Filter 30_05_2024'!A1:M2000""), {2, 3, 4, 5,6,7,8,9,10,11,12,13}, 0))"),4)</f>
        <v>4</v>
      </c>
      <c r="W306" s="16">
        <f ca="1">IFERROR(__xludf.dummyfunction("""COMPUTED_VALUE"""),22)</f>
        <v>22</v>
      </c>
      <c r="X306" s="16">
        <f ca="1">IFERROR(__xludf.dummyfunction("""COMPUTED_VALUE"""),2)</f>
        <v>2</v>
      </c>
      <c r="Y306" s="16">
        <f ca="1">IFERROR(__xludf.dummyfunction("""COMPUTED_VALUE"""),28)</f>
        <v>28</v>
      </c>
      <c r="Z306" s="16">
        <f ca="1">IFERROR(__xludf.dummyfunction("""COMPUTED_VALUE"""),4)</f>
        <v>4</v>
      </c>
      <c r="AA306" s="30">
        <f ca="1">IFERROR(__xludf.dummyfunction("""COMPUTED_VALUE"""),13)</f>
        <v>13</v>
      </c>
      <c r="AB306" s="30">
        <f ca="1">IFERROR(__xludf.dummyfunction("""COMPUTED_VALUE"""),1)</f>
        <v>1</v>
      </c>
      <c r="AC306" s="30">
        <f ca="1">IFERROR(__xludf.dummyfunction("""COMPUTED_VALUE"""),18)</f>
        <v>18</v>
      </c>
      <c r="AD306" s="16"/>
      <c r="AE306" s="30"/>
      <c r="AF306" s="30"/>
      <c r="AG306" s="30"/>
    </row>
    <row r="307" spans="1:33" ht="13.8">
      <c r="A307" s="25"/>
      <c r="B307" s="26" t="s">
        <v>29</v>
      </c>
      <c r="C307" s="26" t="s">
        <v>310</v>
      </c>
      <c r="D307" s="26">
        <v>6</v>
      </c>
      <c r="E307" s="27" t="s">
        <v>740</v>
      </c>
      <c r="F307" s="28" t="s">
        <v>758</v>
      </c>
      <c r="G307" s="26" t="s">
        <v>759</v>
      </c>
      <c r="H307" s="28" t="str">
        <f ca="1">IFERROR(__xludf.dummyfunction("IFERROR(
  VLOOKUP(G307, IMPORTRANGE(""https://docs.google.com/spreadsheets/d/14deopnvwcrKtEGCKuYXdUHJbeLDZlkiSSWWT0g7x2pM/edit#gid=849066331"", ""LU List Maths (Filter)!A:B""), 2, FALSE),
  IFERROR(
    VLOOKUP(G307, IMPORTRANGE(""https://docs.google.com"&amp;"/spreadsheets/d/14deopnvwcrKtEGCKuYXdUHJbeLDZlkiSSWWT0g7x2pM/edit#gid=849066331"", ""LU List Science (Filter)!A:B""), 2, FALSE),
    ""Not Found""
  )
)
"),"Definition of median of the data")</f>
        <v>Definition of median of the data</v>
      </c>
      <c r="I307" s="28"/>
      <c r="J307" s="29" t="str">
        <f t="shared" si="24"/>
        <v>LU000389.001</v>
      </c>
      <c r="K307" s="29" t="str">
        <f ca="1">IFERROR(__xludf.dummyfunction("VLOOKUP(J307, IMPORTRANGE(""https://docs.google.com/spreadsheets/d/1yDAaXNsi4Mr5FtRQL4tbmSdIzhx6_m4wkOD7IG-k_eo/edit#gid=0"", ""Maths!M:N""), 2, FALSE)"),"State the definition of the median of observations and explain its role in finding the central value in a data set.")</f>
        <v>State the definition of the median of observations and explain its role in finding the central value in a data set.</v>
      </c>
      <c r="L307" s="29" t="str">
        <f t="shared" si="25"/>
        <v>LU000389.002</v>
      </c>
      <c r="M307" s="29" t="str">
        <f ca="1">IFERROR(__xludf.dummyfunction("VLOOKUP(L307, IMPORTRANGE(""https://docs.google.com/spreadsheets/d/1yDAaXNsi4Mr5FtRQL4tbmSdIzhx6_m4wkOD7IG-k_eo/edit#gid=0"", ""Maths!M:N""), 2, FALSE)"),"Explain how the median is determined and how it represents the middle value in an ordered data set.")</f>
        <v>Explain how the median is determined and how it represents the middle value in an ordered data set.</v>
      </c>
      <c r="N307" s="29" t="str">
        <f t="shared" si="26"/>
        <v>LU000389.003</v>
      </c>
      <c r="O307" s="29" t="str">
        <f ca="1">IFERROR(__xludf.dummyfunction("VLOOKUP(N307, IMPORTRANGE(""https://docs.google.com/spreadsheets/d/1yDAaXNsi4Mr5FtRQL4tbmSdIzhx6_m4wkOD7IG-k_eo/edit#gid=0"", ""Maths!M:N""), 2, FALSE)"),"Apply the concept of median of even/odd number of observations to find the median of a given data set.")</f>
        <v>Apply the concept of median of even/odd number of observations to find the median of a given data set.</v>
      </c>
      <c r="P307" s="29" t="str">
        <f t="shared" si="27"/>
        <v>LU000389.004</v>
      </c>
      <c r="Q307" s="29" t="str">
        <f ca="1">IFERROR(__xludf.dummyfunction("VLOOKUP(P307, IMPORTRANGE(""https://docs.google.com/spreadsheets/d/1yDAaXNsi4Mr5FtRQL4tbmSdIzhx6_m4wkOD7IG-k_eo/edit#gid=0"", ""Maths!M:N""), 2, FALSE)"),"Analyse different data sets and determine when using the median of observations is appropriate for describing central tendency.")</f>
        <v>Analyse different data sets and determine when using the median of observations is appropriate for describing central tendency.</v>
      </c>
      <c r="R307" s="29" t="str">
        <f t="shared" si="28"/>
        <v>LU000389.005</v>
      </c>
      <c r="S307" s="29" t="str">
        <f ca="1">IFERROR(__xludf.dummyfunction("VLOOKUP(R307, IMPORTRANGE(""https://docs.google.com/spreadsheets/d/1yDAaXNsi4Mr5FtRQL4tbmSdIzhx6_m4wkOD7IG-k_eo/edit#gid=0"", ""Maths!M:N""), 2, FALSE)"),"Assess whether the median accurately reflects the central value of a data set with outliers, and discuss its robustness compared to the mean.")</f>
        <v>Assess whether the median accurately reflects the central value of a data set with outliers, and discuss its robustness compared to the mean.</v>
      </c>
      <c r="T307" s="29" t="str">
        <f t="shared" si="29"/>
        <v>LU000389.006</v>
      </c>
      <c r="U307" s="29" t="str">
        <f ca="1">IFERROR(__xludf.dummyfunction("VLOOKUP(T307, IMPORTRANGE(""https://docs.google.com/spreadsheets/d/1yDAaXNsi4Mr5FtRQL4tbmSdIzhx6_m4wkOD7IG-k_eo/edit#gid=0"", ""Maths!M:N""), 2, FALSE)"),"Design a set of data sets with various arrangements and calculate and explain the median for each.")</f>
        <v>Design a set of data sets with various arrangements and calculate and explain the median for each.</v>
      </c>
      <c r="V307" s="16">
        <f ca="1">IFERROR(__xludf.dummyfunction("ArrayFormula(VLOOKUP(G307, IMPORTRANGE(""https://docs.google.com/spreadsheets/d/1p7R4vtkWt5VOBim4ltsDG9KTzSjrtKXsMtQGXPHyND0/edit#gid=795171502"", ""'Filter 30_05_2024'!A1:M2000""), {2, 3, 4, 5,6,7,8,9,10,11,12,13}, 0))"),5)</f>
        <v>5</v>
      </c>
      <c r="W307" s="16">
        <f ca="1">IFERROR(__xludf.dummyfunction("""COMPUTED_VALUE"""),6)</f>
        <v>6</v>
      </c>
      <c r="X307" s="16">
        <f ca="1">IFERROR(__xludf.dummyfunction("""COMPUTED_VALUE"""),2)</f>
        <v>2</v>
      </c>
      <c r="Y307" s="16">
        <f ca="1">IFERROR(__xludf.dummyfunction("""COMPUTED_VALUE"""),13)</f>
        <v>13</v>
      </c>
      <c r="Z307" s="16">
        <f ca="1">IFERROR(__xludf.dummyfunction("""COMPUTED_VALUE"""),6)</f>
        <v>6</v>
      </c>
      <c r="AA307" s="30">
        <f ca="1">IFERROR(__xludf.dummyfunction("""COMPUTED_VALUE"""),3)</f>
        <v>3</v>
      </c>
      <c r="AB307" s="30">
        <f ca="1">IFERROR(__xludf.dummyfunction("""COMPUTED_VALUE"""),1)</f>
        <v>1</v>
      </c>
      <c r="AC307" s="30">
        <f ca="1">IFERROR(__xludf.dummyfunction("""COMPUTED_VALUE"""),10)</f>
        <v>10</v>
      </c>
      <c r="AD307" s="16"/>
      <c r="AE307" s="30"/>
      <c r="AF307" s="30"/>
      <c r="AG307" s="30"/>
    </row>
    <row r="308" spans="1:33">
      <c r="A308" s="25"/>
      <c r="B308" s="25"/>
      <c r="C308" s="25"/>
      <c r="D308" s="25"/>
      <c r="E308" s="62"/>
      <c r="F308" s="63"/>
      <c r="G308" s="25"/>
      <c r="H308" s="63"/>
      <c r="I308" s="63"/>
      <c r="J308" s="64"/>
      <c r="K308" s="64"/>
      <c r="L308" s="64"/>
      <c r="M308" s="64"/>
      <c r="N308" s="64"/>
      <c r="O308" s="64"/>
      <c r="P308" s="64"/>
      <c r="Q308" s="64"/>
      <c r="R308" s="64"/>
      <c r="S308" s="64"/>
      <c r="T308" s="64"/>
      <c r="U308" s="64"/>
      <c r="V308" s="64"/>
      <c r="W308" s="64"/>
      <c r="X308" s="64"/>
      <c r="Y308" s="64"/>
      <c r="Z308" s="64"/>
      <c r="AA308" s="64"/>
      <c r="AB308" s="64"/>
      <c r="AC308" s="64"/>
      <c r="AD308" s="64"/>
      <c r="AE308" s="64"/>
      <c r="AF308" s="64"/>
      <c r="AG308" s="64"/>
    </row>
    <row r="309" spans="1:33" ht="13.8">
      <c r="A309" s="25"/>
      <c r="B309" s="25"/>
      <c r="C309" s="25"/>
      <c r="D309" s="25"/>
      <c r="E309" s="62"/>
      <c r="F309" s="63"/>
      <c r="G309" s="65"/>
      <c r="H309" s="66"/>
      <c r="I309" s="63"/>
      <c r="J309" s="64"/>
      <c r="K309" s="64"/>
      <c r="L309" s="64"/>
      <c r="M309" s="64"/>
      <c r="N309" s="64"/>
      <c r="O309" s="64"/>
      <c r="P309" s="64"/>
      <c r="Q309" s="64"/>
      <c r="R309" s="64"/>
      <c r="S309" s="64"/>
      <c r="T309" s="64"/>
      <c r="U309" s="64"/>
      <c r="V309" s="64"/>
      <c r="W309" s="64"/>
      <c r="X309" s="64"/>
      <c r="Y309" s="64"/>
      <c r="Z309" s="64"/>
      <c r="AA309" s="64"/>
      <c r="AB309" s="64"/>
      <c r="AC309" s="64"/>
      <c r="AD309" s="64"/>
      <c r="AE309" s="64"/>
      <c r="AF309" s="64"/>
      <c r="AG309" s="64"/>
    </row>
    <row r="310" spans="1:33">
      <c r="A310" s="25"/>
      <c r="B310" s="25"/>
      <c r="C310" s="25"/>
      <c r="D310" s="25"/>
      <c r="E310" s="62"/>
      <c r="F310" s="63"/>
      <c r="G310" s="25"/>
      <c r="H310" s="63"/>
      <c r="I310" s="63"/>
      <c r="J310" s="64"/>
      <c r="K310" s="64"/>
      <c r="L310" s="64"/>
      <c r="M310" s="64"/>
      <c r="N310" s="64"/>
      <c r="O310" s="64"/>
      <c r="P310" s="64"/>
      <c r="Q310" s="64"/>
      <c r="R310" s="64"/>
      <c r="S310" s="64"/>
      <c r="T310" s="64"/>
      <c r="U310" s="64"/>
      <c r="V310" s="64"/>
      <c r="W310" s="64"/>
      <c r="X310" s="64"/>
      <c r="Y310" s="64"/>
      <c r="Z310" s="64"/>
      <c r="AA310" s="64"/>
      <c r="AB310" s="64"/>
      <c r="AC310" s="64"/>
      <c r="AD310" s="64"/>
      <c r="AE310" s="64"/>
      <c r="AF310" s="64"/>
      <c r="AG310" s="64"/>
    </row>
    <row r="311" spans="1:33">
      <c r="A311" s="25"/>
      <c r="B311" s="25"/>
      <c r="C311" s="25"/>
      <c r="D311" s="25"/>
      <c r="E311" s="62"/>
      <c r="F311" s="63"/>
      <c r="G311" s="25"/>
      <c r="H311" s="63"/>
      <c r="I311" s="63"/>
      <c r="J311" s="64"/>
      <c r="K311" s="64"/>
      <c r="L311" s="64"/>
      <c r="M311" s="64"/>
      <c r="N311" s="64"/>
      <c r="O311" s="64"/>
      <c r="P311" s="64"/>
      <c r="Q311" s="64"/>
      <c r="R311" s="64"/>
      <c r="S311" s="64"/>
      <c r="T311" s="64"/>
      <c r="U311" s="64"/>
      <c r="V311" s="64"/>
      <c r="W311" s="64"/>
      <c r="X311" s="64"/>
      <c r="Y311" s="64"/>
      <c r="Z311" s="64"/>
      <c r="AA311" s="64"/>
      <c r="AB311" s="64"/>
      <c r="AC311" s="64"/>
      <c r="AD311" s="64"/>
      <c r="AE311" s="64"/>
      <c r="AF311" s="64"/>
      <c r="AG311" s="64"/>
    </row>
    <row r="312" spans="1:33">
      <c r="A312" s="25"/>
      <c r="B312" s="25"/>
      <c r="C312" s="25"/>
      <c r="D312" s="25"/>
      <c r="E312" s="62"/>
      <c r="F312" s="63"/>
      <c r="G312" s="25"/>
      <c r="H312" s="63"/>
      <c r="I312" s="63"/>
      <c r="J312" s="64"/>
      <c r="K312" s="64"/>
      <c r="L312" s="64"/>
      <c r="M312" s="64"/>
      <c r="N312" s="64"/>
      <c r="O312" s="64"/>
      <c r="P312" s="64"/>
      <c r="Q312" s="64"/>
      <c r="R312" s="64"/>
      <c r="S312" s="64"/>
      <c r="T312" s="64"/>
      <c r="U312" s="64"/>
      <c r="V312" s="64"/>
      <c r="W312" s="64"/>
      <c r="X312" s="64"/>
      <c r="Y312" s="64"/>
      <c r="Z312" s="64"/>
      <c r="AA312" s="64"/>
      <c r="AB312" s="64"/>
      <c r="AC312" s="64"/>
      <c r="AD312" s="64"/>
      <c r="AE312" s="64"/>
      <c r="AF312" s="64"/>
      <c r="AG312" s="64"/>
    </row>
    <row r="313" spans="1:33">
      <c r="A313" s="25"/>
      <c r="B313" s="25"/>
      <c r="C313" s="25"/>
      <c r="D313" s="25"/>
      <c r="E313" s="62"/>
      <c r="F313" s="63"/>
      <c r="G313" s="25"/>
      <c r="H313" s="63"/>
      <c r="I313" s="63"/>
      <c r="J313" s="64"/>
      <c r="K313" s="64"/>
      <c r="L313" s="64"/>
      <c r="M313" s="64"/>
      <c r="N313" s="64"/>
      <c r="O313" s="64"/>
      <c r="P313" s="64"/>
      <c r="Q313" s="64"/>
      <c r="R313" s="64"/>
      <c r="S313" s="64"/>
      <c r="T313" s="64"/>
      <c r="U313" s="64"/>
      <c r="V313" s="64"/>
      <c r="W313" s="64"/>
      <c r="X313" s="64"/>
      <c r="Y313" s="64"/>
      <c r="Z313" s="64"/>
      <c r="AA313" s="64"/>
      <c r="AB313" s="64"/>
      <c r="AC313" s="64"/>
      <c r="AD313" s="64"/>
      <c r="AE313" s="64"/>
      <c r="AF313" s="64"/>
      <c r="AG313" s="64"/>
    </row>
    <row r="314" spans="1:33">
      <c r="A314" s="25"/>
      <c r="B314" s="25"/>
      <c r="C314" s="25"/>
      <c r="D314" s="25"/>
      <c r="E314" s="62"/>
      <c r="F314" s="63"/>
      <c r="G314" s="25"/>
      <c r="H314" s="63"/>
      <c r="I314" s="63"/>
      <c r="J314" s="64"/>
      <c r="K314" s="64"/>
      <c r="L314" s="64"/>
      <c r="M314" s="64"/>
      <c r="N314" s="64"/>
      <c r="O314" s="64"/>
      <c r="P314" s="64"/>
      <c r="Q314" s="64"/>
      <c r="R314" s="64"/>
      <c r="S314" s="64"/>
      <c r="T314" s="64"/>
      <c r="U314" s="64"/>
      <c r="V314" s="64"/>
      <c r="W314" s="64"/>
      <c r="X314" s="64"/>
      <c r="Y314" s="64"/>
      <c r="Z314" s="64"/>
      <c r="AA314" s="64"/>
      <c r="AB314" s="64"/>
      <c r="AC314" s="64"/>
      <c r="AD314" s="64"/>
      <c r="AE314" s="64"/>
      <c r="AF314" s="64"/>
      <c r="AG314" s="64"/>
    </row>
    <row r="315" spans="1:33">
      <c r="A315" s="25"/>
      <c r="B315" s="25"/>
      <c r="C315" s="25"/>
      <c r="D315" s="25"/>
      <c r="E315" s="62"/>
      <c r="F315" s="63"/>
      <c r="G315" s="25"/>
      <c r="H315" s="63"/>
      <c r="I315" s="63"/>
      <c r="J315" s="64"/>
      <c r="K315" s="64"/>
      <c r="L315" s="64"/>
      <c r="M315" s="64"/>
      <c r="N315" s="64"/>
      <c r="O315" s="64"/>
      <c r="P315" s="64"/>
      <c r="Q315" s="64"/>
      <c r="R315" s="64"/>
      <c r="S315" s="64"/>
      <c r="T315" s="64"/>
      <c r="U315" s="64"/>
      <c r="V315" s="64"/>
      <c r="W315" s="64"/>
      <c r="X315" s="64"/>
      <c r="Y315" s="64"/>
      <c r="Z315" s="64"/>
      <c r="AA315" s="64"/>
      <c r="AB315" s="64"/>
      <c r="AC315" s="64"/>
      <c r="AD315" s="64"/>
      <c r="AE315" s="64"/>
      <c r="AF315" s="64"/>
      <c r="AG315" s="64"/>
    </row>
    <row r="316" spans="1:33">
      <c r="A316" s="25"/>
      <c r="B316" s="25"/>
      <c r="C316" s="25"/>
      <c r="D316" s="25"/>
      <c r="E316" s="62"/>
      <c r="F316" s="63"/>
      <c r="G316" s="25"/>
      <c r="H316" s="63"/>
      <c r="I316" s="63"/>
      <c r="J316" s="64"/>
      <c r="K316" s="64"/>
      <c r="L316" s="64"/>
      <c r="M316" s="64"/>
      <c r="N316" s="64"/>
      <c r="O316" s="64"/>
      <c r="P316" s="64"/>
      <c r="Q316" s="64"/>
      <c r="R316" s="64"/>
      <c r="S316" s="64"/>
      <c r="T316" s="64"/>
      <c r="U316" s="64"/>
      <c r="V316" s="64"/>
      <c r="W316" s="64"/>
      <c r="X316" s="64"/>
      <c r="Y316" s="64"/>
      <c r="Z316" s="64"/>
      <c r="AA316" s="64"/>
      <c r="AB316" s="64"/>
      <c r="AC316" s="64"/>
      <c r="AD316" s="64"/>
      <c r="AE316" s="64"/>
      <c r="AF316" s="64"/>
      <c r="AG316" s="64"/>
    </row>
    <row r="317" spans="1:33">
      <c r="A317" s="25"/>
      <c r="B317" s="25"/>
      <c r="C317" s="25"/>
      <c r="D317" s="25"/>
      <c r="E317" s="62"/>
      <c r="F317" s="63"/>
      <c r="G317" s="25"/>
      <c r="H317" s="63"/>
      <c r="I317" s="63"/>
      <c r="J317" s="64"/>
      <c r="K317" s="64"/>
      <c r="L317" s="64"/>
      <c r="M317" s="64"/>
      <c r="N317" s="64"/>
      <c r="O317" s="64"/>
      <c r="P317" s="64"/>
      <c r="Q317" s="64"/>
      <c r="R317" s="64"/>
      <c r="S317" s="64"/>
      <c r="T317" s="64"/>
      <c r="U317" s="64"/>
      <c r="V317" s="64"/>
      <c r="W317" s="64"/>
      <c r="X317" s="64"/>
      <c r="Y317" s="64"/>
      <c r="Z317" s="64"/>
      <c r="AA317" s="64"/>
      <c r="AB317" s="64"/>
      <c r="AC317" s="64"/>
      <c r="AD317" s="64"/>
      <c r="AE317" s="64"/>
      <c r="AF317" s="64"/>
      <c r="AG317" s="64"/>
    </row>
    <row r="318" spans="1:33">
      <c r="A318" s="25"/>
      <c r="B318" s="25"/>
      <c r="C318" s="25"/>
      <c r="D318" s="25"/>
      <c r="E318" s="62"/>
      <c r="F318" s="63"/>
      <c r="G318" s="25"/>
      <c r="H318" s="63"/>
      <c r="I318" s="63"/>
      <c r="J318" s="64"/>
      <c r="K318" s="64"/>
      <c r="L318" s="64"/>
      <c r="M318" s="64"/>
      <c r="N318" s="64"/>
      <c r="O318" s="64"/>
      <c r="P318" s="64"/>
      <c r="Q318" s="64"/>
      <c r="R318" s="64"/>
      <c r="S318" s="64"/>
      <c r="T318" s="64"/>
      <c r="U318" s="64"/>
      <c r="V318" s="64"/>
      <c r="W318" s="64"/>
      <c r="X318" s="64"/>
      <c r="Y318" s="64"/>
      <c r="Z318" s="64"/>
      <c r="AA318" s="64"/>
      <c r="AB318" s="64"/>
      <c r="AC318" s="64"/>
      <c r="AD318" s="64"/>
      <c r="AE318" s="64"/>
      <c r="AF318" s="64"/>
      <c r="AG318" s="64"/>
    </row>
    <row r="319" spans="1:33">
      <c r="A319" s="25"/>
      <c r="B319" s="25"/>
      <c r="C319" s="25"/>
      <c r="D319" s="25"/>
      <c r="E319" s="62"/>
      <c r="F319" s="63"/>
      <c r="G319" s="25"/>
      <c r="H319" s="63"/>
      <c r="I319" s="63"/>
      <c r="J319" s="64"/>
      <c r="K319" s="64"/>
      <c r="L319" s="64"/>
      <c r="M319" s="64"/>
      <c r="N319" s="64"/>
      <c r="O319" s="64"/>
      <c r="P319" s="64"/>
      <c r="Q319" s="64"/>
      <c r="R319" s="64"/>
      <c r="S319" s="64"/>
      <c r="T319" s="64"/>
      <c r="U319" s="64"/>
      <c r="V319" s="64"/>
      <c r="W319" s="64"/>
      <c r="X319" s="64"/>
      <c r="Y319" s="64"/>
      <c r="Z319" s="64"/>
      <c r="AA319" s="64"/>
      <c r="AB319" s="64"/>
      <c r="AC319" s="64"/>
      <c r="AD319" s="64"/>
      <c r="AE319" s="64"/>
      <c r="AF319" s="64"/>
      <c r="AG319" s="64"/>
    </row>
    <row r="320" spans="1:33">
      <c r="A320" s="25"/>
      <c r="B320" s="25"/>
      <c r="C320" s="25"/>
      <c r="D320" s="25"/>
      <c r="E320" s="62"/>
      <c r="F320" s="63"/>
      <c r="G320" s="25"/>
      <c r="H320" s="63"/>
      <c r="I320" s="63"/>
      <c r="J320" s="64"/>
      <c r="K320" s="64"/>
      <c r="L320" s="64"/>
      <c r="M320" s="64"/>
      <c r="N320" s="64"/>
      <c r="O320" s="64"/>
      <c r="P320" s="64"/>
      <c r="Q320" s="64"/>
      <c r="R320" s="64"/>
      <c r="S320" s="64"/>
      <c r="T320" s="64"/>
      <c r="U320" s="64"/>
      <c r="V320" s="64"/>
      <c r="W320" s="64"/>
      <c r="X320" s="64"/>
      <c r="Y320" s="64"/>
      <c r="Z320" s="64"/>
      <c r="AA320" s="64"/>
      <c r="AB320" s="64"/>
      <c r="AC320" s="64"/>
      <c r="AD320" s="64"/>
      <c r="AE320" s="64"/>
      <c r="AF320" s="64"/>
      <c r="AG320" s="64"/>
    </row>
    <row r="321" spans="1:33">
      <c r="A321" s="25"/>
      <c r="B321" s="25"/>
      <c r="C321" s="25"/>
      <c r="D321" s="25"/>
      <c r="E321" s="62"/>
      <c r="F321" s="63"/>
      <c r="G321" s="25"/>
      <c r="H321" s="63"/>
      <c r="I321" s="63"/>
      <c r="J321" s="64"/>
      <c r="K321" s="64"/>
      <c r="L321" s="64"/>
      <c r="M321" s="64"/>
      <c r="N321" s="64"/>
      <c r="O321" s="64"/>
      <c r="P321" s="64"/>
      <c r="Q321" s="64"/>
      <c r="R321" s="64"/>
      <c r="S321" s="64"/>
      <c r="T321" s="64"/>
      <c r="U321" s="64"/>
      <c r="V321" s="64"/>
      <c r="W321" s="64"/>
      <c r="X321" s="64"/>
      <c r="Y321" s="64"/>
      <c r="Z321" s="64"/>
      <c r="AA321" s="64"/>
      <c r="AB321" s="64"/>
      <c r="AC321" s="64"/>
      <c r="AD321" s="64"/>
      <c r="AE321" s="64"/>
      <c r="AF321" s="64"/>
      <c r="AG321" s="64"/>
    </row>
    <row r="322" spans="1:33">
      <c r="A322" s="25"/>
      <c r="B322" s="25"/>
      <c r="C322" s="25"/>
      <c r="D322" s="25"/>
      <c r="E322" s="62"/>
      <c r="F322" s="63"/>
      <c r="G322" s="25"/>
      <c r="H322" s="63"/>
      <c r="I322" s="63"/>
      <c r="J322" s="64"/>
      <c r="K322" s="64"/>
      <c r="L322" s="64"/>
      <c r="M322" s="64"/>
      <c r="N322" s="64"/>
      <c r="O322" s="64"/>
      <c r="P322" s="64"/>
      <c r="Q322" s="64"/>
      <c r="R322" s="64"/>
      <c r="S322" s="64"/>
      <c r="T322" s="64"/>
      <c r="U322" s="64"/>
      <c r="V322" s="64"/>
      <c r="W322" s="64"/>
      <c r="X322" s="64"/>
      <c r="Y322" s="64"/>
      <c r="Z322" s="64"/>
      <c r="AA322" s="64"/>
      <c r="AB322" s="64"/>
      <c r="AC322" s="64"/>
      <c r="AD322" s="64"/>
      <c r="AE322" s="64"/>
      <c r="AF322" s="64"/>
      <c r="AG322" s="64"/>
    </row>
    <row r="323" spans="1:33">
      <c r="A323" s="25"/>
      <c r="B323" s="25"/>
      <c r="C323" s="25"/>
      <c r="D323" s="25"/>
      <c r="E323" s="62"/>
      <c r="F323" s="63"/>
      <c r="G323" s="25"/>
      <c r="H323" s="63"/>
      <c r="I323" s="63"/>
      <c r="J323" s="64"/>
      <c r="K323" s="64"/>
      <c r="L323" s="64"/>
      <c r="M323" s="64"/>
      <c r="N323" s="64"/>
      <c r="O323" s="64"/>
      <c r="P323" s="64"/>
      <c r="Q323" s="64"/>
      <c r="R323" s="64"/>
      <c r="S323" s="64"/>
      <c r="T323" s="64"/>
      <c r="U323" s="64"/>
      <c r="V323" s="64"/>
      <c r="W323" s="64"/>
      <c r="X323" s="64"/>
      <c r="Y323" s="64"/>
      <c r="Z323" s="64"/>
      <c r="AA323" s="64"/>
      <c r="AB323" s="64"/>
      <c r="AC323" s="64"/>
      <c r="AD323" s="64"/>
      <c r="AE323" s="64"/>
      <c r="AF323" s="64"/>
      <c r="AG323" s="64"/>
    </row>
    <row r="324" spans="1:33">
      <c r="A324" s="25"/>
      <c r="B324" s="25"/>
      <c r="C324" s="25"/>
      <c r="D324" s="25"/>
      <c r="E324" s="62"/>
      <c r="F324" s="63"/>
      <c r="G324" s="25"/>
      <c r="H324" s="63"/>
      <c r="I324" s="63"/>
      <c r="J324" s="64"/>
      <c r="K324" s="64"/>
      <c r="L324" s="64"/>
      <c r="M324" s="64"/>
      <c r="N324" s="64"/>
      <c r="O324" s="64"/>
      <c r="P324" s="64"/>
      <c r="Q324" s="64"/>
      <c r="R324" s="64"/>
      <c r="S324" s="64"/>
      <c r="T324" s="64"/>
      <c r="U324" s="64"/>
      <c r="V324" s="64"/>
      <c r="W324" s="64"/>
      <c r="X324" s="64"/>
      <c r="Y324" s="64"/>
      <c r="Z324" s="64"/>
      <c r="AA324" s="64"/>
      <c r="AB324" s="64"/>
      <c r="AC324" s="64"/>
      <c r="AD324" s="64"/>
      <c r="AE324" s="64"/>
      <c r="AF324" s="64"/>
      <c r="AG324" s="64"/>
    </row>
    <row r="325" spans="1:33">
      <c r="A325" s="25"/>
      <c r="B325" s="25"/>
      <c r="C325" s="25"/>
      <c r="D325" s="25"/>
      <c r="E325" s="62"/>
      <c r="F325" s="63"/>
      <c r="G325" s="25"/>
      <c r="H325" s="63"/>
      <c r="I325" s="63"/>
      <c r="J325" s="64"/>
      <c r="K325" s="64"/>
      <c r="L325" s="64"/>
      <c r="M325" s="64"/>
      <c r="N325" s="64"/>
      <c r="O325" s="64"/>
      <c r="P325" s="64"/>
      <c r="Q325" s="64"/>
      <c r="R325" s="64"/>
      <c r="S325" s="64"/>
      <c r="T325" s="64"/>
      <c r="U325" s="64"/>
      <c r="V325" s="64"/>
      <c r="W325" s="64"/>
      <c r="X325" s="64"/>
      <c r="Y325" s="64"/>
      <c r="Z325" s="64"/>
      <c r="AA325" s="64"/>
      <c r="AB325" s="64"/>
      <c r="AC325" s="64"/>
      <c r="AD325" s="64"/>
      <c r="AE325" s="64"/>
      <c r="AF325" s="64"/>
      <c r="AG325" s="64"/>
    </row>
    <row r="326" spans="1:33">
      <c r="A326" s="25"/>
      <c r="B326" s="25"/>
      <c r="C326" s="25"/>
      <c r="D326" s="25"/>
      <c r="E326" s="62"/>
      <c r="F326" s="63"/>
      <c r="G326" s="25"/>
      <c r="H326" s="63"/>
      <c r="I326" s="63"/>
      <c r="J326" s="64"/>
      <c r="K326" s="64"/>
      <c r="L326" s="64"/>
      <c r="M326" s="64"/>
      <c r="N326" s="64"/>
      <c r="O326" s="64"/>
      <c r="P326" s="64"/>
      <c r="Q326" s="64"/>
      <c r="R326" s="64"/>
      <c r="S326" s="64"/>
      <c r="T326" s="64"/>
      <c r="U326" s="64"/>
      <c r="V326" s="64"/>
      <c r="W326" s="64"/>
      <c r="X326" s="64"/>
      <c r="Y326" s="64"/>
      <c r="Z326" s="64"/>
      <c r="AA326" s="64"/>
      <c r="AB326" s="64"/>
      <c r="AC326" s="64"/>
      <c r="AD326" s="64"/>
      <c r="AE326" s="64"/>
      <c r="AF326" s="64"/>
      <c r="AG326" s="64"/>
    </row>
    <row r="327" spans="1:33">
      <c r="A327" s="25"/>
      <c r="B327" s="25"/>
      <c r="C327" s="25"/>
      <c r="D327" s="25"/>
      <c r="E327" s="62"/>
      <c r="F327" s="63"/>
      <c r="G327" s="25"/>
      <c r="H327" s="63"/>
      <c r="I327" s="63"/>
      <c r="J327" s="64"/>
      <c r="K327" s="64"/>
      <c r="L327" s="64"/>
      <c r="M327" s="64"/>
      <c r="N327" s="64"/>
      <c r="O327" s="64"/>
      <c r="P327" s="64"/>
      <c r="Q327" s="64"/>
      <c r="R327" s="64"/>
      <c r="S327" s="64"/>
      <c r="T327" s="64"/>
      <c r="U327" s="64"/>
      <c r="V327" s="64"/>
      <c r="W327" s="64"/>
      <c r="X327" s="64"/>
      <c r="Y327" s="64"/>
      <c r="Z327" s="64"/>
      <c r="AA327" s="64"/>
      <c r="AB327" s="64"/>
      <c r="AC327" s="64"/>
      <c r="AD327" s="64"/>
      <c r="AE327" s="64"/>
      <c r="AF327" s="64"/>
      <c r="AG327" s="64"/>
    </row>
    <row r="328" spans="1:33">
      <c r="A328" s="25"/>
      <c r="B328" s="25"/>
      <c r="C328" s="25"/>
      <c r="D328" s="25"/>
      <c r="E328" s="62"/>
      <c r="F328" s="63"/>
      <c r="G328" s="25"/>
      <c r="H328" s="63"/>
      <c r="I328" s="63"/>
      <c r="J328" s="64"/>
      <c r="K328" s="64"/>
      <c r="L328" s="64"/>
      <c r="M328" s="64"/>
      <c r="N328" s="64"/>
      <c r="O328" s="64"/>
      <c r="P328" s="64"/>
      <c r="Q328" s="64"/>
      <c r="R328" s="64"/>
      <c r="S328" s="64"/>
      <c r="T328" s="64"/>
      <c r="U328" s="64"/>
      <c r="V328" s="64"/>
      <c r="W328" s="64"/>
      <c r="X328" s="64"/>
      <c r="Y328" s="64"/>
      <c r="Z328" s="64"/>
      <c r="AA328" s="64"/>
      <c r="AB328" s="64"/>
      <c r="AC328" s="64"/>
      <c r="AD328" s="64"/>
      <c r="AE328" s="64"/>
      <c r="AF328" s="64"/>
      <c r="AG328" s="64"/>
    </row>
    <row r="329" spans="1:33">
      <c r="A329" s="25"/>
      <c r="B329" s="25"/>
      <c r="C329" s="25"/>
      <c r="D329" s="25"/>
      <c r="E329" s="62"/>
      <c r="F329" s="63"/>
      <c r="G329" s="25"/>
      <c r="H329" s="63"/>
      <c r="I329" s="63"/>
      <c r="J329" s="64"/>
      <c r="K329" s="64"/>
      <c r="L329" s="64"/>
      <c r="M329" s="64"/>
      <c r="N329" s="64"/>
      <c r="O329" s="64"/>
      <c r="P329" s="64"/>
      <c r="Q329" s="64"/>
      <c r="R329" s="64"/>
      <c r="S329" s="64"/>
      <c r="T329" s="64"/>
      <c r="U329" s="64"/>
      <c r="V329" s="64"/>
      <c r="W329" s="64"/>
      <c r="X329" s="64"/>
      <c r="Y329" s="64"/>
      <c r="Z329" s="64"/>
      <c r="AA329" s="64"/>
      <c r="AB329" s="64"/>
      <c r="AC329" s="64"/>
      <c r="AD329" s="64"/>
      <c r="AE329" s="64"/>
      <c r="AF329" s="64"/>
      <c r="AG329" s="64"/>
    </row>
    <row r="330" spans="1:33">
      <c r="A330" s="25"/>
      <c r="B330" s="25"/>
      <c r="C330" s="25"/>
      <c r="D330" s="25"/>
      <c r="E330" s="62"/>
      <c r="F330" s="63"/>
      <c r="G330" s="25"/>
      <c r="H330" s="63"/>
      <c r="I330" s="63"/>
      <c r="J330" s="64"/>
      <c r="K330" s="64"/>
      <c r="L330" s="64"/>
      <c r="M330" s="64"/>
      <c r="N330" s="64"/>
      <c r="O330" s="64"/>
      <c r="P330" s="64"/>
      <c r="Q330" s="64"/>
      <c r="R330" s="64"/>
      <c r="S330" s="64"/>
      <c r="T330" s="64"/>
      <c r="U330" s="64"/>
      <c r="V330" s="64"/>
      <c r="W330" s="64"/>
      <c r="X330" s="64"/>
      <c r="Y330" s="64"/>
      <c r="Z330" s="64"/>
      <c r="AA330" s="64"/>
      <c r="AB330" s="64"/>
      <c r="AC330" s="64"/>
      <c r="AD330" s="64"/>
      <c r="AE330" s="64"/>
      <c r="AF330" s="64"/>
      <c r="AG330" s="64"/>
    </row>
    <row r="331" spans="1:33">
      <c r="A331" s="25"/>
      <c r="B331" s="25"/>
      <c r="C331" s="25"/>
      <c r="D331" s="25"/>
      <c r="E331" s="62"/>
      <c r="F331" s="63"/>
      <c r="G331" s="25"/>
      <c r="H331" s="63"/>
      <c r="I331" s="63"/>
      <c r="J331" s="64"/>
      <c r="K331" s="64"/>
      <c r="L331" s="64"/>
      <c r="M331" s="64"/>
      <c r="N331" s="64"/>
      <c r="O331" s="64"/>
      <c r="P331" s="64"/>
      <c r="Q331" s="64"/>
      <c r="R331" s="64"/>
      <c r="S331" s="64"/>
      <c r="T331" s="64"/>
      <c r="U331" s="64"/>
      <c r="V331" s="64"/>
      <c r="W331" s="64"/>
      <c r="X331" s="64"/>
      <c r="Y331" s="64"/>
      <c r="Z331" s="64"/>
      <c r="AA331" s="64"/>
      <c r="AB331" s="64"/>
      <c r="AC331" s="64"/>
      <c r="AD331" s="64"/>
      <c r="AE331" s="64"/>
      <c r="AF331" s="64"/>
      <c r="AG331" s="64"/>
    </row>
    <row r="332" spans="1:33">
      <c r="A332" s="25"/>
      <c r="B332" s="25"/>
      <c r="C332" s="25"/>
      <c r="D332" s="25"/>
      <c r="E332" s="62"/>
      <c r="F332" s="63"/>
      <c r="G332" s="25"/>
      <c r="H332" s="63"/>
      <c r="I332" s="63"/>
      <c r="J332" s="64"/>
      <c r="K332" s="64"/>
      <c r="L332" s="64"/>
      <c r="M332" s="64"/>
      <c r="N332" s="64"/>
      <c r="O332" s="64"/>
      <c r="P332" s="64"/>
      <c r="Q332" s="64"/>
      <c r="R332" s="64"/>
      <c r="S332" s="64"/>
      <c r="T332" s="64"/>
      <c r="U332" s="64"/>
      <c r="V332" s="64"/>
      <c r="W332" s="64"/>
      <c r="X332" s="64"/>
      <c r="Y332" s="64"/>
      <c r="Z332" s="64"/>
      <c r="AA332" s="64"/>
      <c r="AB332" s="64"/>
      <c r="AC332" s="64"/>
      <c r="AD332" s="64"/>
      <c r="AE332" s="64"/>
      <c r="AF332" s="64"/>
      <c r="AG332" s="64"/>
    </row>
    <row r="333" spans="1:33">
      <c r="A333" s="25"/>
      <c r="B333" s="25"/>
      <c r="C333" s="25"/>
      <c r="D333" s="25"/>
      <c r="E333" s="62"/>
      <c r="F333" s="63"/>
      <c r="G333" s="25"/>
      <c r="H333" s="63"/>
      <c r="I333" s="63"/>
      <c r="J333" s="64"/>
      <c r="K333" s="64"/>
      <c r="L333" s="64"/>
      <c r="M333" s="64"/>
      <c r="N333" s="64"/>
      <c r="O333" s="64"/>
      <c r="P333" s="64"/>
      <c r="Q333" s="64"/>
      <c r="R333" s="64"/>
      <c r="S333" s="64"/>
      <c r="T333" s="64"/>
      <c r="U333" s="64"/>
      <c r="V333" s="64"/>
      <c r="W333" s="64"/>
      <c r="X333" s="64"/>
      <c r="Y333" s="64"/>
      <c r="Z333" s="64"/>
      <c r="AA333" s="64"/>
      <c r="AB333" s="64"/>
      <c r="AC333" s="64"/>
      <c r="AD333" s="64"/>
      <c r="AE333" s="64"/>
      <c r="AF333" s="64"/>
      <c r="AG333" s="64"/>
    </row>
    <row r="334" spans="1:33">
      <c r="A334" s="25"/>
      <c r="B334" s="25"/>
      <c r="C334" s="25"/>
      <c r="D334" s="25"/>
      <c r="E334" s="62"/>
      <c r="F334" s="63"/>
      <c r="G334" s="25"/>
      <c r="H334" s="63"/>
      <c r="I334" s="63"/>
      <c r="J334" s="64"/>
      <c r="K334" s="64"/>
      <c r="L334" s="64"/>
      <c r="M334" s="64"/>
      <c r="N334" s="64"/>
      <c r="O334" s="64"/>
      <c r="P334" s="64"/>
      <c r="Q334" s="64"/>
      <c r="R334" s="64"/>
      <c r="S334" s="64"/>
      <c r="T334" s="64"/>
      <c r="U334" s="64"/>
      <c r="V334" s="64"/>
      <c r="W334" s="64"/>
      <c r="X334" s="64"/>
      <c r="Y334" s="64"/>
      <c r="Z334" s="64"/>
      <c r="AA334" s="64"/>
      <c r="AB334" s="64"/>
      <c r="AC334" s="64"/>
      <c r="AD334" s="64"/>
      <c r="AE334" s="64"/>
      <c r="AF334" s="64"/>
      <c r="AG334" s="64"/>
    </row>
    <row r="335" spans="1:33">
      <c r="A335" s="25"/>
      <c r="B335" s="25"/>
      <c r="C335" s="25"/>
      <c r="D335" s="25"/>
      <c r="E335" s="62"/>
      <c r="F335" s="63"/>
      <c r="G335" s="25"/>
      <c r="H335" s="63"/>
      <c r="I335" s="63"/>
      <c r="J335" s="64"/>
      <c r="K335" s="64"/>
      <c r="L335" s="64"/>
      <c r="M335" s="64"/>
      <c r="N335" s="64"/>
      <c r="O335" s="64"/>
      <c r="P335" s="64"/>
      <c r="Q335" s="64"/>
      <c r="R335" s="64"/>
      <c r="S335" s="64"/>
      <c r="T335" s="64"/>
      <c r="U335" s="64"/>
      <c r="V335" s="64"/>
      <c r="W335" s="64"/>
      <c r="X335" s="64"/>
      <c r="Y335" s="64"/>
      <c r="Z335" s="64"/>
      <c r="AA335" s="64"/>
      <c r="AB335" s="64"/>
      <c r="AC335" s="64"/>
      <c r="AD335" s="64"/>
      <c r="AE335" s="64"/>
      <c r="AF335" s="64"/>
      <c r="AG335" s="64"/>
    </row>
    <row r="336" spans="1:33">
      <c r="A336" s="25"/>
      <c r="B336" s="25"/>
      <c r="C336" s="25"/>
      <c r="D336" s="25"/>
      <c r="E336" s="62"/>
      <c r="F336" s="63"/>
      <c r="G336" s="25"/>
      <c r="H336" s="63"/>
      <c r="I336" s="63"/>
      <c r="J336" s="64"/>
      <c r="K336" s="64"/>
      <c r="L336" s="64"/>
      <c r="M336" s="64"/>
      <c r="N336" s="64"/>
      <c r="O336" s="64"/>
      <c r="P336" s="64"/>
      <c r="Q336" s="64"/>
      <c r="R336" s="64"/>
      <c r="S336" s="64"/>
      <c r="T336" s="64"/>
      <c r="U336" s="64"/>
      <c r="V336" s="64"/>
      <c r="W336" s="64"/>
      <c r="X336" s="64"/>
      <c r="Y336" s="64"/>
      <c r="Z336" s="64"/>
      <c r="AA336" s="64"/>
      <c r="AB336" s="64"/>
      <c r="AC336" s="64"/>
      <c r="AD336" s="64"/>
      <c r="AE336" s="64"/>
      <c r="AF336" s="64"/>
      <c r="AG336" s="64"/>
    </row>
    <row r="337" spans="1:33">
      <c r="A337" s="25"/>
      <c r="B337" s="25"/>
      <c r="C337" s="25"/>
      <c r="D337" s="25"/>
      <c r="E337" s="62"/>
      <c r="F337" s="63"/>
      <c r="G337" s="25"/>
      <c r="H337" s="63"/>
      <c r="I337" s="63"/>
      <c r="J337" s="64"/>
      <c r="K337" s="64"/>
      <c r="L337" s="64"/>
      <c r="M337" s="64"/>
      <c r="N337" s="64"/>
      <c r="O337" s="64"/>
      <c r="P337" s="64"/>
      <c r="Q337" s="64"/>
      <c r="R337" s="64"/>
      <c r="S337" s="64"/>
      <c r="T337" s="64"/>
      <c r="U337" s="64"/>
      <c r="V337" s="64"/>
      <c r="W337" s="64"/>
      <c r="X337" s="64"/>
      <c r="Y337" s="64"/>
      <c r="Z337" s="64"/>
      <c r="AA337" s="64"/>
      <c r="AB337" s="64"/>
      <c r="AC337" s="64"/>
      <c r="AD337" s="64"/>
      <c r="AE337" s="64"/>
      <c r="AF337" s="64"/>
      <c r="AG337" s="64"/>
    </row>
    <row r="338" spans="1:33">
      <c r="A338" s="25"/>
      <c r="B338" s="25"/>
      <c r="C338" s="25"/>
      <c r="D338" s="25"/>
      <c r="E338" s="62"/>
      <c r="F338" s="63"/>
      <c r="G338" s="25"/>
      <c r="H338" s="63"/>
      <c r="I338" s="63"/>
      <c r="J338" s="64"/>
      <c r="K338" s="64"/>
      <c r="L338" s="64"/>
      <c r="M338" s="64"/>
      <c r="N338" s="64"/>
      <c r="O338" s="64"/>
      <c r="P338" s="64"/>
      <c r="Q338" s="64"/>
      <c r="R338" s="64"/>
      <c r="S338" s="64"/>
      <c r="T338" s="64"/>
      <c r="U338" s="64"/>
      <c r="V338" s="64"/>
      <c r="W338" s="64"/>
      <c r="X338" s="64"/>
      <c r="Y338" s="64"/>
      <c r="Z338" s="64"/>
      <c r="AA338" s="64"/>
      <c r="AB338" s="64"/>
      <c r="AC338" s="64"/>
      <c r="AD338" s="64"/>
      <c r="AE338" s="64"/>
      <c r="AF338" s="64"/>
      <c r="AG338" s="64"/>
    </row>
    <row r="339" spans="1:33">
      <c r="A339" s="25"/>
      <c r="B339" s="25"/>
      <c r="C339" s="25"/>
      <c r="D339" s="25"/>
      <c r="E339" s="62"/>
      <c r="F339" s="63"/>
      <c r="G339" s="25"/>
      <c r="H339" s="63"/>
      <c r="I339" s="63"/>
      <c r="J339" s="64"/>
      <c r="K339" s="64"/>
      <c r="L339" s="64"/>
      <c r="M339" s="64"/>
      <c r="N339" s="64"/>
      <c r="O339" s="64"/>
      <c r="P339" s="64"/>
      <c r="Q339" s="64"/>
      <c r="R339" s="64"/>
      <c r="S339" s="64"/>
      <c r="T339" s="64"/>
      <c r="U339" s="64"/>
      <c r="V339" s="64"/>
      <c r="W339" s="64"/>
      <c r="X339" s="64"/>
      <c r="Y339" s="64"/>
      <c r="Z339" s="64"/>
      <c r="AA339" s="64"/>
      <c r="AB339" s="64"/>
      <c r="AC339" s="64"/>
      <c r="AD339" s="64"/>
      <c r="AE339" s="64"/>
      <c r="AF339" s="64"/>
      <c r="AG339" s="64"/>
    </row>
    <row r="340" spans="1:33">
      <c r="A340" s="25"/>
      <c r="B340" s="25"/>
      <c r="C340" s="25"/>
      <c r="D340" s="25"/>
      <c r="E340" s="62"/>
      <c r="F340" s="63"/>
      <c r="G340" s="25"/>
      <c r="H340" s="63"/>
      <c r="I340" s="63"/>
      <c r="J340" s="64"/>
      <c r="K340" s="64"/>
      <c r="L340" s="64"/>
      <c r="M340" s="64"/>
      <c r="N340" s="64"/>
      <c r="O340" s="64"/>
      <c r="P340" s="64"/>
      <c r="Q340" s="64"/>
      <c r="R340" s="64"/>
      <c r="S340" s="64"/>
      <c r="T340" s="64"/>
      <c r="U340" s="64"/>
      <c r="V340" s="64"/>
      <c r="W340" s="64"/>
      <c r="X340" s="64"/>
      <c r="Y340" s="64"/>
      <c r="Z340" s="64"/>
      <c r="AA340" s="64"/>
      <c r="AB340" s="64"/>
      <c r="AC340" s="64"/>
      <c r="AD340" s="64"/>
      <c r="AE340" s="64"/>
      <c r="AF340" s="64"/>
      <c r="AG340" s="64"/>
    </row>
    <row r="341" spans="1:33">
      <c r="A341" s="25"/>
      <c r="B341" s="25"/>
      <c r="C341" s="25"/>
      <c r="D341" s="25"/>
      <c r="E341" s="62"/>
      <c r="F341" s="63"/>
      <c r="G341" s="25"/>
      <c r="H341" s="63"/>
      <c r="I341" s="63"/>
      <c r="J341" s="64"/>
      <c r="K341" s="64"/>
      <c r="L341" s="64"/>
      <c r="M341" s="64"/>
      <c r="N341" s="64"/>
      <c r="O341" s="64"/>
      <c r="P341" s="64"/>
      <c r="Q341" s="64"/>
      <c r="R341" s="64"/>
      <c r="S341" s="64"/>
      <c r="T341" s="64"/>
      <c r="U341" s="64"/>
      <c r="V341" s="64"/>
      <c r="W341" s="64"/>
      <c r="X341" s="64"/>
      <c r="Y341" s="64"/>
      <c r="Z341" s="64"/>
      <c r="AA341" s="64"/>
      <c r="AB341" s="64"/>
      <c r="AC341" s="64"/>
      <c r="AD341" s="64"/>
      <c r="AE341" s="64"/>
      <c r="AF341" s="64"/>
      <c r="AG341" s="64"/>
    </row>
    <row r="342" spans="1:33">
      <c r="A342" s="25"/>
      <c r="B342" s="25"/>
      <c r="C342" s="25"/>
      <c r="D342" s="25"/>
      <c r="E342" s="62"/>
      <c r="F342" s="63"/>
      <c r="G342" s="25"/>
      <c r="H342" s="63"/>
      <c r="I342" s="63"/>
      <c r="J342" s="64"/>
      <c r="K342" s="64"/>
      <c r="L342" s="64"/>
      <c r="M342" s="64"/>
      <c r="N342" s="64"/>
      <c r="O342" s="64"/>
      <c r="P342" s="64"/>
      <c r="Q342" s="64"/>
      <c r="R342" s="64"/>
      <c r="S342" s="64"/>
      <c r="T342" s="64"/>
      <c r="U342" s="64"/>
      <c r="V342" s="64"/>
      <c r="W342" s="64"/>
      <c r="X342" s="64"/>
      <c r="Y342" s="64"/>
      <c r="Z342" s="64"/>
      <c r="AA342" s="64"/>
      <c r="AB342" s="64"/>
      <c r="AC342" s="64"/>
      <c r="AD342" s="64"/>
      <c r="AE342" s="64"/>
      <c r="AF342" s="64"/>
      <c r="AG342" s="64"/>
    </row>
    <row r="343" spans="1:33">
      <c r="A343" s="25"/>
      <c r="B343" s="25"/>
      <c r="C343" s="25"/>
      <c r="D343" s="25"/>
      <c r="E343" s="62"/>
      <c r="F343" s="63"/>
      <c r="G343" s="25"/>
      <c r="H343" s="63"/>
      <c r="I343" s="63"/>
      <c r="J343" s="64"/>
      <c r="K343" s="64"/>
      <c r="L343" s="64"/>
      <c r="M343" s="64"/>
      <c r="N343" s="64"/>
      <c r="O343" s="64"/>
      <c r="P343" s="64"/>
      <c r="Q343" s="64"/>
      <c r="R343" s="64"/>
      <c r="S343" s="64"/>
      <c r="T343" s="64"/>
      <c r="U343" s="64"/>
      <c r="V343" s="64"/>
      <c r="W343" s="64"/>
      <c r="X343" s="64"/>
      <c r="Y343" s="64"/>
      <c r="Z343" s="64"/>
      <c r="AA343" s="64"/>
      <c r="AB343" s="64"/>
      <c r="AC343" s="64"/>
      <c r="AD343" s="64"/>
      <c r="AE343" s="64"/>
      <c r="AF343" s="64"/>
      <c r="AG343" s="64"/>
    </row>
    <row r="344" spans="1:33">
      <c r="A344" s="25"/>
      <c r="B344" s="25"/>
      <c r="C344" s="25"/>
      <c r="D344" s="25"/>
      <c r="E344" s="62"/>
      <c r="F344" s="63"/>
      <c r="G344" s="25"/>
      <c r="H344" s="63"/>
      <c r="I344" s="63"/>
      <c r="J344" s="64"/>
      <c r="K344" s="64"/>
      <c r="L344" s="64"/>
      <c r="M344" s="64"/>
      <c r="N344" s="64"/>
      <c r="O344" s="64"/>
      <c r="P344" s="64"/>
      <c r="Q344" s="64"/>
      <c r="R344" s="64"/>
      <c r="S344" s="64"/>
      <c r="T344" s="64"/>
      <c r="U344" s="64"/>
      <c r="V344" s="64"/>
      <c r="W344" s="64"/>
      <c r="X344" s="64"/>
      <c r="Y344" s="64"/>
      <c r="Z344" s="64"/>
      <c r="AA344" s="64"/>
      <c r="AB344" s="64"/>
      <c r="AC344" s="64"/>
      <c r="AD344" s="64"/>
      <c r="AE344" s="64"/>
      <c r="AF344" s="64"/>
      <c r="AG344" s="64"/>
    </row>
    <row r="345" spans="1:33">
      <c r="A345" s="25"/>
      <c r="B345" s="25"/>
      <c r="C345" s="25"/>
      <c r="D345" s="25"/>
      <c r="E345" s="62"/>
      <c r="F345" s="63"/>
      <c r="G345" s="25"/>
      <c r="H345" s="63"/>
      <c r="I345" s="63"/>
      <c r="J345" s="64"/>
      <c r="K345" s="64"/>
      <c r="L345" s="64"/>
      <c r="M345" s="64"/>
      <c r="N345" s="64"/>
      <c r="O345" s="64"/>
      <c r="P345" s="64"/>
      <c r="Q345" s="64"/>
      <c r="R345" s="64"/>
      <c r="S345" s="64"/>
      <c r="T345" s="64"/>
      <c r="U345" s="64"/>
      <c r="V345" s="64"/>
      <c r="W345" s="64"/>
      <c r="X345" s="64"/>
      <c r="Y345" s="64"/>
      <c r="Z345" s="64"/>
      <c r="AA345" s="64"/>
      <c r="AB345" s="64"/>
      <c r="AC345" s="64"/>
      <c r="AD345" s="64"/>
      <c r="AE345" s="64"/>
      <c r="AF345" s="64"/>
      <c r="AG345" s="64"/>
    </row>
    <row r="346" spans="1:33">
      <c r="A346" s="25"/>
      <c r="B346" s="25"/>
      <c r="C346" s="25"/>
      <c r="D346" s="25"/>
      <c r="E346" s="62"/>
      <c r="F346" s="63"/>
      <c r="G346" s="25"/>
      <c r="H346" s="63"/>
      <c r="I346" s="63"/>
      <c r="J346" s="64"/>
      <c r="K346" s="64"/>
      <c r="L346" s="64"/>
      <c r="M346" s="64"/>
      <c r="N346" s="64"/>
      <c r="O346" s="64"/>
      <c r="P346" s="64"/>
      <c r="Q346" s="64"/>
      <c r="R346" s="64"/>
      <c r="S346" s="64"/>
      <c r="T346" s="64"/>
      <c r="U346" s="64"/>
      <c r="V346" s="64"/>
      <c r="W346" s="64"/>
      <c r="X346" s="64"/>
      <c r="Y346" s="64"/>
      <c r="Z346" s="64"/>
      <c r="AA346" s="64"/>
      <c r="AB346" s="64"/>
      <c r="AC346" s="64"/>
      <c r="AD346" s="64"/>
      <c r="AE346" s="64"/>
      <c r="AF346" s="64"/>
      <c r="AG346" s="64"/>
    </row>
    <row r="347" spans="1:33">
      <c r="A347" s="25"/>
      <c r="B347" s="25"/>
      <c r="C347" s="25"/>
      <c r="D347" s="25"/>
      <c r="E347" s="62"/>
      <c r="F347" s="63"/>
      <c r="G347" s="25"/>
      <c r="H347" s="63"/>
      <c r="I347" s="63"/>
      <c r="J347" s="64"/>
      <c r="K347" s="64"/>
      <c r="L347" s="64"/>
      <c r="M347" s="64"/>
      <c r="N347" s="64"/>
      <c r="O347" s="64"/>
      <c r="P347" s="64"/>
      <c r="Q347" s="64"/>
      <c r="R347" s="64"/>
      <c r="S347" s="64"/>
      <c r="T347" s="64"/>
      <c r="U347" s="64"/>
      <c r="V347" s="64"/>
      <c r="W347" s="64"/>
      <c r="X347" s="64"/>
      <c r="Y347" s="64"/>
      <c r="Z347" s="64"/>
      <c r="AA347" s="64"/>
      <c r="AB347" s="64"/>
      <c r="AC347" s="64"/>
      <c r="AD347" s="64"/>
      <c r="AE347" s="64"/>
      <c r="AF347" s="64"/>
      <c r="AG347" s="64"/>
    </row>
    <row r="348" spans="1:33">
      <c r="A348" s="25"/>
      <c r="B348" s="25"/>
      <c r="C348" s="25"/>
      <c r="D348" s="25"/>
      <c r="E348" s="62"/>
      <c r="F348" s="63"/>
      <c r="G348" s="25"/>
      <c r="H348" s="63"/>
      <c r="I348" s="63"/>
      <c r="J348" s="64"/>
      <c r="K348" s="64"/>
      <c r="L348" s="64"/>
      <c r="M348" s="64"/>
      <c r="N348" s="64"/>
      <c r="O348" s="64"/>
      <c r="P348" s="64"/>
      <c r="Q348" s="64"/>
      <c r="R348" s="64"/>
      <c r="S348" s="64"/>
      <c r="T348" s="64"/>
      <c r="U348" s="64"/>
      <c r="V348" s="64"/>
      <c r="W348" s="64"/>
      <c r="X348" s="64"/>
      <c r="Y348" s="64"/>
      <c r="Z348" s="64"/>
      <c r="AA348" s="64"/>
      <c r="AB348" s="64"/>
      <c r="AC348" s="64"/>
      <c r="AD348" s="64"/>
      <c r="AE348" s="64"/>
      <c r="AF348" s="64"/>
      <c r="AG348" s="64"/>
    </row>
    <row r="349" spans="1:33">
      <c r="A349" s="25"/>
      <c r="B349" s="25"/>
      <c r="C349" s="25"/>
      <c r="D349" s="25"/>
      <c r="E349" s="62"/>
      <c r="F349" s="63"/>
      <c r="G349" s="25"/>
      <c r="H349" s="63"/>
      <c r="I349" s="63"/>
      <c r="J349" s="64"/>
      <c r="K349" s="64"/>
      <c r="L349" s="64"/>
      <c r="M349" s="64"/>
      <c r="N349" s="64"/>
      <c r="O349" s="64"/>
      <c r="P349" s="64"/>
      <c r="Q349" s="64"/>
      <c r="R349" s="64"/>
      <c r="S349" s="64"/>
      <c r="T349" s="64"/>
      <c r="U349" s="64"/>
      <c r="V349" s="64"/>
      <c r="W349" s="64"/>
      <c r="X349" s="64"/>
      <c r="Y349" s="64"/>
      <c r="Z349" s="64"/>
      <c r="AA349" s="64"/>
      <c r="AB349" s="64"/>
      <c r="AC349" s="64"/>
      <c r="AD349" s="64"/>
      <c r="AE349" s="64"/>
      <c r="AF349" s="64"/>
      <c r="AG349" s="64"/>
    </row>
    <row r="350" spans="1:33">
      <c r="A350" s="25"/>
      <c r="B350" s="25"/>
      <c r="C350" s="25"/>
      <c r="D350" s="25"/>
      <c r="E350" s="62"/>
      <c r="F350" s="63"/>
      <c r="G350" s="25"/>
      <c r="H350" s="63"/>
      <c r="I350" s="63"/>
      <c r="J350" s="64"/>
      <c r="K350" s="64"/>
      <c r="L350" s="64"/>
      <c r="M350" s="64"/>
      <c r="N350" s="64"/>
      <c r="O350" s="64"/>
      <c r="P350" s="64"/>
      <c r="Q350" s="64"/>
      <c r="R350" s="64"/>
      <c r="S350" s="64"/>
      <c r="T350" s="64"/>
      <c r="U350" s="64"/>
      <c r="V350" s="64"/>
      <c r="W350" s="64"/>
      <c r="X350" s="64"/>
      <c r="Y350" s="64"/>
      <c r="Z350" s="64"/>
      <c r="AA350" s="64"/>
      <c r="AB350" s="64"/>
      <c r="AC350" s="64"/>
      <c r="AD350" s="64"/>
      <c r="AE350" s="64"/>
      <c r="AF350" s="64"/>
      <c r="AG350" s="64"/>
    </row>
    <row r="351" spans="1:33">
      <c r="A351" s="25"/>
      <c r="B351" s="25"/>
      <c r="C351" s="25"/>
      <c r="D351" s="25"/>
      <c r="E351" s="62"/>
      <c r="F351" s="63"/>
      <c r="G351" s="25"/>
      <c r="H351" s="63"/>
      <c r="I351" s="63"/>
      <c r="J351" s="64"/>
      <c r="K351" s="64"/>
      <c r="L351" s="64"/>
      <c r="M351" s="64"/>
      <c r="N351" s="64"/>
      <c r="O351" s="64"/>
      <c r="P351" s="64"/>
      <c r="Q351" s="64"/>
      <c r="R351" s="64"/>
      <c r="S351" s="64"/>
      <c r="T351" s="64"/>
      <c r="U351" s="64"/>
      <c r="V351" s="64"/>
      <c r="W351" s="64"/>
      <c r="X351" s="64"/>
      <c r="Y351" s="64"/>
      <c r="Z351" s="64"/>
      <c r="AA351" s="64"/>
      <c r="AB351" s="64"/>
      <c r="AC351" s="64"/>
      <c r="AD351" s="64"/>
      <c r="AE351" s="64"/>
      <c r="AF351" s="64"/>
      <c r="AG351" s="64"/>
    </row>
    <row r="352" spans="1:33">
      <c r="A352" s="25"/>
      <c r="B352" s="25"/>
      <c r="C352" s="25"/>
      <c r="D352" s="25"/>
      <c r="E352" s="62"/>
      <c r="F352" s="63"/>
      <c r="G352" s="25"/>
      <c r="H352" s="63"/>
      <c r="I352" s="63"/>
      <c r="J352" s="64"/>
      <c r="K352" s="64"/>
      <c r="L352" s="64"/>
      <c r="M352" s="64"/>
      <c r="N352" s="64"/>
      <c r="O352" s="64"/>
      <c r="P352" s="64"/>
      <c r="Q352" s="64"/>
      <c r="R352" s="64"/>
      <c r="S352" s="64"/>
      <c r="T352" s="64"/>
      <c r="U352" s="64"/>
      <c r="V352" s="64"/>
      <c r="W352" s="64"/>
      <c r="X352" s="64"/>
      <c r="Y352" s="64"/>
      <c r="Z352" s="64"/>
      <c r="AA352" s="64"/>
      <c r="AB352" s="64"/>
      <c r="AC352" s="64"/>
      <c r="AD352" s="64"/>
      <c r="AE352" s="64"/>
      <c r="AF352" s="64"/>
      <c r="AG352" s="64"/>
    </row>
    <row r="353" spans="1:33">
      <c r="A353" s="25"/>
      <c r="B353" s="25"/>
      <c r="C353" s="25"/>
      <c r="D353" s="25"/>
      <c r="E353" s="62"/>
      <c r="F353" s="63"/>
      <c r="G353" s="25"/>
      <c r="H353" s="63"/>
      <c r="I353" s="63"/>
      <c r="J353" s="64"/>
      <c r="K353" s="64"/>
      <c r="L353" s="64"/>
      <c r="M353" s="64"/>
      <c r="N353" s="64"/>
      <c r="O353" s="64"/>
      <c r="P353" s="64"/>
      <c r="Q353" s="64"/>
      <c r="R353" s="64"/>
      <c r="S353" s="64"/>
      <c r="T353" s="64"/>
      <c r="U353" s="64"/>
      <c r="V353" s="64"/>
      <c r="W353" s="64"/>
      <c r="X353" s="64"/>
      <c r="Y353" s="64"/>
      <c r="Z353" s="64"/>
      <c r="AA353" s="64"/>
      <c r="AB353" s="64"/>
      <c r="AC353" s="64"/>
      <c r="AD353" s="64"/>
      <c r="AE353" s="64"/>
      <c r="AF353" s="64"/>
      <c r="AG353" s="64"/>
    </row>
    <row r="354" spans="1:33">
      <c r="A354" s="25"/>
      <c r="B354" s="25"/>
      <c r="C354" s="25"/>
      <c r="D354" s="25"/>
      <c r="E354" s="62"/>
      <c r="F354" s="63"/>
      <c r="G354" s="25"/>
      <c r="H354" s="63"/>
      <c r="I354" s="63"/>
      <c r="J354" s="64"/>
      <c r="K354" s="64"/>
      <c r="L354" s="64"/>
      <c r="M354" s="64"/>
      <c r="N354" s="64"/>
      <c r="O354" s="64"/>
      <c r="P354" s="64"/>
      <c r="Q354" s="64"/>
      <c r="R354" s="64"/>
      <c r="S354" s="64"/>
      <c r="T354" s="64"/>
      <c r="U354" s="64"/>
      <c r="V354" s="64"/>
      <c r="W354" s="64"/>
      <c r="X354" s="64"/>
      <c r="Y354" s="64"/>
      <c r="Z354" s="64"/>
      <c r="AA354" s="64"/>
      <c r="AB354" s="64"/>
      <c r="AC354" s="64"/>
      <c r="AD354" s="64"/>
      <c r="AE354" s="64"/>
      <c r="AF354" s="64"/>
      <c r="AG354" s="64"/>
    </row>
    <row r="355" spans="1:33">
      <c r="A355" s="25"/>
      <c r="B355" s="25"/>
      <c r="C355" s="25"/>
      <c r="D355" s="25"/>
      <c r="E355" s="62"/>
      <c r="F355" s="63"/>
      <c r="G355" s="25"/>
      <c r="H355" s="63"/>
      <c r="I355" s="63"/>
      <c r="J355" s="64"/>
      <c r="K355" s="64"/>
      <c r="L355" s="64"/>
      <c r="M355" s="64"/>
      <c r="N355" s="64"/>
      <c r="O355" s="64"/>
      <c r="P355" s="64"/>
      <c r="Q355" s="64"/>
      <c r="R355" s="64"/>
      <c r="S355" s="64"/>
      <c r="T355" s="64"/>
      <c r="U355" s="64"/>
      <c r="V355" s="64"/>
      <c r="W355" s="64"/>
      <c r="X355" s="64"/>
      <c r="Y355" s="64"/>
      <c r="Z355" s="64"/>
      <c r="AA355" s="64"/>
      <c r="AB355" s="64"/>
      <c r="AC355" s="64"/>
      <c r="AD355" s="64"/>
      <c r="AE355" s="64"/>
      <c r="AF355" s="64"/>
      <c r="AG355" s="64"/>
    </row>
    <row r="356" spans="1:33">
      <c r="A356" s="25"/>
      <c r="B356" s="25"/>
      <c r="C356" s="25"/>
      <c r="D356" s="25"/>
      <c r="E356" s="62"/>
      <c r="F356" s="63"/>
      <c r="G356" s="25"/>
      <c r="H356" s="63"/>
      <c r="I356" s="63"/>
      <c r="J356" s="64"/>
      <c r="K356" s="64"/>
      <c r="L356" s="64"/>
      <c r="M356" s="64"/>
      <c r="N356" s="64"/>
      <c r="O356" s="64"/>
      <c r="P356" s="64"/>
      <c r="Q356" s="64"/>
      <c r="R356" s="64"/>
      <c r="S356" s="64"/>
      <c r="T356" s="64"/>
      <c r="U356" s="64"/>
      <c r="V356" s="64"/>
      <c r="W356" s="64"/>
      <c r="X356" s="64"/>
      <c r="Y356" s="64"/>
      <c r="Z356" s="64"/>
      <c r="AA356" s="64"/>
      <c r="AB356" s="64"/>
      <c r="AC356" s="64"/>
      <c r="AD356" s="64"/>
      <c r="AE356" s="64"/>
      <c r="AF356" s="64"/>
      <c r="AG356" s="64"/>
    </row>
    <row r="357" spans="1:33">
      <c r="A357" s="25"/>
      <c r="B357" s="25"/>
      <c r="C357" s="25"/>
      <c r="D357" s="25"/>
      <c r="E357" s="62"/>
      <c r="F357" s="63"/>
      <c r="G357" s="25"/>
      <c r="H357" s="63"/>
      <c r="I357" s="63"/>
      <c r="J357" s="64"/>
      <c r="K357" s="64"/>
      <c r="L357" s="64"/>
      <c r="M357" s="64"/>
      <c r="N357" s="64"/>
      <c r="O357" s="64"/>
      <c r="P357" s="64"/>
      <c r="Q357" s="64"/>
      <c r="R357" s="64"/>
      <c r="S357" s="64"/>
      <c r="T357" s="64"/>
      <c r="U357" s="64"/>
      <c r="V357" s="64"/>
      <c r="W357" s="64"/>
      <c r="X357" s="64"/>
      <c r="Y357" s="64"/>
      <c r="Z357" s="64"/>
      <c r="AA357" s="64"/>
      <c r="AB357" s="64"/>
      <c r="AC357" s="64"/>
      <c r="AD357" s="64"/>
      <c r="AE357" s="64"/>
      <c r="AF357" s="64"/>
      <c r="AG357" s="64"/>
    </row>
    <row r="358" spans="1:33">
      <c r="A358" s="25"/>
      <c r="B358" s="25"/>
      <c r="C358" s="25"/>
      <c r="D358" s="25"/>
      <c r="E358" s="62"/>
      <c r="F358" s="63"/>
      <c r="G358" s="25"/>
      <c r="H358" s="63"/>
      <c r="I358" s="63"/>
      <c r="J358" s="64"/>
      <c r="K358" s="64"/>
      <c r="L358" s="64"/>
      <c r="M358" s="64"/>
      <c r="N358" s="64"/>
      <c r="O358" s="64"/>
      <c r="P358" s="64"/>
      <c r="Q358" s="64"/>
      <c r="R358" s="64"/>
      <c r="S358" s="64"/>
      <c r="T358" s="64"/>
      <c r="U358" s="64"/>
      <c r="V358" s="64"/>
      <c r="W358" s="64"/>
      <c r="X358" s="64"/>
      <c r="Y358" s="64"/>
      <c r="Z358" s="64"/>
      <c r="AA358" s="64"/>
      <c r="AB358" s="64"/>
      <c r="AC358" s="64"/>
      <c r="AD358" s="64"/>
      <c r="AE358" s="64"/>
      <c r="AF358" s="64"/>
      <c r="AG358" s="64"/>
    </row>
    <row r="359" spans="1:33">
      <c r="A359" s="25"/>
      <c r="B359" s="25"/>
      <c r="C359" s="25"/>
      <c r="D359" s="25"/>
      <c r="E359" s="62"/>
      <c r="F359" s="63"/>
      <c r="G359" s="25"/>
      <c r="H359" s="63"/>
      <c r="I359" s="63"/>
      <c r="J359" s="64"/>
      <c r="K359" s="64"/>
      <c r="L359" s="64"/>
      <c r="M359" s="64"/>
      <c r="N359" s="64"/>
      <c r="O359" s="64"/>
      <c r="P359" s="64"/>
      <c r="Q359" s="64"/>
      <c r="R359" s="64"/>
      <c r="S359" s="64"/>
      <c r="T359" s="64"/>
      <c r="U359" s="64"/>
      <c r="V359" s="64"/>
      <c r="W359" s="64"/>
      <c r="X359" s="64"/>
      <c r="Y359" s="64"/>
      <c r="Z359" s="64"/>
      <c r="AA359" s="64"/>
      <c r="AB359" s="64"/>
      <c r="AC359" s="64"/>
      <c r="AD359" s="64"/>
      <c r="AE359" s="64"/>
      <c r="AF359" s="64"/>
      <c r="AG359" s="64"/>
    </row>
    <row r="360" spans="1:33">
      <c r="A360" s="25"/>
      <c r="B360" s="25"/>
      <c r="C360" s="25"/>
      <c r="D360" s="25"/>
      <c r="E360" s="62"/>
      <c r="F360" s="63"/>
      <c r="G360" s="25"/>
      <c r="H360" s="63"/>
      <c r="I360" s="63"/>
      <c r="J360" s="64"/>
      <c r="K360" s="64"/>
      <c r="L360" s="64"/>
      <c r="M360" s="64"/>
      <c r="N360" s="64"/>
      <c r="O360" s="64"/>
      <c r="P360" s="64"/>
      <c r="Q360" s="64"/>
      <c r="R360" s="64"/>
      <c r="S360" s="64"/>
      <c r="T360" s="64"/>
      <c r="U360" s="64"/>
      <c r="V360" s="64"/>
      <c r="W360" s="64"/>
      <c r="X360" s="64"/>
      <c r="Y360" s="64"/>
      <c r="Z360" s="64"/>
      <c r="AA360" s="64"/>
      <c r="AB360" s="64"/>
      <c r="AC360" s="64"/>
      <c r="AD360" s="64"/>
      <c r="AE360" s="64"/>
      <c r="AF360" s="64"/>
      <c r="AG360" s="64"/>
    </row>
    <row r="361" spans="1:33">
      <c r="A361" s="25"/>
      <c r="B361" s="25"/>
      <c r="C361" s="25"/>
      <c r="D361" s="25"/>
      <c r="E361" s="62"/>
      <c r="F361" s="63"/>
      <c r="G361" s="25"/>
      <c r="H361" s="63"/>
      <c r="I361" s="63"/>
      <c r="J361" s="64"/>
      <c r="K361" s="64"/>
      <c r="L361" s="64"/>
      <c r="M361" s="64"/>
      <c r="N361" s="64"/>
      <c r="O361" s="64"/>
      <c r="P361" s="64"/>
      <c r="Q361" s="64"/>
      <c r="R361" s="64"/>
      <c r="S361" s="64"/>
      <c r="T361" s="64"/>
      <c r="U361" s="64"/>
      <c r="V361" s="64"/>
      <c r="W361" s="64"/>
      <c r="X361" s="64"/>
      <c r="Y361" s="64"/>
      <c r="Z361" s="64"/>
      <c r="AA361" s="64"/>
      <c r="AB361" s="64"/>
      <c r="AC361" s="64"/>
      <c r="AD361" s="64"/>
      <c r="AE361" s="64"/>
      <c r="AF361" s="64"/>
      <c r="AG361" s="64"/>
    </row>
    <row r="362" spans="1:33">
      <c r="A362" s="25"/>
      <c r="B362" s="25"/>
      <c r="C362" s="25"/>
      <c r="D362" s="25"/>
      <c r="E362" s="62"/>
      <c r="F362" s="63"/>
      <c r="G362" s="25"/>
      <c r="H362" s="63"/>
      <c r="I362" s="63"/>
      <c r="J362" s="64"/>
      <c r="K362" s="64"/>
      <c r="L362" s="64"/>
      <c r="M362" s="64"/>
      <c r="N362" s="64"/>
      <c r="O362" s="64"/>
      <c r="P362" s="64"/>
      <c r="Q362" s="64"/>
      <c r="R362" s="64"/>
      <c r="S362" s="64"/>
      <c r="T362" s="64"/>
      <c r="U362" s="64"/>
      <c r="V362" s="64"/>
      <c r="W362" s="64"/>
      <c r="X362" s="64"/>
      <c r="Y362" s="64"/>
      <c r="Z362" s="64"/>
      <c r="AA362" s="64"/>
      <c r="AB362" s="64"/>
      <c r="AC362" s="64"/>
      <c r="AD362" s="64"/>
      <c r="AE362" s="64"/>
      <c r="AF362" s="64"/>
      <c r="AG362" s="64"/>
    </row>
    <row r="363" spans="1:33">
      <c r="A363" s="25"/>
      <c r="B363" s="25"/>
      <c r="C363" s="25"/>
      <c r="D363" s="25"/>
      <c r="E363" s="62"/>
      <c r="F363" s="63"/>
      <c r="G363" s="25"/>
      <c r="H363" s="63"/>
      <c r="I363" s="63"/>
      <c r="J363" s="64"/>
      <c r="K363" s="64"/>
      <c r="L363" s="64"/>
      <c r="M363" s="64"/>
      <c r="N363" s="64"/>
      <c r="O363" s="64"/>
      <c r="P363" s="64"/>
      <c r="Q363" s="64"/>
      <c r="R363" s="64"/>
      <c r="S363" s="64"/>
      <c r="T363" s="64"/>
      <c r="U363" s="64"/>
      <c r="V363" s="64"/>
      <c r="W363" s="64"/>
      <c r="X363" s="64"/>
      <c r="Y363" s="64"/>
      <c r="Z363" s="64"/>
      <c r="AA363" s="64"/>
      <c r="AB363" s="64"/>
      <c r="AC363" s="64"/>
      <c r="AD363" s="64"/>
      <c r="AE363" s="64"/>
      <c r="AF363" s="64"/>
      <c r="AG363" s="64"/>
    </row>
    <row r="364" spans="1:33">
      <c r="A364" s="25"/>
      <c r="B364" s="25"/>
      <c r="C364" s="25"/>
      <c r="D364" s="25"/>
      <c r="E364" s="62"/>
      <c r="F364" s="63"/>
      <c r="G364" s="25"/>
      <c r="H364" s="63"/>
      <c r="I364" s="63"/>
      <c r="J364" s="64"/>
      <c r="K364" s="64"/>
      <c r="L364" s="64"/>
      <c r="M364" s="64"/>
      <c r="N364" s="64"/>
      <c r="O364" s="64"/>
      <c r="P364" s="64"/>
      <c r="Q364" s="64"/>
      <c r="R364" s="64"/>
      <c r="S364" s="64"/>
      <c r="T364" s="64"/>
      <c r="U364" s="64"/>
      <c r="V364" s="64"/>
      <c r="W364" s="64"/>
      <c r="X364" s="64"/>
      <c r="Y364" s="64"/>
      <c r="Z364" s="64"/>
      <c r="AA364" s="64"/>
      <c r="AB364" s="64"/>
      <c r="AC364" s="64"/>
      <c r="AD364" s="64"/>
      <c r="AE364" s="64"/>
      <c r="AF364" s="64"/>
      <c r="AG364" s="64"/>
    </row>
    <row r="365" spans="1:33">
      <c r="A365" s="25"/>
      <c r="B365" s="25"/>
      <c r="C365" s="25"/>
      <c r="D365" s="25"/>
      <c r="E365" s="62"/>
      <c r="F365" s="63"/>
      <c r="G365" s="25"/>
      <c r="H365" s="63"/>
      <c r="I365" s="63"/>
      <c r="J365" s="64"/>
      <c r="K365" s="64"/>
      <c r="L365" s="64"/>
      <c r="M365" s="64"/>
      <c r="N365" s="64"/>
      <c r="O365" s="64"/>
      <c r="P365" s="64"/>
      <c r="Q365" s="64"/>
      <c r="R365" s="64"/>
      <c r="S365" s="64"/>
      <c r="T365" s="64"/>
      <c r="U365" s="64"/>
      <c r="V365" s="64"/>
      <c r="W365" s="64"/>
      <c r="X365" s="64"/>
      <c r="Y365" s="64"/>
      <c r="Z365" s="64"/>
      <c r="AA365" s="64"/>
      <c r="AB365" s="64"/>
      <c r="AC365" s="64"/>
      <c r="AD365" s="64"/>
      <c r="AE365" s="64"/>
      <c r="AF365" s="64"/>
      <c r="AG365" s="64"/>
    </row>
    <row r="366" spans="1:33">
      <c r="A366" s="25"/>
      <c r="B366" s="25"/>
      <c r="C366" s="25"/>
      <c r="D366" s="25"/>
      <c r="E366" s="62"/>
      <c r="F366" s="63"/>
      <c r="G366" s="25"/>
      <c r="H366" s="63"/>
      <c r="I366" s="63"/>
      <c r="J366" s="64"/>
      <c r="K366" s="64"/>
      <c r="L366" s="64"/>
      <c r="M366" s="64"/>
      <c r="N366" s="64"/>
      <c r="O366" s="64"/>
      <c r="P366" s="64"/>
      <c r="Q366" s="64"/>
      <c r="R366" s="64"/>
      <c r="S366" s="64"/>
      <c r="T366" s="64"/>
      <c r="U366" s="64"/>
      <c r="V366" s="64"/>
      <c r="W366" s="64"/>
      <c r="X366" s="64"/>
      <c r="Y366" s="64"/>
      <c r="Z366" s="64"/>
      <c r="AA366" s="64"/>
      <c r="AB366" s="64"/>
      <c r="AC366" s="64"/>
      <c r="AD366" s="64"/>
      <c r="AE366" s="64"/>
      <c r="AF366" s="64"/>
      <c r="AG366" s="64"/>
    </row>
    <row r="367" spans="1:33">
      <c r="A367" s="25"/>
      <c r="B367" s="25"/>
      <c r="C367" s="25"/>
      <c r="D367" s="25"/>
      <c r="E367" s="62"/>
      <c r="F367" s="63"/>
      <c r="G367" s="25"/>
      <c r="H367" s="63"/>
      <c r="I367" s="63"/>
      <c r="J367" s="64"/>
      <c r="K367" s="64"/>
      <c r="L367" s="64"/>
      <c r="M367" s="64"/>
      <c r="N367" s="64"/>
      <c r="O367" s="64"/>
      <c r="P367" s="64"/>
      <c r="Q367" s="64"/>
      <c r="R367" s="64"/>
      <c r="S367" s="64"/>
      <c r="T367" s="64"/>
      <c r="U367" s="64"/>
      <c r="V367" s="64"/>
      <c r="W367" s="64"/>
      <c r="X367" s="64"/>
      <c r="Y367" s="64"/>
      <c r="Z367" s="64"/>
      <c r="AA367" s="64"/>
      <c r="AB367" s="64"/>
      <c r="AC367" s="64"/>
      <c r="AD367" s="64"/>
      <c r="AE367" s="64"/>
      <c r="AF367" s="64"/>
      <c r="AG367" s="64"/>
    </row>
    <row r="368" spans="1:33">
      <c r="A368" s="25"/>
      <c r="B368" s="25"/>
      <c r="C368" s="25"/>
      <c r="D368" s="25"/>
      <c r="E368" s="62"/>
      <c r="F368" s="63"/>
      <c r="G368" s="25"/>
      <c r="H368" s="63"/>
      <c r="I368" s="63"/>
      <c r="J368" s="64"/>
      <c r="K368" s="64"/>
      <c r="L368" s="64"/>
      <c r="M368" s="64"/>
      <c r="N368" s="64"/>
      <c r="O368" s="64"/>
      <c r="P368" s="64"/>
      <c r="Q368" s="64"/>
      <c r="R368" s="64"/>
      <c r="S368" s="64"/>
      <c r="T368" s="64"/>
      <c r="U368" s="64"/>
      <c r="V368" s="64"/>
      <c r="W368" s="64"/>
      <c r="X368" s="64"/>
      <c r="Y368" s="64"/>
      <c r="Z368" s="64"/>
      <c r="AA368" s="64"/>
      <c r="AB368" s="64"/>
      <c r="AC368" s="64"/>
      <c r="AD368" s="64"/>
      <c r="AE368" s="64"/>
      <c r="AF368" s="64"/>
      <c r="AG368" s="64"/>
    </row>
    <row r="369" spans="1:33">
      <c r="A369" s="25"/>
      <c r="B369" s="25"/>
      <c r="C369" s="25"/>
      <c r="D369" s="25"/>
      <c r="E369" s="62"/>
      <c r="F369" s="63"/>
      <c r="G369" s="25"/>
      <c r="H369" s="63"/>
      <c r="I369" s="63"/>
      <c r="J369" s="64"/>
      <c r="K369" s="64"/>
      <c r="L369" s="64"/>
      <c r="M369" s="64"/>
      <c r="N369" s="64"/>
      <c r="O369" s="64"/>
      <c r="P369" s="64"/>
      <c r="Q369" s="64"/>
      <c r="R369" s="64"/>
      <c r="S369" s="64"/>
      <c r="T369" s="64"/>
      <c r="U369" s="64"/>
      <c r="V369" s="64"/>
      <c r="W369" s="64"/>
      <c r="X369" s="64"/>
      <c r="Y369" s="64"/>
      <c r="Z369" s="64"/>
      <c r="AA369" s="64"/>
      <c r="AB369" s="64"/>
      <c r="AC369" s="64"/>
      <c r="AD369" s="64"/>
      <c r="AE369" s="64"/>
      <c r="AF369" s="64"/>
      <c r="AG369" s="64"/>
    </row>
    <row r="370" spans="1:33">
      <c r="A370" s="25"/>
      <c r="B370" s="25"/>
      <c r="C370" s="25"/>
      <c r="D370" s="25"/>
      <c r="E370" s="62"/>
      <c r="F370" s="63"/>
      <c r="G370" s="25"/>
      <c r="H370" s="63"/>
      <c r="I370" s="63"/>
      <c r="J370" s="64"/>
      <c r="K370" s="64"/>
      <c r="L370" s="64"/>
      <c r="M370" s="64"/>
      <c r="N370" s="64"/>
      <c r="O370" s="64"/>
      <c r="P370" s="64"/>
      <c r="Q370" s="64"/>
      <c r="R370" s="64"/>
      <c r="S370" s="64"/>
      <c r="T370" s="64"/>
      <c r="U370" s="64"/>
      <c r="V370" s="64"/>
      <c r="W370" s="64"/>
      <c r="X370" s="64"/>
      <c r="Y370" s="64"/>
      <c r="Z370" s="64"/>
      <c r="AA370" s="64"/>
      <c r="AB370" s="64"/>
      <c r="AC370" s="64"/>
      <c r="AD370" s="64"/>
      <c r="AE370" s="64"/>
      <c r="AF370" s="64"/>
      <c r="AG370" s="64"/>
    </row>
    <row r="371" spans="1:33">
      <c r="A371" s="25"/>
      <c r="B371" s="25"/>
      <c r="C371" s="25"/>
      <c r="D371" s="25"/>
      <c r="E371" s="62"/>
      <c r="F371" s="63"/>
      <c r="G371" s="25"/>
      <c r="H371" s="63"/>
      <c r="I371" s="63"/>
      <c r="J371" s="64"/>
      <c r="K371" s="64"/>
      <c r="L371" s="64"/>
      <c r="M371" s="64"/>
      <c r="N371" s="64"/>
      <c r="O371" s="64"/>
      <c r="P371" s="64"/>
      <c r="Q371" s="64"/>
      <c r="R371" s="64"/>
      <c r="S371" s="64"/>
      <c r="T371" s="64"/>
      <c r="U371" s="64"/>
      <c r="V371" s="64"/>
      <c r="W371" s="64"/>
      <c r="X371" s="64"/>
      <c r="Y371" s="64"/>
      <c r="Z371" s="64"/>
      <c r="AA371" s="64"/>
      <c r="AB371" s="64"/>
      <c r="AC371" s="64"/>
      <c r="AD371" s="64"/>
      <c r="AE371" s="64"/>
      <c r="AF371" s="64"/>
      <c r="AG371" s="64"/>
    </row>
    <row r="372" spans="1:33">
      <c r="A372" s="25"/>
      <c r="B372" s="25"/>
      <c r="C372" s="25"/>
      <c r="D372" s="25"/>
      <c r="E372" s="62"/>
      <c r="F372" s="63"/>
      <c r="G372" s="25"/>
      <c r="H372" s="63"/>
      <c r="I372" s="63"/>
      <c r="J372" s="64"/>
      <c r="K372" s="64"/>
      <c r="L372" s="64"/>
      <c r="M372" s="64"/>
      <c r="N372" s="64"/>
      <c r="O372" s="64"/>
      <c r="P372" s="64"/>
      <c r="Q372" s="64"/>
      <c r="R372" s="64"/>
      <c r="S372" s="64"/>
      <c r="T372" s="64"/>
      <c r="U372" s="64"/>
      <c r="V372" s="64"/>
      <c r="W372" s="64"/>
      <c r="X372" s="64"/>
      <c r="Y372" s="64"/>
      <c r="Z372" s="64"/>
      <c r="AA372" s="64"/>
      <c r="AB372" s="64"/>
      <c r="AC372" s="64"/>
      <c r="AD372" s="64"/>
      <c r="AE372" s="64"/>
      <c r="AF372" s="64"/>
      <c r="AG372" s="64"/>
    </row>
    <row r="373" spans="1:33">
      <c r="A373" s="25"/>
      <c r="B373" s="25"/>
      <c r="C373" s="25"/>
      <c r="D373" s="25"/>
      <c r="E373" s="62"/>
      <c r="F373" s="63"/>
      <c r="G373" s="25"/>
      <c r="H373" s="63"/>
      <c r="I373" s="63"/>
      <c r="J373" s="64"/>
      <c r="K373" s="64"/>
      <c r="L373" s="64"/>
      <c r="M373" s="64"/>
      <c r="N373" s="64"/>
      <c r="O373" s="64"/>
      <c r="P373" s="64"/>
      <c r="Q373" s="64"/>
      <c r="R373" s="64"/>
      <c r="S373" s="64"/>
      <c r="T373" s="64"/>
      <c r="U373" s="64"/>
      <c r="V373" s="64"/>
      <c r="W373" s="64"/>
      <c r="X373" s="64"/>
      <c r="Y373" s="64"/>
      <c r="Z373" s="64"/>
      <c r="AA373" s="64"/>
      <c r="AB373" s="64"/>
      <c r="AC373" s="64"/>
      <c r="AD373" s="64"/>
      <c r="AE373" s="64"/>
      <c r="AF373" s="64"/>
      <c r="AG373" s="64"/>
    </row>
    <row r="374" spans="1:33">
      <c r="A374" s="25"/>
      <c r="B374" s="25"/>
      <c r="C374" s="25"/>
      <c r="D374" s="25"/>
      <c r="E374" s="62"/>
      <c r="F374" s="63"/>
      <c r="G374" s="25"/>
      <c r="H374" s="63"/>
      <c r="I374" s="63"/>
      <c r="J374" s="64"/>
      <c r="K374" s="64"/>
      <c r="L374" s="64"/>
      <c r="M374" s="64"/>
      <c r="N374" s="64"/>
      <c r="O374" s="64"/>
      <c r="P374" s="64"/>
      <c r="Q374" s="64"/>
      <c r="R374" s="64"/>
      <c r="S374" s="64"/>
      <c r="T374" s="64"/>
      <c r="U374" s="64"/>
      <c r="V374" s="64"/>
      <c r="W374" s="64"/>
      <c r="X374" s="64"/>
      <c r="Y374" s="64"/>
      <c r="Z374" s="64"/>
      <c r="AA374" s="64"/>
      <c r="AB374" s="64"/>
      <c r="AC374" s="64"/>
      <c r="AD374" s="64"/>
      <c r="AE374" s="64"/>
      <c r="AF374" s="64"/>
      <c r="AG374" s="64"/>
    </row>
    <row r="375" spans="1:33">
      <c r="A375" s="25"/>
      <c r="B375" s="25"/>
      <c r="C375" s="25"/>
      <c r="D375" s="25"/>
      <c r="E375" s="62"/>
      <c r="F375" s="63"/>
      <c r="G375" s="25"/>
      <c r="H375" s="63"/>
      <c r="I375" s="63"/>
      <c r="J375" s="64"/>
      <c r="K375" s="64"/>
      <c r="L375" s="64"/>
      <c r="M375" s="64"/>
      <c r="N375" s="64"/>
      <c r="O375" s="64"/>
      <c r="P375" s="64"/>
      <c r="Q375" s="64"/>
      <c r="R375" s="64"/>
      <c r="S375" s="64"/>
      <c r="T375" s="64"/>
      <c r="U375" s="64"/>
      <c r="V375" s="64"/>
      <c r="W375" s="64"/>
      <c r="X375" s="64"/>
      <c r="Y375" s="64"/>
      <c r="Z375" s="64"/>
      <c r="AA375" s="64"/>
      <c r="AB375" s="64"/>
      <c r="AC375" s="64"/>
      <c r="AD375" s="64"/>
      <c r="AE375" s="64"/>
      <c r="AF375" s="64"/>
      <c r="AG375" s="64"/>
    </row>
    <row r="376" spans="1:33">
      <c r="A376" s="25"/>
      <c r="B376" s="25"/>
      <c r="C376" s="25"/>
      <c r="D376" s="25"/>
      <c r="E376" s="62"/>
      <c r="F376" s="63"/>
      <c r="G376" s="25"/>
      <c r="H376" s="63"/>
      <c r="I376" s="63"/>
      <c r="J376" s="64"/>
      <c r="K376" s="64"/>
      <c r="L376" s="64"/>
      <c r="M376" s="64"/>
      <c r="N376" s="64"/>
      <c r="O376" s="64"/>
      <c r="P376" s="64"/>
      <c r="Q376" s="64"/>
      <c r="R376" s="64"/>
      <c r="S376" s="64"/>
      <c r="T376" s="64"/>
      <c r="U376" s="64"/>
      <c r="V376" s="64"/>
      <c r="W376" s="64"/>
      <c r="X376" s="64"/>
      <c r="Y376" s="64"/>
      <c r="Z376" s="64"/>
      <c r="AA376" s="64"/>
      <c r="AB376" s="64"/>
      <c r="AC376" s="64"/>
      <c r="AD376" s="64"/>
      <c r="AE376" s="64"/>
      <c r="AF376" s="64"/>
      <c r="AG376" s="64"/>
    </row>
    <row r="377" spans="1:33">
      <c r="A377" s="25"/>
      <c r="B377" s="25"/>
      <c r="C377" s="25"/>
      <c r="D377" s="25"/>
      <c r="E377" s="62"/>
      <c r="F377" s="63"/>
      <c r="G377" s="25"/>
      <c r="H377" s="63"/>
      <c r="I377" s="63"/>
      <c r="J377" s="64"/>
      <c r="K377" s="64"/>
      <c r="L377" s="64"/>
      <c r="M377" s="64"/>
      <c r="N377" s="64"/>
      <c r="O377" s="64"/>
      <c r="P377" s="64"/>
      <c r="Q377" s="64"/>
      <c r="R377" s="64"/>
      <c r="S377" s="64"/>
      <c r="T377" s="64"/>
      <c r="U377" s="64"/>
      <c r="V377" s="64"/>
      <c r="W377" s="64"/>
      <c r="X377" s="64"/>
      <c r="Y377" s="64"/>
      <c r="Z377" s="64"/>
      <c r="AA377" s="64"/>
      <c r="AB377" s="64"/>
      <c r="AC377" s="64"/>
      <c r="AD377" s="64"/>
      <c r="AE377" s="64"/>
      <c r="AF377" s="64"/>
      <c r="AG377" s="64"/>
    </row>
    <row r="378" spans="1:33">
      <c r="A378" s="25"/>
      <c r="B378" s="25"/>
      <c r="C378" s="25"/>
      <c r="D378" s="25"/>
      <c r="E378" s="62"/>
      <c r="F378" s="63"/>
      <c r="G378" s="25"/>
      <c r="H378" s="63"/>
      <c r="I378" s="63"/>
      <c r="J378" s="64"/>
      <c r="K378" s="64"/>
      <c r="L378" s="64"/>
      <c r="M378" s="64"/>
      <c r="N378" s="64"/>
      <c r="O378" s="64"/>
      <c r="P378" s="64"/>
      <c r="Q378" s="64"/>
      <c r="R378" s="64"/>
      <c r="S378" s="64"/>
      <c r="T378" s="64"/>
      <c r="U378" s="64"/>
      <c r="V378" s="64"/>
      <c r="W378" s="64"/>
      <c r="X378" s="64"/>
      <c r="Y378" s="64"/>
      <c r="Z378" s="64"/>
      <c r="AA378" s="64"/>
      <c r="AB378" s="64"/>
      <c r="AC378" s="64"/>
      <c r="AD378" s="64"/>
      <c r="AE378" s="64"/>
      <c r="AF378" s="64"/>
      <c r="AG378" s="64"/>
    </row>
    <row r="379" spans="1:33">
      <c r="A379" s="25"/>
      <c r="B379" s="25"/>
      <c r="C379" s="25"/>
      <c r="D379" s="25"/>
      <c r="E379" s="62"/>
      <c r="F379" s="63"/>
      <c r="G379" s="25"/>
      <c r="H379" s="63"/>
      <c r="I379" s="63"/>
      <c r="J379" s="64"/>
      <c r="K379" s="64"/>
      <c r="L379" s="64"/>
      <c r="M379" s="64"/>
      <c r="N379" s="64"/>
      <c r="O379" s="64"/>
      <c r="P379" s="64"/>
      <c r="Q379" s="64"/>
      <c r="R379" s="64"/>
      <c r="S379" s="64"/>
      <c r="T379" s="64"/>
      <c r="U379" s="64"/>
      <c r="V379" s="64"/>
      <c r="W379" s="64"/>
      <c r="X379" s="64"/>
      <c r="Y379" s="64"/>
      <c r="Z379" s="64"/>
      <c r="AA379" s="64"/>
      <c r="AB379" s="64"/>
      <c r="AC379" s="64"/>
      <c r="AD379" s="64"/>
      <c r="AE379" s="64"/>
      <c r="AF379" s="64"/>
      <c r="AG379" s="64"/>
    </row>
    <row r="380" spans="1:33">
      <c r="A380" s="25"/>
      <c r="B380" s="25"/>
      <c r="C380" s="25"/>
      <c r="D380" s="25"/>
      <c r="E380" s="62"/>
      <c r="F380" s="63"/>
      <c r="G380" s="25"/>
      <c r="H380" s="63"/>
      <c r="I380" s="63"/>
      <c r="J380" s="64"/>
      <c r="K380" s="64"/>
      <c r="L380" s="64"/>
      <c r="M380" s="64"/>
      <c r="N380" s="64"/>
      <c r="O380" s="64"/>
      <c r="P380" s="64"/>
      <c r="Q380" s="64"/>
      <c r="R380" s="64"/>
      <c r="S380" s="64"/>
      <c r="T380" s="64"/>
      <c r="U380" s="64"/>
      <c r="V380" s="64"/>
      <c r="W380" s="64"/>
      <c r="X380" s="64"/>
      <c r="Y380" s="64"/>
      <c r="Z380" s="64"/>
      <c r="AA380" s="64"/>
      <c r="AB380" s="64"/>
      <c r="AC380" s="64"/>
      <c r="AD380" s="64"/>
      <c r="AE380" s="64"/>
      <c r="AF380" s="64"/>
      <c r="AG380" s="64"/>
    </row>
    <row r="381" spans="1:33">
      <c r="A381" s="25"/>
      <c r="B381" s="25"/>
      <c r="C381" s="25"/>
      <c r="D381" s="25"/>
      <c r="E381" s="62"/>
      <c r="F381" s="63"/>
      <c r="G381" s="25"/>
      <c r="H381" s="63"/>
      <c r="I381" s="63"/>
      <c r="J381" s="64"/>
      <c r="K381" s="64"/>
      <c r="L381" s="64"/>
      <c r="M381" s="64"/>
      <c r="N381" s="64"/>
      <c r="O381" s="64"/>
      <c r="P381" s="64"/>
      <c r="Q381" s="64"/>
      <c r="R381" s="64"/>
      <c r="S381" s="64"/>
      <c r="T381" s="64"/>
      <c r="U381" s="64"/>
      <c r="V381" s="64"/>
      <c r="W381" s="64"/>
      <c r="X381" s="64"/>
      <c r="Y381" s="64"/>
      <c r="Z381" s="64"/>
      <c r="AA381" s="64"/>
      <c r="AB381" s="64"/>
      <c r="AC381" s="64"/>
      <c r="AD381" s="64"/>
      <c r="AE381" s="64"/>
      <c r="AF381" s="64"/>
      <c r="AG381" s="64"/>
    </row>
    <row r="382" spans="1:33">
      <c r="A382" s="25"/>
      <c r="B382" s="25"/>
      <c r="C382" s="25"/>
      <c r="D382" s="25"/>
      <c r="E382" s="62"/>
      <c r="F382" s="63"/>
      <c r="G382" s="25"/>
      <c r="H382" s="63"/>
      <c r="I382" s="63"/>
      <c r="J382" s="64"/>
      <c r="K382" s="64"/>
      <c r="L382" s="64"/>
      <c r="M382" s="64"/>
      <c r="N382" s="64"/>
      <c r="O382" s="64"/>
      <c r="P382" s="64"/>
      <c r="Q382" s="64"/>
      <c r="R382" s="64"/>
      <c r="S382" s="64"/>
      <c r="T382" s="64"/>
      <c r="U382" s="64"/>
      <c r="V382" s="64"/>
      <c r="W382" s="64"/>
      <c r="X382" s="64"/>
      <c r="Y382" s="64"/>
      <c r="Z382" s="64"/>
      <c r="AA382" s="64"/>
      <c r="AB382" s="64"/>
      <c r="AC382" s="64"/>
      <c r="AD382" s="64"/>
      <c r="AE382" s="64"/>
      <c r="AF382" s="64"/>
      <c r="AG382" s="64"/>
    </row>
    <row r="383" spans="1:33">
      <c r="A383" s="25"/>
      <c r="B383" s="25"/>
      <c r="C383" s="25"/>
      <c r="D383" s="25"/>
      <c r="E383" s="62"/>
      <c r="F383" s="63"/>
      <c r="G383" s="25"/>
      <c r="H383" s="63"/>
      <c r="I383" s="63"/>
      <c r="J383" s="64"/>
      <c r="K383" s="64"/>
      <c r="L383" s="64"/>
      <c r="M383" s="64"/>
      <c r="N383" s="64"/>
      <c r="O383" s="64"/>
      <c r="P383" s="64"/>
      <c r="Q383" s="64"/>
      <c r="R383" s="64"/>
      <c r="S383" s="64"/>
      <c r="T383" s="64"/>
      <c r="U383" s="64"/>
      <c r="V383" s="64"/>
      <c r="W383" s="64"/>
      <c r="X383" s="64"/>
      <c r="Y383" s="64"/>
      <c r="Z383" s="64"/>
      <c r="AA383" s="64"/>
      <c r="AB383" s="64"/>
      <c r="AC383" s="64"/>
      <c r="AD383" s="64"/>
      <c r="AE383" s="64"/>
      <c r="AF383" s="64"/>
      <c r="AG383" s="64"/>
    </row>
    <row r="384" spans="1:33">
      <c r="A384" s="25"/>
      <c r="B384" s="25"/>
      <c r="C384" s="25"/>
      <c r="D384" s="25"/>
      <c r="E384" s="62"/>
      <c r="F384" s="63"/>
      <c r="G384" s="25"/>
      <c r="H384" s="63"/>
      <c r="I384" s="63"/>
      <c r="J384" s="64"/>
      <c r="K384" s="64"/>
      <c r="L384" s="64"/>
      <c r="M384" s="64"/>
      <c r="N384" s="64"/>
      <c r="O384" s="64"/>
      <c r="P384" s="64"/>
      <c r="Q384" s="64"/>
      <c r="R384" s="64"/>
      <c r="S384" s="64"/>
      <c r="T384" s="64"/>
      <c r="U384" s="64"/>
      <c r="V384" s="64"/>
      <c r="W384" s="64"/>
      <c r="X384" s="64"/>
      <c r="Y384" s="64"/>
      <c r="Z384" s="64"/>
      <c r="AA384" s="64"/>
      <c r="AB384" s="64"/>
      <c r="AC384" s="64"/>
      <c r="AD384" s="64"/>
      <c r="AE384" s="64"/>
      <c r="AF384" s="64"/>
      <c r="AG384" s="64"/>
    </row>
    <row r="385" spans="1:33">
      <c r="A385" s="25"/>
      <c r="B385" s="25"/>
      <c r="C385" s="25"/>
      <c r="D385" s="25"/>
      <c r="E385" s="62"/>
      <c r="F385" s="63"/>
      <c r="G385" s="25"/>
      <c r="H385" s="63"/>
      <c r="I385" s="63"/>
      <c r="J385" s="64"/>
      <c r="K385" s="64"/>
      <c r="L385" s="64"/>
      <c r="M385" s="64"/>
      <c r="N385" s="64"/>
      <c r="O385" s="64"/>
      <c r="P385" s="64"/>
      <c r="Q385" s="64"/>
      <c r="R385" s="64"/>
      <c r="S385" s="64"/>
      <c r="T385" s="64"/>
      <c r="U385" s="64"/>
      <c r="V385" s="64"/>
      <c r="W385" s="64"/>
      <c r="X385" s="64"/>
      <c r="Y385" s="64"/>
      <c r="Z385" s="64"/>
      <c r="AA385" s="64"/>
      <c r="AB385" s="64"/>
      <c r="AC385" s="64"/>
      <c r="AD385" s="64"/>
      <c r="AE385" s="64"/>
      <c r="AF385" s="64"/>
      <c r="AG385" s="64"/>
    </row>
    <row r="386" spans="1:33">
      <c r="A386" s="25"/>
      <c r="B386" s="25"/>
      <c r="C386" s="25"/>
      <c r="D386" s="25"/>
      <c r="E386" s="62"/>
      <c r="F386" s="63"/>
      <c r="G386" s="25"/>
      <c r="H386" s="63"/>
      <c r="I386" s="63"/>
      <c r="J386" s="64"/>
      <c r="K386" s="64"/>
      <c r="L386" s="64"/>
      <c r="M386" s="64"/>
      <c r="N386" s="64"/>
      <c r="O386" s="64"/>
      <c r="P386" s="64"/>
      <c r="Q386" s="64"/>
      <c r="R386" s="64"/>
      <c r="S386" s="64"/>
      <c r="T386" s="64"/>
      <c r="U386" s="64"/>
      <c r="V386" s="64"/>
      <c r="W386" s="64"/>
      <c r="X386" s="64"/>
      <c r="Y386" s="64"/>
      <c r="Z386" s="64"/>
      <c r="AA386" s="64"/>
      <c r="AB386" s="64"/>
      <c r="AC386" s="64"/>
      <c r="AD386" s="64"/>
      <c r="AE386" s="64"/>
      <c r="AF386" s="64"/>
      <c r="AG386" s="64"/>
    </row>
    <row r="387" spans="1:33">
      <c r="A387" s="25"/>
      <c r="B387" s="25"/>
      <c r="C387" s="25"/>
      <c r="D387" s="25"/>
      <c r="E387" s="62"/>
      <c r="F387" s="63"/>
      <c r="G387" s="25"/>
      <c r="H387" s="63"/>
      <c r="I387" s="63"/>
      <c r="J387" s="64"/>
      <c r="K387" s="64"/>
      <c r="L387" s="64"/>
      <c r="M387" s="64"/>
      <c r="N387" s="64"/>
      <c r="O387" s="64"/>
      <c r="P387" s="64"/>
      <c r="Q387" s="64"/>
      <c r="R387" s="64"/>
      <c r="S387" s="64"/>
      <c r="T387" s="64"/>
      <c r="U387" s="64"/>
      <c r="V387" s="64"/>
      <c r="W387" s="64"/>
      <c r="X387" s="64"/>
      <c r="Y387" s="64"/>
      <c r="Z387" s="64"/>
      <c r="AA387" s="64"/>
      <c r="AB387" s="64"/>
      <c r="AC387" s="64"/>
      <c r="AD387" s="64"/>
      <c r="AE387" s="64"/>
      <c r="AF387" s="64"/>
      <c r="AG387" s="64"/>
    </row>
    <row r="388" spans="1:33">
      <c r="A388" s="25"/>
      <c r="B388" s="25"/>
      <c r="C388" s="25"/>
      <c r="D388" s="25"/>
      <c r="E388" s="62"/>
      <c r="F388" s="63"/>
      <c r="G388" s="25"/>
      <c r="H388" s="63"/>
      <c r="I388" s="63"/>
      <c r="J388" s="64"/>
      <c r="K388" s="64"/>
      <c r="L388" s="64"/>
      <c r="M388" s="64"/>
      <c r="N388" s="64"/>
      <c r="O388" s="64"/>
      <c r="P388" s="64"/>
      <c r="Q388" s="64"/>
      <c r="R388" s="64"/>
      <c r="S388" s="64"/>
      <c r="T388" s="64"/>
      <c r="U388" s="64"/>
      <c r="V388" s="64"/>
      <c r="W388" s="64"/>
      <c r="X388" s="64"/>
      <c r="Y388" s="64"/>
      <c r="Z388" s="64"/>
      <c r="AA388" s="64"/>
      <c r="AB388" s="64"/>
      <c r="AC388" s="64"/>
      <c r="AD388" s="64"/>
      <c r="AE388" s="64"/>
      <c r="AF388" s="64"/>
      <c r="AG388" s="64"/>
    </row>
    <row r="389" spans="1:33">
      <c r="A389" s="25"/>
      <c r="B389" s="25"/>
      <c r="C389" s="25"/>
      <c r="D389" s="25"/>
      <c r="E389" s="62"/>
      <c r="F389" s="63"/>
      <c r="G389" s="25"/>
      <c r="H389" s="63"/>
      <c r="I389" s="63"/>
      <c r="J389" s="64"/>
      <c r="K389" s="64"/>
      <c r="L389" s="64"/>
      <c r="M389" s="64"/>
      <c r="N389" s="64"/>
      <c r="O389" s="64"/>
      <c r="P389" s="64"/>
      <c r="Q389" s="64"/>
      <c r="R389" s="64"/>
      <c r="S389" s="64"/>
      <c r="T389" s="64"/>
      <c r="U389" s="64"/>
      <c r="V389" s="64"/>
      <c r="W389" s="64"/>
      <c r="X389" s="64"/>
      <c r="Y389" s="64"/>
      <c r="Z389" s="64"/>
      <c r="AA389" s="64"/>
      <c r="AB389" s="64"/>
      <c r="AC389" s="64"/>
      <c r="AD389" s="64"/>
      <c r="AE389" s="64"/>
      <c r="AF389" s="64"/>
      <c r="AG389" s="64"/>
    </row>
    <row r="390" spans="1:33">
      <c r="A390" s="25"/>
      <c r="B390" s="25"/>
      <c r="C390" s="25"/>
      <c r="D390" s="25"/>
      <c r="E390" s="62"/>
      <c r="F390" s="63"/>
      <c r="G390" s="25"/>
      <c r="H390" s="63"/>
      <c r="I390" s="63"/>
      <c r="J390" s="64"/>
      <c r="K390" s="64"/>
      <c r="L390" s="64"/>
      <c r="M390" s="64"/>
      <c r="N390" s="64"/>
      <c r="O390" s="64"/>
      <c r="P390" s="64"/>
      <c r="Q390" s="64"/>
      <c r="R390" s="64"/>
      <c r="S390" s="64"/>
      <c r="T390" s="64"/>
      <c r="U390" s="64"/>
      <c r="V390" s="64"/>
      <c r="W390" s="64"/>
      <c r="X390" s="64"/>
      <c r="Y390" s="64"/>
      <c r="Z390" s="64"/>
      <c r="AA390" s="64"/>
      <c r="AB390" s="64"/>
      <c r="AC390" s="64"/>
      <c r="AD390" s="64"/>
      <c r="AE390" s="64"/>
      <c r="AF390" s="64"/>
      <c r="AG390" s="64"/>
    </row>
    <row r="391" spans="1:33">
      <c r="A391" s="25"/>
      <c r="B391" s="25"/>
      <c r="C391" s="25"/>
      <c r="D391" s="25"/>
      <c r="E391" s="62"/>
      <c r="F391" s="63"/>
      <c r="G391" s="25"/>
      <c r="H391" s="63"/>
      <c r="I391" s="63"/>
      <c r="J391" s="64"/>
      <c r="K391" s="64"/>
      <c r="L391" s="64"/>
      <c r="M391" s="64"/>
      <c r="N391" s="64"/>
      <c r="O391" s="64"/>
      <c r="P391" s="64"/>
      <c r="Q391" s="64"/>
      <c r="R391" s="64"/>
      <c r="S391" s="64"/>
      <c r="T391" s="64"/>
      <c r="U391" s="64"/>
      <c r="V391" s="64"/>
      <c r="W391" s="64"/>
      <c r="X391" s="64"/>
      <c r="Y391" s="64"/>
      <c r="Z391" s="64"/>
      <c r="AA391" s="64"/>
      <c r="AB391" s="64"/>
      <c r="AC391" s="64"/>
      <c r="AD391" s="64"/>
      <c r="AE391" s="64"/>
      <c r="AF391" s="64"/>
      <c r="AG391" s="64"/>
    </row>
    <row r="392" spans="1:33">
      <c r="A392" s="25"/>
      <c r="B392" s="25"/>
      <c r="C392" s="25"/>
      <c r="D392" s="25"/>
      <c r="E392" s="62"/>
      <c r="F392" s="63"/>
      <c r="G392" s="25"/>
      <c r="H392" s="63"/>
      <c r="I392" s="63"/>
      <c r="J392" s="64"/>
      <c r="K392" s="64"/>
      <c r="L392" s="64"/>
      <c r="M392" s="64"/>
      <c r="N392" s="64"/>
      <c r="O392" s="64"/>
      <c r="P392" s="64"/>
      <c r="Q392" s="64"/>
      <c r="R392" s="64"/>
      <c r="S392" s="64"/>
      <c r="T392" s="64"/>
      <c r="U392" s="64"/>
      <c r="V392" s="64"/>
      <c r="W392" s="64"/>
      <c r="X392" s="64"/>
      <c r="Y392" s="64"/>
      <c r="Z392" s="64"/>
      <c r="AA392" s="64"/>
      <c r="AB392" s="64"/>
      <c r="AC392" s="64"/>
      <c r="AD392" s="64"/>
      <c r="AE392" s="64"/>
      <c r="AF392" s="64"/>
      <c r="AG392" s="64"/>
    </row>
    <row r="393" spans="1:33">
      <c r="A393" s="25"/>
      <c r="B393" s="25"/>
      <c r="C393" s="25"/>
      <c r="D393" s="25"/>
      <c r="E393" s="62"/>
      <c r="F393" s="63"/>
      <c r="G393" s="25"/>
      <c r="H393" s="63"/>
      <c r="I393" s="63"/>
      <c r="J393" s="64"/>
      <c r="K393" s="64"/>
      <c r="L393" s="64"/>
      <c r="M393" s="64"/>
      <c r="N393" s="64"/>
      <c r="O393" s="64"/>
      <c r="P393" s="64"/>
      <c r="Q393" s="64"/>
      <c r="R393" s="64"/>
      <c r="S393" s="64"/>
      <c r="T393" s="64"/>
      <c r="U393" s="64"/>
      <c r="V393" s="64"/>
      <c r="W393" s="64"/>
      <c r="X393" s="64"/>
      <c r="Y393" s="64"/>
      <c r="Z393" s="64"/>
      <c r="AA393" s="64"/>
      <c r="AB393" s="64"/>
      <c r="AC393" s="64"/>
      <c r="AD393" s="64"/>
      <c r="AE393" s="64"/>
      <c r="AF393" s="64"/>
      <c r="AG393" s="64"/>
    </row>
    <row r="394" spans="1:33">
      <c r="A394" s="25"/>
      <c r="B394" s="25"/>
      <c r="C394" s="25"/>
      <c r="D394" s="25"/>
      <c r="E394" s="62"/>
      <c r="F394" s="63"/>
      <c r="G394" s="25"/>
      <c r="H394" s="63"/>
      <c r="I394" s="63"/>
      <c r="J394" s="64"/>
      <c r="K394" s="64"/>
      <c r="L394" s="64"/>
      <c r="M394" s="64"/>
      <c r="N394" s="64"/>
      <c r="O394" s="64"/>
      <c r="P394" s="64"/>
      <c r="Q394" s="64"/>
      <c r="R394" s="64"/>
      <c r="S394" s="64"/>
      <c r="T394" s="64"/>
      <c r="U394" s="64"/>
      <c r="V394" s="64"/>
      <c r="W394" s="64"/>
      <c r="X394" s="64"/>
      <c r="Y394" s="64"/>
      <c r="Z394" s="64"/>
      <c r="AA394" s="64"/>
      <c r="AB394" s="64"/>
      <c r="AC394" s="64"/>
      <c r="AD394" s="64"/>
      <c r="AE394" s="64"/>
      <c r="AF394" s="64"/>
      <c r="AG394" s="64"/>
    </row>
    <row r="395" spans="1:33">
      <c r="A395" s="25"/>
      <c r="B395" s="25"/>
      <c r="C395" s="25"/>
      <c r="D395" s="25"/>
      <c r="E395" s="62"/>
      <c r="F395" s="63"/>
      <c r="G395" s="25"/>
      <c r="H395" s="63"/>
      <c r="I395" s="63"/>
      <c r="J395" s="64"/>
      <c r="K395" s="64"/>
      <c r="L395" s="64"/>
      <c r="M395" s="64"/>
      <c r="N395" s="64"/>
      <c r="O395" s="64"/>
      <c r="P395" s="64"/>
      <c r="Q395" s="64"/>
      <c r="R395" s="64"/>
      <c r="S395" s="64"/>
      <c r="T395" s="64"/>
      <c r="U395" s="64"/>
      <c r="V395" s="64"/>
      <c r="W395" s="64"/>
      <c r="X395" s="64"/>
      <c r="Y395" s="64"/>
      <c r="Z395" s="64"/>
      <c r="AA395" s="64"/>
      <c r="AB395" s="64"/>
      <c r="AC395" s="64"/>
      <c r="AD395" s="64"/>
      <c r="AE395" s="64"/>
      <c r="AF395" s="64"/>
      <c r="AG395" s="64"/>
    </row>
    <row r="396" spans="1:33">
      <c r="A396" s="25"/>
      <c r="B396" s="25"/>
      <c r="C396" s="25"/>
      <c r="D396" s="25"/>
      <c r="E396" s="62"/>
      <c r="F396" s="63"/>
      <c r="G396" s="25"/>
      <c r="H396" s="63"/>
      <c r="I396" s="63"/>
      <c r="J396" s="64"/>
      <c r="K396" s="64"/>
      <c r="L396" s="64"/>
      <c r="M396" s="64"/>
      <c r="N396" s="64"/>
      <c r="O396" s="64"/>
      <c r="P396" s="64"/>
      <c r="Q396" s="64"/>
      <c r="R396" s="64"/>
      <c r="S396" s="64"/>
      <c r="T396" s="64"/>
      <c r="U396" s="64"/>
      <c r="V396" s="64"/>
      <c r="W396" s="64"/>
      <c r="X396" s="64"/>
      <c r="Y396" s="64"/>
      <c r="Z396" s="64"/>
      <c r="AA396" s="64"/>
      <c r="AB396" s="64"/>
      <c r="AC396" s="64"/>
      <c r="AD396" s="64"/>
      <c r="AE396" s="64"/>
      <c r="AF396" s="64"/>
      <c r="AG396" s="64"/>
    </row>
    <row r="397" spans="1:33">
      <c r="A397" s="25"/>
      <c r="B397" s="25"/>
      <c r="C397" s="25"/>
      <c r="D397" s="25"/>
      <c r="E397" s="62"/>
      <c r="F397" s="63"/>
      <c r="G397" s="25"/>
      <c r="H397" s="63"/>
      <c r="I397" s="63"/>
      <c r="J397" s="64"/>
      <c r="K397" s="64"/>
      <c r="L397" s="64"/>
      <c r="M397" s="64"/>
      <c r="N397" s="64"/>
      <c r="O397" s="64"/>
      <c r="P397" s="64"/>
      <c r="Q397" s="64"/>
      <c r="R397" s="64"/>
      <c r="S397" s="64"/>
      <c r="T397" s="64"/>
      <c r="U397" s="64"/>
      <c r="V397" s="64"/>
      <c r="W397" s="64"/>
      <c r="X397" s="64"/>
      <c r="Y397" s="64"/>
      <c r="Z397" s="64"/>
      <c r="AA397" s="64"/>
      <c r="AB397" s="64"/>
      <c r="AC397" s="64"/>
      <c r="AD397" s="64"/>
      <c r="AE397" s="64"/>
      <c r="AF397" s="64"/>
      <c r="AG397" s="64"/>
    </row>
    <row r="398" spans="1:33">
      <c r="A398" s="25"/>
      <c r="B398" s="25"/>
      <c r="C398" s="25"/>
      <c r="D398" s="25"/>
      <c r="E398" s="62"/>
      <c r="F398" s="63"/>
      <c r="G398" s="25"/>
      <c r="H398" s="63"/>
      <c r="I398" s="63"/>
      <c r="J398" s="64"/>
      <c r="K398" s="64"/>
      <c r="L398" s="64"/>
      <c r="M398" s="64"/>
      <c r="N398" s="64"/>
      <c r="O398" s="64"/>
      <c r="P398" s="64"/>
      <c r="Q398" s="64"/>
      <c r="R398" s="64"/>
      <c r="S398" s="64"/>
      <c r="T398" s="64"/>
      <c r="U398" s="64"/>
      <c r="V398" s="64"/>
      <c r="W398" s="64"/>
      <c r="X398" s="64"/>
      <c r="Y398" s="64"/>
      <c r="Z398" s="64"/>
      <c r="AA398" s="64"/>
      <c r="AB398" s="64"/>
      <c r="AC398" s="64"/>
      <c r="AD398" s="64"/>
      <c r="AE398" s="64"/>
      <c r="AF398" s="64"/>
      <c r="AG398" s="64"/>
    </row>
    <row r="399" spans="1:33">
      <c r="A399" s="25"/>
      <c r="B399" s="25"/>
      <c r="C399" s="25"/>
      <c r="D399" s="25"/>
      <c r="E399" s="62"/>
      <c r="F399" s="63"/>
      <c r="G399" s="25"/>
      <c r="H399" s="63"/>
      <c r="I399" s="63"/>
      <c r="J399" s="64"/>
      <c r="K399" s="64"/>
      <c r="L399" s="64"/>
      <c r="M399" s="64"/>
      <c r="N399" s="64"/>
      <c r="O399" s="64"/>
      <c r="P399" s="64"/>
      <c r="Q399" s="64"/>
      <c r="R399" s="64"/>
      <c r="S399" s="64"/>
      <c r="T399" s="64"/>
      <c r="U399" s="64"/>
      <c r="V399" s="64"/>
      <c r="W399" s="64"/>
      <c r="X399" s="64"/>
      <c r="Y399" s="64"/>
      <c r="Z399" s="64"/>
      <c r="AA399" s="64"/>
      <c r="AB399" s="64"/>
      <c r="AC399" s="64"/>
      <c r="AD399" s="64"/>
      <c r="AE399" s="64"/>
      <c r="AF399" s="64"/>
      <c r="AG399" s="64"/>
    </row>
    <row r="400" spans="1:33">
      <c r="A400" s="25"/>
      <c r="B400" s="25"/>
      <c r="C400" s="25"/>
      <c r="D400" s="25"/>
      <c r="E400" s="62"/>
      <c r="F400" s="63"/>
      <c r="G400" s="25"/>
      <c r="H400" s="63"/>
      <c r="I400" s="63"/>
      <c r="J400" s="64"/>
      <c r="K400" s="64"/>
      <c r="L400" s="64"/>
      <c r="M400" s="64"/>
      <c r="N400" s="64"/>
      <c r="O400" s="64"/>
      <c r="P400" s="64"/>
      <c r="Q400" s="64"/>
      <c r="R400" s="64"/>
      <c r="S400" s="64"/>
      <c r="T400" s="64"/>
      <c r="U400" s="64"/>
      <c r="V400" s="64"/>
      <c r="W400" s="64"/>
      <c r="X400" s="64"/>
      <c r="Y400" s="64"/>
      <c r="Z400" s="64"/>
      <c r="AA400" s="64"/>
      <c r="AB400" s="64"/>
      <c r="AC400" s="64"/>
      <c r="AD400" s="64"/>
      <c r="AE400" s="64"/>
      <c r="AF400" s="64"/>
      <c r="AG400" s="64"/>
    </row>
    <row r="401" spans="1:33">
      <c r="A401" s="25"/>
      <c r="B401" s="25"/>
      <c r="C401" s="25"/>
      <c r="D401" s="25"/>
      <c r="E401" s="62"/>
      <c r="F401" s="63"/>
      <c r="G401" s="25"/>
      <c r="H401" s="63"/>
      <c r="I401" s="63"/>
      <c r="J401" s="64"/>
      <c r="K401" s="64"/>
      <c r="L401" s="64"/>
      <c r="M401" s="64"/>
      <c r="N401" s="64"/>
      <c r="O401" s="64"/>
      <c r="P401" s="64"/>
      <c r="Q401" s="64"/>
      <c r="R401" s="64"/>
      <c r="S401" s="64"/>
      <c r="T401" s="64"/>
      <c r="U401" s="64"/>
      <c r="V401" s="64"/>
      <c r="W401" s="64"/>
      <c r="X401" s="64"/>
      <c r="Y401" s="64"/>
      <c r="Z401" s="64"/>
      <c r="AA401" s="64"/>
      <c r="AB401" s="64"/>
      <c r="AC401" s="64"/>
      <c r="AD401" s="64"/>
      <c r="AE401" s="64"/>
      <c r="AF401" s="64"/>
      <c r="AG401" s="64"/>
    </row>
    <row r="402" spans="1:33">
      <c r="A402" s="25"/>
      <c r="B402" s="25"/>
      <c r="C402" s="25"/>
      <c r="D402" s="25"/>
      <c r="E402" s="62"/>
      <c r="F402" s="63"/>
      <c r="G402" s="25"/>
      <c r="H402" s="63"/>
      <c r="I402" s="63"/>
      <c r="J402" s="64"/>
      <c r="K402" s="64"/>
      <c r="L402" s="64"/>
      <c r="M402" s="64"/>
      <c r="N402" s="64"/>
      <c r="O402" s="64"/>
      <c r="P402" s="64"/>
      <c r="Q402" s="64"/>
      <c r="R402" s="64"/>
      <c r="S402" s="64"/>
      <c r="T402" s="64"/>
      <c r="U402" s="64"/>
      <c r="V402" s="64"/>
      <c r="W402" s="64"/>
      <c r="X402" s="64"/>
      <c r="Y402" s="64"/>
      <c r="Z402" s="64"/>
      <c r="AA402" s="64"/>
      <c r="AB402" s="64"/>
      <c r="AC402" s="64"/>
      <c r="AD402" s="64"/>
      <c r="AE402" s="64"/>
      <c r="AF402" s="64"/>
      <c r="AG402" s="64"/>
    </row>
    <row r="403" spans="1:33">
      <c r="A403" s="25"/>
      <c r="B403" s="25"/>
      <c r="C403" s="25"/>
      <c r="D403" s="25"/>
      <c r="E403" s="62"/>
      <c r="F403" s="63"/>
      <c r="G403" s="25"/>
      <c r="H403" s="63"/>
      <c r="I403" s="63"/>
      <c r="J403" s="64"/>
      <c r="K403" s="64"/>
      <c r="L403" s="64"/>
      <c r="M403" s="64"/>
      <c r="N403" s="64"/>
      <c r="O403" s="64"/>
      <c r="P403" s="64"/>
      <c r="Q403" s="64"/>
      <c r="R403" s="64"/>
      <c r="S403" s="64"/>
      <c r="T403" s="64"/>
      <c r="U403" s="64"/>
      <c r="V403" s="64"/>
      <c r="W403" s="64"/>
      <c r="X403" s="64"/>
      <c r="Y403" s="64"/>
      <c r="Z403" s="64"/>
      <c r="AA403" s="64"/>
      <c r="AB403" s="64"/>
      <c r="AC403" s="64"/>
      <c r="AD403" s="64"/>
      <c r="AE403" s="64"/>
      <c r="AF403" s="64"/>
      <c r="AG403" s="64"/>
    </row>
    <row r="404" spans="1:33">
      <c r="A404" s="25"/>
      <c r="B404" s="25"/>
      <c r="C404" s="25"/>
      <c r="D404" s="25"/>
      <c r="E404" s="62"/>
      <c r="F404" s="63"/>
      <c r="G404" s="25"/>
      <c r="H404" s="63"/>
      <c r="I404" s="63"/>
      <c r="J404" s="64"/>
      <c r="K404" s="64"/>
      <c r="L404" s="64"/>
      <c r="M404" s="64"/>
      <c r="N404" s="64"/>
      <c r="O404" s="64"/>
      <c r="P404" s="64"/>
      <c r="Q404" s="64"/>
      <c r="R404" s="64"/>
      <c r="S404" s="64"/>
      <c r="T404" s="64"/>
      <c r="U404" s="64"/>
      <c r="V404" s="64"/>
      <c r="W404" s="64"/>
      <c r="X404" s="64"/>
      <c r="Y404" s="64"/>
      <c r="Z404" s="64"/>
      <c r="AA404" s="64"/>
      <c r="AB404" s="64"/>
      <c r="AC404" s="64"/>
      <c r="AD404" s="64"/>
      <c r="AE404" s="64"/>
      <c r="AF404" s="64"/>
      <c r="AG404" s="64"/>
    </row>
    <row r="405" spans="1:33">
      <c r="A405" s="25"/>
      <c r="B405" s="25"/>
      <c r="C405" s="25"/>
      <c r="D405" s="25"/>
      <c r="E405" s="62"/>
      <c r="F405" s="63"/>
      <c r="G405" s="25"/>
      <c r="H405" s="63"/>
      <c r="I405" s="63"/>
      <c r="J405" s="64"/>
      <c r="K405" s="64"/>
      <c r="L405" s="64"/>
      <c r="M405" s="64"/>
      <c r="N405" s="64"/>
      <c r="O405" s="64"/>
      <c r="P405" s="64"/>
      <c r="Q405" s="64"/>
      <c r="R405" s="64"/>
      <c r="S405" s="64"/>
      <c r="T405" s="64"/>
      <c r="U405" s="64"/>
      <c r="V405" s="64"/>
      <c r="W405" s="64"/>
      <c r="X405" s="64"/>
      <c r="Y405" s="64"/>
      <c r="Z405" s="64"/>
      <c r="AA405" s="64"/>
      <c r="AB405" s="64"/>
      <c r="AC405" s="64"/>
      <c r="AD405" s="64"/>
      <c r="AE405" s="64"/>
      <c r="AF405" s="64"/>
      <c r="AG405" s="64"/>
    </row>
    <row r="406" spans="1:33">
      <c r="A406" s="25"/>
      <c r="B406" s="25"/>
      <c r="C406" s="25"/>
      <c r="D406" s="25"/>
      <c r="E406" s="62"/>
      <c r="F406" s="63"/>
      <c r="G406" s="25"/>
      <c r="H406" s="63"/>
      <c r="I406" s="63"/>
      <c r="J406" s="64"/>
      <c r="K406" s="64"/>
      <c r="L406" s="64"/>
      <c r="M406" s="64"/>
      <c r="N406" s="64"/>
      <c r="O406" s="64"/>
      <c r="P406" s="64"/>
      <c r="Q406" s="64"/>
      <c r="R406" s="64"/>
      <c r="S406" s="64"/>
      <c r="T406" s="64"/>
      <c r="U406" s="64"/>
      <c r="V406" s="64"/>
      <c r="W406" s="64"/>
      <c r="X406" s="64"/>
      <c r="Y406" s="64"/>
      <c r="Z406" s="64"/>
      <c r="AA406" s="64"/>
      <c r="AB406" s="64"/>
      <c r="AC406" s="64"/>
      <c r="AD406" s="64"/>
      <c r="AE406" s="64"/>
      <c r="AF406" s="64"/>
      <c r="AG406" s="64"/>
    </row>
    <row r="407" spans="1:33">
      <c r="A407" s="25"/>
      <c r="B407" s="25"/>
      <c r="C407" s="25"/>
      <c r="D407" s="25"/>
      <c r="E407" s="62"/>
      <c r="F407" s="63"/>
      <c r="G407" s="25"/>
      <c r="H407" s="63"/>
      <c r="I407" s="63"/>
      <c r="J407" s="64"/>
      <c r="K407" s="64"/>
      <c r="L407" s="64"/>
      <c r="M407" s="64"/>
      <c r="N407" s="64"/>
      <c r="O407" s="64"/>
      <c r="P407" s="64"/>
      <c r="Q407" s="64"/>
      <c r="R407" s="64"/>
      <c r="S407" s="64"/>
      <c r="T407" s="64"/>
      <c r="U407" s="64"/>
      <c r="V407" s="64"/>
      <c r="W407" s="64"/>
      <c r="X407" s="64"/>
      <c r="Y407" s="64"/>
      <c r="Z407" s="64"/>
      <c r="AA407" s="64"/>
      <c r="AB407" s="64"/>
      <c r="AC407" s="64"/>
      <c r="AD407" s="64"/>
      <c r="AE407" s="64"/>
      <c r="AF407" s="64"/>
      <c r="AG407" s="64"/>
    </row>
    <row r="408" spans="1:33">
      <c r="A408" s="25"/>
      <c r="B408" s="25"/>
      <c r="C408" s="25"/>
      <c r="D408" s="25"/>
      <c r="E408" s="62"/>
      <c r="F408" s="63"/>
      <c r="G408" s="25"/>
      <c r="H408" s="63"/>
      <c r="I408" s="63"/>
      <c r="J408" s="64"/>
      <c r="K408" s="64"/>
      <c r="L408" s="64"/>
      <c r="M408" s="64"/>
      <c r="N408" s="64"/>
      <c r="O408" s="64"/>
      <c r="P408" s="64"/>
      <c r="Q408" s="64"/>
      <c r="R408" s="64"/>
      <c r="S408" s="64"/>
      <c r="T408" s="64"/>
      <c r="U408" s="64"/>
      <c r="V408" s="64"/>
      <c r="W408" s="64"/>
      <c r="X408" s="64"/>
      <c r="Y408" s="64"/>
      <c r="Z408" s="64"/>
      <c r="AA408" s="64"/>
      <c r="AB408" s="64"/>
      <c r="AC408" s="64"/>
      <c r="AD408" s="64"/>
      <c r="AE408" s="64"/>
      <c r="AF408" s="64"/>
      <c r="AG408" s="64"/>
    </row>
    <row r="409" spans="1:33">
      <c r="A409" s="25"/>
      <c r="B409" s="25"/>
      <c r="C409" s="25"/>
      <c r="D409" s="25"/>
      <c r="E409" s="62"/>
      <c r="F409" s="63"/>
      <c r="G409" s="25"/>
      <c r="H409" s="63"/>
      <c r="I409" s="63"/>
      <c r="J409" s="64"/>
      <c r="K409" s="64"/>
      <c r="L409" s="64"/>
      <c r="M409" s="64"/>
      <c r="N409" s="64"/>
      <c r="O409" s="64"/>
      <c r="P409" s="64"/>
      <c r="Q409" s="64"/>
      <c r="R409" s="64"/>
      <c r="S409" s="64"/>
      <c r="T409" s="64"/>
      <c r="U409" s="64"/>
      <c r="V409" s="64"/>
      <c r="W409" s="64"/>
      <c r="X409" s="64"/>
      <c r="Y409" s="64"/>
      <c r="Z409" s="64"/>
      <c r="AA409" s="64"/>
      <c r="AB409" s="64"/>
      <c r="AC409" s="64"/>
      <c r="AD409" s="64"/>
      <c r="AE409" s="64"/>
      <c r="AF409" s="64"/>
      <c r="AG409" s="64"/>
    </row>
    <row r="410" spans="1:33">
      <c r="A410" s="25"/>
      <c r="B410" s="25"/>
      <c r="C410" s="25"/>
      <c r="D410" s="25"/>
      <c r="E410" s="62"/>
      <c r="F410" s="63"/>
      <c r="G410" s="25"/>
      <c r="H410" s="63"/>
      <c r="I410" s="63"/>
      <c r="J410" s="64"/>
      <c r="K410" s="64"/>
      <c r="L410" s="64"/>
      <c r="M410" s="64"/>
      <c r="N410" s="64"/>
      <c r="O410" s="64"/>
      <c r="P410" s="64"/>
      <c r="Q410" s="64"/>
      <c r="R410" s="64"/>
      <c r="S410" s="64"/>
      <c r="T410" s="64"/>
      <c r="U410" s="64"/>
      <c r="V410" s="64"/>
      <c r="W410" s="64"/>
      <c r="X410" s="64"/>
      <c r="Y410" s="64"/>
      <c r="Z410" s="64"/>
      <c r="AA410" s="64"/>
      <c r="AB410" s="64"/>
      <c r="AC410" s="64"/>
      <c r="AD410" s="64"/>
      <c r="AE410" s="64"/>
      <c r="AF410" s="64"/>
      <c r="AG410" s="64"/>
    </row>
    <row r="411" spans="1:33">
      <c r="A411" s="25"/>
      <c r="B411" s="25"/>
      <c r="C411" s="25"/>
      <c r="D411" s="25"/>
      <c r="E411" s="62"/>
      <c r="F411" s="63"/>
      <c r="G411" s="25"/>
      <c r="H411" s="63"/>
      <c r="I411" s="63"/>
      <c r="J411" s="64"/>
      <c r="K411" s="64"/>
      <c r="L411" s="64"/>
      <c r="M411" s="64"/>
      <c r="N411" s="64"/>
      <c r="O411" s="64"/>
      <c r="P411" s="64"/>
      <c r="Q411" s="64"/>
      <c r="R411" s="64"/>
      <c r="S411" s="64"/>
      <c r="T411" s="64"/>
      <c r="U411" s="64"/>
      <c r="V411" s="64"/>
      <c r="W411" s="64"/>
      <c r="X411" s="64"/>
      <c r="Y411" s="64"/>
      <c r="Z411" s="64"/>
      <c r="AA411" s="64"/>
      <c r="AB411" s="64"/>
      <c r="AC411" s="64"/>
      <c r="AD411" s="64"/>
      <c r="AE411" s="64"/>
      <c r="AF411" s="64"/>
      <c r="AG411" s="64"/>
    </row>
    <row r="412" spans="1:33">
      <c r="A412" s="25"/>
      <c r="B412" s="25"/>
      <c r="C412" s="25"/>
      <c r="D412" s="25"/>
      <c r="E412" s="62"/>
      <c r="F412" s="63"/>
      <c r="G412" s="25"/>
      <c r="H412" s="63"/>
      <c r="I412" s="63"/>
      <c r="J412" s="64"/>
      <c r="K412" s="64"/>
      <c r="L412" s="64"/>
      <c r="M412" s="64"/>
      <c r="N412" s="64"/>
      <c r="O412" s="64"/>
      <c r="P412" s="64"/>
      <c r="Q412" s="64"/>
      <c r="R412" s="64"/>
      <c r="S412" s="64"/>
      <c r="T412" s="64"/>
      <c r="U412" s="64"/>
      <c r="V412" s="64"/>
      <c r="W412" s="64"/>
      <c r="X412" s="64"/>
      <c r="Y412" s="64"/>
      <c r="Z412" s="64"/>
      <c r="AA412" s="64"/>
      <c r="AB412" s="64"/>
      <c r="AC412" s="64"/>
      <c r="AD412" s="64"/>
      <c r="AE412" s="64"/>
      <c r="AF412" s="64"/>
      <c r="AG412" s="64"/>
    </row>
    <row r="413" spans="1:33">
      <c r="A413" s="25"/>
      <c r="B413" s="25"/>
      <c r="C413" s="25"/>
      <c r="D413" s="25"/>
      <c r="E413" s="62"/>
      <c r="F413" s="63"/>
      <c r="G413" s="25"/>
      <c r="H413" s="63"/>
      <c r="I413" s="63"/>
      <c r="J413" s="64"/>
      <c r="K413" s="64"/>
      <c r="L413" s="64"/>
      <c r="M413" s="64"/>
      <c r="N413" s="64"/>
      <c r="O413" s="64"/>
      <c r="P413" s="64"/>
      <c r="Q413" s="64"/>
      <c r="R413" s="64"/>
      <c r="S413" s="64"/>
      <c r="T413" s="64"/>
      <c r="U413" s="64"/>
      <c r="V413" s="64"/>
      <c r="W413" s="64"/>
      <c r="X413" s="64"/>
      <c r="Y413" s="64"/>
      <c r="Z413" s="64"/>
      <c r="AA413" s="64"/>
      <c r="AB413" s="64"/>
      <c r="AC413" s="64"/>
      <c r="AD413" s="64"/>
      <c r="AE413" s="64"/>
      <c r="AF413" s="64"/>
      <c r="AG413" s="64"/>
    </row>
    <row r="414" spans="1:33">
      <c r="A414" s="25"/>
      <c r="B414" s="25"/>
      <c r="C414" s="25"/>
      <c r="D414" s="25"/>
      <c r="E414" s="62"/>
      <c r="F414" s="63"/>
      <c r="G414" s="25"/>
      <c r="H414" s="63"/>
      <c r="I414" s="63"/>
      <c r="J414" s="64"/>
      <c r="K414" s="64"/>
      <c r="L414" s="64"/>
      <c r="M414" s="64"/>
      <c r="N414" s="64"/>
      <c r="O414" s="64"/>
      <c r="P414" s="64"/>
      <c r="Q414" s="64"/>
      <c r="R414" s="64"/>
      <c r="S414" s="64"/>
      <c r="T414" s="64"/>
      <c r="U414" s="64"/>
      <c r="V414" s="64"/>
      <c r="W414" s="64"/>
      <c r="X414" s="64"/>
      <c r="Y414" s="64"/>
      <c r="Z414" s="64"/>
      <c r="AA414" s="64"/>
      <c r="AB414" s="64"/>
      <c r="AC414" s="64"/>
      <c r="AD414" s="64"/>
      <c r="AE414" s="64"/>
      <c r="AF414" s="64"/>
      <c r="AG414" s="64"/>
    </row>
    <row r="415" spans="1:33">
      <c r="A415" s="25"/>
      <c r="B415" s="25"/>
      <c r="C415" s="25"/>
      <c r="D415" s="25"/>
      <c r="E415" s="62"/>
      <c r="F415" s="63"/>
      <c r="G415" s="25"/>
      <c r="H415" s="63"/>
      <c r="I415" s="63"/>
      <c r="J415" s="64"/>
      <c r="K415" s="64"/>
      <c r="L415" s="64"/>
      <c r="M415" s="64"/>
      <c r="N415" s="64"/>
      <c r="O415" s="64"/>
      <c r="P415" s="64"/>
      <c r="Q415" s="64"/>
      <c r="R415" s="64"/>
      <c r="S415" s="64"/>
      <c r="T415" s="64"/>
      <c r="U415" s="64"/>
      <c r="V415" s="64"/>
      <c r="W415" s="64"/>
      <c r="X415" s="64"/>
      <c r="Y415" s="64"/>
      <c r="Z415" s="64"/>
      <c r="AA415" s="64"/>
      <c r="AB415" s="64"/>
      <c r="AC415" s="64"/>
      <c r="AD415" s="64"/>
      <c r="AE415" s="64"/>
      <c r="AF415" s="64"/>
      <c r="AG415" s="64"/>
    </row>
    <row r="416" spans="1:33">
      <c r="A416" s="25"/>
      <c r="B416" s="25"/>
      <c r="C416" s="25"/>
      <c r="D416" s="25"/>
      <c r="E416" s="62"/>
      <c r="F416" s="63"/>
      <c r="G416" s="25"/>
      <c r="H416" s="63"/>
      <c r="I416" s="63"/>
      <c r="J416" s="64"/>
      <c r="K416" s="64"/>
      <c r="L416" s="64"/>
      <c r="M416" s="64"/>
      <c r="N416" s="64"/>
      <c r="O416" s="64"/>
      <c r="P416" s="64"/>
      <c r="Q416" s="64"/>
      <c r="R416" s="64"/>
      <c r="S416" s="64"/>
      <c r="T416" s="64"/>
      <c r="U416" s="64"/>
      <c r="V416" s="64"/>
      <c r="W416" s="64"/>
      <c r="X416" s="64"/>
      <c r="Y416" s="64"/>
      <c r="Z416" s="64"/>
      <c r="AA416" s="64"/>
      <c r="AB416" s="64"/>
      <c r="AC416" s="64"/>
      <c r="AD416" s="64"/>
      <c r="AE416" s="64"/>
      <c r="AF416" s="64"/>
      <c r="AG416" s="64"/>
    </row>
    <row r="417" spans="1:33">
      <c r="A417" s="25"/>
      <c r="B417" s="25"/>
      <c r="C417" s="25"/>
      <c r="D417" s="25"/>
      <c r="E417" s="62"/>
      <c r="F417" s="63"/>
      <c r="G417" s="25"/>
      <c r="H417" s="63"/>
      <c r="I417" s="63"/>
      <c r="J417" s="64"/>
      <c r="K417" s="64"/>
      <c r="L417" s="64"/>
      <c r="M417" s="64"/>
      <c r="N417" s="64"/>
      <c r="O417" s="64"/>
      <c r="P417" s="64"/>
      <c r="Q417" s="64"/>
      <c r="R417" s="64"/>
      <c r="S417" s="64"/>
      <c r="T417" s="64"/>
      <c r="U417" s="64"/>
      <c r="V417" s="64"/>
      <c r="W417" s="64"/>
      <c r="X417" s="64"/>
      <c r="Y417" s="64"/>
      <c r="Z417" s="64"/>
      <c r="AA417" s="64"/>
      <c r="AB417" s="64"/>
      <c r="AC417" s="64"/>
      <c r="AD417" s="64"/>
      <c r="AE417" s="64"/>
      <c r="AF417" s="64"/>
      <c r="AG417" s="64"/>
    </row>
    <row r="418" spans="1:33">
      <c r="A418" s="25"/>
      <c r="B418" s="25"/>
      <c r="C418" s="25"/>
      <c r="D418" s="25"/>
      <c r="E418" s="62"/>
      <c r="F418" s="63"/>
      <c r="G418" s="25"/>
      <c r="H418" s="63"/>
      <c r="I418" s="63"/>
      <c r="J418" s="64"/>
      <c r="K418" s="64"/>
      <c r="L418" s="64"/>
      <c r="M418" s="64"/>
      <c r="N418" s="64"/>
      <c r="O418" s="64"/>
      <c r="P418" s="64"/>
      <c r="Q418" s="64"/>
      <c r="R418" s="64"/>
      <c r="S418" s="64"/>
      <c r="T418" s="64"/>
      <c r="U418" s="64"/>
      <c r="V418" s="64"/>
      <c r="W418" s="64"/>
      <c r="X418" s="64"/>
      <c r="Y418" s="64"/>
      <c r="Z418" s="64"/>
      <c r="AA418" s="64"/>
      <c r="AB418" s="64"/>
      <c r="AC418" s="64"/>
      <c r="AD418" s="64"/>
      <c r="AE418" s="64"/>
      <c r="AF418" s="64"/>
      <c r="AG418" s="64"/>
    </row>
    <row r="419" spans="1:33">
      <c r="A419" s="25"/>
      <c r="B419" s="25"/>
      <c r="C419" s="25"/>
      <c r="D419" s="25"/>
      <c r="E419" s="62"/>
      <c r="F419" s="63"/>
      <c r="G419" s="25"/>
      <c r="H419" s="63"/>
      <c r="I419" s="63"/>
      <c r="J419" s="64"/>
      <c r="K419" s="64"/>
      <c r="L419" s="64"/>
      <c r="M419" s="64"/>
      <c r="N419" s="64"/>
      <c r="O419" s="64"/>
      <c r="P419" s="64"/>
      <c r="Q419" s="64"/>
      <c r="R419" s="64"/>
      <c r="S419" s="64"/>
      <c r="T419" s="64"/>
      <c r="U419" s="64"/>
      <c r="V419" s="64"/>
      <c r="W419" s="64"/>
      <c r="X419" s="64"/>
      <c r="Y419" s="64"/>
      <c r="Z419" s="64"/>
      <c r="AA419" s="64"/>
      <c r="AB419" s="64"/>
      <c r="AC419" s="64"/>
      <c r="AD419" s="64"/>
      <c r="AE419" s="64"/>
      <c r="AF419" s="64"/>
      <c r="AG419" s="64"/>
    </row>
    <row r="420" spans="1:33">
      <c r="A420" s="25"/>
      <c r="B420" s="25"/>
      <c r="C420" s="25"/>
      <c r="D420" s="25"/>
      <c r="E420" s="62"/>
      <c r="F420" s="63"/>
      <c r="G420" s="25"/>
      <c r="H420" s="63"/>
      <c r="I420" s="63"/>
      <c r="J420" s="64"/>
      <c r="K420" s="64"/>
      <c r="L420" s="64"/>
      <c r="M420" s="64"/>
      <c r="N420" s="64"/>
      <c r="O420" s="64"/>
      <c r="P420" s="64"/>
      <c r="Q420" s="64"/>
      <c r="R420" s="64"/>
      <c r="S420" s="64"/>
      <c r="T420" s="64"/>
      <c r="U420" s="64"/>
      <c r="V420" s="64"/>
      <c r="W420" s="64"/>
      <c r="X420" s="64"/>
      <c r="Y420" s="64"/>
      <c r="Z420" s="64"/>
      <c r="AA420" s="64"/>
      <c r="AB420" s="64"/>
      <c r="AC420" s="64"/>
      <c r="AD420" s="64"/>
      <c r="AE420" s="64"/>
      <c r="AF420" s="64"/>
      <c r="AG420" s="64"/>
    </row>
    <row r="421" spans="1:33">
      <c r="A421" s="25"/>
      <c r="B421" s="25"/>
      <c r="C421" s="25"/>
      <c r="D421" s="25"/>
      <c r="E421" s="62"/>
      <c r="F421" s="63"/>
      <c r="G421" s="25"/>
      <c r="H421" s="63"/>
      <c r="I421" s="63"/>
      <c r="J421" s="64"/>
      <c r="K421" s="64"/>
      <c r="L421" s="64"/>
      <c r="M421" s="64"/>
      <c r="N421" s="64"/>
      <c r="O421" s="64"/>
      <c r="P421" s="64"/>
      <c r="Q421" s="64"/>
      <c r="R421" s="64"/>
      <c r="S421" s="64"/>
      <c r="T421" s="64"/>
      <c r="U421" s="64"/>
      <c r="V421" s="64"/>
      <c r="W421" s="64"/>
      <c r="X421" s="64"/>
      <c r="Y421" s="64"/>
      <c r="Z421" s="64"/>
      <c r="AA421" s="64"/>
      <c r="AB421" s="64"/>
      <c r="AC421" s="64"/>
      <c r="AD421" s="64"/>
      <c r="AE421" s="64"/>
      <c r="AF421" s="64"/>
      <c r="AG421" s="64"/>
    </row>
    <row r="422" spans="1:33">
      <c r="A422" s="25"/>
      <c r="B422" s="25"/>
      <c r="C422" s="25"/>
      <c r="D422" s="25"/>
      <c r="E422" s="62"/>
      <c r="F422" s="63"/>
      <c r="G422" s="25"/>
      <c r="H422" s="63"/>
      <c r="I422" s="63"/>
      <c r="J422" s="64"/>
      <c r="K422" s="64"/>
      <c r="L422" s="64"/>
      <c r="M422" s="64"/>
      <c r="N422" s="64"/>
      <c r="O422" s="64"/>
      <c r="P422" s="64"/>
      <c r="Q422" s="64"/>
      <c r="R422" s="64"/>
      <c r="S422" s="64"/>
      <c r="T422" s="64"/>
      <c r="U422" s="64"/>
      <c r="V422" s="64"/>
      <c r="W422" s="64"/>
      <c r="X422" s="64"/>
      <c r="Y422" s="64"/>
      <c r="Z422" s="64"/>
      <c r="AA422" s="64"/>
      <c r="AB422" s="64"/>
      <c r="AC422" s="64"/>
      <c r="AD422" s="64"/>
      <c r="AE422" s="64"/>
      <c r="AF422" s="64"/>
      <c r="AG422" s="64"/>
    </row>
    <row r="423" spans="1:33">
      <c r="A423" s="25"/>
      <c r="B423" s="25"/>
      <c r="C423" s="25"/>
      <c r="D423" s="25"/>
      <c r="E423" s="62"/>
      <c r="F423" s="63"/>
      <c r="G423" s="25"/>
      <c r="H423" s="63"/>
      <c r="I423" s="63"/>
      <c r="J423" s="64"/>
      <c r="K423" s="64"/>
      <c r="L423" s="64"/>
      <c r="M423" s="64"/>
      <c r="N423" s="64"/>
      <c r="O423" s="64"/>
      <c r="P423" s="64"/>
      <c r="Q423" s="64"/>
      <c r="R423" s="64"/>
      <c r="S423" s="64"/>
      <c r="T423" s="64"/>
      <c r="U423" s="64"/>
      <c r="V423" s="64"/>
      <c r="W423" s="64"/>
      <c r="X423" s="64"/>
      <c r="Y423" s="64"/>
      <c r="Z423" s="64"/>
      <c r="AA423" s="64"/>
      <c r="AB423" s="64"/>
      <c r="AC423" s="64"/>
      <c r="AD423" s="64"/>
      <c r="AE423" s="64"/>
      <c r="AF423" s="64"/>
      <c r="AG423" s="64"/>
    </row>
    <row r="424" spans="1:33">
      <c r="A424" s="25"/>
      <c r="B424" s="25"/>
      <c r="C424" s="25"/>
      <c r="D424" s="25"/>
      <c r="E424" s="62"/>
      <c r="F424" s="63"/>
      <c r="G424" s="25"/>
      <c r="H424" s="63"/>
      <c r="I424" s="63"/>
      <c r="J424" s="64"/>
      <c r="K424" s="64"/>
      <c r="L424" s="64"/>
      <c r="M424" s="64"/>
      <c r="N424" s="64"/>
      <c r="O424" s="64"/>
      <c r="P424" s="64"/>
      <c r="Q424" s="64"/>
      <c r="R424" s="64"/>
      <c r="S424" s="64"/>
      <c r="T424" s="64"/>
      <c r="U424" s="64"/>
      <c r="V424" s="64"/>
      <c r="W424" s="64"/>
      <c r="X424" s="64"/>
      <c r="Y424" s="64"/>
      <c r="Z424" s="64"/>
      <c r="AA424" s="64"/>
      <c r="AB424" s="64"/>
      <c r="AC424" s="64"/>
      <c r="AD424" s="64"/>
      <c r="AE424" s="64"/>
      <c r="AF424" s="64"/>
      <c r="AG424" s="64"/>
    </row>
    <row r="425" spans="1:33">
      <c r="A425" s="25"/>
      <c r="B425" s="25"/>
      <c r="C425" s="25"/>
      <c r="D425" s="25"/>
      <c r="E425" s="62"/>
      <c r="F425" s="63"/>
      <c r="G425" s="25"/>
      <c r="H425" s="63"/>
      <c r="I425" s="63"/>
      <c r="J425" s="64"/>
      <c r="K425" s="64"/>
      <c r="L425" s="64"/>
      <c r="M425" s="64"/>
      <c r="N425" s="64"/>
      <c r="O425" s="64"/>
      <c r="P425" s="64"/>
      <c r="Q425" s="64"/>
      <c r="R425" s="64"/>
      <c r="S425" s="64"/>
      <c r="T425" s="64"/>
      <c r="U425" s="64"/>
      <c r="V425" s="64"/>
      <c r="W425" s="64"/>
      <c r="X425" s="64"/>
      <c r="Y425" s="64"/>
      <c r="Z425" s="64"/>
      <c r="AA425" s="64"/>
      <c r="AB425" s="64"/>
      <c r="AC425" s="64"/>
      <c r="AD425" s="64"/>
      <c r="AE425" s="64"/>
      <c r="AF425" s="64"/>
      <c r="AG425" s="64"/>
    </row>
    <row r="426" spans="1:33">
      <c r="A426" s="25"/>
      <c r="B426" s="25"/>
      <c r="C426" s="25"/>
      <c r="D426" s="25"/>
      <c r="E426" s="62"/>
      <c r="F426" s="63"/>
      <c r="G426" s="25"/>
      <c r="H426" s="63"/>
      <c r="I426" s="63"/>
      <c r="J426" s="64"/>
      <c r="K426" s="64"/>
      <c r="L426" s="64"/>
      <c r="M426" s="64"/>
      <c r="N426" s="64"/>
      <c r="O426" s="64"/>
      <c r="P426" s="64"/>
      <c r="Q426" s="64"/>
      <c r="R426" s="64"/>
      <c r="S426" s="64"/>
      <c r="T426" s="64"/>
      <c r="U426" s="64"/>
      <c r="V426" s="64"/>
      <c r="W426" s="64"/>
      <c r="X426" s="64"/>
      <c r="Y426" s="64"/>
      <c r="Z426" s="64"/>
      <c r="AA426" s="64"/>
      <c r="AB426" s="64"/>
      <c r="AC426" s="64"/>
      <c r="AD426" s="64"/>
      <c r="AE426" s="64"/>
      <c r="AF426" s="64"/>
      <c r="AG426" s="64"/>
    </row>
    <row r="427" spans="1:33">
      <c r="A427" s="25"/>
      <c r="B427" s="25"/>
      <c r="C427" s="25"/>
      <c r="D427" s="25"/>
      <c r="E427" s="62"/>
      <c r="F427" s="63"/>
      <c r="G427" s="25"/>
      <c r="H427" s="63"/>
      <c r="I427" s="63"/>
      <c r="J427" s="64"/>
      <c r="K427" s="64"/>
      <c r="L427" s="64"/>
      <c r="M427" s="64"/>
      <c r="N427" s="64"/>
      <c r="O427" s="64"/>
      <c r="P427" s="64"/>
      <c r="Q427" s="64"/>
      <c r="R427" s="64"/>
      <c r="S427" s="64"/>
      <c r="T427" s="64"/>
      <c r="U427" s="64"/>
      <c r="V427" s="64"/>
      <c r="W427" s="64"/>
      <c r="X427" s="64"/>
      <c r="Y427" s="64"/>
      <c r="Z427" s="64"/>
      <c r="AA427" s="64"/>
      <c r="AB427" s="64"/>
      <c r="AC427" s="64"/>
      <c r="AD427" s="64"/>
      <c r="AE427" s="64"/>
      <c r="AF427" s="64"/>
      <c r="AG427" s="64"/>
    </row>
    <row r="428" spans="1:33">
      <c r="A428" s="25"/>
      <c r="B428" s="25"/>
      <c r="C428" s="25"/>
      <c r="D428" s="25"/>
      <c r="E428" s="62"/>
      <c r="F428" s="63"/>
      <c r="G428" s="25"/>
      <c r="H428" s="63"/>
      <c r="I428" s="63"/>
      <c r="J428" s="64"/>
      <c r="K428" s="64"/>
      <c r="L428" s="64"/>
      <c r="M428" s="64"/>
      <c r="N428" s="64"/>
      <c r="O428" s="64"/>
      <c r="P428" s="64"/>
      <c r="Q428" s="64"/>
      <c r="R428" s="64"/>
      <c r="S428" s="64"/>
      <c r="T428" s="64"/>
      <c r="U428" s="64"/>
      <c r="V428" s="64"/>
      <c r="W428" s="64"/>
      <c r="X428" s="64"/>
      <c r="Y428" s="64"/>
      <c r="Z428" s="64"/>
      <c r="AA428" s="64"/>
      <c r="AB428" s="64"/>
      <c r="AC428" s="64"/>
      <c r="AD428" s="64"/>
      <c r="AE428" s="64"/>
      <c r="AF428" s="64"/>
      <c r="AG428" s="64"/>
    </row>
    <row r="429" spans="1:33">
      <c r="A429" s="25"/>
      <c r="B429" s="25"/>
      <c r="C429" s="25"/>
      <c r="D429" s="25"/>
      <c r="E429" s="62"/>
      <c r="F429" s="63"/>
      <c r="G429" s="25"/>
      <c r="H429" s="63"/>
      <c r="I429" s="63"/>
      <c r="J429" s="64"/>
      <c r="K429" s="64"/>
      <c r="L429" s="64"/>
      <c r="M429" s="64"/>
      <c r="N429" s="64"/>
      <c r="O429" s="64"/>
      <c r="P429" s="64"/>
      <c r="Q429" s="64"/>
      <c r="R429" s="64"/>
      <c r="S429" s="64"/>
      <c r="T429" s="64"/>
      <c r="U429" s="64"/>
      <c r="V429" s="64"/>
      <c r="W429" s="64"/>
      <c r="X429" s="64"/>
      <c r="Y429" s="64"/>
      <c r="Z429" s="64"/>
      <c r="AA429" s="64"/>
      <c r="AB429" s="64"/>
      <c r="AC429" s="64"/>
      <c r="AD429" s="64"/>
      <c r="AE429" s="64"/>
      <c r="AF429" s="64"/>
      <c r="AG429" s="64"/>
    </row>
    <row r="430" spans="1:33">
      <c r="A430" s="25"/>
      <c r="B430" s="25"/>
      <c r="C430" s="25"/>
      <c r="D430" s="25"/>
      <c r="E430" s="62"/>
      <c r="F430" s="63"/>
      <c r="G430" s="25"/>
      <c r="H430" s="63"/>
      <c r="I430" s="63"/>
      <c r="J430" s="64"/>
      <c r="K430" s="64"/>
      <c r="L430" s="64"/>
      <c r="M430" s="64"/>
      <c r="N430" s="64"/>
      <c r="O430" s="64"/>
      <c r="P430" s="64"/>
      <c r="Q430" s="64"/>
      <c r="R430" s="64"/>
      <c r="S430" s="64"/>
      <c r="T430" s="64"/>
      <c r="U430" s="64"/>
      <c r="V430" s="64"/>
      <c r="W430" s="64"/>
      <c r="X430" s="64"/>
      <c r="Y430" s="64"/>
      <c r="Z430" s="64"/>
      <c r="AA430" s="64"/>
      <c r="AB430" s="64"/>
      <c r="AC430" s="64"/>
      <c r="AD430" s="64"/>
      <c r="AE430" s="64"/>
      <c r="AF430" s="64"/>
      <c r="AG430" s="64"/>
    </row>
    <row r="431" spans="1:33">
      <c r="A431" s="25"/>
      <c r="B431" s="25"/>
      <c r="C431" s="25"/>
      <c r="D431" s="25"/>
      <c r="E431" s="62"/>
      <c r="F431" s="63"/>
      <c r="G431" s="25"/>
      <c r="H431" s="63"/>
      <c r="I431" s="63"/>
      <c r="J431" s="64"/>
      <c r="K431" s="64"/>
      <c r="L431" s="64"/>
      <c r="M431" s="64"/>
      <c r="N431" s="64"/>
      <c r="O431" s="64"/>
      <c r="P431" s="64"/>
      <c r="Q431" s="64"/>
      <c r="R431" s="64"/>
      <c r="S431" s="64"/>
      <c r="T431" s="64"/>
      <c r="U431" s="64"/>
      <c r="V431" s="64"/>
      <c r="W431" s="64"/>
      <c r="X431" s="64"/>
      <c r="Y431" s="64"/>
      <c r="Z431" s="64"/>
      <c r="AA431" s="64"/>
      <c r="AB431" s="64"/>
      <c r="AC431" s="64"/>
      <c r="AD431" s="64"/>
      <c r="AE431" s="64"/>
      <c r="AF431" s="64"/>
      <c r="AG431" s="64"/>
    </row>
    <row r="432" spans="1:33">
      <c r="A432" s="25"/>
      <c r="B432" s="25"/>
      <c r="C432" s="25"/>
      <c r="D432" s="25"/>
      <c r="E432" s="62"/>
      <c r="F432" s="63"/>
      <c r="G432" s="25"/>
      <c r="H432" s="63"/>
      <c r="I432" s="63"/>
      <c r="J432" s="64"/>
      <c r="K432" s="64"/>
      <c r="L432" s="64"/>
      <c r="M432" s="64"/>
      <c r="N432" s="64"/>
      <c r="O432" s="64"/>
      <c r="P432" s="64"/>
      <c r="Q432" s="64"/>
      <c r="R432" s="64"/>
      <c r="S432" s="64"/>
      <c r="T432" s="64"/>
      <c r="U432" s="64"/>
      <c r="V432" s="64"/>
      <c r="W432" s="64"/>
      <c r="X432" s="64"/>
      <c r="Y432" s="64"/>
      <c r="Z432" s="64"/>
      <c r="AA432" s="64"/>
      <c r="AB432" s="64"/>
      <c r="AC432" s="64"/>
      <c r="AD432" s="64"/>
      <c r="AE432" s="64"/>
      <c r="AF432" s="64"/>
      <c r="AG432" s="64"/>
    </row>
    <row r="433" spans="1:33">
      <c r="A433" s="25"/>
      <c r="B433" s="25"/>
      <c r="C433" s="25"/>
      <c r="D433" s="25"/>
      <c r="E433" s="62"/>
      <c r="F433" s="63"/>
      <c r="G433" s="25"/>
      <c r="H433" s="63"/>
      <c r="I433" s="63"/>
      <c r="J433" s="64"/>
      <c r="K433" s="64"/>
      <c r="L433" s="64"/>
      <c r="M433" s="64"/>
      <c r="N433" s="64"/>
      <c r="O433" s="64"/>
      <c r="P433" s="64"/>
      <c r="Q433" s="64"/>
      <c r="R433" s="64"/>
      <c r="S433" s="64"/>
      <c r="T433" s="64"/>
      <c r="U433" s="64"/>
      <c r="V433" s="64"/>
      <c r="W433" s="64"/>
      <c r="X433" s="64"/>
      <c r="Y433" s="64"/>
      <c r="Z433" s="64"/>
      <c r="AA433" s="64"/>
      <c r="AB433" s="64"/>
      <c r="AC433" s="64"/>
      <c r="AD433" s="64"/>
      <c r="AE433" s="64"/>
      <c r="AF433" s="64"/>
      <c r="AG433" s="64"/>
    </row>
    <row r="434" spans="1:33">
      <c r="A434" s="25"/>
      <c r="B434" s="25"/>
      <c r="C434" s="25"/>
      <c r="D434" s="25"/>
      <c r="E434" s="62"/>
      <c r="F434" s="63"/>
      <c r="G434" s="25"/>
      <c r="H434" s="63"/>
      <c r="I434" s="63"/>
      <c r="J434" s="64"/>
      <c r="K434" s="64"/>
      <c r="L434" s="64"/>
      <c r="M434" s="64"/>
      <c r="N434" s="64"/>
      <c r="O434" s="64"/>
      <c r="P434" s="64"/>
      <c r="Q434" s="64"/>
      <c r="R434" s="64"/>
      <c r="S434" s="64"/>
      <c r="T434" s="64"/>
      <c r="U434" s="64"/>
      <c r="V434" s="64"/>
      <c r="W434" s="64"/>
      <c r="X434" s="64"/>
      <c r="Y434" s="64"/>
      <c r="Z434" s="64"/>
      <c r="AA434" s="64"/>
      <c r="AB434" s="64"/>
      <c r="AC434" s="64"/>
      <c r="AD434" s="64"/>
      <c r="AE434" s="64"/>
      <c r="AF434" s="64"/>
      <c r="AG434" s="64"/>
    </row>
    <row r="435" spans="1:33">
      <c r="A435" s="25"/>
      <c r="B435" s="25"/>
      <c r="C435" s="25"/>
      <c r="D435" s="25"/>
      <c r="E435" s="62"/>
      <c r="F435" s="63"/>
      <c r="G435" s="25"/>
      <c r="H435" s="63"/>
      <c r="I435" s="63"/>
      <c r="J435" s="64"/>
      <c r="K435" s="64"/>
      <c r="L435" s="64"/>
      <c r="M435" s="64"/>
      <c r="N435" s="64"/>
      <c r="O435" s="64"/>
      <c r="P435" s="64"/>
      <c r="Q435" s="64"/>
      <c r="R435" s="64"/>
      <c r="S435" s="64"/>
      <c r="T435" s="64"/>
      <c r="U435" s="64"/>
      <c r="V435" s="64"/>
      <c r="W435" s="64"/>
      <c r="X435" s="64"/>
      <c r="Y435" s="64"/>
      <c r="Z435" s="64"/>
      <c r="AA435" s="64"/>
      <c r="AB435" s="64"/>
      <c r="AC435" s="64"/>
      <c r="AD435" s="64"/>
      <c r="AE435" s="64"/>
      <c r="AF435" s="64"/>
      <c r="AG435" s="64"/>
    </row>
    <row r="436" spans="1:33">
      <c r="A436" s="25"/>
      <c r="B436" s="25"/>
      <c r="C436" s="25"/>
      <c r="D436" s="25"/>
      <c r="E436" s="62"/>
      <c r="F436" s="63"/>
      <c r="G436" s="25"/>
      <c r="H436" s="63"/>
      <c r="I436" s="63"/>
      <c r="J436" s="64"/>
      <c r="K436" s="64"/>
      <c r="L436" s="64"/>
      <c r="M436" s="64"/>
      <c r="N436" s="64"/>
      <c r="O436" s="64"/>
      <c r="P436" s="64"/>
      <c r="Q436" s="64"/>
      <c r="R436" s="64"/>
      <c r="S436" s="64"/>
      <c r="T436" s="64"/>
      <c r="U436" s="64"/>
      <c r="V436" s="64"/>
      <c r="W436" s="64"/>
      <c r="X436" s="64"/>
      <c r="Y436" s="64"/>
      <c r="Z436" s="64"/>
      <c r="AA436" s="64"/>
      <c r="AB436" s="64"/>
      <c r="AC436" s="64"/>
      <c r="AD436" s="64"/>
      <c r="AE436" s="64"/>
      <c r="AF436" s="64"/>
      <c r="AG436" s="64"/>
    </row>
    <row r="437" spans="1:33">
      <c r="A437" s="25"/>
      <c r="B437" s="25"/>
      <c r="C437" s="25"/>
      <c r="D437" s="25"/>
      <c r="E437" s="62"/>
      <c r="F437" s="63"/>
      <c r="G437" s="25"/>
      <c r="H437" s="63"/>
      <c r="I437" s="63"/>
      <c r="J437" s="64"/>
      <c r="K437" s="64"/>
      <c r="L437" s="64"/>
      <c r="M437" s="64"/>
      <c r="N437" s="64"/>
      <c r="O437" s="64"/>
      <c r="P437" s="64"/>
      <c r="Q437" s="64"/>
      <c r="R437" s="64"/>
      <c r="S437" s="64"/>
      <c r="T437" s="64"/>
      <c r="U437" s="64"/>
      <c r="V437" s="64"/>
      <c r="W437" s="64"/>
      <c r="X437" s="64"/>
      <c r="Y437" s="64"/>
      <c r="Z437" s="64"/>
      <c r="AA437" s="64"/>
      <c r="AB437" s="64"/>
      <c r="AC437" s="64"/>
      <c r="AD437" s="64"/>
      <c r="AE437" s="64"/>
      <c r="AF437" s="64"/>
      <c r="AG437" s="64"/>
    </row>
    <row r="438" spans="1:33">
      <c r="A438" s="25"/>
      <c r="B438" s="25"/>
      <c r="C438" s="25"/>
      <c r="D438" s="25"/>
      <c r="E438" s="62"/>
      <c r="F438" s="63"/>
      <c r="G438" s="25"/>
      <c r="H438" s="63"/>
      <c r="I438" s="63"/>
      <c r="J438" s="64"/>
      <c r="K438" s="64"/>
      <c r="L438" s="64"/>
      <c r="M438" s="64"/>
      <c r="N438" s="64"/>
      <c r="O438" s="64"/>
      <c r="P438" s="64"/>
      <c r="Q438" s="64"/>
      <c r="R438" s="64"/>
      <c r="S438" s="64"/>
      <c r="T438" s="64"/>
      <c r="U438" s="64"/>
      <c r="V438" s="64"/>
      <c r="W438" s="64"/>
      <c r="X438" s="64"/>
      <c r="Y438" s="64"/>
      <c r="Z438" s="64"/>
      <c r="AA438" s="64"/>
      <c r="AB438" s="64"/>
      <c r="AC438" s="64"/>
      <c r="AD438" s="64"/>
      <c r="AE438" s="64"/>
      <c r="AF438" s="64"/>
      <c r="AG438" s="64"/>
    </row>
    <row r="439" spans="1:33">
      <c r="A439" s="25"/>
      <c r="B439" s="25"/>
      <c r="C439" s="25"/>
      <c r="D439" s="25"/>
      <c r="E439" s="62"/>
      <c r="F439" s="63"/>
      <c r="G439" s="25"/>
      <c r="H439" s="63"/>
      <c r="I439" s="63"/>
      <c r="J439" s="64"/>
      <c r="K439" s="64"/>
      <c r="L439" s="64"/>
      <c r="M439" s="64"/>
      <c r="N439" s="64"/>
      <c r="O439" s="64"/>
      <c r="P439" s="64"/>
      <c r="Q439" s="64"/>
      <c r="R439" s="64"/>
      <c r="S439" s="64"/>
      <c r="T439" s="64"/>
      <c r="U439" s="64"/>
      <c r="V439" s="64"/>
      <c r="W439" s="64"/>
      <c r="X439" s="64"/>
      <c r="Y439" s="64"/>
      <c r="Z439" s="64"/>
      <c r="AA439" s="64"/>
      <c r="AB439" s="64"/>
      <c r="AC439" s="64"/>
      <c r="AD439" s="64"/>
      <c r="AE439" s="64"/>
      <c r="AF439" s="64"/>
      <c r="AG439" s="64"/>
    </row>
    <row r="440" spans="1:33">
      <c r="A440" s="25"/>
      <c r="B440" s="25"/>
      <c r="C440" s="25"/>
      <c r="D440" s="25"/>
      <c r="E440" s="62"/>
      <c r="F440" s="63"/>
      <c r="G440" s="25"/>
      <c r="H440" s="63"/>
      <c r="I440" s="63"/>
      <c r="J440" s="64"/>
      <c r="K440" s="64"/>
      <c r="L440" s="64"/>
      <c r="M440" s="64"/>
      <c r="N440" s="64"/>
      <c r="O440" s="64"/>
      <c r="P440" s="64"/>
      <c r="Q440" s="64"/>
      <c r="R440" s="64"/>
      <c r="S440" s="64"/>
      <c r="T440" s="64"/>
      <c r="U440" s="64"/>
      <c r="V440" s="64"/>
      <c r="W440" s="64"/>
      <c r="X440" s="64"/>
      <c r="Y440" s="64"/>
      <c r="Z440" s="64"/>
      <c r="AA440" s="64"/>
      <c r="AB440" s="64"/>
      <c r="AC440" s="64"/>
      <c r="AD440" s="64"/>
      <c r="AE440" s="64"/>
      <c r="AF440" s="64"/>
      <c r="AG440" s="64"/>
    </row>
    <row r="441" spans="1:33">
      <c r="A441" s="25"/>
      <c r="B441" s="25"/>
      <c r="C441" s="25"/>
      <c r="D441" s="25"/>
      <c r="E441" s="62"/>
      <c r="F441" s="63"/>
      <c r="G441" s="25"/>
      <c r="H441" s="63"/>
      <c r="I441" s="63"/>
      <c r="J441" s="64"/>
      <c r="K441" s="64"/>
      <c r="L441" s="64"/>
      <c r="M441" s="64"/>
      <c r="N441" s="64"/>
      <c r="O441" s="64"/>
      <c r="P441" s="64"/>
      <c r="Q441" s="64"/>
      <c r="R441" s="64"/>
      <c r="S441" s="64"/>
      <c r="T441" s="64"/>
      <c r="U441" s="64"/>
      <c r="V441" s="64"/>
      <c r="W441" s="64"/>
      <c r="X441" s="64"/>
      <c r="Y441" s="64"/>
      <c r="Z441" s="64"/>
      <c r="AA441" s="64"/>
      <c r="AB441" s="64"/>
      <c r="AC441" s="64"/>
      <c r="AD441" s="64"/>
      <c r="AE441" s="64"/>
      <c r="AF441" s="64"/>
      <c r="AG441" s="64"/>
    </row>
    <row r="442" spans="1:33">
      <c r="A442" s="25"/>
      <c r="B442" s="25"/>
      <c r="C442" s="25"/>
      <c r="D442" s="25"/>
      <c r="E442" s="62"/>
      <c r="F442" s="63"/>
      <c r="G442" s="25"/>
      <c r="H442" s="63"/>
      <c r="I442" s="63"/>
      <c r="J442" s="64"/>
      <c r="K442" s="64"/>
      <c r="L442" s="64"/>
      <c r="M442" s="64"/>
      <c r="N442" s="64"/>
      <c r="O442" s="64"/>
      <c r="P442" s="64"/>
      <c r="Q442" s="64"/>
      <c r="R442" s="64"/>
      <c r="S442" s="64"/>
      <c r="T442" s="64"/>
      <c r="U442" s="64"/>
      <c r="V442" s="64"/>
      <c r="W442" s="64"/>
      <c r="X442" s="64"/>
      <c r="Y442" s="64"/>
      <c r="Z442" s="64"/>
      <c r="AA442" s="64"/>
      <c r="AB442" s="64"/>
      <c r="AC442" s="64"/>
      <c r="AD442" s="64"/>
      <c r="AE442" s="64"/>
      <c r="AF442" s="64"/>
      <c r="AG442" s="64"/>
    </row>
    <row r="443" spans="1:33">
      <c r="A443" s="25"/>
      <c r="B443" s="25"/>
      <c r="C443" s="25"/>
      <c r="D443" s="25"/>
      <c r="E443" s="62"/>
      <c r="F443" s="63"/>
      <c r="G443" s="25"/>
      <c r="H443" s="63"/>
      <c r="I443" s="63"/>
      <c r="J443" s="64"/>
      <c r="K443" s="64"/>
      <c r="L443" s="64"/>
      <c r="M443" s="64"/>
      <c r="N443" s="64"/>
      <c r="O443" s="64"/>
      <c r="P443" s="64"/>
      <c r="Q443" s="64"/>
      <c r="R443" s="64"/>
      <c r="S443" s="64"/>
      <c r="T443" s="64"/>
      <c r="U443" s="64"/>
      <c r="V443" s="64"/>
      <c r="W443" s="64"/>
      <c r="X443" s="64"/>
      <c r="Y443" s="64"/>
      <c r="Z443" s="64"/>
      <c r="AA443" s="64"/>
      <c r="AB443" s="64"/>
      <c r="AC443" s="64"/>
      <c r="AD443" s="64"/>
      <c r="AE443" s="64"/>
      <c r="AF443" s="64"/>
      <c r="AG443" s="64"/>
    </row>
    <row r="444" spans="1:33">
      <c r="A444" s="25"/>
      <c r="B444" s="25"/>
      <c r="C444" s="25"/>
      <c r="D444" s="25"/>
      <c r="E444" s="62"/>
      <c r="F444" s="63"/>
      <c r="G444" s="25"/>
      <c r="H444" s="63"/>
      <c r="I444" s="63"/>
      <c r="J444" s="64"/>
      <c r="K444" s="64"/>
      <c r="L444" s="64"/>
      <c r="M444" s="64"/>
      <c r="N444" s="64"/>
      <c r="O444" s="64"/>
      <c r="P444" s="64"/>
      <c r="Q444" s="64"/>
      <c r="R444" s="64"/>
      <c r="S444" s="64"/>
      <c r="T444" s="64"/>
      <c r="U444" s="64"/>
      <c r="V444" s="64"/>
      <c r="W444" s="64"/>
      <c r="X444" s="64"/>
      <c r="Y444" s="64"/>
      <c r="Z444" s="64"/>
      <c r="AA444" s="64"/>
      <c r="AB444" s="64"/>
      <c r="AC444" s="64"/>
      <c r="AD444" s="64"/>
      <c r="AE444" s="64"/>
      <c r="AF444" s="64"/>
      <c r="AG444" s="64"/>
    </row>
    <row r="445" spans="1:33">
      <c r="A445" s="25"/>
      <c r="B445" s="25"/>
      <c r="C445" s="25"/>
      <c r="D445" s="25"/>
      <c r="E445" s="62"/>
      <c r="F445" s="63"/>
      <c r="G445" s="25"/>
      <c r="H445" s="63"/>
      <c r="I445" s="63"/>
      <c r="J445" s="64"/>
      <c r="K445" s="64"/>
      <c r="L445" s="64"/>
      <c r="M445" s="64"/>
      <c r="N445" s="64"/>
      <c r="O445" s="64"/>
      <c r="P445" s="64"/>
      <c r="Q445" s="64"/>
      <c r="R445" s="64"/>
      <c r="S445" s="64"/>
      <c r="T445" s="64"/>
      <c r="U445" s="64"/>
      <c r="V445" s="64"/>
      <c r="W445" s="64"/>
      <c r="X445" s="64"/>
      <c r="Y445" s="64"/>
      <c r="Z445" s="64"/>
      <c r="AA445" s="64"/>
      <c r="AB445" s="64"/>
      <c r="AC445" s="64"/>
      <c r="AD445" s="64"/>
      <c r="AE445" s="64"/>
      <c r="AF445" s="64"/>
      <c r="AG445" s="64"/>
    </row>
    <row r="446" spans="1:33">
      <c r="A446" s="25"/>
      <c r="B446" s="25"/>
      <c r="C446" s="25"/>
      <c r="D446" s="25"/>
      <c r="E446" s="62"/>
      <c r="F446" s="63"/>
      <c r="G446" s="25"/>
      <c r="H446" s="63"/>
      <c r="I446" s="63"/>
      <c r="J446" s="64"/>
      <c r="K446" s="64"/>
      <c r="L446" s="64"/>
      <c r="M446" s="64"/>
      <c r="N446" s="64"/>
      <c r="O446" s="64"/>
      <c r="P446" s="64"/>
      <c r="Q446" s="64"/>
      <c r="R446" s="64"/>
      <c r="S446" s="64"/>
      <c r="T446" s="64"/>
      <c r="U446" s="64"/>
      <c r="V446" s="64"/>
      <c r="W446" s="64"/>
      <c r="X446" s="64"/>
      <c r="Y446" s="64"/>
      <c r="Z446" s="64"/>
      <c r="AA446" s="64"/>
      <c r="AB446" s="64"/>
      <c r="AC446" s="64"/>
      <c r="AD446" s="64"/>
      <c r="AE446" s="64"/>
      <c r="AF446" s="64"/>
      <c r="AG446" s="64"/>
    </row>
    <row r="447" spans="1:33">
      <c r="A447" s="25"/>
      <c r="B447" s="25"/>
      <c r="C447" s="25"/>
      <c r="D447" s="25"/>
      <c r="E447" s="62"/>
      <c r="F447" s="63"/>
      <c r="G447" s="25"/>
      <c r="H447" s="63"/>
      <c r="I447" s="63"/>
      <c r="J447" s="64"/>
      <c r="K447" s="64"/>
      <c r="L447" s="64"/>
      <c r="M447" s="64"/>
      <c r="N447" s="64"/>
      <c r="O447" s="64"/>
      <c r="P447" s="64"/>
      <c r="Q447" s="64"/>
      <c r="R447" s="64"/>
      <c r="S447" s="64"/>
      <c r="T447" s="64"/>
      <c r="U447" s="64"/>
      <c r="V447" s="64"/>
      <c r="W447" s="64"/>
      <c r="X447" s="64"/>
      <c r="Y447" s="64"/>
      <c r="Z447" s="64"/>
      <c r="AA447" s="64"/>
      <c r="AB447" s="64"/>
      <c r="AC447" s="64"/>
      <c r="AD447" s="64"/>
      <c r="AE447" s="64"/>
      <c r="AF447" s="64"/>
      <c r="AG447" s="64"/>
    </row>
    <row r="448" spans="1:33">
      <c r="A448" s="25"/>
      <c r="B448" s="25"/>
      <c r="C448" s="25"/>
      <c r="D448" s="25"/>
      <c r="E448" s="62"/>
      <c r="F448" s="63"/>
      <c r="G448" s="25"/>
      <c r="H448" s="63"/>
      <c r="I448" s="63"/>
      <c r="J448" s="64"/>
      <c r="K448" s="64"/>
      <c r="L448" s="64"/>
      <c r="M448" s="64"/>
      <c r="N448" s="64"/>
      <c r="O448" s="64"/>
      <c r="P448" s="64"/>
      <c r="Q448" s="64"/>
      <c r="R448" s="64"/>
      <c r="S448" s="64"/>
      <c r="T448" s="64"/>
      <c r="U448" s="64"/>
      <c r="V448" s="64"/>
      <c r="W448" s="64"/>
      <c r="X448" s="64"/>
      <c r="Y448" s="64"/>
      <c r="Z448" s="64"/>
      <c r="AA448" s="64"/>
      <c r="AB448" s="64"/>
      <c r="AC448" s="64"/>
      <c r="AD448" s="64"/>
      <c r="AE448" s="64"/>
      <c r="AF448" s="64"/>
      <c r="AG448" s="64"/>
    </row>
    <row r="449" spans="1:33">
      <c r="A449" s="25"/>
      <c r="B449" s="25"/>
      <c r="C449" s="25"/>
      <c r="D449" s="25"/>
      <c r="E449" s="62"/>
      <c r="F449" s="63"/>
      <c r="G449" s="25"/>
      <c r="H449" s="63"/>
      <c r="I449" s="63"/>
      <c r="J449" s="64"/>
      <c r="K449" s="64"/>
      <c r="L449" s="64"/>
      <c r="M449" s="64"/>
      <c r="N449" s="64"/>
      <c r="O449" s="64"/>
      <c r="P449" s="64"/>
      <c r="Q449" s="64"/>
      <c r="R449" s="64"/>
      <c r="S449" s="64"/>
      <c r="T449" s="64"/>
      <c r="U449" s="64"/>
      <c r="V449" s="64"/>
      <c r="W449" s="64"/>
      <c r="X449" s="64"/>
      <c r="Y449" s="64"/>
      <c r="Z449" s="64"/>
      <c r="AA449" s="64"/>
      <c r="AB449" s="64"/>
      <c r="AC449" s="64"/>
      <c r="AD449" s="64"/>
      <c r="AE449" s="64"/>
      <c r="AF449" s="64"/>
      <c r="AG449" s="64"/>
    </row>
    <row r="450" spans="1:33">
      <c r="A450" s="25"/>
      <c r="B450" s="25"/>
      <c r="C450" s="25"/>
      <c r="D450" s="25"/>
      <c r="E450" s="62"/>
      <c r="F450" s="63"/>
      <c r="G450" s="25"/>
      <c r="H450" s="63"/>
      <c r="I450" s="63"/>
      <c r="J450" s="64"/>
      <c r="K450" s="64"/>
      <c r="L450" s="64"/>
      <c r="M450" s="64"/>
      <c r="N450" s="64"/>
      <c r="O450" s="64"/>
      <c r="P450" s="64"/>
      <c r="Q450" s="64"/>
      <c r="R450" s="64"/>
      <c r="S450" s="64"/>
      <c r="T450" s="64"/>
      <c r="U450" s="64"/>
      <c r="V450" s="64"/>
      <c r="W450" s="64"/>
      <c r="X450" s="64"/>
      <c r="Y450" s="64"/>
      <c r="Z450" s="64"/>
      <c r="AA450" s="64"/>
      <c r="AB450" s="64"/>
      <c r="AC450" s="64"/>
      <c r="AD450" s="64"/>
      <c r="AE450" s="64"/>
      <c r="AF450" s="64"/>
      <c r="AG450" s="64"/>
    </row>
    <row r="451" spans="1:33">
      <c r="A451" s="25"/>
      <c r="B451" s="25"/>
      <c r="C451" s="25"/>
      <c r="D451" s="25"/>
      <c r="E451" s="62"/>
      <c r="F451" s="63"/>
      <c r="G451" s="25"/>
      <c r="H451" s="63"/>
      <c r="I451" s="63"/>
      <c r="J451" s="64"/>
      <c r="K451" s="64"/>
      <c r="L451" s="64"/>
      <c r="M451" s="64"/>
      <c r="N451" s="64"/>
      <c r="O451" s="64"/>
      <c r="P451" s="64"/>
      <c r="Q451" s="64"/>
      <c r="R451" s="64"/>
      <c r="S451" s="64"/>
      <c r="T451" s="64"/>
      <c r="U451" s="64"/>
      <c r="V451" s="64"/>
      <c r="W451" s="64"/>
      <c r="X451" s="64"/>
      <c r="Y451" s="64"/>
      <c r="Z451" s="64"/>
      <c r="AA451" s="64"/>
      <c r="AB451" s="64"/>
      <c r="AC451" s="64"/>
      <c r="AD451" s="64"/>
      <c r="AE451" s="64"/>
      <c r="AF451" s="64"/>
      <c r="AG451" s="64"/>
    </row>
    <row r="452" spans="1:33">
      <c r="A452" s="25"/>
      <c r="B452" s="25"/>
      <c r="C452" s="25"/>
      <c r="D452" s="25"/>
      <c r="E452" s="62"/>
      <c r="F452" s="63"/>
      <c r="G452" s="25"/>
      <c r="H452" s="63"/>
      <c r="I452" s="63"/>
      <c r="J452" s="64"/>
      <c r="K452" s="64"/>
      <c r="L452" s="64"/>
      <c r="M452" s="64"/>
      <c r="N452" s="64"/>
      <c r="O452" s="64"/>
      <c r="P452" s="64"/>
      <c r="Q452" s="64"/>
      <c r="R452" s="64"/>
      <c r="S452" s="64"/>
      <c r="T452" s="64"/>
      <c r="U452" s="64"/>
      <c r="V452" s="64"/>
      <c r="W452" s="64"/>
      <c r="X452" s="64"/>
      <c r="Y452" s="64"/>
      <c r="Z452" s="64"/>
      <c r="AA452" s="64"/>
      <c r="AB452" s="64"/>
      <c r="AC452" s="64"/>
      <c r="AD452" s="64"/>
      <c r="AE452" s="64"/>
      <c r="AF452" s="64"/>
      <c r="AG452" s="64"/>
    </row>
    <row r="453" spans="1:33">
      <c r="A453" s="25"/>
      <c r="B453" s="25"/>
      <c r="C453" s="25"/>
      <c r="D453" s="25"/>
      <c r="E453" s="62"/>
      <c r="F453" s="63"/>
      <c r="G453" s="25"/>
      <c r="H453" s="63"/>
      <c r="I453" s="63"/>
      <c r="J453" s="64"/>
      <c r="K453" s="64"/>
      <c r="L453" s="64"/>
      <c r="M453" s="64"/>
      <c r="N453" s="64"/>
      <c r="O453" s="64"/>
      <c r="P453" s="64"/>
      <c r="Q453" s="64"/>
      <c r="R453" s="64"/>
      <c r="S453" s="64"/>
      <c r="T453" s="64"/>
      <c r="U453" s="64"/>
      <c r="V453" s="64"/>
      <c r="W453" s="64"/>
      <c r="X453" s="64"/>
      <c r="Y453" s="64"/>
      <c r="Z453" s="64"/>
      <c r="AA453" s="64"/>
      <c r="AB453" s="64"/>
      <c r="AC453" s="64"/>
      <c r="AD453" s="64"/>
      <c r="AE453" s="64"/>
      <c r="AF453" s="64"/>
      <c r="AG453" s="64"/>
    </row>
    <row r="454" spans="1:33">
      <c r="A454" s="25"/>
      <c r="B454" s="25"/>
      <c r="C454" s="25"/>
      <c r="D454" s="25"/>
      <c r="E454" s="62"/>
      <c r="F454" s="63"/>
      <c r="G454" s="25"/>
      <c r="H454" s="63"/>
      <c r="I454" s="63"/>
      <c r="J454" s="64"/>
      <c r="K454" s="64"/>
      <c r="L454" s="64"/>
      <c r="M454" s="64"/>
      <c r="N454" s="64"/>
      <c r="O454" s="64"/>
      <c r="P454" s="64"/>
      <c r="Q454" s="64"/>
      <c r="R454" s="64"/>
      <c r="S454" s="64"/>
      <c r="T454" s="64"/>
      <c r="U454" s="64"/>
      <c r="V454" s="64"/>
      <c r="W454" s="64"/>
      <c r="X454" s="64"/>
      <c r="Y454" s="64"/>
      <c r="Z454" s="64"/>
      <c r="AA454" s="64"/>
      <c r="AB454" s="64"/>
      <c r="AC454" s="64"/>
      <c r="AD454" s="64"/>
      <c r="AE454" s="64"/>
      <c r="AF454" s="64"/>
      <c r="AG454" s="64"/>
    </row>
    <row r="455" spans="1:33">
      <c r="A455" s="25"/>
      <c r="B455" s="25"/>
      <c r="C455" s="25"/>
      <c r="D455" s="25"/>
      <c r="E455" s="62"/>
      <c r="F455" s="63"/>
      <c r="G455" s="25"/>
      <c r="H455" s="63"/>
      <c r="I455" s="63"/>
      <c r="J455" s="64"/>
      <c r="K455" s="64"/>
      <c r="L455" s="64"/>
      <c r="M455" s="64"/>
      <c r="N455" s="64"/>
      <c r="O455" s="64"/>
      <c r="P455" s="64"/>
      <c r="Q455" s="64"/>
      <c r="R455" s="64"/>
      <c r="S455" s="64"/>
      <c r="T455" s="64"/>
      <c r="U455" s="64"/>
      <c r="V455" s="64"/>
      <c r="W455" s="64"/>
      <c r="X455" s="64"/>
      <c r="Y455" s="64"/>
      <c r="Z455" s="64"/>
      <c r="AA455" s="64"/>
      <c r="AB455" s="64"/>
      <c r="AC455" s="64"/>
      <c r="AD455" s="64"/>
      <c r="AE455" s="64"/>
      <c r="AF455" s="64"/>
      <c r="AG455" s="64"/>
    </row>
    <row r="456" spans="1:33">
      <c r="A456" s="25"/>
      <c r="B456" s="25"/>
      <c r="C456" s="25"/>
      <c r="D456" s="25"/>
      <c r="E456" s="62"/>
      <c r="F456" s="63"/>
      <c r="G456" s="25"/>
      <c r="H456" s="63"/>
      <c r="I456" s="63"/>
      <c r="J456" s="64"/>
      <c r="K456" s="64"/>
      <c r="L456" s="64"/>
      <c r="M456" s="64"/>
      <c r="N456" s="64"/>
      <c r="O456" s="64"/>
      <c r="P456" s="64"/>
      <c r="Q456" s="64"/>
      <c r="R456" s="64"/>
      <c r="S456" s="64"/>
      <c r="T456" s="64"/>
      <c r="U456" s="64"/>
      <c r="V456" s="64"/>
      <c r="W456" s="64"/>
      <c r="X456" s="64"/>
      <c r="Y456" s="64"/>
      <c r="Z456" s="64"/>
      <c r="AA456" s="64"/>
      <c r="AB456" s="64"/>
      <c r="AC456" s="64"/>
      <c r="AD456" s="64"/>
      <c r="AE456" s="64"/>
      <c r="AF456" s="64"/>
      <c r="AG456" s="64"/>
    </row>
    <row r="457" spans="1:33">
      <c r="A457" s="25"/>
      <c r="B457" s="25"/>
      <c r="C457" s="25"/>
      <c r="D457" s="25"/>
      <c r="E457" s="62"/>
      <c r="F457" s="63"/>
      <c r="G457" s="25"/>
      <c r="H457" s="63"/>
      <c r="I457" s="63"/>
      <c r="J457" s="64"/>
      <c r="K457" s="64"/>
      <c r="L457" s="64"/>
      <c r="M457" s="64"/>
      <c r="N457" s="64"/>
      <c r="O457" s="64"/>
      <c r="P457" s="64"/>
      <c r="Q457" s="64"/>
      <c r="R457" s="64"/>
      <c r="S457" s="64"/>
      <c r="T457" s="64"/>
      <c r="U457" s="64"/>
      <c r="V457" s="64"/>
      <c r="W457" s="64"/>
      <c r="X457" s="64"/>
      <c r="Y457" s="64"/>
      <c r="Z457" s="64"/>
      <c r="AA457" s="64"/>
      <c r="AB457" s="64"/>
      <c r="AC457" s="64"/>
      <c r="AD457" s="64"/>
      <c r="AE457" s="64"/>
      <c r="AF457" s="64"/>
      <c r="AG457" s="64"/>
    </row>
    <row r="458" spans="1:33">
      <c r="A458" s="25"/>
      <c r="B458" s="25"/>
      <c r="C458" s="25"/>
      <c r="D458" s="25"/>
      <c r="E458" s="62"/>
      <c r="F458" s="63"/>
      <c r="G458" s="25"/>
      <c r="H458" s="63"/>
      <c r="I458" s="63"/>
      <c r="J458" s="64"/>
      <c r="K458" s="64"/>
      <c r="L458" s="64"/>
      <c r="M458" s="64"/>
      <c r="N458" s="64"/>
      <c r="O458" s="64"/>
      <c r="P458" s="64"/>
      <c r="Q458" s="64"/>
      <c r="R458" s="64"/>
      <c r="S458" s="64"/>
      <c r="T458" s="64"/>
      <c r="U458" s="64"/>
      <c r="V458" s="64"/>
      <c r="W458" s="64"/>
      <c r="X458" s="64"/>
      <c r="Y458" s="64"/>
      <c r="Z458" s="64"/>
      <c r="AA458" s="64"/>
      <c r="AB458" s="64"/>
      <c r="AC458" s="64"/>
      <c r="AD458" s="64"/>
      <c r="AE458" s="64"/>
      <c r="AF458" s="64"/>
      <c r="AG458" s="64"/>
    </row>
    <row r="459" spans="1:33">
      <c r="A459" s="25"/>
      <c r="B459" s="25"/>
      <c r="C459" s="25"/>
      <c r="D459" s="25"/>
      <c r="E459" s="62"/>
      <c r="F459" s="63"/>
      <c r="G459" s="25"/>
      <c r="H459" s="63"/>
      <c r="I459" s="63"/>
      <c r="J459" s="64"/>
      <c r="K459" s="64"/>
      <c r="L459" s="64"/>
      <c r="M459" s="64"/>
      <c r="N459" s="64"/>
      <c r="O459" s="64"/>
      <c r="P459" s="64"/>
      <c r="Q459" s="64"/>
      <c r="R459" s="64"/>
      <c r="S459" s="64"/>
      <c r="T459" s="64"/>
      <c r="U459" s="64"/>
      <c r="V459" s="64"/>
      <c r="W459" s="64"/>
      <c r="X459" s="64"/>
      <c r="Y459" s="64"/>
      <c r="Z459" s="64"/>
      <c r="AA459" s="64"/>
      <c r="AB459" s="64"/>
      <c r="AC459" s="64"/>
      <c r="AD459" s="64"/>
      <c r="AE459" s="64"/>
      <c r="AF459" s="64"/>
      <c r="AG459" s="64"/>
    </row>
    <row r="460" spans="1:33">
      <c r="A460" s="25"/>
      <c r="B460" s="25"/>
      <c r="C460" s="25"/>
      <c r="D460" s="25"/>
      <c r="E460" s="62"/>
      <c r="F460" s="63"/>
      <c r="G460" s="25"/>
      <c r="H460" s="63"/>
      <c r="I460" s="63"/>
      <c r="J460" s="64"/>
      <c r="K460" s="64"/>
      <c r="L460" s="64"/>
      <c r="M460" s="64"/>
      <c r="N460" s="64"/>
      <c r="O460" s="64"/>
      <c r="P460" s="64"/>
      <c r="Q460" s="64"/>
      <c r="R460" s="64"/>
      <c r="S460" s="64"/>
      <c r="T460" s="64"/>
      <c r="U460" s="64"/>
      <c r="V460" s="64"/>
      <c r="W460" s="64"/>
      <c r="X460" s="64"/>
      <c r="Y460" s="64"/>
      <c r="Z460" s="64"/>
      <c r="AA460" s="64"/>
      <c r="AB460" s="64"/>
      <c r="AC460" s="64"/>
      <c r="AD460" s="64"/>
      <c r="AE460" s="64"/>
      <c r="AF460" s="64"/>
      <c r="AG460" s="64"/>
    </row>
    <row r="461" spans="1:33">
      <c r="A461" s="25"/>
      <c r="B461" s="25"/>
      <c r="C461" s="25"/>
      <c r="D461" s="25"/>
      <c r="E461" s="62"/>
      <c r="F461" s="63"/>
      <c r="G461" s="25"/>
      <c r="H461" s="63"/>
      <c r="I461" s="63"/>
      <c r="J461" s="64"/>
      <c r="K461" s="64"/>
      <c r="L461" s="64"/>
      <c r="M461" s="64"/>
      <c r="N461" s="64"/>
      <c r="O461" s="64"/>
      <c r="P461" s="64"/>
      <c r="Q461" s="64"/>
      <c r="R461" s="64"/>
      <c r="S461" s="64"/>
      <c r="T461" s="64"/>
      <c r="U461" s="64"/>
      <c r="V461" s="64"/>
      <c r="W461" s="64"/>
      <c r="X461" s="64"/>
      <c r="Y461" s="64"/>
      <c r="Z461" s="64"/>
      <c r="AA461" s="64"/>
      <c r="AB461" s="64"/>
      <c r="AC461" s="64"/>
      <c r="AD461" s="64"/>
      <c r="AE461" s="64"/>
      <c r="AF461" s="64"/>
      <c r="AG461" s="64"/>
    </row>
    <row r="462" spans="1:33">
      <c r="A462" s="25"/>
      <c r="B462" s="25"/>
      <c r="C462" s="25"/>
      <c r="D462" s="25"/>
      <c r="E462" s="62"/>
      <c r="F462" s="63"/>
      <c r="G462" s="25"/>
      <c r="H462" s="63"/>
      <c r="I462" s="63"/>
      <c r="J462" s="64"/>
      <c r="K462" s="64"/>
      <c r="L462" s="64"/>
      <c r="M462" s="64"/>
      <c r="N462" s="64"/>
      <c r="O462" s="64"/>
      <c r="P462" s="64"/>
      <c r="Q462" s="64"/>
      <c r="R462" s="64"/>
      <c r="S462" s="64"/>
      <c r="T462" s="64"/>
      <c r="U462" s="64"/>
      <c r="V462" s="64"/>
      <c r="W462" s="64"/>
      <c r="X462" s="64"/>
      <c r="Y462" s="64"/>
      <c r="Z462" s="64"/>
      <c r="AA462" s="64"/>
      <c r="AB462" s="64"/>
      <c r="AC462" s="64"/>
      <c r="AD462" s="64"/>
      <c r="AE462" s="64"/>
      <c r="AF462" s="64"/>
      <c r="AG462" s="64"/>
    </row>
    <row r="463" spans="1:33">
      <c r="A463" s="25"/>
      <c r="B463" s="25"/>
      <c r="C463" s="25"/>
      <c r="D463" s="25"/>
      <c r="E463" s="62"/>
      <c r="F463" s="63"/>
      <c r="G463" s="25"/>
      <c r="H463" s="63"/>
      <c r="I463" s="63"/>
      <c r="J463" s="64"/>
      <c r="K463" s="64"/>
      <c r="L463" s="64"/>
      <c r="M463" s="64"/>
      <c r="N463" s="64"/>
      <c r="O463" s="64"/>
      <c r="P463" s="64"/>
      <c r="Q463" s="64"/>
      <c r="R463" s="64"/>
      <c r="S463" s="64"/>
      <c r="T463" s="64"/>
      <c r="U463" s="64"/>
      <c r="V463" s="64"/>
      <c r="W463" s="64"/>
      <c r="X463" s="64"/>
      <c r="Y463" s="64"/>
      <c r="Z463" s="64"/>
      <c r="AA463" s="64"/>
      <c r="AB463" s="64"/>
      <c r="AC463" s="64"/>
      <c r="AD463" s="64"/>
      <c r="AE463" s="64"/>
      <c r="AF463" s="64"/>
      <c r="AG463" s="64"/>
    </row>
    <row r="464" spans="1:33">
      <c r="A464" s="25"/>
      <c r="B464" s="25"/>
      <c r="C464" s="25"/>
      <c r="D464" s="25"/>
      <c r="E464" s="62"/>
      <c r="F464" s="63"/>
      <c r="G464" s="25"/>
      <c r="H464" s="63"/>
      <c r="I464" s="63"/>
      <c r="J464" s="64"/>
      <c r="K464" s="64"/>
      <c r="L464" s="64"/>
      <c r="M464" s="64"/>
      <c r="N464" s="64"/>
      <c r="O464" s="64"/>
      <c r="P464" s="64"/>
      <c r="Q464" s="64"/>
      <c r="R464" s="64"/>
      <c r="S464" s="64"/>
      <c r="T464" s="64"/>
      <c r="U464" s="64"/>
      <c r="V464" s="64"/>
      <c r="W464" s="64"/>
      <c r="X464" s="64"/>
      <c r="Y464" s="64"/>
      <c r="Z464" s="64"/>
      <c r="AA464" s="64"/>
      <c r="AB464" s="64"/>
      <c r="AC464" s="64"/>
      <c r="AD464" s="64"/>
      <c r="AE464" s="64"/>
      <c r="AF464" s="64"/>
      <c r="AG464" s="64"/>
    </row>
    <row r="465" spans="1:33">
      <c r="A465" s="25"/>
      <c r="B465" s="25"/>
      <c r="C465" s="25"/>
      <c r="D465" s="25"/>
      <c r="E465" s="62"/>
      <c r="F465" s="63"/>
      <c r="G465" s="25"/>
      <c r="H465" s="63"/>
      <c r="I465" s="63"/>
      <c r="J465" s="64"/>
      <c r="K465" s="64"/>
      <c r="L465" s="64"/>
      <c r="M465" s="64"/>
      <c r="N465" s="64"/>
      <c r="O465" s="64"/>
      <c r="P465" s="64"/>
      <c r="Q465" s="64"/>
      <c r="R465" s="64"/>
      <c r="S465" s="64"/>
      <c r="T465" s="64"/>
      <c r="U465" s="64"/>
      <c r="V465" s="64"/>
      <c r="W465" s="64"/>
      <c r="X465" s="64"/>
      <c r="Y465" s="64"/>
      <c r="Z465" s="64"/>
      <c r="AA465" s="64"/>
      <c r="AB465" s="64"/>
      <c r="AC465" s="64"/>
      <c r="AD465" s="64"/>
      <c r="AE465" s="64"/>
      <c r="AF465" s="64"/>
      <c r="AG465" s="64"/>
    </row>
    <row r="466" spans="1:33">
      <c r="A466" s="25"/>
      <c r="B466" s="25"/>
      <c r="C466" s="25"/>
      <c r="D466" s="25"/>
      <c r="E466" s="62"/>
      <c r="F466" s="63"/>
      <c r="G466" s="25"/>
      <c r="H466" s="63"/>
      <c r="I466" s="63"/>
      <c r="J466" s="64"/>
      <c r="K466" s="64"/>
      <c r="L466" s="64"/>
      <c r="M466" s="64"/>
      <c r="N466" s="64"/>
      <c r="O466" s="64"/>
      <c r="P466" s="64"/>
      <c r="Q466" s="64"/>
      <c r="R466" s="64"/>
      <c r="S466" s="64"/>
      <c r="T466" s="64"/>
      <c r="U466" s="64"/>
      <c r="V466" s="64"/>
      <c r="W466" s="64"/>
      <c r="X466" s="64"/>
      <c r="Y466" s="64"/>
      <c r="Z466" s="64"/>
      <c r="AA466" s="64"/>
      <c r="AB466" s="64"/>
      <c r="AC466" s="64"/>
      <c r="AD466" s="64"/>
      <c r="AE466" s="64"/>
      <c r="AF466" s="64"/>
      <c r="AG466" s="64"/>
    </row>
    <row r="467" spans="1:33">
      <c r="A467" s="25"/>
      <c r="B467" s="25"/>
      <c r="C467" s="25"/>
      <c r="D467" s="25"/>
      <c r="E467" s="62"/>
      <c r="F467" s="63"/>
      <c r="G467" s="25"/>
      <c r="H467" s="63"/>
      <c r="I467" s="63"/>
      <c r="J467" s="64"/>
      <c r="K467" s="64"/>
      <c r="L467" s="64"/>
      <c r="M467" s="64"/>
      <c r="N467" s="64"/>
      <c r="O467" s="64"/>
      <c r="P467" s="64"/>
      <c r="Q467" s="64"/>
      <c r="R467" s="64"/>
      <c r="S467" s="64"/>
      <c r="T467" s="64"/>
      <c r="U467" s="64"/>
      <c r="V467" s="64"/>
      <c r="W467" s="64"/>
      <c r="X467" s="64"/>
      <c r="Y467" s="64"/>
      <c r="Z467" s="64"/>
      <c r="AA467" s="64"/>
      <c r="AB467" s="64"/>
      <c r="AC467" s="64"/>
      <c r="AD467" s="64"/>
      <c r="AE467" s="64"/>
      <c r="AF467" s="64"/>
      <c r="AG467" s="64"/>
    </row>
    <row r="468" spans="1:33">
      <c r="A468" s="25"/>
      <c r="B468" s="25"/>
      <c r="C468" s="25"/>
      <c r="D468" s="25"/>
      <c r="E468" s="62"/>
      <c r="F468" s="63"/>
      <c r="G468" s="25"/>
      <c r="H468" s="63"/>
      <c r="I468" s="63"/>
      <c r="J468" s="64"/>
      <c r="K468" s="64"/>
      <c r="L468" s="64"/>
      <c r="M468" s="64"/>
      <c r="N468" s="64"/>
      <c r="O468" s="64"/>
      <c r="P468" s="64"/>
      <c r="Q468" s="64"/>
      <c r="R468" s="64"/>
      <c r="S468" s="64"/>
      <c r="T468" s="64"/>
      <c r="U468" s="64"/>
      <c r="V468" s="64"/>
      <c r="W468" s="64"/>
      <c r="X468" s="64"/>
      <c r="Y468" s="64"/>
      <c r="Z468" s="64"/>
      <c r="AA468" s="64"/>
      <c r="AB468" s="64"/>
      <c r="AC468" s="64"/>
      <c r="AD468" s="64"/>
      <c r="AE468" s="64"/>
      <c r="AF468" s="64"/>
      <c r="AG468" s="64"/>
    </row>
    <row r="469" spans="1:33">
      <c r="A469" s="25"/>
      <c r="B469" s="25"/>
      <c r="C469" s="25"/>
      <c r="D469" s="25"/>
      <c r="E469" s="62"/>
      <c r="F469" s="63"/>
      <c r="G469" s="25"/>
      <c r="H469" s="63"/>
      <c r="I469" s="63"/>
      <c r="J469" s="64"/>
      <c r="K469" s="64"/>
      <c r="L469" s="64"/>
      <c r="M469" s="64"/>
      <c r="N469" s="64"/>
      <c r="O469" s="64"/>
      <c r="P469" s="64"/>
      <c r="Q469" s="64"/>
      <c r="R469" s="64"/>
      <c r="S469" s="64"/>
      <c r="T469" s="64"/>
      <c r="U469" s="64"/>
      <c r="V469" s="64"/>
      <c r="W469" s="64"/>
      <c r="X469" s="64"/>
      <c r="Y469" s="64"/>
      <c r="Z469" s="64"/>
      <c r="AA469" s="64"/>
      <c r="AB469" s="64"/>
      <c r="AC469" s="64"/>
      <c r="AD469" s="64"/>
      <c r="AE469" s="64"/>
      <c r="AF469" s="64"/>
      <c r="AG469" s="64"/>
    </row>
    <row r="470" spans="1:33">
      <c r="A470" s="25"/>
      <c r="B470" s="25"/>
      <c r="C470" s="25"/>
      <c r="D470" s="25"/>
      <c r="E470" s="62"/>
      <c r="F470" s="63"/>
      <c r="G470" s="25"/>
      <c r="H470" s="63"/>
      <c r="I470" s="63"/>
      <c r="J470" s="64"/>
      <c r="K470" s="64"/>
      <c r="L470" s="64"/>
      <c r="M470" s="64"/>
      <c r="N470" s="64"/>
      <c r="O470" s="64"/>
      <c r="P470" s="64"/>
      <c r="Q470" s="64"/>
      <c r="R470" s="64"/>
      <c r="S470" s="64"/>
      <c r="T470" s="64"/>
      <c r="U470" s="64"/>
      <c r="V470" s="64"/>
      <c r="W470" s="64"/>
      <c r="X470" s="64"/>
      <c r="Y470" s="64"/>
      <c r="Z470" s="64"/>
      <c r="AA470" s="64"/>
      <c r="AB470" s="64"/>
      <c r="AC470" s="64"/>
      <c r="AD470" s="64"/>
      <c r="AE470" s="64"/>
      <c r="AF470" s="64"/>
      <c r="AG470" s="64"/>
    </row>
    <row r="471" spans="1:33">
      <c r="A471" s="25"/>
      <c r="B471" s="25"/>
      <c r="C471" s="25"/>
      <c r="D471" s="25"/>
      <c r="E471" s="62"/>
      <c r="F471" s="63"/>
      <c r="G471" s="25"/>
      <c r="H471" s="63"/>
      <c r="I471" s="63"/>
      <c r="J471" s="64"/>
      <c r="K471" s="64"/>
      <c r="L471" s="64"/>
      <c r="M471" s="64"/>
      <c r="N471" s="64"/>
      <c r="O471" s="64"/>
      <c r="P471" s="64"/>
      <c r="Q471" s="64"/>
      <c r="R471" s="64"/>
      <c r="S471" s="64"/>
      <c r="T471" s="64"/>
      <c r="U471" s="64"/>
      <c r="V471" s="64"/>
      <c r="W471" s="64"/>
      <c r="X471" s="64"/>
      <c r="Y471" s="64"/>
      <c r="Z471" s="64"/>
      <c r="AA471" s="64"/>
      <c r="AB471" s="64"/>
      <c r="AC471" s="64"/>
      <c r="AD471" s="64"/>
      <c r="AE471" s="64"/>
      <c r="AF471" s="64"/>
      <c r="AG471" s="64"/>
    </row>
    <row r="472" spans="1:33">
      <c r="A472" s="25"/>
      <c r="B472" s="25"/>
      <c r="C472" s="25"/>
      <c r="D472" s="25"/>
      <c r="E472" s="62"/>
      <c r="F472" s="63"/>
      <c r="G472" s="25"/>
      <c r="H472" s="63"/>
      <c r="I472" s="63"/>
      <c r="J472" s="64"/>
      <c r="K472" s="64"/>
      <c r="L472" s="64"/>
      <c r="M472" s="64"/>
      <c r="N472" s="64"/>
      <c r="O472" s="64"/>
      <c r="P472" s="64"/>
      <c r="Q472" s="64"/>
      <c r="R472" s="64"/>
      <c r="S472" s="64"/>
      <c r="T472" s="64"/>
      <c r="U472" s="64"/>
      <c r="V472" s="64"/>
      <c r="W472" s="64"/>
      <c r="X472" s="64"/>
      <c r="Y472" s="64"/>
      <c r="Z472" s="64"/>
      <c r="AA472" s="64"/>
      <c r="AB472" s="64"/>
      <c r="AC472" s="64"/>
      <c r="AD472" s="64"/>
      <c r="AE472" s="64"/>
      <c r="AF472" s="64"/>
      <c r="AG472" s="64"/>
    </row>
    <row r="473" spans="1:33">
      <c r="A473" s="25"/>
      <c r="B473" s="25"/>
      <c r="C473" s="25"/>
      <c r="D473" s="25"/>
      <c r="E473" s="62"/>
      <c r="F473" s="63"/>
      <c r="G473" s="25"/>
      <c r="H473" s="63"/>
      <c r="I473" s="63"/>
      <c r="J473" s="64"/>
      <c r="K473" s="64"/>
      <c r="L473" s="64"/>
      <c r="M473" s="64"/>
      <c r="N473" s="64"/>
      <c r="O473" s="64"/>
      <c r="P473" s="64"/>
      <c r="Q473" s="64"/>
      <c r="R473" s="64"/>
      <c r="S473" s="64"/>
      <c r="T473" s="64"/>
      <c r="U473" s="64"/>
      <c r="V473" s="64"/>
      <c r="W473" s="64"/>
      <c r="X473" s="64"/>
      <c r="Y473" s="64"/>
      <c r="Z473" s="64"/>
      <c r="AA473" s="64"/>
      <c r="AB473" s="64"/>
      <c r="AC473" s="64"/>
      <c r="AD473" s="64"/>
      <c r="AE473" s="64"/>
      <c r="AF473" s="64"/>
      <c r="AG473" s="64"/>
    </row>
    <row r="474" spans="1:33">
      <c r="A474" s="25"/>
      <c r="B474" s="25"/>
      <c r="C474" s="25"/>
      <c r="D474" s="25"/>
      <c r="E474" s="62"/>
      <c r="F474" s="63"/>
      <c r="G474" s="25"/>
      <c r="H474" s="63"/>
      <c r="I474" s="63"/>
      <c r="J474" s="64"/>
      <c r="K474" s="64"/>
      <c r="L474" s="64"/>
      <c r="M474" s="64"/>
      <c r="N474" s="64"/>
      <c r="O474" s="64"/>
      <c r="P474" s="64"/>
      <c r="Q474" s="64"/>
      <c r="R474" s="64"/>
      <c r="S474" s="64"/>
      <c r="T474" s="64"/>
      <c r="U474" s="64"/>
      <c r="V474" s="64"/>
      <c r="W474" s="64"/>
      <c r="X474" s="64"/>
      <c r="Y474" s="64"/>
      <c r="Z474" s="64"/>
      <c r="AA474" s="64"/>
      <c r="AB474" s="64"/>
      <c r="AC474" s="64"/>
      <c r="AD474" s="64"/>
      <c r="AE474" s="64"/>
      <c r="AF474" s="64"/>
      <c r="AG474" s="64"/>
    </row>
    <row r="475" spans="1:33">
      <c r="A475" s="25"/>
      <c r="B475" s="25"/>
      <c r="C475" s="25"/>
      <c r="D475" s="25"/>
      <c r="E475" s="62"/>
      <c r="F475" s="63"/>
      <c r="G475" s="25"/>
      <c r="H475" s="63"/>
      <c r="I475" s="63"/>
      <c r="J475" s="64"/>
      <c r="K475" s="64"/>
      <c r="L475" s="64"/>
      <c r="M475" s="64"/>
      <c r="N475" s="64"/>
      <c r="O475" s="64"/>
      <c r="P475" s="64"/>
      <c r="Q475" s="64"/>
      <c r="R475" s="64"/>
      <c r="S475" s="64"/>
      <c r="T475" s="64"/>
      <c r="U475" s="64"/>
      <c r="V475" s="64"/>
      <c r="W475" s="64"/>
      <c r="X475" s="64"/>
      <c r="Y475" s="64"/>
      <c r="Z475" s="64"/>
      <c r="AA475" s="64"/>
      <c r="AB475" s="64"/>
      <c r="AC475" s="64"/>
      <c r="AD475" s="64"/>
      <c r="AE475" s="64"/>
      <c r="AF475" s="64"/>
      <c r="AG475" s="64"/>
    </row>
    <row r="476" spans="1:33">
      <c r="A476" s="25"/>
      <c r="B476" s="25"/>
      <c r="C476" s="25"/>
      <c r="D476" s="25"/>
      <c r="E476" s="62"/>
      <c r="F476" s="63"/>
      <c r="G476" s="25"/>
      <c r="H476" s="63"/>
      <c r="I476" s="63"/>
      <c r="J476" s="64"/>
      <c r="K476" s="64"/>
      <c r="L476" s="64"/>
      <c r="M476" s="64"/>
      <c r="N476" s="64"/>
      <c r="O476" s="64"/>
      <c r="P476" s="64"/>
      <c r="Q476" s="64"/>
      <c r="R476" s="64"/>
      <c r="S476" s="64"/>
      <c r="T476" s="64"/>
      <c r="U476" s="64"/>
      <c r="V476" s="64"/>
      <c r="W476" s="64"/>
      <c r="X476" s="64"/>
      <c r="Y476" s="64"/>
      <c r="Z476" s="64"/>
      <c r="AA476" s="64"/>
      <c r="AB476" s="64"/>
      <c r="AC476" s="64"/>
      <c r="AD476" s="64"/>
      <c r="AE476" s="64"/>
      <c r="AF476" s="64"/>
      <c r="AG476" s="64"/>
    </row>
    <row r="477" spans="1:33">
      <c r="A477" s="25"/>
      <c r="B477" s="25"/>
      <c r="C477" s="25"/>
      <c r="D477" s="25"/>
      <c r="E477" s="62"/>
      <c r="F477" s="63"/>
      <c r="G477" s="25"/>
      <c r="H477" s="63"/>
      <c r="I477" s="63"/>
      <c r="J477" s="64"/>
      <c r="K477" s="64"/>
      <c r="L477" s="64"/>
      <c r="M477" s="64"/>
      <c r="N477" s="64"/>
      <c r="O477" s="64"/>
      <c r="P477" s="64"/>
      <c r="Q477" s="64"/>
      <c r="R477" s="64"/>
      <c r="S477" s="64"/>
      <c r="T477" s="64"/>
      <c r="U477" s="64"/>
      <c r="V477" s="64"/>
      <c r="W477" s="64"/>
      <c r="X477" s="64"/>
      <c r="Y477" s="64"/>
      <c r="Z477" s="64"/>
      <c r="AA477" s="64"/>
      <c r="AB477" s="64"/>
      <c r="AC477" s="64"/>
      <c r="AD477" s="64"/>
      <c r="AE477" s="64"/>
      <c r="AF477" s="64"/>
      <c r="AG477" s="64"/>
    </row>
    <row r="478" spans="1:33">
      <c r="A478" s="25"/>
      <c r="B478" s="25"/>
      <c r="C478" s="25"/>
      <c r="D478" s="25"/>
      <c r="E478" s="62"/>
      <c r="F478" s="63"/>
      <c r="G478" s="25"/>
      <c r="H478" s="63"/>
      <c r="I478" s="63"/>
      <c r="J478" s="64"/>
      <c r="K478" s="64"/>
      <c r="L478" s="64"/>
      <c r="M478" s="64"/>
      <c r="N478" s="64"/>
      <c r="O478" s="64"/>
      <c r="P478" s="64"/>
      <c r="Q478" s="64"/>
      <c r="R478" s="64"/>
      <c r="S478" s="64"/>
      <c r="T478" s="64"/>
      <c r="U478" s="64"/>
      <c r="V478" s="64"/>
      <c r="W478" s="64"/>
      <c r="X478" s="64"/>
      <c r="Y478" s="64"/>
      <c r="Z478" s="64"/>
      <c r="AA478" s="64"/>
      <c r="AB478" s="64"/>
      <c r="AC478" s="64"/>
      <c r="AD478" s="64"/>
      <c r="AE478" s="64"/>
      <c r="AF478" s="64"/>
      <c r="AG478" s="64"/>
    </row>
    <row r="479" spans="1:33">
      <c r="A479" s="25"/>
      <c r="B479" s="25"/>
      <c r="C479" s="25"/>
      <c r="D479" s="25"/>
      <c r="E479" s="62"/>
      <c r="F479" s="63"/>
      <c r="G479" s="25"/>
      <c r="H479" s="63"/>
      <c r="I479" s="63"/>
      <c r="J479" s="64"/>
      <c r="K479" s="64"/>
      <c r="L479" s="64"/>
      <c r="M479" s="64"/>
      <c r="N479" s="64"/>
      <c r="O479" s="64"/>
      <c r="P479" s="64"/>
      <c r="Q479" s="64"/>
      <c r="R479" s="64"/>
      <c r="S479" s="64"/>
      <c r="T479" s="64"/>
      <c r="U479" s="64"/>
      <c r="V479" s="64"/>
      <c r="W479" s="64"/>
      <c r="X479" s="64"/>
      <c r="Y479" s="64"/>
      <c r="Z479" s="64"/>
      <c r="AA479" s="64"/>
      <c r="AB479" s="64"/>
      <c r="AC479" s="64"/>
      <c r="AD479" s="64"/>
      <c r="AE479" s="64"/>
      <c r="AF479" s="64"/>
      <c r="AG479" s="64"/>
    </row>
    <row r="480" spans="1:33">
      <c r="A480" s="25"/>
      <c r="B480" s="25"/>
      <c r="C480" s="25"/>
      <c r="D480" s="25"/>
      <c r="E480" s="62"/>
      <c r="F480" s="63"/>
      <c r="G480" s="25"/>
      <c r="H480" s="63"/>
      <c r="I480" s="63"/>
      <c r="J480" s="64"/>
      <c r="K480" s="64"/>
      <c r="L480" s="64"/>
      <c r="M480" s="64"/>
      <c r="N480" s="64"/>
      <c r="O480" s="64"/>
      <c r="P480" s="64"/>
      <c r="Q480" s="64"/>
      <c r="R480" s="64"/>
      <c r="S480" s="64"/>
      <c r="T480" s="64"/>
      <c r="U480" s="64"/>
      <c r="V480" s="64"/>
      <c r="W480" s="64"/>
      <c r="X480" s="64"/>
      <c r="Y480" s="64"/>
      <c r="Z480" s="64"/>
      <c r="AA480" s="64"/>
      <c r="AB480" s="64"/>
      <c r="AC480" s="64"/>
      <c r="AD480" s="64"/>
      <c r="AE480" s="64"/>
      <c r="AF480" s="64"/>
      <c r="AG480" s="64"/>
    </row>
    <row r="481" spans="1:33">
      <c r="A481" s="25"/>
      <c r="B481" s="25"/>
      <c r="C481" s="25"/>
      <c r="D481" s="25"/>
      <c r="E481" s="62"/>
      <c r="F481" s="63"/>
      <c r="G481" s="25"/>
      <c r="H481" s="63"/>
      <c r="I481" s="63"/>
      <c r="J481" s="64"/>
      <c r="K481" s="64"/>
      <c r="L481" s="64"/>
      <c r="M481" s="64"/>
      <c r="N481" s="64"/>
      <c r="O481" s="64"/>
      <c r="P481" s="64"/>
      <c r="Q481" s="64"/>
      <c r="R481" s="64"/>
      <c r="S481" s="64"/>
      <c r="T481" s="64"/>
      <c r="U481" s="64"/>
      <c r="V481" s="64"/>
      <c r="W481" s="64"/>
      <c r="X481" s="64"/>
      <c r="Y481" s="64"/>
      <c r="Z481" s="64"/>
      <c r="AA481" s="64"/>
      <c r="AB481" s="64"/>
      <c r="AC481" s="64"/>
      <c r="AD481" s="64"/>
      <c r="AE481" s="64"/>
      <c r="AF481" s="64"/>
      <c r="AG481" s="64"/>
    </row>
    <row r="482" spans="1:33">
      <c r="A482" s="25"/>
      <c r="B482" s="25"/>
      <c r="C482" s="25"/>
      <c r="D482" s="25"/>
      <c r="E482" s="62"/>
      <c r="F482" s="63"/>
      <c r="G482" s="25"/>
      <c r="H482" s="63"/>
      <c r="I482" s="63"/>
      <c r="J482" s="64"/>
      <c r="K482" s="64"/>
      <c r="L482" s="64"/>
      <c r="M482" s="64"/>
      <c r="N482" s="64"/>
      <c r="O482" s="64"/>
      <c r="P482" s="64"/>
      <c r="Q482" s="64"/>
      <c r="R482" s="64"/>
      <c r="S482" s="64"/>
      <c r="T482" s="64"/>
      <c r="U482" s="64"/>
      <c r="V482" s="64"/>
      <c r="W482" s="64"/>
      <c r="X482" s="64"/>
      <c r="Y482" s="64"/>
      <c r="Z482" s="64"/>
      <c r="AA482" s="64"/>
      <c r="AB482" s="64"/>
      <c r="AC482" s="64"/>
      <c r="AD482" s="64"/>
      <c r="AE482" s="64"/>
      <c r="AF482" s="64"/>
      <c r="AG482" s="64"/>
    </row>
    <row r="483" spans="1:33">
      <c r="A483" s="25"/>
      <c r="B483" s="25"/>
      <c r="C483" s="25"/>
      <c r="D483" s="25"/>
      <c r="E483" s="62"/>
      <c r="F483" s="63"/>
      <c r="G483" s="25"/>
      <c r="H483" s="63"/>
      <c r="I483" s="63"/>
      <c r="J483" s="64"/>
      <c r="K483" s="64"/>
      <c r="L483" s="64"/>
      <c r="M483" s="64"/>
      <c r="N483" s="64"/>
      <c r="O483" s="64"/>
      <c r="P483" s="64"/>
      <c r="Q483" s="64"/>
      <c r="R483" s="64"/>
      <c r="S483" s="64"/>
      <c r="T483" s="64"/>
      <c r="U483" s="64"/>
      <c r="V483" s="64"/>
      <c r="W483" s="64"/>
      <c r="X483" s="64"/>
      <c r="Y483" s="64"/>
      <c r="Z483" s="64"/>
      <c r="AA483" s="64"/>
      <c r="AB483" s="64"/>
      <c r="AC483" s="64"/>
      <c r="AD483" s="64"/>
      <c r="AE483" s="64"/>
      <c r="AF483" s="64"/>
      <c r="AG483" s="64"/>
    </row>
    <row r="484" spans="1:33">
      <c r="A484" s="25"/>
      <c r="B484" s="25"/>
      <c r="C484" s="25"/>
      <c r="D484" s="25"/>
      <c r="E484" s="62"/>
      <c r="F484" s="63"/>
      <c r="G484" s="25"/>
      <c r="H484" s="63"/>
      <c r="I484" s="63"/>
      <c r="J484" s="64"/>
      <c r="K484" s="64"/>
      <c r="L484" s="64"/>
      <c r="M484" s="64"/>
      <c r="N484" s="64"/>
      <c r="O484" s="64"/>
      <c r="P484" s="64"/>
      <c r="Q484" s="64"/>
      <c r="R484" s="64"/>
      <c r="S484" s="64"/>
      <c r="T484" s="64"/>
      <c r="U484" s="64"/>
      <c r="V484" s="64"/>
      <c r="W484" s="64"/>
      <c r="X484" s="64"/>
      <c r="Y484" s="64"/>
      <c r="Z484" s="64"/>
      <c r="AA484" s="64"/>
      <c r="AB484" s="64"/>
      <c r="AC484" s="64"/>
      <c r="AD484" s="64"/>
      <c r="AE484" s="64"/>
      <c r="AF484" s="64"/>
      <c r="AG484" s="64"/>
    </row>
    <row r="485" spans="1:33">
      <c r="A485" s="25"/>
      <c r="B485" s="25"/>
      <c r="C485" s="25"/>
      <c r="D485" s="25"/>
      <c r="E485" s="62"/>
      <c r="F485" s="63"/>
      <c r="G485" s="25"/>
      <c r="H485" s="63"/>
      <c r="I485" s="63"/>
      <c r="J485" s="64"/>
      <c r="K485" s="64"/>
      <c r="L485" s="64"/>
      <c r="M485" s="64"/>
      <c r="N485" s="64"/>
      <c r="O485" s="64"/>
      <c r="P485" s="64"/>
      <c r="Q485" s="64"/>
      <c r="R485" s="64"/>
      <c r="S485" s="64"/>
      <c r="T485" s="64"/>
      <c r="U485" s="64"/>
      <c r="V485" s="64"/>
      <c r="W485" s="64"/>
      <c r="X485" s="64"/>
      <c r="Y485" s="64"/>
      <c r="Z485" s="64"/>
      <c r="AA485" s="64"/>
      <c r="AB485" s="64"/>
      <c r="AC485" s="64"/>
      <c r="AD485" s="64"/>
      <c r="AE485" s="64"/>
      <c r="AF485" s="64"/>
      <c r="AG485" s="64"/>
    </row>
    <row r="486" spans="1:33">
      <c r="A486" s="25"/>
      <c r="B486" s="25"/>
      <c r="C486" s="25"/>
      <c r="D486" s="25"/>
      <c r="E486" s="62"/>
      <c r="F486" s="63"/>
      <c r="G486" s="25"/>
      <c r="H486" s="63"/>
      <c r="I486" s="63"/>
      <c r="J486" s="64"/>
      <c r="K486" s="64"/>
      <c r="L486" s="64"/>
      <c r="M486" s="64"/>
      <c r="N486" s="64"/>
      <c r="O486" s="64"/>
      <c r="P486" s="64"/>
      <c r="Q486" s="64"/>
      <c r="R486" s="64"/>
      <c r="S486" s="64"/>
      <c r="T486" s="64"/>
      <c r="U486" s="64"/>
      <c r="V486" s="64"/>
      <c r="W486" s="64"/>
      <c r="X486" s="64"/>
      <c r="Y486" s="64"/>
      <c r="Z486" s="64"/>
      <c r="AA486" s="64"/>
      <c r="AB486" s="64"/>
      <c r="AC486" s="64"/>
      <c r="AD486" s="64"/>
      <c r="AE486" s="64"/>
      <c r="AF486" s="64"/>
      <c r="AG486" s="64"/>
    </row>
    <row r="487" spans="1:33">
      <c r="A487" s="25"/>
      <c r="B487" s="25"/>
      <c r="C487" s="25"/>
      <c r="D487" s="25"/>
      <c r="E487" s="62"/>
      <c r="F487" s="63"/>
      <c r="G487" s="25"/>
      <c r="H487" s="63"/>
      <c r="I487" s="63"/>
      <c r="J487" s="64"/>
      <c r="K487" s="64"/>
      <c r="L487" s="64"/>
      <c r="M487" s="64"/>
      <c r="N487" s="64"/>
      <c r="O487" s="64"/>
      <c r="P487" s="64"/>
      <c r="Q487" s="64"/>
      <c r="R487" s="64"/>
      <c r="S487" s="64"/>
      <c r="T487" s="64"/>
      <c r="U487" s="64"/>
      <c r="V487" s="64"/>
      <c r="W487" s="64"/>
      <c r="X487" s="64"/>
      <c r="Y487" s="64"/>
      <c r="Z487" s="64"/>
      <c r="AA487" s="64"/>
      <c r="AB487" s="64"/>
      <c r="AC487" s="64"/>
      <c r="AD487" s="64"/>
      <c r="AE487" s="64"/>
      <c r="AF487" s="64"/>
      <c r="AG487" s="64"/>
    </row>
    <row r="488" spans="1:33">
      <c r="A488" s="25"/>
      <c r="B488" s="25"/>
      <c r="C488" s="25"/>
      <c r="D488" s="25"/>
      <c r="E488" s="62"/>
      <c r="F488" s="63"/>
      <c r="G488" s="25"/>
      <c r="H488" s="63"/>
      <c r="I488" s="63"/>
      <c r="J488" s="64"/>
      <c r="K488" s="64"/>
      <c r="L488" s="64"/>
      <c r="M488" s="64"/>
      <c r="N488" s="64"/>
      <c r="O488" s="64"/>
      <c r="P488" s="64"/>
      <c r="Q488" s="64"/>
      <c r="R488" s="64"/>
      <c r="S488" s="64"/>
      <c r="T488" s="64"/>
      <c r="U488" s="64"/>
      <c r="V488" s="64"/>
      <c r="W488" s="64"/>
      <c r="X488" s="64"/>
      <c r="Y488" s="64"/>
      <c r="Z488" s="64"/>
      <c r="AA488" s="64"/>
      <c r="AB488" s="64"/>
      <c r="AC488" s="64"/>
      <c r="AD488" s="64"/>
      <c r="AE488" s="64"/>
      <c r="AF488" s="64"/>
      <c r="AG488" s="64"/>
    </row>
    <row r="489" spans="1:33">
      <c r="A489" s="25"/>
      <c r="B489" s="25"/>
      <c r="C489" s="25"/>
      <c r="D489" s="25"/>
      <c r="E489" s="62"/>
      <c r="F489" s="63"/>
      <c r="G489" s="25"/>
      <c r="H489" s="63"/>
      <c r="I489" s="63"/>
      <c r="J489" s="64"/>
      <c r="K489" s="64"/>
      <c r="L489" s="64"/>
      <c r="M489" s="64"/>
      <c r="N489" s="64"/>
      <c r="O489" s="64"/>
      <c r="P489" s="64"/>
      <c r="Q489" s="64"/>
      <c r="R489" s="64"/>
      <c r="S489" s="64"/>
      <c r="T489" s="64"/>
      <c r="U489" s="64"/>
      <c r="V489" s="64"/>
      <c r="W489" s="64"/>
      <c r="X489" s="64"/>
      <c r="Y489" s="64"/>
      <c r="Z489" s="64"/>
      <c r="AA489" s="64"/>
      <c r="AB489" s="64"/>
      <c r="AC489" s="64"/>
      <c r="AD489" s="64"/>
      <c r="AE489" s="64"/>
      <c r="AF489" s="64"/>
      <c r="AG489" s="64"/>
    </row>
    <row r="490" spans="1:33">
      <c r="A490" s="25"/>
      <c r="B490" s="25"/>
      <c r="C490" s="25"/>
      <c r="D490" s="25"/>
      <c r="E490" s="62"/>
      <c r="F490" s="63"/>
      <c r="G490" s="25"/>
      <c r="H490" s="63"/>
      <c r="I490" s="63"/>
      <c r="J490" s="64"/>
      <c r="K490" s="64"/>
      <c r="L490" s="64"/>
      <c r="M490" s="64"/>
      <c r="N490" s="64"/>
      <c r="O490" s="64"/>
      <c r="P490" s="64"/>
      <c r="Q490" s="64"/>
      <c r="R490" s="64"/>
      <c r="S490" s="64"/>
      <c r="T490" s="64"/>
      <c r="U490" s="64"/>
      <c r="V490" s="64"/>
      <c r="W490" s="64"/>
      <c r="X490" s="64"/>
      <c r="Y490" s="64"/>
      <c r="Z490" s="64"/>
      <c r="AA490" s="64"/>
      <c r="AB490" s="64"/>
      <c r="AC490" s="64"/>
      <c r="AD490" s="64"/>
      <c r="AE490" s="64"/>
      <c r="AF490" s="64"/>
      <c r="AG490" s="64"/>
    </row>
    <row r="491" spans="1:33">
      <c r="A491" s="25"/>
      <c r="B491" s="25"/>
      <c r="C491" s="25"/>
      <c r="D491" s="25"/>
      <c r="E491" s="62"/>
      <c r="F491" s="63"/>
      <c r="G491" s="25"/>
      <c r="H491" s="63"/>
      <c r="I491" s="63"/>
      <c r="J491" s="64"/>
      <c r="K491" s="64"/>
      <c r="L491" s="64"/>
      <c r="M491" s="64"/>
      <c r="N491" s="64"/>
      <c r="O491" s="64"/>
      <c r="P491" s="64"/>
      <c r="Q491" s="64"/>
      <c r="R491" s="64"/>
      <c r="S491" s="64"/>
      <c r="T491" s="64"/>
      <c r="U491" s="64"/>
      <c r="V491" s="64"/>
      <c r="W491" s="64"/>
      <c r="X491" s="64"/>
      <c r="Y491" s="64"/>
      <c r="Z491" s="64"/>
      <c r="AA491" s="64"/>
      <c r="AB491" s="64"/>
      <c r="AC491" s="64"/>
      <c r="AD491" s="64"/>
      <c r="AE491" s="64"/>
      <c r="AF491" s="64"/>
      <c r="AG491" s="64"/>
    </row>
    <row r="492" spans="1:33">
      <c r="A492" s="25"/>
      <c r="B492" s="25"/>
      <c r="C492" s="25"/>
      <c r="D492" s="25"/>
      <c r="E492" s="62"/>
      <c r="F492" s="63"/>
      <c r="G492" s="25"/>
      <c r="H492" s="63"/>
      <c r="I492" s="63"/>
      <c r="J492" s="64"/>
      <c r="K492" s="64"/>
      <c r="L492" s="64"/>
      <c r="M492" s="64"/>
      <c r="N492" s="64"/>
      <c r="O492" s="64"/>
      <c r="P492" s="64"/>
      <c r="Q492" s="64"/>
      <c r="R492" s="64"/>
      <c r="S492" s="64"/>
      <c r="T492" s="64"/>
      <c r="U492" s="64"/>
      <c r="V492" s="64"/>
      <c r="W492" s="64"/>
      <c r="X492" s="64"/>
      <c r="Y492" s="64"/>
      <c r="Z492" s="64"/>
      <c r="AA492" s="64"/>
      <c r="AB492" s="64"/>
      <c r="AC492" s="64"/>
      <c r="AD492" s="64"/>
      <c r="AE492" s="64"/>
      <c r="AF492" s="64"/>
      <c r="AG492" s="64"/>
    </row>
    <row r="493" spans="1:33">
      <c r="A493" s="25"/>
      <c r="B493" s="25"/>
      <c r="C493" s="25"/>
      <c r="D493" s="25"/>
      <c r="E493" s="62"/>
      <c r="F493" s="63"/>
      <c r="G493" s="25"/>
      <c r="H493" s="63"/>
      <c r="I493" s="63"/>
      <c r="J493" s="64"/>
      <c r="K493" s="64"/>
      <c r="L493" s="64"/>
      <c r="M493" s="64"/>
      <c r="N493" s="64"/>
      <c r="O493" s="64"/>
      <c r="P493" s="64"/>
      <c r="Q493" s="64"/>
      <c r="R493" s="64"/>
      <c r="S493" s="64"/>
      <c r="T493" s="64"/>
      <c r="U493" s="64"/>
      <c r="V493" s="64"/>
      <c r="W493" s="64"/>
      <c r="X493" s="64"/>
      <c r="Y493" s="64"/>
      <c r="Z493" s="64"/>
      <c r="AA493" s="64"/>
      <c r="AB493" s="64"/>
      <c r="AC493" s="64"/>
      <c r="AD493" s="64"/>
      <c r="AE493" s="64"/>
      <c r="AF493" s="64"/>
      <c r="AG493" s="64"/>
    </row>
    <row r="494" spans="1:33">
      <c r="A494" s="25"/>
      <c r="B494" s="25"/>
      <c r="C494" s="25"/>
      <c r="D494" s="25"/>
      <c r="E494" s="62"/>
      <c r="F494" s="63"/>
      <c r="G494" s="25"/>
      <c r="H494" s="63"/>
      <c r="I494" s="63"/>
      <c r="J494" s="64"/>
      <c r="K494" s="64"/>
      <c r="L494" s="64"/>
      <c r="M494" s="64"/>
      <c r="N494" s="64"/>
      <c r="O494" s="64"/>
      <c r="P494" s="64"/>
      <c r="Q494" s="64"/>
      <c r="R494" s="64"/>
      <c r="S494" s="64"/>
      <c r="T494" s="64"/>
      <c r="U494" s="64"/>
      <c r="V494" s="64"/>
      <c r="W494" s="64"/>
      <c r="X494" s="64"/>
      <c r="Y494" s="64"/>
      <c r="Z494" s="64"/>
      <c r="AA494" s="64"/>
      <c r="AB494" s="64"/>
      <c r="AC494" s="64"/>
      <c r="AD494" s="64"/>
      <c r="AE494" s="64"/>
      <c r="AF494" s="64"/>
      <c r="AG494" s="64"/>
    </row>
    <row r="495" spans="1:33">
      <c r="A495" s="25"/>
      <c r="B495" s="25"/>
      <c r="C495" s="25"/>
      <c r="D495" s="25"/>
      <c r="E495" s="62"/>
      <c r="F495" s="63"/>
      <c r="G495" s="25"/>
      <c r="H495" s="63"/>
      <c r="I495" s="63"/>
      <c r="J495" s="64"/>
      <c r="K495" s="64"/>
      <c r="L495" s="64"/>
      <c r="M495" s="64"/>
      <c r="N495" s="64"/>
      <c r="O495" s="64"/>
      <c r="P495" s="64"/>
      <c r="Q495" s="64"/>
      <c r="R495" s="64"/>
      <c r="S495" s="64"/>
      <c r="T495" s="64"/>
      <c r="U495" s="64"/>
      <c r="V495" s="64"/>
      <c r="W495" s="64"/>
      <c r="X495" s="64"/>
      <c r="Y495" s="64"/>
      <c r="Z495" s="64"/>
      <c r="AA495" s="64"/>
      <c r="AB495" s="64"/>
      <c r="AC495" s="64"/>
      <c r="AD495" s="64"/>
      <c r="AE495" s="64"/>
      <c r="AF495" s="64"/>
      <c r="AG495" s="64"/>
    </row>
    <row r="496" spans="1:33">
      <c r="A496" s="25"/>
      <c r="B496" s="25"/>
      <c r="C496" s="25"/>
      <c r="D496" s="25"/>
      <c r="E496" s="62"/>
      <c r="F496" s="63"/>
      <c r="G496" s="25"/>
      <c r="H496" s="63"/>
      <c r="I496" s="63"/>
      <c r="J496" s="64"/>
      <c r="K496" s="64"/>
      <c r="L496" s="64"/>
      <c r="M496" s="64"/>
      <c r="N496" s="64"/>
      <c r="O496" s="64"/>
      <c r="P496" s="64"/>
      <c r="Q496" s="64"/>
      <c r="R496" s="64"/>
      <c r="S496" s="64"/>
      <c r="T496" s="64"/>
      <c r="U496" s="64"/>
      <c r="V496" s="64"/>
      <c r="W496" s="64"/>
      <c r="X496" s="64"/>
      <c r="Y496" s="64"/>
      <c r="Z496" s="64"/>
      <c r="AA496" s="64"/>
      <c r="AB496" s="64"/>
      <c r="AC496" s="64"/>
      <c r="AD496" s="64"/>
      <c r="AE496" s="64"/>
      <c r="AF496" s="64"/>
      <c r="AG496" s="64"/>
    </row>
    <row r="497" spans="1:33">
      <c r="A497" s="25"/>
      <c r="B497" s="25"/>
      <c r="C497" s="25"/>
      <c r="D497" s="25"/>
      <c r="E497" s="62"/>
      <c r="F497" s="63"/>
      <c r="G497" s="25"/>
      <c r="H497" s="63"/>
      <c r="I497" s="63"/>
      <c r="J497" s="64"/>
      <c r="K497" s="64"/>
      <c r="L497" s="64"/>
      <c r="M497" s="64"/>
      <c r="N497" s="64"/>
      <c r="O497" s="64"/>
      <c r="P497" s="64"/>
      <c r="Q497" s="64"/>
      <c r="R497" s="64"/>
      <c r="S497" s="64"/>
      <c r="T497" s="64"/>
      <c r="U497" s="64"/>
      <c r="V497" s="64"/>
      <c r="W497" s="64"/>
      <c r="X497" s="64"/>
      <c r="Y497" s="64"/>
      <c r="Z497" s="64"/>
      <c r="AA497" s="64"/>
      <c r="AB497" s="64"/>
      <c r="AC497" s="64"/>
      <c r="AD497" s="64"/>
      <c r="AE497" s="64"/>
      <c r="AF497" s="64"/>
      <c r="AG497" s="64"/>
    </row>
    <row r="498" spans="1:33">
      <c r="A498" s="25"/>
      <c r="B498" s="25"/>
      <c r="C498" s="25"/>
      <c r="D498" s="25"/>
      <c r="E498" s="62"/>
      <c r="F498" s="63"/>
      <c r="G498" s="25"/>
      <c r="H498" s="63"/>
      <c r="I498" s="63"/>
      <c r="J498" s="64"/>
      <c r="K498" s="64"/>
      <c r="L498" s="64"/>
      <c r="M498" s="64"/>
      <c r="N498" s="64"/>
      <c r="O498" s="64"/>
      <c r="P498" s="64"/>
      <c r="Q498" s="64"/>
      <c r="R498" s="64"/>
      <c r="S498" s="64"/>
      <c r="T498" s="64"/>
      <c r="U498" s="64"/>
      <c r="V498" s="64"/>
      <c r="W498" s="64"/>
      <c r="X498" s="64"/>
      <c r="Y498" s="64"/>
      <c r="Z498" s="64"/>
      <c r="AA498" s="64"/>
      <c r="AB498" s="64"/>
      <c r="AC498" s="64"/>
      <c r="AD498" s="64"/>
      <c r="AE498" s="64"/>
      <c r="AF498" s="64"/>
      <c r="AG498" s="64"/>
    </row>
    <row r="499" spans="1:33">
      <c r="A499" s="25"/>
      <c r="B499" s="25"/>
      <c r="C499" s="25"/>
      <c r="D499" s="25"/>
      <c r="E499" s="62"/>
      <c r="F499" s="63"/>
      <c r="G499" s="25"/>
      <c r="H499" s="63"/>
      <c r="I499" s="63"/>
      <c r="J499" s="64"/>
      <c r="K499" s="64"/>
      <c r="L499" s="64"/>
      <c r="M499" s="64"/>
      <c r="N499" s="64"/>
      <c r="O499" s="64"/>
      <c r="P499" s="64"/>
      <c r="Q499" s="64"/>
      <c r="R499" s="64"/>
      <c r="S499" s="64"/>
      <c r="T499" s="64"/>
      <c r="U499" s="64"/>
      <c r="V499" s="64"/>
      <c r="W499" s="64"/>
      <c r="X499" s="64"/>
      <c r="Y499" s="64"/>
      <c r="Z499" s="64"/>
      <c r="AA499" s="64"/>
      <c r="AB499" s="64"/>
      <c r="AC499" s="64"/>
      <c r="AD499" s="64"/>
      <c r="AE499" s="64"/>
      <c r="AF499" s="64"/>
      <c r="AG499" s="64"/>
    </row>
    <row r="500" spans="1:33">
      <c r="A500" s="25"/>
      <c r="B500" s="25"/>
      <c r="C500" s="25"/>
      <c r="D500" s="25"/>
      <c r="E500" s="62"/>
      <c r="F500" s="63"/>
      <c r="G500" s="25"/>
      <c r="H500" s="63"/>
      <c r="I500" s="63"/>
      <c r="J500" s="64"/>
      <c r="K500" s="64"/>
      <c r="L500" s="64"/>
      <c r="M500" s="64"/>
      <c r="N500" s="64"/>
      <c r="O500" s="64"/>
      <c r="P500" s="64"/>
      <c r="Q500" s="64"/>
      <c r="R500" s="64"/>
      <c r="S500" s="64"/>
      <c r="T500" s="64"/>
      <c r="U500" s="64"/>
      <c r="V500" s="64"/>
      <c r="W500" s="64"/>
      <c r="X500" s="64"/>
      <c r="Y500" s="64"/>
      <c r="Z500" s="64"/>
      <c r="AA500" s="64"/>
      <c r="AB500" s="64"/>
      <c r="AC500" s="64"/>
      <c r="AD500" s="64"/>
      <c r="AE500" s="64"/>
      <c r="AF500" s="64"/>
      <c r="AG500" s="64"/>
    </row>
    <row r="501" spans="1:33">
      <c r="A501" s="25"/>
      <c r="B501" s="25"/>
      <c r="C501" s="25"/>
      <c r="D501" s="25"/>
      <c r="E501" s="62"/>
      <c r="F501" s="63"/>
      <c r="G501" s="25"/>
      <c r="H501" s="63"/>
      <c r="I501" s="63"/>
      <c r="J501" s="64"/>
      <c r="K501" s="64"/>
      <c r="L501" s="64"/>
      <c r="M501" s="64"/>
      <c r="N501" s="64"/>
      <c r="O501" s="64"/>
      <c r="P501" s="64"/>
      <c r="Q501" s="64"/>
      <c r="R501" s="64"/>
      <c r="S501" s="64"/>
      <c r="T501" s="64"/>
      <c r="U501" s="64"/>
      <c r="V501" s="64"/>
      <c r="W501" s="64"/>
      <c r="X501" s="64"/>
      <c r="Y501" s="64"/>
      <c r="Z501" s="64"/>
      <c r="AA501" s="64"/>
      <c r="AB501" s="64"/>
      <c r="AC501" s="64"/>
      <c r="AD501" s="64"/>
      <c r="AE501" s="64"/>
      <c r="AF501" s="64"/>
      <c r="AG501" s="64"/>
    </row>
    <row r="502" spans="1:33">
      <c r="A502" s="25"/>
      <c r="B502" s="25"/>
      <c r="C502" s="25"/>
      <c r="D502" s="25"/>
      <c r="E502" s="62"/>
      <c r="F502" s="63"/>
      <c r="G502" s="25"/>
      <c r="H502" s="63"/>
      <c r="I502" s="63"/>
      <c r="J502" s="64"/>
      <c r="K502" s="64"/>
      <c r="L502" s="64"/>
      <c r="M502" s="64"/>
      <c r="N502" s="64"/>
      <c r="O502" s="64"/>
      <c r="P502" s="64"/>
      <c r="Q502" s="64"/>
      <c r="R502" s="64"/>
      <c r="S502" s="64"/>
      <c r="T502" s="64"/>
      <c r="U502" s="64"/>
      <c r="V502" s="64"/>
      <c r="W502" s="64"/>
      <c r="X502" s="64"/>
      <c r="Y502" s="64"/>
      <c r="Z502" s="64"/>
      <c r="AA502" s="64"/>
      <c r="AB502" s="64"/>
      <c r="AC502" s="64"/>
      <c r="AD502" s="64"/>
      <c r="AE502" s="64"/>
      <c r="AF502" s="64"/>
      <c r="AG502" s="64"/>
    </row>
    <row r="503" spans="1:33">
      <c r="A503" s="25"/>
      <c r="B503" s="25"/>
      <c r="C503" s="25"/>
      <c r="D503" s="25"/>
      <c r="E503" s="62"/>
      <c r="F503" s="63"/>
      <c r="G503" s="25"/>
      <c r="H503" s="63"/>
      <c r="I503" s="63"/>
      <c r="J503" s="64"/>
      <c r="K503" s="64"/>
      <c r="L503" s="64"/>
      <c r="M503" s="64"/>
      <c r="N503" s="64"/>
      <c r="O503" s="64"/>
      <c r="P503" s="64"/>
      <c r="Q503" s="64"/>
      <c r="R503" s="64"/>
      <c r="S503" s="64"/>
      <c r="T503" s="64"/>
      <c r="U503" s="64"/>
      <c r="V503" s="64"/>
      <c r="W503" s="64"/>
      <c r="X503" s="64"/>
      <c r="Y503" s="64"/>
      <c r="Z503" s="64"/>
      <c r="AA503" s="64"/>
      <c r="AB503" s="64"/>
      <c r="AC503" s="64"/>
      <c r="AD503" s="64"/>
      <c r="AE503" s="64"/>
      <c r="AF503" s="64"/>
      <c r="AG503" s="64"/>
    </row>
    <row r="504" spans="1:33">
      <c r="A504" s="25"/>
      <c r="B504" s="25"/>
      <c r="C504" s="25"/>
      <c r="D504" s="25"/>
      <c r="E504" s="62"/>
      <c r="F504" s="63"/>
      <c r="G504" s="25"/>
      <c r="H504" s="63"/>
      <c r="I504" s="63"/>
      <c r="J504" s="64"/>
      <c r="K504" s="64"/>
      <c r="L504" s="64"/>
      <c r="M504" s="64"/>
      <c r="N504" s="64"/>
      <c r="O504" s="64"/>
      <c r="P504" s="64"/>
      <c r="Q504" s="64"/>
      <c r="R504" s="64"/>
      <c r="S504" s="64"/>
      <c r="T504" s="64"/>
      <c r="U504" s="64"/>
      <c r="V504" s="64"/>
      <c r="W504" s="64"/>
      <c r="X504" s="64"/>
      <c r="Y504" s="64"/>
      <c r="Z504" s="64"/>
      <c r="AA504" s="64"/>
      <c r="AB504" s="64"/>
      <c r="AC504" s="64"/>
      <c r="AD504" s="64"/>
      <c r="AE504" s="64"/>
      <c r="AF504" s="64"/>
      <c r="AG504" s="64"/>
    </row>
    <row r="505" spans="1:33">
      <c r="A505" s="25"/>
      <c r="B505" s="25"/>
      <c r="C505" s="25"/>
      <c r="D505" s="25"/>
      <c r="E505" s="62"/>
      <c r="F505" s="63"/>
      <c r="G505" s="25"/>
      <c r="H505" s="63"/>
      <c r="I505" s="63"/>
      <c r="J505" s="64"/>
      <c r="K505" s="64"/>
      <c r="L505" s="64"/>
      <c r="M505" s="64"/>
      <c r="N505" s="64"/>
      <c r="O505" s="64"/>
      <c r="P505" s="64"/>
      <c r="Q505" s="64"/>
      <c r="R505" s="64"/>
      <c r="S505" s="64"/>
      <c r="T505" s="64"/>
      <c r="U505" s="64"/>
      <c r="V505" s="64"/>
      <c r="W505" s="64"/>
      <c r="X505" s="64"/>
      <c r="Y505" s="64"/>
      <c r="Z505" s="64"/>
      <c r="AA505" s="64"/>
      <c r="AB505" s="64"/>
      <c r="AC505" s="64"/>
      <c r="AD505" s="64"/>
      <c r="AE505" s="64"/>
      <c r="AF505" s="64"/>
      <c r="AG505" s="64"/>
    </row>
    <row r="506" spans="1:33">
      <c r="A506" s="25"/>
      <c r="B506" s="25"/>
      <c r="C506" s="25"/>
      <c r="D506" s="25"/>
      <c r="E506" s="62"/>
      <c r="F506" s="63"/>
      <c r="G506" s="25"/>
      <c r="H506" s="63"/>
      <c r="I506" s="63"/>
      <c r="J506" s="64"/>
      <c r="K506" s="64"/>
      <c r="L506" s="64"/>
      <c r="M506" s="64"/>
      <c r="N506" s="64"/>
      <c r="O506" s="64"/>
      <c r="P506" s="64"/>
      <c r="Q506" s="64"/>
      <c r="R506" s="64"/>
      <c r="S506" s="64"/>
      <c r="T506" s="64"/>
      <c r="U506" s="64"/>
      <c r="V506" s="64"/>
      <c r="W506" s="64"/>
      <c r="X506" s="64"/>
      <c r="Y506" s="64"/>
      <c r="Z506" s="64"/>
      <c r="AA506" s="64"/>
      <c r="AB506" s="64"/>
      <c r="AC506" s="64"/>
      <c r="AD506" s="64"/>
      <c r="AE506" s="64"/>
      <c r="AF506" s="64"/>
      <c r="AG506" s="64"/>
    </row>
    <row r="507" spans="1:33">
      <c r="A507" s="25"/>
      <c r="B507" s="25"/>
      <c r="C507" s="25"/>
      <c r="D507" s="25"/>
      <c r="E507" s="62"/>
      <c r="F507" s="63"/>
      <c r="G507" s="25"/>
      <c r="H507" s="63"/>
      <c r="I507" s="63"/>
      <c r="J507" s="64"/>
      <c r="K507" s="64"/>
      <c r="L507" s="64"/>
      <c r="M507" s="64"/>
      <c r="N507" s="64"/>
      <c r="O507" s="64"/>
      <c r="P507" s="64"/>
      <c r="Q507" s="64"/>
      <c r="R507" s="64"/>
      <c r="S507" s="64"/>
      <c r="T507" s="64"/>
      <c r="U507" s="64"/>
      <c r="V507" s="64"/>
      <c r="W507" s="64"/>
      <c r="X507" s="64"/>
      <c r="Y507" s="64"/>
      <c r="Z507" s="64"/>
      <c r="AA507" s="64"/>
      <c r="AB507" s="64"/>
      <c r="AC507" s="64"/>
      <c r="AD507" s="64"/>
      <c r="AE507" s="64"/>
      <c r="AF507" s="64"/>
      <c r="AG507" s="64"/>
    </row>
    <row r="508" spans="1:33">
      <c r="A508" s="25"/>
      <c r="B508" s="25"/>
      <c r="C508" s="25"/>
      <c r="D508" s="25"/>
      <c r="E508" s="62"/>
      <c r="F508" s="63"/>
      <c r="G508" s="25"/>
      <c r="H508" s="63"/>
      <c r="I508" s="63"/>
      <c r="J508" s="64"/>
      <c r="K508" s="64"/>
      <c r="L508" s="64"/>
      <c r="M508" s="64"/>
      <c r="N508" s="64"/>
      <c r="O508" s="64"/>
      <c r="P508" s="64"/>
      <c r="Q508" s="64"/>
      <c r="R508" s="64"/>
      <c r="S508" s="64"/>
      <c r="T508" s="64"/>
      <c r="U508" s="64"/>
      <c r="V508" s="64"/>
      <c r="W508" s="64"/>
      <c r="X508" s="64"/>
      <c r="Y508" s="64"/>
      <c r="Z508" s="64"/>
      <c r="AA508" s="64"/>
      <c r="AB508" s="64"/>
      <c r="AC508" s="64"/>
      <c r="AD508" s="64"/>
      <c r="AE508" s="64"/>
      <c r="AF508" s="64"/>
      <c r="AG508" s="64"/>
    </row>
    <row r="509" spans="1:33">
      <c r="A509" s="25"/>
      <c r="B509" s="25"/>
      <c r="C509" s="25"/>
      <c r="D509" s="25"/>
      <c r="E509" s="62"/>
      <c r="F509" s="63"/>
      <c r="G509" s="25"/>
      <c r="H509" s="63"/>
      <c r="I509" s="63"/>
      <c r="J509" s="64"/>
      <c r="K509" s="64"/>
      <c r="L509" s="64"/>
      <c r="M509" s="64"/>
      <c r="N509" s="64"/>
      <c r="O509" s="64"/>
      <c r="P509" s="64"/>
      <c r="Q509" s="64"/>
      <c r="R509" s="64"/>
      <c r="S509" s="64"/>
      <c r="T509" s="64"/>
      <c r="U509" s="64"/>
      <c r="V509" s="64"/>
      <c r="W509" s="64"/>
      <c r="X509" s="64"/>
      <c r="Y509" s="64"/>
      <c r="Z509" s="64"/>
      <c r="AA509" s="64"/>
      <c r="AB509" s="64"/>
      <c r="AC509" s="64"/>
      <c r="AD509" s="64"/>
      <c r="AE509" s="64"/>
      <c r="AF509" s="64"/>
      <c r="AG509" s="64"/>
    </row>
    <row r="510" spans="1:33">
      <c r="A510" s="25"/>
      <c r="B510" s="25"/>
      <c r="C510" s="25"/>
      <c r="D510" s="25"/>
      <c r="E510" s="62"/>
      <c r="F510" s="63"/>
      <c r="G510" s="25"/>
      <c r="H510" s="63"/>
      <c r="I510" s="63"/>
      <c r="J510" s="64"/>
      <c r="K510" s="64"/>
      <c r="L510" s="64"/>
      <c r="M510" s="64"/>
      <c r="N510" s="64"/>
      <c r="O510" s="64"/>
      <c r="P510" s="64"/>
      <c r="Q510" s="64"/>
      <c r="R510" s="64"/>
      <c r="S510" s="64"/>
      <c r="T510" s="64"/>
      <c r="U510" s="64"/>
      <c r="V510" s="64"/>
      <c r="W510" s="64"/>
      <c r="X510" s="64"/>
      <c r="Y510" s="64"/>
      <c r="Z510" s="64"/>
      <c r="AA510" s="64"/>
      <c r="AB510" s="64"/>
      <c r="AC510" s="64"/>
      <c r="AD510" s="64"/>
      <c r="AE510" s="64"/>
      <c r="AF510" s="64"/>
      <c r="AG510" s="64"/>
    </row>
    <row r="511" spans="1:33">
      <c r="A511" s="25"/>
      <c r="B511" s="25"/>
      <c r="C511" s="25"/>
      <c r="D511" s="25"/>
      <c r="E511" s="62"/>
      <c r="F511" s="63"/>
      <c r="G511" s="25"/>
      <c r="H511" s="63"/>
      <c r="I511" s="63"/>
      <c r="J511" s="64"/>
      <c r="K511" s="64"/>
      <c r="L511" s="64"/>
      <c r="M511" s="64"/>
      <c r="N511" s="64"/>
      <c r="O511" s="64"/>
      <c r="P511" s="64"/>
      <c r="Q511" s="64"/>
      <c r="R511" s="64"/>
      <c r="S511" s="64"/>
      <c r="T511" s="64"/>
      <c r="U511" s="64"/>
      <c r="V511" s="64"/>
      <c r="W511" s="64"/>
      <c r="X511" s="64"/>
      <c r="Y511" s="64"/>
      <c r="Z511" s="64"/>
      <c r="AA511" s="64"/>
      <c r="AB511" s="64"/>
      <c r="AC511" s="64"/>
      <c r="AD511" s="64"/>
      <c r="AE511" s="64"/>
      <c r="AF511" s="64"/>
      <c r="AG511" s="64"/>
    </row>
    <row r="512" spans="1:33">
      <c r="A512" s="25"/>
      <c r="B512" s="25"/>
      <c r="C512" s="25"/>
      <c r="D512" s="25"/>
      <c r="E512" s="62"/>
      <c r="F512" s="63"/>
      <c r="G512" s="25"/>
      <c r="H512" s="63"/>
      <c r="I512" s="63"/>
      <c r="J512" s="64"/>
      <c r="K512" s="64"/>
      <c r="L512" s="64"/>
      <c r="M512" s="64"/>
      <c r="N512" s="64"/>
      <c r="O512" s="64"/>
      <c r="P512" s="64"/>
      <c r="Q512" s="64"/>
      <c r="R512" s="64"/>
      <c r="S512" s="64"/>
      <c r="T512" s="64"/>
      <c r="U512" s="64"/>
      <c r="V512" s="64"/>
      <c r="W512" s="64"/>
      <c r="X512" s="64"/>
      <c r="Y512" s="64"/>
      <c r="Z512" s="64"/>
      <c r="AA512" s="64"/>
      <c r="AB512" s="64"/>
      <c r="AC512" s="64"/>
      <c r="AD512" s="64"/>
      <c r="AE512" s="64"/>
      <c r="AF512" s="64"/>
      <c r="AG512" s="64"/>
    </row>
    <row r="513" spans="1:33">
      <c r="A513" s="25"/>
      <c r="B513" s="25"/>
      <c r="C513" s="25"/>
      <c r="D513" s="25"/>
      <c r="E513" s="62"/>
      <c r="F513" s="63"/>
      <c r="G513" s="25"/>
      <c r="H513" s="63"/>
      <c r="I513" s="63"/>
      <c r="J513" s="64"/>
      <c r="K513" s="64"/>
      <c r="L513" s="64"/>
      <c r="M513" s="64"/>
      <c r="N513" s="64"/>
      <c r="O513" s="64"/>
      <c r="P513" s="64"/>
      <c r="Q513" s="64"/>
      <c r="R513" s="64"/>
      <c r="S513" s="64"/>
      <c r="T513" s="64"/>
      <c r="U513" s="64"/>
      <c r="V513" s="64"/>
      <c r="W513" s="64"/>
      <c r="X513" s="64"/>
      <c r="Y513" s="64"/>
      <c r="Z513" s="64"/>
      <c r="AA513" s="64"/>
      <c r="AB513" s="64"/>
      <c r="AC513" s="64"/>
      <c r="AD513" s="64"/>
      <c r="AE513" s="64"/>
      <c r="AF513" s="64"/>
      <c r="AG513" s="64"/>
    </row>
    <row r="514" spans="1:33">
      <c r="A514" s="25"/>
      <c r="B514" s="25"/>
      <c r="C514" s="25"/>
      <c r="D514" s="25"/>
      <c r="E514" s="62"/>
      <c r="F514" s="63"/>
      <c r="G514" s="25"/>
      <c r="H514" s="63"/>
      <c r="I514" s="63"/>
      <c r="J514" s="64"/>
      <c r="K514" s="64"/>
      <c r="L514" s="64"/>
      <c r="M514" s="64"/>
      <c r="N514" s="64"/>
      <c r="O514" s="64"/>
      <c r="P514" s="64"/>
      <c r="Q514" s="64"/>
      <c r="R514" s="64"/>
      <c r="S514" s="64"/>
      <c r="T514" s="64"/>
      <c r="U514" s="64"/>
      <c r="V514" s="64"/>
      <c r="W514" s="64"/>
      <c r="X514" s="64"/>
      <c r="Y514" s="64"/>
      <c r="Z514" s="64"/>
      <c r="AA514" s="64"/>
      <c r="AB514" s="64"/>
      <c r="AC514" s="64"/>
      <c r="AD514" s="64"/>
      <c r="AE514" s="64"/>
      <c r="AF514" s="64"/>
      <c r="AG514" s="64"/>
    </row>
    <row r="515" spans="1:33">
      <c r="A515" s="25"/>
      <c r="B515" s="25"/>
      <c r="C515" s="25"/>
      <c r="D515" s="25"/>
      <c r="E515" s="62"/>
      <c r="F515" s="63"/>
      <c r="G515" s="25"/>
      <c r="H515" s="63"/>
      <c r="I515" s="63"/>
      <c r="J515" s="64"/>
      <c r="K515" s="64"/>
      <c r="L515" s="64"/>
      <c r="M515" s="64"/>
      <c r="N515" s="64"/>
      <c r="O515" s="64"/>
      <c r="P515" s="64"/>
      <c r="Q515" s="64"/>
      <c r="R515" s="64"/>
      <c r="S515" s="64"/>
      <c r="T515" s="64"/>
      <c r="U515" s="64"/>
      <c r="V515" s="64"/>
      <c r="W515" s="64"/>
      <c r="X515" s="64"/>
      <c r="Y515" s="64"/>
      <c r="Z515" s="64"/>
      <c r="AA515" s="64"/>
      <c r="AB515" s="64"/>
      <c r="AC515" s="64"/>
      <c r="AD515" s="64"/>
      <c r="AE515" s="64"/>
      <c r="AF515" s="64"/>
      <c r="AG515" s="64"/>
    </row>
    <row r="516" spans="1:33">
      <c r="A516" s="25"/>
      <c r="B516" s="25"/>
      <c r="C516" s="25"/>
      <c r="D516" s="25"/>
      <c r="E516" s="62"/>
      <c r="F516" s="63"/>
      <c r="G516" s="25"/>
      <c r="H516" s="63"/>
      <c r="I516" s="63"/>
      <c r="J516" s="64"/>
      <c r="K516" s="64"/>
      <c r="L516" s="64"/>
      <c r="M516" s="64"/>
      <c r="N516" s="64"/>
      <c r="O516" s="64"/>
      <c r="P516" s="64"/>
      <c r="Q516" s="64"/>
      <c r="R516" s="64"/>
      <c r="S516" s="64"/>
      <c r="T516" s="64"/>
      <c r="U516" s="64"/>
      <c r="V516" s="64"/>
      <c r="W516" s="64"/>
      <c r="X516" s="64"/>
      <c r="Y516" s="64"/>
      <c r="Z516" s="64"/>
      <c r="AA516" s="64"/>
      <c r="AB516" s="64"/>
      <c r="AC516" s="64"/>
      <c r="AD516" s="64"/>
      <c r="AE516" s="64"/>
      <c r="AF516" s="64"/>
      <c r="AG516" s="64"/>
    </row>
    <row r="517" spans="1:33">
      <c r="A517" s="25"/>
      <c r="B517" s="25"/>
      <c r="C517" s="25"/>
      <c r="D517" s="25"/>
      <c r="E517" s="62"/>
      <c r="F517" s="63"/>
      <c r="G517" s="25"/>
      <c r="H517" s="63"/>
      <c r="I517" s="63"/>
      <c r="J517" s="64"/>
      <c r="K517" s="64"/>
      <c r="L517" s="64"/>
      <c r="M517" s="64"/>
      <c r="N517" s="64"/>
      <c r="O517" s="64"/>
      <c r="P517" s="64"/>
      <c r="Q517" s="64"/>
      <c r="R517" s="64"/>
      <c r="S517" s="64"/>
      <c r="T517" s="64"/>
      <c r="U517" s="64"/>
      <c r="V517" s="64"/>
      <c r="W517" s="64"/>
      <c r="X517" s="64"/>
      <c r="Y517" s="64"/>
      <c r="Z517" s="64"/>
      <c r="AA517" s="64"/>
      <c r="AB517" s="64"/>
      <c r="AC517" s="64"/>
      <c r="AD517" s="64"/>
      <c r="AE517" s="64"/>
      <c r="AF517" s="64"/>
      <c r="AG517" s="64"/>
    </row>
    <row r="518" spans="1:33">
      <c r="A518" s="25"/>
      <c r="B518" s="25"/>
      <c r="C518" s="25"/>
      <c r="D518" s="25"/>
      <c r="E518" s="62"/>
      <c r="F518" s="63"/>
      <c r="G518" s="25"/>
      <c r="H518" s="63"/>
      <c r="I518" s="63"/>
      <c r="J518" s="64"/>
      <c r="K518" s="64"/>
      <c r="L518" s="64"/>
      <c r="M518" s="64"/>
      <c r="N518" s="64"/>
      <c r="O518" s="64"/>
      <c r="P518" s="64"/>
      <c r="Q518" s="64"/>
      <c r="R518" s="64"/>
      <c r="S518" s="64"/>
      <c r="T518" s="64"/>
      <c r="U518" s="64"/>
      <c r="V518" s="64"/>
      <c r="W518" s="64"/>
      <c r="X518" s="64"/>
      <c r="Y518" s="64"/>
      <c r="Z518" s="64"/>
      <c r="AA518" s="64"/>
      <c r="AB518" s="64"/>
      <c r="AC518" s="64"/>
      <c r="AD518" s="64"/>
      <c r="AE518" s="64"/>
      <c r="AF518" s="64"/>
      <c r="AG518" s="64"/>
    </row>
    <row r="519" spans="1:33">
      <c r="A519" s="25"/>
      <c r="B519" s="25"/>
      <c r="C519" s="25"/>
      <c r="D519" s="25"/>
      <c r="E519" s="62"/>
      <c r="F519" s="63"/>
      <c r="G519" s="25"/>
      <c r="H519" s="63"/>
      <c r="I519" s="63"/>
      <c r="J519" s="64"/>
      <c r="K519" s="64"/>
      <c r="L519" s="64"/>
      <c r="M519" s="64"/>
      <c r="N519" s="64"/>
      <c r="O519" s="64"/>
      <c r="P519" s="64"/>
      <c r="Q519" s="64"/>
      <c r="R519" s="64"/>
      <c r="S519" s="64"/>
      <c r="T519" s="64"/>
      <c r="U519" s="64"/>
      <c r="V519" s="64"/>
      <c r="W519" s="64"/>
      <c r="X519" s="64"/>
      <c r="Y519" s="64"/>
      <c r="Z519" s="64"/>
      <c r="AA519" s="64"/>
      <c r="AB519" s="64"/>
      <c r="AC519" s="64"/>
      <c r="AD519" s="64"/>
      <c r="AE519" s="64"/>
      <c r="AF519" s="64"/>
      <c r="AG519" s="64"/>
    </row>
    <row r="520" spans="1:33">
      <c r="A520" s="25"/>
      <c r="B520" s="25"/>
      <c r="C520" s="25"/>
      <c r="D520" s="25"/>
      <c r="E520" s="62"/>
      <c r="F520" s="63"/>
      <c r="G520" s="25"/>
      <c r="H520" s="63"/>
      <c r="I520" s="63"/>
      <c r="J520" s="64"/>
      <c r="K520" s="64"/>
      <c r="L520" s="64"/>
      <c r="M520" s="64"/>
      <c r="N520" s="64"/>
      <c r="O520" s="64"/>
      <c r="P520" s="64"/>
      <c r="Q520" s="64"/>
      <c r="R520" s="64"/>
      <c r="S520" s="64"/>
      <c r="T520" s="64"/>
      <c r="U520" s="64"/>
      <c r="V520" s="64"/>
      <c r="W520" s="64"/>
      <c r="X520" s="64"/>
      <c r="Y520" s="64"/>
      <c r="Z520" s="64"/>
      <c r="AA520" s="64"/>
      <c r="AB520" s="64"/>
      <c r="AC520" s="64"/>
      <c r="AD520" s="64"/>
      <c r="AE520" s="64"/>
      <c r="AF520" s="64"/>
      <c r="AG520" s="64"/>
    </row>
    <row r="521" spans="1:33">
      <c r="A521" s="25"/>
      <c r="B521" s="25"/>
      <c r="C521" s="25"/>
      <c r="D521" s="25"/>
      <c r="E521" s="62"/>
      <c r="F521" s="63"/>
      <c r="G521" s="25"/>
      <c r="H521" s="63"/>
      <c r="I521" s="63"/>
      <c r="J521" s="64"/>
      <c r="K521" s="64"/>
      <c r="L521" s="64"/>
      <c r="M521" s="64"/>
      <c r="N521" s="64"/>
      <c r="O521" s="64"/>
      <c r="P521" s="64"/>
      <c r="Q521" s="64"/>
      <c r="R521" s="64"/>
      <c r="S521" s="64"/>
      <c r="T521" s="64"/>
      <c r="U521" s="64"/>
      <c r="V521" s="64"/>
      <c r="W521" s="64"/>
      <c r="X521" s="64"/>
      <c r="Y521" s="64"/>
      <c r="Z521" s="64"/>
      <c r="AA521" s="64"/>
      <c r="AB521" s="64"/>
      <c r="AC521" s="64"/>
      <c r="AD521" s="64"/>
      <c r="AE521" s="64"/>
      <c r="AF521" s="64"/>
      <c r="AG521" s="64"/>
    </row>
    <row r="522" spans="1:33">
      <c r="A522" s="25"/>
      <c r="B522" s="25"/>
      <c r="C522" s="25"/>
      <c r="D522" s="25"/>
      <c r="E522" s="62"/>
      <c r="F522" s="63"/>
      <c r="G522" s="25"/>
      <c r="H522" s="63"/>
      <c r="I522" s="63"/>
      <c r="J522" s="64"/>
      <c r="K522" s="64"/>
      <c r="L522" s="64"/>
      <c r="M522" s="64"/>
      <c r="N522" s="64"/>
      <c r="O522" s="64"/>
      <c r="P522" s="64"/>
      <c r="Q522" s="64"/>
      <c r="R522" s="64"/>
      <c r="S522" s="64"/>
      <c r="T522" s="64"/>
      <c r="U522" s="64"/>
      <c r="V522" s="64"/>
      <c r="W522" s="64"/>
      <c r="X522" s="64"/>
      <c r="Y522" s="64"/>
      <c r="Z522" s="64"/>
      <c r="AA522" s="64"/>
      <c r="AB522" s="64"/>
      <c r="AC522" s="64"/>
      <c r="AD522" s="64"/>
      <c r="AE522" s="64"/>
      <c r="AF522" s="64"/>
      <c r="AG522" s="64"/>
    </row>
    <row r="523" spans="1:33">
      <c r="A523" s="25"/>
      <c r="B523" s="25"/>
      <c r="C523" s="25"/>
      <c r="D523" s="25"/>
      <c r="E523" s="62"/>
      <c r="F523" s="63"/>
      <c r="G523" s="25"/>
      <c r="H523" s="63"/>
      <c r="I523" s="63"/>
      <c r="J523" s="64"/>
      <c r="K523" s="64"/>
      <c r="L523" s="64"/>
      <c r="M523" s="64"/>
      <c r="N523" s="64"/>
      <c r="O523" s="64"/>
      <c r="P523" s="64"/>
      <c r="Q523" s="64"/>
      <c r="R523" s="64"/>
      <c r="S523" s="64"/>
      <c r="T523" s="64"/>
      <c r="U523" s="64"/>
      <c r="V523" s="64"/>
      <c r="W523" s="64"/>
      <c r="X523" s="64"/>
      <c r="Y523" s="64"/>
      <c r="Z523" s="64"/>
      <c r="AA523" s="64"/>
      <c r="AB523" s="64"/>
      <c r="AC523" s="64"/>
      <c r="AD523" s="64"/>
      <c r="AE523" s="64"/>
      <c r="AF523" s="64"/>
      <c r="AG523" s="64"/>
    </row>
    <row r="524" spans="1:33">
      <c r="A524" s="25"/>
      <c r="B524" s="25"/>
      <c r="C524" s="25"/>
      <c r="D524" s="25"/>
      <c r="E524" s="62"/>
      <c r="F524" s="63"/>
      <c r="G524" s="25"/>
      <c r="H524" s="63"/>
      <c r="I524" s="63"/>
      <c r="J524" s="64"/>
      <c r="K524" s="64"/>
      <c r="L524" s="64"/>
      <c r="M524" s="64"/>
      <c r="N524" s="64"/>
      <c r="O524" s="64"/>
      <c r="P524" s="64"/>
      <c r="Q524" s="64"/>
      <c r="R524" s="64"/>
      <c r="S524" s="64"/>
      <c r="T524" s="64"/>
      <c r="U524" s="64"/>
      <c r="V524" s="64"/>
      <c r="W524" s="64"/>
      <c r="X524" s="64"/>
      <c r="Y524" s="64"/>
      <c r="Z524" s="64"/>
      <c r="AA524" s="64"/>
      <c r="AB524" s="64"/>
      <c r="AC524" s="64"/>
      <c r="AD524" s="64"/>
      <c r="AE524" s="64"/>
      <c r="AF524" s="64"/>
      <c r="AG524" s="64"/>
    </row>
    <row r="525" spans="1:33">
      <c r="A525" s="25"/>
      <c r="B525" s="25"/>
      <c r="C525" s="25"/>
      <c r="D525" s="25"/>
      <c r="E525" s="62"/>
      <c r="F525" s="63"/>
      <c r="G525" s="25"/>
      <c r="H525" s="63"/>
      <c r="I525" s="63"/>
      <c r="J525" s="64"/>
      <c r="K525" s="64"/>
      <c r="L525" s="64"/>
      <c r="M525" s="64"/>
      <c r="N525" s="64"/>
      <c r="O525" s="64"/>
      <c r="P525" s="64"/>
      <c r="Q525" s="64"/>
      <c r="R525" s="64"/>
      <c r="S525" s="64"/>
      <c r="T525" s="64"/>
      <c r="U525" s="64"/>
      <c r="V525" s="64"/>
      <c r="W525" s="64"/>
      <c r="X525" s="64"/>
      <c r="Y525" s="64"/>
      <c r="Z525" s="64"/>
      <c r="AA525" s="64"/>
      <c r="AB525" s="64"/>
      <c r="AC525" s="64"/>
      <c r="AD525" s="64"/>
      <c r="AE525" s="64"/>
      <c r="AF525" s="64"/>
      <c r="AG525" s="64"/>
    </row>
    <row r="526" spans="1:33">
      <c r="A526" s="25"/>
      <c r="B526" s="25"/>
      <c r="C526" s="25"/>
      <c r="D526" s="25"/>
      <c r="E526" s="62"/>
      <c r="F526" s="63"/>
      <c r="G526" s="25"/>
      <c r="H526" s="63"/>
      <c r="I526" s="63"/>
      <c r="J526" s="64"/>
      <c r="K526" s="64"/>
      <c r="L526" s="64"/>
      <c r="M526" s="64"/>
      <c r="N526" s="64"/>
      <c r="O526" s="64"/>
      <c r="P526" s="64"/>
      <c r="Q526" s="64"/>
      <c r="R526" s="64"/>
      <c r="S526" s="64"/>
      <c r="T526" s="64"/>
      <c r="U526" s="64"/>
      <c r="V526" s="64"/>
      <c r="W526" s="64"/>
      <c r="X526" s="64"/>
      <c r="Y526" s="64"/>
      <c r="Z526" s="64"/>
      <c r="AA526" s="64"/>
      <c r="AB526" s="64"/>
      <c r="AC526" s="64"/>
      <c r="AD526" s="64"/>
      <c r="AE526" s="64"/>
      <c r="AF526" s="64"/>
      <c r="AG526" s="64"/>
    </row>
    <row r="527" spans="1:33">
      <c r="A527" s="25"/>
      <c r="B527" s="25"/>
      <c r="C527" s="25"/>
      <c r="D527" s="25"/>
      <c r="E527" s="62"/>
      <c r="F527" s="63"/>
      <c r="G527" s="25"/>
      <c r="H527" s="63"/>
      <c r="I527" s="63"/>
      <c r="J527" s="64"/>
      <c r="K527" s="64"/>
      <c r="L527" s="64"/>
      <c r="M527" s="64"/>
      <c r="N527" s="64"/>
      <c r="O527" s="64"/>
      <c r="P527" s="64"/>
      <c r="Q527" s="64"/>
      <c r="R527" s="64"/>
      <c r="S527" s="64"/>
      <c r="T527" s="64"/>
      <c r="U527" s="64"/>
      <c r="V527" s="64"/>
      <c r="W527" s="64"/>
      <c r="X527" s="64"/>
      <c r="Y527" s="64"/>
      <c r="Z527" s="64"/>
      <c r="AA527" s="64"/>
      <c r="AB527" s="64"/>
      <c r="AC527" s="64"/>
      <c r="AD527" s="64"/>
      <c r="AE527" s="64"/>
      <c r="AF527" s="64"/>
      <c r="AG527" s="64"/>
    </row>
    <row r="528" spans="1:33">
      <c r="A528" s="25"/>
      <c r="B528" s="25"/>
      <c r="C528" s="25"/>
      <c r="D528" s="25"/>
      <c r="E528" s="62"/>
      <c r="F528" s="63"/>
      <c r="G528" s="25"/>
      <c r="H528" s="63"/>
      <c r="I528" s="63"/>
      <c r="J528" s="64"/>
      <c r="K528" s="64"/>
      <c r="L528" s="64"/>
      <c r="M528" s="64"/>
      <c r="N528" s="64"/>
      <c r="O528" s="64"/>
      <c r="P528" s="64"/>
      <c r="Q528" s="64"/>
      <c r="R528" s="64"/>
      <c r="S528" s="64"/>
      <c r="T528" s="64"/>
      <c r="U528" s="64"/>
      <c r="V528" s="64"/>
      <c r="W528" s="64"/>
      <c r="X528" s="64"/>
      <c r="Y528" s="64"/>
      <c r="Z528" s="64"/>
      <c r="AA528" s="64"/>
      <c r="AB528" s="64"/>
      <c r="AC528" s="64"/>
      <c r="AD528" s="64"/>
      <c r="AE528" s="64"/>
      <c r="AF528" s="64"/>
      <c r="AG528" s="64"/>
    </row>
    <row r="529" spans="1:33">
      <c r="A529" s="25"/>
      <c r="B529" s="25"/>
      <c r="C529" s="25"/>
      <c r="D529" s="25"/>
      <c r="E529" s="62"/>
      <c r="F529" s="63"/>
      <c r="G529" s="25"/>
      <c r="H529" s="63"/>
      <c r="I529" s="63"/>
      <c r="J529" s="64"/>
      <c r="K529" s="64"/>
      <c r="L529" s="64"/>
      <c r="M529" s="64"/>
      <c r="N529" s="64"/>
      <c r="O529" s="64"/>
      <c r="P529" s="64"/>
      <c r="Q529" s="64"/>
      <c r="R529" s="64"/>
      <c r="S529" s="64"/>
      <c r="T529" s="64"/>
      <c r="U529" s="64"/>
      <c r="V529" s="64"/>
      <c r="W529" s="64"/>
      <c r="X529" s="64"/>
      <c r="Y529" s="64"/>
      <c r="Z529" s="64"/>
      <c r="AA529" s="64"/>
      <c r="AB529" s="64"/>
      <c r="AC529" s="64"/>
      <c r="AD529" s="64"/>
      <c r="AE529" s="64"/>
      <c r="AF529" s="64"/>
      <c r="AG529" s="64"/>
    </row>
    <row r="530" spans="1:33">
      <c r="A530" s="25"/>
      <c r="B530" s="25"/>
      <c r="C530" s="25"/>
      <c r="D530" s="25"/>
      <c r="E530" s="62"/>
      <c r="F530" s="63"/>
      <c r="G530" s="25"/>
      <c r="H530" s="63"/>
      <c r="I530" s="63"/>
      <c r="J530" s="64"/>
      <c r="K530" s="64"/>
      <c r="L530" s="64"/>
      <c r="M530" s="64"/>
      <c r="N530" s="64"/>
      <c r="O530" s="64"/>
      <c r="P530" s="64"/>
      <c r="Q530" s="64"/>
      <c r="R530" s="64"/>
      <c r="S530" s="64"/>
      <c r="T530" s="64"/>
      <c r="U530" s="64"/>
      <c r="V530" s="64"/>
      <c r="W530" s="64"/>
      <c r="X530" s="64"/>
      <c r="Y530" s="64"/>
      <c r="Z530" s="64"/>
      <c r="AA530" s="64"/>
      <c r="AB530" s="64"/>
      <c r="AC530" s="64"/>
      <c r="AD530" s="64"/>
      <c r="AE530" s="64"/>
      <c r="AF530" s="64"/>
      <c r="AG530" s="64"/>
    </row>
    <row r="531" spans="1:33">
      <c r="A531" s="25"/>
      <c r="B531" s="25"/>
      <c r="C531" s="25"/>
      <c r="D531" s="25"/>
      <c r="E531" s="62"/>
      <c r="F531" s="63"/>
      <c r="G531" s="25"/>
      <c r="H531" s="63"/>
      <c r="I531" s="63"/>
      <c r="J531" s="64"/>
      <c r="K531" s="64"/>
      <c r="L531" s="64"/>
      <c r="M531" s="64"/>
      <c r="N531" s="64"/>
      <c r="O531" s="64"/>
      <c r="P531" s="64"/>
      <c r="Q531" s="64"/>
      <c r="R531" s="64"/>
      <c r="S531" s="64"/>
      <c r="T531" s="64"/>
      <c r="U531" s="64"/>
      <c r="V531" s="64"/>
      <c r="W531" s="64"/>
      <c r="X531" s="64"/>
      <c r="Y531" s="64"/>
      <c r="Z531" s="64"/>
      <c r="AA531" s="64"/>
      <c r="AB531" s="64"/>
      <c r="AC531" s="64"/>
      <c r="AD531" s="64"/>
      <c r="AE531" s="64"/>
      <c r="AF531" s="64"/>
      <c r="AG531" s="64"/>
    </row>
    <row r="532" spans="1:33">
      <c r="A532" s="25"/>
      <c r="B532" s="25"/>
      <c r="C532" s="25"/>
      <c r="D532" s="25"/>
      <c r="E532" s="62"/>
      <c r="F532" s="63"/>
      <c r="G532" s="25"/>
      <c r="H532" s="63"/>
      <c r="I532" s="63"/>
      <c r="J532" s="64"/>
      <c r="K532" s="64"/>
      <c r="L532" s="64"/>
      <c r="M532" s="64"/>
      <c r="N532" s="64"/>
      <c r="O532" s="64"/>
      <c r="P532" s="64"/>
      <c r="Q532" s="64"/>
      <c r="R532" s="64"/>
      <c r="S532" s="64"/>
      <c r="T532" s="64"/>
      <c r="U532" s="64"/>
      <c r="V532" s="64"/>
      <c r="W532" s="64"/>
      <c r="X532" s="64"/>
      <c r="Y532" s="64"/>
      <c r="Z532" s="64"/>
      <c r="AA532" s="64"/>
      <c r="AB532" s="64"/>
      <c r="AC532" s="64"/>
      <c r="AD532" s="64"/>
      <c r="AE532" s="64"/>
      <c r="AF532" s="64"/>
      <c r="AG532" s="64"/>
    </row>
    <row r="533" spans="1:33">
      <c r="A533" s="25"/>
      <c r="B533" s="25"/>
      <c r="C533" s="25"/>
      <c r="D533" s="25"/>
      <c r="E533" s="62"/>
      <c r="F533" s="63"/>
      <c r="G533" s="25"/>
      <c r="H533" s="63"/>
      <c r="I533" s="63"/>
      <c r="J533" s="64"/>
      <c r="K533" s="64"/>
      <c r="L533" s="64"/>
      <c r="M533" s="64"/>
      <c r="N533" s="64"/>
      <c r="O533" s="64"/>
      <c r="P533" s="64"/>
      <c r="Q533" s="64"/>
      <c r="R533" s="64"/>
      <c r="S533" s="64"/>
      <c r="T533" s="64"/>
      <c r="U533" s="64"/>
      <c r="V533" s="64"/>
      <c r="W533" s="64"/>
      <c r="X533" s="64"/>
      <c r="Y533" s="64"/>
      <c r="Z533" s="64"/>
      <c r="AA533" s="64"/>
      <c r="AB533" s="64"/>
      <c r="AC533" s="64"/>
      <c r="AD533" s="64"/>
      <c r="AE533" s="64"/>
      <c r="AF533" s="64"/>
      <c r="AG533" s="64"/>
    </row>
    <row r="534" spans="1:33">
      <c r="A534" s="25"/>
      <c r="B534" s="25"/>
      <c r="C534" s="25"/>
      <c r="D534" s="25"/>
      <c r="E534" s="62"/>
      <c r="F534" s="63"/>
      <c r="G534" s="25"/>
      <c r="H534" s="63"/>
      <c r="I534" s="63"/>
      <c r="J534" s="64"/>
      <c r="K534" s="64"/>
      <c r="L534" s="64"/>
      <c r="M534" s="64"/>
      <c r="N534" s="64"/>
      <c r="O534" s="64"/>
      <c r="P534" s="64"/>
      <c r="Q534" s="64"/>
      <c r="R534" s="64"/>
      <c r="S534" s="64"/>
      <c r="T534" s="64"/>
      <c r="U534" s="64"/>
      <c r="V534" s="64"/>
      <c r="W534" s="64"/>
      <c r="X534" s="64"/>
      <c r="Y534" s="64"/>
      <c r="Z534" s="64"/>
      <c r="AA534" s="64"/>
      <c r="AB534" s="64"/>
      <c r="AC534" s="64"/>
      <c r="AD534" s="64"/>
      <c r="AE534" s="64"/>
      <c r="AF534" s="64"/>
      <c r="AG534" s="64"/>
    </row>
    <row r="535" spans="1:33">
      <c r="A535" s="25"/>
      <c r="B535" s="25"/>
      <c r="C535" s="25"/>
      <c r="D535" s="25"/>
      <c r="E535" s="62"/>
      <c r="F535" s="63"/>
      <c r="G535" s="25"/>
      <c r="H535" s="63"/>
      <c r="I535" s="63"/>
      <c r="J535" s="64"/>
      <c r="K535" s="64"/>
      <c r="L535" s="64"/>
      <c r="M535" s="64"/>
      <c r="N535" s="64"/>
      <c r="O535" s="64"/>
      <c r="P535" s="64"/>
      <c r="Q535" s="64"/>
      <c r="R535" s="64"/>
      <c r="S535" s="64"/>
      <c r="T535" s="64"/>
      <c r="U535" s="64"/>
      <c r="V535" s="64"/>
      <c r="W535" s="64"/>
      <c r="X535" s="64"/>
      <c r="Y535" s="64"/>
      <c r="Z535" s="64"/>
      <c r="AA535" s="64"/>
      <c r="AB535" s="64"/>
      <c r="AC535" s="64"/>
      <c r="AD535" s="64"/>
      <c r="AE535" s="64"/>
      <c r="AF535" s="64"/>
      <c r="AG535" s="64"/>
    </row>
    <row r="536" spans="1:33">
      <c r="A536" s="25"/>
      <c r="B536" s="25"/>
      <c r="C536" s="25"/>
      <c r="D536" s="25"/>
      <c r="E536" s="62"/>
      <c r="F536" s="63"/>
      <c r="G536" s="25"/>
      <c r="H536" s="63"/>
      <c r="I536" s="63"/>
      <c r="J536" s="64"/>
      <c r="K536" s="64"/>
      <c r="L536" s="64"/>
      <c r="M536" s="64"/>
      <c r="N536" s="64"/>
      <c r="O536" s="64"/>
      <c r="P536" s="64"/>
      <c r="Q536" s="64"/>
      <c r="R536" s="64"/>
      <c r="S536" s="64"/>
      <c r="T536" s="64"/>
      <c r="U536" s="64"/>
      <c r="V536" s="64"/>
      <c r="W536" s="64"/>
      <c r="X536" s="64"/>
      <c r="Y536" s="64"/>
      <c r="Z536" s="64"/>
      <c r="AA536" s="64"/>
      <c r="AB536" s="64"/>
      <c r="AC536" s="64"/>
      <c r="AD536" s="64"/>
      <c r="AE536" s="64"/>
      <c r="AF536" s="64"/>
      <c r="AG536" s="64"/>
    </row>
    <row r="537" spans="1:33">
      <c r="A537" s="25"/>
      <c r="B537" s="25"/>
      <c r="C537" s="25"/>
      <c r="D537" s="25"/>
      <c r="E537" s="62"/>
      <c r="F537" s="63"/>
      <c r="G537" s="25"/>
      <c r="H537" s="63"/>
      <c r="I537" s="63"/>
      <c r="J537" s="64"/>
      <c r="K537" s="64"/>
      <c r="L537" s="64"/>
      <c r="M537" s="64"/>
      <c r="N537" s="64"/>
      <c r="O537" s="64"/>
      <c r="P537" s="64"/>
      <c r="Q537" s="64"/>
      <c r="R537" s="64"/>
      <c r="S537" s="64"/>
      <c r="T537" s="64"/>
      <c r="U537" s="64"/>
      <c r="V537" s="64"/>
      <c r="W537" s="64"/>
      <c r="X537" s="64"/>
      <c r="Y537" s="64"/>
      <c r="Z537" s="64"/>
      <c r="AA537" s="64"/>
      <c r="AB537" s="64"/>
      <c r="AC537" s="64"/>
      <c r="AD537" s="64"/>
      <c r="AE537" s="64"/>
      <c r="AF537" s="64"/>
      <c r="AG537" s="64"/>
    </row>
    <row r="538" spans="1:33">
      <c r="A538" s="25"/>
      <c r="B538" s="25"/>
      <c r="C538" s="25"/>
      <c r="D538" s="25"/>
      <c r="E538" s="62"/>
      <c r="F538" s="63"/>
      <c r="G538" s="25"/>
      <c r="H538" s="63"/>
      <c r="I538" s="63"/>
      <c r="J538" s="64"/>
      <c r="K538" s="64"/>
      <c r="L538" s="64"/>
      <c r="M538" s="64"/>
      <c r="N538" s="64"/>
      <c r="O538" s="64"/>
      <c r="P538" s="64"/>
      <c r="Q538" s="64"/>
      <c r="R538" s="64"/>
      <c r="S538" s="64"/>
      <c r="T538" s="64"/>
      <c r="U538" s="64"/>
      <c r="V538" s="64"/>
      <c r="W538" s="64"/>
      <c r="X538" s="64"/>
      <c r="Y538" s="64"/>
      <c r="Z538" s="64"/>
      <c r="AA538" s="64"/>
      <c r="AB538" s="64"/>
      <c r="AC538" s="64"/>
      <c r="AD538" s="64"/>
      <c r="AE538" s="64"/>
      <c r="AF538" s="64"/>
      <c r="AG538" s="64"/>
    </row>
    <row r="539" spans="1:33">
      <c r="A539" s="25"/>
      <c r="B539" s="25"/>
      <c r="C539" s="25"/>
      <c r="D539" s="25"/>
      <c r="E539" s="62"/>
      <c r="F539" s="63"/>
      <c r="G539" s="25"/>
      <c r="H539" s="63"/>
      <c r="I539" s="63"/>
      <c r="J539" s="64"/>
      <c r="K539" s="64"/>
      <c r="L539" s="64"/>
      <c r="M539" s="64"/>
      <c r="N539" s="64"/>
      <c r="O539" s="64"/>
      <c r="P539" s="64"/>
      <c r="Q539" s="64"/>
      <c r="R539" s="64"/>
      <c r="S539" s="64"/>
      <c r="T539" s="64"/>
      <c r="U539" s="64"/>
      <c r="V539" s="64"/>
      <c r="W539" s="64"/>
      <c r="X539" s="64"/>
      <c r="Y539" s="64"/>
      <c r="Z539" s="64"/>
      <c r="AA539" s="64"/>
      <c r="AB539" s="64"/>
      <c r="AC539" s="64"/>
      <c r="AD539" s="64"/>
      <c r="AE539" s="64"/>
      <c r="AF539" s="64"/>
      <c r="AG539" s="64"/>
    </row>
    <row r="540" spans="1:33">
      <c r="A540" s="25"/>
      <c r="B540" s="25"/>
      <c r="C540" s="25"/>
      <c r="D540" s="25"/>
      <c r="E540" s="62"/>
      <c r="F540" s="63"/>
      <c r="G540" s="25"/>
      <c r="H540" s="63"/>
      <c r="I540" s="63"/>
      <c r="J540" s="64"/>
      <c r="K540" s="64"/>
      <c r="L540" s="64"/>
      <c r="M540" s="64"/>
      <c r="N540" s="64"/>
      <c r="O540" s="64"/>
      <c r="P540" s="64"/>
      <c r="Q540" s="64"/>
      <c r="R540" s="64"/>
      <c r="S540" s="64"/>
      <c r="T540" s="64"/>
      <c r="U540" s="64"/>
      <c r="V540" s="64"/>
      <c r="W540" s="64"/>
      <c r="X540" s="64"/>
      <c r="Y540" s="64"/>
      <c r="Z540" s="64"/>
      <c r="AA540" s="64"/>
      <c r="AB540" s="64"/>
      <c r="AC540" s="64"/>
      <c r="AD540" s="64"/>
      <c r="AE540" s="64"/>
      <c r="AF540" s="64"/>
      <c r="AG540" s="64"/>
    </row>
    <row r="541" spans="1:33">
      <c r="A541" s="25"/>
      <c r="B541" s="25"/>
      <c r="C541" s="25"/>
      <c r="D541" s="25"/>
      <c r="E541" s="62"/>
      <c r="F541" s="63"/>
      <c r="G541" s="25"/>
      <c r="H541" s="63"/>
      <c r="I541" s="63"/>
      <c r="J541" s="64"/>
      <c r="K541" s="64"/>
      <c r="L541" s="64"/>
      <c r="M541" s="64"/>
      <c r="N541" s="64"/>
      <c r="O541" s="64"/>
      <c r="P541" s="64"/>
      <c r="Q541" s="64"/>
      <c r="R541" s="64"/>
      <c r="S541" s="64"/>
      <c r="T541" s="64"/>
      <c r="U541" s="64"/>
      <c r="V541" s="64"/>
      <c r="W541" s="64"/>
      <c r="X541" s="64"/>
      <c r="Y541" s="64"/>
      <c r="Z541" s="64"/>
      <c r="AA541" s="64"/>
      <c r="AB541" s="64"/>
      <c r="AC541" s="64"/>
      <c r="AD541" s="64"/>
      <c r="AE541" s="64"/>
      <c r="AF541" s="64"/>
      <c r="AG541" s="64"/>
    </row>
    <row r="542" spans="1:33">
      <c r="A542" s="25"/>
      <c r="B542" s="25"/>
      <c r="C542" s="25"/>
      <c r="D542" s="25"/>
      <c r="E542" s="62"/>
      <c r="F542" s="63"/>
      <c r="G542" s="25"/>
      <c r="H542" s="63"/>
      <c r="I542" s="63"/>
      <c r="J542" s="64"/>
      <c r="K542" s="64"/>
      <c r="L542" s="64"/>
      <c r="M542" s="64"/>
      <c r="N542" s="64"/>
      <c r="O542" s="64"/>
      <c r="P542" s="64"/>
      <c r="Q542" s="64"/>
      <c r="R542" s="64"/>
      <c r="S542" s="64"/>
      <c r="T542" s="64"/>
      <c r="U542" s="64"/>
      <c r="V542" s="64"/>
      <c r="W542" s="64"/>
      <c r="X542" s="64"/>
      <c r="Y542" s="64"/>
      <c r="Z542" s="64"/>
      <c r="AA542" s="64"/>
      <c r="AB542" s="64"/>
      <c r="AC542" s="64"/>
      <c r="AD542" s="64"/>
      <c r="AE542" s="64"/>
      <c r="AF542" s="64"/>
      <c r="AG542" s="64"/>
    </row>
    <row r="543" spans="1:33">
      <c r="A543" s="25"/>
      <c r="B543" s="25"/>
      <c r="C543" s="25"/>
      <c r="D543" s="25"/>
      <c r="E543" s="62"/>
      <c r="F543" s="63"/>
      <c r="G543" s="25"/>
      <c r="H543" s="63"/>
      <c r="I543" s="63"/>
      <c r="J543" s="64"/>
      <c r="K543" s="64"/>
      <c r="L543" s="64"/>
      <c r="M543" s="64"/>
      <c r="N543" s="64"/>
      <c r="O543" s="64"/>
      <c r="P543" s="64"/>
      <c r="Q543" s="64"/>
      <c r="R543" s="64"/>
      <c r="S543" s="64"/>
      <c r="T543" s="64"/>
      <c r="U543" s="64"/>
      <c r="V543" s="64"/>
      <c r="W543" s="64"/>
      <c r="X543" s="64"/>
      <c r="Y543" s="64"/>
      <c r="Z543" s="64"/>
      <c r="AA543" s="64"/>
      <c r="AB543" s="64"/>
      <c r="AC543" s="64"/>
      <c r="AD543" s="64"/>
      <c r="AE543" s="64"/>
      <c r="AF543" s="64"/>
      <c r="AG543" s="64"/>
    </row>
    <row r="544" spans="1:33">
      <c r="A544" s="25"/>
      <c r="B544" s="25"/>
      <c r="C544" s="25"/>
      <c r="D544" s="25"/>
      <c r="E544" s="62"/>
      <c r="F544" s="63"/>
      <c r="G544" s="25"/>
      <c r="H544" s="63"/>
      <c r="I544" s="63"/>
      <c r="J544" s="64"/>
      <c r="K544" s="64"/>
      <c r="L544" s="64"/>
      <c r="M544" s="64"/>
      <c r="N544" s="64"/>
      <c r="O544" s="64"/>
      <c r="P544" s="64"/>
      <c r="Q544" s="64"/>
      <c r="R544" s="64"/>
      <c r="S544" s="64"/>
      <c r="T544" s="64"/>
      <c r="U544" s="64"/>
      <c r="V544" s="64"/>
      <c r="W544" s="64"/>
      <c r="X544" s="64"/>
      <c r="Y544" s="64"/>
      <c r="Z544" s="64"/>
      <c r="AA544" s="64"/>
      <c r="AB544" s="64"/>
      <c r="AC544" s="64"/>
      <c r="AD544" s="64"/>
      <c r="AE544" s="64"/>
      <c r="AF544" s="64"/>
      <c r="AG544" s="64"/>
    </row>
    <row r="545" spans="1:33">
      <c r="A545" s="25"/>
      <c r="B545" s="25"/>
      <c r="C545" s="25"/>
      <c r="D545" s="25"/>
      <c r="E545" s="62"/>
      <c r="F545" s="63"/>
      <c r="G545" s="25"/>
      <c r="H545" s="63"/>
      <c r="I545" s="63"/>
      <c r="J545" s="64"/>
      <c r="K545" s="64"/>
      <c r="L545" s="64"/>
      <c r="M545" s="64"/>
      <c r="N545" s="64"/>
      <c r="O545" s="64"/>
      <c r="P545" s="64"/>
      <c r="Q545" s="64"/>
      <c r="R545" s="64"/>
      <c r="S545" s="64"/>
      <c r="T545" s="64"/>
      <c r="U545" s="64"/>
      <c r="V545" s="64"/>
      <c r="W545" s="64"/>
      <c r="X545" s="64"/>
      <c r="Y545" s="64"/>
      <c r="Z545" s="64"/>
      <c r="AA545" s="64"/>
      <c r="AB545" s="64"/>
      <c r="AC545" s="64"/>
      <c r="AD545" s="64"/>
      <c r="AE545" s="64"/>
      <c r="AF545" s="64"/>
      <c r="AG545" s="64"/>
    </row>
    <row r="546" spans="1:33">
      <c r="A546" s="25"/>
      <c r="B546" s="25"/>
      <c r="C546" s="25"/>
      <c r="D546" s="25"/>
      <c r="E546" s="62"/>
      <c r="F546" s="63"/>
      <c r="G546" s="25"/>
      <c r="H546" s="63"/>
      <c r="I546" s="63"/>
      <c r="J546" s="64"/>
      <c r="K546" s="64"/>
      <c r="L546" s="64"/>
      <c r="M546" s="64"/>
      <c r="N546" s="64"/>
      <c r="O546" s="64"/>
      <c r="P546" s="64"/>
      <c r="Q546" s="64"/>
      <c r="R546" s="64"/>
      <c r="S546" s="64"/>
      <c r="T546" s="64"/>
      <c r="U546" s="64"/>
      <c r="V546" s="64"/>
      <c r="W546" s="64"/>
      <c r="X546" s="64"/>
      <c r="Y546" s="64"/>
      <c r="Z546" s="64"/>
      <c r="AA546" s="64"/>
      <c r="AB546" s="64"/>
      <c r="AC546" s="64"/>
      <c r="AD546" s="64"/>
      <c r="AE546" s="64"/>
      <c r="AF546" s="64"/>
      <c r="AG546" s="64"/>
    </row>
    <row r="547" spans="1:33">
      <c r="A547" s="25"/>
      <c r="B547" s="25"/>
      <c r="C547" s="25"/>
      <c r="D547" s="25"/>
      <c r="E547" s="62"/>
      <c r="F547" s="63"/>
      <c r="G547" s="25"/>
      <c r="H547" s="63"/>
      <c r="I547" s="63"/>
      <c r="J547" s="64"/>
      <c r="K547" s="64"/>
      <c r="L547" s="64"/>
      <c r="M547" s="64"/>
      <c r="N547" s="64"/>
      <c r="O547" s="64"/>
      <c r="P547" s="64"/>
      <c r="Q547" s="64"/>
      <c r="R547" s="64"/>
      <c r="S547" s="64"/>
      <c r="T547" s="64"/>
      <c r="U547" s="64"/>
      <c r="V547" s="64"/>
      <c r="W547" s="64"/>
      <c r="X547" s="64"/>
      <c r="Y547" s="64"/>
      <c r="Z547" s="64"/>
      <c r="AA547" s="64"/>
      <c r="AB547" s="64"/>
      <c r="AC547" s="64"/>
      <c r="AD547" s="64"/>
      <c r="AE547" s="64"/>
      <c r="AF547" s="64"/>
      <c r="AG547" s="64"/>
    </row>
    <row r="548" spans="1:33">
      <c r="A548" s="25"/>
      <c r="B548" s="25"/>
      <c r="C548" s="25"/>
      <c r="D548" s="25"/>
      <c r="E548" s="62"/>
      <c r="F548" s="63"/>
      <c r="G548" s="25"/>
      <c r="H548" s="63"/>
      <c r="I548" s="63"/>
      <c r="J548" s="64"/>
      <c r="K548" s="64"/>
      <c r="L548" s="64"/>
      <c r="M548" s="64"/>
      <c r="N548" s="64"/>
      <c r="O548" s="64"/>
      <c r="P548" s="64"/>
      <c r="Q548" s="64"/>
      <c r="R548" s="64"/>
      <c r="S548" s="64"/>
      <c r="T548" s="64"/>
      <c r="U548" s="64"/>
      <c r="V548" s="64"/>
      <c r="W548" s="64"/>
      <c r="X548" s="64"/>
      <c r="Y548" s="64"/>
      <c r="Z548" s="64"/>
      <c r="AA548" s="64"/>
      <c r="AB548" s="64"/>
      <c r="AC548" s="64"/>
      <c r="AD548" s="64"/>
      <c r="AE548" s="64"/>
      <c r="AF548" s="64"/>
      <c r="AG548" s="64"/>
    </row>
    <row r="549" spans="1:33">
      <c r="A549" s="25"/>
      <c r="B549" s="25"/>
      <c r="C549" s="25"/>
      <c r="D549" s="25"/>
      <c r="E549" s="62"/>
      <c r="F549" s="63"/>
      <c r="G549" s="25"/>
      <c r="H549" s="63"/>
      <c r="I549" s="63"/>
      <c r="J549" s="64"/>
      <c r="K549" s="64"/>
      <c r="L549" s="64"/>
      <c r="M549" s="64"/>
      <c r="N549" s="64"/>
      <c r="O549" s="64"/>
      <c r="P549" s="64"/>
      <c r="Q549" s="64"/>
      <c r="R549" s="64"/>
      <c r="S549" s="64"/>
      <c r="T549" s="64"/>
      <c r="U549" s="64"/>
      <c r="V549" s="64"/>
      <c r="W549" s="64"/>
      <c r="X549" s="64"/>
      <c r="Y549" s="64"/>
      <c r="Z549" s="64"/>
      <c r="AA549" s="64"/>
      <c r="AB549" s="64"/>
      <c r="AC549" s="64"/>
      <c r="AD549" s="64"/>
      <c r="AE549" s="64"/>
      <c r="AF549" s="64"/>
      <c r="AG549" s="64"/>
    </row>
    <row r="550" spans="1:33">
      <c r="A550" s="25"/>
      <c r="B550" s="25"/>
      <c r="C550" s="25"/>
      <c r="D550" s="25"/>
      <c r="E550" s="62"/>
      <c r="F550" s="63"/>
      <c r="G550" s="25"/>
      <c r="H550" s="63"/>
      <c r="I550" s="63"/>
      <c r="J550" s="64"/>
      <c r="K550" s="64"/>
      <c r="L550" s="64"/>
      <c r="M550" s="64"/>
      <c r="N550" s="64"/>
      <c r="O550" s="64"/>
      <c r="P550" s="64"/>
      <c r="Q550" s="64"/>
      <c r="R550" s="64"/>
      <c r="S550" s="64"/>
      <c r="T550" s="64"/>
      <c r="U550" s="64"/>
      <c r="V550" s="64"/>
      <c r="W550" s="64"/>
      <c r="X550" s="64"/>
      <c r="Y550" s="64"/>
      <c r="Z550" s="64"/>
      <c r="AA550" s="64"/>
      <c r="AB550" s="64"/>
      <c r="AC550" s="64"/>
      <c r="AD550" s="64"/>
      <c r="AE550" s="64"/>
      <c r="AF550" s="64"/>
      <c r="AG550" s="64"/>
    </row>
    <row r="551" spans="1:33">
      <c r="A551" s="25"/>
      <c r="B551" s="25"/>
      <c r="C551" s="25"/>
      <c r="D551" s="25"/>
      <c r="E551" s="62"/>
      <c r="F551" s="63"/>
      <c r="G551" s="25"/>
      <c r="H551" s="63"/>
      <c r="I551" s="63"/>
      <c r="J551" s="64"/>
      <c r="K551" s="64"/>
      <c r="L551" s="64"/>
      <c r="M551" s="64"/>
      <c r="N551" s="64"/>
      <c r="O551" s="64"/>
      <c r="P551" s="64"/>
      <c r="Q551" s="64"/>
      <c r="R551" s="64"/>
      <c r="S551" s="64"/>
      <c r="T551" s="64"/>
      <c r="U551" s="64"/>
      <c r="V551" s="64"/>
      <c r="W551" s="64"/>
      <c r="X551" s="64"/>
      <c r="Y551" s="64"/>
      <c r="Z551" s="64"/>
      <c r="AA551" s="64"/>
      <c r="AB551" s="64"/>
      <c r="AC551" s="64"/>
      <c r="AD551" s="64"/>
      <c r="AE551" s="64"/>
      <c r="AF551" s="64"/>
      <c r="AG551" s="64"/>
    </row>
    <row r="552" spans="1:33">
      <c r="A552" s="25"/>
      <c r="B552" s="25"/>
      <c r="C552" s="25"/>
      <c r="D552" s="25"/>
      <c r="E552" s="62"/>
      <c r="F552" s="63"/>
      <c r="G552" s="25"/>
      <c r="H552" s="63"/>
      <c r="I552" s="63"/>
      <c r="J552" s="64"/>
      <c r="K552" s="64"/>
      <c r="L552" s="64"/>
      <c r="M552" s="64"/>
      <c r="N552" s="64"/>
      <c r="O552" s="64"/>
      <c r="P552" s="64"/>
      <c r="Q552" s="64"/>
      <c r="R552" s="64"/>
      <c r="S552" s="64"/>
      <c r="T552" s="64"/>
      <c r="U552" s="64"/>
      <c r="V552" s="64"/>
      <c r="W552" s="64"/>
      <c r="X552" s="64"/>
      <c r="Y552" s="64"/>
      <c r="Z552" s="64"/>
      <c r="AA552" s="64"/>
      <c r="AB552" s="64"/>
      <c r="AC552" s="64"/>
      <c r="AD552" s="64"/>
      <c r="AE552" s="64"/>
      <c r="AF552" s="64"/>
      <c r="AG552" s="64"/>
    </row>
    <row r="553" spans="1:33">
      <c r="A553" s="25"/>
      <c r="B553" s="25"/>
      <c r="C553" s="25"/>
      <c r="D553" s="25"/>
      <c r="E553" s="62"/>
      <c r="F553" s="63"/>
      <c r="G553" s="25"/>
      <c r="H553" s="63"/>
      <c r="I553" s="63"/>
      <c r="J553" s="64"/>
      <c r="K553" s="64"/>
      <c r="L553" s="64"/>
      <c r="M553" s="64"/>
      <c r="N553" s="64"/>
      <c r="O553" s="64"/>
      <c r="P553" s="64"/>
      <c r="Q553" s="64"/>
      <c r="R553" s="64"/>
      <c r="S553" s="64"/>
      <c r="T553" s="64"/>
      <c r="U553" s="64"/>
      <c r="V553" s="64"/>
      <c r="W553" s="64"/>
      <c r="X553" s="64"/>
      <c r="Y553" s="64"/>
      <c r="Z553" s="64"/>
      <c r="AA553" s="64"/>
      <c r="AB553" s="64"/>
      <c r="AC553" s="64"/>
      <c r="AD553" s="64"/>
      <c r="AE553" s="64"/>
      <c r="AF553" s="64"/>
      <c r="AG553" s="64"/>
    </row>
    <row r="554" spans="1:33">
      <c r="A554" s="25"/>
      <c r="B554" s="25"/>
      <c r="C554" s="25"/>
      <c r="D554" s="25"/>
      <c r="E554" s="62"/>
      <c r="F554" s="63"/>
      <c r="G554" s="25"/>
      <c r="H554" s="63"/>
      <c r="I554" s="63"/>
      <c r="J554" s="64"/>
      <c r="K554" s="64"/>
      <c r="L554" s="64"/>
      <c r="M554" s="64"/>
      <c r="N554" s="64"/>
      <c r="O554" s="64"/>
      <c r="P554" s="64"/>
      <c r="Q554" s="64"/>
      <c r="R554" s="64"/>
      <c r="S554" s="64"/>
      <c r="T554" s="64"/>
      <c r="U554" s="64"/>
      <c r="V554" s="64"/>
      <c r="W554" s="64"/>
      <c r="X554" s="64"/>
      <c r="Y554" s="64"/>
      <c r="Z554" s="64"/>
      <c r="AA554" s="64"/>
      <c r="AB554" s="64"/>
      <c r="AC554" s="64"/>
      <c r="AD554" s="64"/>
      <c r="AE554" s="64"/>
      <c r="AF554" s="64"/>
      <c r="AG554" s="64"/>
    </row>
    <row r="555" spans="1:33">
      <c r="A555" s="25"/>
      <c r="B555" s="25"/>
      <c r="C555" s="25"/>
      <c r="D555" s="25"/>
      <c r="E555" s="62"/>
      <c r="F555" s="63"/>
      <c r="G555" s="25"/>
      <c r="H555" s="63"/>
      <c r="I555" s="63"/>
      <c r="J555" s="64"/>
      <c r="K555" s="64"/>
      <c r="L555" s="64"/>
      <c r="M555" s="64"/>
      <c r="N555" s="64"/>
      <c r="O555" s="64"/>
      <c r="P555" s="64"/>
      <c r="Q555" s="64"/>
      <c r="R555" s="64"/>
      <c r="S555" s="64"/>
      <c r="T555" s="64"/>
      <c r="U555" s="64"/>
      <c r="V555" s="64"/>
      <c r="W555" s="64"/>
      <c r="X555" s="64"/>
      <c r="Y555" s="64"/>
      <c r="Z555" s="64"/>
      <c r="AA555" s="64"/>
      <c r="AB555" s="64"/>
      <c r="AC555" s="64"/>
      <c r="AD555" s="64"/>
      <c r="AE555" s="64"/>
      <c r="AF555" s="64"/>
      <c r="AG555" s="64"/>
    </row>
    <row r="556" spans="1:33">
      <c r="A556" s="25"/>
      <c r="B556" s="25"/>
      <c r="C556" s="25"/>
      <c r="D556" s="25"/>
      <c r="E556" s="62"/>
      <c r="F556" s="63"/>
      <c r="G556" s="25"/>
      <c r="H556" s="63"/>
      <c r="I556" s="63"/>
      <c r="J556" s="64"/>
      <c r="K556" s="64"/>
      <c r="L556" s="64"/>
      <c r="M556" s="64"/>
      <c r="N556" s="64"/>
      <c r="O556" s="64"/>
      <c r="P556" s="64"/>
      <c r="Q556" s="64"/>
      <c r="R556" s="64"/>
      <c r="S556" s="64"/>
      <c r="T556" s="64"/>
      <c r="U556" s="64"/>
      <c r="V556" s="64"/>
      <c r="W556" s="64"/>
      <c r="X556" s="64"/>
      <c r="Y556" s="64"/>
      <c r="Z556" s="64"/>
      <c r="AA556" s="64"/>
      <c r="AB556" s="64"/>
      <c r="AC556" s="64"/>
      <c r="AD556" s="64"/>
      <c r="AE556" s="64"/>
      <c r="AF556" s="64"/>
      <c r="AG556" s="64"/>
    </row>
    <row r="557" spans="1:33">
      <c r="A557" s="25"/>
      <c r="B557" s="25"/>
      <c r="C557" s="25"/>
      <c r="D557" s="25"/>
      <c r="E557" s="62"/>
      <c r="F557" s="63"/>
      <c r="G557" s="25"/>
      <c r="H557" s="63"/>
      <c r="I557" s="63"/>
      <c r="J557" s="64"/>
      <c r="K557" s="64"/>
      <c r="L557" s="64"/>
      <c r="M557" s="64"/>
      <c r="N557" s="64"/>
      <c r="O557" s="64"/>
      <c r="P557" s="64"/>
      <c r="Q557" s="64"/>
      <c r="R557" s="64"/>
      <c r="S557" s="64"/>
      <c r="T557" s="64"/>
      <c r="U557" s="64"/>
      <c r="V557" s="64"/>
      <c r="W557" s="64"/>
      <c r="X557" s="64"/>
      <c r="Y557" s="64"/>
      <c r="Z557" s="64"/>
      <c r="AA557" s="64"/>
      <c r="AB557" s="64"/>
      <c r="AC557" s="64"/>
      <c r="AD557" s="64"/>
      <c r="AE557" s="64"/>
      <c r="AF557" s="64"/>
      <c r="AG557" s="64"/>
    </row>
    <row r="558" spans="1:33">
      <c r="A558" s="25"/>
      <c r="B558" s="25"/>
      <c r="C558" s="25"/>
      <c r="D558" s="25"/>
      <c r="E558" s="62"/>
      <c r="F558" s="63"/>
      <c r="G558" s="25"/>
      <c r="H558" s="63"/>
      <c r="I558" s="63"/>
      <c r="J558" s="64"/>
      <c r="K558" s="64"/>
      <c r="L558" s="64"/>
      <c r="M558" s="64"/>
      <c r="N558" s="64"/>
      <c r="O558" s="64"/>
      <c r="P558" s="64"/>
      <c r="Q558" s="64"/>
      <c r="R558" s="64"/>
      <c r="S558" s="64"/>
      <c r="T558" s="64"/>
      <c r="U558" s="64"/>
      <c r="V558" s="64"/>
      <c r="W558" s="64"/>
      <c r="X558" s="64"/>
      <c r="Y558" s="64"/>
      <c r="Z558" s="64"/>
      <c r="AA558" s="64"/>
      <c r="AB558" s="64"/>
      <c r="AC558" s="64"/>
      <c r="AD558" s="64"/>
      <c r="AE558" s="64"/>
      <c r="AF558" s="64"/>
      <c r="AG558" s="64"/>
    </row>
    <row r="559" spans="1:33">
      <c r="A559" s="25"/>
      <c r="B559" s="25"/>
      <c r="C559" s="25"/>
      <c r="D559" s="25"/>
      <c r="E559" s="62"/>
      <c r="F559" s="63"/>
      <c r="G559" s="25"/>
      <c r="H559" s="63"/>
      <c r="I559" s="63"/>
      <c r="J559" s="64"/>
      <c r="K559" s="64"/>
      <c r="L559" s="64"/>
      <c r="M559" s="64"/>
      <c r="N559" s="64"/>
      <c r="O559" s="64"/>
      <c r="P559" s="64"/>
      <c r="Q559" s="64"/>
      <c r="R559" s="64"/>
      <c r="S559" s="64"/>
      <c r="T559" s="64"/>
      <c r="U559" s="64"/>
      <c r="V559" s="64"/>
      <c r="W559" s="64"/>
      <c r="X559" s="64"/>
      <c r="Y559" s="64"/>
      <c r="Z559" s="64"/>
      <c r="AA559" s="64"/>
      <c r="AB559" s="64"/>
      <c r="AC559" s="64"/>
      <c r="AD559" s="64"/>
      <c r="AE559" s="64"/>
      <c r="AF559" s="64"/>
      <c r="AG559" s="64"/>
    </row>
    <row r="560" spans="1:33">
      <c r="A560" s="25"/>
      <c r="B560" s="25"/>
      <c r="C560" s="25"/>
      <c r="D560" s="25"/>
      <c r="E560" s="62"/>
      <c r="F560" s="63"/>
      <c r="G560" s="25"/>
      <c r="H560" s="63"/>
      <c r="I560" s="63"/>
      <c r="J560" s="64"/>
      <c r="K560" s="64"/>
      <c r="L560" s="64"/>
      <c r="M560" s="64"/>
      <c r="N560" s="64"/>
      <c r="O560" s="64"/>
      <c r="P560" s="64"/>
      <c r="Q560" s="64"/>
      <c r="R560" s="64"/>
      <c r="S560" s="64"/>
      <c r="T560" s="64"/>
      <c r="U560" s="64"/>
      <c r="V560" s="64"/>
      <c r="W560" s="64"/>
      <c r="X560" s="64"/>
      <c r="Y560" s="64"/>
      <c r="Z560" s="64"/>
      <c r="AA560" s="64"/>
      <c r="AB560" s="64"/>
      <c r="AC560" s="64"/>
      <c r="AD560" s="64"/>
      <c r="AE560" s="64"/>
      <c r="AF560" s="64"/>
      <c r="AG560" s="64"/>
    </row>
    <row r="561" spans="1:33">
      <c r="A561" s="25"/>
      <c r="B561" s="25"/>
      <c r="C561" s="25"/>
      <c r="D561" s="25"/>
      <c r="E561" s="62"/>
      <c r="F561" s="63"/>
      <c r="G561" s="25"/>
      <c r="H561" s="63"/>
      <c r="I561" s="63"/>
      <c r="J561" s="64"/>
      <c r="K561" s="64"/>
      <c r="L561" s="64"/>
      <c r="M561" s="64"/>
      <c r="N561" s="64"/>
      <c r="O561" s="64"/>
      <c r="P561" s="64"/>
      <c r="Q561" s="64"/>
      <c r="R561" s="64"/>
      <c r="S561" s="64"/>
      <c r="T561" s="64"/>
      <c r="U561" s="64"/>
      <c r="V561" s="64"/>
      <c r="W561" s="64"/>
      <c r="X561" s="64"/>
      <c r="Y561" s="64"/>
      <c r="Z561" s="64"/>
      <c r="AA561" s="64"/>
      <c r="AB561" s="64"/>
      <c r="AC561" s="64"/>
      <c r="AD561" s="64"/>
      <c r="AE561" s="64"/>
      <c r="AF561" s="64"/>
      <c r="AG561" s="64"/>
    </row>
    <row r="562" spans="1:33">
      <c r="A562" s="25"/>
      <c r="B562" s="25"/>
      <c r="C562" s="25"/>
      <c r="D562" s="25"/>
      <c r="E562" s="62"/>
      <c r="F562" s="63"/>
      <c r="G562" s="25"/>
      <c r="H562" s="63"/>
      <c r="I562" s="63"/>
      <c r="J562" s="64"/>
      <c r="K562" s="64"/>
      <c r="L562" s="64"/>
      <c r="M562" s="64"/>
      <c r="N562" s="64"/>
      <c r="O562" s="64"/>
      <c r="P562" s="64"/>
      <c r="Q562" s="64"/>
      <c r="R562" s="64"/>
      <c r="S562" s="64"/>
      <c r="T562" s="64"/>
      <c r="U562" s="64"/>
      <c r="V562" s="64"/>
      <c r="W562" s="64"/>
      <c r="X562" s="64"/>
      <c r="Y562" s="64"/>
      <c r="Z562" s="64"/>
      <c r="AA562" s="64"/>
      <c r="AB562" s="64"/>
      <c r="AC562" s="64"/>
      <c r="AD562" s="64"/>
      <c r="AE562" s="64"/>
      <c r="AF562" s="64"/>
      <c r="AG562" s="64"/>
    </row>
    <row r="563" spans="1:33">
      <c r="A563" s="25"/>
      <c r="B563" s="25"/>
      <c r="C563" s="25"/>
      <c r="D563" s="25"/>
      <c r="E563" s="62"/>
      <c r="F563" s="63"/>
      <c r="G563" s="25"/>
      <c r="H563" s="63"/>
      <c r="I563" s="63"/>
      <c r="J563" s="64"/>
      <c r="K563" s="64"/>
      <c r="L563" s="64"/>
      <c r="M563" s="64"/>
      <c r="N563" s="64"/>
      <c r="O563" s="64"/>
      <c r="P563" s="64"/>
      <c r="Q563" s="64"/>
      <c r="R563" s="64"/>
      <c r="S563" s="64"/>
      <c r="T563" s="64"/>
      <c r="U563" s="64"/>
      <c r="V563" s="64"/>
      <c r="W563" s="64"/>
      <c r="X563" s="64"/>
      <c r="Y563" s="64"/>
      <c r="Z563" s="64"/>
      <c r="AA563" s="64"/>
      <c r="AB563" s="64"/>
      <c r="AC563" s="64"/>
      <c r="AD563" s="64"/>
      <c r="AE563" s="64"/>
      <c r="AF563" s="64"/>
      <c r="AG563" s="64"/>
    </row>
    <row r="564" spans="1:33">
      <c r="A564" s="25"/>
      <c r="B564" s="25"/>
      <c r="C564" s="25"/>
      <c r="D564" s="25"/>
      <c r="E564" s="62"/>
      <c r="F564" s="63"/>
      <c r="G564" s="25"/>
      <c r="H564" s="63"/>
      <c r="I564" s="63"/>
      <c r="J564" s="64"/>
      <c r="K564" s="64"/>
      <c r="L564" s="64"/>
      <c r="M564" s="64"/>
      <c r="N564" s="64"/>
      <c r="O564" s="64"/>
      <c r="P564" s="64"/>
      <c r="Q564" s="64"/>
      <c r="R564" s="64"/>
      <c r="S564" s="64"/>
      <c r="T564" s="64"/>
      <c r="U564" s="64"/>
      <c r="V564" s="64"/>
      <c r="W564" s="64"/>
      <c r="X564" s="64"/>
      <c r="Y564" s="64"/>
      <c r="Z564" s="64"/>
      <c r="AA564" s="64"/>
      <c r="AB564" s="64"/>
      <c r="AC564" s="64"/>
      <c r="AD564" s="64"/>
      <c r="AE564" s="64"/>
      <c r="AF564" s="64"/>
      <c r="AG564" s="64"/>
    </row>
    <row r="565" spans="1:33">
      <c r="A565" s="25"/>
      <c r="B565" s="25"/>
      <c r="C565" s="25"/>
      <c r="D565" s="25"/>
      <c r="E565" s="62"/>
      <c r="F565" s="63"/>
      <c r="G565" s="25"/>
      <c r="H565" s="63"/>
      <c r="I565" s="63"/>
      <c r="J565" s="64"/>
      <c r="K565" s="64"/>
      <c r="L565" s="64"/>
      <c r="M565" s="64"/>
      <c r="N565" s="64"/>
      <c r="O565" s="64"/>
      <c r="P565" s="64"/>
      <c r="Q565" s="64"/>
      <c r="R565" s="64"/>
      <c r="S565" s="64"/>
      <c r="T565" s="64"/>
      <c r="U565" s="64"/>
      <c r="V565" s="64"/>
      <c r="W565" s="64"/>
      <c r="X565" s="64"/>
      <c r="Y565" s="64"/>
      <c r="Z565" s="64"/>
      <c r="AA565" s="64"/>
      <c r="AB565" s="64"/>
      <c r="AC565" s="64"/>
      <c r="AD565" s="64"/>
      <c r="AE565" s="64"/>
      <c r="AF565" s="64"/>
      <c r="AG565" s="64"/>
    </row>
    <row r="566" spans="1:33">
      <c r="A566" s="25"/>
      <c r="B566" s="25"/>
      <c r="C566" s="25"/>
      <c r="D566" s="25"/>
      <c r="E566" s="62"/>
      <c r="F566" s="63"/>
      <c r="G566" s="25"/>
      <c r="H566" s="63"/>
      <c r="I566" s="63"/>
      <c r="J566" s="64"/>
      <c r="K566" s="64"/>
      <c r="L566" s="64"/>
      <c r="M566" s="64"/>
      <c r="N566" s="64"/>
      <c r="O566" s="64"/>
      <c r="P566" s="64"/>
      <c r="Q566" s="64"/>
      <c r="R566" s="64"/>
      <c r="S566" s="64"/>
      <c r="T566" s="64"/>
      <c r="U566" s="64"/>
      <c r="V566" s="64"/>
      <c r="W566" s="64"/>
      <c r="X566" s="64"/>
      <c r="Y566" s="64"/>
      <c r="Z566" s="64"/>
      <c r="AA566" s="64"/>
      <c r="AB566" s="64"/>
      <c r="AC566" s="64"/>
      <c r="AD566" s="64"/>
      <c r="AE566" s="64"/>
      <c r="AF566" s="64"/>
      <c r="AG566" s="64"/>
    </row>
    <row r="567" spans="1:33">
      <c r="A567" s="25"/>
      <c r="B567" s="25"/>
      <c r="C567" s="25"/>
      <c r="D567" s="25"/>
      <c r="E567" s="62"/>
      <c r="F567" s="63"/>
      <c r="G567" s="25"/>
      <c r="H567" s="63"/>
      <c r="I567" s="63"/>
      <c r="J567" s="64"/>
      <c r="K567" s="64"/>
      <c r="L567" s="64"/>
      <c r="M567" s="64"/>
      <c r="N567" s="64"/>
      <c r="O567" s="64"/>
      <c r="P567" s="64"/>
      <c r="Q567" s="64"/>
      <c r="R567" s="64"/>
      <c r="S567" s="64"/>
      <c r="T567" s="64"/>
      <c r="U567" s="64"/>
      <c r="V567" s="64"/>
      <c r="W567" s="64"/>
      <c r="X567" s="64"/>
      <c r="Y567" s="64"/>
      <c r="Z567" s="64"/>
      <c r="AA567" s="64"/>
      <c r="AB567" s="64"/>
      <c r="AC567" s="64"/>
      <c r="AD567" s="64"/>
      <c r="AE567" s="64"/>
      <c r="AF567" s="64"/>
      <c r="AG567" s="64"/>
    </row>
    <row r="568" spans="1:33">
      <c r="A568" s="25"/>
      <c r="B568" s="25"/>
      <c r="C568" s="25"/>
      <c r="D568" s="25"/>
      <c r="E568" s="62"/>
      <c r="F568" s="63"/>
      <c r="G568" s="25"/>
      <c r="H568" s="63"/>
      <c r="I568" s="63"/>
      <c r="J568" s="64"/>
      <c r="K568" s="64"/>
      <c r="L568" s="64"/>
      <c r="M568" s="64"/>
      <c r="N568" s="64"/>
      <c r="O568" s="64"/>
      <c r="P568" s="64"/>
      <c r="Q568" s="64"/>
      <c r="R568" s="64"/>
      <c r="S568" s="64"/>
      <c r="T568" s="64"/>
      <c r="U568" s="64"/>
      <c r="V568" s="64"/>
      <c r="W568" s="64"/>
      <c r="X568" s="64"/>
      <c r="Y568" s="64"/>
      <c r="Z568" s="64"/>
      <c r="AA568" s="64"/>
      <c r="AB568" s="64"/>
      <c r="AC568" s="64"/>
      <c r="AD568" s="64"/>
      <c r="AE568" s="64"/>
      <c r="AF568" s="64"/>
      <c r="AG568" s="64"/>
    </row>
    <row r="569" spans="1:33">
      <c r="A569" s="25"/>
      <c r="B569" s="25"/>
      <c r="C569" s="25"/>
      <c r="D569" s="25"/>
      <c r="E569" s="62"/>
      <c r="F569" s="63"/>
      <c r="G569" s="25"/>
      <c r="H569" s="63"/>
      <c r="I569" s="63"/>
      <c r="J569" s="64"/>
      <c r="K569" s="64"/>
      <c r="L569" s="64"/>
      <c r="M569" s="64"/>
      <c r="N569" s="64"/>
      <c r="O569" s="64"/>
      <c r="P569" s="64"/>
      <c r="Q569" s="64"/>
      <c r="R569" s="64"/>
      <c r="S569" s="64"/>
      <c r="T569" s="64"/>
      <c r="U569" s="64"/>
      <c r="V569" s="64"/>
      <c r="W569" s="64"/>
      <c r="X569" s="64"/>
      <c r="Y569" s="64"/>
      <c r="Z569" s="64"/>
      <c r="AA569" s="64"/>
      <c r="AB569" s="64"/>
      <c r="AC569" s="64"/>
      <c r="AD569" s="64"/>
      <c r="AE569" s="64"/>
      <c r="AF569" s="64"/>
      <c r="AG569" s="64"/>
    </row>
    <row r="570" spans="1:33">
      <c r="A570" s="25"/>
      <c r="B570" s="25"/>
      <c r="C570" s="25"/>
      <c r="D570" s="25"/>
      <c r="E570" s="62"/>
      <c r="F570" s="63"/>
      <c r="G570" s="25"/>
      <c r="H570" s="63"/>
      <c r="I570" s="63"/>
      <c r="J570" s="64"/>
      <c r="K570" s="64"/>
      <c r="L570" s="64"/>
      <c r="M570" s="64"/>
      <c r="N570" s="64"/>
      <c r="O570" s="64"/>
      <c r="P570" s="64"/>
      <c r="Q570" s="64"/>
      <c r="R570" s="64"/>
      <c r="S570" s="64"/>
      <c r="T570" s="64"/>
      <c r="U570" s="64"/>
      <c r="V570" s="64"/>
      <c r="W570" s="64"/>
      <c r="X570" s="64"/>
      <c r="Y570" s="64"/>
      <c r="Z570" s="64"/>
      <c r="AA570" s="64"/>
      <c r="AB570" s="64"/>
      <c r="AC570" s="64"/>
      <c r="AD570" s="64"/>
      <c r="AE570" s="64"/>
      <c r="AF570" s="64"/>
      <c r="AG570" s="64"/>
    </row>
    <row r="571" spans="1:33">
      <c r="A571" s="25"/>
      <c r="B571" s="25"/>
      <c r="C571" s="25"/>
      <c r="D571" s="25"/>
      <c r="E571" s="62"/>
      <c r="F571" s="63"/>
      <c r="G571" s="25"/>
      <c r="H571" s="63"/>
      <c r="I571" s="63"/>
      <c r="J571" s="64"/>
      <c r="K571" s="64"/>
      <c r="L571" s="64"/>
      <c r="M571" s="64"/>
      <c r="N571" s="64"/>
      <c r="O571" s="64"/>
      <c r="P571" s="64"/>
      <c r="Q571" s="64"/>
      <c r="R571" s="64"/>
      <c r="S571" s="64"/>
      <c r="T571" s="64"/>
      <c r="U571" s="64"/>
      <c r="V571" s="64"/>
      <c r="W571" s="64"/>
      <c r="X571" s="64"/>
      <c r="Y571" s="64"/>
      <c r="Z571" s="64"/>
      <c r="AA571" s="64"/>
      <c r="AB571" s="64"/>
      <c r="AC571" s="64"/>
      <c r="AD571" s="64"/>
      <c r="AE571" s="64"/>
      <c r="AF571" s="64"/>
      <c r="AG571" s="64"/>
    </row>
    <row r="572" spans="1:33">
      <c r="A572" s="25"/>
      <c r="B572" s="25"/>
      <c r="C572" s="25"/>
      <c r="D572" s="25"/>
      <c r="E572" s="62"/>
      <c r="F572" s="63"/>
      <c r="G572" s="25"/>
      <c r="H572" s="63"/>
      <c r="I572" s="63"/>
      <c r="J572" s="64"/>
      <c r="K572" s="64"/>
      <c r="L572" s="64"/>
      <c r="M572" s="64"/>
      <c r="N572" s="64"/>
      <c r="O572" s="64"/>
      <c r="P572" s="64"/>
      <c r="Q572" s="64"/>
      <c r="R572" s="64"/>
      <c r="S572" s="64"/>
      <c r="T572" s="64"/>
      <c r="U572" s="64"/>
      <c r="V572" s="64"/>
      <c r="W572" s="64"/>
      <c r="X572" s="64"/>
      <c r="Y572" s="64"/>
      <c r="Z572" s="64"/>
      <c r="AA572" s="64"/>
      <c r="AB572" s="64"/>
      <c r="AC572" s="64"/>
      <c r="AD572" s="64"/>
      <c r="AE572" s="64"/>
      <c r="AF572" s="64"/>
      <c r="AG572" s="64"/>
    </row>
    <row r="573" spans="1:33">
      <c r="A573" s="25"/>
      <c r="B573" s="25"/>
      <c r="C573" s="25"/>
      <c r="D573" s="25"/>
      <c r="E573" s="62"/>
      <c r="F573" s="63"/>
      <c r="G573" s="25"/>
      <c r="H573" s="63"/>
      <c r="I573" s="63"/>
      <c r="J573" s="64"/>
      <c r="K573" s="64"/>
      <c r="L573" s="64"/>
      <c r="M573" s="64"/>
      <c r="N573" s="64"/>
      <c r="O573" s="64"/>
      <c r="P573" s="64"/>
      <c r="Q573" s="64"/>
      <c r="R573" s="64"/>
      <c r="S573" s="64"/>
      <c r="T573" s="64"/>
      <c r="U573" s="64"/>
      <c r="V573" s="64"/>
      <c r="W573" s="64"/>
      <c r="X573" s="64"/>
      <c r="Y573" s="64"/>
      <c r="Z573" s="64"/>
      <c r="AA573" s="64"/>
      <c r="AB573" s="64"/>
      <c r="AC573" s="64"/>
      <c r="AD573" s="64"/>
      <c r="AE573" s="64"/>
      <c r="AF573" s="64"/>
      <c r="AG573" s="64"/>
    </row>
    <row r="574" spans="1:33">
      <c r="A574" s="25"/>
      <c r="B574" s="25"/>
      <c r="C574" s="25"/>
      <c r="D574" s="25"/>
      <c r="E574" s="62"/>
      <c r="F574" s="63"/>
      <c r="G574" s="25"/>
      <c r="H574" s="63"/>
      <c r="I574" s="63"/>
      <c r="J574" s="64"/>
      <c r="K574" s="64"/>
      <c r="L574" s="64"/>
      <c r="M574" s="64"/>
      <c r="N574" s="64"/>
      <c r="O574" s="64"/>
      <c r="P574" s="64"/>
      <c r="Q574" s="64"/>
      <c r="R574" s="64"/>
      <c r="S574" s="64"/>
      <c r="T574" s="64"/>
      <c r="U574" s="64"/>
      <c r="V574" s="64"/>
      <c r="W574" s="64"/>
      <c r="X574" s="64"/>
      <c r="Y574" s="64"/>
      <c r="Z574" s="64"/>
      <c r="AA574" s="64"/>
      <c r="AB574" s="64"/>
      <c r="AC574" s="64"/>
      <c r="AD574" s="64"/>
      <c r="AE574" s="64"/>
      <c r="AF574" s="64"/>
      <c r="AG574" s="64"/>
    </row>
    <row r="575" spans="1:33">
      <c r="A575" s="25"/>
      <c r="B575" s="25"/>
      <c r="C575" s="25"/>
      <c r="D575" s="25"/>
      <c r="E575" s="62"/>
      <c r="F575" s="63"/>
      <c r="G575" s="25"/>
      <c r="H575" s="63"/>
      <c r="I575" s="63"/>
      <c r="J575" s="64"/>
      <c r="K575" s="64"/>
      <c r="L575" s="64"/>
      <c r="M575" s="64"/>
      <c r="N575" s="64"/>
      <c r="O575" s="64"/>
      <c r="P575" s="64"/>
      <c r="Q575" s="64"/>
      <c r="R575" s="64"/>
      <c r="S575" s="64"/>
      <c r="T575" s="64"/>
      <c r="U575" s="64"/>
      <c r="V575" s="64"/>
      <c r="W575" s="64"/>
      <c r="X575" s="64"/>
      <c r="Y575" s="64"/>
      <c r="Z575" s="64"/>
      <c r="AA575" s="64"/>
      <c r="AB575" s="64"/>
      <c r="AC575" s="64"/>
      <c r="AD575" s="64"/>
      <c r="AE575" s="64"/>
      <c r="AF575" s="64"/>
      <c r="AG575" s="64"/>
    </row>
    <row r="576" spans="1:33">
      <c r="A576" s="25"/>
      <c r="B576" s="25"/>
      <c r="C576" s="25"/>
      <c r="D576" s="25"/>
      <c r="E576" s="62"/>
      <c r="F576" s="63"/>
      <c r="G576" s="25"/>
      <c r="H576" s="63"/>
      <c r="I576" s="63"/>
      <c r="J576" s="64"/>
      <c r="K576" s="64"/>
      <c r="L576" s="64"/>
      <c r="M576" s="64"/>
      <c r="N576" s="64"/>
      <c r="O576" s="64"/>
      <c r="P576" s="64"/>
      <c r="Q576" s="64"/>
      <c r="R576" s="64"/>
      <c r="S576" s="64"/>
      <c r="T576" s="64"/>
      <c r="U576" s="64"/>
      <c r="V576" s="64"/>
      <c r="W576" s="64"/>
      <c r="X576" s="64"/>
      <c r="Y576" s="64"/>
      <c r="Z576" s="64"/>
      <c r="AA576" s="64"/>
      <c r="AB576" s="64"/>
      <c r="AC576" s="64"/>
      <c r="AD576" s="64"/>
      <c r="AE576" s="64"/>
      <c r="AF576" s="64"/>
      <c r="AG576" s="64"/>
    </row>
    <row r="577" spans="1:33">
      <c r="A577" s="25"/>
      <c r="B577" s="25"/>
      <c r="C577" s="25"/>
      <c r="D577" s="25"/>
      <c r="E577" s="62"/>
      <c r="F577" s="63"/>
      <c r="G577" s="25"/>
      <c r="H577" s="63"/>
      <c r="I577" s="63"/>
      <c r="J577" s="64"/>
      <c r="K577" s="64"/>
      <c r="L577" s="64"/>
      <c r="M577" s="64"/>
      <c r="N577" s="64"/>
      <c r="O577" s="64"/>
      <c r="P577" s="64"/>
      <c r="Q577" s="64"/>
      <c r="R577" s="64"/>
      <c r="S577" s="64"/>
      <c r="T577" s="64"/>
      <c r="U577" s="64"/>
      <c r="V577" s="64"/>
      <c r="W577" s="64"/>
      <c r="X577" s="64"/>
      <c r="Y577" s="64"/>
      <c r="Z577" s="64"/>
      <c r="AA577" s="64"/>
      <c r="AB577" s="64"/>
      <c r="AC577" s="64"/>
      <c r="AD577" s="64"/>
      <c r="AE577" s="64"/>
      <c r="AF577" s="64"/>
      <c r="AG577" s="64"/>
    </row>
    <row r="578" spans="1:33">
      <c r="A578" s="25"/>
      <c r="B578" s="25"/>
      <c r="C578" s="25"/>
      <c r="D578" s="25"/>
      <c r="E578" s="62"/>
      <c r="F578" s="63"/>
      <c r="G578" s="25"/>
      <c r="H578" s="63"/>
      <c r="I578" s="63"/>
      <c r="J578" s="64"/>
      <c r="K578" s="64"/>
      <c r="L578" s="64"/>
      <c r="M578" s="64"/>
      <c r="N578" s="64"/>
      <c r="O578" s="64"/>
      <c r="P578" s="64"/>
      <c r="Q578" s="64"/>
      <c r="R578" s="64"/>
      <c r="S578" s="64"/>
      <c r="T578" s="64"/>
      <c r="U578" s="64"/>
      <c r="V578" s="64"/>
      <c r="W578" s="64"/>
      <c r="X578" s="64"/>
      <c r="Y578" s="64"/>
      <c r="Z578" s="64"/>
      <c r="AA578" s="64"/>
      <c r="AB578" s="64"/>
      <c r="AC578" s="64"/>
      <c r="AD578" s="64"/>
      <c r="AE578" s="64"/>
      <c r="AF578" s="64"/>
      <c r="AG578" s="64"/>
    </row>
    <row r="579" spans="1:33">
      <c r="A579" s="25"/>
      <c r="B579" s="25"/>
      <c r="C579" s="25"/>
      <c r="D579" s="25"/>
      <c r="E579" s="62"/>
      <c r="F579" s="63"/>
      <c r="G579" s="25"/>
      <c r="H579" s="63"/>
      <c r="I579" s="63"/>
      <c r="J579" s="64"/>
      <c r="K579" s="64"/>
      <c r="L579" s="64"/>
      <c r="M579" s="64"/>
      <c r="N579" s="64"/>
      <c r="O579" s="64"/>
      <c r="P579" s="64"/>
      <c r="Q579" s="64"/>
      <c r="R579" s="64"/>
      <c r="S579" s="64"/>
      <c r="T579" s="64"/>
      <c r="U579" s="64"/>
      <c r="V579" s="64"/>
      <c r="W579" s="64"/>
      <c r="X579" s="64"/>
      <c r="Y579" s="64"/>
      <c r="Z579" s="64"/>
      <c r="AA579" s="64"/>
      <c r="AB579" s="64"/>
      <c r="AC579" s="64"/>
      <c r="AD579" s="64"/>
      <c r="AE579" s="64"/>
      <c r="AF579" s="64"/>
      <c r="AG579" s="64"/>
    </row>
    <row r="580" spans="1:33">
      <c r="A580" s="25"/>
      <c r="B580" s="25"/>
      <c r="C580" s="25"/>
      <c r="D580" s="25"/>
      <c r="E580" s="62"/>
      <c r="F580" s="63"/>
      <c r="G580" s="25"/>
      <c r="H580" s="63"/>
      <c r="I580" s="63"/>
      <c r="J580" s="64"/>
      <c r="K580" s="64"/>
      <c r="L580" s="64"/>
      <c r="M580" s="64"/>
      <c r="N580" s="64"/>
      <c r="O580" s="64"/>
      <c r="P580" s="64"/>
      <c r="Q580" s="64"/>
      <c r="R580" s="64"/>
      <c r="S580" s="64"/>
      <c r="T580" s="64"/>
      <c r="U580" s="64"/>
      <c r="V580" s="64"/>
      <c r="W580" s="64"/>
      <c r="X580" s="64"/>
      <c r="Y580" s="64"/>
      <c r="Z580" s="64"/>
      <c r="AA580" s="64"/>
      <c r="AB580" s="64"/>
      <c r="AC580" s="64"/>
      <c r="AD580" s="64"/>
      <c r="AE580" s="64"/>
      <c r="AF580" s="64"/>
      <c r="AG580" s="64"/>
    </row>
    <row r="581" spans="1:33">
      <c r="A581" s="25"/>
      <c r="B581" s="25"/>
      <c r="C581" s="25"/>
      <c r="D581" s="25"/>
      <c r="E581" s="62"/>
      <c r="F581" s="63"/>
      <c r="G581" s="25"/>
      <c r="H581" s="63"/>
      <c r="I581" s="63"/>
      <c r="J581" s="64"/>
      <c r="K581" s="64"/>
      <c r="L581" s="64"/>
      <c r="M581" s="64"/>
      <c r="N581" s="64"/>
      <c r="O581" s="64"/>
      <c r="P581" s="64"/>
      <c r="Q581" s="64"/>
      <c r="R581" s="64"/>
      <c r="S581" s="64"/>
      <c r="T581" s="64"/>
      <c r="U581" s="64"/>
      <c r="V581" s="64"/>
      <c r="W581" s="64"/>
      <c r="X581" s="64"/>
      <c r="Y581" s="64"/>
      <c r="Z581" s="64"/>
      <c r="AA581" s="64"/>
      <c r="AB581" s="64"/>
      <c r="AC581" s="64"/>
      <c r="AD581" s="64"/>
      <c r="AE581" s="64"/>
      <c r="AF581" s="64"/>
      <c r="AG581" s="64"/>
    </row>
    <row r="582" spans="1:33">
      <c r="A582" s="25"/>
      <c r="B582" s="25"/>
      <c r="C582" s="25"/>
      <c r="D582" s="25"/>
      <c r="E582" s="62"/>
      <c r="F582" s="63"/>
      <c r="G582" s="25"/>
      <c r="H582" s="63"/>
      <c r="I582" s="63"/>
      <c r="J582" s="64"/>
      <c r="K582" s="64"/>
      <c r="L582" s="64"/>
      <c r="M582" s="64"/>
      <c r="N582" s="64"/>
      <c r="O582" s="64"/>
      <c r="P582" s="64"/>
      <c r="Q582" s="64"/>
      <c r="R582" s="64"/>
      <c r="S582" s="64"/>
      <c r="T582" s="64"/>
      <c r="U582" s="64"/>
      <c r="V582" s="64"/>
      <c r="W582" s="64"/>
      <c r="X582" s="64"/>
      <c r="Y582" s="64"/>
      <c r="Z582" s="64"/>
      <c r="AA582" s="64"/>
      <c r="AB582" s="64"/>
      <c r="AC582" s="64"/>
      <c r="AD582" s="64"/>
      <c r="AE582" s="64"/>
      <c r="AF582" s="64"/>
      <c r="AG582" s="64"/>
    </row>
    <row r="583" spans="1:33">
      <c r="A583" s="25"/>
      <c r="B583" s="25"/>
      <c r="C583" s="25"/>
      <c r="D583" s="25"/>
      <c r="E583" s="62"/>
      <c r="F583" s="63"/>
      <c r="G583" s="25"/>
      <c r="H583" s="63"/>
      <c r="I583" s="63"/>
      <c r="J583" s="64"/>
      <c r="K583" s="64"/>
      <c r="L583" s="64"/>
      <c r="M583" s="64"/>
      <c r="N583" s="64"/>
      <c r="O583" s="64"/>
      <c r="P583" s="64"/>
      <c r="Q583" s="64"/>
      <c r="R583" s="64"/>
      <c r="S583" s="64"/>
      <c r="T583" s="64"/>
      <c r="U583" s="64"/>
      <c r="V583" s="64"/>
      <c r="W583" s="64"/>
      <c r="X583" s="64"/>
      <c r="Y583" s="64"/>
      <c r="Z583" s="64"/>
      <c r="AA583" s="64"/>
      <c r="AB583" s="64"/>
      <c r="AC583" s="64"/>
      <c r="AD583" s="64"/>
      <c r="AE583" s="64"/>
      <c r="AF583" s="64"/>
      <c r="AG583" s="64"/>
    </row>
    <row r="584" spans="1:33">
      <c r="A584" s="25"/>
      <c r="B584" s="25"/>
      <c r="C584" s="25"/>
      <c r="D584" s="25"/>
      <c r="E584" s="62"/>
      <c r="F584" s="63"/>
      <c r="G584" s="25"/>
      <c r="H584" s="63"/>
      <c r="I584" s="63"/>
      <c r="J584" s="64"/>
      <c r="K584" s="64"/>
      <c r="L584" s="64"/>
      <c r="M584" s="64"/>
      <c r="N584" s="64"/>
      <c r="O584" s="64"/>
      <c r="P584" s="64"/>
      <c r="Q584" s="64"/>
      <c r="R584" s="64"/>
      <c r="S584" s="64"/>
      <c r="T584" s="64"/>
      <c r="U584" s="64"/>
      <c r="V584" s="64"/>
      <c r="W584" s="64"/>
      <c r="X584" s="64"/>
      <c r="Y584" s="64"/>
      <c r="Z584" s="64"/>
      <c r="AA584" s="64"/>
      <c r="AB584" s="64"/>
      <c r="AC584" s="64"/>
      <c r="AD584" s="64"/>
      <c r="AE584" s="64"/>
      <c r="AF584" s="64"/>
      <c r="AG584" s="64"/>
    </row>
    <row r="585" spans="1:33">
      <c r="A585" s="25"/>
      <c r="B585" s="25"/>
      <c r="C585" s="25"/>
      <c r="D585" s="25"/>
      <c r="E585" s="62"/>
      <c r="F585" s="63"/>
      <c r="G585" s="25"/>
      <c r="H585" s="63"/>
      <c r="I585" s="63"/>
      <c r="J585" s="64"/>
      <c r="K585" s="64"/>
      <c r="L585" s="64"/>
      <c r="M585" s="64"/>
      <c r="N585" s="64"/>
      <c r="O585" s="64"/>
      <c r="P585" s="64"/>
      <c r="Q585" s="64"/>
      <c r="R585" s="64"/>
      <c r="S585" s="64"/>
      <c r="T585" s="64"/>
      <c r="U585" s="64"/>
      <c r="V585" s="64"/>
      <c r="W585" s="64"/>
      <c r="X585" s="64"/>
      <c r="Y585" s="64"/>
      <c r="Z585" s="64"/>
      <c r="AA585" s="64"/>
      <c r="AB585" s="64"/>
      <c r="AC585" s="64"/>
      <c r="AD585" s="64"/>
      <c r="AE585" s="64"/>
      <c r="AF585" s="64"/>
      <c r="AG585" s="64"/>
    </row>
    <row r="586" spans="1:33">
      <c r="A586" s="25"/>
      <c r="B586" s="25"/>
      <c r="C586" s="25"/>
      <c r="D586" s="25"/>
      <c r="E586" s="62"/>
      <c r="F586" s="63"/>
      <c r="G586" s="25"/>
      <c r="H586" s="63"/>
      <c r="I586" s="63"/>
      <c r="J586" s="64"/>
      <c r="K586" s="64"/>
      <c r="L586" s="64"/>
      <c r="M586" s="64"/>
      <c r="N586" s="64"/>
      <c r="O586" s="64"/>
      <c r="P586" s="64"/>
      <c r="Q586" s="64"/>
      <c r="R586" s="64"/>
      <c r="S586" s="64"/>
      <c r="T586" s="64"/>
      <c r="U586" s="64"/>
      <c r="V586" s="64"/>
      <c r="W586" s="64"/>
      <c r="X586" s="64"/>
      <c r="Y586" s="64"/>
      <c r="Z586" s="64"/>
      <c r="AA586" s="64"/>
      <c r="AB586" s="64"/>
      <c r="AC586" s="64"/>
      <c r="AD586" s="64"/>
      <c r="AE586" s="64"/>
      <c r="AF586" s="64"/>
      <c r="AG586" s="64"/>
    </row>
    <row r="587" spans="1:33">
      <c r="A587" s="25"/>
      <c r="B587" s="25"/>
      <c r="C587" s="25"/>
      <c r="D587" s="25"/>
      <c r="E587" s="62"/>
      <c r="F587" s="63"/>
      <c r="G587" s="25"/>
      <c r="H587" s="63"/>
      <c r="I587" s="63"/>
      <c r="J587" s="64"/>
      <c r="K587" s="64"/>
      <c r="L587" s="64"/>
      <c r="M587" s="64"/>
      <c r="N587" s="64"/>
      <c r="O587" s="64"/>
      <c r="P587" s="64"/>
      <c r="Q587" s="64"/>
      <c r="R587" s="64"/>
      <c r="S587" s="64"/>
      <c r="T587" s="64"/>
      <c r="U587" s="64"/>
      <c r="V587" s="64"/>
      <c r="W587" s="64"/>
      <c r="X587" s="64"/>
      <c r="Y587" s="64"/>
      <c r="Z587" s="64"/>
      <c r="AA587" s="64"/>
      <c r="AB587" s="64"/>
      <c r="AC587" s="64"/>
      <c r="AD587" s="64"/>
      <c r="AE587" s="64"/>
      <c r="AF587" s="64"/>
      <c r="AG587" s="64"/>
    </row>
    <row r="588" spans="1:33">
      <c r="A588" s="25"/>
      <c r="B588" s="25"/>
      <c r="C588" s="25"/>
      <c r="D588" s="25"/>
      <c r="E588" s="62"/>
      <c r="F588" s="63"/>
      <c r="G588" s="25"/>
      <c r="H588" s="63"/>
      <c r="I588" s="63"/>
      <c r="J588" s="64"/>
      <c r="K588" s="64"/>
      <c r="L588" s="64"/>
      <c r="M588" s="64"/>
      <c r="N588" s="64"/>
      <c r="O588" s="64"/>
      <c r="P588" s="64"/>
      <c r="Q588" s="64"/>
      <c r="R588" s="64"/>
      <c r="S588" s="64"/>
      <c r="T588" s="64"/>
      <c r="U588" s="64"/>
      <c r="V588" s="64"/>
      <c r="W588" s="64"/>
      <c r="X588" s="64"/>
      <c r="Y588" s="64"/>
      <c r="Z588" s="64"/>
      <c r="AA588" s="64"/>
      <c r="AB588" s="64"/>
      <c r="AC588" s="64"/>
      <c r="AD588" s="64"/>
      <c r="AE588" s="64"/>
      <c r="AF588" s="64"/>
      <c r="AG588" s="64"/>
    </row>
    <row r="589" spans="1:33">
      <c r="A589" s="25"/>
      <c r="B589" s="25"/>
      <c r="C589" s="25"/>
      <c r="D589" s="25"/>
      <c r="E589" s="62"/>
      <c r="F589" s="63"/>
      <c r="G589" s="25"/>
      <c r="H589" s="63"/>
      <c r="I589" s="63"/>
      <c r="J589" s="64"/>
      <c r="K589" s="64"/>
      <c r="L589" s="64"/>
      <c r="M589" s="64"/>
      <c r="N589" s="64"/>
      <c r="O589" s="64"/>
      <c r="P589" s="64"/>
      <c r="Q589" s="64"/>
      <c r="R589" s="64"/>
      <c r="S589" s="64"/>
      <c r="T589" s="64"/>
      <c r="U589" s="64"/>
      <c r="V589" s="64"/>
      <c r="W589" s="64"/>
      <c r="X589" s="64"/>
      <c r="Y589" s="64"/>
      <c r="Z589" s="64"/>
      <c r="AA589" s="64"/>
      <c r="AB589" s="64"/>
      <c r="AC589" s="64"/>
      <c r="AD589" s="64"/>
      <c r="AE589" s="64"/>
      <c r="AF589" s="64"/>
      <c r="AG589" s="64"/>
    </row>
    <row r="590" spans="1:33">
      <c r="A590" s="25"/>
      <c r="B590" s="25"/>
      <c r="C590" s="25"/>
      <c r="D590" s="25"/>
      <c r="E590" s="62"/>
      <c r="F590" s="63"/>
      <c r="G590" s="25"/>
      <c r="H590" s="63"/>
      <c r="I590" s="63"/>
      <c r="J590" s="64"/>
      <c r="K590" s="64"/>
      <c r="L590" s="64"/>
      <c r="M590" s="64"/>
      <c r="N590" s="64"/>
      <c r="O590" s="64"/>
      <c r="P590" s="64"/>
      <c r="Q590" s="64"/>
      <c r="R590" s="64"/>
      <c r="S590" s="64"/>
      <c r="T590" s="64"/>
      <c r="U590" s="64"/>
      <c r="V590" s="64"/>
      <c r="W590" s="64"/>
      <c r="X590" s="64"/>
      <c r="Y590" s="64"/>
      <c r="Z590" s="64"/>
      <c r="AA590" s="64"/>
      <c r="AB590" s="64"/>
      <c r="AC590" s="64"/>
      <c r="AD590" s="64"/>
      <c r="AE590" s="64"/>
      <c r="AF590" s="64"/>
      <c r="AG590" s="64"/>
    </row>
    <row r="591" spans="1:33">
      <c r="A591" s="25"/>
      <c r="B591" s="25"/>
      <c r="C591" s="25"/>
      <c r="D591" s="25"/>
      <c r="E591" s="62"/>
      <c r="F591" s="63"/>
      <c r="G591" s="25"/>
      <c r="H591" s="63"/>
      <c r="I591" s="63"/>
      <c r="J591" s="64"/>
      <c r="K591" s="64"/>
      <c r="L591" s="64"/>
      <c r="M591" s="64"/>
      <c r="N591" s="64"/>
      <c r="O591" s="64"/>
      <c r="P591" s="64"/>
      <c r="Q591" s="64"/>
      <c r="R591" s="64"/>
      <c r="S591" s="64"/>
      <c r="T591" s="64"/>
      <c r="U591" s="64"/>
      <c r="V591" s="64"/>
      <c r="W591" s="64"/>
      <c r="X591" s="64"/>
      <c r="Y591" s="64"/>
      <c r="Z591" s="64"/>
      <c r="AA591" s="64"/>
      <c r="AB591" s="64"/>
      <c r="AC591" s="64"/>
      <c r="AD591" s="64"/>
      <c r="AE591" s="64"/>
      <c r="AF591" s="64"/>
      <c r="AG591" s="64"/>
    </row>
    <row r="592" spans="1:33">
      <c r="A592" s="25"/>
      <c r="B592" s="25"/>
      <c r="C592" s="25"/>
      <c r="D592" s="25"/>
      <c r="E592" s="62"/>
      <c r="F592" s="63"/>
      <c r="G592" s="25"/>
      <c r="H592" s="63"/>
      <c r="I592" s="63"/>
      <c r="J592" s="64"/>
      <c r="K592" s="64"/>
      <c r="L592" s="64"/>
      <c r="M592" s="64"/>
      <c r="N592" s="64"/>
      <c r="O592" s="64"/>
      <c r="P592" s="64"/>
      <c r="Q592" s="64"/>
      <c r="R592" s="64"/>
      <c r="S592" s="64"/>
      <c r="T592" s="64"/>
      <c r="U592" s="64"/>
      <c r="V592" s="64"/>
      <c r="W592" s="64"/>
      <c r="X592" s="64"/>
      <c r="Y592" s="64"/>
      <c r="Z592" s="64"/>
      <c r="AA592" s="64"/>
      <c r="AB592" s="64"/>
      <c r="AC592" s="64"/>
      <c r="AD592" s="64"/>
      <c r="AE592" s="64"/>
      <c r="AF592" s="64"/>
      <c r="AG592" s="64"/>
    </row>
    <row r="593" spans="1:33">
      <c r="A593" s="25"/>
      <c r="B593" s="25"/>
      <c r="C593" s="25"/>
      <c r="D593" s="25"/>
      <c r="E593" s="62"/>
      <c r="F593" s="63"/>
      <c r="G593" s="25"/>
      <c r="H593" s="63"/>
      <c r="I593" s="63"/>
      <c r="J593" s="64"/>
      <c r="K593" s="64"/>
      <c r="L593" s="64"/>
      <c r="M593" s="64"/>
      <c r="N593" s="64"/>
      <c r="O593" s="64"/>
      <c r="P593" s="64"/>
      <c r="Q593" s="64"/>
      <c r="R593" s="64"/>
      <c r="S593" s="64"/>
      <c r="T593" s="64"/>
      <c r="U593" s="64"/>
      <c r="V593" s="64"/>
      <c r="W593" s="64"/>
      <c r="X593" s="64"/>
      <c r="Y593" s="64"/>
      <c r="Z593" s="64"/>
      <c r="AA593" s="64"/>
      <c r="AB593" s="64"/>
      <c r="AC593" s="64"/>
      <c r="AD593" s="64"/>
      <c r="AE593" s="64"/>
      <c r="AF593" s="64"/>
      <c r="AG593" s="64"/>
    </row>
    <row r="594" spans="1:33">
      <c r="A594" s="25"/>
      <c r="B594" s="25"/>
      <c r="C594" s="25"/>
      <c r="D594" s="25"/>
      <c r="E594" s="62"/>
      <c r="F594" s="63"/>
      <c r="G594" s="25"/>
      <c r="H594" s="63"/>
      <c r="I594" s="63"/>
      <c r="J594" s="64"/>
      <c r="K594" s="64"/>
      <c r="L594" s="64"/>
      <c r="M594" s="64"/>
      <c r="N594" s="64"/>
      <c r="O594" s="64"/>
      <c r="P594" s="64"/>
      <c r="Q594" s="64"/>
      <c r="R594" s="64"/>
      <c r="S594" s="64"/>
      <c r="T594" s="64"/>
      <c r="U594" s="64"/>
      <c r="V594" s="64"/>
      <c r="W594" s="64"/>
      <c r="X594" s="64"/>
      <c r="Y594" s="64"/>
      <c r="Z594" s="64"/>
      <c r="AA594" s="64"/>
      <c r="AB594" s="64"/>
      <c r="AC594" s="64"/>
      <c r="AD594" s="64"/>
      <c r="AE594" s="64"/>
      <c r="AF594" s="64"/>
      <c r="AG594" s="64"/>
    </row>
    <row r="595" spans="1:33">
      <c r="A595" s="25"/>
      <c r="B595" s="25"/>
      <c r="C595" s="25"/>
      <c r="D595" s="25"/>
      <c r="E595" s="62"/>
      <c r="F595" s="63"/>
      <c r="G595" s="25"/>
      <c r="H595" s="63"/>
      <c r="I595" s="63"/>
      <c r="J595" s="64"/>
      <c r="K595" s="64"/>
      <c r="L595" s="64"/>
      <c r="M595" s="64"/>
      <c r="N595" s="64"/>
      <c r="O595" s="64"/>
      <c r="P595" s="64"/>
      <c r="Q595" s="64"/>
      <c r="R595" s="64"/>
      <c r="S595" s="64"/>
      <c r="T595" s="64"/>
      <c r="U595" s="64"/>
      <c r="V595" s="64"/>
      <c r="W595" s="64"/>
      <c r="X595" s="64"/>
      <c r="Y595" s="64"/>
      <c r="Z595" s="64"/>
      <c r="AA595" s="64"/>
      <c r="AB595" s="64"/>
      <c r="AC595" s="64"/>
      <c r="AD595" s="64"/>
      <c r="AE595" s="64"/>
      <c r="AF595" s="64"/>
      <c r="AG595" s="64"/>
    </row>
    <row r="596" spans="1:33">
      <c r="A596" s="25"/>
      <c r="B596" s="25"/>
      <c r="C596" s="25"/>
      <c r="D596" s="25"/>
      <c r="E596" s="62"/>
      <c r="F596" s="63"/>
      <c r="G596" s="25"/>
      <c r="H596" s="63"/>
      <c r="I596" s="63"/>
      <c r="J596" s="64"/>
      <c r="K596" s="64"/>
      <c r="L596" s="64"/>
      <c r="M596" s="64"/>
      <c r="N596" s="64"/>
      <c r="O596" s="64"/>
      <c r="P596" s="64"/>
      <c r="Q596" s="64"/>
      <c r="R596" s="64"/>
      <c r="S596" s="64"/>
      <c r="T596" s="64"/>
      <c r="U596" s="64"/>
      <c r="V596" s="64"/>
      <c r="W596" s="64"/>
      <c r="X596" s="64"/>
      <c r="Y596" s="64"/>
      <c r="Z596" s="64"/>
      <c r="AA596" s="64"/>
      <c r="AB596" s="64"/>
      <c r="AC596" s="64"/>
      <c r="AD596" s="64"/>
      <c r="AE596" s="64"/>
      <c r="AF596" s="64"/>
      <c r="AG596" s="64"/>
    </row>
    <row r="597" spans="1:33">
      <c r="A597" s="25"/>
      <c r="B597" s="25"/>
      <c r="C597" s="25"/>
      <c r="D597" s="25"/>
      <c r="E597" s="62"/>
      <c r="F597" s="63"/>
      <c r="G597" s="25"/>
      <c r="H597" s="63"/>
      <c r="I597" s="63"/>
      <c r="J597" s="64"/>
      <c r="K597" s="64"/>
      <c r="L597" s="64"/>
      <c r="M597" s="64"/>
      <c r="N597" s="64"/>
      <c r="O597" s="64"/>
      <c r="P597" s="64"/>
      <c r="Q597" s="64"/>
      <c r="R597" s="64"/>
      <c r="S597" s="64"/>
      <c r="T597" s="64"/>
      <c r="U597" s="64"/>
      <c r="V597" s="64"/>
      <c r="W597" s="64"/>
      <c r="X597" s="64"/>
      <c r="Y597" s="64"/>
      <c r="Z597" s="64"/>
      <c r="AA597" s="64"/>
      <c r="AB597" s="64"/>
      <c r="AC597" s="64"/>
      <c r="AD597" s="64"/>
      <c r="AE597" s="64"/>
      <c r="AF597" s="64"/>
      <c r="AG597" s="64"/>
    </row>
    <row r="598" spans="1:33">
      <c r="A598" s="25"/>
      <c r="B598" s="25"/>
      <c r="C598" s="25"/>
      <c r="D598" s="25"/>
      <c r="E598" s="62"/>
      <c r="F598" s="63"/>
      <c r="G598" s="25"/>
      <c r="H598" s="63"/>
      <c r="I598" s="63"/>
      <c r="J598" s="64"/>
      <c r="K598" s="64"/>
      <c r="L598" s="64"/>
      <c r="M598" s="64"/>
      <c r="N598" s="64"/>
      <c r="O598" s="64"/>
      <c r="P598" s="64"/>
      <c r="Q598" s="64"/>
      <c r="R598" s="64"/>
      <c r="S598" s="64"/>
      <c r="T598" s="64"/>
      <c r="U598" s="64"/>
      <c r="V598" s="64"/>
      <c r="W598" s="64"/>
      <c r="X598" s="64"/>
      <c r="Y598" s="64"/>
      <c r="Z598" s="64"/>
      <c r="AA598" s="64"/>
      <c r="AB598" s="64"/>
      <c r="AC598" s="64"/>
      <c r="AD598" s="64"/>
      <c r="AE598" s="64"/>
      <c r="AF598" s="64"/>
      <c r="AG598" s="64"/>
    </row>
    <row r="599" spans="1:33">
      <c r="A599" s="25"/>
      <c r="B599" s="25"/>
      <c r="C599" s="25"/>
      <c r="D599" s="25"/>
      <c r="E599" s="62"/>
      <c r="F599" s="63"/>
      <c r="G599" s="25"/>
      <c r="H599" s="63"/>
      <c r="I599" s="63"/>
      <c r="J599" s="64"/>
      <c r="K599" s="64"/>
      <c r="L599" s="64"/>
      <c r="M599" s="64"/>
      <c r="N599" s="64"/>
      <c r="O599" s="64"/>
      <c r="P599" s="64"/>
      <c r="Q599" s="64"/>
      <c r="R599" s="64"/>
      <c r="S599" s="64"/>
      <c r="T599" s="64"/>
      <c r="U599" s="64"/>
      <c r="V599" s="64"/>
      <c r="W599" s="64"/>
      <c r="X599" s="64"/>
      <c r="Y599" s="64"/>
      <c r="Z599" s="64"/>
      <c r="AA599" s="64"/>
      <c r="AB599" s="64"/>
      <c r="AC599" s="64"/>
      <c r="AD599" s="64"/>
      <c r="AE599" s="64"/>
      <c r="AF599" s="64"/>
      <c r="AG599" s="64"/>
    </row>
    <row r="600" spans="1:33">
      <c r="A600" s="25"/>
      <c r="B600" s="25"/>
      <c r="C600" s="25"/>
      <c r="D600" s="25"/>
      <c r="E600" s="62"/>
      <c r="F600" s="63"/>
      <c r="G600" s="25"/>
      <c r="H600" s="63"/>
      <c r="I600" s="63"/>
      <c r="J600" s="64"/>
      <c r="K600" s="64"/>
      <c r="L600" s="64"/>
      <c r="M600" s="64"/>
      <c r="N600" s="64"/>
      <c r="O600" s="64"/>
      <c r="P600" s="64"/>
      <c r="Q600" s="64"/>
      <c r="R600" s="64"/>
      <c r="S600" s="64"/>
      <c r="T600" s="64"/>
      <c r="U600" s="64"/>
      <c r="V600" s="64"/>
      <c r="W600" s="64"/>
      <c r="X600" s="64"/>
      <c r="Y600" s="64"/>
      <c r="Z600" s="64"/>
      <c r="AA600" s="64"/>
      <c r="AB600" s="64"/>
      <c r="AC600" s="64"/>
      <c r="AD600" s="64"/>
      <c r="AE600" s="64"/>
      <c r="AF600" s="64"/>
      <c r="AG600" s="64"/>
    </row>
    <row r="601" spans="1:33">
      <c r="A601" s="25"/>
      <c r="B601" s="25"/>
      <c r="C601" s="25"/>
      <c r="D601" s="25"/>
      <c r="E601" s="62"/>
      <c r="F601" s="63"/>
      <c r="G601" s="25"/>
      <c r="H601" s="63"/>
      <c r="I601" s="63"/>
      <c r="J601" s="64"/>
      <c r="K601" s="64"/>
      <c r="L601" s="64"/>
      <c r="M601" s="64"/>
      <c r="N601" s="64"/>
      <c r="O601" s="64"/>
      <c r="P601" s="64"/>
      <c r="Q601" s="64"/>
      <c r="R601" s="64"/>
      <c r="S601" s="64"/>
      <c r="T601" s="64"/>
      <c r="U601" s="64"/>
      <c r="V601" s="64"/>
      <c r="W601" s="64"/>
      <c r="X601" s="64"/>
      <c r="Y601" s="64"/>
      <c r="Z601" s="64"/>
      <c r="AA601" s="64"/>
      <c r="AB601" s="64"/>
      <c r="AC601" s="64"/>
      <c r="AD601" s="64"/>
      <c r="AE601" s="64"/>
      <c r="AF601" s="64"/>
      <c r="AG601" s="64"/>
    </row>
    <row r="602" spans="1:33">
      <c r="A602" s="25"/>
      <c r="B602" s="25"/>
      <c r="C602" s="25"/>
      <c r="D602" s="25"/>
      <c r="E602" s="62"/>
      <c r="F602" s="63"/>
      <c r="G602" s="25"/>
      <c r="H602" s="63"/>
      <c r="I602" s="63"/>
      <c r="J602" s="64"/>
      <c r="K602" s="64"/>
      <c r="L602" s="64"/>
      <c r="M602" s="64"/>
      <c r="N602" s="64"/>
      <c r="O602" s="64"/>
      <c r="P602" s="64"/>
      <c r="Q602" s="64"/>
      <c r="R602" s="64"/>
      <c r="S602" s="64"/>
      <c r="T602" s="64"/>
      <c r="U602" s="64"/>
      <c r="V602" s="64"/>
      <c r="W602" s="64"/>
      <c r="X602" s="64"/>
      <c r="Y602" s="64"/>
      <c r="Z602" s="64"/>
      <c r="AA602" s="64"/>
      <c r="AB602" s="64"/>
      <c r="AC602" s="64"/>
      <c r="AD602" s="64"/>
      <c r="AE602" s="64"/>
      <c r="AF602" s="64"/>
      <c r="AG602" s="64"/>
    </row>
    <row r="603" spans="1:33">
      <c r="A603" s="25"/>
      <c r="B603" s="25"/>
      <c r="C603" s="25"/>
      <c r="D603" s="25"/>
      <c r="E603" s="62"/>
      <c r="F603" s="63"/>
      <c r="G603" s="25"/>
      <c r="H603" s="63"/>
      <c r="I603" s="63"/>
      <c r="J603" s="64"/>
      <c r="K603" s="64"/>
      <c r="L603" s="64"/>
      <c r="M603" s="64"/>
      <c r="N603" s="64"/>
      <c r="O603" s="64"/>
      <c r="P603" s="64"/>
      <c r="Q603" s="64"/>
      <c r="R603" s="64"/>
      <c r="S603" s="64"/>
      <c r="T603" s="64"/>
      <c r="U603" s="64"/>
      <c r="V603" s="64"/>
      <c r="W603" s="64"/>
      <c r="X603" s="64"/>
      <c r="Y603" s="64"/>
      <c r="Z603" s="64"/>
      <c r="AA603" s="64"/>
      <c r="AB603" s="64"/>
      <c r="AC603" s="64"/>
      <c r="AD603" s="64"/>
      <c r="AE603" s="64"/>
      <c r="AF603" s="64"/>
      <c r="AG603" s="64"/>
    </row>
    <row r="604" spans="1:33">
      <c r="A604" s="25"/>
      <c r="B604" s="25"/>
      <c r="C604" s="25"/>
      <c r="D604" s="25"/>
      <c r="E604" s="62"/>
      <c r="F604" s="63"/>
      <c r="G604" s="25"/>
      <c r="H604" s="63"/>
      <c r="I604" s="63"/>
      <c r="J604" s="64"/>
      <c r="K604" s="64"/>
      <c r="L604" s="64"/>
      <c r="M604" s="64"/>
      <c r="N604" s="64"/>
      <c r="O604" s="64"/>
      <c r="P604" s="64"/>
      <c r="Q604" s="64"/>
      <c r="R604" s="64"/>
      <c r="S604" s="64"/>
      <c r="T604" s="64"/>
      <c r="U604" s="64"/>
      <c r="V604" s="64"/>
      <c r="W604" s="64"/>
      <c r="X604" s="64"/>
      <c r="Y604" s="64"/>
      <c r="Z604" s="64"/>
      <c r="AA604" s="64"/>
      <c r="AB604" s="64"/>
      <c r="AC604" s="64"/>
      <c r="AD604" s="64"/>
      <c r="AE604" s="64"/>
      <c r="AF604" s="64"/>
      <c r="AG604" s="64"/>
    </row>
    <row r="605" spans="1:33">
      <c r="A605" s="25"/>
      <c r="B605" s="25"/>
      <c r="C605" s="25"/>
      <c r="D605" s="25"/>
      <c r="E605" s="62"/>
      <c r="F605" s="63"/>
      <c r="G605" s="25"/>
      <c r="H605" s="63"/>
      <c r="I605" s="63"/>
      <c r="J605" s="64"/>
      <c r="K605" s="64"/>
      <c r="L605" s="64"/>
      <c r="M605" s="64"/>
      <c r="N605" s="64"/>
      <c r="O605" s="64"/>
      <c r="P605" s="64"/>
      <c r="Q605" s="64"/>
      <c r="R605" s="64"/>
      <c r="S605" s="64"/>
      <c r="T605" s="64"/>
      <c r="U605" s="64"/>
      <c r="V605" s="64"/>
      <c r="W605" s="64"/>
      <c r="X605" s="64"/>
      <c r="Y605" s="64"/>
      <c r="Z605" s="64"/>
      <c r="AA605" s="64"/>
      <c r="AB605" s="64"/>
      <c r="AC605" s="64"/>
      <c r="AD605" s="64"/>
      <c r="AE605" s="64"/>
      <c r="AF605" s="64"/>
      <c r="AG605" s="64"/>
    </row>
    <row r="606" spans="1:33">
      <c r="A606" s="25"/>
      <c r="B606" s="25"/>
      <c r="C606" s="25"/>
      <c r="D606" s="25"/>
      <c r="E606" s="62"/>
      <c r="F606" s="63"/>
      <c r="G606" s="25"/>
      <c r="H606" s="63"/>
      <c r="I606" s="63"/>
      <c r="J606" s="64"/>
      <c r="K606" s="64"/>
      <c r="L606" s="64"/>
      <c r="M606" s="64"/>
      <c r="N606" s="64"/>
      <c r="O606" s="64"/>
      <c r="P606" s="64"/>
      <c r="Q606" s="64"/>
      <c r="R606" s="64"/>
      <c r="S606" s="64"/>
      <c r="T606" s="64"/>
      <c r="U606" s="64"/>
      <c r="V606" s="64"/>
      <c r="W606" s="64"/>
      <c r="X606" s="64"/>
      <c r="Y606" s="64"/>
      <c r="Z606" s="64"/>
      <c r="AA606" s="64"/>
      <c r="AB606" s="64"/>
      <c r="AC606" s="64"/>
      <c r="AD606" s="64"/>
      <c r="AE606" s="64"/>
      <c r="AF606" s="64"/>
      <c r="AG606" s="64"/>
    </row>
    <row r="607" spans="1:33">
      <c r="A607" s="25"/>
      <c r="B607" s="25"/>
      <c r="C607" s="25"/>
      <c r="D607" s="25"/>
      <c r="E607" s="62"/>
      <c r="F607" s="63"/>
      <c r="G607" s="25"/>
      <c r="H607" s="63"/>
      <c r="I607" s="63"/>
      <c r="J607" s="64"/>
      <c r="K607" s="64"/>
      <c r="L607" s="64"/>
      <c r="M607" s="64"/>
      <c r="N607" s="64"/>
      <c r="O607" s="64"/>
      <c r="P607" s="64"/>
      <c r="Q607" s="64"/>
      <c r="R607" s="64"/>
      <c r="S607" s="64"/>
      <c r="T607" s="64"/>
      <c r="U607" s="64"/>
      <c r="V607" s="64"/>
      <c r="W607" s="64"/>
      <c r="X607" s="64"/>
      <c r="Y607" s="64"/>
      <c r="Z607" s="64"/>
      <c r="AA607" s="64"/>
      <c r="AB607" s="64"/>
      <c r="AC607" s="64"/>
      <c r="AD607" s="64"/>
      <c r="AE607" s="64"/>
      <c r="AF607" s="64"/>
      <c r="AG607" s="64"/>
    </row>
    <row r="608" spans="1:33">
      <c r="A608" s="25"/>
      <c r="B608" s="25"/>
      <c r="C608" s="25"/>
      <c r="D608" s="25"/>
      <c r="E608" s="62"/>
      <c r="F608" s="63"/>
      <c r="G608" s="25"/>
      <c r="H608" s="63"/>
      <c r="I608" s="63"/>
      <c r="J608" s="64"/>
      <c r="K608" s="64"/>
      <c r="L608" s="64"/>
      <c r="M608" s="64"/>
      <c r="N608" s="64"/>
      <c r="O608" s="64"/>
      <c r="P608" s="64"/>
      <c r="Q608" s="64"/>
      <c r="R608" s="64"/>
      <c r="S608" s="64"/>
      <c r="T608" s="64"/>
      <c r="U608" s="64"/>
      <c r="V608" s="64"/>
      <c r="W608" s="64"/>
      <c r="X608" s="64"/>
      <c r="Y608" s="64"/>
      <c r="Z608" s="64"/>
      <c r="AA608" s="64"/>
      <c r="AB608" s="64"/>
      <c r="AC608" s="64"/>
      <c r="AD608" s="64"/>
      <c r="AE608" s="64"/>
      <c r="AF608" s="64"/>
      <c r="AG608" s="64"/>
    </row>
    <row r="609" spans="1:33">
      <c r="A609" s="25"/>
      <c r="B609" s="25"/>
      <c r="C609" s="25"/>
      <c r="D609" s="25"/>
      <c r="E609" s="62"/>
      <c r="F609" s="63"/>
      <c r="G609" s="25"/>
      <c r="H609" s="63"/>
      <c r="I609" s="63"/>
      <c r="J609" s="64"/>
      <c r="K609" s="64"/>
      <c r="L609" s="64"/>
      <c r="M609" s="64"/>
      <c r="N609" s="64"/>
      <c r="O609" s="64"/>
      <c r="P609" s="64"/>
      <c r="Q609" s="64"/>
      <c r="R609" s="64"/>
      <c r="S609" s="64"/>
      <c r="T609" s="64"/>
      <c r="U609" s="64"/>
      <c r="V609" s="64"/>
      <c r="W609" s="64"/>
      <c r="X609" s="64"/>
      <c r="Y609" s="64"/>
      <c r="Z609" s="64"/>
      <c r="AA609" s="64"/>
      <c r="AB609" s="64"/>
      <c r="AC609" s="64"/>
      <c r="AD609" s="64"/>
      <c r="AE609" s="64"/>
      <c r="AF609" s="64"/>
      <c r="AG609" s="64"/>
    </row>
    <row r="610" spans="1:33">
      <c r="A610" s="25"/>
      <c r="B610" s="25"/>
      <c r="C610" s="25"/>
      <c r="D610" s="25"/>
      <c r="E610" s="62"/>
      <c r="F610" s="63"/>
      <c r="G610" s="25"/>
      <c r="H610" s="63"/>
      <c r="I610" s="63"/>
      <c r="J610" s="64"/>
      <c r="K610" s="64"/>
      <c r="L610" s="64"/>
      <c r="M610" s="64"/>
      <c r="N610" s="64"/>
      <c r="O610" s="64"/>
      <c r="P610" s="64"/>
      <c r="Q610" s="64"/>
      <c r="R610" s="64"/>
      <c r="S610" s="64"/>
      <c r="T610" s="64"/>
      <c r="U610" s="64"/>
      <c r="V610" s="64"/>
      <c r="W610" s="64"/>
      <c r="X610" s="64"/>
      <c r="Y610" s="64"/>
      <c r="Z610" s="64"/>
      <c r="AA610" s="64"/>
      <c r="AB610" s="64"/>
      <c r="AC610" s="64"/>
      <c r="AD610" s="64"/>
      <c r="AE610" s="64"/>
      <c r="AF610" s="64"/>
      <c r="AG610" s="64"/>
    </row>
    <row r="611" spans="1:33">
      <c r="A611" s="25"/>
      <c r="B611" s="25"/>
      <c r="C611" s="25"/>
      <c r="D611" s="25"/>
      <c r="E611" s="62"/>
      <c r="F611" s="63"/>
      <c r="G611" s="25"/>
      <c r="H611" s="63"/>
      <c r="I611" s="63"/>
      <c r="J611" s="64"/>
      <c r="K611" s="64"/>
      <c r="L611" s="64"/>
      <c r="M611" s="64"/>
      <c r="N611" s="64"/>
      <c r="O611" s="64"/>
      <c r="P611" s="64"/>
      <c r="Q611" s="64"/>
      <c r="R611" s="64"/>
      <c r="S611" s="64"/>
      <c r="T611" s="64"/>
      <c r="U611" s="64"/>
      <c r="V611" s="64"/>
      <c r="W611" s="64"/>
      <c r="X611" s="64"/>
      <c r="Y611" s="64"/>
      <c r="Z611" s="64"/>
      <c r="AA611" s="64"/>
      <c r="AB611" s="64"/>
      <c r="AC611" s="64"/>
      <c r="AD611" s="64"/>
      <c r="AE611" s="64"/>
      <c r="AF611" s="64"/>
      <c r="AG611" s="64"/>
    </row>
    <row r="612" spans="1:33">
      <c r="A612" s="25"/>
      <c r="B612" s="25"/>
      <c r="C612" s="25"/>
      <c r="D612" s="25"/>
      <c r="E612" s="62"/>
      <c r="F612" s="63"/>
      <c r="G612" s="25"/>
      <c r="H612" s="63"/>
      <c r="I612" s="63"/>
      <c r="J612" s="64"/>
      <c r="K612" s="64"/>
      <c r="L612" s="64"/>
      <c r="M612" s="64"/>
      <c r="N612" s="64"/>
      <c r="O612" s="64"/>
      <c r="P612" s="64"/>
      <c r="Q612" s="64"/>
      <c r="R612" s="64"/>
      <c r="S612" s="64"/>
      <c r="T612" s="64"/>
      <c r="U612" s="64"/>
      <c r="V612" s="64"/>
      <c r="W612" s="64"/>
      <c r="X612" s="64"/>
      <c r="Y612" s="64"/>
      <c r="Z612" s="64"/>
      <c r="AA612" s="64"/>
      <c r="AB612" s="64"/>
      <c r="AC612" s="64"/>
      <c r="AD612" s="64"/>
      <c r="AE612" s="64"/>
      <c r="AF612" s="64"/>
      <c r="AG612" s="64"/>
    </row>
    <row r="613" spans="1:33">
      <c r="A613" s="25"/>
      <c r="B613" s="25"/>
      <c r="C613" s="25"/>
      <c r="D613" s="25"/>
      <c r="E613" s="62"/>
      <c r="F613" s="63"/>
      <c r="G613" s="25"/>
      <c r="H613" s="63"/>
      <c r="I613" s="63"/>
      <c r="J613" s="64"/>
      <c r="K613" s="64"/>
      <c r="L613" s="64"/>
      <c r="M613" s="64"/>
      <c r="N613" s="64"/>
      <c r="O613" s="64"/>
      <c r="P613" s="64"/>
      <c r="Q613" s="64"/>
      <c r="R613" s="64"/>
      <c r="S613" s="64"/>
      <c r="T613" s="64"/>
      <c r="U613" s="64"/>
      <c r="V613" s="64"/>
      <c r="W613" s="64"/>
      <c r="X613" s="64"/>
      <c r="Y613" s="64"/>
      <c r="Z613" s="64"/>
      <c r="AA613" s="64"/>
      <c r="AB613" s="64"/>
      <c r="AC613" s="64"/>
      <c r="AD613" s="64"/>
      <c r="AE613" s="64"/>
      <c r="AF613" s="64"/>
      <c r="AG613" s="64"/>
    </row>
    <row r="614" spans="1:33">
      <c r="A614" s="25"/>
      <c r="B614" s="25"/>
      <c r="C614" s="25"/>
      <c r="D614" s="25"/>
      <c r="E614" s="62"/>
      <c r="F614" s="63"/>
      <c r="G614" s="25"/>
      <c r="H614" s="63"/>
      <c r="I614" s="63"/>
      <c r="J614" s="64"/>
      <c r="K614" s="64"/>
      <c r="L614" s="64"/>
      <c r="M614" s="64"/>
      <c r="N614" s="64"/>
      <c r="O614" s="64"/>
      <c r="P614" s="64"/>
      <c r="Q614" s="64"/>
      <c r="R614" s="64"/>
      <c r="S614" s="64"/>
      <c r="T614" s="64"/>
      <c r="U614" s="64"/>
      <c r="V614" s="64"/>
      <c r="W614" s="64"/>
      <c r="X614" s="64"/>
      <c r="Y614" s="64"/>
      <c r="Z614" s="64"/>
      <c r="AA614" s="64"/>
      <c r="AB614" s="64"/>
      <c r="AC614" s="64"/>
      <c r="AD614" s="64"/>
      <c r="AE614" s="64"/>
      <c r="AF614" s="64"/>
      <c r="AG614" s="64"/>
    </row>
    <row r="615" spans="1:33">
      <c r="A615" s="25"/>
      <c r="B615" s="25"/>
      <c r="C615" s="25"/>
      <c r="D615" s="25"/>
      <c r="E615" s="62"/>
      <c r="F615" s="63"/>
      <c r="G615" s="25"/>
      <c r="H615" s="63"/>
      <c r="I615" s="63"/>
      <c r="J615" s="64"/>
      <c r="K615" s="64"/>
      <c r="L615" s="64"/>
      <c r="M615" s="64"/>
      <c r="N615" s="64"/>
      <c r="O615" s="64"/>
      <c r="P615" s="64"/>
      <c r="Q615" s="64"/>
      <c r="R615" s="64"/>
      <c r="S615" s="64"/>
      <c r="T615" s="64"/>
      <c r="U615" s="64"/>
      <c r="V615" s="64"/>
      <c r="W615" s="64"/>
      <c r="X615" s="64"/>
      <c r="Y615" s="64"/>
      <c r="Z615" s="64"/>
      <c r="AA615" s="64"/>
      <c r="AB615" s="64"/>
      <c r="AC615" s="64"/>
      <c r="AD615" s="64"/>
      <c r="AE615" s="64"/>
      <c r="AF615" s="64"/>
      <c r="AG615" s="64"/>
    </row>
    <row r="616" spans="1:33">
      <c r="A616" s="25"/>
      <c r="B616" s="25"/>
      <c r="C616" s="25"/>
      <c r="D616" s="25"/>
      <c r="E616" s="62"/>
      <c r="F616" s="63"/>
      <c r="G616" s="25"/>
      <c r="H616" s="63"/>
      <c r="I616" s="63"/>
      <c r="J616" s="64"/>
      <c r="K616" s="64"/>
      <c r="L616" s="64"/>
      <c r="M616" s="64"/>
      <c r="N616" s="64"/>
      <c r="O616" s="64"/>
      <c r="P616" s="64"/>
      <c r="Q616" s="64"/>
      <c r="R616" s="64"/>
      <c r="S616" s="64"/>
      <c r="T616" s="64"/>
      <c r="U616" s="64"/>
      <c r="V616" s="64"/>
      <c r="W616" s="64"/>
      <c r="X616" s="64"/>
      <c r="Y616" s="64"/>
      <c r="Z616" s="64"/>
      <c r="AA616" s="64"/>
      <c r="AB616" s="64"/>
      <c r="AC616" s="64"/>
      <c r="AD616" s="64"/>
      <c r="AE616" s="64"/>
      <c r="AF616" s="64"/>
      <c r="AG616" s="64"/>
    </row>
    <row r="617" spans="1:33">
      <c r="A617" s="25"/>
      <c r="B617" s="25"/>
      <c r="C617" s="25"/>
      <c r="D617" s="25"/>
      <c r="E617" s="62"/>
      <c r="F617" s="63"/>
      <c r="G617" s="25"/>
      <c r="H617" s="63"/>
      <c r="I617" s="63"/>
      <c r="J617" s="64"/>
      <c r="K617" s="64"/>
      <c r="L617" s="64"/>
      <c r="M617" s="64"/>
      <c r="N617" s="64"/>
      <c r="O617" s="64"/>
      <c r="P617" s="64"/>
      <c r="Q617" s="64"/>
      <c r="R617" s="64"/>
      <c r="S617" s="64"/>
      <c r="T617" s="64"/>
      <c r="U617" s="64"/>
      <c r="V617" s="64"/>
      <c r="W617" s="64"/>
      <c r="X617" s="64"/>
      <c r="Y617" s="64"/>
      <c r="Z617" s="64"/>
      <c r="AA617" s="64"/>
      <c r="AB617" s="64"/>
      <c r="AC617" s="64"/>
      <c r="AD617" s="64"/>
      <c r="AE617" s="64"/>
      <c r="AF617" s="64"/>
      <c r="AG617" s="64"/>
    </row>
    <row r="618" spans="1:33">
      <c r="A618" s="25"/>
      <c r="B618" s="25"/>
      <c r="C618" s="25"/>
      <c r="D618" s="25"/>
      <c r="E618" s="62"/>
      <c r="F618" s="63"/>
      <c r="G618" s="25"/>
      <c r="H618" s="63"/>
      <c r="I618" s="63"/>
      <c r="J618" s="64"/>
      <c r="K618" s="64"/>
      <c r="L618" s="64"/>
      <c r="M618" s="64"/>
      <c r="N618" s="64"/>
      <c r="O618" s="64"/>
      <c r="P618" s="64"/>
      <c r="Q618" s="64"/>
      <c r="R618" s="64"/>
      <c r="S618" s="64"/>
      <c r="T618" s="64"/>
      <c r="U618" s="64"/>
      <c r="V618" s="64"/>
      <c r="W618" s="64"/>
      <c r="X618" s="64"/>
      <c r="Y618" s="64"/>
      <c r="Z618" s="64"/>
      <c r="AA618" s="64"/>
      <c r="AB618" s="64"/>
      <c r="AC618" s="64"/>
      <c r="AD618" s="64"/>
      <c r="AE618" s="64"/>
      <c r="AF618" s="64"/>
      <c r="AG618" s="64"/>
    </row>
    <row r="619" spans="1:33">
      <c r="A619" s="25"/>
      <c r="B619" s="25"/>
      <c r="C619" s="25"/>
      <c r="D619" s="25"/>
      <c r="E619" s="62"/>
      <c r="F619" s="63"/>
      <c r="G619" s="25"/>
      <c r="H619" s="63"/>
      <c r="I619" s="63"/>
      <c r="J619" s="64"/>
      <c r="K619" s="64"/>
      <c r="L619" s="64"/>
      <c r="M619" s="64"/>
      <c r="N619" s="64"/>
      <c r="O619" s="64"/>
      <c r="P619" s="64"/>
      <c r="Q619" s="64"/>
      <c r="R619" s="64"/>
      <c r="S619" s="64"/>
      <c r="T619" s="64"/>
      <c r="U619" s="64"/>
      <c r="V619" s="64"/>
      <c r="W619" s="64"/>
      <c r="X619" s="64"/>
      <c r="Y619" s="64"/>
      <c r="Z619" s="64"/>
      <c r="AA619" s="64"/>
      <c r="AB619" s="64"/>
      <c r="AC619" s="64"/>
      <c r="AD619" s="64"/>
      <c r="AE619" s="64"/>
      <c r="AF619" s="64"/>
      <c r="AG619" s="64"/>
    </row>
    <row r="620" spans="1:33">
      <c r="A620" s="25"/>
      <c r="B620" s="25"/>
      <c r="C620" s="25"/>
      <c r="D620" s="25"/>
      <c r="E620" s="62"/>
      <c r="F620" s="63"/>
      <c r="G620" s="25"/>
      <c r="H620" s="63"/>
      <c r="I620" s="63"/>
      <c r="J620" s="64"/>
      <c r="K620" s="64"/>
      <c r="L620" s="64"/>
      <c r="M620" s="64"/>
      <c r="N620" s="64"/>
      <c r="O620" s="64"/>
      <c r="P620" s="64"/>
      <c r="Q620" s="64"/>
      <c r="R620" s="64"/>
      <c r="S620" s="64"/>
      <c r="T620" s="64"/>
      <c r="U620" s="64"/>
      <c r="V620" s="64"/>
      <c r="W620" s="64"/>
      <c r="X620" s="64"/>
      <c r="Y620" s="64"/>
      <c r="Z620" s="64"/>
      <c r="AA620" s="64"/>
      <c r="AB620" s="64"/>
      <c r="AC620" s="64"/>
      <c r="AD620" s="64"/>
      <c r="AE620" s="64"/>
      <c r="AF620" s="64"/>
      <c r="AG620" s="64"/>
    </row>
    <row r="621" spans="1:33">
      <c r="A621" s="25"/>
      <c r="B621" s="25"/>
      <c r="C621" s="25"/>
      <c r="D621" s="25"/>
      <c r="E621" s="62"/>
      <c r="F621" s="63"/>
      <c r="G621" s="25"/>
      <c r="H621" s="63"/>
      <c r="I621" s="63"/>
      <c r="J621" s="64"/>
      <c r="K621" s="64"/>
      <c r="L621" s="64"/>
      <c r="M621" s="64"/>
      <c r="N621" s="64"/>
      <c r="O621" s="64"/>
      <c r="P621" s="64"/>
      <c r="Q621" s="64"/>
      <c r="R621" s="64"/>
      <c r="S621" s="64"/>
      <c r="T621" s="64"/>
      <c r="U621" s="64"/>
      <c r="V621" s="64"/>
      <c r="W621" s="64"/>
      <c r="X621" s="64"/>
      <c r="Y621" s="64"/>
      <c r="Z621" s="64"/>
      <c r="AA621" s="64"/>
      <c r="AB621" s="64"/>
      <c r="AC621" s="64"/>
      <c r="AD621" s="64"/>
      <c r="AE621" s="64"/>
      <c r="AF621" s="64"/>
      <c r="AG621" s="64"/>
    </row>
    <row r="622" spans="1:33">
      <c r="A622" s="25"/>
      <c r="B622" s="25"/>
      <c r="C622" s="25"/>
      <c r="D622" s="25"/>
      <c r="E622" s="62"/>
      <c r="F622" s="63"/>
      <c r="G622" s="25"/>
      <c r="H622" s="63"/>
      <c r="I622" s="63"/>
      <c r="J622" s="64"/>
      <c r="K622" s="64"/>
      <c r="L622" s="64"/>
      <c r="M622" s="64"/>
      <c r="N622" s="64"/>
      <c r="O622" s="64"/>
      <c r="P622" s="64"/>
      <c r="Q622" s="64"/>
      <c r="R622" s="64"/>
      <c r="S622" s="64"/>
      <c r="T622" s="64"/>
      <c r="U622" s="64"/>
      <c r="V622" s="64"/>
      <c r="W622" s="64"/>
      <c r="X622" s="64"/>
      <c r="Y622" s="64"/>
      <c r="Z622" s="64"/>
      <c r="AA622" s="64"/>
      <c r="AB622" s="64"/>
      <c r="AC622" s="64"/>
      <c r="AD622" s="64"/>
      <c r="AE622" s="64"/>
      <c r="AF622" s="64"/>
      <c r="AG622" s="64"/>
    </row>
    <row r="623" spans="1:33">
      <c r="A623" s="25"/>
      <c r="B623" s="25"/>
      <c r="C623" s="25"/>
      <c r="D623" s="25"/>
      <c r="E623" s="62"/>
      <c r="F623" s="63"/>
      <c r="G623" s="25"/>
      <c r="H623" s="63"/>
      <c r="I623" s="63"/>
      <c r="J623" s="64"/>
      <c r="K623" s="64"/>
      <c r="L623" s="64"/>
      <c r="M623" s="64"/>
      <c r="N623" s="64"/>
      <c r="O623" s="64"/>
      <c r="P623" s="64"/>
      <c r="Q623" s="64"/>
      <c r="R623" s="64"/>
      <c r="S623" s="64"/>
      <c r="T623" s="64"/>
      <c r="U623" s="64"/>
      <c r="V623" s="64"/>
      <c r="W623" s="64"/>
      <c r="X623" s="64"/>
      <c r="Y623" s="64"/>
      <c r="Z623" s="64"/>
      <c r="AA623" s="64"/>
      <c r="AB623" s="64"/>
      <c r="AC623" s="64"/>
      <c r="AD623" s="64"/>
      <c r="AE623" s="64"/>
      <c r="AF623" s="64"/>
      <c r="AG623" s="64"/>
    </row>
    <row r="624" spans="1:33">
      <c r="A624" s="25"/>
      <c r="B624" s="25"/>
      <c r="C624" s="25"/>
      <c r="D624" s="25"/>
      <c r="E624" s="62"/>
      <c r="F624" s="63"/>
      <c r="G624" s="25"/>
      <c r="H624" s="63"/>
      <c r="I624" s="63"/>
      <c r="J624" s="64"/>
      <c r="K624" s="64"/>
      <c r="L624" s="64"/>
      <c r="M624" s="64"/>
      <c r="N624" s="64"/>
      <c r="O624" s="64"/>
      <c r="P624" s="64"/>
      <c r="Q624" s="64"/>
      <c r="R624" s="64"/>
      <c r="S624" s="64"/>
      <c r="T624" s="64"/>
      <c r="U624" s="64"/>
      <c r="V624" s="64"/>
      <c r="W624" s="64"/>
      <c r="X624" s="64"/>
      <c r="Y624" s="64"/>
      <c r="Z624" s="64"/>
      <c r="AA624" s="64"/>
      <c r="AB624" s="64"/>
      <c r="AC624" s="64"/>
      <c r="AD624" s="64"/>
      <c r="AE624" s="64"/>
      <c r="AF624" s="64"/>
      <c r="AG624" s="64"/>
    </row>
    <row r="625" spans="1:33">
      <c r="A625" s="25"/>
      <c r="B625" s="25"/>
      <c r="C625" s="25"/>
      <c r="D625" s="25"/>
      <c r="E625" s="62"/>
      <c r="F625" s="63"/>
      <c r="G625" s="25"/>
      <c r="H625" s="63"/>
      <c r="I625" s="63"/>
      <c r="J625" s="64"/>
      <c r="K625" s="64"/>
      <c r="L625" s="64"/>
      <c r="M625" s="64"/>
      <c r="N625" s="64"/>
      <c r="O625" s="64"/>
      <c r="P625" s="64"/>
      <c r="Q625" s="64"/>
      <c r="R625" s="64"/>
      <c r="S625" s="64"/>
      <c r="T625" s="64"/>
      <c r="U625" s="64"/>
      <c r="V625" s="64"/>
      <c r="W625" s="64"/>
      <c r="X625" s="64"/>
      <c r="Y625" s="64"/>
      <c r="Z625" s="64"/>
      <c r="AA625" s="64"/>
      <c r="AB625" s="64"/>
      <c r="AC625" s="64"/>
      <c r="AD625" s="64"/>
      <c r="AE625" s="64"/>
      <c r="AF625" s="64"/>
      <c r="AG625" s="64"/>
    </row>
    <row r="626" spans="1:33">
      <c r="A626" s="25"/>
      <c r="B626" s="25"/>
      <c r="C626" s="25"/>
      <c r="D626" s="25"/>
      <c r="E626" s="62"/>
      <c r="F626" s="63"/>
      <c r="G626" s="25"/>
      <c r="H626" s="63"/>
      <c r="I626" s="63"/>
      <c r="J626" s="64"/>
      <c r="K626" s="64"/>
      <c r="L626" s="64"/>
      <c r="M626" s="64"/>
      <c r="N626" s="64"/>
      <c r="O626" s="64"/>
      <c r="P626" s="64"/>
      <c r="Q626" s="64"/>
      <c r="R626" s="64"/>
      <c r="S626" s="64"/>
      <c r="T626" s="64"/>
      <c r="U626" s="64"/>
      <c r="V626" s="64"/>
      <c r="W626" s="64"/>
      <c r="X626" s="64"/>
      <c r="Y626" s="64"/>
      <c r="Z626" s="64"/>
      <c r="AA626" s="64"/>
      <c r="AB626" s="64"/>
      <c r="AC626" s="64"/>
      <c r="AD626" s="64"/>
      <c r="AE626" s="64"/>
      <c r="AF626" s="64"/>
      <c r="AG626" s="64"/>
    </row>
    <row r="627" spans="1:33">
      <c r="A627" s="25"/>
      <c r="B627" s="25"/>
      <c r="C627" s="25"/>
      <c r="D627" s="25"/>
      <c r="E627" s="62"/>
      <c r="F627" s="63"/>
      <c r="G627" s="25"/>
      <c r="H627" s="63"/>
      <c r="I627" s="63"/>
      <c r="J627" s="64"/>
      <c r="K627" s="64"/>
      <c r="L627" s="64"/>
      <c r="M627" s="64"/>
      <c r="N627" s="64"/>
      <c r="O627" s="64"/>
      <c r="P627" s="64"/>
      <c r="Q627" s="64"/>
      <c r="R627" s="64"/>
      <c r="S627" s="64"/>
      <c r="T627" s="64"/>
      <c r="U627" s="64"/>
      <c r="V627" s="64"/>
      <c r="W627" s="64"/>
      <c r="X627" s="64"/>
      <c r="Y627" s="64"/>
      <c r="Z627" s="64"/>
      <c r="AA627" s="64"/>
      <c r="AB627" s="64"/>
      <c r="AC627" s="64"/>
      <c r="AD627" s="64"/>
      <c r="AE627" s="64"/>
      <c r="AF627" s="64"/>
      <c r="AG627" s="64"/>
    </row>
    <row r="628" spans="1:33">
      <c r="A628" s="25"/>
      <c r="B628" s="25"/>
      <c r="C628" s="25"/>
      <c r="D628" s="25"/>
      <c r="E628" s="62"/>
      <c r="F628" s="63"/>
      <c r="G628" s="25"/>
      <c r="H628" s="63"/>
      <c r="I628" s="63"/>
      <c r="J628" s="64"/>
      <c r="K628" s="64"/>
      <c r="L628" s="64"/>
      <c r="M628" s="64"/>
      <c r="N628" s="64"/>
      <c r="O628" s="64"/>
      <c r="P628" s="64"/>
      <c r="Q628" s="64"/>
      <c r="R628" s="64"/>
      <c r="S628" s="64"/>
      <c r="T628" s="64"/>
      <c r="U628" s="64"/>
      <c r="V628" s="64"/>
      <c r="W628" s="64"/>
      <c r="X628" s="64"/>
      <c r="Y628" s="64"/>
      <c r="Z628" s="64"/>
      <c r="AA628" s="64"/>
      <c r="AB628" s="64"/>
      <c r="AC628" s="64"/>
      <c r="AD628" s="64"/>
      <c r="AE628" s="64"/>
      <c r="AF628" s="64"/>
      <c r="AG628" s="64"/>
    </row>
    <row r="629" spans="1:33">
      <c r="A629" s="25"/>
      <c r="B629" s="25"/>
      <c r="C629" s="25"/>
      <c r="D629" s="25"/>
      <c r="E629" s="62"/>
      <c r="F629" s="63"/>
      <c r="G629" s="25"/>
      <c r="H629" s="63"/>
      <c r="I629" s="63"/>
      <c r="J629" s="64"/>
      <c r="K629" s="64"/>
      <c r="L629" s="64"/>
      <c r="M629" s="64"/>
      <c r="N629" s="64"/>
      <c r="O629" s="64"/>
      <c r="P629" s="64"/>
      <c r="Q629" s="64"/>
      <c r="R629" s="64"/>
      <c r="S629" s="64"/>
      <c r="T629" s="64"/>
      <c r="U629" s="64"/>
      <c r="V629" s="64"/>
      <c r="W629" s="64"/>
      <c r="X629" s="64"/>
      <c r="Y629" s="64"/>
      <c r="Z629" s="64"/>
      <c r="AA629" s="64"/>
      <c r="AB629" s="64"/>
      <c r="AC629" s="64"/>
      <c r="AD629" s="64"/>
      <c r="AE629" s="64"/>
      <c r="AF629" s="64"/>
      <c r="AG629" s="64"/>
    </row>
    <row r="630" spans="1:33">
      <c r="A630" s="25"/>
      <c r="B630" s="25"/>
      <c r="C630" s="25"/>
      <c r="D630" s="25"/>
      <c r="E630" s="62"/>
      <c r="F630" s="63"/>
      <c r="G630" s="25"/>
      <c r="H630" s="63"/>
      <c r="I630" s="63"/>
      <c r="J630" s="64"/>
      <c r="K630" s="64"/>
      <c r="L630" s="64"/>
      <c r="M630" s="64"/>
      <c r="N630" s="64"/>
      <c r="O630" s="64"/>
      <c r="P630" s="64"/>
      <c r="Q630" s="64"/>
      <c r="R630" s="64"/>
      <c r="S630" s="64"/>
      <c r="T630" s="64"/>
      <c r="U630" s="64"/>
      <c r="V630" s="64"/>
      <c r="W630" s="64"/>
      <c r="X630" s="64"/>
      <c r="Y630" s="64"/>
      <c r="Z630" s="64"/>
      <c r="AA630" s="64"/>
      <c r="AB630" s="64"/>
      <c r="AC630" s="64"/>
      <c r="AD630" s="64"/>
      <c r="AE630" s="64"/>
      <c r="AF630" s="64"/>
      <c r="AG630" s="64"/>
    </row>
    <row r="631" spans="1:33">
      <c r="A631" s="25"/>
      <c r="B631" s="25"/>
      <c r="C631" s="25"/>
      <c r="D631" s="25"/>
      <c r="E631" s="62"/>
      <c r="F631" s="63"/>
      <c r="G631" s="25"/>
      <c r="H631" s="63"/>
      <c r="I631" s="63"/>
      <c r="J631" s="64"/>
      <c r="K631" s="64"/>
      <c r="L631" s="64"/>
      <c r="M631" s="64"/>
      <c r="N631" s="64"/>
      <c r="O631" s="64"/>
      <c r="P631" s="64"/>
      <c r="Q631" s="64"/>
      <c r="R631" s="64"/>
      <c r="S631" s="64"/>
      <c r="T631" s="64"/>
      <c r="U631" s="64"/>
      <c r="V631" s="64"/>
      <c r="W631" s="64"/>
      <c r="X631" s="64"/>
      <c r="Y631" s="64"/>
      <c r="Z631" s="64"/>
      <c r="AA631" s="64"/>
      <c r="AB631" s="64"/>
      <c r="AC631" s="64"/>
      <c r="AD631" s="64"/>
      <c r="AE631" s="64"/>
      <c r="AF631" s="64"/>
      <c r="AG631" s="64"/>
    </row>
    <row r="632" spans="1:33">
      <c r="A632" s="25"/>
      <c r="B632" s="25"/>
      <c r="C632" s="25"/>
      <c r="D632" s="25"/>
      <c r="E632" s="62"/>
      <c r="F632" s="63"/>
      <c r="G632" s="25"/>
      <c r="H632" s="63"/>
      <c r="I632" s="63"/>
      <c r="J632" s="64"/>
      <c r="K632" s="64"/>
      <c r="L632" s="64"/>
      <c r="M632" s="64"/>
      <c r="N632" s="64"/>
      <c r="O632" s="64"/>
      <c r="P632" s="64"/>
      <c r="Q632" s="64"/>
      <c r="R632" s="64"/>
      <c r="S632" s="64"/>
      <c r="T632" s="64"/>
      <c r="U632" s="64"/>
      <c r="V632" s="64"/>
      <c r="W632" s="64"/>
      <c r="X632" s="64"/>
      <c r="Y632" s="64"/>
      <c r="Z632" s="64"/>
      <c r="AA632" s="64"/>
      <c r="AB632" s="64"/>
      <c r="AC632" s="64"/>
      <c r="AD632" s="64"/>
      <c r="AE632" s="64"/>
      <c r="AF632" s="64"/>
      <c r="AG632" s="64"/>
    </row>
    <row r="633" spans="1:33">
      <c r="A633" s="25"/>
      <c r="B633" s="25"/>
      <c r="C633" s="25"/>
      <c r="D633" s="25"/>
      <c r="E633" s="62"/>
      <c r="F633" s="63"/>
      <c r="G633" s="25"/>
      <c r="H633" s="63"/>
      <c r="I633" s="63"/>
      <c r="J633" s="64"/>
      <c r="K633" s="64"/>
      <c r="L633" s="64"/>
      <c r="M633" s="64"/>
      <c r="N633" s="64"/>
      <c r="O633" s="64"/>
      <c r="P633" s="64"/>
      <c r="Q633" s="64"/>
      <c r="R633" s="64"/>
      <c r="S633" s="64"/>
      <c r="T633" s="64"/>
      <c r="U633" s="64"/>
      <c r="V633" s="64"/>
      <c r="W633" s="64"/>
      <c r="X633" s="64"/>
      <c r="Y633" s="64"/>
      <c r="Z633" s="64"/>
      <c r="AA633" s="64"/>
      <c r="AB633" s="64"/>
      <c r="AC633" s="64"/>
      <c r="AD633" s="64"/>
      <c r="AE633" s="64"/>
      <c r="AF633" s="64"/>
      <c r="AG633" s="64"/>
    </row>
    <row r="634" spans="1:33">
      <c r="A634" s="25"/>
      <c r="B634" s="25"/>
      <c r="C634" s="25"/>
      <c r="D634" s="25"/>
      <c r="E634" s="62"/>
      <c r="F634" s="63"/>
      <c r="G634" s="25"/>
      <c r="H634" s="63"/>
      <c r="I634" s="63"/>
      <c r="J634" s="64"/>
      <c r="K634" s="64"/>
      <c r="L634" s="64"/>
      <c r="M634" s="64"/>
      <c r="N634" s="64"/>
      <c r="O634" s="64"/>
      <c r="P634" s="64"/>
      <c r="Q634" s="64"/>
      <c r="R634" s="64"/>
      <c r="S634" s="64"/>
      <c r="T634" s="64"/>
      <c r="U634" s="64"/>
      <c r="V634" s="64"/>
      <c r="W634" s="64"/>
      <c r="X634" s="64"/>
      <c r="Y634" s="64"/>
      <c r="Z634" s="64"/>
      <c r="AA634" s="64"/>
      <c r="AB634" s="64"/>
      <c r="AC634" s="64"/>
      <c r="AD634" s="64"/>
      <c r="AE634" s="64"/>
      <c r="AF634" s="64"/>
      <c r="AG634" s="64"/>
    </row>
    <row r="635" spans="1:33">
      <c r="A635" s="25"/>
      <c r="B635" s="25"/>
      <c r="C635" s="25"/>
      <c r="D635" s="25"/>
      <c r="E635" s="62"/>
      <c r="F635" s="63"/>
      <c r="G635" s="25"/>
      <c r="H635" s="63"/>
      <c r="I635" s="63"/>
      <c r="J635" s="64"/>
      <c r="K635" s="64"/>
      <c r="L635" s="64"/>
      <c r="M635" s="64"/>
      <c r="N635" s="64"/>
      <c r="O635" s="64"/>
      <c r="P635" s="64"/>
      <c r="Q635" s="64"/>
      <c r="R635" s="64"/>
      <c r="S635" s="64"/>
      <c r="T635" s="64"/>
      <c r="U635" s="64"/>
      <c r="V635" s="64"/>
      <c r="W635" s="64"/>
      <c r="X635" s="64"/>
      <c r="Y635" s="64"/>
      <c r="Z635" s="64"/>
      <c r="AA635" s="64"/>
      <c r="AB635" s="64"/>
      <c r="AC635" s="64"/>
      <c r="AD635" s="64"/>
      <c r="AE635" s="64"/>
      <c r="AF635" s="64"/>
      <c r="AG635" s="64"/>
    </row>
    <row r="636" spans="1:33">
      <c r="A636" s="25"/>
      <c r="B636" s="25"/>
      <c r="C636" s="25"/>
      <c r="D636" s="25"/>
      <c r="E636" s="62"/>
      <c r="F636" s="63"/>
      <c r="G636" s="25"/>
      <c r="H636" s="63"/>
      <c r="I636" s="63"/>
      <c r="J636" s="64"/>
      <c r="K636" s="64"/>
      <c r="L636" s="64"/>
      <c r="M636" s="64"/>
      <c r="N636" s="64"/>
      <c r="O636" s="64"/>
      <c r="P636" s="64"/>
      <c r="Q636" s="64"/>
      <c r="R636" s="64"/>
      <c r="S636" s="64"/>
      <c r="T636" s="64"/>
      <c r="U636" s="64"/>
      <c r="V636" s="64"/>
      <c r="W636" s="64"/>
      <c r="X636" s="64"/>
      <c r="Y636" s="64"/>
      <c r="Z636" s="64"/>
      <c r="AA636" s="64"/>
      <c r="AB636" s="64"/>
      <c r="AC636" s="64"/>
      <c r="AD636" s="64"/>
      <c r="AE636" s="64"/>
      <c r="AF636" s="64"/>
      <c r="AG636" s="64"/>
    </row>
    <row r="637" spans="1:33">
      <c r="A637" s="25"/>
      <c r="B637" s="25"/>
      <c r="C637" s="25"/>
      <c r="D637" s="25"/>
      <c r="E637" s="62"/>
      <c r="F637" s="63"/>
      <c r="G637" s="25"/>
      <c r="H637" s="63"/>
      <c r="I637" s="63"/>
      <c r="J637" s="64"/>
      <c r="K637" s="64"/>
      <c r="L637" s="64"/>
      <c r="M637" s="64"/>
      <c r="N637" s="64"/>
      <c r="O637" s="64"/>
      <c r="P637" s="64"/>
      <c r="Q637" s="64"/>
      <c r="R637" s="64"/>
      <c r="S637" s="64"/>
      <c r="T637" s="64"/>
      <c r="U637" s="64"/>
      <c r="V637" s="64"/>
      <c r="W637" s="64"/>
      <c r="X637" s="64"/>
      <c r="Y637" s="64"/>
      <c r="Z637" s="64"/>
      <c r="AA637" s="64"/>
      <c r="AB637" s="64"/>
      <c r="AC637" s="64"/>
      <c r="AD637" s="64"/>
      <c r="AE637" s="64"/>
      <c r="AF637" s="64"/>
      <c r="AG637" s="64"/>
    </row>
    <row r="638" spans="1:33">
      <c r="A638" s="25"/>
      <c r="B638" s="25"/>
      <c r="C638" s="25"/>
      <c r="D638" s="25"/>
      <c r="E638" s="62"/>
      <c r="F638" s="63"/>
      <c r="G638" s="25"/>
      <c r="H638" s="63"/>
      <c r="I638" s="63"/>
      <c r="J638" s="64"/>
      <c r="K638" s="64"/>
      <c r="L638" s="64"/>
      <c r="M638" s="64"/>
      <c r="N638" s="64"/>
      <c r="O638" s="64"/>
      <c r="P638" s="64"/>
      <c r="Q638" s="64"/>
      <c r="R638" s="64"/>
      <c r="S638" s="64"/>
      <c r="T638" s="64"/>
      <c r="U638" s="64"/>
      <c r="V638" s="64"/>
      <c r="W638" s="64"/>
      <c r="X638" s="64"/>
      <c r="Y638" s="64"/>
      <c r="Z638" s="64"/>
      <c r="AA638" s="64"/>
      <c r="AB638" s="64"/>
      <c r="AC638" s="64"/>
      <c r="AD638" s="64"/>
      <c r="AE638" s="64"/>
      <c r="AF638" s="64"/>
      <c r="AG638" s="64"/>
    </row>
    <row r="639" spans="1:33">
      <c r="A639" s="25"/>
      <c r="B639" s="25"/>
      <c r="C639" s="25"/>
      <c r="D639" s="25"/>
      <c r="E639" s="62"/>
      <c r="F639" s="63"/>
      <c r="G639" s="25"/>
      <c r="H639" s="63"/>
      <c r="I639" s="63"/>
      <c r="J639" s="64"/>
      <c r="K639" s="64"/>
      <c r="L639" s="64"/>
      <c r="M639" s="64"/>
      <c r="N639" s="64"/>
      <c r="O639" s="64"/>
      <c r="P639" s="64"/>
      <c r="Q639" s="64"/>
      <c r="R639" s="64"/>
      <c r="S639" s="64"/>
      <c r="T639" s="64"/>
      <c r="U639" s="64"/>
      <c r="V639" s="64"/>
      <c r="W639" s="64"/>
      <c r="X639" s="64"/>
      <c r="Y639" s="64"/>
      <c r="Z639" s="64"/>
      <c r="AA639" s="64"/>
      <c r="AB639" s="64"/>
      <c r="AC639" s="64"/>
      <c r="AD639" s="64"/>
      <c r="AE639" s="64"/>
      <c r="AF639" s="64"/>
      <c r="AG639" s="64"/>
    </row>
    <row r="640" spans="1:33">
      <c r="A640" s="25"/>
      <c r="B640" s="25"/>
      <c r="C640" s="25"/>
      <c r="D640" s="25"/>
      <c r="E640" s="62"/>
      <c r="F640" s="63"/>
      <c r="G640" s="25"/>
      <c r="H640" s="63"/>
      <c r="I640" s="63"/>
      <c r="J640" s="64"/>
      <c r="K640" s="64"/>
      <c r="L640" s="64"/>
      <c r="M640" s="64"/>
      <c r="N640" s="64"/>
      <c r="O640" s="64"/>
      <c r="P640" s="64"/>
      <c r="Q640" s="64"/>
      <c r="R640" s="64"/>
      <c r="S640" s="64"/>
      <c r="T640" s="64"/>
      <c r="U640" s="64"/>
      <c r="V640" s="64"/>
      <c r="W640" s="64"/>
      <c r="X640" s="64"/>
      <c r="Y640" s="64"/>
      <c r="Z640" s="64"/>
      <c r="AA640" s="64"/>
      <c r="AB640" s="64"/>
      <c r="AC640" s="64"/>
      <c r="AD640" s="64"/>
      <c r="AE640" s="64"/>
      <c r="AF640" s="64"/>
      <c r="AG640" s="64"/>
    </row>
    <row r="641" spans="1:33">
      <c r="A641" s="25"/>
      <c r="B641" s="25"/>
      <c r="C641" s="25"/>
      <c r="D641" s="25"/>
      <c r="E641" s="62"/>
      <c r="F641" s="63"/>
      <c r="G641" s="25"/>
      <c r="H641" s="63"/>
      <c r="I641" s="63"/>
      <c r="J641" s="64"/>
      <c r="K641" s="64"/>
      <c r="L641" s="64"/>
      <c r="M641" s="64"/>
      <c r="N641" s="64"/>
      <c r="O641" s="64"/>
      <c r="P641" s="64"/>
      <c r="Q641" s="64"/>
      <c r="R641" s="64"/>
      <c r="S641" s="64"/>
      <c r="T641" s="64"/>
      <c r="U641" s="64"/>
      <c r="V641" s="64"/>
      <c r="W641" s="64"/>
      <c r="X641" s="64"/>
      <c r="Y641" s="64"/>
      <c r="Z641" s="64"/>
      <c r="AA641" s="64"/>
      <c r="AB641" s="64"/>
      <c r="AC641" s="64"/>
      <c r="AD641" s="64"/>
      <c r="AE641" s="64"/>
      <c r="AF641" s="64"/>
      <c r="AG641" s="64"/>
    </row>
    <row r="642" spans="1:33">
      <c r="A642" s="25"/>
      <c r="B642" s="25"/>
      <c r="C642" s="25"/>
      <c r="D642" s="25"/>
      <c r="E642" s="62"/>
      <c r="F642" s="63"/>
      <c r="G642" s="25"/>
      <c r="H642" s="63"/>
      <c r="I642" s="63"/>
      <c r="J642" s="64"/>
      <c r="K642" s="64"/>
      <c r="L642" s="64"/>
      <c r="M642" s="64"/>
      <c r="N642" s="64"/>
      <c r="O642" s="64"/>
      <c r="P642" s="64"/>
      <c r="Q642" s="64"/>
      <c r="R642" s="64"/>
      <c r="S642" s="64"/>
      <c r="T642" s="64"/>
      <c r="U642" s="64"/>
      <c r="V642" s="64"/>
      <c r="W642" s="64"/>
      <c r="X642" s="64"/>
      <c r="Y642" s="64"/>
      <c r="Z642" s="64"/>
      <c r="AA642" s="64"/>
      <c r="AB642" s="64"/>
      <c r="AC642" s="64"/>
      <c r="AD642" s="64"/>
      <c r="AE642" s="64"/>
      <c r="AF642" s="64"/>
      <c r="AG642" s="64"/>
    </row>
    <row r="643" spans="1:33">
      <c r="A643" s="25"/>
      <c r="B643" s="25"/>
      <c r="C643" s="25"/>
      <c r="D643" s="25"/>
      <c r="E643" s="62"/>
      <c r="F643" s="63"/>
      <c r="G643" s="25"/>
      <c r="H643" s="63"/>
      <c r="I643" s="63"/>
      <c r="J643" s="64"/>
      <c r="K643" s="64"/>
      <c r="L643" s="64"/>
      <c r="M643" s="64"/>
      <c r="N643" s="64"/>
      <c r="O643" s="64"/>
      <c r="P643" s="64"/>
      <c r="Q643" s="64"/>
      <c r="R643" s="64"/>
      <c r="S643" s="64"/>
      <c r="T643" s="64"/>
      <c r="U643" s="64"/>
      <c r="V643" s="64"/>
      <c r="W643" s="64"/>
      <c r="X643" s="64"/>
      <c r="Y643" s="64"/>
      <c r="Z643" s="64"/>
      <c r="AA643" s="64"/>
      <c r="AB643" s="64"/>
      <c r="AC643" s="64"/>
      <c r="AD643" s="64"/>
      <c r="AE643" s="64"/>
      <c r="AF643" s="64"/>
      <c r="AG643" s="64"/>
    </row>
    <row r="644" spans="1:33">
      <c r="A644" s="25"/>
      <c r="B644" s="25"/>
      <c r="C644" s="25"/>
      <c r="D644" s="25"/>
      <c r="E644" s="62"/>
      <c r="F644" s="63"/>
      <c r="G644" s="25"/>
      <c r="H644" s="63"/>
      <c r="I644" s="63"/>
      <c r="J644" s="64"/>
      <c r="K644" s="64"/>
      <c r="L644" s="64"/>
      <c r="M644" s="64"/>
      <c r="N644" s="64"/>
      <c r="O644" s="64"/>
      <c r="P644" s="64"/>
      <c r="Q644" s="64"/>
      <c r="R644" s="64"/>
      <c r="S644" s="64"/>
      <c r="T644" s="64"/>
      <c r="U644" s="64"/>
      <c r="V644" s="64"/>
      <c r="W644" s="64"/>
      <c r="X644" s="64"/>
      <c r="Y644" s="64"/>
      <c r="Z644" s="64"/>
      <c r="AA644" s="64"/>
      <c r="AB644" s="64"/>
      <c r="AC644" s="64"/>
      <c r="AD644" s="64"/>
      <c r="AE644" s="64"/>
      <c r="AF644" s="64"/>
      <c r="AG644" s="64"/>
    </row>
    <row r="645" spans="1:33">
      <c r="A645" s="25"/>
      <c r="B645" s="25"/>
      <c r="C645" s="25"/>
      <c r="D645" s="25"/>
      <c r="E645" s="62"/>
      <c r="F645" s="63"/>
      <c r="G645" s="25"/>
      <c r="H645" s="63"/>
      <c r="I645" s="63"/>
      <c r="J645" s="64"/>
      <c r="K645" s="64"/>
      <c r="L645" s="64"/>
      <c r="M645" s="64"/>
      <c r="N645" s="64"/>
      <c r="O645" s="64"/>
      <c r="P645" s="64"/>
      <c r="Q645" s="64"/>
      <c r="R645" s="64"/>
      <c r="S645" s="64"/>
      <c r="T645" s="64"/>
      <c r="U645" s="64"/>
      <c r="V645" s="64"/>
      <c r="W645" s="64"/>
      <c r="X645" s="64"/>
      <c r="Y645" s="64"/>
      <c r="Z645" s="64"/>
      <c r="AA645" s="64"/>
      <c r="AB645" s="64"/>
      <c r="AC645" s="64"/>
      <c r="AD645" s="64"/>
      <c r="AE645" s="64"/>
      <c r="AF645" s="64"/>
      <c r="AG645" s="64"/>
    </row>
    <row r="646" spans="1:33">
      <c r="A646" s="25"/>
      <c r="B646" s="25"/>
      <c r="C646" s="25"/>
      <c r="D646" s="25"/>
      <c r="E646" s="62"/>
      <c r="F646" s="63"/>
      <c r="G646" s="25"/>
      <c r="H646" s="63"/>
      <c r="I646" s="63"/>
      <c r="J646" s="64"/>
      <c r="K646" s="64"/>
      <c r="L646" s="64"/>
      <c r="M646" s="64"/>
      <c r="N646" s="64"/>
      <c r="O646" s="64"/>
      <c r="P646" s="64"/>
      <c r="Q646" s="64"/>
      <c r="R646" s="64"/>
      <c r="S646" s="64"/>
      <c r="T646" s="64"/>
      <c r="U646" s="64"/>
      <c r="V646" s="64"/>
      <c r="W646" s="64"/>
      <c r="X646" s="64"/>
      <c r="Y646" s="64"/>
      <c r="Z646" s="64"/>
      <c r="AA646" s="64"/>
      <c r="AB646" s="64"/>
      <c r="AC646" s="64"/>
      <c r="AD646" s="64"/>
      <c r="AE646" s="64"/>
      <c r="AF646" s="64"/>
      <c r="AG646" s="64"/>
    </row>
    <row r="647" spans="1:33">
      <c r="A647" s="25"/>
      <c r="B647" s="25"/>
      <c r="C647" s="25"/>
      <c r="D647" s="25"/>
      <c r="E647" s="62"/>
      <c r="F647" s="63"/>
      <c r="G647" s="25"/>
      <c r="H647" s="63"/>
      <c r="I647" s="63"/>
      <c r="J647" s="64"/>
      <c r="K647" s="64"/>
      <c r="L647" s="64"/>
      <c r="M647" s="64"/>
      <c r="N647" s="64"/>
      <c r="O647" s="64"/>
      <c r="P647" s="64"/>
      <c r="Q647" s="64"/>
      <c r="R647" s="64"/>
      <c r="S647" s="64"/>
      <c r="T647" s="64"/>
      <c r="U647" s="64"/>
      <c r="V647" s="64"/>
      <c r="W647" s="64"/>
      <c r="X647" s="64"/>
      <c r="Y647" s="64"/>
      <c r="Z647" s="64"/>
      <c r="AA647" s="64"/>
      <c r="AB647" s="64"/>
      <c r="AC647" s="64"/>
      <c r="AD647" s="64"/>
      <c r="AE647" s="64"/>
      <c r="AF647" s="64"/>
      <c r="AG647" s="64"/>
    </row>
    <row r="648" spans="1:33">
      <c r="A648" s="25"/>
      <c r="B648" s="25"/>
      <c r="C648" s="25"/>
      <c r="D648" s="25"/>
      <c r="E648" s="62"/>
      <c r="F648" s="63"/>
      <c r="G648" s="25"/>
      <c r="H648" s="63"/>
      <c r="I648" s="63"/>
      <c r="J648" s="64"/>
      <c r="K648" s="64"/>
      <c r="L648" s="64"/>
      <c r="M648" s="64"/>
      <c r="N648" s="64"/>
      <c r="O648" s="64"/>
      <c r="P648" s="64"/>
      <c r="Q648" s="64"/>
      <c r="R648" s="64"/>
      <c r="S648" s="64"/>
      <c r="T648" s="64"/>
      <c r="U648" s="64"/>
      <c r="V648" s="64"/>
      <c r="W648" s="64"/>
      <c r="X648" s="64"/>
      <c r="Y648" s="64"/>
      <c r="Z648" s="64"/>
      <c r="AA648" s="64"/>
      <c r="AB648" s="64"/>
      <c r="AC648" s="64"/>
      <c r="AD648" s="64"/>
      <c r="AE648" s="64"/>
      <c r="AF648" s="64"/>
      <c r="AG648" s="64"/>
    </row>
    <row r="649" spans="1:33">
      <c r="A649" s="25"/>
      <c r="B649" s="25"/>
      <c r="C649" s="25"/>
      <c r="D649" s="25"/>
      <c r="E649" s="62"/>
      <c r="F649" s="63"/>
      <c r="G649" s="25"/>
      <c r="H649" s="63"/>
      <c r="I649" s="63"/>
      <c r="J649" s="64"/>
      <c r="K649" s="64"/>
      <c r="L649" s="64"/>
      <c r="M649" s="64"/>
      <c r="N649" s="64"/>
      <c r="O649" s="64"/>
      <c r="P649" s="64"/>
      <c r="Q649" s="64"/>
      <c r="R649" s="64"/>
      <c r="S649" s="64"/>
      <c r="T649" s="64"/>
      <c r="U649" s="64"/>
      <c r="V649" s="64"/>
      <c r="W649" s="64"/>
      <c r="X649" s="64"/>
      <c r="Y649" s="64"/>
      <c r="Z649" s="64"/>
      <c r="AA649" s="64"/>
      <c r="AB649" s="64"/>
      <c r="AC649" s="64"/>
      <c r="AD649" s="64"/>
      <c r="AE649" s="64"/>
      <c r="AF649" s="64"/>
      <c r="AG649" s="64"/>
    </row>
    <row r="650" spans="1:33">
      <c r="A650" s="25"/>
      <c r="B650" s="25"/>
      <c r="C650" s="25"/>
      <c r="D650" s="25"/>
      <c r="E650" s="62"/>
      <c r="F650" s="63"/>
      <c r="G650" s="25"/>
      <c r="H650" s="63"/>
      <c r="I650" s="63"/>
      <c r="J650" s="64"/>
      <c r="K650" s="64"/>
      <c r="L650" s="64"/>
      <c r="M650" s="64"/>
      <c r="N650" s="64"/>
      <c r="O650" s="64"/>
      <c r="P650" s="64"/>
      <c r="Q650" s="64"/>
      <c r="R650" s="64"/>
      <c r="S650" s="64"/>
      <c r="T650" s="64"/>
      <c r="U650" s="64"/>
      <c r="V650" s="64"/>
      <c r="W650" s="64"/>
      <c r="X650" s="64"/>
      <c r="Y650" s="64"/>
      <c r="Z650" s="64"/>
      <c r="AA650" s="64"/>
      <c r="AB650" s="64"/>
      <c r="AC650" s="64"/>
      <c r="AD650" s="64"/>
      <c r="AE650" s="64"/>
      <c r="AF650" s="64"/>
      <c r="AG650" s="64"/>
    </row>
    <row r="651" spans="1:33">
      <c r="A651" s="25"/>
      <c r="B651" s="25"/>
      <c r="C651" s="25"/>
      <c r="D651" s="25"/>
      <c r="E651" s="62"/>
      <c r="F651" s="63"/>
      <c r="G651" s="25"/>
      <c r="H651" s="63"/>
      <c r="I651" s="63"/>
      <c r="J651" s="64"/>
      <c r="K651" s="64"/>
      <c r="L651" s="64"/>
      <c r="M651" s="64"/>
      <c r="N651" s="64"/>
      <c r="O651" s="64"/>
      <c r="P651" s="64"/>
      <c r="Q651" s="64"/>
      <c r="R651" s="64"/>
      <c r="S651" s="64"/>
      <c r="T651" s="64"/>
      <c r="U651" s="64"/>
      <c r="V651" s="64"/>
      <c r="W651" s="64"/>
      <c r="X651" s="64"/>
      <c r="Y651" s="64"/>
      <c r="Z651" s="64"/>
      <c r="AA651" s="64"/>
      <c r="AB651" s="64"/>
      <c r="AC651" s="64"/>
      <c r="AD651" s="64"/>
      <c r="AE651" s="64"/>
      <c r="AF651" s="64"/>
      <c r="AG651" s="64"/>
    </row>
    <row r="652" spans="1:33">
      <c r="A652" s="25"/>
      <c r="B652" s="25"/>
      <c r="C652" s="25"/>
      <c r="D652" s="25"/>
      <c r="E652" s="62"/>
      <c r="F652" s="63"/>
      <c r="G652" s="25"/>
      <c r="H652" s="63"/>
      <c r="I652" s="63"/>
      <c r="J652" s="64"/>
      <c r="K652" s="64"/>
      <c r="L652" s="64"/>
      <c r="M652" s="64"/>
      <c r="N652" s="64"/>
      <c r="O652" s="64"/>
      <c r="P652" s="64"/>
      <c r="Q652" s="64"/>
      <c r="R652" s="64"/>
      <c r="S652" s="64"/>
      <c r="T652" s="64"/>
      <c r="U652" s="64"/>
      <c r="V652" s="64"/>
      <c r="W652" s="64"/>
      <c r="X652" s="64"/>
      <c r="Y652" s="64"/>
      <c r="Z652" s="64"/>
      <c r="AA652" s="64"/>
      <c r="AB652" s="64"/>
      <c r="AC652" s="64"/>
      <c r="AD652" s="64"/>
      <c r="AE652" s="64"/>
      <c r="AF652" s="64"/>
      <c r="AG652" s="64"/>
    </row>
    <row r="653" spans="1:33">
      <c r="A653" s="25"/>
      <c r="B653" s="25"/>
      <c r="C653" s="25"/>
      <c r="D653" s="25"/>
      <c r="E653" s="62"/>
      <c r="F653" s="63"/>
      <c r="G653" s="25"/>
      <c r="H653" s="63"/>
      <c r="I653" s="63"/>
      <c r="J653" s="64"/>
      <c r="K653" s="64"/>
      <c r="L653" s="64"/>
      <c r="M653" s="64"/>
      <c r="N653" s="64"/>
      <c r="O653" s="64"/>
      <c r="P653" s="64"/>
      <c r="Q653" s="64"/>
      <c r="R653" s="64"/>
      <c r="S653" s="64"/>
      <c r="T653" s="64"/>
      <c r="U653" s="64"/>
      <c r="V653" s="64"/>
      <c r="W653" s="64"/>
      <c r="X653" s="64"/>
      <c r="Y653" s="64"/>
      <c r="Z653" s="64"/>
      <c r="AA653" s="64"/>
      <c r="AB653" s="64"/>
      <c r="AC653" s="64"/>
      <c r="AD653" s="64"/>
      <c r="AE653" s="64"/>
      <c r="AF653" s="64"/>
      <c r="AG653" s="64"/>
    </row>
    <row r="654" spans="1:33">
      <c r="A654" s="25"/>
      <c r="B654" s="25"/>
      <c r="C654" s="25"/>
      <c r="D654" s="25"/>
      <c r="E654" s="62"/>
      <c r="F654" s="63"/>
      <c r="G654" s="25"/>
      <c r="H654" s="63"/>
      <c r="I654" s="63"/>
      <c r="J654" s="64"/>
      <c r="K654" s="64"/>
      <c r="L654" s="64"/>
      <c r="M654" s="64"/>
      <c r="N654" s="64"/>
      <c r="O654" s="64"/>
      <c r="P654" s="64"/>
      <c r="Q654" s="64"/>
      <c r="R654" s="64"/>
      <c r="S654" s="64"/>
      <c r="T654" s="64"/>
      <c r="U654" s="64"/>
      <c r="V654" s="64"/>
      <c r="W654" s="64"/>
      <c r="X654" s="64"/>
      <c r="Y654" s="64"/>
      <c r="Z654" s="64"/>
      <c r="AA654" s="64"/>
      <c r="AB654" s="64"/>
      <c r="AC654" s="64"/>
      <c r="AD654" s="64"/>
      <c r="AE654" s="64"/>
      <c r="AF654" s="64"/>
      <c r="AG654" s="64"/>
    </row>
    <row r="655" spans="1:33">
      <c r="A655" s="25"/>
      <c r="B655" s="25"/>
      <c r="C655" s="25"/>
      <c r="D655" s="25"/>
      <c r="E655" s="62"/>
      <c r="F655" s="63"/>
      <c r="G655" s="25"/>
      <c r="H655" s="63"/>
      <c r="I655" s="63"/>
      <c r="J655" s="64"/>
      <c r="K655" s="64"/>
      <c r="L655" s="64"/>
      <c r="M655" s="64"/>
      <c r="N655" s="64"/>
      <c r="O655" s="64"/>
      <c r="P655" s="64"/>
      <c r="Q655" s="64"/>
      <c r="R655" s="64"/>
      <c r="S655" s="64"/>
      <c r="T655" s="64"/>
      <c r="U655" s="64"/>
      <c r="V655" s="64"/>
      <c r="W655" s="64"/>
      <c r="X655" s="64"/>
      <c r="Y655" s="64"/>
      <c r="Z655" s="64"/>
      <c r="AA655" s="64"/>
      <c r="AB655" s="64"/>
      <c r="AC655" s="64"/>
      <c r="AD655" s="64"/>
      <c r="AE655" s="64"/>
      <c r="AF655" s="64"/>
      <c r="AG655" s="64"/>
    </row>
    <row r="656" spans="1:33">
      <c r="A656" s="25"/>
      <c r="B656" s="25"/>
      <c r="C656" s="25"/>
      <c r="D656" s="25"/>
      <c r="E656" s="62"/>
      <c r="F656" s="63"/>
      <c r="G656" s="25"/>
      <c r="H656" s="63"/>
      <c r="I656" s="63"/>
      <c r="J656" s="64"/>
      <c r="K656" s="64"/>
      <c r="L656" s="64"/>
      <c r="M656" s="64"/>
      <c r="N656" s="64"/>
      <c r="O656" s="64"/>
      <c r="P656" s="64"/>
      <c r="Q656" s="64"/>
      <c r="R656" s="64"/>
      <c r="S656" s="64"/>
      <c r="T656" s="64"/>
      <c r="U656" s="64"/>
      <c r="V656" s="64"/>
      <c r="W656" s="64"/>
      <c r="X656" s="64"/>
      <c r="Y656" s="64"/>
      <c r="Z656" s="64"/>
      <c r="AA656" s="64"/>
      <c r="AB656" s="64"/>
      <c r="AC656" s="64"/>
      <c r="AD656" s="64"/>
      <c r="AE656" s="64"/>
      <c r="AF656" s="64"/>
      <c r="AG656" s="64"/>
    </row>
    <row r="657" spans="1:33">
      <c r="A657" s="25"/>
      <c r="B657" s="25"/>
      <c r="C657" s="25"/>
      <c r="D657" s="25"/>
      <c r="E657" s="62"/>
      <c r="F657" s="63"/>
      <c r="G657" s="25"/>
      <c r="H657" s="63"/>
      <c r="I657" s="63"/>
      <c r="J657" s="64"/>
      <c r="K657" s="64"/>
      <c r="L657" s="64"/>
      <c r="M657" s="64"/>
      <c r="N657" s="64"/>
      <c r="O657" s="64"/>
      <c r="P657" s="64"/>
      <c r="Q657" s="64"/>
      <c r="R657" s="64"/>
      <c r="S657" s="64"/>
      <c r="T657" s="64"/>
      <c r="U657" s="64"/>
      <c r="V657" s="64"/>
      <c r="W657" s="64"/>
      <c r="X657" s="64"/>
      <c r="Y657" s="64"/>
      <c r="Z657" s="64"/>
      <c r="AA657" s="64"/>
      <c r="AB657" s="64"/>
      <c r="AC657" s="64"/>
      <c r="AD657" s="64"/>
      <c r="AE657" s="64"/>
      <c r="AF657" s="64"/>
      <c r="AG657" s="64"/>
    </row>
    <row r="658" spans="1:33">
      <c r="A658" s="25"/>
      <c r="B658" s="25"/>
      <c r="C658" s="25"/>
      <c r="D658" s="25"/>
      <c r="E658" s="62"/>
      <c r="F658" s="63"/>
      <c r="G658" s="25"/>
      <c r="H658" s="63"/>
      <c r="I658" s="63"/>
      <c r="J658" s="64"/>
      <c r="K658" s="64"/>
      <c r="L658" s="64"/>
      <c r="M658" s="64"/>
      <c r="N658" s="64"/>
      <c r="O658" s="64"/>
      <c r="P658" s="64"/>
      <c r="Q658" s="64"/>
      <c r="R658" s="64"/>
      <c r="S658" s="64"/>
      <c r="T658" s="64"/>
      <c r="U658" s="64"/>
      <c r="V658" s="64"/>
      <c r="W658" s="64"/>
      <c r="X658" s="64"/>
      <c r="Y658" s="64"/>
      <c r="Z658" s="64"/>
      <c r="AA658" s="64"/>
      <c r="AB658" s="64"/>
      <c r="AC658" s="64"/>
      <c r="AD658" s="64"/>
      <c r="AE658" s="64"/>
      <c r="AF658" s="64"/>
      <c r="AG658" s="64"/>
    </row>
    <row r="659" spans="1:33">
      <c r="A659" s="25"/>
      <c r="B659" s="25"/>
      <c r="C659" s="25"/>
      <c r="D659" s="25"/>
      <c r="E659" s="62"/>
      <c r="F659" s="63"/>
      <c r="G659" s="25"/>
      <c r="H659" s="63"/>
      <c r="I659" s="63"/>
      <c r="J659" s="64"/>
      <c r="K659" s="64"/>
      <c r="L659" s="64"/>
      <c r="M659" s="64"/>
      <c r="N659" s="64"/>
      <c r="O659" s="64"/>
      <c r="P659" s="64"/>
      <c r="Q659" s="64"/>
      <c r="R659" s="64"/>
      <c r="S659" s="64"/>
      <c r="T659" s="64"/>
      <c r="U659" s="64"/>
      <c r="V659" s="64"/>
      <c r="W659" s="64"/>
      <c r="X659" s="64"/>
      <c r="Y659" s="64"/>
      <c r="Z659" s="64"/>
      <c r="AA659" s="64"/>
      <c r="AB659" s="64"/>
      <c r="AC659" s="64"/>
      <c r="AD659" s="64"/>
      <c r="AE659" s="64"/>
      <c r="AF659" s="64"/>
      <c r="AG659" s="64"/>
    </row>
    <row r="660" spans="1:33">
      <c r="A660" s="25"/>
      <c r="B660" s="25"/>
      <c r="C660" s="25"/>
      <c r="D660" s="25"/>
      <c r="E660" s="62"/>
      <c r="F660" s="63"/>
      <c r="G660" s="25"/>
      <c r="H660" s="63"/>
      <c r="I660" s="63"/>
      <c r="J660" s="64"/>
      <c r="K660" s="64"/>
      <c r="L660" s="64"/>
      <c r="M660" s="64"/>
      <c r="N660" s="64"/>
      <c r="O660" s="64"/>
      <c r="P660" s="64"/>
      <c r="Q660" s="64"/>
      <c r="R660" s="64"/>
      <c r="S660" s="64"/>
      <c r="T660" s="64"/>
      <c r="U660" s="64"/>
      <c r="V660" s="64"/>
      <c r="W660" s="64"/>
      <c r="X660" s="64"/>
      <c r="Y660" s="64"/>
      <c r="Z660" s="64"/>
      <c r="AA660" s="64"/>
      <c r="AB660" s="64"/>
      <c r="AC660" s="64"/>
      <c r="AD660" s="64"/>
      <c r="AE660" s="64"/>
      <c r="AF660" s="64"/>
      <c r="AG660" s="64"/>
    </row>
    <row r="661" spans="1:33">
      <c r="A661" s="25"/>
      <c r="B661" s="25"/>
      <c r="C661" s="25"/>
      <c r="D661" s="25"/>
      <c r="E661" s="62"/>
      <c r="F661" s="63"/>
      <c r="G661" s="25"/>
      <c r="H661" s="63"/>
      <c r="I661" s="63"/>
      <c r="J661" s="64"/>
      <c r="K661" s="64"/>
      <c r="L661" s="64"/>
      <c r="M661" s="64"/>
      <c r="N661" s="64"/>
      <c r="O661" s="64"/>
      <c r="P661" s="64"/>
      <c r="Q661" s="64"/>
      <c r="R661" s="64"/>
      <c r="S661" s="64"/>
      <c r="T661" s="64"/>
      <c r="U661" s="64"/>
      <c r="V661" s="64"/>
      <c r="W661" s="64"/>
      <c r="X661" s="64"/>
      <c r="Y661" s="64"/>
      <c r="Z661" s="64"/>
      <c r="AA661" s="64"/>
      <c r="AB661" s="64"/>
      <c r="AC661" s="64"/>
      <c r="AD661" s="64"/>
      <c r="AE661" s="64"/>
      <c r="AF661" s="64"/>
      <c r="AG661" s="64"/>
    </row>
    <row r="662" spans="1:33">
      <c r="A662" s="25"/>
      <c r="B662" s="25"/>
      <c r="C662" s="25"/>
      <c r="D662" s="25"/>
      <c r="E662" s="62"/>
      <c r="F662" s="63"/>
      <c r="G662" s="25"/>
      <c r="H662" s="63"/>
      <c r="I662" s="63"/>
      <c r="J662" s="64"/>
      <c r="K662" s="64"/>
      <c r="L662" s="64"/>
      <c r="M662" s="64"/>
      <c r="N662" s="64"/>
      <c r="O662" s="64"/>
      <c r="P662" s="64"/>
      <c r="Q662" s="64"/>
      <c r="R662" s="64"/>
      <c r="S662" s="64"/>
      <c r="T662" s="64"/>
      <c r="U662" s="64"/>
      <c r="V662" s="64"/>
      <c r="W662" s="64"/>
      <c r="X662" s="64"/>
      <c r="Y662" s="64"/>
      <c r="Z662" s="64"/>
      <c r="AA662" s="64"/>
      <c r="AB662" s="64"/>
      <c r="AC662" s="64"/>
      <c r="AD662" s="64"/>
      <c r="AE662" s="64"/>
      <c r="AF662" s="64"/>
      <c r="AG662" s="64"/>
    </row>
    <row r="663" spans="1:33">
      <c r="A663" s="25"/>
      <c r="B663" s="25"/>
      <c r="C663" s="25"/>
      <c r="D663" s="25"/>
      <c r="E663" s="62"/>
      <c r="F663" s="63"/>
      <c r="G663" s="25"/>
      <c r="H663" s="63"/>
      <c r="I663" s="63"/>
      <c r="J663" s="64"/>
      <c r="K663" s="64"/>
      <c r="L663" s="64"/>
      <c r="M663" s="64"/>
      <c r="N663" s="64"/>
      <c r="O663" s="64"/>
      <c r="P663" s="64"/>
      <c r="Q663" s="64"/>
      <c r="R663" s="64"/>
      <c r="S663" s="64"/>
      <c r="T663" s="64"/>
      <c r="U663" s="64"/>
      <c r="V663" s="64"/>
      <c r="W663" s="64"/>
      <c r="X663" s="64"/>
      <c r="Y663" s="64"/>
      <c r="Z663" s="64"/>
      <c r="AA663" s="64"/>
      <c r="AB663" s="64"/>
      <c r="AC663" s="64"/>
      <c r="AD663" s="64"/>
      <c r="AE663" s="64"/>
      <c r="AF663" s="64"/>
      <c r="AG663" s="64"/>
    </row>
    <row r="664" spans="1:33">
      <c r="A664" s="25"/>
      <c r="B664" s="25"/>
      <c r="C664" s="25"/>
      <c r="D664" s="25"/>
      <c r="E664" s="62"/>
      <c r="F664" s="63"/>
      <c r="G664" s="25"/>
      <c r="H664" s="63"/>
      <c r="I664" s="63"/>
      <c r="J664" s="64"/>
      <c r="K664" s="64"/>
      <c r="L664" s="64"/>
      <c r="M664" s="64"/>
      <c r="N664" s="64"/>
      <c r="O664" s="64"/>
      <c r="P664" s="64"/>
      <c r="Q664" s="64"/>
      <c r="R664" s="64"/>
      <c r="S664" s="64"/>
      <c r="T664" s="64"/>
      <c r="U664" s="64"/>
      <c r="V664" s="64"/>
      <c r="W664" s="64"/>
      <c r="X664" s="64"/>
      <c r="Y664" s="64"/>
      <c r="Z664" s="64"/>
      <c r="AA664" s="64"/>
      <c r="AB664" s="64"/>
      <c r="AC664" s="64"/>
      <c r="AD664" s="64"/>
      <c r="AE664" s="64"/>
      <c r="AF664" s="64"/>
      <c r="AG664" s="64"/>
    </row>
    <row r="665" spans="1:33">
      <c r="A665" s="25"/>
      <c r="B665" s="25"/>
      <c r="C665" s="25"/>
      <c r="D665" s="25"/>
      <c r="E665" s="62"/>
      <c r="F665" s="63"/>
      <c r="G665" s="25"/>
      <c r="H665" s="63"/>
      <c r="I665" s="63"/>
      <c r="J665" s="64"/>
      <c r="K665" s="64"/>
      <c r="L665" s="64"/>
      <c r="M665" s="64"/>
      <c r="N665" s="64"/>
      <c r="O665" s="64"/>
      <c r="P665" s="64"/>
      <c r="Q665" s="64"/>
      <c r="R665" s="64"/>
      <c r="S665" s="64"/>
      <c r="T665" s="64"/>
      <c r="U665" s="64"/>
      <c r="V665" s="64"/>
      <c r="W665" s="64"/>
      <c r="X665" s="64"/>
      <c r="Y665" s="64"/>
      <c r="Z665" s="64"/>
      <c r="AA665" s="64"/>
      <c r="AB665" s="64"/>
      <c r="AC665" s="64"/>
      <c r="AD665" s="64"/>
      <c r="AE665" s="64"/>
      <c r="AF665" s="64"/>
      <c r="AG665" s="64"/>
    </row>
    <row r="666" spans="1:33">
      <c r="A666" s="25"/>
      <c r="B666" s="25"/>
      <c r="C666" s="25"/>
      <c r="D666" s="25"/>
      <c r="E666" s="62"/>
      <c r="F666" s="63"/>
      <c r="G666" s="25"/>
      <c r="H666" s="63"/>
      <c r="I666" s="63"/>
      <c r="J666" s="64"/>
      <c r="K666" s="64"/>
      <c r="L666" s="64"/>
      <c r="M666" s="64"/>
      <c r="N666" s="64"/>
      <c r="O666" s="64"/>
      <c r="P666" s="64"/>
      <c r="Q666" s="64"/>
      <c r="R666" s="64"/>
      <c r="S666" s="64"/>
      <c r="T666" s="64"/>
      <c r="U666" s="64"/>
      <c r="V666" s="64"/>
      <c r="W666" s="64"/>
      <c r="X666" s="64"/>
      <c r="Y666" s="64"/>
      <c r="Z666" s="64"/>
      <c r="AA666" s="64"/>
      <c r="AB666" s="64"/>
      <c r="AC666" s="64"/>
      <c r="AD666" s="64"/>
      <c r="AE666" s="64"/>
      <c r="AF666" s="64"/>
      <c r="AG666" s="64"/>
    </row>
    <row r="667" spans="1:33">
      <c r="A667" s="25"/>
      <c r="B667" s="25"/>
      <c r="C667" s="25"/>
      <c r="D667" s="25"/>
      <c r="E667" s="62"/>
      <c r="F667" s="63"/>
      <c r="G667" s="25"/>
      <c r="H667" s="63"/>
      <c r="I667" s="63"/>
      <c r="J667" s="64"/>
      <c r="K667" s="64"/>
      <c r="L667" s="64"/>
      <c r="M667" s="64"/>
      <c r="N667" s="64"/>
      <c r="O667" s="64"/>
      <c r="P667" s="64"/>
      <c r="Q667" s="64"/>
      <c r="R667" s="64"/>
      <c r="S667" s="64"/>
      <c r="T667" s="64"/>
      <c r="U667" s="64"/>
      <c r="V667" s="64"/>
      <c r="W667" s="64"/>
      <c r="X667" s="64"/>
      <c r="Y667" s="64"/>
      <c r="Z667" s="64"/>
      <c r="AA667" s="64"/>
      <c r="AB667" s="64"/>
      <c r="AC667" s="64"/>
      <c r="AD667" s="64"/>
      <c r="AE667" s="64"/>
      <c r="AF667" s="64"/>
      <c r="AG667" s="64"/>
    </row>
    <row r="668" spans="1:33">
      <c r="A668" s="25"/>
      <c r="B668" s="25"/>
      <c r="C668" s="25"/>
      <c r="D668" s="25"/>
      <c r="E668" s="62"/>
      <c r="F668" s="63"/>
      <c r="G668" s="25"/>
      <c r="H668" s="63"/>
      <c r="I668" s="63"/>
      <c r="J668" s="64"/>
      <c r="K668" s="64"/>
      <c r="L668" s="64"/>
      <c r="M668" s="64"/>
      <c r="N668" s="64"/>
      <c r="O668" s="64"/>
      <c r="P668" s="64"/>
      <c r="Q668" s="64"/>
      <c r="R668" s="64"/>
      <c r="S668" s="64"/>
      <c r="T668" s="64"/>
      <c r="U668" s="64"/>
      <c r="V668" s="64"/>
      <c r="W668" s="64"/>
      <c r="X668" s="64"/>
      <c r="Y668" s="64"/>
      <c r="Z668" s="64"/>
      <c r="AA668" s="64"/>
      <c r="AB668" s="64"/>
      <c r="AC668" s="64"/>
      <c r="AD668" s="64"/>
      <c r="AE668" s="64"/>
      <c r="AF668" s="64"/>
      <c r="AG668" s="64"/>
    </row>
    <row r="669" spans="1:33">
      <c r="A669" s="25"/>
      <c r="B669" s="25"/>
      <c r="C669" s="25"/>
      <c r="D669" s="25"/>
      <c r="E669" s="62"/>
      <c r="F669" s="63"/>
      <c r="G669" s="25"/>
      <c r="H669" s="63"/>
      <c r="I669" s="63"/>
      <c r="J669" s="64"/>
      <c r="K669" s="64"/>
      <c r="L669" s="64"/>
      <c r="M669" s="64"/>
      <c r="N669" s="64"/>
      <c r="O669" s="64"/>
      <c r="P669" s="64"/>
      <c r="Q669" s="64"/>
      <c r="R669" s="64"/>
      <c r="S669" s="64"/>
      <c r="T669" s="64"/>
      <c r="U669" s="64"/>
      <c r="V669" s="64"/>
      <c r="W669" s="64"/>
      <c r="X669" s="64"/>
      <c r="Y669" s="64"/>
      <c r="Z669" s="64"/>
      <c r="AA669" s="64"/>
      <c r="AB669" s="64"/>
      <c r="AC669" s="64"/>
      <c r="AD669" s="64"/>
      <c r="AE669" s="64"/>
      <c r="AF669" s="64"/>
      <c r="AG669" s="64"/>
    </row>
    <row r="670" spans="1:33">
      <c r="A670" s="25"/>
      <c r="B670" s="25"/>
      <c r="C670" s="25"/>
      <c r="D670" s="25"/>
      <c r="E670" s="62"/>
      <c r="F670" s="63"/>
      <c r="G670" s="25"/>
      <c r="H670" s="63"/>
      <c r="I670" s="63"/>
      <c r="J670" s="64"/>
      <c r="K670" s="64"/>
      <c r="L670" s="64"/>
      <c r="M670" s="64"/>
      <c r="N670" s="64"/>
      <c r="O670" s="64"/>
      <c r="P670" s="64"/>
      <c r="Q670" s="64"/>
      <c r="R670" s="64"/>
      <c r="S670" s="64"/>
      <c r="T670" s="64"/>
      <c r="U670" s="64"/>
      <c r="V670" s="64"/>
      <c r="W670" s="64"/>
      <c r="X670" s="64"/>
      <c r="Y670" s="64"/>
      <c r="Z670" s="64"/>
      <c r="AA670" s="64"/>
      <c r="AB670" s="64"/>
      <c r="AC670" s="64"/>
      <c r="AD670" s="64"/>
      <c r="AE670" s="64"/>
      <c r="AF670" s="64"/>
      <c r="AG670" s="64"/>
    </row>
    <row r="671" spans="1:33">
      <c r="A671" s="25"/>
      <c r="B671" s="25"/>
      <c r="C671" s="25"/>
      <c r="D671" s="25"/>
      <c r="E671" s="62"/>
      <c r="F671" s="63"/>
      <c r="G671" s="25"/>
      <c r="H671" s="63"/>
      <c r="I671" s="63"/>
      <c r="J671" s="64"/>
      <c r="K671" s="64"/>
      <c r="L671" s="64"/>
      <c r="M671" s="64"/>
      <c r="N671" s="64"/>
      <c r="O671" s="64"/>
      <c r="P671" s="64"/>
      <c r="Q671" s="64"/>
      <c r="R671" s="64"/>
      <c r="S671" s="64"/>
      <c r="T671" s="64"/>
      <c r="U671" s="64"/>
      <c r="V671" s="64"/>
      <c r="W671" s="64"/>
      <c r="X671" s="64"/>
      <c r="Y671" s="64"/>
      <c r="Z671" s="64"/>
      <c r="AA671" s="64"/>
      <c r="AB671" s="64"/>
      <c r="AC671" s="64"/>
      <c r="AD671" s="64"/>
      <c r="AE671" s="64"/>
      <c r="AF671" s="64"/>
      <c r="AG671" s="64"/>
    </row>
    <row r="672" spans="1:33">
      <c r="A672" s="25"/>
      <c r="B672" s="25"/>
      <c r="C672" s="25"/>
      <c r="D672" s="25"/>
      <c r="E672" s="62"/>
      <c r="F672" s="63"/>
      <c r="G672" s="25"/>
      <c r="H672" s="63"/>
      <c r="I672" s="63"/>
      <c r="J672" s="64"/>
      <c r="K672" s="64"/>
      <c r="L672" s="64"/>
      <c r="M672" s="64"/>
      <c r="N672" s="64"/>
      <c r="O672" s="64"/>
      <c r="P672" s="64"/>
      <c r="Q672" s="64"/>
      <c r="R672" s="64"/>
      <c r="S672" s="64"/>
      <c r="T672" s="64"/>
      <c r="U672" s="64"/>
      <c r="V672" s="64"/>
      <c r="W672" s="64"/>
      <c r="X672" s="64"/>
      <c r="Y672" s="64"/>
      <c r="Z672" s="64"/>
      <c r="AA672" s="64"/>
      <c r="AB672" s="64"/>
      <c r="AC672" s="64"/>
      <c r="AD672" s="64"/>
      <c r="AE672" s="64"/>
      <c r="AF672" s="64"/>
      <c r="AG672" s="64"/>
    </row>
    <row r="673" spans="1:33">
      <c r="A673" s="25"/>
      <c r="B673" s="25"/>
      <c r="C673" s="25"/>
      <c r="D673" s="25"/>
      <c r="E673" s="62"/>
      <c r="F673" s="63"/>
      <c r="G673" s="25"/>
      <c r="H673" s="63"/>
      <c r="I673" s="63"/>
      <c r="J673" s="64"/>
      <c r="K673" s="64"/>
      <c r="L673" s="64"/>
      <c r="M673" s="64"/>
      <c r="N673" s="64"/>
      <c r="O673" s="64"/>
      <c r="P673" s="64"/>
      <c r="Q673" s="64"/>
      <c r="R673" s="64"/>
      <c r="S673" s="64"/>
      <c r="T673" s="64"/>
      <c r="U673" s="64"/>
      <c r="V673" s="64"/>
      <c r="W673" s="64"/>
      <c r="X673" s="64"/>
      <c r="Y673" s="64"/>
      <c r="Z673" s="64"/>
      <c r="AA673" s="64"/>
      <c r="AB673" s="64"/>
      <c r="AC673" s="64"/>
      <c r="AD673" s="64"/>
      <c r="AE673" s="64"/>
      <c r="AF673" s="64"/>
      <c r="AG673" s="64"/>
    </row>
    <row r="674" spans="1:33">
      <c r="A674" s="25"/>
      <c r="B674" s="25"/>
      <c r="C674" s="25"/>
      <c r="D674" s="25"/>
      <c r="E674" s="62"/>
      <c r="F674" s="63"/>
      <c r="G674" s="25"/>
      <c r="H674" s="63"/>
      <c r="I674" s="63"/>
      <c r="J674" s="64"/>
      <c r="K674" s="64"/>
      <c r="L674" s="64"/>
      <c r="M674" s="64"/>
      <c r="N674" s="64"/>
      <c r="O674" s="64"/>
      <c r="P674" s="64"/>
      <c r="Q674" s="64"/>
      <c r="R674" s="64"/>
      <c r="S674" s="64"/>
      <c r="T674" s="64"/>
      <c r="U674" s="64"/>
      <c r="V674" s="64"/>
      <c r="W674" s="64"/>
      <c r="X674" s="64"/>
      <c r="Y674" s="64"/>
      <c r="Z674" s="64"/>
      <c r="AA674" s="64"/>
      <c r="AB674" s="64"/>
      <c r="AC674" s="64"/>
      <c r="AD674" s="64"/>
      <c r="AE674" s="64"/>
      <c r="AF674" s="64"/>
      <c r="AG674" s="64"/>
    </row>
    <row r="675" spans="1:33">
      <c r="A675" s="25"/>
      <c r="B675" s="25"/>
      <c r="C675" s="25"/>
      <c r="D675" s="25"/>
      <c r="E675" s="62"/>
      <c r="F675" s="63"/>
      <c r="G675" s="25"/>
      <c r="H675" s="63"/>
      <c r="I675" s="63"/>
      <c r="J675" s="64"/>
      <c r="K675" s="64"/>
      <c r="L675" s="64"/>
      <c r="M675" s="64"/>
      <c r="N675" s="64"/>
      <c r="O675" s="64"/>
      <c r="P675" s="64"/>
      <c r="Q675" s="64"/>
      <c r="R675" s="64"/>
      <c r="S675" s="64"/>
      <c r="T675" s="64"/>
      <c r="U675" s="64"/>
      <c r="V675" s="64"/>
      <c r="W675" s="64"/>
      <c r="X675" s="64"/>
      <c r="Y675" s="64"/>
      <c r="Z675" s="64"/>
      <c r="AA675" s="64"/>
      <c r="AB675" s="64"/>
      <c r="AC675" s="64"/>
      <c r="AD675" s="64"/>
      <c r="AE675" s="64"/>
      <c r="AF675" s="64"/>
      <c r="AG675" s="64"/>
    </row>
    <row r="676" spans="1:33">
      <c r="A676" s="25"/>
      <c r="B676" s="25"/>
      <c r="C676" s="25"/>
      <c r="D676" s="25"/>
      <c r="E676" s="62"/>
      <c r="F676" s="63"/>
      <c r="G676" s="25"/>
      <c r="H676" s="63"/>
      <c r="I676" s="63"/>
      <c r="J676" s="64"/>
      <c r="K676" s="64"/>
      <c r="L676" s="64"/>
      <c r="M676" s="64"/>
      <c r="N676" s="64"/>
      <c r="O676" s="64"/>
      <c r="P676" s="64"/>
      <c r="Q676" s="64"/>
      <c r="R676" s="64"/>
      <c r="S676" s="64"/>
      <c r="T676" s="64"/>
      <c r="U676" s="64"/>
      <c r="V676" s="64"/>
      <c r="W676" s="64"/>
      <c r="X676" s="64"/>
      <c r="Y676" s="64"/>
      <c r="Z676" s="64"/>
      <c r="AA676" s="64"/>
      <c r="AB676" s="64"/>
      <c r="AC676" s="64"/>
      <c r="AD676" s="64"/>
      <c r="AE676" s="64"/>
      <c r="AF676" s="64"/>
      <c r="AG676" s="64"/>
    </row>
    <row r="677" spans="1:33">
      <c r="A677" s="25"/>
      <c r="B677" s="25"/>
      <c r="C677" s="25"/>
      <c r="D677" s="25"/>
      <c r="E677" s="62"/>
      <c r="F677" s="63"/>
      <c r="G677" s="25"/>
      <c r="H677" s="63"/>
      <c r="I677" s="63"/>
      <c r="J677" s="64"/>
      <c r="K677" s="64"/>
      <c r="L677" s="64"/>
      <c r="M677" s="64"/>
      <c r="N677" s="64"/>
      <c r="O677" s="64"/>
      <c r="P677" s="64"/>
      <c r="Q677" s="64"/>
      <c r="R677" s="64"/>
      <c r="S677" s="64"/>
      <c r="T677" s="64"/>
      <c r="U677" s="64"/>
      <c r="V677" s="64"/>
      <c r="W677" s="64"/>
      <c r="X677" s="64"/>
      <c r="Y677" s="64"/>
      <c r="Z677" s="64"/>
      <c r="AA677" s="64"/>
      <c r="AB677" s="64"/>
      <c r="AC677" s="64"/>
      <c r="AD677" s="64"/>
      <c r="AE677" s="64"/>
      <c r="AF677" s="64"/>
      <c r="AG677" s="64"/>
    </row>
    <row r="678" spans="1:33">
      <c r="A678" s="25"/>
      <c r="B678" s="25"/>
      <c r="C678" s="25"/>
      <c r="D678" s="25"/>
      <c r="E678" s="62"/>
      <c r="F678" s="63"/>
      <c r="G678" s="25"/>
      <c r="H678" s="63"/>
      <c r="I678" s="63"/>
      <c r="J678" s="64"/>
      <c r="K678" s="64"/>
      <c r="L678" s="64"/>
      <c r="M678" s="64"/>
      <c r="N678" s="64"/>
      <c r="O678" s="64"/>
      <c r="P678" s="64"/>
      <c r="Q678" s="64"/>
      <c r="R678" s="64"/>
      <c r="S678" s="64"/>
      <c r="T678" s="64"/>
      <c r="U678" s="64"/>
      <c r="V678" s="64"/>
      <c r="W678" s="64"/>
      <c r="X678" s="64"/>
      <c r="Y678" s="64"/>
      <c r="Z678" s="64"/>
      <c r="AA678" s="64"/>
      <c r="AB678" s="64"/>
      <c r="AC678" s="64"/>
      <c r="AD678" s="64"/>
      <c r="AE678" s="64"/>
      <c r="AF678" s="64"/>
      <c r="AG678" s="64"/>
    </row>
    <row r="679" spans="1:33">
      <c r="A679" s="25"/>
      <c r="B679" s="25"/>
      <c r="C679" s="25"/>
      <c r="D679" s="25"/>
      <c r="E679" s="62"/>
      <c r="F679" s="63"/>
      <c r="G679" s="25"/>
      <c r="H679" s="63"/>
      <c r="I679" s="63"/>
      <c r="J679" s="64"/>
      <c r="K679" s="64"/>
      <c r="L679" s="64"/>
      <c r="M679" s="64"/>
      <c r="N679" s="64"/>
      <c r="O679" s="64"/>
      <c r="P679" s="64"/>
      <c r="Q679" s="64"/>
      <c r="R679" s="64"/>
      <c r="S679" s="64"/>
      <c r="T679" s="64"/>
      <c r="U679" s="64"/>
      <c r="V679" s="64"/>
      <c r="W679" s="64"/>
      <c r="X679" s="64"/>
      <c r="Y679" s="64"/>
      <c r="Z679" s="64"/>
      <c r="AA679" s="64"/>
      <c r="AB679" s="64"/>
      <c r="AC679" s="64"/>
      <c r="AD679" s="64"/>
      <c r="AE679" s="64"/>
      <c r="AF679" s="64"/>
      <c r="AG679" s="64"/>
    </row>
    <row r="680" spans="1:33">
      <c r="A680" s="25"/>
      <c r="B680" s="25"/>
      <c r="C680" s="25"/>
      <c r="D680" s="25"/>
      <c r="E680" s="62"/>
      <c r="F680" s="63"/>
      <c r="G680" s="25"/>
      <c r="H680" s="63"/>
      <c r="I680" s="63"/>
      <c r="J680" s="64"/>
      <c r="K680" s="64"/>
      <c r="L680" s="64"/>
      <c r="M680" s="64"/>
      <c r="N680" s="64"/>
      <c r="O680" s="64"/>
      <c r="P680" s="64"/>
      <c r="Q680" s="64"/>
      <c r="R680" s="64"/>
      <c r="S680" s="64"/>
      <c r="T680" s="64"/>
      <c r="U680" s="64"/>
      <c r="V680" s="64"/>
      <c r="W680" s="64"/>
      <c r="X680" s="64"/>
      <c r="Y680" s="64"/>
      <c r="Z680" s="64"/>
      <c r="AA680" s="64"/>
      <c r="AB680" s="64"/>
      <c r="AC680" s="64"/>
      <c r="AD680" s="64"/>
      <c r="AE680" s="64"/>
      <c r="AF680" s="64"/>
      <c r="AG680" s="64"/>
    </row>
    <row r="681" spans="1:33">
      <c r="A681" s="25"/>
      <c r="B681" s="25"/>
      <c r="C681" s="25"/>
      <c r="D681" s="25"/>
      <c r="E681" s="62"/>
      <c r="F681" s="63"/>
      <c r="G681" s="25"/>
      <c r="H681" s="63"/>
      <c r="I681" s="63"/>
      <c r="J681" s="64"/>
      <c r="K681" s="64"/>
      <c r="L681" s="64"/>
      <c r="M681" s="64"/>
      <c r="N681" s="64"/>
      <c r="O681" s="64"/>
      <c r="P681" s="64"/>
      <c r="Q681" s="64"/>
      <c r="R681" s="64"/>
      <c r="S681" s="64"/>
      <c r="T681" s="64"/>
      <c r="U681" s="64"/>
      <c r="V681" s="64"/>
      <c r="W681" s="64"/>
      <c r="X681" s="64"/>
      <c r="Y681" s="64"/>
      <c r="Z681" s="64"/>
      <c r="AA681" s="64"/>
      <c r="AB681" s="64"/>
      <c r="AC681" s="64"/>
      <c r="AD681" s="64"/>
      <c r="AE681" s="64"/>
      <c r="AF681" s="64"/>
      <c r="AG681" s="64"/>
    </row>
    <row r="682" spans="1:33">
      <c r="A682" s="25"/>
      <c r="B682" s="25"/>
      <c r="C682" s="25"/>
      <c r="D682" s="25"/>
      <c r="E682" s="62"/>
      <c r="F682" s="63"/>
      <c r="G682" s="25"/>
      <c r="H682" s="63"/>
      <c r="I682" s="63"/>
      <c r="J682" s="64"/>
      <c r="K682" s="64"/>
      <c r="L682" s="64"/>
      <c r="M682" s="64"/>
      <c r="N682" s="64"/>
      <c r="O682" s="64"/>
      <c r="P682" s="64"/>
      <c r="Q682" s="64"/>
      <c r="R682" s="64"/>
      <c r="S682" s="64"/>
      <c r="T682" s="64"/>
      <c r="U682" s="64"/>
      <c r="V682" s="64"/>
      <c r="W682" s="64"/>
      <c r="X682" s="64"/>
      <c r="Y682" s="64"/>
      <c r="Z682" s="64"/>
      <c r="AA682" s="64"/>
      <c r="AB682" s="64"/>
      <c r="AC682" s="64"/>
      <c r="AD682" s="64"/>
      <c r="AE682" s="64"/>
      <c r="AF682" s="64"/>
      <c r="AG682" s="64"/>
    </row>
    <row r="683" spans="1:33">
      <c r="A683" s="25"/>
      <c r="B683" s="25"/>
      <c r="C683" s="25"/>
      <c r="D683" s="25"/>
      <c r="E683" s="62"/>
      <c r="F683" s="63"/>
      <c r="G683" s="25"/>
      <c r="H683" s="63"/>
      <c r="I683" s="63"/>
      <c r="J683" s="64"/>
      <c r="K683" s="64"/>
      <c r="L683" s="64"/>
      <c r="M683" s="64"/>
      <c r="N683" s="64"/>
      <c r="O683" s="64"/>
      <c r="P683" s="64"/>
      <c r="Q683" s="64"/>
      <c r="R683" s="64"/>
      <c r="S683" s="64"/>
      <c r="T683" s="64"/>
      <c r="U683" s="64"/>
      <c r="V683" s="64"/>
      <c r="W683" s="64"/>
      <c r="X683" s="64"/>
      <c r="Y683" s="64"/>
      <c r="Z683" s="64"/>
      <c r="AA683" s="64"/>
      <c r="AB683" s="64"/>
      <c r="AC683" s="64"/>
      <c r="AD683" s="64"/>
      <c r="AE683" s="64"/>
      <c r="AF683" s="64"/>
      <c r="AG683" s="64"/>
    </row>
    <row r="684" spans="1:33">
      <c r="A684" s="25"/>
      <c r="B684" s="25"/>
      <c r="C684" s="25"/>
      <c r="D684" s="25"/>
      <c r="E684" s="62"/>
      <c r="F684" s="63"/>
      <c r="G684" s="25"/>
      <c r="H684" s="63"/>
      <c r="I684" s="63"/>
      <c r="J684" s="64"/>
      <c r="K684" s="64"/>
      <c r="L684" s="64"/>
      <c r="M684" s="64"/>
      <c r="N684" s="64"/>
      <c r="O684" s="64"/>
      <c r="P684" s="64"/>
      <c r="Q684" s="64"/>
      <c r="R684" s="64"/>
      <c r="S684" s="64"/>
      <c r="T684" s="64"/>
      <c r="U684" s="64"/>
      <c r="V684" s="64"/>
      <c r="W684" s="64"/>
      <c r="X684" s="64"/>
      <c r="Y684" s="64"/>
      <c r="Z684" s="64"/>
      <c r="AA684" s="64"/>
      <c r="AB684" s="64"/>
      <c r="AC684" s="64"/>
      <c r="AD684" s="64"/>
      <c r="AE684" s="64"/>
      <c r="AF684" s="64"/>
      <c r="AG684" s="64"/>
    </row>
    <row r="685" spans="1:33">
      <c r="A685" s="25"/>
      <c r="B685" s="25"/>
      <c r="C685" s="25"/>
      <c r="D685" s="25"/>
      <c r="E685" s="62"/>
      <c r="F685" s="63"/>
      <c r="G685" s="25"/>
      <c r="H685" s="63"/>
      <c r="I685" s="63"/>
      <c r="J685" s="64"/>
      <c r="K685" s="64"/>
      <c r="L685" s="64"/>
      <c r="M685" s="64"/>
      <c r="N685" s="64"/>
      <c r="O685" s="64"/>
      <c r="P685" s="64"/>
      <c r="Q685" s="64"/>
      <c r="R685" s="64"/>
      <c r="S685" s="64"/>
      <c r="T685" s="64"/>
      <c r="U685" s="64"/>
      <c r="V685" s="64"/>
      <c r="W685" s="64"/>
      <c r="X685" s="64"/>
      <c r="Y685" s="64"/>
      <c r="Z685" s="64"/>
      <c r="AA685" s="64"/>
      <c r="AB685" s="64"/>
      <c r="AC685" s="64"/>
      <c r="AD685" s="64"/>
      <c r="AE685" s="64"/>
      <c r="AF685" s="64"/>
      <c r="AG685" s="64"/>
    </row>
    <row r="686" spans="1:33">
      <c r="A686" s="25"/>
      <c r="B686" s="25"/>
      <c r="C686" s="25"/>
      <c r="D686" s="25"/>
      <c r="E686" s="62"/>
      <c r="F686" s="63"/>
      <c r="G686" s="25"/>
      <c r="H686" s="63"/>
      <c r="I686" s="63"/>
      <c r="J686" s="64"/>
      <c r="K686" s="64"/>
      <c r="L686" s="64"/>
      <c r="M686" s="64"/>
      <c r="N686" s="64"/>
      <c r="O686" s="64"/>
      <c r="P686" s="64"/>
      <c r="Q686" s="64"/>
      <c r="R686" s="64"/>
      <c r="S686" s="64"/>
      <c r="T686" s="64"/>
      <c r="U686" s="64"/>
      <c r="V686" s="64"/>
      <c r="W686" s="64"/>
      <c r="X686" s="64"/>
      <c r="Y686" s="64"/>
      <c r="Z686" s="64"/>
      <c r="AA686" s="64"/>
      <c r="AB686" s="64"/>
      <c r="AC686" s="64"/>
      <c r="AD686" s="64"/>
      <c r="AE686" s="64"/>
      <c r="AF686" s="64"/>
      <c r="AG686" s="64"/>
    </row>
    <row r="687" spans="1:33">
      <c r="A687" s="25"/>
      <c r="B687" s="25"/>
      <c r="C687" s="25"/>
      <c r="D687" s="25"/>
      <c r="E687" s="62"/>
      <c r="F687" s="63"/>
      <c r="G687" s="25"/>
      <c r="H687" s="63"/>
      <c r="I687" s="63"/>
      <c r="J687" s="64"/>
      <c r="K687" s="64"/>
      <c r="L687" s="64"/>
      <c r="M687" s="64"/>
      <c r="N687" s="64"/>
      <c r="O687" s="64"/>
      <c r="P687" s="64"/>
      <c r="Q687" s="64"/>
      <c r="R687" s="64"/>
      <c r="S687" s="64"/>
      <c r="T687" s="64"/>
      <c r="U687" s="64"/>
      <c r="V687" s="64"/>
      <c r="W687" s="64"/>
      <c r="X687" s="64"/>
      <c r="Y687" s="64"/>
      <c r="Z687" s="64"/>
      <c r="AA687" s="64"/>
      <c r="AB687" s="64"/>
      <c r="AC687" s="64"/>
      <c r="AD687" s="64"/>
      <c r="AE687" s="64"/>
      <c r="AF687" s="64"/>
      <c r="AG687" s="64"/>
    </row>
    <row r="688" spans="1:33">
      <c r="A688" s="25"/>
      <c r="B688" s="25"/>
      <c r="C688" s="25"/>
      <c r="D688" s="25"/>
      <c r="E688" s="62"/>
      <c r="F688" s="63"/>
      <c r="G688" s="25"/>
      <c r="H688" s="63"/>
      <c r="I688" s="63"/>
      <c r="J688" s="64"/>
      <c r="K688" s="64"/>
      <c r="L688" s="64"/>
      <c r="M688" s="64"/>
      <c r="N688" s="64"/>
      <c r="O688" s="64"/>
      <c r="P688" s="64"/>
      <c r="Q688" s="64"/>
      <c r="R688" s="64"/>
      <c r="S688" s="64"/>
      <c r="T688" s="64"/>
      <c r="U688" s="64"/>
      <c r="V688" s="64"/>
      <c r="W688" s="64"/>
      <c r="X688" s="64"/>
      <c r="Y688" s="64"/>
      <c r="Z688" s="64"/>
      <c r="AA688" s="64"/>
      <c r="AB688" s="64"/>
      <c r="AC688" s="64"/>
      <c r="AD688" s="64"/>
      <c r="AE688" s="64"/>
      <c r="AF688" s="64"/>
      <c r="AG688" s="64"/>
    </row>
    <row r="689" spans="1:33">
      <c r="A689" s="25"/>
      <c r="B689" s="25"/>
      <c r="C689" s="25"/>
      <c r="D689" s="25"/>
      <c r="E689" s="62"/>
      <c r="F689" s="63"/>
      <c r="G689" s="25"/>
      <c r="H689" s="63"/>
      <c r="I689" s="63"/>
      <c r="J689" s="64"/>
      <c r="K689" s="64"/>
      <c r="L689" s="64"/>
      <c r="M689" s="64"/>
      <c r="N689" s="64"/>
      <c r="O689" s="64"/>
      <c r="P689" s="64"/>
      <c r="Q689" s="64"/>
      <c r="R689" s="64"/>
      <c r="S689" s="64"/>
      <c r="T689" s="64"/>
      <c r="U689" s="64"/>
      <c r="V689" s="64"/>
      <c r="W689" s="64"/>
      <c r="X689" s="64"/>
      <c r="Y689" s="64"/>
      <c r="Z689" s="64"/>
      <c r="AA689" s="64"/>
      <c r="AB689" s="64"/>
      <c r="AC689" s="64"/>
      <c r="AD689" s="64"/>
      <c r="AE689" s="64"/>
      <c r="AF689" s="64"/>
      <c r="AG689" s="64"/>
    </row>
    <row r="690" spans="1:33">
      <c r="A690" s="25"/>
      <c r="B690" s="25"/>
      <c r="C690" s="25"/>
      <c r="D690" s="25"/>
      <c r="E690" s="62"/>
      <c r="F690" s="63"/>
      <c r="G690" s="25"/>
      <c r="H690" s="63"/>
      <c r="I690" s="63"/>
      <c r="J690" s="64"/>
      <c r="K690" s="64"/>
      <c r="L690" s="64"/>
      <c r="M690" s="64"/>
      <c r="N690" s="64"/>
      <c r="O690" s="64"/>
      <c r="P690" s="64"/>
      <c r="Q690" s="64"/>
      <c r="R690" s="64"/>
      <c r="S690" s="64"/>
      <c r="T690" s="64"/>
      <c r="U690" s="64"/>
      <c r="V690" s="64"/>
      <c r="W690" s="64"/>
      <c r="X690" s="64"/>
      <c r="Y690" s="64"/>
      <c r="Z690" s="64"/>
      <c r="AA690" s="64"/>
      <c r="AB690" s="64"/>
      <c r="AC690" s="64"/>
      <c r="AD690" s="64"/>
      <c r="AE690" s="64"/>
      <c r="AF690" s="64"/>
      <c r="AG690" s="64"/>
    </row>
    <row r="691" spans="1:33">
      <c r="A691" s="25"/>
      <c r="B691" s="25"/>
      <c r="C691" s="25"/>
      <c r="D691" s="25"/>
      <c r="E691" s="62"/>
      <c r="F691" s="63"/>
      <c r="G691" s="25"/>
      <c r="H691" s="63"/>
      <c r="I691" s="63"/>
      <c r="J691" s="64"/>
      <c r="K691" s="64"/>
      <c r="L691" s="64"/>
      <c r="M691" s="64"/>
      <c r="N691" s="64"/>
      <c r="O691" s="64"/>
      <c r="P691" s="64"/>
      <c r="Q691" s="64"/>
      <c r="R691" s="64"/>
      <c r="S691" s="64"/>
      <c r="T691" s="64"/>
      <c r="U691" s="64"/>
      <c r="V691" s="64"/>
      <c r="W691" s="64"/>
      <c r="X691" s="64"/>
      <c r="Y691" s="64"/>
      <c r="Z691" s="64"/>
      <c r="AA691" s="64"/>
      <c r="AB691" s="64"/>
      <c r="AC691" s="64"/>
      <c r="AD691" s="64"/>
      <c r="AE691" s="64"/>
      <c r="AF691" s="64"/>
      <c r="AG691" s="64"/>
    </row>
    <row r="692" spans="1:33">
      <c r="A692" s="25"/>
      <c r="B692" s="25"/>
      <c r="C692" s="25"/>
      <c r="D692" s="25"/>
      <c r="E692" s="62"/>
      <c r="F692" s="63"/>
      <c r="G692" s="25"/>
      <c r="H692" s="63"/>
      <c r="I692" s="63"/>
      <c r="J692" s="64"/>
      <c r="K692" s="64"/>
      <c r="L692" s="64"/>
      <c r="M692" s="64"/>
      <c r="N692" s="64"/>
      <c r="O692" s="64"/>
      <c r="P692" s="64"/>
      <c r="Q692" s="64"/>
      <c r="R692" s="64"/>
      <c r="S692" s="64"/>
      <c r="T692" s="64"/>
      <c r="U692" s="64"/>
      <c r="V692" s="64"/>
      <c r="W692" s="64"/>
      <c r="X692" s="64"/>
      <c r="Y692" s="64"/>
      <c r="Z692" s="64"/>
      <c r="AA692" s="64"/>
      <c r="AB692" s="64"/>
      <c r="AC692" s="64"/>
      <c r="AD692" s="64"/>
      <c r="AE692" s="64"/>
      <c r="AF692" s="64"/>
      <c r="AG692" s="64"/>
    </row>
    <row r="693" spans="1:33">
      <c r="A693" s="25"/>
      <c r="B693" s="25"/>
      <c r="C693" s="25"/>
      <c r="D693" s="25"/>
      <c r="E693" s="62"/>
      <c r="F693" s="63"/>
      <c r="G693" s="25"/>
      <c r="H693" s="63"/>
      <c r="I693" s="63"/>
      <c r="J693" s="64"/>
      <c r="K693" s="64"/>
      <c r="L693" s="64"/>
      <c r="M693" s="64"/>
      <c r="N693" s="64"/>
      <c r="O693" s="64"/>
      <c r="P693" s="64"/>
      <c r="Q693" s="64"/>
      <c r="R693" s="64"/>
      <c r="S693" s="64"/>
      <c r="T693" s="64"/>
      <c r="U693" s="64"/>
      <c r="V693" s="64"/>
      <c r="W693" s="64"/>
      <c r="X693" s="64"/>
      <c r="Y693" s="64"/>
      <c r="Z693" s="64"/>
      <c r="AA693" s="64"/>
      <c r="AB693" s="64"/>
      <c r="AC693" s="64"/>
      <c r="AD693" s="64"/>
      <c r="AE693" s="64"/>
      <c r="AF693" s="64"/>
      <c r="AG693" s="64"/>
    </row>
    <row r="694" spans="1:33">
      <c r="A694" s="25"/>
      <c r="B694" s="25"/>
      <c r="C694" s="25"/>
      <c r="D694" s="25"/>
      <c r="E694" s="62"/>
      <c r="F694" s="63"/>
      <c r="G694" s="25"/>
      <c r="H694" s="63"/>
      <c r="I694" s="63"/>
      <c r="J694" s="64"/>
      <c r="K694" s="64"/>
      <c r="L694" s="64"/>
      <c r="M694" s="64"/>
      <c r="N694" s="64"/>
      <c r="O694" s="64"/>
      <c r="P694" s="64"/>
      <c r="Q694" s="64"/>
      <c r="R694" s="64"/>
      <c r="S694" s="64"/>
      <c r="T694" s="64"/>
      <c r="U694" s="64"/>
      <c r="V694" s="64"/>
      <c r="W694" s="64"/>
      <c r="X694" s="64"/>
      <c r="Y694" s="64"/>
      <c r="Z694" s="64"/>
      <c r="AA694" s="64"/>
      <c r="AB694" s="64"/>
      <c r="AC694" s="64"/>
      <c r="AD694" s="64"/>
      <c r="AE694" s="64"/>
      <c r="AF694" s="64"/>
      <c r="AG694" s="64"/>
    </row>
    <row r="695" spans="1:33">
      <c r="A695" s="25"/>
      <c r="B695" s="25"/>
      <c r="C695" s="25"/>
      <c r="D695" s="25"/>
      <c r="E695" s="62"/>
      <c r="F695" s="63"/>
      <c r="G695" s="25"/>
      <c r="H695" s="63"/>
      <c r="I695" s="63"/>
      <c r="J695" s="64"/>
      <c r="K695" s="64"/>
      <c r="L695" s="64"/>
      <c r="M695" s="64"/>
      <c r="N695" s="64"/>
      <c r="O695" s="64"/>
      <c r="P695" s="64"/>
      <c r="Q695" s="64"/>
      <c r="R695" s="64"/>
      <c r="S695" s="64"/>
      <c r="T695" s="64"/>
      <c r="U695" s="64"/>
      <c r="V695" s="64"/>
      <c r="W695" s="64"/>
      <c r="X695" s="64"/>
      <c r="Y695" s="64"/>
      <c r="Z695" s="64"/>
      <c r="AA695" s="64"/>
      <c r="AB695" s="64"/>
      <c r="AC695" s="64"/>
      <c r="AD695" s="64"/>
      <c r="AE695" s="64"/>
      <c r="AF695" s="64"/>
      <c r="AG695" s="64"/>
    </row>
    <row r="696" spans="1:33">
      <c r="A696" s="25"/>
      <c r="B696" s="25"/>
      <c r="C696" s="25"/>
      <c r="D696" s="25"/>
      <c r="E696" s="62"/>
      <c r="F696" s="63"/>
      <c r="G696" s="25"/>
      <c r="H696" s="63"/>
      <c r="I696" s="63"/>
      <c r="J696" s="64"/>
      <c r="K696" s="64"/>
      <c r="L696" s="64"/>
      <c r="M696" s="64"/>
      <c r="N696" s="64"/>
      <c r="O696" s="64"/>
      <c r="P696" s="64"/>
      <c r="Q696" s="64"/>
      <c r="R696" s="64"/>
      <c r="S696" s="64"/>
      <c r="T696" s="64"/>
      <c r="U696" s="64"/>
      <c r="V696" s="64"/>
      <c r="W696" s="64"/>
      <c r="X696" s="64"/>
      <c r="Y696" s="64"/>
      <c r="Z696" s="64"/>
      <c r="AA696" s="64"/>
      <c r="AB696" s="64"/>
      <c r="AC696" s="64"/>
      <c r="AD696" s="64"/>
      <c r="AE696" s="64"/>
      <c r="AF696" s="64"/>
      <c r="AG696" s="64"/>
    </row>
    <row r="697" spans="1:33">
      <c r="A697" s="25"/>
      <c r="B697" s="25"/>
      <c r="C697" s="25"/>
      <c r="D697" s="25"/>
      <c r="E697" s="62"/>
      <c r="F697" s="63"/>
      <c r="G697" s="25"/>
      <c r="H697" s="63"/>
      <c r="I697" s="63"/>
      <c r="J697" s="64"/>
      <c r="K697" s="64"/>
      <c r="L697" s="64"/>
      <c r="M697" s="64"/>
      <c r="N697" s="64"/>
      <c r="O697" s="64"/>
      <c r="P697" s="64"/>
      <c r="Q697" s="64"/>
      <c r="R697" s="64"/>
      <c r="S697" s="64"/>
      <c r="T697" s="64"/>
      <c r="U697" s="64"/>
      <c r="V697" s="64"/>
      <c r="W697" s="64"/>
      <c r="X697" s="64"/>
      <c r="Y697" s="64"/>
      <c r="Z697" s="64"/>
      <c r="AA697" s="64"/>
      <c r="AB697" s="64"/>
      <c r="AC697" s="64"/>
      <c r="AD697" s="64"/>
      <c r="AE697" s="64"/>
      <c r="AF697" s="64"/>
      <c r="AG697" s="64"/>
    </row>
    <row r="698" spans="1:33">
      <c r="A698" s="25"/>
      <c r="B698" s="25"/>
      <c r="C698" s="25"/>
      <c r="D698" s="25"/>
      <c r="E698" s="62"/>
      <c r="F698" s="63"/>
      <c r="G698" s="25"/>
      <c r="H698" s="63"/>
      <c r="I698" s="63"/>
      <c r="J698" s="64"/>
      <c r="K698" s="64"/>
      <c r="L698" s="64"/>
      <c r="M698" s="64"/>
      <c r="N698" s="64"/>
      <c r="O698" s="64"/>
      <c r="P698" s="64"/>
      <c r="Q698" s="64"/>
      <c r="R698" s="64"/>
      <c r="S698" s="64"/>
      <c r="T698" s="64"/>
      <c r="U698" s="64"/>
      <c r="V698" s="64"/>
      <c r="W698" s="64"/>
      <c r="X698" s="64"/>
      <c r="Y698" s="64"/>
      <c r="Z698" s="64"/>
      <c r="AA698" s="64"/>
      <c r="AB698" s="64"/>
      <c r="AC698" s="64"/>
      <c r="AD698" s="64"/>
      <c r="AE698" s="64"/>
      <c r="AF698" s="64"/>
      <c r="AG698" s="64"/>
    </row>
    <row r="699" spans="1:33">
      <c r="A699" s="25"/>
      <c r="B699" s="25"/>
      <c r="C699" s="25"/>
      <c r="D699" s="25"/>
      <c r="E699" s="62"/>
      <c r="F699" s="63"/>
      <c r="G699" s="25"/>
      <c r="H699" s="63"/>
      <c r="I699" s="63"/>
      <c r="J699" s="64"/>
      <c r="K699" s="64"/>
      <c r="L699" s="64"/>
      <c r="M699" s="64"/>
      <c r="N699" s="64"/>
      <c r="O699" s="64"/>
      <c r="P699" s="64"/>
      <c r="Q699" s="64"/>
      <c r="R699" s="64"/>
      <c r="S699" s="64"/>
      <c r="T699" s="64"/>
      <c r="U699" s="64"/>
      <c r="V699" s="64"/>
      <c r="W699" s="64"/>
      <c r="X699" s="64"/>
      <c r="Y699" s="64"/>
      <c r="Z699" s="64"/>
      <c r="AA699" s="64"/>
      <c r="AB699" s="64"/>
      <c r="AC699" s="64"/>
      <c r="AD699" s="64"/>
      <c r="AE699" s="64"/>
      <c r="AF699" s="64"/>
      <c r="AG699" s="64"/>
    </row>
    <row r="700" spans="1:33">
      <c r="A700" s="25"/>
      <c r="B700" s="25"/>
      <c r="C700" s="25"/>
      <c r="D700" s="25"/>
      <c r="E700" s="62"/>
      <c r="F700" s="63"/>
      <c r="G700" s="25"/>
      <c r="H700" s="63"/>
      <c r="I700" s="63"/>
      <c r="J700" s="64"/>
      <c r="K700" s="64"/>
      <c r="L700" s="64"/>
      <c r="M700" s="64"/>
      <c r="N700" s="64"/>
      <c r="O700" s="64"/>
      <c r="P700" s="64"/>
      <c r="Q700" s="64"/>
      <c r="R700" s="64"/>
      <c r="S700" s="64"/>
      <c r="T700" s="64"/>
      <c r="U700" s="64"/>
      <c r="V700" s="64"/>
      <c r="W700" s="64"/>
      <c r="X700" s="64"/>
      <c r="Y700" s="64"/>
      <c r="Z700" s="64"/>
      <c r="AA700" s="64"/>
      <c r="AB700" s="64"/>
      <c r="AC700" s="64"/>
      <c r="AD700" s="64"/>
      <c r="AE700" s="64"/>
      <c r="AF700" s="64"/>
      <c r="AG700" s="64"/>
    </row>
    <row r="701" spans="1:33">
      <c r="A701" s="25"/>
      <c r="B701" s="25"/>
      <c r="C701" s="25"/>
      <c r="D701" s="25"/>
      <c r="E701" s="62"/>
      <c r="F701" s="63"/>
      <c r="G701" s="25"/>
      <c r="H701" s="63"/>
      <c r="I701" s="63"/>
      <c r="J701" s="64"/>
      <c r="K701" s="64"/>
      <c r="L701" s="64"/>
      <c r="M701" s="64"/>
      <c r="N701" s="64"/>
      <c r="O701" s="64"/>
      <c r="P701" s="64"/>
      <c r="Q701" s="64"/>
      <c r="R701" s="64"/>
      <c r="S701" s="64"/>
      <c r="T701" s="64"/>
      <c r="U701" s="64"/>
      <c r="V701" s="64"/>
      <c r="W701" s="64"/>
      <c r="X701" s="64"/>
      <c r="Y701" s="64"/>
      <c r="Z701" s="64"/>
      <c r="AA701" s="64"/>
      <c r="AB701" s="64"/>
      <c r="AC701" s="64"/>
      <c r="AD701" s="64"/>
      <c r="AE701" s="64"/>
      <c r="AF701" s="64"/>
      <c r="AG701" s="64"/>
    </row>
    <row r="702" spans="1:33">
      <c r="A702" s="25"/>
      <c r="B702" s="25"/>
      <c r="C702" s="25"/>
      <c r="D702" s="25"/>
      <c r="E702" s="62"/>
      <c r="F702" s="63"/>
      <c r="G702" s="25"/>
      <c r="H702" s="63"/>
      <c r="I702" s="63"/>
      <c r="J702" s="64"/>
      <c r="K702" s="64"/>
      <c r="L702" s="64"/>
      <c r="M702" s="64"/>
      <c r="N702" s="64"/>
      <c r="O702" s="64"/>
      <c r="P702" s="64"/>
      <c r="Q702" s="64"/>
      <c r="R702" s="64"/>
      <c r="S702" s="64"/>
      <c r="T702" s="64"/>
      <c r="U702" s="64"/>
      <c r="V702" s="64"/>
      <c r="W702" s="64"/>
      <c r="X702" s="64"/>
      <c r="Y702" s="64"/>
      <c r="Z702" s="64"/>
      <c r="AA702" s="64"/>
      <c r="AB702" s="64"/>
      <c r="AC702" s="64"/>
      <c r="AD702" s="64"/>
      <c r="AE702" s="64"/>
      <c r="AF702" s="64"/>
      <c r="AG702" s="64"/>
    </row>
    <row r="703" spans="1:33">
      <c r="A703" s="25"/>
      <c r="B703" s="25"/>
      <c r="C703" s="25"/>
      <c r="D703" s="25"/>
      <c r="E703" s="62"/>
      <c r="F703" s="63"/>
      <c r="G703" s="25"/>
      <c r="H703" s="63"/>
      <c r="I703" s="63"/>
      <c r="J703" s="64"/>
      <c r="K703" s="64"/>
      <c r="L703" s="64"/>
      <c r="M703" s="64"/>
      <c r="N703" s="64"/>
      <c r="O703" s="64"/>
      <c r="P703" s="64"/>
      <c r="Q703" s="64"/>
      <c r="R703" s="64"/>
      <c r="S703" s="64"/>
      <c r="T703" s="64"/>
      <c r="U703" s="64"/>
      <c r="V703" s="64"/>
      <c r="W703" s="64"/>
      <c r="X703" s="64"/>
      <c r="Y703" s="64"/>
      <c r="Z703" s="64"/>
      <c r="AA703" s="64"/>
      <c r="AB703" s="64"/>
      <c r="AC703" s="64"/>
      <c r="AD703" s="64"/>
      <c r="AE703" s="64"/>
      <c r="AF703" s="64"/>
      <c r="AG703" s="64"/>
    </row>
    <row r="704" spans="1:33">
      <c r="A704" s="25"/>
      <c r="B704" s="25"/>
      <c r="C704" s="25"/>
      <c r="D704" s="25"/>
      <c r="E704" s="62"/>
      <c r="F704" s="63"/>
      <c r="G704" s="25"/>
      <c r="H704" s="63"/>
      <c r="I704" s="63"/>
      <c r="J704" s="64"/>
      <c r="K704" s="64"/>
      <c r="L704" s="64"/>
      <c r="M704" s="64"/>
      <c r="N704" s="64"/>
      <c r="O704" s="64"/>
      <c r="P704" s="64"/>
      <c r="Q704" s="64"/>
      <c r="R704" s="64"/>
      <c r="S704" s="64"/>
      <c r="T704" s="64"/>
      <c r="U704" s="64"/>
      <c r="V704" s="64"/>
      <c r="W704" s="64"/>
      <c r="X704" s="64"/>
      <c r="Y704" s="64"/>
      <c r="Z704" s="64"/>
      <c r="AA704" s="64"/>
      <c r="AB704" s="64"/>
      <c r="AC704" s="64"/>
      <c r="AD704" s="64"/>
      <c r="AE704" s="64"/>
      <c r="AF704" s="64"/>
      <c r="AG704" s="64"/>
    </row>
    <row r="705" spans="1:33">
      <c r="A705" s="25"/>
      <c r="B705" s="25"/>
      <c r="C705" s="25"/>
      <c r="D705" s="25"/>
      <c r="E705" s="62"/>
      <c r="F705" s="63"/>
      <c r="G705" s="25"/>
      <c r="H705" s="63"/>
      <c r="I705" s="63"/>
      <c r="J705" s="64"/>
      <c r="K705" s="64"/>
      <c r="L705" s="64"/>
      <c r="M705" s="64"/>
      <c r="N705" s="64"/>
      <c r="O705" s="64"/>
      <c r="P705" s="64"/>
      <c r="Q705" s="64"/>
      <c r="R705" s="64"/>
      <c r="S705" s="64"/>
      <c r="T705" s="64"/>
      <c r="U705" s="64"/>
      <c r="V705" s="64"/>
      <c r="W705" s="64"/>
      <c r="X705" s="64"/>
      <c r="Y705" s="64"/>
      <c r="Z705" s="64"/>
      <c r="AA705" s="64"/>
      <c r="AB705" s="64"/>
      <c r="AC705" s="64"/>
      <c r="AD705" s="64"/>
      <c r="AE705" s="64"/>
      <c r="AF705" s="64"/>
      <c r="AG705" s="64"/>
    </row>
    <row r="706" spans="1:33">
      <c r="A706" s="25"/>
      <c r="B706" s="25"/>
      <c r="C706" s="25"/>
      <c r="D706" s="25"/>
      <c r="E706" s="62"/>
      <c r="F706" s="63"/>
      <c r="G706" s="25"/>
      <c r="H706" s="63"/>
      <c r="I706" s="63"/>
      <c r="J706" s="64"/>
      <c r="K706" s="64"/>
      <c r="L706" s="64"/>
      <c r="M706" s="64"/>
      <c r="N706" s="64"/>
      <c r="O706" s="64"/>
      <c r="P706" s="64"/>
      <c r="Q706" s="64"/>
      <c r="R706" s="64"/>
      <c r="S706" s="64"/>
      <c r="T706" s="64"/>
      <c r="U706" s="64"/>
      <c r="V706" s="64"/>
      <c r="W706" s="64"/>
      <c r="X706" s="64"/>
      <c r="Y706" s="64"/>
      <c r="Z706" s="64"/>
      <c r="AA706" s="64"/>
      <c r="AB706" s="64"/>
      <c r="AC706" s="64"/>
      <c r="AD706" s="64"/>
      <c r="AE706" s="64"/>
      <c r="AF706" s="64"/>
      <c r="AG706" s="64"/>
    </row>
    <row r="707" spans="1:33">
      <c r="A707" s="25"/>
      <c r="B707" s="25"/>
      <c r="C707" s="25"/>
      <c r="D707" s="25"/>
      <c r="E707" s="62"/>
      <c r="F707" s="63"/>
      <c r="G707" s="25"/>
      <c r="H707" s="63"/>
      <c r="I707" s="63"/>
      <c r="J707" s="64"/>
      <c r="K707" s="64"/>
      <c r="L707" s="64"/>
      <c r="M707" s="64"/>
      <c r="N707" s="64"/>
      <c r="O707" s="64"/>
      <c r="P707" s="64"/>
      <c r="Q707" s="64"/>
      <c r="R707" s="64"/>
      <c r="S707" s="64"/>
      <c r="T707" s="64"/>
      <c r="U707" s="64"/>
      <c r="V707" s="64"/>
      <c r="W707" s="64"/>
      <c r="X707" s="64"/>
      <c r="Y707" s="64"/>
      <c r="Z707" s="64"/>
      <c r="AA707" s="64"/>
      <c r="AB707" s="64"/>
      <c r="AC707" s="64"/>
      <c r="AD707" s="64"/>
      <c r="AE707" s="64"/>
      <c r="AF707" s="64"/>
      <c r="AG707" s="64"/>
    </row>
    <row r="708" spans="1:33">
      <c r="A708" s="25"/>
      <c r="B708" s="25"/>
      <c r="C708" s="25"/>
      <c r="D708" s="25"/>
      <c r="E708" s="62"/>
      <c r="F708" s="63"/>
      <c r="G708" s="25"/>
      <c r="H708" s="63"/>
      <c r="I708" s="63"/>
      <c r="J708" s="64"/>
      <c r="K708" s="64"/>
      <c r="L708" s="64"/>
      <c r="M708" s="64"/>
      <c r="N708" s="64"/>
      <c r="O708" s="64"/>
      <c r="P708" s="64"/>
      <c r="Q708" s="64"/>
      <c r="R708" s="64"/>
      <c r="S708" s="64"/>
      <c r="T708" s="64"/>
      <c r="U708" s="64"/>
      <c r="V708" s="64"/>
      <c r="W708" s="64"/>
      <c r="X708" s="64"/>
      <c r="Y708" s="64"/>
      <c r="Z708" s="64"/>
      <c r="AA708" s="64"/>
      <c r="AB708" s="64"/>
      <c r="AC708" s="64"/>
      <c r="AD708" s="64"/>
      <c r="AE708" s="64"/>
      <c r="AF708" s="64"/>
      <c r="AG708" s="64"/>
    </row>
    <row r="709" spans="1:33">
      <c r="A709" s="25"/>
      <c r="B709" s="25"/>
      <c r="C709" s="25"/>
      <c r="D709" s="25"/>
      <c r="E709" s="62"/>
      <c r="F709" s="63"/>
      <c r="G709" s="25"/>
      <c r="H709" s="63"/>
      <c r="I709" s="63"/>
      <c r="J709" s="64"/>
      <c r="K709" s="64"/>
      <c r="L709" s="64"/>
      <c r="M709" s="64"/>
      <c r="N709" s="64"/>
      <c r="O709" s="64"/>
      <c r="P709" s="64"/>
      <c r="Q709" s="64"/>
      <c r="R709" s="64"/>
      <c r="S709" s="64"/>
      <c r="T709" s="64"/>
      <c r="U709" s="64"/>
      <c r="V709" s="64"/>
      <c r="W709" s="64"/>
      <c r="X709" s="64"/>
      <c r="Y709" s="64"/>
      <c r="Z709" s="64"/>
      <c r="AA709" s="64"/>
      <c r="AB709" s="64"/>
      <c r="AC709" s="64"/>
      <c r="AD709" s="64"/>
      <c r="AE709" s="64"/>
      <c r="AF709" s="64"/>
      <c r="AG709" s="64"/>
    </row>
    <row r="710" spans="1:33">
      <c r="A710" s="25"/>
      <c r="B710" s="25"/>
      <c r="C710" s="25"/>
      <c r="D710" s="25"/>
      <c r="E710" s="62"/>
      <c r="F710" s="63"/>
      <c r="G710" s="25"/>
      <c r="H710" s="63"/>
      <c r="I710" s="63"/>
      <c r="J710" s="64"/>
      <c r="K710" s="64"/>
      <c r="L710" s="64"/>
      <c r="M710" s="64"/>
      <c r="N710" s="64"/>
      <c r="O710" s="64"/>
      <c r="P710" s="64"/>
      <c r="Q710" s="64"/>
      <c r="R710" s="64"/>
      <c r="S710" s="64"/>
      <c r="T710" s="64"/>
      <c r="U710" s="64"/>
      <c r="V710" s="64"/>
      <c r="W710" s="64"/>
      <c r="X710" s="64"/>
      <c r="Y710" s="64"/>
      <c r="Z710" s="64"/>
      <c r="AA710" s="64"/>
      <c r="AB710" s="64"/>
      <c r="AC710" s="64"/>
      <c r="AD710" s="64"/>
      <c r="AE710" s="64"/>
      <c r="AF710" s="64"/>
      <c r="AG710" s="64"/>
    </row>
    <row r="711" spans="1:33">
      <c r="A711" s="25"/>
      <c r="B711" s="25"/>
      <c r="C711" s="25"/>
      <c r="D711" s="25"/>
      <c r="E711" s="62"/>
      <c r="F711" s="63"/>
      <c r="G711" s="25"/>
      <c r="H711" s="63"/>
      <c r="I711" s="63"/>
      <c r="J711" s="64"/>
      <c r="K711" s="64"/>
      <c r="L711" s="64"/>
      <c r="M711" s="64"/>
      <c r="N711" s="64"/>
      <c r="O711" s="64"/>
      <c r="P711" s="64"/>
      <c r="Q711" s="64"/>
      <c r="R711" s="64"/>
      <c r="S711" s="64"/>
      <c r="T711" s="64"/>
      <c r="U711" s="64"/>
      <c r="V711" s="64"/>
      <c r="W711" s="64"/>
      <c r="X711" s="64"/>
      <c r="Y711" s="64"/>
      <c r="Z711" s="64"/>
      <c r="AA711" s="64"/>
      <c r="AB711" s="64"/>
      <c r="AC711" s="64"/>
      <c r="AD711" s="64"/>
      <c r="AE711" s="64"/>
      <c r="AF711" s="64"/>
      <c r="AG711" s="64"/>
    </row>
    <row r="712" spans="1:33">
      <c r="A712" s="25"/>
      <c r="B712" s="25"/>
      <c r="C712" s="25"/>
      <c r="D712" s="25"/>
      <c r="E712" s="62"/>
      <c r="F712" s="63"/>
      <c r="G712" s="25"/>
      <c r="H712" s="63"/>
      <c r="I712" s="63"/>
      <c r="J712" s="64"/>
      <c r="K712" s="64"/>
      <c r="L712" s="64"/>
      <c r="M712" s="64"/>
      <c r="N712" s="64"/>
      <c r="O712" s="64"/>
      <c r="P712" s="64"/>
      <c r="Q712" s="64"/>
      <c r="R712" s="64"/>
      <c r="S712" s="64"/>
      <c r="T712" s="64"/>
      <c r="U712" s="64"/>
      <c r="V712" s="64"/>
      <c r="W712" s="64"/>
      <c r="X712" s="64"/>
      <c r="Y712" s="64"/>
      <c r="Z712" s="64"/>
      <c r="AA712" s="64"/>
      <c r="AB712" s="64"/>
      <c r="AC712" s="64"/>
      <c r="AD712" s="64"/>
      <c r="AE712" s="64"/>
      <c r="AF712" s="64"/>
      <c r="AG712" s="64"/>
    </row>
    <row r="713" spans="1:33">
      <c r="A713" s="25"/>
      <c r="B713" s="25"/>
      <c r="C713" s="25"/>
      <c r="D713" s="25"/>
      <c r="E713" s="62"/>
      <c r="F713" s="63"/>
      <c r="G713" s="25"/>
      <c r="H713" s="63"/>
      <c r="I713" s="63"/>
      <c r="J713" s="64"/>
      <c r="K713" s="64"/>
      <c r="L713" s="64"/>
      <c r="M713" s="64"/>
      <c r="N713" s="64"/>
      <c r="O713" s="64"/>
      <c r="P713" s="64"/>
      <c r="Q713" s="64"/>
      <c r="R713" s="64"/>
      <c r="S713" s="64"/>
      <c r="T713" s="64"/>
      <c r="U713" s="64"/>
      <c r="V713" s="64"/>
      <c r="W713" s="64"/>
      <c r="X713" s="64"/>
      <c r="Y713" s="64"/>
      <c r="Z713" s="64"/>
      <c r="AA713" s="64"/>
      <c r="AB713" s="64"/>
      <c r="AC713" s="64"/>
      <c r="AD713" s="64"/>
      <c r="AE713" s="64"/>
      <c r="AF713" s="64"/>
      <c r="AG713" s="64"/>
    </row>
    <row r="714" spans="1:33">
      <c r="A714" s="25"/>
      <c r="B714" s="25"/>
      <c r="C714" s="25"/>
      <c r="D714" s="25"/>
      <c r="E714" s="62"/>
      <c r="F714" s="63"/>
      <c r="G714" s="25"/>
      <c r="H714" s="63"/>
      <c r="I714" s="63"/>
      <c r="J714" s="64"/>
      <c r="K714" s="64"/>
      <c r="L714" s="64"/>
      <c r="M714" s="64"/>
      <c r="N714" s="64"/>
      <c r="O714" s="64"/>
      <c r="P714" s="64"/>
      <c r="Q714" s="64"/>
      <c r="R714" s="64"/>
      <c r="S714" s="64"/>
      <c r="T714" s="64"/>
      <c r="U714" s="64"/>
      <c r="V714" s="64"/>
      <c r="W714" s="64"/>
      <c r="X714" s="64"/>
      <c r="Y714" s="64"/>
      <c r="Z714" s="64"/>
      <c r="AA714" s="64"/>
      <c r="AB714" s="64"/>
      <c r="AC714" s="64"/>
      <c r="AD714" s="64"/>
      <c r="AE714" s="64"/>
      <c r="AF714" s="64"/>
      <c r="AG714" s="64"/>
    </row>
    <row r="715" spans="1:33">
      <c r="A715" s="25"/>
      <c r="B715" s="25"/>
      <c r="C715" s="25"/>
      <c r="D715" s="25"/>
      <c r="E715" s="62"/>
      <c r="F715" s="63"/>
      <c r="G715" s="25"/>
      <c r="H715" s="63"/>
      <c r="I715" s="63"/>
      <c r="J715" s="64"/>
      <c r="K715" s="64"/>
      <c r="L715" s="64"/>
      <c r="M715" s="64"/>
      <c r="N715" s="64"/>
      <c r="O715" s="64"/>
      <c r="P715" s="64"/>
      <c r="Q715" s="64"/>
      <c r="R715" s="64"/>
      <c r="S715" s="64"/>
      <c r="T715" s="64"/>
      <c r="U715" s="64"/>
      <c r="V715" s="64"/>
      <c r="W715" s="64"/>
      <c r="X715" s="64"/>
      <c r="Y715" s="64"/>
      <c r="Z715" s="64"/>
      <c r="AA715" s="64"/>
      <c r="AB715" s="64"/>
      <c r="AC715" s="64"/>
      <c r="AD715" s="64"/>
      <c r="AE715" s="64"/>
      <c r="AF715" s="64"/>
      <c r="AG715" s="64"/>
    </row>
    <row r="716" spans="1:33">
      <c r="A716" s="25"/>
      <c r="B716" s="25"/>
      <c r="C716" s="25"/>
      <c r="D716" s="25"/>
      <c r="E716" s="62"/>
      <c r="F716" s="63"/>
      <c r="G716" s="25"/>
      <c r="H716" s="63"/>
      <c r="I716" s="63"/>
      <c r="J716" s="64"/>
      <c r="K716" s="64"/>
      <c r="L716" s="64"/>
      <c r="M716" s="64"/>
      <c r="N716" s="64"/>
      <c r="O716" s="64"/>
      <c r="P716" s="64"/>
      <c r="Q716" s="64"/>
      <c r="R716" s="64"/>
      <c r="S716" s="64"/>
      <c r="T716" s="64"/>
      <c r="U716" s="64"/>
      <c r="V716" s="64"/>
      <c r="W716" s="64"/>
      <c r="X716" s="64"/>
      <c r="Y716" s="64"/>
      <c r="Z716" s="64"/>
      <c r="AA716" s="64"/>
      <c r="AB716" s="64"/>
      <c r="AC716" s="64"/>
      <c r="AD716" s="64"/>
      <c r="AE716" s="64"/>
      <c r="AF716" s="64"/>
      <c r="AG716" s="64"/>
    </row>
    <row r="717" spans="1:33">
      <c r="A717" s="25"/>
      <c r="B717" s="25"/>
      <c r="C717" s="25"/>
      <c r="D717" s="25"/>
      <c r="E717" s="62"/>
      <c r="F717" s="63"/>
      <c r="G717" s="25"/>
      <c r="H717" s="63"/>
      <c r="I717" s="63"/>
      <c r="J717" s="64"/>
      <c r="K717" s="64"/>
      <c r="L717" s="64"/>
      <c r="M717" s="64"/>
      <c r="N717" s="64"/>
      <c r="O717" s="64"/>
      <c r="P717" s="64"/>
      <c r="Q717" s="64"/>
      <c r="R717" s="64"/>
      <c r="S717" s="64"/>
      <c r="T717" s="64"/>
      <c r="U717" s="64"/>
      <c r="V717" s="64"/>
      <c r="W717" s="64"/>
      <c r="X717" s="64"/>
      <c r="Y717" s="64"/>
      <c r="Z717" s="64"/>
      <c r="AA717" s="64"/>
      <c r="AB717" s="64"/>
      <c r="AC717" s="64"/>
      <c r="AD717" s="64"/>
      <c r="AE717" s="64"/>
      <c r="AF717" s="64"/>
      <c r="AG717" s="64"/>
    </row>
    <row r="718" spans="1:33">
      <c r="A718" s="25"/>
      <c r="B718" s="25"/>
      <c r="C718" s="25"/>
      <c r="D718" s="25"/>
      <c r="E718" s="62"/>
      <c r="F718" s="63"/>
      <c r="G718" s="25"/>
      <c r="H718" s="63"/>
      <c r="I718" s="63"/>
      <c r="J718" s="64"/>
      <c r="K718" s="64"/>
      <c r="L718" s="64"/>
      <c r="M718" s="64"/>
      <c r="N718" s="64"/>
      <c r="O718" s="64"/>
      <c r="P718" s="64"/>
      <c r="Q718" s="64"/>
      <c r="R718" s="64"/>
      <c r="S718" s="64"/>
      <c r="T718" s="64"/>
      <c r="U718" s="64"/>
      <c r="V718" s="64"/>
      <c r="W718" s="64"/>
      <c r="X718" s="64"/>
      <c r="Y718" s="64"/>
      <c r="Z718" s="64"/>
      <c r="AA718" s="64"/>
      <c r="AB718" s="64"/>
      <c r="AC718" s="64"/>
      <c r="AD718" s="64"/>
      <c r="AE718" s="64"/>
      <c r="AF718" s="64"/>
      <c r="AG718" s="64"/>
    </row>
    <row r="719" spans="1:33">
      <c r="A719" s="25"/>
      <c r="B719" s="25"/>
      <c r="C719" s="25"/>
      <c r="D719" s="25"/>
      <c r="E719" s="62"/>
      <c r="F719" s="63"/>
      <c r="G719" s="25"/>
      <c r="H719" s="63"/>
      <c r="I719" s="63"/>
      <c r="J719" s="64"/>
      <c r="K719" s="64"/>
      <c r="L719" s="64"/>
      <c r="M719" s="64"/>
      <c r="N719" s="64"/>
      <c r="O719" s="64"/>
      <c r="P719" s="64"/>
      <c r="Q719" s="64"/>
      <c r="R719" s="64"/>
      <c r="S719" s="64"/>
      <c r="T719" s="64"/>
      <c r="U719" s="64"/>
      <c r="V719" s="64"/>
      <c r="W719" s="64"/>
      <c r="X719" s="64"/>
      <c r="Y719" s="64"/>
      <c r="Z719" s="64"/>
      <c r="AA719" s="64"/>
      <c r="AB719" s="64"/>
      <c r="AC719" s="64"/>
      <c r="AD719" s="64"/>
      <c r="AE719" s="64"/>
      <c r="AF719" s="64"/>
      <c r="AG719" s="64"/>
    </row>
    <row r="720" spans="1:33">
      <c r="A720" s="25"/>
      <c r="B720" s="25"/>
      <c r="C720" s="25"/>
      <c r="D720" s="25"/>
      <c r="E720" s="62"/>
      <c r="F720" s="63"/>
      <c r="G720" s="25"/>
      <c r="H720" s="63"/>
      <c r="I720" s="63"/>
      <c r="J720" s="64"/>
      <c r="K720" s="64"/>
      <c r="L720" s="64"/>
      <c r="M720" s="64"/>
      <c r="N720" s="64"/>
      <c r="O720" s="64"/>
      <c r="P720" s="64"/>
      <c r="Q720" s="64"/>
      <c r="R720" s="64"/>
      <c r="S720" s="64"/>
      <c r="T720" s="64"/>
      <c r="U720" s="64"/>
      <c r="V720" s="64"/>
      <c r="W720" s="64"/>
      <c r="X720" s="64"/>
      <c r="Y720" s="64"/>
      <c r="Z720" s="64"/>
      <c r="AA720" s="64"/>
      <c r="AB720" s="64"/>
      <c r="AC720" s="64"/>
      <c r="AD720" s="64"/>
      <c r="AE720" s="64"/>
      <c r="AF720" s="64"/>
      <c r="AG720" s="64"/>
    </row>
    <row r="721" spans="1:33">
      <c r="A721" s="25"/>
      <c r="B721" s="25"/>
      <c r="C721" s="25"/>
      <c r="D721" s="25"/>
      <c r="E721" s="62"/>
      <c r="F721" s="63"/>
      <c r="G721" s="25"/>
      <c r="H721" s="63"/>
      <c r="I721" s="63"/>
      <c r="J721" s="64"/>
      <c r="K721" s="64"/>
      <c r="L721" s="64"/>
      <c r="M721" s="64"/>
      <c r="N721" s="64"/>
      <c r="O721" s="64"/>
      <c r="P721" s="64"/>
      <c r="Q721" s="64"/>
      <c r="R721" s="64"/>
      <c r="S721" s="64"/>
      <c r="T721" s="64"/>
      <c r="U721" s="64"/>
      <c r="V721" s="64"/>
      <c r="W721" s="64"/>
      <c r="X721" s="64"/>
      <c r="Y721" s="64"/>
      <c r="Z721" s="64"/>
      <c r="AA721" s="64"/>
      <c r="AB721" s="64"/>
      <c r="AC721" s="64"/>
      <c r="AD721" s="64"/>
      <c r="AE721" s="64"/>
      <c r="AF721" s="64"/>
      <c r="AG721" s="64"/>
    </row>
    <row r="722" spans="1:33">
      <c r="A722" s="25"/>
      <c r="B722" s="25"/>
      <c r="C722" s="25"/>
      <c r="D722" s="25"/>
      <c r="E722" s="62"/>
      <c r="F722" s="63"/>
      <c r="G722" s="25"/>
      <c r="H722" s="63"/>
      <c r="I722" s="63"/>
      <c r="J722" s="64"/>
      <c r="K722" s="64"/>
      <c r="L722" s="64"/>
      <c r="M722" s="64"/>
      <c r="N722" s="64"/>
      <c r="O722" s="64"/>
      <c r="P722" s="64"/>
      <c r="Q722" s="64"/>
      <c r="R722" s="64"/>
      <c r="S722" s="64"/>
      <c r="T722" s="64"/>
      <c r="U722" s="64"/>
      <c r="V722" s="64"/>
      <c r="W722" s="64"/>
      <c r="X722" s="64"/>
      <c r="Y722" s="64"/>
      <c r="Z722" s="64"/>
      <c r="AA722" s="64"/>
      <c r="AB722" s="64"/>
      <c r="AC722" s="64"/>
      <c r="AD722" s="64"/>
      <c r="AE722" s="64"/>
      <c r="AF722" s="64"/>
      <c r="AG722" s="64"/>
    </row>
    <row r="723" spans="1:33">
      <c r="A723" s="25"/>
      <c r="B723" s="25"/>
      <c r="C723" s="25"/>
      <c r="D723" s="25"/>
      <c r="E723" s="62"/>
      <c r="F723" s="63"/>
      <c r="G723" s="25"/>
      <c r="H723" s="63"/>
      <c r="I723" s="63"/>
      <c r="J723" s="64"/>
      <c r="K723" s="64"/>
      <c r="L723" s="64"/>
      <c r="M723" s="64"/>
      <c r="N723" s="64"/>
      <c r="O723" s="64"/>
      <c r="P723" s="64"/>
      <c r="Q723" s="64"/>
      <c r="R723" s="64"/>
      <c r="S723" s="64"/>
      <c r="T723" s="64"/>
      <c r="U723" s="64"/>
      <c r="V723" s="64"/>
      <c r="W723" s="64"/>
      <c r="X723" s="64"/>
      <c r="Y723" s="64"/>
      <c r="Z723" s="64"/>
      <c r="AA723" s="64"/>
      <c r="AB723" s="64"/>
      <c r="AC723" s="64"/>
      <c r="AD723" s="64"/>
      <c r="AE723" s="64"/>
      <c r="AF723" s="64"/>
      <c r="AG723" s="64"/>
    </row>
    <row r="724" spans="1:33">
      <c r="A724" s="25"/>
      <c r="B724" s="25"/>
      <c r="C724" s="25"/>
      <c r="D724" s="25"/>
      <c r="E724" s="62"/>
      <c r="F724" s="63"/>
      <c r="G724" s="25"/>
      <c r="H724" s="63"/>
      <c r="I724" s="63"/>
      <c r="J724" s="64"/>
      <c r="K724" s="64"/>
      <c r="L724" s="64"/>
      <c r="M724" s="64"/>
      <c r="N724" s="64"/>
      <c r="O724" s="64"/>
      <c r="P724" s="64"/>
      <c r="Q724" s="64"/>
      <c r="R724" s="64"/>
      <c r="S724" s="64"/>
      <c r="T724" s="64"/>
      <c r="U724" s="64"/>
      <c r="V724" s="64"/>
      <c r="W724" s="64"/>
      <c r="X724" s="64"/>
      <c r="Y724" s="64"/>
      <c r="Z724" s="64"/>
      <c r="AA724" s="64"/>
      <c r="AB724" s="64"/>
      <c r="AC724" s="64"/>
      <c r="AD724" s="64"/>
      <c r="AE724" s="64"/>
      <c r="AF724" s="64"/>
      <c r="AG724" s="64"/>
    </row>
    <row r="725" spans="1:33">
      <c r="A725" s="25"/>
      <c r="B725" s="25"/>
      <c r="C725" s="25"/>
      <c r="D725" s="25"/>
      <c r="E725" s="62"/>
      <c r="F725" s="63"/>
      <c r="G725" s="25"/>
      <c r="H725" s="63"/>
      <c r="I725" s="63"/>
      <c r="J725" s="64"/>
      <c r="K725" s="64"/>
      <c r="L725" s="64"/>
      <c r="M725" s="64"/>
      <c r="N725" s="64"/>
      <c r="O725" s="64"/>
      <c r="P725" s="64"/>
      <c r="Q725" s="64"/>
      <c r="R725" s="64"/>
      <c r="S725" s="64"/>
      <c r="T725" s="64"/>
      <c r="U725" s="64"/>
      <c r="V725" s="64"/>
      <c r="W725" s="64"/>
      <c r="X725" s="64"/>
      <c r="Y725" s="64"/>
      <c r="Z725" s="64"/>
      <c r="AA725" s="64"/>
      <c r="AB725" s="64"/>
      <c r="AC725" s="64"/>
      <c r="AD725" s="64"/>
      <c r="AE725" s="64"/>
      <c r="AF725" s="64"/>
      <c r="AG725" s="64"/>
    </row>
    <row r="726" spans="1:33">
      <c r="A726" s="25"/>
      <c r="B726" s="25"/>
      <c r="C726" s="25"/>
      <c r="D726" s="25"/>
      <c r="E726" s="62"/>
      <c r="F726" s="63"/>
      <c r="G726" s="25"/>
      <c r="H726" s="63"/>
      <c r="I726" s="63"/>
      <c r="J726" s="64"/>
      <c r="K726" s="64"/>
      <c r="L726" s="64"/>
      <c r="M726" s="64"/>
      <c r="N726" s="64"/>
      <c r="O726" s="64"/>
      <c r="P726" s="64"/>
      <c r="Q726" s="64"/>
      <c r="R726" s="64"/>
      <c r="S726" s="64"/>
      <c r="T726" s="64"/>
      <c r="U726" s="64"/>
      <c r="V726" s="64"/>
      <c r="W726" s="64"/>
      <c r="X726" s="64"/>
      <c r="Y726" s="64"/>
      <c r="Z726" s="64"/>
      <c r="AA726" s="64"/>
      <c r="AB726" s="64"/>
      <c r="AC726" s="64"/>
      <c r="AD726" s="64"/>
      <c r="AE726" s="64"/>
      <c r="AF726" s="64"/>
      <c r="AG726" s="64"/>
    </row>
    <row r="727" spans="1:33">
      <c r="A727" s="25"/>
      <c r="B727" s="25"/>
      <c r="C727" s="25"/>
      <c r="D727" s="25"/>
      <c r="E727" s="62"/>
      <c r="F727" s="63"/>
      <c r="G727" s="25"/>
      <c r="H727" s="63"/>
      <c r="I727" s="63"/>
      <c r="J727" s="64"/>
      <c r="K727" s="64"/>
      <c r="L727" s="64"/>
      <c r="M727" s="64"/>
      <c r="N727" s="64"/>
      <c r="O727" s="64"/>
      <c r="P727" s="64"/>
      <c r="Q727" s="64"/>
      <c r="R727" s="64"/>
      <c r="S727" s="64"/>
      <c r="T727" s="64"/>
      <c r="U727" s="64"/>
      <c r="V727" s="64"/>
      <c r="W727" s="64"/>
      <c r="X727" s="64"/>
      <c r="Y727" s="64"/>
      <c r="Z727" s="64"/>
      <c r="AA727" s="64"/>
      <c r="AB727" s="64"/>
      <c r="AC727" s="64"/>
      <c r="AD727" s="64"/>
      <c r="AE727" s="64"/>
      <c r="AF727" s="64"/>
      <c r="AG727" s="64"/>
    </row>
    <row r="728" spans="1:33">
      <c r="A728" s="25"/>
      <c r="B728" s="25"/>
      <c r="C728" s="25"/>
      <c r="D728" s="25"/>
      <c r="E728" s="62"/>
      <c r="F728" s="63"/>
      <c r="G728" s="25"/>
      <c r="H728" s="63"/>
      <c r="I728" s="63"/>
      <c r="J728" s="64"/>
      <c r="K728" s="64"/>
      <c r="L728" s="64"/>
      <c r="M728" s="64"/>
      <c r="N728" s="64"/>
      <c r="O728" s="64"/>
      <c r="P728" s="64"/>
      <c r="Q728" s="64"/>
      <c r="R728" s="64"/>
      <c r="S728" s="64"/>
      <c r="T728" s="64"/>
      <c r="U728" s="64"/>
      <c r="V728" s="64"/>
      <c r="W728" s="64"/>
      <c r="X728" s="64"/>
      <c r="Y728" s="64"/>
      <c r="Z728" s="64"/>
      <c r="AA728" s="64"/>
      <c r="AB728" s="64"/>
      <c r="AC728" s="64"/>
      <c r="AD728" s="64"/>
      <c r="AE728" s="64"/>
      <c r="AF728" s="64"/>
      <c r="AG728" s="64"/>
    </row>
    <row r="729" spans="1:33">
      <c r="A729" s="25"/>
      <c r="B729" s="25"/>
      <c r="C729" s="25"/>
      <c r="D729" s="25"/>
      <c r="E729" s="62"/>
      <c r="F729" s="63"/>
      <c r="G729" s="25"/>
      <c r="H729" s="63"/>
      <c r="I729" s="63"/>
      <c r="J729" s="64"/>
      <c r="K729" s="64"/>
      <c r="L729" s="64"/>
      <c r="M729" s="64"/>
      <c r="N729" s="64"/>
      <c r="O729" s="64"/>
      <c r="P729" s="64"/>
      <c r="Q729" s="64"/>
      <c r="R729" s="64"/>
      <c r="S729" s="64"/>
      <c r="T729" s="64"/>
      <c r="U729" s="64"/>
      <c r="V729" s="64"/>
      <c r="W729" s="64"/>
      <c r="X729" s="64"/>
      <c r="Y729" s="64"/>
      <c r="Z729" s="64"/>
      <c r="AA729" s="64"/>
      <c r="AB729" s="64"/>
      <c r="AC729" s="64"/>
      <c r="AD729" s="64"/>
      <c r="AE729" s="64"/>
      <c r="AF729" s="64"/>
      <c r="AG729" s="64"/>
    </row>
    <row r="730" spans="1:33">
      <c r="A730" s="25"/>
      <c r="B730" s="25"/>
      <c r="C730" s="25"/>
      <c r="D730" s="25"/>
      <c r="E730" s="62"/>
      <c r="F730" s="63"/>
      <c r="G730" s="25"/>
      <c r="H730" s="63"/>
      <c r="I730" s="63"/>
      <c r="J730" s="64"/>
      <c r="K730" s="64"/>
      <c r="L730" s="64"/>
      <c r="M730" s="64"/>
      <c r="N730" s="64"/>
      <c r="O730" s="64"/>
      <c r="P730" s="64"/>
      <c r="Q730" s="64"/>
      <c r="R730" s="64"/>
      <c r="S730" s="64"/>
      <c r="T730" s="64"/>
      <c r="U730" s="64"/>
      <c r="V730" s="64"/>
      <c r="W730" s="64"/>
      <c r="X730" s="64"/>
      <c r="Y730" s="64"/>
      <c r="Z730" s="64"/>
      <c r="AA730" s="64"/>
      <c r="AB730" s="64"/>
      <c r="AC730" s="64"/>
      <c r="AD730" s="64"/>
      <c r="AE730" s="64"/>
      <c r="AF730" s="64"/>
      <c r="AG730" s="64"/>
    </row>
    <row r="731" spans="1:33">
      <c r="A731" s="25"/>
      <c r="B731" s="25"/>
      <c r="C731" s="25"/>
      <c r="D731" s="25"/>
      <c r="E731" s="62"/>
      <c r="F731" s="63"/>
      <c r="G731" s="25"/>
      <c r="H731" s="63"/>
      <c r="I731" s="63"/>
      <c r="J731" s="64"/>
      <c r="K731" s="64"/>
      <c r="L731" s="64"/>
      <c r="M731" s="64"/>
      <c r="N731" s="64"/>
      <c r="O731" s="64"/>
      <c r="P731" s="64"/>
      <c r="Q731" s="64"/>
      <c r="R731" s="64"/>
      <c r="S731" s="64"/>
      <c r="T731" s="64"/>
      <c r="U731" s="64"/>
      <c r="V731" s="64"/>
      <c r="W731" s="64"/>
      <c r="X731" s="64"/>
      <c r="Y731" s="64"/>
      <c r="Z731" s="64"/>
      <c r="AA731" s="64"/>
      <c r="AB731" s="64"/>
      <c r="AC731" s="64"/>
      <c r="AD731" s="64"/>
      <c r="AE731" s="64"/>
      <c r="AF731" s="64"/>
      <c r="AG731" s="64"/>
    </row>
    <row r="732" spans="1:33">
      <c r="A732" s="25"/>
      <c r="B732" s="25"/>
      <c r="C732" s="25"/>
      <c r="D732" s="25"/>
      <c r="E732" s="62"/>
      <c r="F732" s="63"/>
      <c r="G732" s="25"/>
      <c r="H732" s="63"/>
      <c r="I732" s="63"/>
      <c r="J732" s="64"/>
      <c r="K732" s="64"/>
      <c r="L732" s="64"/>
      <c r="M732" s="64"/>
      <c r="N732" s="64"/>
      <c r="O732" s="64"/>
      <c r="P732" s="64"/>
      <c r="Q732" s="64"/>
      <c r="R732" s="64"/>
      <c r="S732" s="64"/>
      <c r="T732" s="64"/>
      <c r="U732" s="64"/>
      <c r="V732" s="64"/>
      <c r="W732" s="64"/>
      <c r="X732" s="64"/>
      <c r="Y732" s="64"/>
      <c r="Z732" s="64"/>
      <c r="AA732" s="64"/>
      <c r="AB732" s="64"/>
      <c r="AC732" s="64"/>
      <c r="AD732" s="64"/>
      <c r="AE732" s="64"/>
      <c r="AF732" s="64"/>
      <c r="AG732" s="64"/>
    </row>
    <row r="733" spans="1:33">
      <c r="A733" s="25"/>
      <c r="B733" s="25"/>
      <c r="C733" s="25"/>
      <c r="D733" s="25"/>
      <c r="E733" s="62"/>
      <c r="F733" s="63"/>
      <c r="G733" s="25"/>
      <c r="H733" s="63"/>
      <c r="I733" s="63"/>
      <c r="J733" s="64"/>
      <c r="K733" s="64"/>
      <c r="L733" s="64"/>
      <c r="M733" s="64"/>
      <c r="N733" s="64"/>
      <c r="O733" s="64"/>
      <c r="P733" s="64"/>
      <c r="Q733" s="64"/>
      <c r="R733" s="64"/>
      <c r="S733" s="64"/>
      <c r="T733" s="64"/>
      <c r="U733" s="64"/>
      <c r="V733" s="64"/>
      <c r="W733" s="64"/>
      <c r="X733" s="64"/>
      <c r="Y733" s="64"/>
      <c r="Z733" s="64"/>
      <c r="AA733" s="64"/>
      <c r="AB733" s="64"/>
      <c r="AC733" s="64"/>
      <c r="AD733" s="64"/>
      <c r="AE733" s="64"/>
      <c r="AF733" s="64"/>
      <c r="AG733" s="64"/>
    </row>
    <row r="734" spans="1:33">
      <c r="A734" s="25"/>
      <c r="B734" s="25"/>
      <c r="C734" s="25"/>
      <c r="D734" s="25"/>
      <c r="E734" s="62"/>
      <c r="F734" s="63"/>
      <c r="G734" s="25"/>
      <c r="H734" s="63"/>
      <c r="I734" s="63"/>
      <c r="J734" s="64"/>
      <c r="K734" s="64"/>
      <c r="L734" s="64"/>
      <c r="M734" s="64"/>
      <c r="N734" s="64"/>
      <c r="O734" s="64"/>
      <c r="P734" s="64"/>
      <c r="Q734" s="64"/>
      <c r="R734" s="64"/>
      <c r="S734" s="64"/>
      <c r="T734" s="64"/>
      <c r="U734" s="64"/>
      <c r="V734" s="64"/>
      <c r="W734" s="64"/>
      <c r="X734" s="64"/>
      <c r="Y734" s="64"/>
      <c r="Z734" s="64"/>
      <c r="AA734" s="64"/>
      <c r="AB734" s="64"/>
      <c r="AC734" s="64"/>
      <c r="AD734" s="64"/>
      <c r="AE734" s="64"/>
      <c r="AF734" s="64"/>
      <c r="AG734" s="64"/>
    </row>
    <row r="735" spans="1:33">
      <c r="A735" s="25"/>
      <c r="B735" s="25"/>
      <c r="C735" s="25"/>
      <c r="D735" s="25"/>
      <c r="E735" s="62"/>
      <c r="F735" s="63"/>
      <c r="G735" s="25"/>
      <c r="H735" s="63"/>
      <c r="I735" s="63"/>
      <c r="J735" s="64"/>
      <c r="K735" s="64"/>
      <c r="L735" s="64"/>
      <c r="M735" s="64"/>
      <c r="N735" s="64"/>
      <c r="O735" s="64"/>
      <c r="P735" s="64"/>
      <c r="Q735" s="64"/>
      <c r="R735" s="64"/>
      <c r="S735" s="64"/>
      <c r="T735" s="64"/>
      <c r="U735" s="64"/>
      <c r="V735" s="64"/>
      <c r="W735" s="64"/>
      <c r="X735" s="64"/>
      <c r="Y735" s="64"/>
      <c r="Z735" s="64"/>
      <c r="AA735" s="64"/>
      <c r="AB735" s="64"/>
      <c r="AC735" s="64"/>
      <c r="AD735" s="64"/>
      <c r="AE735" s="64"/>
      <c r="AF735" s="64"/>
      <c r="AG735" s="64"/>
    </row>
    <row r="736" spans="1:33">
      <c r="A736" s="25"/>
      <c r="B736" s="25"/>
      <c r="C736" s="25"/>
      <c r="D736" s="25"/>
      <c r="E736" s="62"/>
      <c r="F736" s="63"/>
      <c r="G736" s="25"/>
      <c r="H736" s="63"/>
      <c r="I736" s="63"/>
      <c r="J736" s="64"/>
      <c r="K736" s="64"/>
      <c r="L736" s="64"/>
      <c r="M736" s="64"/>
      <c r="N736" s="64"/>
      <c r="O736" s="64"/>
      <c r="P736" s="64"/>
      <c r="Q736" s="64"/>
      <c r="R736" s="64"/>
      <c r="S736" s="64"/>
      <c r="T736" s="64"/>
      <c r="U736" s="64"/>
      <c r="V736" s="64"/>
      <c r="W736" s="64"/>
      <c r="X736" s="64"/>
      <c r="Y736" s="64"/>
      <c r="Z736" s="64"/>
      <c r="AA736" s="64"/>
      <c r="AB736" s="64"/>
      <c r="AC736" s="64"/>
      <c r="AD736" s="64"/>
      <c r="AE736" s="64"/>
      <c r="AF736" s="64"/>
      <c r="AG736" s="64"/>
    </row>
    <row r="737" spans="1:33">
      <c r="A737" s="25"/>
      <c r="B737" s="25"/>
      <c r="C737" s="25"/>
      <c r="D737" s="25"/>
      <c r="E737" s="62"/>
      <c r="F737" s="63"/>
      <c r="G737" s="25"/>
      <c r="H737" s="63"/>
      <c r="I737" s="63"/>
      <c r="J737" s="64"/>
      <c r="K737" s="64"/>
      <c r="L737" s="64"/>
      <c r="M737" s="64"/>
      <c r="N737" s="64"/>
      <c r="O737" s="64"/>
      <c r="P737" s="64"/>
      <c r="Q737" s="64"/>
      <c r="R737" s="64"/>
      <c r="S737" s="64"/>
      <c r="T737" s="64"/>
      <c r="U737" s="64"/>
      <c r="V737" s="64"/>
      <c r="W737" s="64"/>
      <c r="X737" s="64"/>
      <c r="Y737" s="64"/>
      <c r="Z737" s="64"/>
      <c r="AA737" s="64"/>
      <c r="AB737" s="64"/>
      <c r="AC737" s="64"/>
      <c r="AD737" s="64"/>
      <c r="AE737" s="64"/>
      <c r="AF737" s="64"/>
      <c r="AG737" s="64"/>
    </row>
    <row r="738" spans="1:33">
      <c r="A738" s="25"/>
      <c r="B738" s="25"/>
      <c r="C738" s="25"/>
      <c r="D738" s="25"/>
      <c r="E738" s="62"/>
      <c r="F738" s="63"/>
      <c r="G738" s="25"/>
      <c r="H738" s="63"/>
      <c r="I738" s="63"/>
      <c r="J738" s="64"/>
      <c r="K738" s="64"/>
      <c r="L738" s="64"/>
      <c r="M738" s="64"/>
      <c r="N738" s="64"/>
      <c r="O738" s="64"/>
      <c r="P738" s="64"/>
      <c r="Q738" s="64"/>
      <c r="R738" s="64"/>
      <c r="S738" s="64"/>
      <c r="T738" s="64"/>
      <c r="U738" s="64"/>
      <c r="V738" s="64"/>
      <c r="W738" s="64"/>
      <c r="X738" s="64"/>
      <c r="Y738" s="64"/>
      <c r="Z738" s="64"/>
      <c r="AA738" s="64"/>
      <c r="AB738" s="64"/>
      <c r="AC738" s="64"/>
      <c r="AD738" s="64"/>
      <c r="AE738" s="64"/>
      <c r="AF738" s="64"/>
      <c r="AG738" s="64"/>
    </row>
    <row r="739" spans="1:33">
      <c r="A739" s="25"/>
      <c r="B739" s="25"/>
      <c r="C739" s="25"/>
      <c r="D739" s="25"/>
      <c r="E739" s="62"/>
      <c r="F739" s="63"/>
      <c r="G739" s="25"/>
      <c r="H739" s="63"/>
      <c r="I739" s="63"/>
      <c r="J739" s="64"/>
      <c r="K739" s="64"/>
      <c r="L739" s="64"/>
      <c r="M739" s="64"/>
      <c r="N739" s="64"/>
      <c r="O739" s="64"/>
      <c r="P739" s="64"/>
      <c r="Q739" s="64"/>
      <c r="R739" s="64"/>
      <c r="S739" s="64"/>
      <c r="T739" s="64"/>
      <c r="U739" s="64"/>
      <c r="V739" s="64"/>
      <c r="W739" s="64"/>
      <c r="X739" s="64"/>
      <c r="Y739" s="64"/>
      <c r="Z739" s="64"/>
      <c r="AA739" s="64"/>
      <c r="AB739" s="64"/>
      <c r="AC739" s="64"/>
      <c r="AD739" s="64"/>
      <c r="AE739" s="64"/>
      <c r="AF739" s="64"/>
      <c r="AG739" s="64"/>
    </row>
    <row r="740" spans="1:33">
      <c r="A740" s="25"/>
      <c r="B740" s="25"/>
      <c r="C740" s="25"/>
      <c r="D740" s="25"/>
      <c r="E740" s="62"/>
      <c r="F740" s="63"/>
      <c r="G740" s="25"/>
      <c r="H740" s="63"/>
      <c r="I740" s="63"/>
      <c r="J740" s="64"/>
      <c r="K740" s="64"/>
      <c r="L740" s="64"/>
      <c r="M740" s="64"/>
      <c r="N740" s="64"/>
      <c r="O740" s="64"/>
      <c r="P740" s="64"/>
      <c r="Q740" s="64"/>
      <c r="R740" s="64"/>
      <c r="S740" s="64"/>
      <c r="T740" s="64"/>
      <c r="U740" s="64"/>
      <c r="V740" s="64"/>
      <c r="W740" s="64"/>
      <c r="X740" s="64"/>
      <c r="Y740" s="64"/>
      <c r="Z740" s="64"/>
      <c r="AA740" s="64"/>
      <c r="AB740" s="64"/>
      <c r="AC740" s="64"/>
      <c r="AD740" s="64"/>
      <c r="AE740" s="64"/>
      <c r="AF740" s="64"/>
      <c r="AG740" s="64"/>
    </row>
    <row r="741" spans="1:33">
      <c r="A741" s="25"/>
      <c r="B741" s="25"/>
      <c r="C741" s="25"/>
      <c r="D741" s="25"/>
      <c r="E741" s="62"/>
      <c r="F741" s="63"/>
      <c r="G741" s="25"/>
      <c r="H741" s="63"/>
      <c r="I741" s="63"/>
      <c r="J741" s="64"/>
      <c r="K741" s="64"/>
      <c r="L741" s="64"/>
      <c r="M741" s="64"/>
      <c r="N741" s="64"/>
      <c r="O741" s="64"/>
      <c r="P741" s="64"/>
      <c r="Q741" s="64"/>
      <c r="R741" s="64"/>
      <c r="S741" s="64"/>
      <c r="T741" s="64"/>
      <c r="U741" s="64"/>
      <c r="V741" s="64"/>
      <c r="W741" s="64"/>
      <c r="X741" s="64"/>
      <c r="Y741" s="64"/>
      <c r="Z741" s="64"/>
      <c r="AA741" s="64"/>
      <c r="AB741" s="64"/>
      <c r="AC741" s="64"/>
      <c r="AD741" s="64"/>
      <c r="AE741" s="64"/>
      <c r="AF741" s="64"/>
      <c r="AG741" s="64"/>
    </row>
    <row r="742" spans="1:33">
      <c r="A742" s="25"/>
      <c r="B742" s="25"/>
      <c r="C742" s="25"/>
      <c r="D742" s="25"/>
      <c r="E742" s="62"/>
      <c r="F742" s="63"/>
      <c r="G742" s="25"/>
      <c r="H742" s="63"/>
      <c r="I742" s="63"/>
      <c r="J742" s="64"/>
      <c r="K742" s="64"/>
      <c r="L742" s="64"/>
      <c r="M742" s="64"/>
      <c r="N742" s="64"/>
      <c r="O742" s="64"/>
      <c r="P742" s="64"/>
      <c r="Q742" s="64"/>
      <c r="R742" s="64"/>
      <c r="S742" s="64"/>
      <c r="T742" s="64"/>
      <c r="U742" s="64"/>
      <c r="V742" s="64"/>
      <c r="W742" s="64"/>
      <c r="X742" s="64"/>
      <c r="Y742" s="64"/>
      <c r="Z742" s="64"/>
      <c r="AA742" s="64"/>
      <c r="AB742" s="64"/>
      <c r="AC742" s="64"/>
      <c r="AD742" s="64"/>
      <c r="AE742" s="64"/>
      <c r="AF742" s="64"/>
      <c r="AG742" s="64"/>
    </row>
    <row r="743" spans="1:33">
      <c r="A743" s="25"/>
      <c r="B743" s="25"/>
      <c r="C743" s="25"/>
      <c r="D743" s="25"/>
      <c r="E743" s="62"/>
      <c r="F743" s="63"/>
      <c r="G743" s="25"/>
      <c r="H743" s="63"/>
      <c r="I743" s="63"/>
      <c r="J743" s="64"/>
      <c r="K743" s="64"/>
      <c r="L743" s="64"/>
      <c r="M743" s="64"/>
      <c r="N743" s="64"/>
      <c r="O743" s="64"/>
      <c r="P743" s="64"/>
      <c r="Q743" s="64"/>
      <c r="R743" s="64"/>
      <c r="S743" s="64"/>
      <c r="T743" s="64"/>
      <c r="U743" s="64"/>
      <c r="V743" s="64"/>
      <c r="W743" s="64"/>
      <c r="X743" s="64"/>
      <c r="Y743" s="64"/>
      <c r="Z743" s="64"/>
      <c r="AA743" s="64"/>
      <c r="AB743" s="64"/>
      <c r="AC743" s="64"/>
      <c r="AD743" s="64"/>
      <c r="AE743" s="64"/>
      <c r="AF743" s="64"/>
      <c r="AG743" s="64"/>
    </row>
    <row r="744" spans="1:33">
      <c r="A744" s="25"/>
      <c r="B744" s="25"/>
      <c r="C744" s="25"/>
      <c r="D744" s="25"/>
      <c r="E744" s="62"/>
      <c r="F744" s="63"/>
      <c r="G744" s="25"/>
      <c r="H744" s="63"/>
      <c r="I744" s="63"/>
      <c r="J744" s="64"/>
      <c r="K744" s="64"/>
      <c r="L744" s="64"/>
      <c r="M744" s="64"/>
      <c r="N744" s="64"/>
      <c r="O744" s="64"/>
      <c r="P744" s="64"/>
      <c r="Q744" s="64"/>
      <c r="R744" s="64"/>
      <c r="S744" s="64"/>
      <c r="T744" s="64"/>
      <c r="U744" s="64"/>
      <c r="V744" s="64"/>
      <c r="W744" s="64"/>
      <c r="X744" s="64"/>
      <c r="Y744" s="64"/>
      <c r="Z744" s="64"/>
      <c r="AA744" s="64"/>
      <c r="AB744" s="64"/>
      <c r="AC744" s="64"/>
      <c r="AD744" s="64"/>
      <c r="AE744" s="64"/>
      <c r="AF744" s="64"/>
      <c r="AG744" s="64"/>
    </row>
    <row r="745" spans="1:33">
      <c r="A745" s="25"/>
      <c r="B745" s="25"/>
      <c r="C745" s="25"/>
      <c r="D745" s="25"/>
      <c r="E745" s="62"/>
      <c r="F745" s="63"/>
      <c r="G745" s="25"/>
      <c r="H745" s="63"/>
      <c r="I745" s="63"/>
      <c r="J745" s="64"/>
      <c r="K745" s="64"/>
      <c r="L745" s="64"/>
      <c r="M745" s="64"/>
      <c r="N745" s="64"/>
      <c r="O745" s="64"/>
      <c r="P745" s="64"/>
      <c r="Q745" s="64"/>
      <c r="R745" s="64"/>
      <c r="S745" s="64"/>
      <c r="T745" s="64"/>
      <c r="U745" s="64"/>
      <c r="V745" s="64"/>
      <c r="W745" s="64"/>
      <c r="X745" s="64"/>
      <c r="Y745" s="64"/>
      <c r="Z745" s="64"/>
      <c r="AA745" s="64"/>
      <c r="AB745" s="64"/>
      <c r="AC745" s="64"/>
      <c r="AD745" s="64"/>
      <c r="AE745" s="64"/>
      <c r="AF745" s="64"/>
      <c r="AG745" s="64"/>
    </row>
    <row r="746" spans="1:33">
      <c r="A746" s="25"/>
      <c r="B746" s="25"/>
      <c r="C746" s="25"/>
      <c r="D746" s="25"/>
      <c r="E746" s="62"/>
      <c r="F746" s="63"/>
      <c r="G746" s="25"/>
      <c r="H746" s="63"/>
      <c r="I746" s="63"/>
      <c r="J746" s="64"/>
      <c r="K746" s="64"/>
      <c r="L746" s="64"/>
      <c r="M746" s="64"/>
      <c r="N746" s="64"/>
      <c r="O746" s="64"/>
      <c r="P746" s="64"/>
      <c r="Q746" s="64"/>
      <c r="R746" s="64"/>
      <c r="S746" s="64"/>
      <c r="T746" s="64"/>
      <c r="U746" s="64"/>
      <c r="V746" s="64"/>
      <c r="W746" s="64"/>
      <c r="X746" s="64"/>
      <c r="Y746" s="64"/>
      <c r="Z746" s="64"/>
      <c r="AA746" s="64"/>
      <c r="AB746" s="64"/>
      <c r="AC746" s="64"/>
      <c r="AD746" s="64"/>
      <c r="AE746" s="64"/>
      <c r="AF746" s="64"/>
      <c r="AG746" s="64"/>
    </row>
    <row r="747" spans="1:33">
      <c r="A747" s="25"/>
      <c r="B747" s="25"/>
      <c r="C747" s="25"/>
      <c r="D747" s="25"/>
      <c r="E747" s="62"/>
      <c r="F747" s="63"/>
      <c r="G747" s="25"/>
      <c r="H747" s="63"/>
      <c r="I747" s="63"/>
      <c r="J747" s="64"/>
      <c r="K747" s="64"/>
      <c r="L747" s="64"/>
      <c r="M747" s="64"/>
      <c r="N747" s="64"/>
      <c r="O747" s="64"/>
      <c r="P747" s="64"/>
      <c r="Q747" s="64"/>
      <c r="R747" s="64"/>
      <c r="S747" s="64"/>
      <c r="T747" s="64"/>
      <c r="U747" s="64"/>
      <c r="V747" s="64"/>
      <c r="W747" s="64"/>
      <c r="X747" s="64"/>
      <c r="Y747" s="64"/>
      <c r="Z747" s="64"/>
      <c r="AA747" s="64"/>
      <c r="AB747" s="64"/>
      <c r="AC747" s="64"/>
      <c r="AD747" s="64"/>
      <c r="AE747" s="64"/>
      <c r="AF747" s="64"/>
      <c r="AG747" s="64"/>
    </row>
    <row r="748" spans="1:33">
      <c r="A748" s="25"/>
      <c r="B748" s="25"/>
      <c r="C748" s="25"/>
      <c r="D748" s="25"/>
      <c r="E748" s="62"/>
      <c r="F748" s="63"/>
      <c r="G748" s="25"/>
      <c r="H748" s="63"/>
      <c r="I748" s="63"/>
      <c r="J748" s="64"/>
      <c r="K748" s="64"/>
      <c r="L748" s="64"/>
      <c r="M748" s="64"/>
      <c r="N748" s="64"/>
      <c r="O748" s="64"/>
      <c r="P748" s="64"/>
      <c r="Q748" s="64"/>
      <c r="R748" s="64"/>
      <c r="S748" s="64"/>
      <c r="T748" s="64"/>
      <c r="U748" s="64"/>
      <c r="V748" s="64"/>
      <c r="W748" s="64"/>
      <c r="X748" s="64"/>
      <c r="Y748" s="64"/>
      <c r="Z748" s="64"/>
      <c r="AA748" s="64"/>
      <c r="AB748" s="64"/>
      <c r="AC748" s="64"/>
      <c r="AD748" s="64"/>
      <c r="AE748" s="64"/>
      <c r="AF748" s="64"/>
      <c r="AG748" s="64"/>
    </row>
    <row r="749" spans="1:33">
      <c r="A749" s="25"/>
      <c r="B749" s="25"/>
      <c r="C749" s="25"/>
      <c r="D749" s="25"/>
      <c r="E749" s="62"/>
      <c r="F749" s="63"/>
      <c r="G749" s="25"/>
      <c r="H749" s="63"/>
      <c r="I749" s="63"/>
      <c r="J749" s="64"/>
      <c r="K749" s="64"/>
      <c r="L749" s="64"/>
      <c r="M749" s="64"/>
      <c r="N749" s="64"/>
      <c r="O749" s="64"/>
      <c r="P749" s="64"/>
      <c r="Q749" s="64"/>
      <c r="R749" s="64"/>
      <c r="S749" s="64"/>
      <c r="T749" s="64"/>
      <c r="U749" s="64"/>
      <c r="V749" s="64"/>
      <c r="W749" s="64"/>
      <c r="X749" s="64"/>
      <c r="Y749" s="64"/>
      <c r="Z749" s="64"/>
      <c r="AA749" s="64"/>
      <c r="AB749" s="64"/>
      <c r="AC749" s="64"/>
      <c r="AD749" s="64"/>
      <c r="AE749" s="64"/>
      <c r="AF749" s="64"/>
      <c r="AG749" s="64"/>
    </row>
    <row r="750" spans="1:33">
      <c r="A750" s="25"/>
      <c r="B750" s="25"/>
      <c r="C750" s="25"/>
      <c r="D750" s="25"/>
      <c r="E750" s="62"/>
      <c r="F750" s="63"/>
      <c r="G750" s="25"/>
      <c r="H750" s="63"/>
      <c r="I750" s="63"/>
      <c r="J750" s="64"/>
      <c r="K750" s="64"/>
      <c r="L750" s="64"/>
      <c r="M750" s="64"/>
      <c r="N750" s="64"/>
      <c r="O750" s="64"/>
      <c r="P750" s="64"/>
      <c r="Q750" s="64"/>
      <c r="R750" s="64"/>
      <c r="S750" s="64"/>
      <c r="T750" s="64"/>
      <c r="U750" s="64"/>
      <c r="V750" s="64"/>
      <c r="W750" s="64"/>
      <c r="X750" s="64"/>
      <c r="Y750" s="64"/>
      <c r="Z750" s="64"/>
      <c r="AA750" s="64"/>
      <c r="AB750" s="64"/>
      <c r="AC750" s="64"/>
      <c r="AD750" s="64"/>
      <c r="AE750" s="64"/>
      <c r="AF750" s="64"/>
      <c r="AG750" s="64"/>
    </row>
    <row r="751" spans="1:33">
      <c r="A751" s="25"/>
      <c r="B751" s="25"/>
      <c r="C751" s="25"/>
      <c r="D751" s="25"/>
      <c r="E751" s="62"/>
      <c r="F751" s="63"/>
      <c r="G751" s="25"/>
      <c r="H751" s="63"/>
      <c r="I751" s="63"/>
      <c r="J751" s="64"/>
      <c r="K751" s="64"/>
      <c r="L751" s="64"/>
      <c r="M751" s="64"/>
      <c r="N751" s="64"/>
      <c r="O751" s="64"/>
      <c r="P751" s="64"/>
      <c r="Q751" s="64"/>
      <c r="R751" s="64"/>
      <c r="S751" s="64"/>
      <c r="T751" s="64"/>
      <c r="U751" s="64"/>
      <c r="V751" s="64"/>
      <c r="W751" s="64"/>
      <c r="X751" s="64"/>
      <c r="Y751" s="64"/>
      <c r="Z751" s="64"/>
      <c r="AA751" s="64"/>
      <c r="AB751" s="64"/>
      <c r="AC751" s="64"/>
      <c r="AD751" s="64"/>
      <c r="AE751" s="64"/>
      <c r="AF751" s="64"/>
      <c r="AG751" s="64"/>
    </row>
    <row r="752" spans="1:33">
      <c r="A752" s="25"/>
      <c r="B752" s="25"/>
      <c r="C752" s="25"/>
      <c r="D752" s="25"/>
      <c r="E752" s="62"/>
      <c r="F752" s="63"/>
      <c r="G752" s="25"/>
      <c r="H752" s="63"/>
      <c r="I752" s="63"/>
      <c r="J752" s="64"/>
      <c r="K752" s="64"/>
      <c r="L752" s="64"/>
      <c r="M752" s="64"/>
      <c r="N752" s="64"/>
      <c r="O752" s="64"/>
      <c r="P752" s="64"/>
      <c r="Q752" s="64"/>
      <c r="R752" s="64"/>
      <c r="S752" s="64"/>
      <c r="T752" s="64"/>
      <c r="U752" s="64"/>
      <c r="V752" s="64"/>
      <c r="W752" s="64"/>
      <c r="X752" s="64"/>
      <c r="Y752" s="64"/>
      <c r="Z752" s="64"/>
      <c r="AA752" s="64"/>
      <c r="AB752" s="64"/>
      <c r="AC752" s="64"/>
      <c r="AD752" s="64"/>
      <c r="AE752" s="64"/>
      <c r="AF752" s="64"/>
      <c r="AG752" s="64"/>
    </row>
    <row r="753" spans="1:33">
      <c r="A753" s="25"/>
      <c r="B753" s="25"/>
      <c r="C753" s="25"/>
      <c r="D753" s="25"/>
      <c r="E753" s="62"/>
      <c r="F753" s="63"/>
      <c r="G753" s="25"/>
      <c r="H753" s="63"/>
      <c r="I753" s="63"/>
      <c r="J753" s="64"/>
      <c r="K753" s="64"/>
      <c r="L753" s="64"/>
      <c r="M753" s="64"/>
      <c r="N753" s="64"/>
      <c r="O753" s="64"/>
      <c r="P753" s="64"/>
      <c r="Q753" s="64"/>
      <c r="R753" s="64"/>
      <c r="S753" s="64"/>
      <c r="T753" s="64"/>
      <c r="U753" s="64"/>
      <c r="V753" s="64"/>
      <c r="W753" s="64"/>
      <c r="X753" s="64"/>
      <c r="Y753" s="64"/>
      <c r="Z753" s="64"/>
      <c r="AA753" s="64"/>
      <c r="AB753" s="64"/>
      <c r="AC753" s="64"/>
      <c r="AD753" s="64"/>
      <c r="AE753" s="64"/>
      <c r="AF753" s="64"/>
      <c r="AG753" s="64"/>
    </row>
    <row r="754" spans="1:33">
      <c r="A754" s="25"/>
      <c r="B754" s="25"/>
      <c r="C754" s="25"/>
      <c r="D754" s="25"/>
      <c r="E754" s="62"/>
      <c r="F754" s="63"/>
      <c r="G754" s="25"/>
      <c r="H754" s="63"/>
      <c r="I754" s="63"/>
      <c r="J754" s="64"/>
      <c r="K754" s="64"/>
      <c r="L754" s="64"/>
      <c r="M754" s="64"/>
      <c r="N754" s="64"/>
      <c r="O754" s="64"/>
      <c r="P754" s="64"/>
      <c r="Q754" s="64"/>
      <c r="R754" s="64"/>
      <c r="S754" s="64"/>
      <c r="T754" s="64"/>
      <c r="U754" s="64"/>
      <c r="V754" s="64"/>
      <c r="W754" s="64"/>
      <c r="X754" s="64"/>
      <c r="Y754" s="64"/>
      <c r="Z754" s="64"/>
      <c r="AA754" s="64"/>
      <c r="AB754" s="64"/>
      <c r="AC754" s="64"/>
      <c r="AD754" s="64"/>
      <c r="AE754" s="64"/>
      <c r="AF754" s="64"/>
      <c r="AG754" s="64"/>
    </row>
    <row r="755" spans="1:33">
      <c r="A755" s="25"/>
      <c r="B755" s="25"/>
      <c r="C755" s="25"/>
      <c r="D755" s="25"/>
      <c r="E755" s="62"/>
      <c r="F755" s="63"/>
      <c r="G755" s="25"/>
      <c r="H755" s="63"/>
      <c r="I755" s="63"/>
      <c r="J755" s="64"/>
      <c r="K755" s="64"/>
      <c r="L755" s="64"/>
      <c r="M755" s="64"/>
      <c r="N755" s="64"/>
      <c r="O755" s="64"/>
      <c r="P755" s="64"/>
      <c r="Q755" s="64"/>
      <c r="R755" s="64"/>
      <c r="S755" s="64"/>
      <c r="T755" s="64"/>
      <c r="U755" s="64"/>
      <c r="V755" s="64"/>
      <c r="W755" s="64"/>
      <c r="X755" s="64"/>
      <c r="Y755" s="64"/>
      <c r="Z755" s="64"/>
      <c r="AA755" s="64"/>
      <c r="AB755" s="64"/>
      <c r="AC755" s="64"/>
      <c r="AD755" s="64"/>
      <c r="AE755" s="64"/>
      <c r="AF755" s="64"/>
      <c r="AG755" s="64"/>
    </row>
    <row r="756" spans="1:33">
      <c r="A756" s="25"/>
      <c r="B756" s="25"/>
      <c r="C756" s="25"/>
      <c r="D756" s="25"/>
      <c r="E756" s="62"/>
      <c r="F756" s="63"/>
      <c r="G756" s="25"/>
      <c r="H756" s="63"/>
      <c r="I756" s="63"/>
      <c r="J756" s="64"/>
      <c r="K756" s="64"/>
      <c r="L756" s="64"/>
      <c r="M756" s="64"/>
      <c r="N756" s="64"/>
      <c r="O756" s="64"/>
      <c r="P756" s="64"/>
      <c r="Q756" s="64"/>
      <c r="R756" s="64"/>
      <c r="S756" s="64"/>
      <c r="T756" s="64"/>
      <c r="U756" s="64"/>
      <c r="V756" s="64"/>
      <c r="W756" s="64"/>
      <c r="X756" s="64"/>
      <c r="Y756" s="64"/>
      <c r="Z756" s="64"/>
      <c r="AA756" s="64"/>
      <c r="AB756" s="64"/>
      <c r="AC756" s="64"/>
      <c r="AD756" s="64"/>
      <c r="AE756" s="64"/>
      <c r="AF756" s="64"/>
      <c r="AG756" s="64"/>
    </row>
    <row r="757" spans="1:33">
      <c r="A757" s="25"/>
      <c r="B757" s="25"/>
      <c r="C757" s="25"/>
      <c r="D757" s="25"/>
      <c r="E757" s="62"/>
      <c r="F757" s="63"/>
      <c r="G757" s="25"/>
      <c r="H757" s="63"/>
      <c r="I757" s="63"/>
      <c r="J757" s="64"/>
      <c r="K757" s="64"/>
      <c r="L757" s="64"/>
      <c r="M757" s="64"/>
      <c r="N757" s="64"/>
      <c r="O757" s="64"/>
      <c r="P757" s="64"/>
      <c r="Q757" s="64"/>
      <c r="R757" s="64"/>
      <c r="S757" s="64"/>
      <c r="T757" s="64"/>
      <c r="U757" s="64"/>
      <c r="V757" s="64"/>
      <c r="W757" s="64"/>
      <c r="X757" s="64"/>
      <c r="Y757" s="64"/>
      <c r="Z757" s="64"/>
      <c r="AA757" s="64"/>
      <c r="AB757" s="64"/>
      <c r="AC757" s="64"/>
      <c r="AD757" s="64"/>
      <c r="AE757" s="64"/>
      <c r="AF757" s="64"/>
      <c r="AG757" s="64"/>
    </row>
    <row r="758" spans="1:33">
      <c r="A758" s="25"/>
      <c r="B758" s="25"/>
      <c r="C758" s="25"/>
      <c r="D758" s="25"/>
      <c r="E758" s="62"/>
      <c r="F758" s="63"/>
      <c r="G758" s="25"/>
      <c r="H758" s="63"/>
      <c r="I758" s="63"/>
      <c r="J758" s="64"/>
      <c r="K758" s="64"/>
      <c r="L758" s="64"/>
      <c r="M758" s="64"/>
      <c r="N758" s="64"/>
      <c r="O758" s="64"/>
      <c r="P758" s="64"/>
      <c r="Q758" s="64"/>
      <c r="R758" s="64"/>
      <c r="S758" s="64"/>
      <c r="T758" s="64"/>
      <c r="U758" s="64"/>
      <c r="V758" s="64"/>
      <c r="W758" s="64"/>
      <c r="X758" s="64"/>
      <c r="Y758" s="64"/>
      <c r="Z758" s="64"/>
      <c r="AA758" s="64"/>
      <c r="AB758" s="64"/>
      <c r="AC758" s="64"/>
      <c r="AD758" s="64"/>
      <c r="AE758" s="64"/>
      <c r="AF758" s="64"/>
      <c r="AG758" s="64"/>
    </row>
    <row r="759" spans="1:33">
      <c r="A759" s="25"/>
      <c r="B759" s="25"/>
      <c r="C759" s="25"/>
      <c r="D759" s="25"/>
      <c r="E759" s="62"/>
      <c r="F759" s="63"/>
      <c r="G759" s="25"/>
      <c r="H759" s="63"/>
      <c r="I759" s="63"/>
      <c r="J759" s="64"/>
      <c r="K759" s="64"/>
      <c r="L759" s="64"/>
      <c r="M759" s="64"/>
      <c r="N759" s="64"/>
      <c r="O759" s="64"/>
      <c r="P759" s="64"/>
      <c r="Q759" s="64"/>
      <c r="R759" s="64"/>
      <c r="S759" s="64"/>
      <c r="T759" s="64"/>
      <c r="U759" s="64"/>
      <c r="V759" s="64"/>
      <c r="W759" s="64"/>
      <c r="X759" s="64"/>
      <c r="Y759" s="64"/>
      <c r="Z759" s="64"/>
      <c r="AA759" s="64"/>
      <c r="AB759" s="64"/>
      <c r="AC759" s="64"/>
      <c r="AD759" s="64"/>
      <c r="AE759" s="64"/>
      <c r="AF759" s="64"/>
      <c r="AG759" s="64"/>
    </row>
    <row r="760" spans="1:33">
      <c r="A760" s="25"/>
      <c r="B760" s="25"/>
      <c r="C760" s="25"/>
      <c r="D760" s="25"/>
      <c r="E760" s="62"/>
      <c r="F760" s="63"/>
      <c r="G760" s="25"/>
      <c r="H760" s="63"/>
      <c r="I760" s="63"/>
      <c r="J760" s="64"/>
      <c r="K760" s="64"/>
      <c r="L760" s="64"/>
      <c r="M760" s="64"/>
      <c r="N760" s="64"/>
      <c r="O760" s="64"/>
      <c r="P760" s="64"/>
      <c r="Q760" s="64"/>
      <c r="R760" s="64"/>
      <c r="S760" s="64"/>
      <c r="T760" s="64"/>
      <c r="U760" s="64"/>
      <c r="V760" s="64"/>
      <c r="W760" s="64"/>
      <c r="X760" s="64"/>
      <c r="Y760" s="64"/>
      <c r="Z760" s="64"/>
      <c r="AA760" s="64"/>
      <c r="AB760" s="64"/>
      <c r="AC760" s="64"/>
      <c r="AD760" s="64"/>
      <c r="AE760" s="64"/>
      <c r="AF760" s="64"/>
      <c r="AG760" s="64"/>
    </row>
    <row r="761" spans="1:33">
      <c r="A761" s="25"/>
      <c r="B761" s="25"/>
      <c r="C761" s="25"/>
      <c r="D761" s="25"/>
      <c r="E761" s="62"/>
      <c r="F761" s="63"/>
      <c r="G761" s="25"/>
      <c r="H761" s="63"/>
      <c r="I761" s="63"/>
      <c r="J761" s="64"/>
      <c r="K761" s="64"/>
      <c r="L761" s="64"/>
      <c r="M761" s="64"/>
      <c r="N761" s="64"/>
      <c r="O761" s="64"/>
      <c r="P761" s="64"/>
      <c r="Q761" s="64"/>
      <c r="R761" s="64"/>
      <c r="S761" s="64"/>
      <c r="T761" s="64"/>
      <c r="U761" s="64"/>
      <c r="V761" s="64"/>
      <c r="W761" s="64"/>
      <c r="X761" s="64"/>
      <c r="Y761" s="64"/>
      <c r="Z761" s="64"/>
      <c r="AA761" s="64"/>
      <c r="AB761" s="64"/>
      <c r="AC761" s="64"/>
      <c r="AD761" s="64"/>
      <c r="AE761" s="64"/>
      <c r="AF761" s="64"/>
      <c r="AG761" s="64"/>
    </row>
    <row r="762" spans="1:33">
      <c r="A762" s="25"/>
      <c r="B762" s="25"/>
      <c r="C762" s="25"/>
      <c r="D762" s="25"/>
      <c r="E762" s="62"/>
      <c r="F762" s="63"/>
      <c r="G762" s="25"/>
      <c r="H762" s="63"/>
      <c r="I762" s="63"/>
      <c r="J762" s="64"/>
      <c r="K762" s="64"/>
      <c r="L762" s="64"/>
      <c r="M762" s="64"/>
      <c r="N762" s="64"/>
      <c r="O762" s="64"/>
      <c r="P762" s="64"/>
      <c r="Q762" s="64"/>
      <c r="R762" s="64"/>
      <c r="S762" s="64"/>
      <c r="T762" s="64"/>
      <c r="U762" s="64"/>
      <c r="V762" s="64"/>
      <c r="W762" s="64"/>
      <c r="X762" s="64"/>
      <c r="Y762" s="64"/>
      <c r="Z762" s="64"/>
      <c r="AA762" s="64"/>
      <c r="AB762" s="64"/>
      <c r="AC762" s="64"/>
      <c r="AD762" s="64"/>
      <c r="AE762" s="64"/>
      <c r="AF762" s="64"/>
      <c r="AG762" s="64"/>
    </row>
    <row r="763" spans="1:33">
      <c r="A763" s="25"/>
      <c r="B763" s="25"/>
      <c r="C763" s="25"/>
      <c r="D763" s="25"/>
      <c r="E763" s="62"/>
      <c r="F763" s="63"/>
      <c r="G763" s="25"/>
      <c r="H763" s="63"/>
      <c r="I763" s="63"/>
      <c r="J763" s="64"/>
      <c r="K763" s="64"/>
      <c r="L763" s="64"/>
      <c r="M763" s="64"/>
      <c r="N763" s="64"/>
      <c r="O763" s="64"/>
      <c r="P763" s="64"/>
      <c r="Q763" s="64"/>
      <c r="R763" s="64"/>
      <c r="S763" s="64"/>
      <c r="T763" s="64"/>
      <c r="U763" s="64"/>
      <c r="V763" s="64"/>
      <c r="W763" s="64"/>
      <c r="X763" s="64"/>
      <c r="Y763" s="64"/>
      <c r="Z763" s="64"/>
      <c r="AA763" s="64"/>
      <c r="AB763" s="64"/>
      <c r="AC763" s="64"/>
      <c r="AD763" s="64"/>
      <c r="AE763" s="64"/>
      <c r="AF763" s="64"/>
      <c r="AG763" s="64"/>
    </row>
    <row r="764" spans="1:33">
      <c r="A764" s="25"/>
      <c r="B764" s="25"/>
      <c r="C764" s="25"/>
      <c r="D764" s="25"/>
      <c r="E764" s="62"/>
      <c r="F764" s="63"/>
      <c r="G764" s="25"/>
      <c r="H764" s="63"/>
      <c r="I764" s="63"/>
      <c r="J764" s="64"/>
      <c r="K764" s="64"/>
      <c r="L764" s="64"/>
      <c r="M764" s="64"/>
      <c r="N764" s="64"/>
      <c r="O764" s="64"/>
      <c r="P764" s="64"/>
      <c r="Q764" s="64"/>
      <c r="R764" s="64"/>
      <c r="S764" s="64"/>
      <c r="T764" s="64"/>
      <c r="U764" s="64"/>
      <c r="V764" s="64"/>
      <c r="W764" s="64"/>
      <c r="X764" s="64"/>
      <c r="Y764" s="64"/>
      <c r="Z764" s="64"/>
      <c r="AA764" s="64"/>
      <c r="AB764" s="64"/>
      <c r="AC764" s="64"/>
      <c r="AD764" s="64"/>
      <c r="AE764" s="64"/>
      <c r="AF764" s="64"/>
      <c r="AG764" s="64"/>
    </row>
    <row r="765" spans="1:33">
      <c r="A765" s="25"/>
      <c r="B765" s="25"/>
      <c r="C765" s="25"/>
      <c r="D765" s="25"/>
      <c r="E765" s="62"/>
      <c r="F765" s="63"/>
      <c r="G765" s="25"/>
      <c r="H765" s="63"/>
      <c r="I765" s="63"/>
      <c r="J765" s="64"/>
      <c r="K765" s="64"/>
      <c r="L765" s="64"/>
      <c r="M765" s="64"/>
      <c r="N765" s="64"/>
      <c r="O765" s="64"/>
      <c r="P765" s="64"/>
      <c r="Q765" s="64"/>
      <c r="R765" s="64"/>
      <c r="S765" s="64"/>
      <c r="T765" s="64"/>
      <c r="U765" s="64"/>
      <c r="V765" s="64"/>
      <c r="W765" s="64"/>
      <c r="X765" s="64"/>
      <c r="Y765" s="64"/>
      <c r="Z765" s="64"/>
      <c r="AA765" s="64"/>
      <c r="AB765" s="64"/>
      <c r="AC765" s="64"/>
      <c r="AD765" s="64"/>
      <c r="AE765" s="64"/>
      <c r="AF765" s="64"/>
      <c r="AG765" s="64"/>
    </row>
    <row r="766" spans="1:33">
      <c r="A766" s="25"/>
      <c r="B766" s="25"/>
      <c r="C766" s="25"/>
      <c r="D766" s="25"/>
      <c r="E766" s="62"/>
      <c r="F766" s="63"/>
      <c r="G766" s="25"/>
      <c r="H766" s="63"/>
      <c r="I766" s="63"/>
      <c r="J766" s="64"/>
      <c r="K766" s="64"/>
      <c r="L766" s="64"/>
      <c r="M766" s="64"/>
      <c r="N766" s="64"/>
      <c r="O766" s="64"/>
      <c r="P766" s="64"/>
      <c r="Q766" s="64"/>
      <c r="R766" s="64"/>
      <c r="S766" s="64"/>
      <c r="T766" s="64"/>
      <c r="U766" s="64"/>
      <c r="V766" s="64"/>
      <c r="W766" s="64"/>
      <c r="X766" s="64"/>
      <c r="Y766" s="64"/>
      <c r="Z766" s="64"/>
      <c r="AA766" s="64"/>
      <c r="AB766" s="64"/>
      <c r="AC766" s="64"/>
      <c r="AD766" s="64"/>
      <c r="AE766" s="64"/>
      <c r="AF766" s="64"/>
      <c r="AG766" s="64"/>
    </row>
    <row r="767" spans="1:33">
      <c r="A767" s="25"/>
      <c r="B767" s="25"/>
      <c r="C767" s="25"/>
      <c r="D767" s="25"/>
      <c r="E767" s="62"/>
      <c r="F767" s="63"/>
      <c r="G767" s="25"/>
      <c r="H767" s="63"/>
      <c r="I767" s="63"/>
      <c r="J767" s="64"/>
      <c r="K767" s="64"/>
      <c r="L767" s="64"/>
      <c r="M767" s="64"/>
      <c r="N767" s="64"/>
      <c r="O767" s="64"/>
      <c r="P767" s="64"/>
      <c r="Q767" s="64"/>
      <c r="R767" s="64"/>
      <c r="S767" s="64"/>
      <c r="T767" s="64"/>
      <c r="U767" s="64"/>
      <c r="V767" s="64"/>
      <c r="W767" s="64"/>
      <c r="X767" s="64"/>
      <c r="Y767" s="64"/>
      <c r="Z767" s="64"/>
      <c r="AA767" s="64"/>
      <c r="AB767" s="64"/>
      <c r="AC767" s="64"/>
      <c r="AD767" s="64"/>
      <c r="AE767" s="64"/>
      <c r="AF767" s="64"/>
      <c r="AG767" s="64"/>
    </row>
    <row r="768" spans="1:33">
      <c r="A768" s="25"/>
      <c r="B768" s="25"/>
      <c r="C768" s="25"/>
      <c r="D768" s="25"/>
      <c r="E768" s="62"/>
      <c r="F768" s="63"/>
      <c r="G768" s="25"/>
      <c r="H768" s="63"/>
      <c r="I768" s="63"/>
      <c r="J768" s="64"/>
      <c r="K768" s="64"/>
      <c r="L768" s="64"/>
      <c r="M768" s="64"/>
      <c r="N768" s="64"/>
      <c r="O768" s="64"/>
      <c r="P768" s="64"/>
      <c r="Q768" s="64"/>
      <c r="R768" s="64"/>
      <c r="S768" s="64"/>
      <c r="T768" s="64"/>
      <c r="U768" s="64"/>
      <c r="V768" s="64"/>
      <c r="W768" s="64"/>
      <c r="X768" s="64"/>
      <c r="Y768" s="64"/>
      <c r="Z768" s="64"/>
      <c r="AA768" s="64"/>
      <c r="AB768" s="64"/>
      <c r="AC768" s="64"/>
      <c r="AD768" s="64"/>
      <c r="AE768" s="64"/>
      <c r="AF768" s="64"/>
      <c r="AG768" s="64"/>
    </row>
    <row r="769" spans="1:33">
      <c r="A769" s="25"/>
      <c r="B769" s="25"/>
      <c r="C769" s="25"/>
      <c r="D769" s="25"/>
      <c r="E769" s="62"/>
      <c r="F769" s="63"/>
      <c r="G769" s="25"/>
      <c r="H769" s="63"/>
      <c r="I769" s="63"/>
      <c r="J769" s="64"/>
      <c r="K769" s="64"/>
      <c r="L769" s="64"/>
      <c r="M769" s="64"/>
      <c r="N769" s="64"/>
      <c r="O769" s="64"/>
      <c r="P769" s="64"/>
      <c r="Q769" s="64"/>
      <c r="R769" s="64"/>
      <c r="S769" s="64"/>
      <c r="T769" s="64"/>
      <c r="U769" s="64"/>
      <c r="V769" s="64"/>
      <c r="W769" s="64"/>
      <c r="X769" s="64"/>
      <c r="Y769" s="64"/>
      <c r="Z769" s="64"/>
      <c r="AA769" s="64"/>
      <c r="AB769" s="64"/>
      <c r="AC769" s="64"/>
      <c r="AD769" s="64"/>
      <c r="AE769" s="64"/>
      <c r="AF769" s="64"/>
      <c r="AG769" s="64"/>
    </row>
    <row r="770" spans="1:33">
      <c r="A770" s="25"/>
      <c r="B770" s="25"/>
      <c r="C770" s="25"/>
      <c r="D770" s="25"/>
      <c r="E770" s="62"/>
      <c r="F770" s="63"/>
      <c r="G770" s="25"/>
      <c r="H770" s="63"/>
      <c r="I770" s="63"/>
      <c r="J770" s="64"/>
      <c r="K770" s="64"/>
      <c r="L770" s="64"/>
      <c r="M770" s="64"/>
      <c r="N770" s="64"/>
      <c r="O770" s="64"/>
      <c r="P770" s="64"/>
      <c r="Q770" s="64"/>
      <c r="R770" s="64"/>
      <c r="S770" s="64"/>
      <c r="T770" s="64"/>
      <c r="U770" s="64"/>
      <c r="V770" s="64"/>
      <c r="W770" s="64"/>
      <c r="X770" s="64"/>
      <c r="Y770" s="64"/>
      <c r="Z770" s="64"/>
      <c r="AA770" s="64"/>
      <c r="AB770" s="64"/>
      <c r="AC770" s="64"/>
      <c r="AD770" s="64"/>
      <c r="AE770" s="64"/>
      <c r="AF770" s="64"/>
      <c r="AG770" s="64"/>
    </row>
    <row r="771" spans="1:33">
      <c r="A771" s="25"/>
      <c r="B771" s="25"/>
      <c r="C771" s="25"/>
      <c r="D771" s="25"/>
      <c r="E771" s="62"/>
      <c r="F771" s="63"/>
      <c r="G771" s="25"/>
      <c r="H771" s="63"/>
      <c r="I771" s="63"/>
      <c r="J771" s="64"/>
      <c r="K771" s="64"/>
      <c r="L771" s="64"/>
      <c r="M771" s="64"/>
      <c r="N771" s="64"/>
      <c r="O771" s="64"/>
      <c r="P771" s="64"/>
      <c r="Q771" s="64"/>
      <c r="R771" s="64"/>
      <c r="S771" s="64"/>
      <c r="T771" s="64"/>
      <c r="U771" s="64"/>
      <c r="V771" s="64"/>
      <c r="W771" s="64"/>
      <c r="X771" s="64"/>
      <c r="Y771" s="64"/>
      <c r="Z771" s="64"/>
      <c r="AA771" s="64"/>
      <c r="AB771" s="64"/>
      <c r="AC771" s="64"/>
      <c r="AD771" s="64"/>
      <c r="AE771" s="64"/>
      <c r="AF771" s="64"/>
      <c r="AG771" s="64"/>
    </row>
    <row r="772" spans="1:33">
      <c r="A772" s="25"/>
      <c r="B772" s="25"/>
      <c r="C772" s="25"/>
      <c r="D772" s="25"/>
      <c r="E772" s="62"/>
      <c r="F772" s="63"/>
      <c r="G772" s="25"/>
      <c r="H772" s="63"/>
      <c r="I772" s="63"/>
      <c r="J772" s="64"/>
      <c r="K772" s="64"/>
      <c r="L772" s="64"/>
      <c r="M772" s="64"/>
      <c r="N772" s="64"/>
      <c r="O772" s="64"/>
      <c r="P772" s="64"/>
      <c r="Q772" s="64"/>
      <c r="R772" s="64"/>
      <c r="S772" s="64"/>
      <c r="T772" s="64"/>
      <c r="U772" s="64"/>
      <c r="V772" s="64"/>
      <c r="W772" s="64"/>
      <c r="X772" s="64"/>
      <c r="Y772" s="64"/>
      <c r="Z772" s="64"/>
      <c r="AA772" s="64"/>
      <c r="AB772" s="64"/>
      <c r="AC772" s="64"/>
      <c r="AD772" s="64"/>
      <c r="AE772" s="64"/>
      <c r="AF772" s="64"/>
      <c r="AG772" s="64"/>
    </row>
    <row r="773" spans="1:33">
      <c r="A773" s="25"/>
      <c r="B773" s="25"/>
      <c r="C773" s="25"/>
      <c r="D773" s="25"/>
      <c r="E773" s="62"/>
      <c r="F773" s="63"/>
      <c r="G773" s="25"/>
      <c r="H773" s="63"/>
      <c r="I773" s="63"/>
      <c r="J773" s="64"/>
      <c r="K773" s="64"/>
      <c r="L773" s="64"/>
      <c r="M773" s="64"/>
      <c r="N773" s="64"/>
      <c r="O773" s="64"/>
      <c r="P773" s="64"/>
      <c r="Q773" s="64"/>
      <c r="R773" s="64"/>
      <c r="S773" s="64"/>
      <c r="T773" s="64"/>
      <c r="U773" s="64"/>
      <c r="V773" s="64"/>
      <c r="W773" s="64"/>
      <c r="X773" s="64"/>
      <c r="Y773" s="64"/>
      <c r="Z773" s="64"/>
      <c r="AA773" s="64"/>
      <c r="AB773" s="64"/>
      <c r="AC773" s="64"/>
      <c r="AD773" s="64"/>
      <c r="AE773" s="64"/>
      <c r="AF773" s="64"/>
      <c r="AG773" s="64"/>
    </row>
    <row r="774" spans="1:33">
      <c r="A774" s="25"/>
      <c r="B774" s="25"/>
      <c r="C774" s="25"/>
      <c r="D774" s="25"/>
      <c r="E774" s="62"/>
      <c r="F774" s="63"/>
      <c r="G774" s="25"/>
      <c r="H774" s="63"/>
      <c r="I774" s="63"/>
      <c r="J774" s="64"/>
      <c r="K774" s="64"/>
      <c r="L774" s="64"/>
      <c r="M774" s="64"/>
      <c r="N774" s="64"/>
      <c r="O774" s="64"/>
      <c r="P774" s="64"/>
      <c r="Q774" s="64"/>
      <c r="R774" s="64"/>
      <c r="S774" s="64"/>
      <c r="T774" s="64"/>
      <c r="U774" s="64"/>
      <c r="V774" s="64"/>
      <c r="W774" s="64"/>
      <c r="X774" s="64"/>
      <c r="Y774" s="64"/>
      <c r="Z774" s="64"/>
      <c r="AA774" s="64"/>
      <c r="AB774" s="64"/>
      <c r="AC774" s="64"/>
      <c r="AD774" s="64"/>
      <c r="AE774" s="64"/>
      <c r="AF774" s="64"/>
      <c r="AG774" s="64"/>
    </row>
    <row r="775" spans="1:33">
      <c r="A775" s="25"/>
      <c r="B775" s="25"/>
      <c r="C775" s="25"/>
      <c r="D775" s="25"/>
      <c r="E775" s="62"/>
      <c r="F775" s="63"/>
      <c r="G775" s="25"/>
      <c r="H775" s="63"/>
      <c r="I775" s="63"/>
      <c r="J775" s="64"/>
      <c r="K775" s="64"/>
      <c r="L775" s="64"/>
      <c r="M775" s="64"/>
      <c r="N775" s="64"/>
      <c r="O775" s="64"/>
      <c r="P775" s="64"/>
      <c r="Q775" s="64"/>
      <c r="R775" s="64"/>
      <c r="S775" s="64"/>
      <c r="T775" s="64"/>
      <c r="U775" s="64"/>
      <c r="V775" s="64"/>
      <c r="W775" s="64"/>
      <c r="X775" s="64"/>
      <c r="Y775" s="64"/>
      <c r="Z775" s="64"/>
      <c r="AA775" s="64"/>
      <c r="AB775" s="64"/>
      <c r="AC775" s="64"/>
      <c r="AD775" s="64"/>
      <c r="AE775" s="64"/>
      <c r="AF775" s="64"/>
      <c r="AG775" s="64"/>
    </row>
    <row r="776" spans="1:33">
      <c r="A776" s="25"/>
      <c r="B776" s="25"/>
      <c r="C776" s="25"/>
      <c r="D776" s="25"/>
      <c r="E776" s="62"/>
      <c r="F776" s="63"/>
      <c r="G776" s="25"/>
      <c r="H776" s="63"/>
      <c r="I776" s="63"/>
      <c r="J776" s="64"/>
      <c r="K776" s="64"/>
      <c r="L776" s="64"/>
      <c r="M776" s="64"/>
      <c r="N776" s="64"/>
      <c r="O776" s="64"/>
      <c r="P776" s="64"/>
      <c r="Q776" s="64"/>
      <c r="R776" s="64"/>
      <c r="S776" s="64"/>
      <c r="T776" s="64"/>
      <c r="U776" s="64"/>
      <c r="V776" s="64"/>
      <c r="W776" s="64"/>
      <c r="X776" s="64"/>
      <c r="Y776" s="64"/>
      <c r="Z776" s="64"/>
      <c r="AA776" s="64"/>
      <c r="AB776" s="64"/>
      <c r="AC776" s="64"/>
      <c r="AD776" s="64"/>
      <c r="AE776" s="64"/>
      <c r="AF776" s="64"/>
      <c r="AG776" s="64"/>
    </row>
    <row r="777" spans="1:33">
      <c r="A777" s="25"/>
      <c r="B777" s="25"/>
      <c r="C777" s="25"/>
      <c r="D777" s="25"/>
      <c r="E777" s="62"/>
      <c r="F777" s="63"/>
      <c r="G777" s="25"/>
      <c r="H777" s="63"/>
      <c r="I777" s="63"/>
      <c r="J777" s="64"/>
      <c r="K777" s="64"/>
      <c r="L777" s="64"/>
      <c r="M777" s="64"/>
      <c r="N777" s="64"/>
      <c r="O777" s="64"/>
      <c r="P777" s="64"/>
      <c r="Q777" s="64"/>
      <c r="R777" s="64"/>
      <c r="S777" s="64"/>
      <c r="T777" s="64"/>
      <c r="U777" s="64"/>
      <c r="V777" s="64"/>
      <c r="W777" s="64"/>
      <c r="X777" s="64"/>
      <c r="Y777" s="64"/>
      <c r="Z777" s="64"/>
      <c r="AA777" s="64"/>
      <c r="AB777" s="64"/>
      <c r="AC777" s="64"/>
      <c r="AD777" s="64"/>
      <c r="AE777" s="64"/>
      <c r="AF777" s="64"/>
      <c r="AG777" s="64"/>
    </row>
    <row r="778" spans="1:33">
      <c r="A778" s="25"/>
      <c r="B778" s="25"/>
      <c r="C778" s="25"/>
      <c r="D778" s="25"/>
      <c r="E778" s="62"/>
      <c r="F778" s="63"/>
      <c r="G778" s="25"/>
      <c r="H778" s="63"/>
      <c r="I778" s="63"/>
      <c r="J778" s="64"/>
      <c r="K778" s="64"/>
      <c r="L778" s="64"/>
      <c r="M778" s="64"/>
      <c r="N778" s="64"/>
      <c r="O778" s="64"/>
      <c r="P778" s="64"/>
      <c r="Q778" s="64"/>
      <c r="R778" s="64"/>
      <c r="S778" s="64"/>
      <c r="T778" s="64"/>
      <c r="U778" s="64"/>
      <c r="V778" s="64"/>
      <c r="W778" s="64"/>
      <c r="X778" s="64"/>
      <c r="Y778" s="64"/>
      <c r="Z778" s="64"/>
      <c r="AA778" s="64"/>
      <c r="AB778" s="64"/>
      <c r="AC778" s="64"/>
      <c r="AD778" s="64"/>
      <c r="AE778" s="64"/>
      <c r="AF778" s="64"/>
      <c r="AG778" s="64"/>
    </row>
    <row r="779" spans="1:33">
      <c r="A779" s="25"/>
      <c r="B779" s="25"/>
      <c r="C779" s="25"/>
      <c r="D779" s="25"/>
      <c r="E779" s="62"/>
      <c r="F779" s="63"/>
      <c r="G779" s="25"/>
      <c r="H779" s="63"/>
      <c r="I779" s="63"/>
      <c r="J779" s="64"/>
      <c r="K779" s="64"/>
      <c r="L779" s="64"/>
      <c r="M779" s="64"/>
      <c r="N779" s="64"/>
      <c r="O779" s="64"/>
      <c r="P779" s="64"/>
      <c r="Q779" s="64"/>
      <c r="R779" s="64"/>
      <c r="S779" s="64"/>
      <c r="T779" s="64"/>
      <c r="U779" s="64"/>
      <c r="V779" s="64"/>
      <c r="W779" s="64"/>
      <c r="X779" s="64"/>
      <c r="Y779" s="64"/>
      <c r="Z779" s="64"/>
      <c r="AA779" s="64"/>
      <c r="AB779" s="64"/>
      <c r="AC779" s="64"/>
      <c r="AD779" s="64"/>
      <c r="AE779" s="64"/>
      <c r="AF779" s="64"/>
      <c r="AG779" s="64"/>
    </row>
    <row r="780" spans="1:33">
      <c r="A780" s="25"/>
      <c r="B780" s="25"/>
      <c r="C780" s="25"/>
      <c r="D780" s="25"/>
      <c r="E780" s="62"/>
      <c r="F780" s="63"/>
      <c r="G780" s="25"/>
      <c r="H780" s="63"/>
      <c r="I780" s="63"/>
      <c r="J780" s="64"/>
      <c r="K780" s="64"/>
      <c r="L780" s="64"/>
      <c r="M780" s="64"/>
      <c r="N780" s="64"/>
      <c r="O780" s="64"/>
      <c r="P780" s="64"/>
      <c r="Q780" s="64"/>
      <c r="R780" s="64"/>
      <c r="S780" s="64"/>
      <c r="T780" s="64"/>
      <c r="U780" s="64"/>
      <c r="V780" s="64"/>
      <c r="W780" s="64"/>
      <c r="X780" s="64"/>
      <c r="Y780" s="64"/>
      <c r="Z780" s="64"/>
      <c r="AA780" s="64"/>
      <c r="AB780" s="64"/>
      <c r="AC780" s="64"/>
      <c r="AD780" s="64"/>
      <c r="AE780" s="64"/>
      <c r="AF780" s="64"/>
      <c r="AG780" s="64"/>
    </row>
    <row r="781" spans="1:33">
      <c r="A781" s="25"/>
      <c r="B781" s="25"/>
      <c r="C781" s="25"/>
      <c r="D781" s="25"/>
      <c r="E781" s="62"/>
      <c r="F781" s="63"/>
      <c r="G781" s="25"/>
      <c r="H781" s="63"/>
      <c r="I781" s="63"/>
      <c r="J781" s="64"/>
      <c r="K781" s="64"/>
      <c r="L781" s="64"/>
      <c r="M781" s="64"/>
      <c r="N781" s="64"/>
      <c r="O781" s="64"/>
      <c r="P781" s="64"/>
      <c r="Q781" s="64"/>
      <c r="R781" s="64"/>
      <c r="S781" s="64"/>
      <c r="T781" s="64"/>
      <c r="U781" s="64"/>
      <c r="V781" s="64"/>
      <c r="W781" s="64"/>
      <c r="X781" s="64"/>
      <c r="Y781" s="64"/>
      <c r="Z781" s="64"/>
      <c r="AA781" s="64"/>
      <c r="AB781" s="64"/>
      <c r="AC781" s="64"/>
      <c r="AD781" s="64"/>
      <c r="AE781" s="64"/>
      <c r="AF781" s="64"/>
      <c r="AG781" s="64"/>
    </row>
    <row r="782" spans="1:33">
      <c r="A782" s="25"/>
      <c r="B782" s="25"/>
      <c r="C782" s="25"/>
      <c r="D782" s="25"/>
      <c r="E782" s="62"/>
      <c r="F782" s="63"/>
      <c r="G782" s="25"/>
      <c r="H782" s="63"/>
      <c r="I782" s="63"/>
      <c r="J782" s="64"/>
      <c r="K782" s="64"/>
      <c r="L782" s="64"/>
      <c r="M782" s="64"/>
      <c r="N782" s="64"/>
      <c r="O782" s="64"/>
      <c r="P782" s="64"/>
      <c r="Q782" s="64"/>
      <c r="R782" s="64"/>
      <c r="S782" s="64"/>
      <c r="T782" s="64"/>
      <c r="U782" s="64"/>
      <c r="V782" s="64"/>
      <c r="W782" s="64"/>
      <c r="X782" s="64"/>
      <c r="Y782" s="64"/>
      <c r="Z782" s="64"/>
      <c r="AA782" s="64"/>
      <c r="AB782" s="64"/>
      <c r="AC782" s="64"/>
      <c r="AD782" s="64"/>
      <c r="AE782" s="64"/>
      <c r="AF782" s="64"/>
      <c r="AG782" s="64"/>
    </row>
    <row r="783" spans="1:33">
      <c r="A783" s="25"/>
      <c r="B783" s="25"/>
      <c r="C783" s="25"/>
      <c r="D783" s="25"/>
      <c r="E783" s="62"/>
      <c r="F783" s="63"/>
      <c r="G783" s="25"/>
      <c r="H783" s="63"/>
      <c r="I783" s="63"/>
      <c r="J783" s="64"/>
      <c r="K783" s="64"/>
      <c r="L783" s="64"/>
      <c r="M783" s="64"/>
      <c r="N783" s="64"/>
      <c r="O783" s="64"/>
      <c r="P783" s="64"/>
      <c r="Q783" s="64"/>
      <c r="R783" s="64"/>
      <c r="S783" s="64"/>
      <c r="T783" s="64"/>
      <c r="U783" s="64"/>
      <c r="V783" s="64"/>
      <c r="W783" s="64"/>
      <c r="X783" s="64"/>
      <c r="Y783" s="64"/>
      <c r="Z783" s="64"/>
      <c r="AA783" s="64"/>
      <c r="AB783" s="64"/>
      <c r="AC783" s="64"/>
      <c r="AD783" s="64"/>
      <c r="AE783" s="64"/>
      <c r="AF783" s="64"/>
      <c r="AG783" s="64"/>
    </row>
    <row r="784" spans="1:33">
      <c r="A784" s="25"/>
      <c r="B784" s="25"/>
      <c r="C784" s="25"/>
      <c r="D784" s="25"/>
      <c r="E784" s="62"/>
      <c r="F784" s="63"/>
      <c r="G784" s="25"/>
      <c r="H784" s="63"/>
      <c r="I784" s="63"/>
      <c r="J784" s="64"/>
      <c r="K784" s="64"/>
      <c r="L784" s="64"/>
      <c r="M784" s="64"/>
      <c r="N784" s="64"/>
      <c r="O784" s="64"/>
      <c r="P784" s="64"/>
      <c r="Q784" s="64"/>
      <c r="R784" s="64"/>
      <c r="S784" s="64"/>
      <c r="T784" s="64"/>
      <c r="U784" s="64"/>
      <c r="V784" s="64"/>
      <c r="W784" s="64"/>
      <c r="X784" s="64"/>
      <c r="Y784" s="64"/>
      <c r="Z784" s="64"/>
      <c r="AA784" s="64"/>
      <c r="AB784" s="64"/>
      <c r="AC784" s="64"/>
      <c r="AD784" s="64"/>
      <c r="AE784" s="64"/>
      <c r="AF784" s="64"/>
      <c r="AG784" s="64"/>
    </row>
    <row r="785" spans="1:33">
      <c r="A785" s="25"/>
      <c r="B785" s="25"/>
      <c r="C785" s="25"/>
      <c r="D785" s="25"/>
      <c r="E785" s="62"/>
      <c r="F785" s="63"/>
      <c r="G785" s="25"/>
      <c r="H785" s="63"/>
      <c r="I785" s="63"/>
      <c r="J785" s="64"/>
      <c r="K785" s="64"/>
      <c r="L785" s="64"/>
      <c r="M785" s="64"/>
      <c r="N785" s="64"/>
      <c r="O785" s="64"/>
      <c r="P785" s="64"/>
      <c r="Q785" s="64"/>
      <c r="R785" s="64"/>
      <c r="S785" s="64"/>
      <c r="T785" s="64"/>
      <c r="U785" s="64"/>
      <c r="V785" s="64"/>
      <c r="W785" s="64"/>
      <c r="X785" s="64"/>
      <c r="Y785" s="64"/>
      <c r="Z785" s="64"/>
      <c r="AA785" s="64"/>
      <c r="AB785" s="64"/>
      <c r="AC785" s="64"/>
      <c r="AD785" s="64"/>
      <c r="AE785" s="64"/>
      <c r="AF785" s="64"/>
      <c r="AG785" s="64"/>
    </row>
    <row r="786" spans="1:33">
      <c r="A786" s="25"/>
      <c r="B786" s="25"/>
      <c r="C786" s="25"/>
      <c r="D786" s="25"/>
      <c r="E786" s="62"/>
      <c r="F786" s="63"/>
      <c r="G786" s="25"/>
      <c r="H786" s="63"/>
      <c r="I786" s="63"/>
      <c r="J786" s="64"/>
      <c r="K786" s="64"/>
      <c r="L786" s="64"/>
      <c r="M786" s="64"/>
      <c r="N786" s="64"/>
      <c r="O786" s="64"/>
      <c r="P786" s="64"/>
      <c r="Q786" s="64"/>
      <c r="R786" s="64"/>
      <c r="S786" s="64"/>
      <c r="T786" s="64"/>
      <c r="U786" s="64"/>
      <c r="V786" s="64"/>
      <c r="W786" s="64"/>
      <c r="X786" s="64"/>
      <c r="Y786" s="64"/>
      <c r="Z786" s="64"/>
      <c r="AA786" s="64"/>
      <c r="AB786" s="64"/>
      <c r="AC786" s="64"/>
      <c r="AD786" s="64"/>
      <c r="AE786" s="64"/>
      <c r="AF786" s="64"/>
      <c r="AG786" s="64"/>
    </row>
    <row r="787" spans="1:33">
      <c r="A787" s="25"/>
      <c r="B787" s="25"/>
      <c r="C787" s="25"/>
      <c r="D787" s="25"/>
      <c r="E787" s="62"/>
      <c r="F787" s="63"/>
      <c r="G787" s="25"/>
      <c r="H787" s="63"/>
      <c r="I787" s="63"/>
      <c r="J787" s="64"/>
      <c r="K787" s="64"/>
      <c r="L787" s="64"/>
      <c r="M787" s="64"/>
      <c r="N787" s="64"/>
      <c r="O787" s="64"/>
      <c r="P787" s="64"/>
      <c r="Q787" s="64"/>
      <c r="R787" s="64"/>
      <c r="S787" s="64"/>
      <c r="T787" s="64"/>
      <c r="U787" s="64"/>
      <c r="V787" s="64"/>
      <c r="W787" s="64"/>
      <c r="X787" s="64"/>
      <c r="Y787" s="64"/>
      <c r="Z787" s="64"/>
      <c r="AA787" s="64"/>
      <c r="AB787" s="64"/>
      <c r="AC787" s="64"/>
      <c r="AD787" s="64"/>
      <c r="AE787" s="64"/>
      <c r="AF787" s="64"/>
      <c r="AG787" s="64"/>
    </row>
    <row r="788" spans="1:33">
      <c r="A788" s="25"/>
      <c r="B788" s="25"/>
      <c r="C788" s="25"/>
      <c r="D788" s="25"/>
      <c r="E788" s="62"/>
      <c r="F788" s="63"/>
      <c r="G788" s="25"/>
      <c r="H788" s="63"/>
      <c r="I788" s="63"/>
      <c r="J788" s="64"/>
      <c r="K788" s="64"/>
      <c r="L788" s="64"/>
      <c r="M788" s="64"/>
      <c r="N788" s="64"/>
      <c r="O788" s="64"/>
      <c r="P788" s="64"/>
      <c r="Q788" s="64"/>
      <c r="R788" s="64"/>
      <c r="S788" s="64"/>
      <c r="T788" s="64"/>
      <c r="U788" s="64"/>
      <c r="V788" s="64"/>
      <c r="W788" s="64"/>
      <c r="X788" s="64"/>
      <c r="Y788" s="64"/>
      <c r="Z788" s="64"/>
      <c r="AA788" s="64"/>
      <c r="AB788" s="64"/>
      <c r="AC788" s="64"/>
      <c r="AD788" s="64"/>
      <c r="AE788" s="64"/>
      <c r="AF788" s="64"/>
      <c r="AG788" s="64"/>
    </row>
    <row r="789" spans="1:33">
      <c r="A789" s="25"/>
      <c r="B789" s="25"/>
      <c r="C789" s="25"/>
      <c r="D789" s="25"/>
      <c r="E789" s="62"/>
      <c r="F789" s="63"/>
      <c r="G789" s="25"/>
      <c r="H789" s="63"/>
      <c r="I789" s="63"/>
      <c r="J789" s="64"/>
      <c r="K789" s="64"/>
      <c r="L789" s="64"/>
      <c r="M789" s="64"/>
      <c r="N789" s="64"/>
      <c r="O789" s="64"/>
      <c r="P789" s="64"/>
      <c r="Q789" s="64"/>
      <c r="R789" s="64"/>
      <c r="S789" s="64"/>
      <c r="T789" s="64"/>
      <c r="U789" s="64"/>
      <c r="V789" s="64"/>
      <c r="W789" s="64"/>
      <c r="X789" s="64"/>
      <c r="Y789" s="64"/>
      <c r="Z789" s="64"/>
      <c r="AA789" s="64"/>
      <c r="AB789" s="64"/>
      <c r="AC789" s="64"/>
      <c r="AD789" s="64"/>
      <c r="AE789" s="64"/>
      <c r="AF789" s="64"/>
      <c r="AG789" s="64"/>
    </row>
    <row r="790" spans="1:33">
      <c r="A790" s="25"/>
      <c r="B790" s="25"/>
      <c r="C790" s="25"/>
      <c r="D790" s="25"/>
      <c r="E790" s="62"/>
      <c r="F790" s="63"/>
      <c r="G790" s="25"/>
      <c r="H790" s="63"/>
      <c r="I790" s="63"/>
      <c r="J790" s="64"/>
      <c r="K790" s="64"/>
      <c r="L790" s="64"/>
      <c r="M790" s="64"/>
      <c r="N790" s="64"/>
      <c r="O790" s="64"/>
      <c r="P790" s="64"/>
      <c r="Q790" s="64"/>
      <c r="R790" s="64"/>
      <c r="S790" s="64"/>
      <c r="T790" s="64"/>
      <c r="U790" s="64"/>
      <c r="V790" s="64"/>
      <c r="W790" s="64"/>
      <c r="X790" s="64"/>
      <c r="Y790" s="64"/>
      <c r="Z790" s="64"/>
      <c r="AA790" s="64"/>
      <c r="AB790" s="64"/>
      <c r="AC790" s="64"/>
      <c r="AD790" s="64"/>
      <c r="AE790" s="64"/>
      <c r="AF790" s="64"/>
      <c r="AG790" s="64"/>
    </row>
    <row r="791" spans="1:33">
      <c r="A791" s="25"/>
      <c r="B791" s="25"/>
      <c r="C791" s="25"/>
      <c r="D791" s="25"/>
      <c r="E791" s="62"/>
      <c r="F791" s="63"/>
      <c r="G791" s="25"/>
      <c r="H791" s="63"/>
      <c r="I791" s="63"/>
      <c r="J791" s="64"/>
      <c r="K791" s="64"/>
      <c r="L791" s="64"/>
      <c r="M791" s="64"/>
      <c r="N791" s="64"/>
      <c r="O791" s="64"/>
      <c r="P791" s="64"/>
      <c r="Q791" s="64"/>
      <c r="R791" s="64"/>
      <c r="S791" s="64"/>
      <c r="T791" s="64"/>
      <c r="U791" s="64"/>
      <c r="V791" s="64"/>
      <c r="W791" s="64"/>
      <c r="X791" s="64"/>
      <c r="Y791" s="64"/>
      <c r="Z791" s="64"/>
      <c r="AA791" s="64"/>
      <c r="AB791" s="64"/>
      <c r="AC791" s="64"/>
      <c r="AD791" s="64"/>
      <c r="AE791" s="64"/>
      <c r="AF791" s="64"/>
      <c r="AG791" s="64"/>
    </row>
    <row r="792" spans="1:33">
      <c r="A792" s="25"/>
      <c r="B792" s="25"/>
      <c r="C792" s="25"/>
      <c r="D792" s="25"/>
      <c r="E792" s="62"/>
      <c r="F792" s="63"/>
      <c r="G792" s="25"/>
      <c r="H792" s="63"/>
      <c r="I792" s="63"/>
      <c r="J792" s="64"/>
      <c r="K792" s="64"/>
      <c r="L792" s="64"/>
      <c r="M792" s="64"/>
      <c r="N792" s="64"/>
      <c r="O792" s="64"/>
      <c r="P792" s="64"/>
      <c r="Q792" s="64"/>
      <c r="R792" s="64"/>
      <c r="S792" s="64"/>
      <c r="T792" s="64"/>
      <c r="U792" s="64"/>
      <c r="V792" s="64"/>
      <c r="W792" s="64"/>
      <c r="X792" s="64"/>
      <c r="Y792" s="64"/>
      <c r="Z792" s="64"/>
      <c r="AA792" s="64"/>
      <c r="AB792" s="64"/>
      <c r="AC792" s="64"/>
      <c r="AD792" s="64"/>
      <c r="AE792" s="64"/>
      <c r="AF792" s="64"/>
      <c r="AG792" s="64"/>
    </row>
    <row r="793" spans="1:33">
      <c r="A793" s="25"/>
      <c r="B793" s="25"/>
      <c r="C793" s="25"/>
      <c r="D793" s="25"/>
      <c r="E793" s="62"/>
      <c r="F793" s="63"/>
      <c r="G793" s="25"/>
      <c r="H793" s="63"/>
      <c r="I793" s="63"/>
      <c r="J793" s="64"/>
      <c r="K793" s="64"/>
      <c r="L793" s="64"/>
      <c r="M793" s="64"/>
      <c r="N793" s="64"/>
      <c r="O793" s="64"/>
      <c r="P793" s="64"/>
      <c r="Q793" s="64"/>
      <c r="R793" s="64"/>
      <c r="S793" s="64"/>
      <c r="T793" s="64"/>
      <c r="U793" s="64"/>
      <c r="V793" s="64"/>
      <c r="W793" s="64"/>
      <c r="X793" s="64"/>
      <c r="Y793" s="64"/>
      <c r="Z793" s="64"/>
      <c r="AA793" s="64"/>
      <c r="AB793" s="64"/>
      <c r="AC793" s="64"/>
      <c r="AD793" s="64"/>
      <c r="AE793" s="64"/>
      <c r="AF793" s="64"/>
      <c r="AG793" s="64"/>
    </row>
    <row r="794" spans="1:33">
      <c r="A794" s="25"/>
      <c r="B794" s="25"/>
      <c r="C794" s="25"/>
      <c r="D794" s="25"/>
      <c r="E794" s="62"/>
      <c r="F794" s="63"/>
      <c r="G794" s="25"/>
      <c r="H794" s="63"/>
      <c r="I794" s="63"/>
      <c r="J794" s="64"/>
      <c r="K794" s="64"/>
      <c r="L794" s="64"/>
      <c r="M794" s="64"/>
      <c r="N794" s="64"/>
      <c r="O794" s="64"/>
      <c r="P794" s="64"/>
      <c r="Q794" s="64"/>
      <c r="R794" s="64"/>
      <c r="S794" s="64"/>
      <c r="T794" s="64"/>
      <c r="U794" s="64"/>
      <c r="V794" s="64"/>
      <c r="W794" s="64"/>
      <c r="X794" s="64"/>
      <c r="Y794" s="64"/>
      <c r="Z794" s="64"/>
      <c r="AA794" s="64"/>
      <c r="AB794" s="64"/>
      <c r="AC794" s="64"/>
      <c r="AD794" s="64"/>
      <c r="AE794" s="64"/>
      <c r="AF794" s="64"/>
      <c r="AG794" s="64"/>
    </row>
    <row r="795" spans="1:33">
      <c r="A795" s="25"/>
      <c r="B795" s="25"/>
      <c r="C795" s="25"/>
      <c r="D795" s="25"/>
      <c r="E795" s="62"/>
      <c r="F795" s="63"/>
      <c r="G795" s="25"/>
      <c r="H795" s="63"/>
      <c r="I795" s="63"/>
      <c r="J795" s="64"/>
      <c r="K795" s="64"/>
      <c r="L795" s="64"/>
      <c r="M795" s="64"/>
      <c r="N795" s="64"/>
      <c r="O795" s="64"/>
      <c r="P795" s="64"/>
      <c r="Q795" s="64"/>
      <c r="R795" s="64"/>
      <c r="S795" s="64"/>
      <c r="T795" s="64"/>
      <c r="U795" s="64"/>
      <c r="V795" s="64"/>
      <c r="W795" s="64"/>
      <c r="X795" s="64"/>
      <c r="Y795" s="64"/>
      <c r="Z795" s="64"/>
      <c r="AA795" s="64"/>
      <c r="AB795" s="64"/>
      <c r="AC795" s="64"/>
      <c r="AD795" s="64"/>
      <c r="AE795" s="64"/>
      <c r="AF795" s="64"/>
      <c r="AG795" s="64"/>
    </row>
    <row r="796" spans="1:33">
      <c r="A796" s="25"/>
      <c r="B796" s="25"/>
      <c r="C796" s="25"/>
      <c r="D796" s="25"/>
      <c r="E796" s="62"/>
      <c r="F796" s="63"/>
      <c r="G796" s="25"/>
      <c r="H796" s="63"/>
      <c r="I796" s="63"/>
      <c r="J796" s="64"/>
      <c r="K796" s="64"/>
      <c r="L796" s="64"/>
      <c r="M796" s="64"/>
      <c r="N796" s="64"/>
      <c r="O796" s="64"/>
      <c r="P796" s="64"/>
      <c r="Q796" s="64"/>
      <c r="R796" s="64"/>
      <c r="S796" s="64"/>
      <c r="T796" s="64"/>
      <c r="U796" s="64"/>
      <c r="V796" s="64"/>
      <c r="W796" s="64"/>
      <c r="X796" s="64"/>
      <c r="Y796" s="64"/>
      <c r="Z796" s="64"/>
      <c r="AA796" s="64"/>
      <c r="AB796" s="64"/>
      <c r="AC796" s="64"/>
      <c r="AD796" s="64"/>
      <c r="AE796" s="64"/>
      <c r="AF796" s="64"/>
      <c r="AG796" s="64"/>
    </row>
    <row r="797" spans="1:33">
      <c r="A797" s="25"/>
      <c r="B797" s="25"/>
      <c r="C797" s="25"/>
      <c r="D797" s="25"/>
      <c r="E797" s="62"/>
      <c r="F797" s="63"/>
      <c r="G797" s="25"/>
      <c r="H797" s="63"/>
      <c r="I797" s="63"/>
      <c r="J797" s="64"/>
      <c r="K797" s="64"/>
      <c r="L797" s="64"/>
      <c r="M797" s="64"/>
      <c r="N797" s="64"/>
      <c r="O797" s="64"/>
      <c r="P797" s="64"/>
      <c r="Q797" s="64"/>
      <c r="R797" s="64"/>
      <c r="S797" s="64"/>
      <c r="T797" s="64"/>
      <c r="U797" s="64"/>
      <c r="V797" s="64"/>
      <c r="W797" s="64"/>
      <c r="X797" s="64"/>
      <c r="Y797" s="64"/>
      <c r="Z797" s="64"/>
      <c r="AA797" s="64"/>
      <c r="AB797" s="64"/>
      <c r="AC797" s="64"/>
      <c r="AD797" s="64"/>
      <c r="AE797" s="64"/>
      <c r="AF797" s="64"/>
      <c r="AG797" s="64"/>
    </row>
    <row r="798" spans="1:33">
      <c r="A798" s="25"/>
      <c r="B798" s="25"/>
      <c r="C798" s="25"/>
      <c r="D798" s="25"/>
      <c r="E798" s="62"/>
      <c r="F798" s="63"/>
      <c r="G798" s="25"/>
      <c r="H798" s="63"/>
      <c r="I798" s="63"/>
      <c r="J798" s="64"/>
      <c r="K798" s="64"/>
      <c r="L798" s="64"/>
      <c r="M798" s="64"/>
      <c r="N798" s="64"/>
      <c r="O798" s="64"/>
      <c r="P798" s="64"/>
      <c r="Q798" s="64"/>
      <c r="R798" s="64"/>
      <c r="S798" s="64"/>
      <c r="T798" s="64"/>
      <c r="U798" s="64"/>
      <c r="V798" s="64"/>
      <c r="W798" s="64"/>
      <c r="X798" s="64"/>
      <c r="Y798" s="64"/>
      <c r="Z798" s="64"/>
      <c r="AA798" s="64"/>
      <c r="AB798" s="64"/>
      <c r="AC798" s="64"/>
      <c r="AD798" s="64"/>
      <c r="AE798" s="64"/>
      <c r="AF798" s="64"/>
      <c r="AG798" s="64"/>
    </row>
    <row r="799" spans="1:33">
      <c r="A799" s="25"/>
      <c r="B799" s="25"/>
      <c r="C799" s="25"/>
      <c r="D799" s="25"/>
      <c r="E799" s="62"/>
      <c r="F799" s="63"/>
      <c r="G799" s="25"/>
      <c r="H799" s="63"/>
      <c r="I799" s="63"/>
      <c r="J799" s="64"/>
      <c r="K799" s="64"/>
      <c r="L799" s="64"/>
      <c r="M799" s="64"/>
      <c r="N799" s="64"/>
      <c r="O799" s="64"/>
      <c r="P799" s="64"/>
      <c r="Q799" s="64"/>
      <c r="R799" s="64"/>
      <c r="S799" s="64"/>
      <c r="T799" s="64"/>
      <c r="U799" s="64"/>
      <c r="V799" s="64"/>
      <c r="W799" s="64"/>
      <c r="X799" s="64"/>
      <c r="Y799" s="64"/>
      <c r="Z799" s="64"/>
      <c r="AA799" s="64"/>
      <c r="AB799" s="64"/>
      <c r="AC799" s="64"/>
      <c r="AD799" s="64"/>
      <c r="AE799" s="64"/>
      <c r="AF799" s="64"/>
      <c r="AG799" s="64"/>
    </row>
    <row r="800" spans="1:33">
      <c r="A800" s="25"/>
      <c r="B800" s="25"/>
      <c r="C800" s="25"/>
      <c r="D800" s="25"/>
      <c r="E800" s="62"/>
      <c r="F800" s="63"/>
      <c r="G800" s="25"/>
      <c r="H800" s="63"/>
      <c r="I800" s="63"/>
      <c r="J800" s="64"/>
      <c r="K800" s="64"/>
      <c r="L800" s="64"/>
      <c r="M800" s="64"/>
      <c r="N800" s="64"/>
      <c r="O800" s="64"/>
      <c r="P800" s="64"/>
      <c r="Q800" s="64"/>
      <c r="R800" s="64"/>
      <c r="S800" s="64"/>
      <c r="T800" s="64"/>
      <c r="U800" s="64"/>
      <c r="V800" s="64"/>
      <c r="W800" s="64"/>
      <c r="X800" s="64"/>
      <c r="Y800" s="64"/>
      <c r="Z800" s="64"/>
      <c r="AA800" s="64"/>
      <c r="AB800" s="64"/>
      <c r="AC800" s="64"/>
      <c r="AD800" s="64"/>
      <c r="AE800" s="64"/>
      <c r="AF800" s="64"/>
      <c r="AG800" s="64"/>
    </row>
    <row r="801" spans="1:33">
      <c r="A801" s="25"/>
      <c r="B801" s="25"/>
      <c r="C801" s="25"/>
      <c r="D801" s="25"/>
      <c r="E801" s="62"/>
      <c r="F801" s="63"/>
      <c r="G801" s="25"/>
      <c r="H801" s="63"/>
      <c r="I801" s="63"/>
      <c r="J801" s="64"/>
      <c r="K801" s="64"/>
      <c r="L801" s="64"/>
      <c r="M801" s="64"/>
      <c r="N801" s="64"/>
      <c r="O801" s="64"/>
      <c r="P801" s="64"/>
      <c r="Q801" s="64"/>
      <c r="R801" s="64"/>
      <c r="S801" s="64"/>
      <c r="T801" s="64"/>
      <c r="U801" s="64"/>
      <c r="V801" s="64"/>
      <c r="W801" s="64"/>
      <c r="X801" s="64"/>
      <c r="Y801" s="64"/>
      <c r="Z801" s="64"/>
      <c r="AA801" s="64"/>
      <c r="AB801" s="64"/>
      <c r="AC801" s="64"/>
      <c r="AD801" s="64"/>
      <c r="AE801" s="64"/>
      <c r="AF801" s="64"/>
      <c r="AG801" s="64"/>
    </row>
    <row r="802" spans="1:33">
      <c r="A802" s="25"/>
      <c r="B802" s="25"/>
      <c r="C802" s="25"/>
      <c r="D802" s="25"/>
      <c r="E802" s="62"/>
      <c r="F802" s="63"/>
      <c r="G802" s="25"/>
      <c r="H802" s="63"/>
      <c r="I802" s="63"/>
      <c r="J802" s="64"/>
      <c r="K802" s="64"/>
      <c r="L802" s="64"/>
      <c r="M802" s="64"/>
      <c r="N802" s="64"/>
      <c r="O802" s="64"/>
      <c r="P802" s="64"/>
      <c r="Q802" s="64"/>
      <c r="R802" s="64"/>
      <c r="S802" s="64"/>
      <c r="T802" s="64"/>
      <c r="U802" s="64"/>
      <c r="V802" s="64"/>
      <c r="W802" s="64"/>
      <c r="X802" s="64"/>
      <c r="Y802" s="64"/>
      <c r="Z802" s="64"/>
      <c r="AA802" s="64"/>
      <c r="AB802" s="64"/>
      <c r="AC802" s="64"/>
      <c r="AD802" s="64"/>
      <c r="AE802" s="64"/>
      <c r="AF802" s="64"/>
      <c r="AG802" s="64"/>
    </row>
    <row r="803" spans="1:33">
      <c r="A803" s="25"/>
      <c r="B803" s="25"/>
      <c r="C803" s="25"/>
      <c r="D803" s="25"/>
      <c r="E803" s="62"/>
      <c r="F803" s="63"/>
      <c r="G803" s="25"/>
      <c r="H803" s="63"/>
      <c r="I803" s="63"/>
      <c r="J803" s="64"/>
      <c r="K803" s="64"/>
      <c r="L803" s="64"/>
      <c r="M803" s="64"/>
      <c r="N803" s="64"/>
      <c r="O803" s="64"/>
      <c r="P803" s="64"/>
      <c r="Q803" s="64"/>
      <c r="R803" s="64"/>
      <c r="S803" s="64"/>
      <c r="T803" s="64"/>
      <c r="U803" s="64"/>
      <c r="V803" s="64"/>
      <c r="W803" s="64"/>
      <c r="X803" s="64"/>
      <c r="Y803" s="64"/>
      <c r="Z803" s="64"/>
      <c r="AA803" s="64"/>
      <c r="AB803" s="64"/>
      <c r="AC803" s="64"/>
      <c r="AD803" s="64"/>
      <c r="AE803" s="64"/>
      <c r="AF803" s="64"/>
      <c r="AG803" s="64"/>
    </row>
    <row r="804" spans="1:33">
      <c r="A804" s="25"/>
      <c r="B804" s="25"/>
      <c r="C804" s="25"/>
      <c r="D804" s="25"/>
      <c r="E804" s="62"/>
      <c r="F804" s="63"/>
      <c r="G804" s="25"/>
      <c r="H804" s="63"/>
      <c r="I804" s="63"/>
      <c r="J804" s="64"/>
      <c r="K804" s="64"/>
      <c r="L804" s="64"/>
      <c r="M804" s="64"/>
      <c r="N804" s="64"/>
      <c r="O804" s="64"/>
      <c r="P804" s="64"/>
      <c r="Q804" s="64"/>
      <c r="R804" s="64"/>
      <c r="S804" s="64"/>
      <c r="T804" s="64"/>
      <c r="U804" s="64"/>
      <c r="V804" s="64"/>
      <c r="W804" s="64"/>
      <c r="X804" s="64"/>
      <c r="Y804" s="64"/>
      <c r="Z804" s="64"/>
      <c r="AA804" s="64"/>
      <c r="AB804" s="64"/>
      <c r="AC804" s="64"/>
      <c r="AD804" s="64"/>
      <c r="AE804" s="64"/>
      <c r="AF804" s="64"/>
      <c r="AG804" s="64"/>
    </row>
    <row r="805" spans="1:33">
      <c r="A805" s="25"/>
      <c r="B805" s="25"/>
      <c r="C805" s="25"/>
      <c r="D805" s="25"/>
      <c r="E805" s="62"/>
      <c r="F805" s="63"/>
      <c r="G805" s="25"/>
      <c r="H805" s="63"/>
      <c r="I805" s="63"/>
      <c r="J805" s="64"/>
      <c r="K805" s="64"/>
      <c r="L805" s="64"/>
      <c r="M805" s="64"/>
      <c r="N805" s="64"/>
      <c r="O805" s="64"/>
      <c r="P805" s="64"/>
      <c r="Q805" s="64"/>
      <c r="R805" s="64"/>
      <c r="S805" s="64"/>
      <c r="T805" s="64"/>
      <c r="U805" s="64"/>
      <c r="V805" s="64"/>
      <c r="W805" s="64"/>
      <c r="X805" s="64"/>
      <c r="Y805" s="64"/>
      <c r="Z805" s="64"/>
      <c r="AA805" s="64"/>
      <c r="AB805" s="64"/>
      <c r="AC805" s="64"/>
      <c r="AD805" s="64"/>
      <c r="AE805" s="64"/>
      <c r="AF805" s="64"/>
      <c r="AG805" s="64"/>
    </row>
    <row r="806" spans="1:33">
      <c r="A806" s="25"/>
      <c r="B806" s="25"/>
      <c r="C806" s="25"/>
      <c r="D806" s="25"/>
      <c r="E806" s="62"/>
      <c r="F806" s="63"/>
      <c r="G806" s="25"/>
      <c r="H806" s="63"/>
      <c r="I806" s="63"/>
      <c r="J806" s="64"/>
      <c r="K806" s="64"/>
      <c r="L806" s="64"/>
      <c r="M806" s="64"/>
      <c r="N806" s="64"/>
      <c r="O806" s="64"/>
      <c r="P806" s="64"/>
      <c r="Q806" s="64"/>
      <c r="R806" s="64"/>
      <c r="S806" s="64"/>
      <c r="T806" s="64"/>
      <c r="U806" s="64"/>
      <c r="V806" s="64"/>
      <c r="W806" s="64"/>
      <c r="X806" s="64"/>
      <c r="Y806" s="64"/>
      <c r="Z806" s="64"/>
      <c r="AA806" s="64"/>
      <c r="AB806" s="64"/>
      <c r="AC806" s="64"/>
      <c r="AD806" s="64"/>
      <c r="AE806" s="64"/>
      <c r="AF806" s="64"/>
      <c r="AG806" s="64"/>
    </row>
    <row r="807" spans="1:33">
      <c r="A807" s="25"/>
      <c r="B807" s="25"/>
      <c r="C807" s="25"/>
      <c r="D807" s="25"/>
      <c r="E807" s="62"/>
      <c r="F807" s="63"/>
      <c r="G807" s="25"/>
      <c r="H807" s="63"/>
      <c r="I807" s="63"/>
      <c r="J807" s="64"/>
      <c r="K807" s="64"/>
      <c r="L807" s="64"/>
      <c r="M807" s="64"/>
      <c r="N807" s="64"/>
      <c r="O807" s="64"/>
      <c r="P807" s="64"/>
      <c r="Q807" s="64"/>
      <c r="R807" s="64"/>
      <c r="S807" s="64"/>
      <c r="T807" s="64"/>
      <c r="U807" s="64"/>
      <c r="V807" s="64"/>
      <c r="W807" s="64"/>
      <c r="X807" s="64"/>
      <c r="Y807" s="64"/>
      <c r="Z807" s="64"/>
      <c r="AA807" s="64"/>
      <c r="AB807" s="64"/>
      <c r="AC807" s="64"/>
      <c r="AD807" s="64"/>
      <c r="AE807" s="64"/>
      <c r="AF807" s="64"/>
      <c r="AG807" s="64"/>
    </row>
    <row r="808" spans="1:33">
      <c r="A808" s="25"/>
      <c r="B808" s="25"/>
      <c r="C808" s="25"/>
      <c r="D808" s="25"/>
      <c r="E808" s="62"/>
      <c r="F808" s="63"/>
      <c r="G808" s="25"/>
      <c r="H808" s="63"/>
      <c r="I808" s="63"/>
      <c r="J808" s="64"/>
      <c r="K808" s="64"/>
      <c r="L808" s="64"/>
      <c r="M808" s="64"/>
      <c r="N808" s="64"/>
      <c r="O808" s="64"/>
      <c r="P808" s="64"/>
      <c r="Q808" s="64"/>
      <c r="R808" s="64"/>
      <c r="S808" s="64"/>
      <c r="T808" s="64"/>
      <c r="U808" s="64"/>
      <c r="V808" s="64"/>
      <c r="W808" s="64"/>
      <c r="X808" s="64"/>
      <c r="Y808" s="64"/>
      <c r="Z808" s="64"/>
      <c r="AA808" s="64"/>
      <c r="AB808" s="64"/>
      <c r="AC808" s="64"/>
      <c r="AD808" s="64"/>
      <c r="AE808" s="64"/>
      <c r="AF808" s="64"/>
      <c r="AG808" s="64"/>
    </row>
    <row r="809" spans="1:33">
      <c r="A809" s="25"/>
      <c r="B809" s="25"/>
      <c r="C809" s="25"/>
      <c r="D809" s="25"/>
      <c r="E809" s="62"/>
      <c r="F809" s="63"/>
      <c r="G809" s="25"/>
      <c r="H809" s="63"/>
      <c r="I809" s="63"/>
      <c r="J809" s="64"/>
      <c r="K809" s="64"/>
      <c r="L809" s="64"/>
      <c r="M809" s="64"/>
      <c r="N809" s="64"/>
      <c r="O809" s="64"/>
      <c r="P809" s="64"/>
      <c r="Q809" s="64"/>
      <c r="R809" s="64"/>
      <c r="S809" s="64"/>
      <c r="T809" s="64"/>
      <c r="U809" s="64"/>
      <c r="V809" s="64"/>
      <c r="W809" s="64"/>
      <c r="X809" s="64"/>
      <c r="Y809" s="64"/>
      <c r="Z809" s="64"/>
      <c r="AA809" s="64"/>
      <c r="AB809" s="64"/>
      <c r="AC809" s="64"/>
      <c r="AD809" s="64"/>
      <c r="AE809" s="64"/>
      <c r="AF809" s="64"/>
      <c r="AG809" s="64"/>
    </row>
    <row r="810" spans="1:33">
      <c r="A810" s="25"/>
      <c r="B810" s="25"/>
      <c r="C810" s="25"/>
      <c r="D810" s="25"/>
      <c r="E810" s="62"/>
      <c r="F810" s="63"/>
      <c r="G810" s="25"/>
      <c r="H810" s="63"/>
      <c r="I810" s="63"/>
      <c r="J810" s="64"/>
      <c r="K810" s="64"/>
      <c r="L810" s="64"/>
      <c r="M810" s="64"/>
      <c r="N810" s="64"/>
      <c r="O810" s="64"/>
      <c r="P810" s="64"/>
      <c r="Q810" s="64"/>
      <c r="R810" s="64"/>
      <c r="S810" s="64"/>
      <c r="T810" s="64"/>
      <c r="U810" s="64"/>
      <c r="V810" s="64"/>
      <c r="W810" s="64"/>
      <c r="X810" s="64"/>
      <c r="Y810" s="64"/>
      <c r="Z810" s="64"/>
      <c r="AA810" s="64"/>
      <c r="AB810" s="64"/>
      <c r="AC810" s="64"/>
      <c r="AD810" s="64"/>
      <c r="AE810" s="64"/>
      <c r="AF810" s="64"/>
      <c r="AG810" s="64"/>
    </row>
    <row r="811" spans="1:33">
      <c r="A811" s="25"/>
      <c r="B811" s="25"/>
      <c r="C811" s="25"/>
      <c r="D811" s="25"/>
      <c r="E811" s="62"/>
      <c r="F811" s="63"/>
      <c r="G811" s="25"/>
      <c r="H811" s="63"/>
      <c r="I811" s="63"/>
      <c r="J811" s="64"/>
      <c r="K811" s="64"/>
      <c r="L811" s="64"/>
      <c r="M811" s="64"/>
      <c r="N811" s="64"/>
      <c r="O811" s="64"/>
      <c r="P811" s="64"/>
      <c r="Q811" s="64"/>
      <c r="R811" s="64"/>
      <c r="S811" s="64"/>
      <c r="T811" s="64"/>
      <c r="U811" s="64"/>
      <c r="V811" s="64"/>
      <c r="W811" s="64"/>
      <c r="X811" s="64"/>
      <c r="Y811" s="64"/>
      <c r="Z811" s="64"/>
      <c r="AA811" s="64"/>
      <c r="AB811" s="64"/>
      <c r="AC811" s="64"/>
      <c r="AD811" s="64"/>
      <c r="AE811" s="64"/>
      <c r="AF811" s="64"/>
      <c r="AG811" s="64"/>
    </row>
    <row r="812" spans="1:33">
      <c r="A812" s="25"/>
      <c r="B812" s="25"/>
      <c r="C812" s="25"/>
      <c r="D812" s="25"/>
      <c r="E812" s="62"/>
      <c r="F812" s="63"/>
      <c r="G812" s="25"/>
      <c r="H812" s="63"/>
      <c r="I812" s="63"/>
      <c r="J812" s="64"/>
      <c r="K812" s="64"/>
      <c r="L812" s="64"/>
      <c r="M812" s="64"/>
      <c r="N812" s="64"/>
      <c r="O812" s="64"/>
      <c r="P812" s="64"/>
      <c r="Q812" s="64"/>
      <c r="R812" s="64"/>
      <c r="S812" s="64"/>
      <c r="T812" s="64"/>
      <c r="U812" s="64"/>
      <c r="V812" s="64"/>
      <c r="W812" s="64"/>
      <c r="X812" s="64"/>
      <c r="Y812" s="64"/>
      <c r="Z812" s="64"/>
      <c r="AA812" s="64"/>
      <c r="AB812" s="64"/>
      <c r="AC812" s="64"/>
      <c r="AD812" s="64"/>
      <c r="AE812" s="64"/>
      <c r="AF812" s="64"/>
      <c r="AG812" s="64"/>
    </row>
    <row r="813" spans="1:33">
      <c r="A813" s="25"/>
      <c r="B813" s="25"/>
      <c r="C813" s="25"/>
      <c r="D813" s="25"/>
      <c r="E813" s="62"/>
      <c r="F813" s="63"/>
      <c r="G813" s="25"/>
      <c r="H813" s="63"/>
      <c r="I813" s="63"/>
      <c r="J813" s="64"/>
      <c r="K813" s="64"/>
      <c r="L813" s="64"/>
      <c r="M813" s="64"/>
      <c r="N813" s="64"/>
      <c r="O813" s="64"/>
      <c r="P813" s="64"/>
      <c r="Q813" s="64"/>
      <c r="R813" s="64"/>
      <c r="S813" s="64"/>
      <c r="T813" s="64"/>
      <c r="U813" s="64"/>
      <c r="V813" s="64"/>
      <c r="W813" s="64"/>
      <c r="X813" s="64"/>
      <c r="Y813" s="64"/>
      <c r="Z813" s="64"/>
      <c r="AA813" s="64"/>
      <c r="AB813" s="64"/>
      <c r="AC813" s="64"/>
      <c r="AD813" s="64"/>
      <c r="AE813" s="64"/>
      <c r="AF813" s="64"/>
      <c r="AG813" s="64"/>
    </row>
    <row r="814" spans="1:33">
      <c r="A814" s="25"/>
      <c r="B814" s="25"/>
      <c r="C814" s="25"/>
      <c r="D814" s="25"/>
      <c r="E814" s="62"/>
      <c r="F814" s="63"/>
      <c r="G814" s="25"/>
      <c r="H814" s="63"/>
      <c r="I814" s="63"/>
      <c r="J814" s="64"/>
      <c r="K814" s="64"/>
      <c r="L814" s="64"/>
      <c r="M814" s="64"/>
      <c r="N814" s="64"/>
      <c r="O814" s="64"/>
      <c r="P814" s="64"/>
      <c r="Q814" s="64"/>
      <c r="R814" s="64"/>
      <c r="S814" s="64"/>
      <c r="T814" s="64"/>
      <c r="U814" s="64"/>
      <c r="V814" s="64"/>
      <c r="W814" s="64"/>
      <c r="X814" s="64"/>
      <c r="Y814" s="64"/>
      <c r="Z814" s="64"/>
      <c r="AA814" s="64"/>
      <c r="AB814" s="64"/>
      <c r="AC814" s="64"/>
      <c r="AD814" s="64"/>
      <c r="AE814" s="64"/>
      <c r="AF814" s="64"/>
      <c r="AG814" s="64"/>
    </row>
    <row r="815" spans="1:33">
      <c r="A815" s="25"/>
      <c r="B815" s="25"/>
      <c r="C815" s="25"/>
      <c r="D815" s="25"/>
      <c r="E815" s="62"/>
      <c r="F815" s="63"/>
      <c r="G815" s="25"/>
      <c r="H815" s="63"/>
      <c r="I815" s="63"/>
      <c r="J815" s="64"/>
      <c r="K815" s="64"/>
      <c r="L815" s="64"/>
      <c r="M815" s="64"/>
      <c r="N815" s="64"/>
      <c r="O815" s="64"/>
      <c r="P815" s="64"/>
      <c r="Q815" s="64"/>
      <c r="R815" s="64"/>
      <c r="S815" s="64"/>
      <c r="T815" s="64"/>
      <c r="U815" s="64"/>
      <c r="V815" s="64"/>
      <c r="W815" s="64"/>
      <c r="X815" s="64"/>
      <c r="Y815" s="64"/>
      <c r="Z815" s="64"/>
      <c r="AA815" s="64"/>
      <c r="AB815" s="64"/>
      <c r="AC815" s="64"/>
      <c r="AD815" s="64"/>
      <c r="AE815" s="64"/>
      <c r="AF815" s="64"/>
      <c r="AG815" s="64"/>
    </row>
    <row r="816" spans="1:33">
      <c r="A816" s="25"/>
      <c r="B816" s="25"/>
      <c r="C816" s="25"/>
      <c r="D816" s="25"/>
      <c r="E816" s="62"/>
      <c r="F816" s="63"/>
      <c r="G816" s="25"/>
      <c r="H816" s="63"/>
      <c r="I816" s="63"/>
      <c r="J816" s="64"/>
      <c r="K816" s="64"/>
      <c r="L816" s="64"/>
      <c r="M816" s="64"/>
      <c r="N816" s="64"/>
      <c r="O816" s="64"/>
      <c r="P816" s="64"/>
      <c r="Q816" s="64"/>
      <c r="R816" s="64"/>
      <c r="S816" s="64"/>
      <c r="T816" s="64"/>
      <c r="U816" s="64"/>
      <c r="V816" s="64"/>
      <c r="W816" s="64"/>
      <c r="X816" s="64"/>
      <c r="Y816" s="64"/>
      <c r="Z816" s="64"/>
      <c r="AA816" s="64"/>
      <c r="AB816" s="64"/>
      <c r="AC816" s="64"/>
      <c r="AD816" s="64"/>
      <c r="AE816" s="64"/>
      <c r="AF816" s="64"/>
      <c r="AG816" s="64"/>
    </row>
    <row r="817" spans="1:33">
      <c r="A817" s="25"/>
      <c r="B817" s="25"/>
      <c r="C817" s="25"/>
      <c r="D817" s="25"/>
      <c r="E817" s="62"/>
      <c r="F817" s="63"/>
      <c r="G817" s="25"/>
      <c r="H817" s="63"/>
      <c r="I817" s="63"/>
      <c r="J817" s="64"/>
      <c r="K817" s="64"/>
      <c r="L817" s="64"/>
      <c r="M817" s="64"/>
      <c r="N817" s="64"/>
      <c r="O817" s="64"/>
      <c r="P817" s="64"/>
      <c r="Q817" s="64"/>
      <c r="R817" s="64"/>
      <c r="S817" s="64"/>
      <c r="T817" s="64"/>
      <c r="U817" s="64"/>
      <c r="V817" s="64"/>
      <c r="W817" s="64"/>
      <c r="X817" s="64"/>
      <c r="Y817" s="64"/>
      <c r="Z817" s="64"/>
      <c r="AA817" s="64"/>
      <c r="AB817" s="64"/>
      <c r="AC817" s="64"/>
      <c r="AD817" s="64"/>
      <c r="AE817" s="64"/>
      <c r="AF817" s="64"/>
      <c r="AG817" s="64"/>
    </row>
    <row r="818" spans="1:33">
      <c r="A818" s="25"/>
      <c r="B818" s="25"/>
      <c r="C818" s="25"/>
      <c r="D818" s="25"/>
      <c r="E818" s="62"/>
      <c r="F818" s="63"/>
      <c r="G818" s="25"/>
      <c r="H818" s="63"/>
      <c r="I818" s="63"/>
      <c r="J818" s="64"/>
      <c r="K818" s="64"/>
      <c r="L818" s="64"/>
      <c r="M818" s="64"/>
      <c r="N818" s="64"/>
      <c r="O818" s="64"/>
      <c r="P818" s="64"/>
      <c r="Q818" s="64"/>
      <c r="R818" s="64"/>
      <c r="S818" s="64"/>
      <c r="T818" s="64"/>
      <c r="U818" s="64"/>
      <c r="V818" s="64"/>
      <c r="W818" s="64"/>
      <c r="X818" s="64"/>
      <c r="Y818" s="64"/>
      <c r="Z818" s="64"/>
      <c r="AA818" s="64"/>
      <c r="AB818" s="64"/>
      <c r="AC818" s="64"/>
      <c r="AD818" s="64"/>
      <c r="AE818" s="64"/>
      <c r="AF818" s="64"/>
      <c r="AG818" s="64"/>
    </row>
    <row r="819" spans="1:33">
      <c r="A819" s="25"/>
      <c r="B819" s="25"/>
      <c r="C819" s="25"/>
      <c r="D819" s="25"/>
      <c r="E819" s="62"/>
      <c r="F819" s="63"/>
      <c r="G819" s="25"/>
      <c r="H819" s="63"/>
      <c r="I819" s="63"/>
      <c r="J819" s="64"/>
      <c r="K819" s="64"/>
      <c r="L819" s="64"/>
      <c r="M819" s="64"/>
      <c r="N819" s="64"/>
      <c r="O819" s="64"/>
      <c r="P819" s="64"/>
      <c r="Q819" s="64"/>
      <c r="R819" s="64"/>
      <c r="S819" s="64"/>
      <c r="T819" s="64"/>
      <c r="U819" s="64"/>
      <c r="V819" s="64"/>
      <c r="W819" s="64"/>
      <c r="X819" s="64"/>
      <c r="Y819" s="64"/>
      <c r="Z819" s="64"/>
      <c r="AA819" s="64"/>
      <c r="AB819" s="64"/>
      <c r="AC819" s="64"/>
      <c r="AD819" s="64"/>
      <c r="AE819" s="64"/>
      <c r="AF819" s="64"/>
      <c r="AG819" s="64"/>
    </row>
    <row r="820" spans="1:33">
      <c r="A820" s="25"/>
      <c r="B820" s="25"/>
      <c r="C820" s="25"/>
      <c r="D820" s="25"/>
      <c r="E820" s="62"/>
      <c r="F820" s="63"/>
      <c r="G820" s="25"/>
      <c r="H820" s="63"/>
      <c r="I820" s="63"/>
      <c r="J820" s="64"/>
      <c r="K820" s="64"/>
      <c r="L820" s="64"/>
      <c r="M820" s="64"/>
      <c r="N820" s="64"/>
      <c r="O820" s="64"/>
      <c r="P820" s="64"/>
      <c r="Q820" s="64"/>
      <c r="R820" s="64"/>
      <c r="S820" s="64"/>
      <c r="T820" s="64"/>
      <c r="U820" s="64"/>
      <c r="V820" s="64"/>
      <c r="W820" s="64"/>
      <c r="X820" s="64"/>
      <c r="Y820" s="64"/>
      <c r="Z820" s="64"/>
      <c r="AA820" s="64"/>
      <c r="AB820" s="64"/>
      <c r="AC820" s="64"/>
      <c r="AD820" s="64"/>
      <c r="AE820" s="64"/>
      <c r="AF820" s="64"/>
      <c r="AG820" s="64"/>
    </row>
    <row r="821" spans="1:33">
      <c r="A821" s="25"/>
      <c r="B821" s="25"/>
      <c r="C821" s="25"/>
      <c r="D821" s="25"/>
      <c r="E821" s="62"/>
      <c r="F821" s="63"/>
      <c r="G821" s="25"/>
      <c r="H821" s="63"/>
      <c r="I821" s="63"/>
      <c r="J821" s="64"/>
      <c r="K821" s="64"/>
      <c r="L821" s="64"/>
      <c r="M821" s="64"/>
      <c r="N821" s="64"/>
      <c r="O821" s="64"/>
      <c r="P821" s="64"/>
      <c r="Q821" s="64"/>
      <c r="R821" s="64"/>
      <c r="S821" s="64"/>
      <c r="T821" s="64"/>
      <c r="U821" s="64"/>
      <c r="V821" s="64"/>
      <c r="W821" s="64"/>
      <c r="X821" s="64"/>
      <c r="Y821" s="64"/>
      <c r="Z821" s="64"/>
      <c r="AA821" s="64"/>
      <c r="AB821" s="64"/>
      <c r="AC821" s="64"/>
      <c r="AD821" s="64"/>
      <c r="AE821" s="64"/>
      <c r="AF821" s="64"/>
      <c r="AG821" s="64"/>
    </row>
    <row r="822" spans="1:33">
      <c r="A822" s="25"/>
      <c r="B822" s="25"/>
      <c r="C822" s="25"/>
      <c r="D822" s="25"/>
      <c r="E822" s="62"/>
      <c r="F822" s="63"/>
      <c r="G822" s="25"/>
      <c r="H822" s="63"/>
      <c r="I822" s="63"/>
      <c r="J822" s="64"/>
      <c r="K822" s="64"/>
      <c r="L822" s="64"/>
      <c r="M822" s="64"/>
      <c r="N822" s="64"/>
      <c r="O822" s="64"/>
      <c r="P822" s="64"/>
      <c r="Q822" s="64"/>
      <c r="R822" s="64"/>
      <c r="S822" s="64"/>
      <c r="T822" s="64"/>
      <c r="U822" s="64"/>
      <c r="V822" s="64"/>
      <c r="W822" s="64"/>
      <c r="X822" s="64"/>
      <c r="Y822" s="64"/>
      <c r="Z822" s="64"/>
      <c r="AA822" s="64"/>
      <c r="AB822" s="64"/>
      <c r="AC822" s="64"/>
      <c r="AD822" s="64"/>
      <c r="AE822" s="64"/>
      <c r="AF822" s="64"/>
      <c r="AG822" s="64"/>
    </row>
    <row r="823" spans="1:33">
      <c r="A823" s="25"/>
      <c r="B823" s="25"/>
      <c r="C823" s="25"/>
      <c r="D823" s="25"/>
      <c r="E823" s="62"/>
      <c r="F823" s="63"/>
      <c r="G823" s="25"/>
      <c r="H823" s="63"/>
      <c r="I823" s="63"/>
      <c r="J823" s="64"/>
      <c r="K823" s="64"/>
      <c r="L823" s="64"/>
      <c r="M823" s="64"/>
      <c r="N823" s="64"/>
      <c r="O823" s="64"/>
      <c r="P823" s="64"/>
      <c r="Q823" s="64"/>
      <c r="R823" s="64"/>
      <c r="S823" s="64"/>
      <c r="T823" s="64"/>
      <c r="U823" s="64"/>
      <c r="V823" s="64"/>
      <c r="W823" s="64"/>
      <c r="X823" s="64"/>
      <c r="Y823" s="64"/>
      <c r="Z823" s="64"/>
      <c r="AA823" s="64"/>
      <c r="AB823" s="64"/>
      <c r="AC823" s="64"/>
      <c r="AD823" s="64"/>
      <c r="AE823" s="64"/>
      <c r="AF823" s="64"/>
      <c r="AG823" s="64"/>
    </row>
    <row r="824" spans="1:33">
      <c r="A824" s="25"/>
      <c r="B824" s="25"/>
      <c r="C824" s="25"/>
      <c r="D824" s="25"/>
      <c r="E824" s="62"/>
      <c r="F824" s="63"/>
      <c r="G824" s="25"/>
      <c r="H824" s="63"/>
      <c r="I824" s="63"/>
      <c r="J824" s="64"/>
      <c r="K824" s="64"/>
      <c r="L824" s="64"/>
      <c r="M824" s="64"/>
      <c r="N824" s="64"/>
      <c r="O824" s="64"/>
      <c r="P824" s="64"/>
      <c r="Q824" s="64"/>
      <c r="R824" s="64"/>
      <c r="S824" s="64"/>
      <c r="T824" s="64"/>
      <c r="U824" s="64"/>
      <c r="V824" s="64"/>
      <c r="W824" s="64"/>
      <c r="X824" s="64"/>
      <c r="Y824" s="64"/>
      <c r="Z824" s="64"/>
      <c r="AA824" s="64"/>
      <c r="AB824" s="64"/>
      <c r="AC824" s="64"/>
      <c r="AD824" s="64"/>
      <c r="AE824" s="64"/>
      <c r="AF824" s="64"/>
      <c r="AG824" s="64"/>
    </row>
    <row r="825" spans="1:33">
      <c r="A825" s="25"/>
      <c r="B825" s="25"/>
      <c r="C825" s="25"/>
      <c r="D825" s="25"/>
      <c r="E825" s="62"/>
      <c r="F825" s="63"/>
      <c r="G825" s="25"/>
      <c r="H825" s="63"/>
      <c r="I825" s="63"/>
      <c r="J825" s="64"/>
      <c r="K825" s="64"/>
      <c r="L825" s="64"/>
      <c r="M825" s="64"/>
      <c r="N825" s="64"/>
      <c r="O825" s="64"/>
      <c r="P825" s="64"/>
      <c r="Q825" s="64"/>
      <c r="R825" s="64"/>
      <c r="S825" s="64"/>
      <c r="T825" s="64"/>
      <c r="U825" s="64"/>
      <c r="V825" s="64"/>
      <c r="W825" s="64"/>
      <c r="X825" s="64"/>
      <c r="Y825" s="64"/>
      <c r="Z825" s="64"/>
      <c r="AA825" s="64"/>
      <c r="AB825" s="64"/>
      <c r="AC825" s="64"/>
      <c r="AD825" s="64"/>
      <c r="AE825" s="64"/>
      <c r="AF825" s="64"/>
      <c r="AG825" s="64"/>
    </row>
    <row r="826" spans="1:33">
      <c r="A826" s="25"/>
      <c r="B826" s="25"/>
      <c r="C826" s="25"/>
      <c r="D826" s="25"/>
      <c r="E826" s="62"/>
      <c r="F826" s="63"/>
      <c r="G826" s="25"/>
      <c r="H826" s="63"/>
      <c r="I826" s="63"/>
      <c r="J826" s="64"/>
      <c r="K826" s="64"/>
      <c r="L826" s="64"/>
      <c r="M826" s="64"/>
      <c r="N826" s="64"/>
      <c r="O826" s="64"/>
      <c r="P826" s="64"/>
      <c r="Q826" s="64"/>
      <c r="R826" s="64"/>
      <c r="S826" s="64"/>
      <c r="T826" s="64"/>
      <c r="U826" s="64"/>
      <c r="V826" s="64"/>
      <c r="W826" s="64"/>
      <c r="X826" s="64"/>
      <c r="Y826" s="64"/>
      <c r="Z826" s="64"/>
      <c r="AA826" s="64"/>
      <c r="AB826" s="64"/>
      <c r="AC826" s="64"/>
      <c r="AD826" s="64"/>
      <c r="AE826" s="64"/>
      <c r="AF826" s="64"/>
      <c r="AG826" s="64"/>
    </row>
    <row r="827" spans="1:33">
      <c r="A827" s="25"/>
      <c r="B827" s="25"/>
      <c r="C827" s="25"/>
      <c r="D827" s="25"/>
      <c r="E827" s="62"/>
      <c r="F827" s="63"/>
      <c r="G827" s="25"/>
      <c r="H827" s="63"/>
      <c r="I827" s="63"/>
      <c r="J827" s="64"/>
      <c r="K827" s="64"/>
      <c r="L827" s="64"/>
      <c r="M827" s="64"/>
      <c r="N827" s="64"/>
      <c r="O827" s="64"/>
      <c r="P827" s="64"/>
      <c r="Q827" s="64"/>
      <c r="R827" s="64"/>
      <c r="S827" s="64"/>
      <c r="T827" s="64"/>
      <c r="U827" s="64"/>
      <c r="V827" s="64"/>
      <c r="W827" s="64"/>
      <c r="X827" s="64"/>
      <c r="Y827" s="64"/>
      <c r="Z827" s="64"/>
      <c r="AA827" s="64"/>
      <c r="AB827" s="64"/>
      <c r="AC827" s="64"/>
      <c r="AD827" s="64"/>
      <c r="AE827" s="64"/>
      <c r="AF827" s="64"/>
      <c r="AG827" s="64"/>
    </row>
    <row r="828" spans="1:33">
      <c r="A828" s="25"/>
      <c r="B828" s="25"/>
      <c r="C828" s="25"/>
      <c r="D828" s="25"/>
      <c r="E828" s="62"/>
      <c r="F828" s="63"/>
      <c r="G828" s="25"/>
      <c r="H828" s="63"/>
      <c r="I828" s="63"/>
      <c r="J828" s="64"/>
      <c r="K828" s="64"/>
      <c r="L828" s="64"/>
      <c r="M828" s="64"/>
      <c r="N828" s="64"/>
      <c r="O828" s="64"/>
      <c r="P828" s="64"/>
      <c r="Q828" s="64"/>
      <c r="R828" s="64"/>
      <c r="S828" s="64"/>
      <c r="T828" s="64"/>
      <c r="U828" s="64"/>
      <c r="V828" s="64"/>
      <c r="W828" s="64"/>
      <c r="X828" s="64"/>
      <c r="Y828" s="64"/>
      <c r="Z828" s="64"/>
      <c r="AA828" s="64"/>
      <c r="AB828" s="64"/>
      <c r="AC828" s="64"/>
      <c r="AD828" s="64"/>
      <c r="AE828" s="64"/>
      <c r="AF828" s="64"/>
      <c r="AG828" s="64"/>
    </row>
    <row r="829" spans="1:33">
      <c r="A829" s="25"/>
      <c r="B829" s="25"/>
      <c r="C829" s="25"/>
      <c r="D829" s="25"/>
      <c r="E829" s="62"/>
      <c r="F829" s="63"/>
      <c r="G829" s="25"/>
      <c r="H829" s="63"/>
      <c r="I829" s="63"/>
      <c r="J829" s="64"/>
      <c r="K829" s="64"/>
      <c r="L829" s="64"/>
      <c r="M829" s="64"/>
      <c r="N829" s="64"/>
      <c r="O829" s="64"/>
      <c r="P829" s="64"/>
      <c r="Q829" s="64"/>
      <c r="R829" s="64"/>
      <c r="S829" s="64"/>
      <c r="T829" s="64"/>
      <c r="U829" s="64"/>
      <c r="V829" s="64"/>
      <c r="W829" s="64"/>
      <c r="X829" s="64"/>
      <c r="Y829" s="64"/>
      <c r="Z829" s="64"/>
      <c r="AA829" s="64"/>
      <c r="AB829" s="64"/>
      <c r="AC829" s="64"/>
      <c r="AD829" s="64"/>
      <c r="AE829" s="64"/>
      <c r="AF829" s="64"/>
      <c r="AG829" s="64"/>
    </row>
    <row r="830" spans="1:33">
      <c r="A830" s="25"/>
      <c r="B830" s="25"/>
      <c r="C830" s="25"/>
      <c r="D830" s="25"/>
      <c r="E830" s="62"/>
      <c r="F830" s="63"/>
      <c r="G830" s="25"/>
      <c r="H830" s="63"/>
      <c r="I830" s="63"/>
      <c r="J830" s="64"/>
      <c r="K830" s="64"/>
      <c r="L830" s="64"/>
      <c r="M830" s="64"/>
      <c r="N830" s="64"/>
      <c r="O830" s="64"/>
      <c r="P830" s="64"/>
      <c r="Q830" s="64"/>
      <c r="R830" s="64"/>
      <c r="S830" s="64"/>
      <c r="T830" s="64"/>
      <c r="U830" s="64"/>
      <c r="V830" s="64"/>
      <c r="W830" s="64"/>
      <c r="X830" s="64"/>
      <c r="Y830" s="64"/>
      <c r="Z830" s="64"/>
      <c r="AA830" s="64"/>
      <c r="AB830" s="64"/>
      <c r="AC830" s="64"/>
      <c r="AD830" s="64"/>
      <c r="AE830" s="64"/>
      <c r="AF830" s="64"/>
      <c r="AG830" s="64"/>
    </row>
    <row r="831" spans="1:33">
      <c r="A831" s="25"/>
      <c r="B831" s="25"/>
      <c r="C831" s="25"/>
      <c r="D831" s="25"/>
      <c r="E831" s="62"/>
      <c r="F831" s="63"/>
      <c r="G831" s="25"/>
      <c r="H831" s="63"/>
      <c r="I831" s="63"/>
      <c r="J831" s="64"/>
      <c r="K831" s="64"/>
      <c r="L831" s="64"/>
      <c r="M831" s="64"/>
      <c r="N831" s="64"/>
      <c r="O831" s="64"/>
      <c r="P831" s="64"/>
      <c r="Q831" s="64"/>
      <c r="R831" s="64"/>
      <c r="S831" s="64"/>
      <c r="T831" s="64"/>
      <c r="U831" s="64"/>
      <c r="V831" s="64"/>
      <c r="W831" s="64"/>
      <c r="X831" s="64"/>
      <c r="Y831" s="64"/>
      <c r="Z831" s="64"/>
      <c r="AA831" s="64"/>
      <c r="AB831" s="64"/>
      <c r="AC831" s="64"/>
      <c r="AD831" s="64"/>
      <c r="AE831" s="64"/>
      <c r="AF831" s="64"/>
      <c r="AG831" s="64"/>
    </row>
    <row r="832" spans="1:33">
      <c r="A832" s="25"/>
      <c r="B832" s="25"/>
      <c r="C832" s="25"/>
      <c r="D832" s="25"/>
      <c r="E832" s="62"/>
      <c r="F832" s="63"/>
      <c r="G832" s="25"/>
      <c r="H832" s="63"/>
      <c r="I832" s="63"/>
      <c r="J832" s="64"/>
      <c r="K832" s="64"/>
      <c r="L832" s="64"/>
      <c r="M832" s="64"/>
      <c r="N832" s="64"/>
      <c r="O832" s="64"/>
      <c r="P832" s="64"/>
      <c r="Q832" s="64"/>
      <c r="R832" s="64"/>
      <c r="S832" s="64"/>
      <c r="T832" s="64"/>
      <c r="U832" s="64"/>
      <c r="V832" s="64"/>
      <c r="W832" s="64"/>
      <c r="X832" s="64"/>
      <c r="Y832" s="64"/>
      <c r="Z832" s="64"/>
      <c r="AA832" s="64"/>
      <c r="AB832" s="64"/>
      <c r="AC832" s="64"/>
      <c r="AD832" s="64"/>
      <c r="AE832" s="64"/>
      <c r="AF832" s="64"/>
      <c r="AG832" s="64"/>
    </row>
    <row r="833" spans="1:33">
      <c r="A833" s="25"/>
      <c r="B833" s="25"/>
      <c r="C833" s="25"/>
      <c r="D833" s="25"/>
      <c r="E833" s="62"/>
      <c r="F833" s="63"/>
      <c r="G833" s="25"/>
      <c r="H833" s="63"/>
      <c r="I833" s="63"/>
      <c r="J833" s="64"/>
      <c r="K833" s="64"/>
      <c r="L833" s="64"/>
      <c r="M833" s="64"/>
      <c r="N833" s="64"/>
      <c r="O833" s="64"/>
      <c r="P833" s="64"/>
      <c r="Q833" s="64"/>
      <c r="R833" s="64"/>
      <c r="S833" s="64"/>
      <c r="T833" s="64"/>
      <c r="U833" s="64"/>
      <c r="V833" s="64"/>
      <c r="W833" s="64"/>
      <c r="X833" s="64"/>
      <c r="Y833" s="64"/>
      <c r="Z833" s="64"/>
      <c r="AA833" s="64"/>
      <c r="AB833" s="64"/>
      <c r="AC833" s="64"/>
      <c r="AD833" s="64"/>
      <c r="AE833" s="64"/>
      <c r="AF833" s="64"/>
      <c r="AG833" s="64"/>
    </row>
    <row r="834" spans="1:33">
      <c r="A834" s="25"/>
      <c r="B834" s="25"/>
      <c r="C834" s="25"/>
      <c r="D834" s="25"/>
      <c r="E834" s="62"/>
      <c r="F834" s="63"/>
      <c r="G834" s="25"/>
      <c r="H834" s="63"/>
      <c r="I834" s="63"/>
      <c r="J834" s="64"/>
      <c r="K834" s="64"/>
      <c r="L834" s="64"/>
      <c r="M834" s="64"/>
      <c r="N834" s="64"/>
      <c r="O834" s="64"/>
      <c r="P834" s="64"/>
      <c r="Q834" s="64"/>
      <c r="R834" s="64"/>
      <c r="S834" s="64"/>
      <c r="T834" s="64"/>
      <c r="U834" s="64"/>
      <c r="V834" s="64"/>
      <c r="W834" s="64"/>
      <c r="X834" s="64"/>
      <c r="Y834" s="64"/>
      <c r="Z834" s="64"/>
      <c r="AA834" s="64"/>
      <c r="AB834" s="64"/>
      <c r="AC834" s="64"/>
      <c r="AD834" s="64"/>
      <c r="AE834" s="64"/>
      <c r="AF834" s="64"/>
      <c r="AG834" s="64"/>
    </row>
    <row r="835" spans="1:33">
      <c r="A835" s="25"/>
      <c r="B835" s="25"/>
      <c r="C835" s="25"/>
      <c r="D835" s="25"/>
      <c r="E835" s="62"/>
      <c r="F835" s="63"/>
      <c r="G835" s="25"/>
      <c r="H835" s="63"/>
      <c r="I835" s="63"/>
      <c r="J835" s="64"/>
      <c r="K835" s="64"/>
      <c r="L835" s="64"/>
      <c r="M835" s="64"/>
      <c r="N835" s="64"/>
      <c r="O835" s="64"/>
      <c r="P835" s="64"/>
      <c r="Q835" s="64"/>
      <c r="R835" s="64"/>
      <c r="S835" s="64"/>
      <c r="T835" s="64"/>
      <c r="U835" s="64"/>
      <c r="V835" s="64"/>
      <c r="W835" s="64"/>
      <c r="X835" s="64"/>
      <c r="Y835" s="64"/>
      <c r="Z835" s="64"/>
      <c r="AA835" s="64"/>
      <c r="AB835" s="64"/>
      <c r="AC835" s="64"/>
      <c r="AD835" s="64"/>
      <c r="AE835" s="64"/>
      <c r="AF835" s="64"/>
      <c r="AG835" s="64"/>
    </row>
    <row r="836" spans="1:33">
      <c r="A836" s="25"/>
      <c r="B836" s="25"/>
      <c r="C836" s="25"/>
      <c r="D836" s="25"/>
      <c r="E836" s="62"/>
      <c r="F836" s="63"/>
      <c r="G836" s="25"/>
      <c r="H836" s="63"/>
      <c r="I836" s="63"/>
      <c r="J836" s="64"/>
      <c r="K836" s="64"/>
      <c r="L836" s="64"/>
      <c r="M836" s="64"/>
      <c r="N836" s="64"/>
      <c r="O836" s="64"/>
      <c r="P836" s="64"/>
      <c r="Q836" s="64"/>
      <c r="R836" s="64"/>
      <c r="S836" s="64"/>
      <c r="T836" s="64"/>
      <c r="U836" s="64"/>
      <c r="V836" s="64"/>
      <c r="W836" s="64"/>
      <c r="X836" s="64"/>
      <c r="Y836" s="64"/>
      <c r="Z836" s="64"/>
      <c r="AA836" s="64"/>
      <c r="AB836" s="64"/>
      <c r="AC836" s="64"/>
      <c r="AD836" s="64"/>
      <c r="AE836" s="64"/>
      <c r="AF836" s="64"/>
      <c r="AG836" s="64"/>
    </row>
    <row r="837" spans="1:33">
      <c r="A837" s="25"/>
      <c r="B837" s="25"/>
      <c r="C837" s="25"/>
      <c r="D837" s="25"/>
      <c r="E837" s="62"/>
      <c r="F837" s="63"/>
      <c r="G837" s="25"/>
      <c r="H837" s="63"/>
      <c r="I837" s="63"/>
      <c r="J837" s="64"/>
      <c r="K837" s="64"/>
      <c r="L837" s="64"/>
      <c r="M837" s="64"/>
      <c r="N837" s="64"/>
      <c r="O837" s="64"/>
      <c r="P837" s="64"/>
      <c r="Q837" s="64"/>
      <c r="R837" s="64"/>
      <c r="S837" s="64"/>
      <c r="T837" s="64"/>
      <c r="U837" s="64"/>
      <c r="V837" s="64"/>
      <c r="W837" s="64"/>
      <c r="X837" s="64"/>
      <c r="Y837" s="64"/>
      <c r="Z837" s="64"/>
      <c r="AA837" s="64"/>
      <c r="AB837" s="64"/>
      <c r="AC837" s="64"/>
      <c r="AD837" s="64"/>
      <c r="AE837" s="64"/>
      <c r="AF837" s="64"/>
      <c r="AG837" s="64"/>
    </row>
    <row r="838" spans="1:33">
      <c r="A838" s="25"/>
      <c r="B838" s="25"/>
      <c r="C838" s="25"/>
      <c r="D838" s="25"/>
      <c r="E838" s="62"/>
      <c r="F838" s="63"/>
      <c r="G838" s="25"/>
      <c r="H838" s="63"/>
      <c r="I838" s="63"/>
      <c r="J838" s="64"/>
      <c r="K838" s="64"/>
      <c r="L838" s="64"/>
      <c r="M838" s="64"/>
      <c r="N838" s="64"/>
      <c r="O838" s="64"/>
      <c r="P838" s="64"/>
      <c r="Q838" s="64"/>
      <c r="R838" s="64"/>
      <c r="S838" s="64"/>
      <c r="T838" s="64"/>
      <c r="U838" s="64"/>
      <c r="V838" s="64"/>
      <c r="W838" s="64"/>
      <c r="X838" s="64"/>
      <c r="Y838" s="64"/>
      <c r="Z838" s="64"/>
      <c r="AA838" s="64"/>
      <c r="AB838" s="64"/>
      <c r="AC838" s="64"/>
      <c r="AD838" s="64"/>
      <c r="AE838" s="64"/>
      <c r="AF838" s="64"/>
      <c r="AG838" s="64"/>
    </row>
    <row r="839" spans="1:33">
      <c r="A839" s="25"/>
      <c r="B839" s="25"/>
      <c r="C839" s="25"/>
      <c r="D839" s="25"/>
      <c r="E839" s="62"/>
      <c r="F839" s="63"/>
      <c r="G839" s="25"/>
      <c r="H839" s="63"/>
      <c r="I839" s="63"/>
      <c r="J839" s="64"/>
      <c r="K839" s="64"/>
      <c r="L839" s="64"/>
      <c r="M839" s="64"/>
      <c r="N839" s="64"/>
      <c r="O839" s="64"/>
      <c r="P839" s="64"/>
      <c r="Q839" s="64"/>
      <c r="R839" s="64"/>
      <c r="S839" s="64"/>
      <c r="T839" s="64"/>
      <c r="U839" s="64"/>
      <c r="V839" s="64"/>
      <c r="W839" s="64"/>
      <c r="X839" s="64"/>
      <c r="Y839" s="64"/>
      <c r="Z839" s="64"/>
      <c r="AA839" s="64"/>
      <c r="AB839" s="64"/>
      <c r="AC839" s="64"/>
      <c r="AD839" s="64"/>
      <c r="AE839" s="64"/>
      <c r="AF839" s="64"/>
      <c r="AG839" s="64"/>
    </row>
    <row r="840" spans="1:33">
      <c r="A840" s="25"/>
      <c r="B840" s="25"/>
      <c r="C840" s="25"/>
      <c r="D840" s="25"/>
      <c r="E840" s="62"/>
      <c r="F840" s="63"/>
      <c r="G840" s="25"/>
      <c r="H840" s="63"/>
      <c r="I840" s="63"/>
      <c r="J840" s="64"/>
      <c r="K840" s="64"/>
      <c r="L840" s="64"/>
      <c r="M840" s="64"/>
      <c r="N840" s="64"/>
      <c r="O840" s="64"/>
      <c r="P840" s="64"/>
      <c r="Q840" s="64"/>
      <c r="R840" s="64"/>
      <c r="S840" s="64"/>
      <c r="T840" s="64"/>
      <c r="U840" s="64"/>
      <c r="V840" s="64"/>
      <c r="W840" s="64"/>
      <c r="X840" s="64"/>
      <c r="Y840" s="64"/>
      <c r="Z840" s="64"/>
      <c r="AA840" s="64"/>
      <c r="AB840" s="64"/>
      <c r="AC840" s="64"/>
      <c r="AD840" s="64"/>
      <c r="AE840" s="64"/>
      <c r="AF840" s="64"/>
      <c r="AG840" s="64"/>
    </row>
    <row r="841" spans="1:33">
      <c r="A841" s="25"/>
      <c r="B841" s="25"/>
      <c r="C841" s="25"/>
      <c r="D841" s="25"/>
      <c r="E841" s="62"/>
      <c r="F841" s="63"/>
      <c r="G841" s="25"/>
      <c r="H841" s="63"/>
      <c r="I841" s="63"/>
      <c r="J841" s="64"/>
      <c r="K841" s="64"/>
      <c r="L841" s="64"/>
      <c r="M841" s="64"/>
      <c r="N841" s="64"/>
      <c r="O841" s="64"/>
      <c r="P841" s="64"/>
      <c r="Q841" s="64"/>
      <c r="R841" s="64"/>
      <c r="S841" s="64"/>
      <c r="T841" s="64"/>
      <c r="U841" s="64"/>
      <c r="V841" s="64"/>
      <c r="W841" s="64"/>
      <c r="X841" s="64"/>
      <c r="Y841" s="64"/>
      <c r="Z841" s="64"/>
      <c r="AA841" s="64"/>
      <c r="AB841" s="64"/>
      <c r="AC841" s="64"/>
      <c r="AD841" s="64"/>
      <c r="AE841" s="64"/>
      <c r="AF841" s="64"/>
      <c r="AG841" s="64"/>
    </row>
    <row r="842" spans="1:33">
      <c r="A842" s="25"/>
      <c r="B842" s="25"/>
      <c r="C842" s="25"/>
      <c r="D842" s="25"/>
      <c r="E842" s="62"/>
      <c r="F842" s="63"/>
      <c r="G842" s="25"/>
      <c r="H842" s="63"/>
      <c r="I842" s="63"/>
      <c r="J842" s="64"/>
      <c r="K842" s="64"/>
      <c r="L842" s="64"/>
      <c r="M842" s="64"/>
      <c r="N842" s="64"/>
      <c r="O842" s="64"/>
      <c r="P842" s="64"/>
      <c r="Q842" s="64"/>
      <c r="R842" s="64"/>
      <c r="S842" s="64"/>
      <c r="T842" s="64"/>
      <c r="U842" s="64"/>
      <c r="V842" s="64"/>
      <c r="W842" s="64"/>
      <c r="X842" s="64"/>
      <c r="Y842" s="64"/>
      <c r="Z842" s="64"/>
      <c r="AA842" s="64"/>
      <c r="AB842" s="64"/>
      <c r="AC842" s="64"/>
      <c r="AD842" s="64"/>
      <c r="AE842" s="64"/>
      <c r="AF842" s="64"/>
      <c r="AG842" s="64"/>
    </row>
    <row r="843" spans="1:33">
      <c r="A843" s="25"/>
      <c r="B843" s="25"/>
      <c r="C843" s="25"/>
      <c r="D843" s="25"/>
      <c r="E843" s="62"/>
      <c r="F843" s="63"/>
      <c r="G843" s="25"/>
      <c r="H843" s="63"/>
      <c r="I843" s="63"/>
      <c r="J843" s="64"/>
      <c r="K843" s="64"/>
      <c r="L843" s="64"/>
      <c r="M843" s="64"/>
      <c r="N843" s="64"/>
      <c r="O843" s="64"/>
      <c r="P843" s="64"/>
      <c r="Q843" s="64"/>
      <c r="R843" s="64"/>
      <c r="S843" s="64"/>
      <c r="T843" s="64"/>
      <c r="U843" s="64"/>
      <c r="V843" s="64"/>
      <c r="W843" s="64"/>
      <c r="X843" s="64"/>
      <c r="Y843" s="64"/>
      <c r="Z843" s="64"/>
      <c r="AA843" s="64"/>
      <c r="AB843" s="64"/>
      <c r="AC843" s="64"/>
      <c r="AD843" s="64"/>
      <c r="AE843" s="64"/>
      <c r="AF843" s="64"/>
      <c r="AG843" s="64"/>
    </row>
    <row r="844" spans="1:33">
      <c r="A844" s="25"/>
      <c r="B844" s="25"/>
      <c r="C844" s="25"/>
      <c r="D844" s="25"/>
      <c r="E844" s="62"/>
      <c r="F844" s="63"/>
      <c r="G844" s="25"/>
      <c r="H844" s="63"/>
      <c r="I844" s="63"/>
      <c r="J844" s="64"/>
      <c r="K844" s="64"/>
      <c r="L844" s="64"/>
      <c r="M844" s="64"/>
      <c r="N844" s="64"/>
      <c r="O844" s="64"/>
      <c r="P844" s="64"/>
      <c r="Q844" s="64"/>
      <c r="R844" s="64"/>
      <c r="S844" s="64"/>
      <c r="T844" s="64"/>
      <c r="U844" s="64"/>
      <c r="V844" s="64"/>
      <c r="W844" s="64"/>
      <c r="X844" s="64"/>
      <c r="Y844" s="64"/>
      <c r="Z844" s="64"/>
      <c r="AA844" s="64"/>
      <c r="AB844" s="64"/>
      <c r="AC844" s="64"/>
      <c r="AD844" s="64"/>
      <c r="AE844" s="64"/>
      <c r="AF844" s="64"/>
      <c r="AG844" s="64"/>
    </row>
    <row r="845" spans="1:33">
      <c r="A845" s="25"/>
      <c r="B845" s="25"/>
      <c r="C845" s="25"/>
      <c r="D845" s="25"/>
      <c r="E845" s="62"/>
      <c r="F845" s="63"/>
      <c r="G845" s="25"/>
      <c r="H845" s="63"/>
      <c r="I845" s="63"/>
      <c r="J845" s="64"/>
      <c r="K845" s="64"/>
      <c r="L845" s="64"/>
      <c r="M845" s="64"/>
      <c r="N845" s="64"/>
      <c r="O845" s="64"/>
      <c r="P845" s="64"/>
      <c r="Q845" s="64"/>
      <c r="R845" s="64"/>
      <c r="S845" s="64"/>
      <c r="T845" s="64"/>
      <c r="U845" s="64"/>
      <c r="V845" s="64"/>
      <c r="W845" s="64"/>
      <c r="X845" s="64"/>
      <c r="Y845" s="64"/>
      <c r="Z845" s="64"/>
      <c r="AA845" s="64"/>
      <c r="AB845" s="64"/>
      <c r="AC845" s="64"/>
      <c r="AD845" s="64"/>
      <c r="AE845" s="64"/>
      <c r="AF845" s="64"/>
      <c r="AG845" s="64"/>
    </row>
    <row r="846" spans="1:33">
      <c r="A846" s="25"/>
      <c r="B846" s="25"/>
      <c r="C846" s="25"/>
      <c r="D846" s="25"/>
      <c r="E846" s="62"/>
      <c r="F846" s="63"/>
      <c r="G846" s="25"/>
      <c r="H846" s="63"/>
      <c r="I846" s="63"/>
      <c r="J846" s="64"/>
      <c r="K846" s="64"/>
      <c r="L846" s="64"/>
      <c r="M846" s="64"/>
      <c r="N846" s="64"/>
      <c r="O846" s="64"/>
      <c r="P846" s="64"/>
      <c r="Q846" s="64"/>
      <c r="R846" s="64"/>
      <c r="S846" s="64"/>
      <c r="T846" s="64"/>
      <c r="U846" s="64"/>
      <c r="V846" s="64"/>
      <c r="W846" s="64"/>
      <c r="X846" s="64"/>
      <c r="Y846" s="64"/>
      <c r="Z846" s="64"/>
      <c r="AA846" s="64"/>
      <c r="AB846" s="64"/>
      <c r="AC846" s="64"/>
      <c r="AD846" s="64"/>
      <c r="AE846" s="64"/>
      <c r="AF846" s="64"/>
      <c r="AG846" s="64"/>
    </row>
    <row r="847" spans="1:33">
      <c r="A847" s="25"/>
      <c r="B847" s="25"/>
      <c r="C847" s="25"/>
      <c r="D847" s="25"/>
      <c r="E847" s="62"/>
      <c r="F847" s="63"/>
      <c r="G847" s="25"/>
      <c r="H847" s="63"/>
      <c r="I847" s="63"/>
      <c r="J847" s="64"/>
      <c r="K847" s="64"/>
      <c r="L847" s="64"/>
      <c r="M847" s="64"/>
      <c r="N847" s="64"/>
      <c r="O847" s="64"/>
      <c r="P847" s="64"/>
      <c r="Q847" s="64"/>
      <c r="R847" s="64"/>
      <c r="S847" s="64"/>
      <c r="T847" s="64"/>
      <c r="U847" s="64"/>
      <c r="V847" s="64"/>
      <c r="W847" s="64"/>
      <c r="X847" s="64"/>
      <c r="Y847" s="64"/>
      <c r="Z847" s="64"/>
      <c r="AA847" s="64"/>
      <c r="AB847" s="64"/>
      <c r="AC847" s="64"/>
      <c r="AD847" s="64"/>
      <c r="AE847" s="64"/>
      <c r="AF847" s="64"/>
      <c r="AG847" s="64"/>
    </row>
    <row r="848" spans="1:33">
      <c r="A848" s="25"/>
      <c r="B848" s="25"/>
      <c r="C848" s="25"/>
      <c r="D848" s="25"/>
      <c r="E848" s="62"/>
      <c r="F848" s="63"/>
      <c r="G848" s="25"/>
      <c r="H848" s="63"/>
      <c r="I848" s="63"/>
      <c r="J848" s="64"/>
      <c r="K848" s="64"/>
      <c r="L848" s="64"/>
      <c r="M848" s="64"/>
      <c r="N848" s="64"/>
      <c r="O848" s="64"/>
      <c r="P848" s="64"/>
      <c r="Q848" s="64"/>
      <c r="R848" s="64"/>
      <c r="S848" s="64"/>
      <c r="T848" s="64"/>
      <c r="U848" s="64"/>
      <c r="V848" s="64"/>
      <c r="W848" s="64"/>
      <c r="X848" s="64"/>
      <c r="Y848" s="64"/>
      <c r="Z848" s="64"/>
      <c r="AA848" s="64"/>
      <c r="AB848" s="64"/>
      <c r="AC848" s="64"/>
      <c r="AD848" s="64"/>
      <c r="AE848" s="64"/>
      <c r="AF848" s="64"/>
      <c r="AG848" s="64"/>
    </row>
    <row r="849" spans="1:33">
      <c r="A849" s="25"/>
      <c r="B849" s="25"/>
      <c r="C849" s="25"/>
      <c r="D849" s="25"/>
      <c r="E849" s="62"/>
      <c r="F849" s="63"/>
      <c r="G849" s="25"/>
      <c r="H849" s="63"/>
      <c r="I849" s="63"/>
      <c r="J849" s="64"/>
      <c r="K849" s="64"/>
      <c r="L849" s="64"/>
      <c r="M849" s="64"/>
      <c r="N849" s="64"/>
      <c r="O849" s="64"/>
      <c r="P849" s="64"/>
      <c r="Q849" s="64"/>
      <c r="R849" s="64"/>
      <c r="S849" s="64"/>
      <c r="T849" s="64"/>
      <c r="U849" s="64"/>
      <c r="V849" s="64"/>
      <c r="W849" s="64"/>
      <c r="X849" s="64"/>
      <c r="Y849" s="64"/>
      <c r="Z849" s="64"/>
      <c r="AA849" s="64"/>
      <c r="AB849" s="64"/>
      <c r="AC849" s="64"/>
      <c r="AD849" s="64"/>
      <c r="AE849" s="64"/>
      <c r="AF849" s="64"/>
      <c r="AG849" s="64"/>
    </row>
    <row r="850" spans="1:33">
      <c r="A850" s="25"/>
      <c r="B850" s="25"/>
      <c r="C850" s="25"/>
      <c r="D850" s="25"/>
      <c r="E850" s="62"/>
      <c r="F850" s="63"/>
      <c r="G850" s="25"/>
      <c r="H850" s="63"/>
      <c r="I850" s="63"/>
      <c r="J850" s="64"/>
      <c r="K850" s="64"/>
      <c r="L850" s="64"/>
      <c r="M850" s="64"/>
      <c r="N850" s="64"/>
      <c r="O850" s="64"/>
      <c r="P850" s="64"/>
      <c r="Q850" s="64"/>
      <c r="R850" s="64"/>
      <c r="S850" s="64"/>
      <c r="T850" s="64"/>
      <c r="U850" s="64"/>
      <c r="V850" s="64"/>
      <c r="W850" s="64"/>
      <c r="X850" s="64"/>
      <c r="Y850" s="64"/>
      <c r="Z850" s="64"/>
      <c r="AA850" s="64"/>
      <c r="AB850" s="64"/>
      <c r="AC850" s="64"/>
      <c r="AD850" s="64"/>
      <c r="AE850" s="64"/>
      <c r="AF850" s="64"/>
      <c r="AG850" s="64"/>
    </row>
    <row r="851" spans="1:33">
      <c r="A851" s="25"/>
      <c r="B851" s="25"/>
      <c r="C851" s="25"/>
      <c r="D851" s="25"/>
      <c r="E851" s="62"/>
      <c r="F851" s="63"/>
      <c r="G851" s="25"/>
      <c r="H851" s="63"/>
      <c r="I851" s="63"/>
      <c r="J851" s="64"/>
      <c r="K851" s="64"/>
      <c r="L851" s="64"/>
      <c r="M851" s="64"/>
      <c r="N851" s="64"/>
      <c r="O851" s="64"/>
      <c r="P851" s="64"/>
      <c r="Q851" s="64"/>
      <c r="R851" s="64"/>
      <c r="S851" s="64"/>
      <c r="T851" s="64"/>
      <c r="U851" s="64"/>
      <c r="V851" s="64"/>
      <c r="W851" s="64"/>
      <c r="X851" s="64"/>
      <c r="Y851" s="64"/>
      <c r="Z851" s="64"/>
      <c r="AA851" s="64"/>
      <c r="AB851" s="64"/>
      <c r="AC851" s="64"/>
      <c r="AD851" s="64"/>
      <c r="AE851" s="64"/>
      <c r="AF851" s="64"/>
      <c r="AG851" s="64"/>
    </row>
    <row r="852" spans="1:33">
      <c r="A852" s="25"/>
      <c r="B852" s="25"/>
      <c r="C852" s="25"/>
      <c r="D852" s="25"/>
      <c r="E852" s="62"/>
      <c r="F852" s="63"/>
      <c r="G852" s="25"/>
      <c r="H852" s="63"/>
      <c r="I852" s="63"/>
      <c r="J852" s="64"/>
      <c r="K852" s="64"/>
      <c r="L852" s="64"/>
      <c r="M852" s="64"/>
      <c r="N852" s="64"/>
      <c r="O852" s="64"/>
      <c r="P852" s="64"/>
      <c r="Q852" s="64"/>
      <c r="R852" s="64"/>
      <c r="S852" s="64"/>
      <c r="T852" s="64"/>
      <c r="U852" s="64"/>
      <c r="V852" s="64"/>
      <c r="W852" s="64"/>
      <c r="X852" s="64"/>
      <c r="Y852" s="64"/>
      <c r="Z852" s="64"/>
      <c r="AA852" s="64"/>
      <c r="AB852" s="64"/>
      <c r="AC852" s="64"/>
      <c r="AD852" s="64"/>
      <c r="AE852" s="64"/>
      <c r="AF852" s="64"/>
      <c r="AG852" s="64"/>
    </row>
    <row r="853" spans="1:33">
      <c r="A853" s="25"/>
      <c r="B853" s="25"/>
      <c r="C853" s="25"/>
      <c r="D853" s="25"/>
      <c r="E853" s="62"/>
      <c r="F853" s="63"/>
      <c r="G853" s="25"/>
      <c r="H853" s="63"/>
      <c r="I853" s="63"/>
      <c r="J853" s="64"/>
      <c r="K853" s="64"/>
      <c r="L853" s="64"/>
      <c r="M853" s="64"/>
      <c r="N853" s="64"/>
      <c r="O853" s="64"/>
      <c r="P853" s="64"/>
      <c r="Q853" s="64"/>
      <c r="R853" s="64"/>
      <c r="S853" s="64"/>
      <c r="T853" s="64"/>
      <c r="U853" s="64"/>
      <c r="V853" s="64"/>
      <c r="W853" s="64"/>
      <c r="X853" s="64"/>
      <c r="Y853" s="64"/>
      <c r="Z853" s="64"/>
      <c r="AA853" s="64"/>
      <c r="AB853" s="64"/>
      <c r="AC853" s="64"/>
      <c r="AD853" s="64"/>
      <c r="AE853" s="64"/>
      <c r="AF853" s="64"/>
      <c r="AG853" s="64"/>
    </row>
    <row r="854" spans="1:33">
      <c r="A854" s="25"/>
      <c r="B854" s="25"/>
      <c r="C854" s="25"/>
      <c r="D854" s="25"/>
      <c r="E854" s="62"/>
      <c r="F854" s="63"/>
      <c r="G854" s="25"/>
      <c r="H854" s="63"/>
      <c r="I854" s="63"/>
      <c r="J854" s="64"/>
      <c r="K854" s="64"/>
      <c r="L854" s="64"/>
      <c r="M854" s="64"/>
      <c r="N854" s="64"/>
      <c r="O854" s="64"/>
      <c r="P854" s="64"/>
      <c r="Q854" s="64"/>
      <c r="R854" s="64"/>
      <c r="S854" s="64"/>
      <c r="T854" s="64"/>
      <c r="U854" s="64"/>
      <c r="V854" s="64"/>
      <c r="W854" s="64"/>
      <c r="X854" s="64"/>
      <c r="Y854" s="64"/>
      <c r="Z854" s="64"/>
      <c r="AA854" s="64"/>
      <c r="AB854" s="64"/>
      <c r="AC854" s="64"/>
      <c r="AD854" s="64"/>
      <c r="AE854" s="64"/>
      <c r="AF854" s="64"/>
      <c r="AG854" s="64"/>
    </row>
    <row r="855" spans="1:33">
      <c r="A855" s="25"/>
      <c r="B855" s="25"/>
      <c r="C855" s="25"/>
      <c r="D855" s="25"/>
      <c r="E855" s="62"/>
      <c r="F855" s="63"/>
      <c r="G855" s="25"/>
      <c r="H855" s="63"/>
      <c r="I855" s="63"/>
      <c r="J855" s="64"/>
      <c r="K855" s="64"/>
      <c r="L855" s="64"/>
      <c r="M855" s="64"/>
      <c r="N855" s="64"/>
      <c r="O855" s="64"/>
      <c r="P855" s="64"/>
      <c r="Q855" s="64"/>
      <c r="R855" s="64"/>
      <c r="S855" s="64"/>
      <c r="T855" s="64"/>
      <c r="U855" s="64"/>
      <c r="V855" s="64"/>
      <c r="W855" s="64"/>
      <c r="X855" s="64"/>
      <c r="Y855" s="64"/>
      <c r="Z855" s="64"/>
      <c r="AA855" s="64"/>
      <c r="AB855" s="64"/>
      <c r="AC855" s="64"/>
      <c r="AD855" s="64"/>
      <c r="AE855" s="64"/>
      <c r="AF855" s="64"/>
      <c r="AG855" s="64"/>
    </row>
    <row r="856" spans="1:33">
      <c r="A856" s="25"/>
      <c r="B856" s="25"/>
      <c r="C856" s="25"/>
      <c r="D856" s="25"/>
      <c r="E856" s="62"/>
      <c r="F856" s="63"/>
      <c r="G856" s="25"/>
      <c r="H856" s="63"/>
      <c r="I856" s="63"/>
      <c r="J856" s="64"/>
      <c r="K856" s="64"/>
      <c r="L856" s="64"/>
      <c r="M856" s="64"/>
      <c r="N856" s="64"/>
      <c r="O856" s="64"/>
      <c r="P856" s="64"/>
      <c r="Q856" s="64"/>
      <c r="R856" s="64"/>
      <c r="S856" s="64"/>
      <c r="T856" s="64"/>
      <c r="U856" s="64"/>
      <c r="V856" s="64"/>
      <c r="W856" s="64"/>
      <c r="X856" s="64"/>
      <c r="Y856" s="64"/>
      <c r="Z856" s="64"/>
      <c r="AA856" s="64"/>
      <c r="AB856" s="64"/>
      <c r="AC856" s="64"/>
      <c r="AD856" s="64"/>
      <c r="AE856" s="64"/>
      <c r="AF856" s="64"/>
      <c r="AG856" s="64"/>
    </row>
    <row r="857" spans="1:33">
      <c r="A857" s="25"/>
      <c r="B857" s="25"/>
      <c r="C857" s="25"/>
      <c r="D857" s="25"/>
      <c r="E857" s="62"/>
      <c r="F857" s="63"/>
      <c r="G857" s="25"/>
      <c r="H857" s="63"/>
      <c r="I857" s="63"/>
      <c r="J857" s="64"/>
      <c r="K857" s="64"/>
      <c r="L857" s="64"/>
      <c r="M857" s="64"/>
      <c r="N857" s="64"/>
      <c r="O857" s="64"/>
      <c r="P857" s="64"/>
      <c r="Q857" s="64"/>
      <c r="R857" s="64"/>
      <c r="S857" s="64"/>
      <c r="T857" s="64"/>
      <c r="U857" s="64"/>
      <c r="V857" s="64"/>
      <c r="W857" s="64"/>
      <c r="X857" s="64"/>
      <c r="Y857" s="64"/>
      <c r="Z857" s="64"/>
      <c r="AA857" s="64"/>
      <c r="AB857" s="64"/>
      <c r="AC857" s="64"/>
      <c r="AD857" s="64"/>
      <c r="AE857" s="64"/>
      <c r="AF857" s="64"/>
      <c r="AG857" s="64"/>
    </row>
    <row r="858" spans="1:33">
      <c r="A858" s="25"/>
      <c r="B858" s="25"/>
      <c r="C858" s="25"/>
      <c r="D858" s="25"/>
      <c r="E858" s="62"/>
      <c r="F858" s="63"/>
      <c r="G858" s="25"/>
      <c r="H858" s="63"/>
      <c r="I858" s="63"/>
      <c r="J858" s="64"/>
      <c r="K858" s="64"/>
      <c r="L858" s="64"/>
      <c r="M858" s="64"/>
      <c r="N858" s="64"/>
      <c r="O858" s="64"/>
      <c r="P858" s="64"/>
      <c r="Q858" s="64"/>
      <c r="R858" s="64"/>
      <c r="S858" s="64"/>
      <c r="T858" s="64"/>
      <c r="U858" s="64"/>
      <c r="V858" s="64"/>
      <c r="W858" s="64"/>
      <c r="X858" s="64"/>
      <c r="Y858" s="64"/>
      <c r="Z858" s="64"/>
      <c r="AA858" s="64"/>
      <c r="AB858" s="64"/>
      <c r="AC858" s="64"/>
      <c r="AD858" s="64"/>
      <c r="AE858" s="64"/>
      <c r="AF858" s="64"/>
      <c r="AG858" s="64"/>
    </row>
    <row r="859" spans="1:33">
      <c r="A859" s="25"/>
      <c r="B859" s="25"/>
      <c r="C859" s="25"/>
      <c r="D859" s="25"/>
      <c r="E859" s="62"/>
      <c r="F859" s="63"/>
      <c r="G859" s="25"/>
      <c r="H859" s="63"/>
      <c r="I859" s="63"/>
      <c r="J859" s="64"/>
      <c r="K859" s="64"/>
      <c r="L859" s="64"/>
      <c r="M859" s="64"/>
      <c r="N859" s="64"/>
      <c r="O859" s="64"/>
      <c r="P859" s="64"/>
      <c r="Q859" s="64"/>
      <c r="R859" s="64"/>
      <c r="S859" s="64"/>
      <c r="T859" s="64"/>
      <c r="U859" s="64"/>
      <c r="V859" s="64"/>
      <c r="W859" s="64"/>
      <c r="X859" s="64"/>
      <c r="Y859" s="64"/>
      <c r="Z859" s="64"/>
      <c r="AA859" s="64"/>
      <c r="AB859" s="64"/>
      <c r="AC859" s="64"/>
      <c r="AD859" s="64"/>
      <c r="AE859" s="64"/>
      <c r="AF859" s="64"/>
      <c r="AG859" s="64"/>
    </row>
    <row r="860" spans="1:33">
      <c r="A860" s="25"/>
      <c r="B860" s="25"/>
      <c r="C860" s="25"/>
      <c r="D860" s="25"/>
      <c r="E860" s="62"/>
      <c r="F860" s="63"/>
      <c r="G860" s="25"/>
      <c r="H860" s="63"/>
      <c r="I860" s="63"/>
      <c r="J860" s="64"/>
      <c r="K860" s="64"/>
      <c r="L860" s="64"/>
      <c r="M860" s="64"/>
      <c r="N860" s="64"/>
      <c r="O860" s="64"/>
      <c r="P860" s="64"/>
      <c r="Q860" s="64"/>
      <c r="R860" s="64"/>
      <c r="S860" s="64"/>
      <c r="T860" s="64"/>
      <c r="U860" s="64"/>
      <c r="V860" s="64"/>
      <c r="W860" s="64"/>
      <c r="X860" s="64"/>
      <c r="Y860" s="64"/>
      <c r="Z860" s="64"/>
      <c r="AA860" s="64"/>
      <c r="AB860" s="64"/>
      <c r="AC860" s="64"/>
      <c r="AD860" s="64"/>
      <c r="AE860" s="64"/>
      <c r="AF860" s="64"/>
      <c r="AG860" s="64"/>
    </row>
    <row r="861" spans="1:33">
      <c r="A861" s="25"/>
      <c r="B861" s="25"/>
      <c r="C861" s="25"/>
      <c r="D861" s="25"/>
      <c r="E861" s="62"/>
      <c r="F861" s="63"/>
      <c r="G861" s="25"/>
      <c r="H861" s="63"/>
      <c r="I861" s="63"/>
      <c r="J861" s="64"/>
      <c r="K861" s="64"/>
      <c r="L861" s="64"/>
      <c r="M861" s="64"/>
      <c r="N861" s="64"/>
      <c r="O861" s="64"/>
      <c r="P861" s="64"/>
      <c r="Q861" s="64"/>
      <c r="R861" s="64"/>
      <c r="S861" s="64"/>
      <c r="T861" s="64"/>
      <c r="U861" s="64"/>
      <c r="V861" s="64"/>
      <c r="W861" s="64"/>
      <c r="X861" s="64"/>
      <c r="Y861" s="64"/>
      <c r="Z861" s="64"/>
      <c r="AA861" s="64"/>
      <c r="AB861" s="64"/>
      <c r="AC861" s="64"/>
      <c r="AD861" s="64"/>
      <c r="AE861" s="64"/>
      <c r="AF861" s="64"/>
      <c r="AG861" s="64"/>
    </row>
    <row r="862" spans="1:33">
      <c r="A862" s="25"/>
      <c r="B862" s="25"/>
      <c r="C862" s="25"/>
      <c r="D862" s="25"/>
      <c r="E862" s="62"/>
      <c r="F862" s="63"/>
      <c r="G862" s="25"/>
      <c r="H862" s="63"/>
      <c r="I862" s="63"/>
      <c r="J862" s="64"/>
      <c r="K862" s="64"/>
      <c r="L862" s="64"/>
      <c r="M862" s="64"/>
      <c r="N862" s="64"/>
      <c r="O862" s="64"/>
      <c r="P862" s="64"/>
      <c r="Q862" s="64"/>
      <c r="R862" s="64"/>
      <c r="S862" s="64"/>
      <c r="T862" s="64"/>
      <c r="U862" s="64"/>
      <c r="V862" s="64"/>
      <c r="W862" s="64"/>
      <c r="X862" s="64"/>
      <c r="Y862" s="64"/>
      <c r="Z862" s="64"/>
      <c r="AA862" s="64"/>
      <c r="AB862" s="64"/>
      <c r="AC862" s="64"/>
      <c r="AD862" s="64"/>
      <c r="AE862" s="64"/>
      <c r="AF862" s="64"/>
      <c r="AG862" s="64"/>
    </row>
    <row r="863" spans="1:33">
      <c r="A863" s="25"/>
      <c r="B863" s="25"/>
      <c r="C863" s="25"/>
      <c r="D863" s="25"/>
      <c r="E863" s="62"/>
      <c r="F863" s="63"/>
      <c r="G863" s="25"/>
      <c r="H863" s="63"/>
      <c r="I863" s="63"/>
      <c r="J863" s="64"/>
      <c r="K863" s="64"/>
      <c r="L863" s="64"/>
      <c r="M863" s="64"/>
      <c r="N863" s="64"/>
      <c r="O863" s="64"/>
      <c r="P863" s="64"/>
      <c r="Q863" s="64"/>
      <c r="R863" s="64"/>
      <c r="S863" s="64"/>
      <c r="T863" s="64"/>
      <c r="U863" s="64"/>
      <c r="V863" s="64"/>
      <c r="W863" s="64"/>
      <c r="X863" s="64"/>
      <c r="Y863" s="64"/>
      <c r="Z863" s="64"/>
      <c r="AA863" s="64"/>
      <c r="AB863" s="64"/>
      <c r="AC863" s="64"/>
      <c r="AD863" s="64"/>
      <c r="AE863" s="64"/>
      <c r="AF863" s="64"/>
      <c r="AG863" s="64"/>
    </row>
    <row r="864" spans="1:33">
      <c r="A864" s="25"/>
      <c r="B864" s="25"/>
      <c r="C864" s="25"/>
      <c r="D864" s="25"/>
      <c r="E864" s="62"/>
      <c r="F864" s="63"/>
      <c r="G864" s="25"/>
      <c r="H864" s="63"/>
      <c r="I864" s="63"/>
      <c r="J864" s="64"/>
      <c r="K864" s="64"/>
      <c r="L864" s="64"/>
      <c r="M864" s="64"/>
      <c r="N864" s="64"/>
      <c r="O864" s="64"/>
      <c r="P864" s="64"/>
      <c r="Q864" s="64"/>
      <c r="R864" s="64"/>
      <c r="S864" s="64"/>
      <c r="T864" s="64"/>
      <c r="U864" s="64"/>
      <c r="V864" s="64"/>
      <c r="W864" s="64"/>
      <c r="X864" s="64"/>
      <c r="Y864" s="64"/>
      <c r="Z864" s="64"/>
      <c r="AA864" s="64"/>
      <c r="AB864" s="64"/>
      <c r="AC864" s="64"/>
      <c r="AD864" s="64"/>
      <c r="AE864" s="64"/>
      <c r="AF864" s="64"/>
      <c r="AG864" s="64"/>
    </row>
    <row r="865" spans="1:33">
      <c r="A865" s="25"/>
      <c r="B865" s="25"/>
      <c r="C865" s="25"/>
      <c r="D865" s="25"/>
      <c r="E865" s="62"/>
      <c r="F865" s="63"/>
      <c r="G865" s="25"/>
      <c r="H865" s="63"/>
      <c r="I865" s="63"/>
      <c r="J865" s="64"/>
      <c r="K865" s="64"/>
      <c r="L865" s="64"/>
      <c r="M865" s="64"/>
      <c r="N865" s="64"/>
      <c r="O865" s="64"/>
      <c r="P865" s="64"/>
      <c r="Q865" s="64"/>
      <c r="R865" s="64"/>
      <c r="S865" s="64"/>
      <c r="T865" s="64"/>
      <c r="U865" s="64"/>
      <c r="V865" s="64"/>
      <c r="W865" s="64"/>
      <c r="X865" s="64"/>
      <c r="Y865" s="64"/>
      <c r="Z865" s="64"/>
      <c r="AA865" s="64"/>
      <c r="AB865" s="64"/>
      <c r="AC865" s="64"/>
      <c r="AD865" s="64"/>
      <c r="AE865" s="64"/>
      <c r="AF865" s="64"/>
      <c r="AG865" s="64"/>
    </row>
    <row r="866" spans="1:33">
      <c r="A866" s="25"/>
      <c r="B866" s="25"/>
      <c r="C866" s="25"/>
      <c r="D866" s="25"/>
      <c r="E866" s="62"/>
      <c r="F866" s="63"/>
      <c r="G866" s="25"/>
      <c r="H866" s="63"/>
      <c r="I866" s="63"/>
      <c r="J866" s="64"/>
      <c r="K866" s="64"/>
      <c r="L866" s="64"/>
      <c r="M866" s="64"/>
      <c r="N866" s="64"/>
      <c r="O866" s="64"/>
      <c r="P866" s="64"/>
      <c r="Q866" s="64"/>
      <c r="R866" s="64"/>
      <c r="S866" s="64"/>
      <c r="T866" s="64"/>
      <c r="U866" s="64"/>
      <c r="V866" s="64"/>
      <c r="W866" s="64"/>
      <c r="X866" s="64"/>
      <c r="Y866" s="64"/>
      <c r="Z866" s="64"/>
      <c r="AA866" s="64"/>
      <c r="AB866" s="64"/>
      <c r="AC866" s="64"/>
      <c r="AD866" s="64"/>
      <c r="AE866" s="64"/>
      <c r="AF866" s="64"/>
      <c r="AG866" s="64"/>
    </row>
    <row r="867" spans="1:33">
      <c r="A867" s="25"/>
      <c r="B867" s="25"/>
      <c r="C867" s="25"/>
      <c r="D867" s="25"/>
      <c r="E867" s="62"/>
      <c r="F867" s="63"/>
      <c r="G867" s="25"/>
      <c r="H867" s="63"/>
      <c r="I867" s="63"/>
      <c r="J867" s="64"/>
      <c r="K867" s="64"/>
      <c r="L867" s="64"/>
      <c r="M867" s="64"/>
      <c r="N867" s="64"/>
      <c r="O867" s="64"/>
      <c r="P867" s="64"/>
      <c r="Q867" s="64"/>
      <c r="R867" s="64"/>
      <c r="S867" s="64"/>
      <c r="T867" s="64"/>
      <c r="U867" s="64"/>
      <c r="V867" s="64"/>
      <c r="W867" s="64"/>
      <c r="X867" s="64"/>
      <c r="Y867" s="64"/>
      <c r="Z867" s="64"/>
      <c r="AA867" s="64"/>
      <c r="AB867" s="64"/>
      <c r="AC867" s="64"/>
      <c r="AD867" s="64"/>
      <c r="AE867" s="64"/>
      <c r="AF867" s="64"/>
      <c r="AG867" s="64"/>
    </row>
    <row r="868" spans="1:33">
      <c r="A868" s="25"/>
      <c r="B868" s="25"/>
      <c r="C868" s="25"/>
      <c r="D868" s="25"/>
      <c r="E868" s="62"/>
      <c r="F868" s="63"/>
      <c r="G868" s="25"/>
      <c r="H868" s="63"/>
      <c r="I868" s="63"/>
      <c r="J868" s="64"/>
      <c r="K868" s="64"/>
      <c r="L868" s="64"/>
      <c r="M868" s="64"/>
      <c r="N868" s="64"/>
      <c r="O868" s="64"/>
      <c r="P868" s="64"/>
      <c r="Q868" s="64"/>
      <c r="R868" s="64"/>
      <c r="S868" s="64"/>
      <c r="T868" s="64"/>
      <c r="U868" s="64"/>
      <c r="V868" s="64"/>
      <c r="W868" s="64"/>
      <c r="X868" s="64"/>
      <c r="Y868" s="64"/>
      <c r="Z868" s="64"/>
      <c r="AA868" s="64"/>
      <c r="AB868" s="64"/>
      <c r="AC868" s="64"/>
      <c r="AD868" s="64"/>
      <c r="AE868" s="64"/>
      <c r="AF868" s="64"/>
      <c r="AG868" s="64"/>
    </row>
    <row r="869" spans="1:33">
      <c r="A869" s="25"/>
      <c r="B869" s="25"/>
      <c r="C869" s="25"/>
      <c r="D869" s="25"/>
      <c r="E869" s="62"/>
      <c r="F869" s="63"/>
      <c r="G869" s="25"/>
      <c r="H869" s="63"/>
      <c r="I869" s="63"/>
      <c r="J869" s="64"/>
      <c r="K869" s="64"/>
      <c r="L869" s="64"/>
      <c r="M869" s="64"/>
      <c r="N869" s="64"/>
      <c r="O869" s="64"/>
      <c r="P869" s="64"/>
      <c r="Q869" s="64"/>
      <c r="R869" s="64"/>
      <c r="S869" s="64"/>
      <c r="T869" s="64"/>
      <c r="U869" s="64"/>
      <c r="V869" s="64"/>
      <c r="W869" s="64"/>
      <c r="X869" s="64"/>
      <c r="Y869" s="64"/>
      <c r="Z869" s="64"/>
      <c r="AA869" s="64"/>
      <c r="AB869" s="64"/>
      <c r="AC869" s="64"/>
      <c r="AD869" s="64"/>
      <c r="AE869" s="64"/>
      <c r="AF869" s="64"/>
      <c r="AG869" s="64"/>
    </row>
    <row r="870" spans="1:33">
      <c r="A870" s="25"/>
      <c r="B870" s="25"/>
      <c r="C870" s="25"/>
      <c r="D870" s="25"/>
      <c r="E870" s="62"/>
      <c r="F870" s="63"/>
      <c r="G870" s="25"/>
      <c r="H870" s="63"/>
      <c r="I870" s="63"/>
      <c r="J870" s="64"/>
      <c r="K870" s="64"/>
      <c r="L870" s="64"/>
      <c r="M870" s="64"/>
      <c r="N870" s="64"/>
      <c r="O870" s="64"/>
      <c r="P870" s="64"/>
      <c r="Q870" s="64"/>
      <c r="R870" s="64"/>
      <c r="S870" s="64"/>
      <c r="T870" s="64"/>
      <c r="U870" s="64"/>
      <c r="V870" s="64"/>
      <c r="W870" s="64"/>
      <c r="X870" s="64"/>
      <c r="Y870" s="64"/>
      <c r="Z870" s="64"/>
      <c r="AA870" s="64"/>
      <c r="AB870" s="64"/>
      <c r="AC870" s="64"/>
      <c r="AD870" s="64"/>
      <c r="AE870" s="64"/>
      <c r="AF870" s="64"/>
      <c r="AG870" s="64"/>
    </row>
    <row r="871" spans="1:33">
      <c r="A871" s="25"/>
      <c r="B871" s="25"/>
      <c r="C871" s="25"/>
      <c r="D871" s="25"/>
      <c r="E871" s="62"/>
      <c r="F871" s="63"/>
      <c r="G871" s="25"/>
      <c r="H871" s="63"/>
      <c r="I871" s="63"/>
      <c r="J871" s="64"/>
      <c r="K871" s="64"/>
      <c r="L871" s="64"/>
      <c r="M871" s="64"/>
      <c r="N871" s="64"/>
      <c r="O871" s="64"/>
      <c r="P871" s="64"/>
      <c r="Q871" s="64"/>
      <c r="R871" s="64"/>
      <c r="S871" s="64"/>
      <c r="T871" s="64"/>
      <c r="U871" s="64"/>
      <c r="V871" s="64"/>
      <c r="W871" s="64"/>
      <c r="X871" s="64"/>
      <c r="Y871" s="64"/>
      <c r="Z871" s="64"/>
      <c r="AA871" s="64"/>
      <c r="AB871" s="64"/>
      <c r="AC871" s="64"/>
      <c r="AD871" s="64"/>
      <c r="AE871" s="64"/>
      <c r="AF871" s="64"/>
      <c r="AG871" s="64"/>
    </row>
    <row r="872" spans="1:33">
      <c r="A872" s="25"/>
      <c r="B872" s="25"/>
      <c r="C872" s="25"/>
      <c r="D872" s="25"/>
      <c r="E872" s="62"/>
      <c r="F872" s="63"/>
      <c r="G872" s="25"/>
      <c r="H872" s="63"/>
      <c r="I872" s="63"/>
      <c r="J872" s="64"/>
      <c r="K872" s="64"/>
      <c r="L872" s="64"/>
      <c r="M872" s="64"/>
      <c r="N872" s="64"/>
      <c r="O872" s="64"/>
      <c r="P872" s="64"/>
      <c r="Q872" s="64"/>
      <c r="R872" s="64"/>
      <c r="S872" s="64"/>
      <c r="T872" s="64"/>
      <c r="U872" s="64"/>
      <c r="V872" s="64"/>
      <c r="W872" s="64"/>
      <c r="X872" s="64"/>
      <c r="Y872" s="64"/>
      <c r="Z872" s="64"/>
      <c r="AA872" s="64"/>
      <c r="AB872" s="64"/>
      <c r="AC872" s="64"/>
      <c r="AD872" s="64"/>
      <c r="AE872" s="64"/>
      <c r="AF872" s="64"/>
      <c r="AG872" s="64"/>
    </row>
    <row r="873" spans="1:33">
      <c r="A873" s="25"/>
      <c r="B873" s="25"/>
      <c r="C873" s="25"/>
      <c r="D873" s="25"/>
      <c r="E873" s="62"/>
      <c r="F873" s="63"/>
      <c r="G873" s="25"/>
      <c r="H873" s="63"/>
      <c r="I873" s="63"/>
      <c r="J873" s="64"/>
      <c r="K873" s="64"/>
      <c r="L873" s="64"/>
      <c r="M873" s="64"/>
      <c r="N873" s="64"/>
      <c r="O873" s="64"/>
      <c r="P873" s="64"/>
      <c r="Q873" s="64"/>
      <c r="R873" s="64"/>
      <c r="S873" s="64"/>
      <c r="T873" s="64"/>
      <c r="U873" s="64"/>
      <c r="V873" s="64"/>
      <c r="W873" s="64"/>
      <c r="X873" s="64"/>
      <c r="Y873" s="64"/>
      <c r="Z873" s="64"/>
      <c r="AA873" s="64"/>
      <c r="AB873" s="64"/>
      <c r="AC873" s="64"/>
      <c r="AD873" s="64"/>
      <c r="AE873" s="64"/>
      <c r="AF873" s="64"/>
      <c r="AG873" s="64"/>
    </row>
    <row r="874" spans="1:33">
      <c r="A874" s="25"/>
      <c r="B874" s="25"/>
      <c r="C874" s="25"/>
      <c r="D874" s="25"/>
      <c r="E874" s="62"/>
      <c r="F874" s="63"/>
      <c r="G874" s="25"/>
      <c r="H874" s="63"/>
      <c r="I874" s="63"/>
      <c r="J874" s="64"/>
      <c r="K874" s="64"/>
      <c r="L874" s="64"/>
      <c r="M874" s="64"/>
      <c r="N874" s="64"/>
      <c r="O874" s="64"/>
      <c r="P874" s="64"/>
      <c r="Q874" s="64"/>
      <c r="R874" s="64"/>
      <c r="S874" s="64"/>
      <c r="T874" s="64"/>
      <c r="U874" s="64"/>
      <c r="V874" s="64"/>
      <c r="W874" s="64"/>
      <c r="X874" s="64"/>
      <c r="Y874" s="64"/>
      <c r="Z874" s="64"/>
      <c r="AA874" s="64"/>
      <c r="AB874" s="64"/>
      <c r="AC874" s="64"/>
      <c r="AD874" s="64"/>
      <c r="AE874" s="64"/>
      <c r="AF874" s="64"/>
      <c r="AG874" s="64"/>
    </row>
    <row r="875" spans="1:33">
      <c r="A875" s="25"/>
      <c r="B875" s="25"/>
      <c r="C875" s="25"/>
      <c r="D875" s="25"/>
      <c r="E875" s="62"/>
      <c r="F875" s="63"/>
      <c r="G875" s="25"/>
      <c r="H875" s="63"/>
      <c r="I875" s="63"/>
      <c r="J875" s="64"/>
      <c r="K875" s="64"/>
      <c r="L875" s="64"/>
      <c r="M875" s="64"/>
      <c r="N875" s="64"/>
      <c r="O875" s="64"/>
      <c r="P875" s="64"/>
      <c r="Q875" s="64"/>
      <c r="R875" s="64"/>
      <c r="S875" s="64"/>
      <c r="T875" s="64"/>
      <c r="U875" s="64"/>
      <c r="V875" s="64"/>
      <c r="W875" s="64"/>
      <c r="X875" s="64"/>
      <c r="Y875" s="64"/>
      <c r="Z875" s="64"/>
      <c r="AA875" s="64"/>
      <c r="AB875" s="64"/>
      <c r="AC875" s="64"/>
      <c r="AD875" s="64"/>
      <c r="AE875" s="64"/>
      <c r="AF875" s="64"/>
      <c r="AG875" s="64"/>
    </row>
    <row r="876" spans="1:33">
      <c r="A876" s="25"/>
      <c r="B876" s="25"/>
      <c r="C876" s="25"/>
      <c r="D876" s="25"/>
      <c r="E876" s="62"/>
      <c r="F876" s="63"/>
      <c r="G876" s="25"/>
      <c r="H876" s="63"/>
      <c r="I876" s="63"/>
      <c r="J876" s="64"/>
      <c r="K876" s="64"/>
      <c r="L876" s="64"/>
      <c r="M876" s="64"/>
      <c r="N876" s="64"/>
      <c r="O876" s="64"/>
      <c r="P876" s="64"/>
      <c r="Q876" s="64"/>
      <c r="R876" s="64"/>
      <c r="S876" s="64"/>
      <c r="T876" s="64"/>
      <c r="U876" s="64"/>
      <c r="V876" s="64"/>
      <c r="W876" s="64"/>
      <c r="X876" s="64"/>
      <c r="Y876" s="64"/>
      <c r="Z876" s="64"/>
      <c r="AA876" s="64"/>
      <c r="AB876" s="64"/>
      <c r="AC876" s="64"/>
      <c r="AD876" s="64"/>
      <c r="AE876" s="64"/>
      <c r="AF876" s="64"/>
      <c r="AG876" s="64"/>
    </row>
    <row r="877" spans="1:33">
      <c r="A877" s="25"/>
      <c r="B877" s="25"/>
      <c r="C877" s="25"/>
      <c r="D877" s="25"/>
      <c r="E877" s="62"/>
      <c r="F877" s="63"/>
      <c r="G877" s="25"/>
      <c r="H877" s="63"/>
      <c r="I877" s="63"/>
      <c r="J877" s="64"/>
      <c r="K877" s="64"/>
      <c r="L877" s="64"/>
      <c r="M877" s="64"/>
      <c r="N877" s="64"/>
      <c r="O877" s="64"/>
      <c r="P877" s="64"/>
      <c r="Q877" s="64"/>
      <c r="R877" s="64"/>
      <c r="S877" s="64"/>
      <c r="T877" s="64"/>
      <c r="U877" s="64"/>
      <c r="V877" s="64"/>
      <c r="W877" s="64"/>
      <c r="X877" s="64"/>
      <c r="Y877" s="64"/>
      <c r="Z877" s="64"/>
      <c r="AA877" s="64"/>
      <c r="AB877" s="64"/>
      <c r="AC877" s="64"/>
      <c r="AD877" s="64"/>
      <c r="AE877" s="64"/>
      <c r="AF877" s="64"/>
      <c r="AG877" s="64"/>
    </row>
    <row r="878" spans="1:33">
      <c r="A878" s="25"/>
      <c r="B878" s="25"/>
      <c r="C878" s="25"/>
      <c r="D878" s="25"/>
      <c r="E878" s="62"/>
      <c r="F878" s="63"/>
      <c r="G878" s="25"/>
      <c r="H878" s="63"/>
      <c r="I878" s="63"/>
      <c r="J878" s="64"/>
      <c r="K878" s="64"/>
      <c r="L878" s="64"/>
      <c r="M878" s="64"/>
      <c r="N878" s="64"/>
      <c r="O878" s="64"/>
      <c r="P878" s="64"/>
      <c r="Q878" s="64"/>
      <c r="R878" s="64"/>
      <c r="S878" s="64"/>
      <c r="T878" s="64"/>
      <c r="U878" s="64"/>
      <c r="V878" s="64"/>
      <c r="W878" s="64"/>
      <c r="X878" s="64"/>
      <c r="Y878" s="64"/>
      <c r="Z878" s="64"/>
      <c r="AA878" s="64"/>
      <c r="AB878" s="64"/>
      <c r="AC878" s="64"/>
      <c r="AD878" s="64"/>
      <c r="AE878" s="64"/>
      <c r="AF878" s="64"/>
      <c r="AG878" s="64"/>
    </row>
    <row r="879" spans="1:33">
      <c r="A879" s="25"/>
      <c r="B879" s="25"/>
      <c r="C879" s="25"/>
      <c r="D879" s="25"/>
      <c r="E879" s="62"/>
      <c r="F879" s="63"/>
      <c r="G879" s="25"/>
      <c r="H879" s="63"/>
      <c r="I879" s="63"/>
      <c r="J879" s="64"/>
      <c r="K879" s="64"/>
      <c r="L879" s="64"/>
      <c r="M879" s="64"/>
      <c r="N879" s="64"/>
      <c r="O879" s="64"/>
      <c r="P879" s="64"/>
      <c r="Q879" s="64"/>
      <c r="R879" s="64"/>
      <c r="S879" s="64"/>
      <c r="T879" s="64"/>
      <c r="U879" s="64"/>
      <c r="V879" s="64"/>
      <c r="W879" s="64"/>
      <c r="X879" s="64"/>
      <c r="Y879" s="64"/>
      <c r="Z879" s="64"/>
      <c r="AA879" s="64"/>
      <c r="AB879" s="64"/>
      <c r="AC879" s="64"/>
      <c r="AD879" s="64"/>
      <c r="AE879" s="64"/>
      <c r="AF879" s="64"/>
      <c r="AG879" s="64"/>
    </row>
    <row r="880" spans="1:33">
      <c r="A880" s="25"/>
      <c r="B880" s="25"/>
      <c r="C880" s="25"/>
      <c r="D880" s="25"/>
      <c r="E880" s="62"/>
      <c r="F880" s="63"/>
      <c r="G880" s="25"/>
      <c r="H880" s="63"/>
      <c r="I880" s="63"/>
      <c r="J880" s="64"/>
      <c r="K880" s="64"/>
      <c r="L880" s="64"/>
      <c r="M880" s="64"/>
      <c r="N880" s="64"/>
      <c r="O880" s="64"/>
      <c r="P880" s="64"/>
      <c r="Q880" s="64"/>
      <c r="R880" s="64"/>
      <c r="S880" s="64"/>
      <c r="T880" s="64"/>
      <c r="U880" s="64"/>
      <c r="V880" s="64"/>
      <c r="W880" s="64"/>
      <c r="X880" s="64"/>
      <c r="Y880" s="64"/>
      <c r="Z880" s="64"/>
      <c r="AA880" s="64"/>
      <c r="AB880" s="64"/>
      <c r="AC880" s="64"/>
      <c r="AD880" s="64"/>
      <c r="AE880" s="64"/>
      <c r="AF880" s="64"/>
      <c r="AG880" s="64"/>
    </row>
    <row r="881" spans="1:33">
      <c r="A881" s="25"/>
      <c r="B881" s="25"/>
      <c r="C881" s="25"/>
      <c r="D881" s="25"/>
      <c r="E881" s="62"/>
      <c r="F881" s="63"/>
      <c r="G881" s="25"/>
      <c r="H881" s="63"/>
      <c r="I881" s="63"/>
      <c r="J881" s="64"/>
      <c r="K881" s="64"/>
      <c r="L881" s="64"/>
      <c r="M881" s="64"/>
      <c r="N881" s="64"/>
      <c r="O881" s="64"/>
      <c r="P881" s="64"/>
      <c r="Q881" s="64"/>
      <c r="R881" s="64"/>
      <c r="S881" s="64"/>
      <c r="T881" s="64"/>
      <c r="U881" s="64"/>
      <c r="V881" s="64"/>
      <c r="W881" s="64"/>
      <c r="X881" s="64"/>
      <c r="Y881" s="64"/>
      <c r="Z881" s="64"/>
      <c r="AA881" s="64"/>
      <c r="AB881" s="64"/>
      <c r="AC881" s="64"/>
      <c r="AD881" s="64"/>
      <c r="AE881" s="64"/>
      <c r="AF881" s="64"/>
      <c r="AG881" s="64"/>
    </row>
    <row r="882" spans="1:33">
      <c r="A882" s="25"/>
      <c r="B882" s="25"/>
      <c r="C882" s="25"/>
      <c r="D882" s="25"/>
      <c r="E882" s="62"/>
      <c r="F882" s="63"/>
      <c r="G882" s="25"/>
      <c r="H882" s="63"/>
      <c r="I882" s="63"/>
      <c r="J882" s="64"/>
      <c r="K882" s="64"/>
      <c r="L882" s="64"/>
      <c r="M882" s="64"/>
      <c r="N882" s="64"/>
      <c r="O882" s="64"/>
      <c r="P882" s="64"/>
      <c r="Q882" s="64"/>
      <c r="R882" s="64"/>
      <c r="S882" s="64"/>
      <c r="T882" s="64"/>
      <c r="U882" s="64"/>
      <c r="V882" s="64"/>
      <c r="W882" s="64"/>
      <c r="X882" s="64"/>
      <c r="Y882" s="64"/>
      <c r="Z882" s="64"/>
      <c r="AA882" s="64"/>
      <c r="AB882" s="64"/>
      <c r="AC882" s="64"/>
      <c r="AD882" s="64"/>
      <c r="AE882" s="64"/>
      <c r="AF882" s="64"/>
      <c r="AG882" s="64"/>
    </row>
    <row r="883" spans="1:33">
      <c r="A883" s="25"/>
      <c r="B883" s="25"/>
      <c r="C883" s="25"/>
      <c r="D883" s="25"/>
      <c r="E883" s="62"/>
      <c r="F883" s="63"/>
      <c r="G883" s="25"/>
      <c r="H883" s="63"/>
      <c r="I883" s="63"/>
      <c r="J883" s="64"/>
      <c r="K883" s="64"/>
      <c r="L883" s="64"/>
      <c r="M883" s="64"/>
      <c r="N883" s="64"/>
      <c r="O883" s="64"/>
      <c r="P883" s="64"/>
      <c r="Q883" s="64"/>
      <c r="R883" s="64"/>
      <c r="S883" s="64"/>
      <c r="T883" s="64"/>
      <c r="U883" s="64"/>
      <c r="V883" s="64"/>
      <c r="W883" s="64"/>
      <c r="X883" s="64"/>
      <c r="Y883" s="64"/>
      <c r="Z883" s="64"/>
      <c r="AA883" s="64"/>
      <c r="AB883" s="64"/>
      <c r="AC883" s="64"/>
      <c r="AD883" s="64"/>
      <c r="AE883" s="64"/>
      <c r="AF883" s="64"/>
      <c r="AG883" s="64"/>
    </row>
    <row r="884" spans="1:33">
      <c r="A884" s="25"/>
      <c r="B884" s="25"/>
      <c r="C884" s="25"/>
      <c r="D884" s="25"/>
      <c r="E884" s="62"/>
      <c r="F884" s="63"/>
      <c r="G884" s="25"/>
      <c r="H884" s="63"/>
      <c r="I884" s="63"/>
      <c r="J884" s="64"/>
      <c r="K884" s="64"/>
      <c r="L884" s="64"/>
      <c r="M884" s="64"/>
      <c r="N884" s="64"/>
      <c r="O884" s="64"/>
      <c r="P884" s="64"/>
      <c r="Q884" s="64"/>
      <c r="R884" s="64"/>
      <c r="S884" s="64"/>
      <c r="T884" s="64"/>
      <c r="U884" s="64"/>
      <c r="V884" s="64"/>
      <c r="W884" s="64"/>
      <c r="X884" s="64"/>
      <c r="Y884" s="64"/>
      <c r="Z884" s="64"/>
      <c r="AA884" s="64"/>
      <c r="AB884" s="64"/>
      <c r="AC884" s="64"/>
      <c r="AD884" s="64"/>
      <c r="AE884" s="64"/>
      <c r="AF884" s="64"/>
      <c r="AG884" s="64"/>
    </row>
    <row r="885" spans="1:33">
      <c r="A885" s="25"/>
      <c r="B885" s="25"/>
      <c r="C885" s="25"/>
      <c r="D885" s="25"/>
      <c r="E885" s="62"/>
      <c r="F885" s="63"/>
      <c r="G885" s="25"/>
      <c r="H885" s="63"/>
      <c r="I885" s="63"/>
      <c r="J885" s="64"/>
      <c r="K885" s="64"/>
      <c r="L885" s="64"/>
      <c r="M885" s="64"/>
      <c r="N885" s="64"/>
      <c r="O885" s="64"/>
      <c r="P885" s="64"/>
      <c r="Q885" s="64"/>
      <c r="R885" s="64"/>
      <c r="S885" s="64"/>
      <c r="T885" s="64"/>
      <c r="U885" s="64"/>
      <c r="V885" s="64"/>
      <c r="W885" s="64"/>
      <c r="X885" s="64"/>
      <c r="Y885" s="64"/>
      <c r="Z885" s="64"/>
      <c r="AA885" s="64"/>
      <c r="AB885" s="64"/>
      <c r="AC885" s="64"/>
      <c r="AD885" s="64"/>
      <c r="AE885" s="64"/>
      <c r="AF885" s="64"/>
      <c r="AG885" s="64"/>
    </row>
    <row r="886" spans="1:33">
      <c r="A886" s="25"/>
      <c r="B886" s="25"/>
      <c r="C886" s="25"/>
      <c r="D886" s="25"/>
      <c r="E886" s="62"/>
      <c r="F886" s="63"/>
      <c r="G886" s="25"/>
      <c r="H886" s="63"/>
      <c r="I886" s="63"/>
      <c r="J886" s="64"/>
      <c r="K886" s="64"/>
      <c r="L886" s="64"/>
      <c r="M886" s="64"/>
      <c r="N886" s="64"/>
      <c r="O886" s="64"/>
      <c r="P886" s="64"/>
      <c r="Q886" s="64"/>
      <c r="R886" s="64"/>
      <c r="S886" s="64"/>
      <c r="T886" s="64"/>
      <c r="U886" s="64"/>
      <c r="V886" s="64"/>
      <c r="W886" s="64"/>
      <c r="X886" s="64"/>
      <c r="Y886" s="64"/>
      <c r="Z886" s="64"/>
      <c r="AA886" s="64"/>
      <c r="AB886" s="64"/>
      <c r="AC886" s="64"/>
      <c r="AD886" s="64"/>
      <c r="AE886" s="64"/>
      <c r="AF886" s="64"/>
      <c r="AG886" s="64"/>
    </row>
    <row r="887" spans="1:33">
      <c r="A887" s="25"/>
      <c r="B887" s="25"/>
      <c r="C887" s="25"/>
      <c r="D887" s="25"/>
      <c r="E887" s="62"/>
      <c r="F887" s="63"/>
      <c r="G887" s="25"/>
      <c r="H887" s="63"/>
      <c r="I887" s="63"/>
      <c r="J887" s="64"/>
      <c r="K887" s="64"/>
      <c r="L887" s="64"/>
      <c r="M887" s="64"/>
      <c r="N887" s="64"/>
      <c r="O887" s="64"/>
      <c r="P887" s="64"/>
      <c r="Q887" s="64"/>
      <c r="R887" s="64"/>
      <c r="S887" s="64"/>
      <c r="T887" s="64"/>
      <c r="U887" s="64"/>
      <c r="V887" s="64"/>
      <c r="W887" s="64"/>
      <c r="X887" s="64"/>
      <c r="Y887" s="64"/>
      <c r="Z887" s="64"/>
      <c r="AA887" s="64"/>
      <c r="AB887" s="64"/>
      <c r="AC887" s="64"/>
      <c r="AD887" s="64"/>
      <c r="AE887" s="64"/>
      <c r="AF887" s="64"/>
      <c r="AG887" s="64"/>
    </row>
    <row r="888" spans="1:33">
      <c r="A888" s="25"/>
      <c r="B888" s="25"/>
      <c r="C888" s="25"/>
      <c r="D888" s="25"/>
      <c r="E888" s="62"/>
      <c r="F888" s="63"/>
      <c r="G888" s="25"/>
      <c r="H888" s="63"/>
      <c r="I888" s="63"/>
      <c r="J888" s="64"/>
      <c r="K888" s="64"/>
      <c r="L888" s="64"/>
      <c r="M888" s="64"/>
      <c r="N888" s="64"/>
      <c r="O888" s="64"/>
      <c r="P888" s="64"/>
      <c r="Q888" s="64"/>
      <c r="R888" s="64"/>
      <c r="S888" s="64"/>
      <c r="T888" s="64"/>
      <c r="U888" s="64"/>
      <c r="V888" s="64"/>
      <c r="W888" s="64"/>
      <c r="X888" s="64"/>
      <c r="Y888" s="64"/>
      <c r="Z888" s="64"/>
      <c r="AA888" s="64"/>
      <c r="AB888" s="64"/>
      <c r="AC888" s="64"/>
      <c r="AD888" s="64"/>
      <c r="AE888" s="64"/>
      <c r="AF888" s="64"/>
      <c r="AG888" s="64"/>
    </row>
    <row r="889" spans="1:33">
      <c r="A889" s="25"/>
      <c r="B889" s="25"/>
      <c r="C889" s="25"/>
      <c r="D889" s="25"/>
      <c r="E889" s="62"/>
      <c r="F889" s="63"/>
      <c r="G889" s="25"/>
      <c r="H889" s="63"/>
      <c r="I889" s="63"/>
      <c r="J889" s="64"/>
      <c r="K889" s="64"/>
      <c r="L889" s="64"/>
      <c r="M889" s="64"/>
      <c r="N889" s="64"/>
      <c r="O889" s="64"/>
      <c r="P889" s="64"/>
      <c r="Q889" s="64"/>
      <c r="R889" s="64"/>
      <c r="S889" s="64"/>
      <c r="T889" s="64"/>
      <c r="U889" s="64"/>
      <c r="V889" s="64"/>
      <c r="W889" s="64"/>
      <c r="X889" s="64"/>
      <c r="Y889" s="64"/>
      <c r="Z889" s="64"/>
      <c r="AA889" s="64"/>
      <c r="AB889" s="64"/>
      <c r="AC889" s="64"/>
      <c r="AD889" s="64"/>
      <c r="AE889" s="64"/>
      <c r="AF889" s="64"/>
      <c r="AG889" s="64"/>
    </row>
    <row r="890" spans="1:33">
      <c r="A890" s="25"/>
      <c r="B890" s="25"/>
      <c r="C890" s="25"/>
      <c r="D890" s="25"/>
      <c r="E890" s="62"/>
      <c r="F890" s="63"/>
      <c r="G890" s="25"/>
      <c r="H890" s="63"/>
      <c r="I890" s="63"/>
      <c r="J890" s="64"/>
      <c r="K890" s="64"/>
      <c r="L890" s="64"/>
      <c r="M890" s="64"/>
      <c r="N890" s="64"/>
      <c r="O890" s="64"/>
      <c r="P890" s="64"/>
      <c r="Q890" s="64"/>
      <c r="R890" s="64"/>
      <c r="S890" s="64"/>
      <c r="T890" s="64"/>
      <c r="U890" s="64"/>
      <c r="V890" s="64"/>
      <c r="W890" s="64"/>
      <c r="X890" s="64"/>
      <c r="Y890" s="64"/>
      <c r="Z890" s="64"/>
      <c r="AA890" s="64"/>
      <c r="AB890" s="64"/>
      <c r="AC890" s="64"/>
      <c r="AD890" s="64"/>
      <c r="AE890" s="64"/>
      <c r="AF890" s="64"/>
      <c r="AG890" s="64"/>
    </row>
    <row r="891" spans="1:33">
      <c r="A891" s="25"/>
      <c r="B891" s="25"/>
      <c r="C891" s="25"/>
      <c r="D891" s="25"/>
      <c r="E891" s="62"/>
      <c r="F891" s="63"/>
      <c r="G891" s="25"/>
      <c r="H891" s="63"/>
      <c r="I891" s="63"/>
      <c r="J891" s="64"/>
      <c r="K891" s="64"/>
      <c r="L891" s="64"/>
      <c r="M891" s="64"/>
      <c r="N891" s="64"/>
      <c r="O891" s="64"/>
      <c r="P891" s="64"/>
      <c r="Q891" s="64"/>
      <c r="R891" s="64"/>
      <c r="S891" s="64"/>
      <c r="T891" s="64"/>
      <c r="U891" s="64"/>
      <c r="V891" s="64"/>
      <c r="W891" s="64"/>
      <c r="X891" s="64"/>
      <c r="Y891" s="64"/>
      <c r="Z891" s="64"/>
      <c r="AA891" s="64"/>
      <c r="AB891" s="64"/>
      <c r="AC891" s="64"/>
      <c r="AD891" s="64"/>
      <c r="AE891" s="64"/>
      <c r="AF891" s="64"/>
      <c r="AG891" s="64"/>
    </row>
    <row r="892" spans="1:33">
      <c r="A892" s="25"/>
      <c r="B892" s="25"/>
      <c r="C892" s="25"/>
      <c r="D892" s="25"/>
      <c r="E892" s="62"/>
      <c r="F892" s="63"/>
      <c r="G892" s="25"/>
      <c r="H892" s="63"/>
      <c r="I892" s="63"/>
      <c r="J892" s="64"/>
      <c r="K892" s="64"/>
      <c r="L892" s="64"/>
      <c r="M892" s="64"/>
      <c r="N892" s="64"/>
      <c r="O892" s="64"/>
      <c r="P892" s="64"/>
      <c r="Q892" s="64"/>
      <c r="R892" s="64"/>
      <c r="S892" s="64"/>
      <c r="T892" s="64"/>
      <c r="U892" s="64"/>
      <c r="V892" s="64"/>
      <c r="W892" s="64"/>
      <c r="X892" s="64"/>
      <c r="Y892" s="64"/>
      <c r="Z892" s="64"/>
      <c r="AA892" s="64"/>
      <c r="AB892" s="64"/>
      <c r="AC892" s="64"/>
      <c r="AD892" s="64"/>
      <c r="AE892" s="64"/>
      <c r="AF892" s="64"/>
      <c r="AG892" s="64"/>
    </row>
    <row r="893" spans="1:33">
      <c r="A893" s="25"/>
      <c r="B893" s="25"/>
      <c r="C893" s="25"/>
      <c r="D893" s="25"/>
      <c r="E893" s="62"/>
      <c r="F893" s="63"/>
      <c r="G893" s="25"/>
      <c r="H893" s="63"/>
      <c r="I893" s="63"/>
      <c r="J893" s="64"/>
      <c r="K893" s="64"/>
      <c r="L893" s="64"/>
      <c r="M893" s="64"/>
      <c r="N893" s="64"/>
      <c r="O893" s="64"/>
      <c r="P893" s="64"/>
      <c r="Q893" s="64"/>
      <c r="R893" s="64"/>
      <c r="S893" s="64"/>
      <c r="T893" s="64"/>
      <c r="U893" s="64"/>
      <c r="V893" s="64"/>
      <c r="W893" s="64"/>
      <c r="X893" s="64"/>
      <c r="Y893" s="64"/>
      <c r="Z893" s="64"/>
      <c r="AA893" s="64"/>
      <c r="AB893" s="64"/>
      <c r="AC893" s="64"/>
      <c r="AD893" s="64"/>
      <c r="AE893" s="64"/>
      <c r="AF893" s="64"/>
      <c r="AG893" s="64"/>
    </row>
    <row r="894" spans="1:33">
      <c r="A894" s="25"/>
      <c r="B894" s="25"/>
      <c r="C894" s="25"/>
      <c r="D894" s="25"/>
      <c r="E894" s="62"/>
      <c r="F894" s="63"/>
      <c r="G894" s="25"/>
      <c r="H894" s="63"/>
      <c r="I894" s="63"/>
      <c r="J894" s="64"/>
      <c r="K894" s="64"/>
      <c r="L894" s="64"/>
      <c r="M894" s="64"/>
      <c r="N894" s="64"/>
      <c r="O894" s="64"/>
      <c r="P894" s="64"/>
      <c r="Q894" s="64"/>
      <c r="R894" s="64"/>
      <c r="S894" s="64"/>
      <c r="T894" s="64"/>
      <c r="U894" s="64"/>
      <c r="V894" s="64"/>
      <c r="W894" s="64"/>
      <c r="X894" s="64"/>
      <c r="Y894" s="64"/>
      <c r="Z894" s="64"/>
      <c r="AA894" s="64"/>
      <c r="AB894" s="64"/>
      <c r="AC894" s="64"/>
      <c r="AD894" s="64"/>
      <c r="AE894" s="64"/>
      <c r="AF894" s="64"/>
      <c r="AG894" s="64"/>
    </row>
    <row r="895" spans="1:33">
      <c r="A895" s="25"/>
      <c r="B895" s="25"/>
      <c r="C895" s="25"/>
      <c r="D895" s="25"/>
      <c r="E895" s="62"/>
      <c r="F895" s="63"/>
      <c r="G895" s="25"/>
      <c r="H895" s="63"/>
      <c r="I895" s="63"/>
      <c r="J895" s="64"/>
      <c r="K895" s="64"/>
      <c r="L895" s="64"/>
      <c r="M895" s="64"/>
      <c r="N895" s="64"/>
      <c r="O895" s="64"/>
      <c r="P895" s="64"/>
      <c r="Q895" s="64"/>
      <c r="R895" s="64"/>
      <c r="S895" s="64"/>
      <c r="T895" s="64"/>
      <c r="U895" s="64"/>
      <c r="V895" s="64"/>
      <c r="W895" s="64"/>
      <c r="X895" s="64"/>
      <c r="Y895" s="64"/>
      <c r="Z895" s="64"/>
      <c r="AA895" s="64"/>
      <c r="AB895" s="64"/>
      <c r="AC895" s="64"/>
      <c r="AD895" s="64"/>
      <c r="AE895" s="64"/>
      <c r="AF895" s="64"/>
      <c r="AG895" s="64"/>
    </row>
    <row r="896" spans="1:33">
      <c r="A896" s="25"/>
      <c r="B896" s="25"/>
      <c r="C896" s="25"/>
      <c r="D896" s="25"/>
      <c r="E896" s="62"/>
      <c r="F896" s="63"/>
      <c r="G896" s="25"/>
      <c r="H896" s="63"/>
      <c r="I896" s="63"/>
      <c r="J896" s="64"/>
      <c r="K896" s="64"/>
      <c r="L896" s="64"/>
      <c r="M896" s="64"/>
      <c r="N896" s="64"/>
      <c r="O896" s="64"/>
      <c r="P896" s="64"/>
      <c r="Q896" s="64"/>
      <c r="R896" s="64"/>
      <c r="S896" s="64"/>
      <c r="T896" s="64"/>
      <c r="U896" s="64"/>
      <c r="V896" s="64"/>
      <c r="W896" s="64"/>
      <c r="X896" s="64"/>
      <c r="Y896" s="64"/>
      <c r="Z896" s="64"/>
      <c r="AA896" s="64"/>
      <c r="AB896" s="64"/>
      <c r="AC896" s="64"/>
      <c r="AD896" s="64"/>
      <c r="AE896" s="64"/>
      <c r="AF896" s="64"/>
      <c r="AG896" s="64"/>
    </row>
    <row r="897" spans="1:33">
      <c r="A897" s="25"/>
      <c r="B897" s="25"/>
      <c r="C897" s="25"/>
      <c r="D897" s="25"/>
      <c r="E897" s="62"/>
      <c r="F897" s="63"/>
      <c r="G897" s="25"/>
      <c r="H897" s="63"/>
      <c r="I897" s="63"/>
      <c r="J897" s="64"/>
      <c r="K897" s="64"/>
      <c r="L897" s="64"/>
      <c r="M897" s="64"/>
      <c r="N897" s="64"/>
      <c r="O897" s="64"/>
      <c r="P897" s="64"/>
      <c r="Q897" s="64"/>
      <c r="R897" s="64"/>
      <c r="S897" s="64"/>
      <c r="T897" s="64"/>
      <c r="U897" s="64"/>
      <c r="V897" s="64"/>
      <c r="W897" s="64"/>
      <c r="X897" s="64"/>
      <c r="Y897" s="64"/>
      <c r="Z897" s="64"/>
      <c r="AA897" s="64"/>
      <c r="AB897" s="64"/>
      <c r="AC897" s="64"/>
      <c r="AD897" s="64"/>
      <c r="AE897" s="64"/>
      <c r="AF897" s="64"/>
      <c r="AG897" s="64"/>
    </row>
    <row r="898" spans="1:33">
      <c r="A898" s="25"/>
      <c r="B898" s="25"/>
      <c r="C898" s="25"/>
      <c r="D898" s="25"/>
      <c r="E898" s="62"/>
      <c r="F898" s="63"/>
      <c r="G898" s="25"/>
      <c r="H898" s="63"/>
      <c r="I898" s="63"/>
      <c r="J898" s="64"/>
      <c r="K898" s="64"/>
      <c r="L898" s="64"/>
      <c r="M898" s="64"/>
      <c r="N898" s="64"/>
      <c r="O898" s="64"/>
      <c r="P898" s="64"/>
      <c r="Q898" s="64"/>
      <c r="R898" s="64"/>
      <c r="S898" s="64"/>
      <c r="T898" s="64"/>
      <c r="U898" s="64"/>
      <c r="V898" s="64"/>
      <c r="W898" s="64"/>
      <c r="X898" s="64"/>
      <c r="Y898" s="64"/>
      <c r="Z898" s="64"/>
      <c r="AA898" s="64"/>
      <c r="AB898" s="64"/>
      <c r="AC898" s="64"/>
      <c r="AD898" s="64"/>
      <c r="AE898" s="64"/>
      <c r="AF898" s="64"/>
      <c r="AG898" s="64"/>
    </row>
    <row r="899" spans="1:33">
      <c r="A899" s="25"/>
      <c r="B899" s="25"/>
      <c r="C899" s="25"/>
      <c r="D899" s="25"/>
      <c r="E899" s="62"/>
      <c r="F899" s="63"/>
      <c r="G899" s="25"/>
      <c r="H899" s="63"/>
      <c r="I899" s="63"/>
      <c r="J899" s="64"/>
      <c r="K899" s="64"/>
      <c r="L899" s="64"/>
      <c r="M899" s="64"/>
      <c r="N899" s="64"/>
      <c r="O899" s="64"/>
      <c r="P899" s="64"/>
      <c r="Q899" s="64"/>
      <c r="R899" s="64"/>
      <c r="S899" s="64"/>
      <c r="T899" s="64"/>
      <c r="U899" s="64"/>
      <c r="V899" s="64"/>
      <c r="W899" s="64"/>
      <c r="X899" s="64"/>
      <c r="Y899" s="64"/>
      <c r="Z899" s="64"/>
      <c r="AA899" s="64"/>
      <c r="AB899" s="64"/>
      <c r="AC899" s="64"/>
      <c r="AD899" s="64"/>
      <c r="AE899" s="64"/>
      <c r="AF899" s="64"/>
      <c r="AG899" s="64"/>
    </row>
    <row r="900" spans="1:33">
      <c r="A900" s="25"/>
      <c r="B900" s="25"/>
      <c r="C900" s="25"/>
      <c r="D900" s="25"/>
      <c r="E900" s="62"/>
      <c r="F900" s="63"/>
      <c r="G900" s="25"/>
      <c r="H900" s="63"/>
      <c r="I900" s="63"/>
      <c r="J900" s="64"/>
      <c r="K900" s="64"/>
      <c r="L900" s="64"/>
      <c r="M900" s="64"/>
      <c r="N900" s="64"/>
      <c r="O900" s="64"/>
      <c r="P900" s="64"/>
      <c r="Q900" s="64"/>
      <c r="R900" s="64"/>
      <c r="S900" s="64"/>
      <c r="T900" s="64"/>
      <c r="U900" s="64"/>
      <c r="V900" s="64"/>
      <c r="W900" s="64"/>
      <c r="X900" s="64"/>
      <c r="Y900" s="64"/>
      <c r="Z900" s="64"/>
      <c r="AA900" s="64"/>
      <c r="AB900" s="64"/>
      <c r="AC900" s="64"/>
      <c r="AD900" s="64"/>
      <c r="AE900" s="64"/>
      <c r="AF900" s="64"/>
      <c r="AG900" s="64"/>
    </row>
    <row r="901" spans="1:33">
      <c r="A901" s="25"/>
      <c r="B901" s="25"/>
      <c r="C901" s="25"/>
      <c r="D901" s="25"/>
      <c r="E901" s="62"/>
      <c r="F901" s="63"/>
      <c r="G901" s="25"/>
      <c r="H901" s="63"/>
      <c r="I901" s="63"/>
      <c r="J901" s="64"/>
      <c r="K901" s="64"/>
      <c r="L901" s="64"/>
      <c r="M901" s="64"/>
      <c r="N901" s="64"/>
      <c r="O901" s="64"/>
      <c r="P901" s="64"/>
      <c r="Q901" s="64"/>
      <c r="R901" s="64"/>
      <c r="S901" s="64"/>
      <c r="T901" s="64"/>
      <c r="U901" s="64"/>
      <c r="V901" s="64"/>
      <c r="W901" s="64"/>
      <c r="X901" s="64"/>
      <c r="Y901" s="64"/>
      <c r="Z901" s="64"/>
      <c r="AA901" s="64"/>
      <c r="AB901" s="64"/>
      <c r="AC901" s="64"/>
      <c r="AD901" s="64"/>
      <c r="AE901" s="64"/>
      <c r="AF901" s="64"/>
      <c r="AG901" s="64"/>
    </row>
    <row r="902" spans="1:33">
      <c r="A902" s="25"/>
      <c r="B902" s="25"/>
      <c r="C902" s="25"/>
      <c r="D902" s="25"/>
      <c r="E902" s="62"/>
      <c r="F902" s="63"/>
      <c r="G902" s="25"/>
      <c r="H902" s="63"/>
      <c r="I902" s="63"/>
      <c r="J902" s="64"/>
      <c r="K902" s="64"/>
      <c r="L902" s="64"/>
      <c r="M902" s="64"/>
      <c r="N902" s="64"/>
      <c r="O902" s="64"/>
      <c r="P902" s="64"/>
      <c r="Q902" s="64"/>
      <c r="R902" s="64"/>
      <c r="S902" s="64"/>
      <c r="T902" s="64"/>
      <c r="U902" s="64"/>
      <c r="V902" s="64"/>
      <c r="W902" s="64"/>
      <c r="X902" s="64"/>
      <c r="Y902" s="64"/>
      <c r="Z902" s="64"/>
      <c r="AA902" s="64"/>
      <c r="AB902" s="64"/>
      <c r="AC902" s="64"/>
      <c r="AD902" s="64"/>
      <c r="AE902" s="64"/>
      <c r="AF902" s="64"/>
      <c r="AG902" s="64"/>
    </row>
    <row r="903" spans="1:33">
      <c r="A903" s="25"/>
      <c r="B903" s="25"/>
      <c r="C903" s="25"/>
      <c r="D903" s="25"/>
      <c r="E903" s="62"/>
      <c r="F903" s="63"/>
      <c r="G903" s="25"/>
      <c r="H903" s="63"/>
      <c r="I903" s="63"/>
      <c r="J903" s="64"/>
      <c r="K903" s="64"/>
      <c r="L903" s="64"/>
      <c r="M903" s="64"/>
      <c r="N903" s="64"/>
      <c r="O903" s="64"/>
      <c r="P903" s="64"/>
      <c r="Q903" s="64"/>
      <c r="R903" s="64"/>
      <c r="S903" s="64"/>
      <c r="T903" s="64"/>
      <c r="U903" s="64"/>
      <c r="V903" s="64"/>
      <c r="W903" s="64"/>
      <c r="X903" s="64"/>
      <c r="Y903" s="64"/>
      <c r="Z903" s="64"/>
      <c r="AA903" s="64"/>
      <c r="AB903" s="64"/>
      <c r="AC903" s="64"/>
      <c r="AD903" s="64"/>
      <c r="AE903" s="64"/>
      <c r="AF903" s="64"/>
      <c r="AG903" s="64"/>
    </row>
    <row r="904" spans="1:33">
      <c r="A904" s="25"/>
      <c r="B904" s="25"/>
      <c r="C904" s="25"/>
      <c r="D904" s="25"/>
      <c r="E904" s="62"/>
      <c r="F904" s="63"/>
      <c r="G904" s="25"/>
      <c r="H904" s="63"/>
      <c r="I904" s="63"/>
      <c r="J904" s="64"/>
      <c r="K904" s="64"/>
      <c r="L904" s="64"/>
      <c r="M904" s="64"/>
      <c r="N904" s="64"/>
      <c r="O904" s="64"/>
      <c r="P904" s="64"/>
      <c r="Q904" s="64"/>
      <c r="R904" s="64"/>
      <c r="S904" s="64"/>
      <c r="T904" s="64"/>
      <c r="U904" s="64"/>
      <c r="V904" s="64"/>
      <c r="W904" s="64"/>
      <c r="X904" s="64"/>
      <c r="Y904" s="64"/>
      <c r="Z904" s="64"/>
      <c r="AA904" s="64"/>
      <c r="AB904" s="64"/>
      <c r="AC904" s="64"/>
      <c r="AD904" s="64"/>
      <c r="AE904" s="64"/>
      <c r="AF904" s="64"/>
      <c r="AG904" s="64"/>
    </row>
    <row r="905" spans="1:33">
      <c r="A905" s="25"/>
      <c r="B905" s="25"/>
      <c r="C905" s="25"/>
      <c r="D905" s="25"/>
      <c r="E905" s="62"/>
      <c r="F905" s="63"/>
      <c r="G905" s="25"/>
      <c r="H905" s="63"/>
      <c r="I905" s="63"/>
      <c r="J905" s="64"/>
      <c r="K905" s="64"/>
      <c r="L905" s="64"/>
      <c r="M905" s="64"/>
      <c r="N905" s="64"/>
      <c r="O905" s="64"/>
      <c r="P905" s="64"/>
      <c r="Q905" s="64"/>
      <c r="R905" s="64"/>
      <c r="S905" s="64"/>
      <c r="T905" s="64"/>
      <c r="U905" s="64"/>
      <c r="V905" s="64"/>
      <c r="W905" s="64"/>
      <c r="X905" s="64"/>
      <c r="Y905" s="64"/>
      <c r="Z905" s="64"/>
      <c r="AA905" s="64"/>
      <c r="AB905" s="64"/>
      <c r="AC905" s="64"/>
      <c r="AD905" s="64"/>
      <c r="AE905" s="64"/>
      <c r="AF905" s="64"/>
      <c r="AG905" s="64"/>
    </row>
    <row r="906" spans="1:33">
      <c r="A906" s="25"/>
      <c r="B906" s="25"/>
      <c r="C906" s="25"/>
      <c r="D906" s="25"/>
      <c r="E906" s="62"/>
      <c r="F906" s="63"/>
      <c r="G906" s="25"/>
      <c r="H906" s="63"/>
      <c r="I906" s="63"/>
      <c r="J906" s="64"/>
      <c r="K906" s="64"/>
      <c r="L906" s="64"/>
      <c r="M906" s="64"/>
      <c r="N906" s="64"/>
      <c r="O906" s="64"/>
      <c r="P906" s="64"/>
      <c r="Q906" s="64"/>
      <c r="R906" s="64"/>
      <c r="S906" s="64"/>
      <c r="T906" s="64"/>
      <c r="U906" s="64"/>
      <c r="V906" s="64"/>
      <c r="W906" s="64"/>
      <c r="X906" s="64"/>
      <c r="Y906" s="64"/>
      <c r="Z906" s="64"/>
      <c r="AA906" s="64"/>
      <c r="AB906" s="64"/>
      <c r="AC906" s="64"/>
      <c r="AD906" s="64"/>
      <c r="AE906" s="64"/>
      <c r="AF906" s="64"/>
      <c r="AG906" s="64"/>
    </row>
    <row r="907" spans="1:33">
      <c r="A907" s="25"/>
      <c r="B907" s="25"/>
      <c r="C907" s="25"/>
      <c r="D907" s="25"/>
      <c r="E907" s="62"/>
      <c r="F907" s="63"/>
      <c r="G907" s="25"/>
      <c r="H907" s="63"/>
      <c r="I907" s="63"/>
      <c r="J907" s="64"/>
      <c r="K907" s="64"/>
      <c r="L907" s="64"/>
      <c r="M907" s="64"/>
      <c r="N907" s="64"/>
      <c r="O907" s="64"/>
      <c r="P907" s="64"/>
      <c r="Q907" s="64"/>
      <c r="R907" s="64"/>
      <c r="S907" s="64"/>
      <c r="T907" s="64"/>
      <c r="U907" s="64"/>
      <c r="V907" s="64"/>
      <c r="W907" s="64"/>
      <c r="X907" s="64"/>
      <c r="Y907" s="64"/>
      <c r="Z907" s="64"/>
      <c r="AA907" s="64"/>
      <c r="AB907" s="64"/>
      <c r="AC907" s="64"/>
      <c r="AD907" s="64"/>
      <c r="AE907" s="64"/>
      <c r="AF907" s="64"/>
      <c r="AG907" s="64"/>
    </row>
    <row r="908" spans="1:33">
      <c r="A908" s="25"/>
      <c r="B908" s="25"/>
      <c r="C908" s="25"/>
      <c r="D908" s="25"/>
      <c r="E908" s="62"/>
      <c r="F908" s="63"/>
      <c r="G908" s="25"/>
      <c r="H908" s="63"/>
      <c r="I908" s="63"/>
      <c r="J908" s="64"/>
      <c r="K908" s="64"/>
      <c r="L908" s="64"/>
      <c r="M908" s="64"/>
      <c r="N908" s="64"/>
      <c r="O908" s="64"/>
      <c r="P908" s="64"/>
      <c r="Q908" s="64"/>
      <c r="R908" s="64"/>
      <c r="S908" s="64"/>
      <c r="T908" s="64"/>
      <c r="U908" s="64"/>
      <c r="V908" s="64"/>
      <c r="W908" s="64"/>
      <c r="X908" s="64"/>
      <c r="Y908" s="64"/>
      <c r="Z908" s="64"/>
      <c r="AA908" s="64"/>
      <c r="AB908" s="64"/>
      <c r="AC908" s="64"/>
      <c r="AD908" s="64"/>
      <c r="AE908" s="64"/>
      <c r="AF908" s="64"/>
      <c r="AG908" s="64"/>
    </row>
    <row r="909" spans="1:33">
      <c r="A909" s="25"/>
      <c r="B909" s="25"/>
      <c r="C909" s="25"/>
      <c r="D909" s="25"/>
      <c r="E909" s="62"/>
      <c r="F909" s="63"/>
      <c r="G909" s="25"/>
      <c r="H909" s="63"/>
      <c r="I909" s="63"/>
      <c r="J909" s="64"/>
      <c r="K909" s="64"/>
      <c r="L909" s="64"/>
      <c r="M909" s="64"/>
      <c r="N909" s="64"/>
      <c r="O909" s="64"/>
      <c r="P909" s="64"/>
      <c r="Q909" s="64"/>
      <c r="R909" s="64"/>
      <c r="S909" s="64"/>
      <c r="T909" s="64"/>
      <c r="U909" s="64"/>
      <c r="V909" s="64"/>
      <c r="W909" s="64"/>
      <c r="X909" s="64"/>
      <c r="Y909" s="64"/>
      <c r="Z909" s="64"/>
      <c r="AA909" s="64"/>
      <c r="AB909" s="64"/>
      <c r="AC909" s="64"/>
      <c r="AD909" s="64"/>
      <c r="AE909" s="64"/>
      <c r="AF909" s="64"/>
      <c r="AG909" s="64"/>
    </row>
    <row r="910" spans="1:33">
      <c r="A910" s="25"/>
      <c r="B910" s="25"/>
      <c r="C910" s="25"/>
      <c r="D910" s="25"/>
      <c r="E910" s="62"/>
      <c r="F910" s="63"/>
      <c r="G910" s="25"/>
      <c r="H910" s="63"/>
      <c r="I910" s="63"/>
      <c r="J910" s="64"/>
      <c r="K910" s="64"/>
      <c r="L910" s="64"/>
      <c r="M910" s="64"/>
      <c r="N910" s="64"/>
      <c r="O910" s="64"/>
      <c r="P910" s="64"/>
      <c r="Q910" s="64"/>
      <c r="R910" s="64"/>
      <c r="S910" s="64"/>
      <c r="T910" s="64"/>
      <c r="U910" s="64"/>
      <c r="V910" s="64"/>
      <c r="W910" s="64"/>
      <c r="X910" s="64"/>
      <c r="Y910" s="64"/>
      <c r="Z910" s="64"/>
      <c r="AA910" s="64"/>
      <c r="AB910" s="64"/>
      <c r="AC910" s="64"/>
      <c r="AD910" s="64"/>
      <c r="AE910" s="64"/>
      <c r="AF910" s="64"/>
      <c r="AG910" s="64"/>
    </row>
    <row r="911" spans="1:33">
      <c r="A911" s="25"/>
      <c r="B911" s="25"/>
      <c r="C911" s="25"/>
      <c r="D911" s="25"/>
      <c r="E911" s="62"/>
      <c r="F911" s="63"/>
      <c r="G911" s="25"/>
      <c r="H911" s="63"/>
      <c r="I911" s="63"/>
      <c r="J911" s="64"/>
      <c r="K911" s="64"/>
      <c r="L911" s="64"/>
      <c r="M911" s="64"/>
      <c r="N911" s="64"/>
      <c r="O911" s="64"/>
      <c r="P911" s="64"/>
      <c r="Q911" s="64"/>
      <c r="R911" s="64"/>
      <c r="S911" s="64"/>
      <c r="T911" s="64"/>
      <c r="U911" s="64"/>
      <c r="V911" s="64"/>
      <c r="W911" s="64"/>
      <c r="X911" s="64"/>
      <c r="Y911" s="64"/>
      <c r="Z911" s="64"/>
      <c r="AA911" s="64"/>
      <c r="AB911" s="64"/>
      <c r="AC911" s="64"/>
      <c r="AD911" s="64"/>
      <c r="AE911" s="64"/>
      <c r="AF911" s="64"/>
      <c r="AG911" s="64"/>
    </row>
    <row r="912" spans="1:33">
      <c r="A912" s="25"/>
      <c r="B912" s="25"/>
      <c r="C912" s="25"/>
      <c r="D912" s="25"/>
      <c r="E912" s="62"/>
      <c r="F912" s="63"/>
      <c r="G912" s="25"/>
      <c r="H912" s="63"/>
      <c r="I912" s="63"/>
      <c r="J912" s="64"/>
      <c r="K912" s="64"/>
      <c r="L912" s="64"/>
      <c r="M912" s="64"/>
      <c r="N912" s="64"/>
      <c r="O912" s="64"/>
      <c r="P912" s="64"/>
      <c r="Q912" s="64"/>
      <c r="R912" s="64"/>
      <c r="S912" s="64"/>
      <c r="T912" s="64"/>
      <c r="U912" s="64"/>
      <c r="V912" s="64"/>
      <c r="W912" s="64"/>
      <c r="X912" s="64"/>
      <c r="Y912" s="64"/>
      <c r="Z912" s="64"/>
      <c r="AA912" s="64"/>
      <c r="AB912" s="64"/>
      <c r="AC912" s="64"/>
      <c r="AD912" s="64"/>
      <c r="AE912" s="64"/>
      <c r="AF912" s="64"/>
      <c r="AG912" s="64"/>
    </row>
    <row r="913" spans="1:33">
      <c r="A913" s="25"/>
      <c r="B913" s="25"/>
      <c r="C913" s="25"/>
      <c r="D913" s="25"/>
      <c r="E913" s="62"/>
      <c r="F913" s="63"/>
      <c r="G913" s="25"/>
      <c r="H913" s="63"/>
      <c r="I913" s="63"/>
      <c r="J913" s="64"/>
      <c r="K913" s="64"/>
      <c r="L913" s="64"/>
      <c r="M913" s="64"/>
      <c r="N913" s="64"/>
      <c r="O913" s="64"/>
      <c r="P913" s="64"/>
      <c r="Q913" s="64"/>
      <c r="R913" s="64"/>
      <c r="S913" s="64"/>
      <c r="T913" s="64"/>
      <c r="U913" s="64"/>
      <c r="V913" s="64"/>
      <c r="W913" s="64"/>
      <c r="X913" s="64"/>
      <c r="Y913" s="64"/>
      <c r="Z913" s="64"/>
      <c r="AA913" s="64"/>
      <c r="AB913" s="64"/>
      <c r="AC913" s="64"/>
      <c r="AD913" s="64"/>
      <c r="AE913" s="64"/>
      <c r="AF913" s="64"/>
      <c r="AG913" s="64"/>
    </row>
    <row r="914" spans="1:33">
      <c r="A914" s="25"/>
      <c r="B914" s="25"/>
      <c r="C914" s="25"/>
      <c r="D914" s="25"/>
      <c r="E914" s="62"/>
      <c r="F914" s="63"/>
      <c r="G914" s="25"/>
      <c r="H914" s="63"/>
      <c r="I914" s="63"/>
      <c r="J914" s="64"/>
      <c r="K914" s="64"/>
      <c r="L914" s="64"/>
      <c r="M914" s="64"/>
      <c r="N914" s="64"/>
      <c r="O914" s="64"/>
      <c r="P914" s="64"/>
      <c r="Q914" s="64"/>
      <c r="R914" s="64"/>
      <c r="S914" s="64"/>
      <c r="T914" s="64"/>
      <c r="U914" s="64"/>
      <c r="V914" s="64"/>
      <c r="W914" s="64"/>
      <c r="X914" s="64"/>
      <c r="Y914" s="64"/>
      <c r="Z914" s="64"/>
      <c r="AA914" s="64"/>
      <c r="AB914" s="64"/>
      <c r="AC914" s="64"/>
      <c r="AD914" s="64"/>
      <c r="AE914" s="64"/>
      <c r="AF914" s="64"/>
      <c r="AG914" s="64"/>
    </row>
    <row r="915" spans="1:33">
      <c r="A915" s="25"/>
      <c r="B915" s="25"/>
      <c r="C915" s="25"/>
      <c r="D915" s="25"/>
      <c r="E915" s="62"/>
      <c r="F915" s="63"/>
      <c r="G915" s="25"/>
      <c r="H915" s="63"/>
      <c r="I915" s="63"/>
      <c r="J915" s="64"/>
      <c r="K915" s="64"/>
      <c r="L915" s="64"/>
      <c r="M915" s="64"/>
      <c r="N915" s="64"/>
      <c r="O915" s="64"/>
      <c r="P915" s="64"/>
      <c r="Q915" s="64"/>
      <c r="R915" s="64"/>
      <c r="S915" s="64"/>
      <c r="T915" s="64"/>
      <c r="U915" s="64"/>
      <c r="V915" s="64"/>
      <c r="W915" s="64"/>
      <c r="X915" s="64"/>
      <c r="Y915" s="64"/>
      <c r="Z915" s="64"/>
      <c r="AA915" s="64"/>
      <c r="AB915" s="64"/>
      <c r="AC915" s="64"/>
      <c r="AD915" s="64"/>
      <c r="AE915" s="64"/>
      <c r="AF915" s="64"/>
      <c r="AG915" s="64"/>
    </row>
    <row r="916" spans="1:33">
      <c r="A916" s="25"/>
      <c r="B916" s="25"/>
      <c r="C916" s="25"/>
      <c r="D916" s="25"/>
      <c r="E916" s="62"/>
      <c r="F916" s="63"/>
      <c r="G916" s="25"/>
      <c r="H916" s="63"/>
      <c r="I916" s="63"/>
      <c r="J916" s="64"/>
      <c r="K916" s="64"/>
      <c r="L916" s="64"/>
      <c r="M916" s="64"/>
      <c r="N916" s="64"/>
      <c r="O916" s="64"/>
      <c r="P916" s="64"/>
      <c r="Q916" s="64"/>
      <c r="R916" s="64"/>
      <c r="S916" s="64"/>
      <c r="T916" s="64"/>
      <c r="U916" s="64"/>
      <c r="V916" s="64"/>
      <c r="W916" s="64"/>
      <c r="X916" s="64"/>
      <c r="Y916" s="64"/>
      <c r="Z916" s="64"/>
      <c r="AA916" s="64"/>
      <c r="AB916" s="64"/>
      <c r="AC916" s="64"/>
      <c r="AD916" s="64"/>
      <c r="AE916" s="64"/>
      <c r="AF916" s="64"/>
      <c r="AG916" s="64"/>
    </row>
    <row r="917" spans="1:33">
      <c r="A917" s="25"/>
      <c r="B917" s="25"/>
      <c r="C917" s="25"/>
      <c r="D917" s="25"/>
      <c r="E917" s="62"/>
      <c r="F917" s="63"/>
      <c r="G917" s="25"/>
      <c r="H917" s="63"/>
      <c r="I917" s="63"/>
      <c r="J917" s="64"/>
      <c r="K917" s="64"/>
      <c r="L917" s="64"/>
      <c r="M917" s="64"/>
      <c r="N917" s="64"/>
      <c r="O917" s="64"/>
      <c r="P917" s="64"/>
      <c r="Q917" s="64"/>
      <c r="R917" s="64"/>
      <c r="S917" s="64"/>
      <c r="T917" s="64"/>
      <c r="U917" s="64"/>
      <c r="V917" s="64"/>
      <c r="W917" s="64"/>
      <c r="X917" s="64"/>
      <c r="Y917" s="64"/>
      <c r="Z917" s="64"/>
      <c r="AA917" s="64"/>
      <c r="AB917" s="64"/>
      <c r="AC917" s="64"/>
      <c r="AD917" s="64"/>
      <c r="AE917" s="64"/>
      <c r="AF917" s="64"/>
      <c r="AG917" s="64"/>
    </row>
    <row r="918" spans="1:33">
      <c r="A918" s="25"/>
      <c r="B918" s="25"/>
      <c r="C918" s="25"/>
      <c r="D918" s="25"/>
      <c r="E918" s="62"/>
      <c r="F918" s="63"/>
      <c r="G918" s="25"/>
      <c r="H918" s="63"/>
      <c r="I918" s="63"/>
      <c r="J918" s="64"/>
      <c r="K918" s="64"/>
      <c r="L918" s="64"/>
      <c r="M918" s="64"/>
      <c r="N918" s="64"/>
      <c r="O918" s="64"/>
      <c r="P918" s="64"/>
      <c r="Q918" s="64"/>
      <c r="R918" s="64"/>
      <c r="S918" s="64"/>
      <c r="T918" s="64"/>
      <c r="U918" s="64"/>
      <c r="V918" s="64"/>
      <c r="W918" s="64"/>
      <c r="X918" s="64"/>
      <c r="Y918" s="64"/>
      <c r="Z918" s="64"/>
      <c r="AA918" s="64"/>
      <c r="AB918" s="64"/>
      <c r="AC918" s="64"/>
      <c r="AD918" s="64"/>
      <c r="AE918" s="64"/>
      <c r="AF918" s="64"/>
      <c r="AG918" s="64"/>
    </row>
    <row r="919" spans="1:33">
      <c r="A919" s="25"/>
      <c r="B919" s="25"/>
      <c r="C919" s="25"/>
      <c r="D919" s="25"/>
      <c r="E919" s="62"/>
      <c r="F919" s="63"/>
      <c r="G919" s="25"/>
      <c r="H919" s="63"/>
      <c r="I919" s="63"/>
      <c r="J919" s="64"/>
      <c r="K919" s="64"/>
      <c r="L919" s="64"/>
      <c r="M919" s="64"/>
      <c r="N919" s="64"/>
      <c r="O919" s="64"/>
      <c r="P919" s="64"/>
      <c r="Q919" s="64"/>
      <c r="R919" s="64"/>
      <c r="S919" s="64"/>
      <c r="T919" s="64"/>
      <c r="U919" s="64"/>
      <c r="V919" s="64"/>
      <c r="W919" s="64"/>
      <c r="X919" s="64"/>
      <c r="Y919" s="64"/>
      <c r="Z919" s="64"/>
      <c r="AA919" s="64"/>
      <c r="AB919" s="64"/>
      <c r="AC919" s="64"/>
      <c r="AD919" s="64"/>
      <c r="AE919" s="64"/>
      <c r="AF919" s="64"/>
      <c r="AG919" s="64"/>
    </row>
    <row r="920" spans="1:33">
      <c r="A920" s="25"/>
      <c r="B920" s="25"/>
      <c r="C920" s="25"/>
      <c r="D920" s="25"/>
      <c r="E920" s="62"/>
      <c r="F920" s="63"/>
      <c r="G920" s="25"/>
      <c r="H920" s="63"/>
      <c r="I920" s="63"/>
      <c r="J920" s="64"/>
      <c r="K920" s="64"/>
      <c r="L920" s="64"/>
      <c r="M920" s="64"/>
      <c r="N920" s="64"/>
      <c r="O920" s="64"/>
      <c r="P920" s="64"/>
      <c r="Q920" s="64"/>
      <c r="R920" s="64"/>
      <c r="S920" s="64"/>
      <c r="T920" s="64"/>
      <c r="U920" s="64"/>
      <c r="V920" s="64"/>
      <c r="W920" s="64"/>
      <c r="X920" s="64"/>
      <c r="Y920" s="64"/>
      <c r="Z920" s="64"/>
      <c r="AA920" s="64"/>
      <c r="AB920" s="64"/>
      <c r="AC920" s="64"/>
      <c r="AD920" s="64"/>
      <c r="AE920" s="64"/>
      <c r="AF920" s="64"/>
      <c r="AG920" s="64"/>
    </row>
    <row r="921" spans="1:33">
      <c r="A921" s="25"/>
      <c r="B921" s="25"/>
      <c r="C921" s="25"/>
      <c r="D921" s="25"/>
      <c r="E921" s="62"/>
      <c r="F921" s="63"/>
      <c r="G921" s="25"/>
      <c r="H921" s="63"/>
      <c r="I921" s="63"/>
      <c r="J921" s="64"/>
      <c r="K921" s="64"/>
      <c r="L921" s="64"/>
      <c r="M921" s="64"/>
      <c r="N921" s="64"/>
      <c r="O921" s="64"/>
      <c r="P921" s="64"/>
      <c r="Q921" s="64"/>
      <c r="R921" s="64"/>
      <c r="S921" s="64"/>
      <c r="T921" s="64"/>
      <c r="U921" s="64"/>
      <c r="V921" s="64"/>
      <c r="W921" s="64"/>
      <c r="X921" s="64"/>
      <c r="Y921" s="64"/>
      <c r="Z921" s="64"/>
      <c r="AA921" s="64"/>
      <c r="AB921" s="64"/>
      <c r="AC921" s="64"/>
      <c r="AD921" s="64"/>
      <c r="AE921" s="64"/>
      <c r="AF921" s="64"/>
      <c r="AG921" s="64"/>
    </row>
    <row r="922" spans="1:33">
      <c r="A922" s="25"/>
      <c r="B922" s="25"/>
      <c r="C922" s="25"/>
      <c r="D922" s="25"/>
      <c r="E922" s="62"/>
      <c r="F922" s="63"/>
      <c r="G922" s="25"/>
      <c r="H922" s="63"/>
      <c r="I922" s="63"/>
      <c r="J922" s="64"/>
      <c r="K922" s="64"/>
      <c r="L922" s="64"/>
      <c r="M922" s="64"/>
      <c r="N922" s="64"/>
      <c r="O922" s="64"/>
      <c r="P922" s="64"/>
      <c r="Q922" s="64"/>
      <c r="R922" s="64"/>
      <c r="S922" s="64"/>
      <c r="T922" s="64"/>
      <c r="U922" s="64"/>
      <c r="V922" s="64"/>
      <c r="W922" s="64"/>
      <c r="X922" s="64"/>
      <c r="Y922" s="64"/>
      <c r="Z922" s="64"/>
      <c r="AA922" s="64"/>
      <c r="AB922" s="64"/>
      <c r="AC922" s="64"/>
      <c r="AD922" s="64"/>
      <c r="AE922" s="64"/>
      <c r="AF922" s="64"/>
      <c r="AG922" s="64"/>
    </row>
    <row r="923" spans="1:33">
      <c r="A923" s="25"/>
      <c r="B923" s="25"/>
      <c r="C923" s="25"/>
      <c r="D923" s="25"/>
      <c r="E923" s="62"/>
      <c r="F923" s="63"/>
      <c r="G923" s="25"/>
      <c r="H923" s="63"/>
      <c r="I923" s="63"/>
      <c r="J923" s="64"/>
      <c r="K923" s="64"/>
      <c r="L923" s="64"/>
      <c r="M923" s="64"/>
      <c r="N923" s="64"/>
      <c r="O923" s="64"/>
      <c r="P923" s="64"/>
      <c r="Q923" s="64"/>
      <c r="R923" s="64"/>
      <c r="S923" s="64"/>
      <c r="T923" s="64"/>
      <c r="U923" s="64"/>
      <c r="V923" s="64"/>
      <c r="W923" s="64"/>
      <c r="X923" s="64"/>
      <c r="Y923" s="64"/>
      <c r="Z923" s="64"/>
      <c r="AA923" s="64"/>
      <c r="AB923" s="64"/>
      <c r="AC923" s="64"/>
      <c r="AD923" s="64"/>
      <c r="AE923" s="64"/>
      <c r="AF923" s="64"/>
      <c r="AG923" s="64"/>
    </row>
    <row r="924" spans="1:33">
      <c r="A924" s="25"/>
      <c r="B924" s="25"/>
      <c r="C924" s="25"/>
      <c r="D924" s="25"/>
      <c r="E924" s="62"/>
      <c r="F924" s="63"/>
      <c r="G924" s="25"/>
      <c r="H924" s="63"/>
      <c r="I924" s="63"/>
      <c r="J924" s="64"/>
      <c r="K924" s="64"/>
      <c r="L924" s="64"/>
      <c r="M924" s="64"/>
      <c r="N924" s="64"/>
      <c r="O924" s="64"/>
      <c r="P924" s="64"/>
      <c r="Q924" s="64"/>
      <c r="R924" s="64"/>
      <c r="S924" s="64"/>
      <c r="T924" s="64"/>
      <c r="U924" s="64"/>
      <c r="V924" s="64"/>
      <c r="W924" s="64"/>
      <c r="X924" s="64"/>
      <c r="Y924" s="64"/>
      <c r="Z924" s="64"/>
      <c r="AA924" s="64"/>
      <c r="AB924" s="64"/>
      <c r="AC924" s="64"/>
      <c r="AD924" s="64"/>
      <c r="AE924" s="64"/>
      <c r="AF924" s="64"/>
      <c r="AG924" s="64"/>
    </row>
    <row r="925" spans="1:33">
      <c r="A925" s="25"/>
      <c r="B925" s="25"/>
      <c r="C925" s="25"/>
      <c r="D925" s="25"/>
      <c r="E925" s="62"/>
      <c r="F925" s="63"/>
      <c r="G925" s="25"/>
      <c r="H925" s="63"/>
      <c r="I925" s="63"/>
      <c r="J925" s="64"/>
      <c r="K925" s="64"/>
      <c r="L925" s="64"/>
      <c r="M925" s="64"/>
      <c r="N925" s="64"/>
      <c r="O925" s="64"/>
      <c r="P925" s="64"/>
      <c r="Q925" s="64"/>
      <c r="R925" s="64"/>
      <c r="S925" s="64"/>
      <c r="T925" s="64"/>
      <c r="U925" s="64"/>
      <c r="V925" s="64"/>
      <c r="W925" s="64"/>
      <c r="X925" s="64"/>
      <c r="Y925" s="64"/>
      <c r="Z925" s="64"/>
      <c r="AA925" s="64"/>
      <c r="AB925" s="64"/>
      <c r="AC925" s="64"/>
      <c r="AD925" s="64"/>
      <c r="AE925" s="64"/>
      <c r="AF925" s="64"/>
      <c r="AG925" s="64"/>
    </row>
    <row r="926" spans="1:33">
      <c r="A926" s="25"/>
      <c r="B926" s="25"/>
      <c r="C926" s="25"/>
      <c r="D926" s="25"/>
      <c r="E926" s="62"/>
      <c r="F926" s="63"/>
      <c r="G926" s="25"/>
      <c r="H926" s="63"/>
      <c r="I926" s="63"/>
      <c r="J926" s="64"/>
      <c r="K926" s="64"/>
      <c r="L926" s="64"/>
      <c r="M926" s="64"/>
      <c r="N926" s="64"/>
      <c r="O926" s="64"/>
      <c r="P926" s="64"/>
      <c r="Q926" s="64"/>
      <c r="R926" s="64"/>
      <c r="S926" s="64"/>
      <c r="T926" s="64"/>
      <c r="U926" s="64"/>
      <c r="V926" s="64"/>
      <c r="W926" s="64"/>
      <c r="X926" s="64"/>
      <c r="Y926" s="64"/>
      <c r="Z926" s="64"/>
      <c r="AA926" s="64"/>
      <c r="AB926" s="64"/>
      <c r="AC926" s="64"/>
      <c r="AD926" s="64"/>
      <c r="AE926" s="64"/>
      <c r="AF926" s="64"/>
      <c r="AG926" s="64"/>
    </row>
    <row r="927" spans="1:33">
      <c r="A927" s="25"/>
      <c r="B927" s="25"/>
      <c r="C927" s="25"/>
      <c r="D927" s="25"/>
      <c r="E927" s="62"/>
      <c r="F927" s="63"/>
      <c r="G927" s="25"/>
      <c r="H927" s="63"/>
      <c r="I927" s="63"/>
      <c r="J927" s="64"/>
      <c r="K927" s="64"/>
      <c r="L927" s="64"/>
      <c r="M927" s="64"/>
      <c r="N927" s="64"/>
      <c r="O927" s="64"/>
      <c r="P927" s="64"/>
      <c r="Q927" s="64"/>
      <c r="R927" s="64"/>
      <c r="S927" s="64"/>
      <c r="T927" s="64"/>
      <c r="U927" s="64"/>
      <c r="V927" s="64"/>
      <c r="W927" s="64"/>
      <c r="X927" s="64"/>
      <c r="Y927" s="64"/>
      <c r="Z927" s="64"/>
      <c r="AA927" s="64"/>
      <c r="AB927" s="64"/>
      <c r="AC927" s="64"/>
      <c r="AD927" s="64"/>
      <c r="AE927" s="64"/>
      <c r="AF927" s="64"/>
      <c r="AG927" s="64"/>
    </row>
    <row r="928" spans="1:33">
      <c r="A928" s="25"/>
      <c r="B928" s="25"/>
      <c r="C928" s="25"/>
      <c r="D928" s="25"/>
      <c r="E928" s="62"/>
      <c r="F928" s="63"/>
      <c r="G928" s="25"/>
      <c r="H928" s="63"/>
      <c r="I928" s="63"/>
      <c r="J928" s="64"/>
      <c r="K928" s="64"/>
      <c r="L928" s="64"/>
      <c r="M928" s="64"/>
      <c r="N928" s="64"/>
      <c r="O928" s="64"/>
      <c r="P928" s="64"/>
      <c r="Q928" s="64"/>
      <c r="R928" s="64"/>
      <c r="S928" s="64"/>
      <c r="T928" s="64"/>
      <c r="U928" s="64"/>
      <c r="V928" s="64"/>
      <c r="W928" s="64"/>
      <c r="X928" s="64"/>
      <c r="Y928" s="64"/>
      <c r="Z928" s="64"/>
      <c r="AA928" s="64"/>
      <c r="AB928" s="64"/>
      <c r="AC928" s="64"/>
      <c r="AD928" s="64"/>
      <c r="AE928" s="64"/>
      <c r="AF928" s="64"/>
      <c r="AG928" s="64"/>
    </row>
    <row r="929" spans="1:33">
      <c r="A929" s="25"/>
      <c r="B929" s="25"/>
      <c r="C929" s="25"/>
      <c r="D929" s="25"/>
      <c r="E929" s="62"/>
      <c r="F929" s="63"/>
      <c r="G929" s="25"/>
      <c r="H929" s="63"/>
      <c r="I929" s="63"/>
      <c r="J929" s="64"/>
      <c r="K929" s="64"/>
      <c r="L929" s="64"/>
      <c r="M929" s="64"/>
      <c r="N929" s="64"/>
      <c r="O929" s="64"/>
      <c r="P929" s="64"/>
      <c r="Q929" s="64"/>
      <c r="R929" s="64"/>
      <c r="S929" s="64"/>
      <c r="T929" s="64"/>
      <c r="U929" s="64"/>
      <c r="V929" s="64"/>
      <c r="W929" s="64"/>
      <c r="X929" s="64"/>
      <c r="Y929" s="64"/>
      <c r="Z929" s="64"/>
      <c r="AA929" s="64"/>
      <c r="AB929" s="64"/>
      <c r="AC929" s="64"/>
      <c r="AD929" s="64"/>
      <c r="AE929" s="64"/>
      <c r="AF929" s="64"/>
      <c r="AG929" s="64"/>
    </row>
    <row r="930" spans="1:33">
      <c r="A930" s="25"/>
      <c r="B930" s="25"/>
      <c r="C930" s="25"/>
      <c r="D930" s="25"/>
      <c r="E930" s="62"/>
      <c r="F930" s="63"/>
      <c r="G930" s="25"/>
      <c r="H930" s="63"/>
      <c r="I930" s="63"/>
      <c r="J930" s="64"/>
      <c r="K930" s="64"/>
      <c r="L930" s="64"/>
      <c r="M930" s="64"/>
      <c r="N930" s="64"/>
      <c r="O930" s="64"/>
      <c r="P930" s="64"/>
      <c r="Q930" s="64"/>
      <c r="R930" s="64"/>
      <c r="S930" s="64"/>
      <c r="T930" s="64"/>
      <c r="U930" s="64"/>
      <c r="V930" s="64"/>
      <c r="W930" s="64"/>
      <c r="X930" s="64"/>
      <c r="Y930" s="64"/>
      <c r="Z930" s="64"/>
      <c r="AA930" s="64"/>
      <c r="AB930" s="64"/>
      <c r="AC930" s="64"/>
      <c r="AD930" s="64"/>
      <c r="AE930" s="64"/>
      <c r="AF930" s="64"/>
      <c r="AG930" s="64"/>
    </row>
    <row r="931" spans="1:33">
      <c r="A931" s="25"/>
      <c r="B931" s="25"/>
      <c r="C931" s="25"/>
      <c r="D931" s="25"/>
      <c r="E931" s="62"/>
      <c r="F931" s="63"/>
      <c r="G931" s="25"/>
      <c r="H931" s="63"/>
      <c r="I931" s="63"/>
      <c r="J931" s="64"/>
      <c r="K931" s="64"/>
      <c r="L931" s="64"/>
      <c r="M931" s="64"/>
      <c r="N931" s="64"/>
      <c r="O931" s="64"/>
      <c r="P931" s="64"/>
      <c r="Q931" s="64"/>
      <c r="R931" s="64"/>
      <c r="S931" s="64"/>
      <c r="T931" s="64"/>
      <c r="U931" s="64"/>
      <c r="V931" s="64"/>
      <c r="W931" s="64"/>
      <c r="X931" s="64"/>
      <c r="Y931" s="64"/>
      <c r="Z931" s="64"/>
      <c r="AA931" s="64"/>
      <c r="AB931" s="64"/>
      <c r="AC931" s="64"/>
      <c r="AD931" s="64"/>
      <c r="AE931" s="64"/>
      <c r="AF931" s="64"/>
      <c r="AG931" s="64"/>
    </row>
    <row r="932" spans="1:33">
      <c r="A932" s="25"/>
      <c r="B932" s="25"/>
      <c r="C932" s="25"/>
      <c r="D932" s="25"/>
      <c r="E932" s="62"/>
      <c r="F932" s="63"/>
      <c r="G932" s="25"/>
      <c r="H932" s="63"/>
      <c r="I932" s="63"/>
      <c r="J932" s="64"/>
      <c r="K932" s="64"/>
      <c r="L932" s="64"/>
      <c r="M932" s="64"/>
      <c r="N932" s="64"/>
      <c r="O932" s="64"/>
      <c r="P932" s="64"/>
      <c r="Q932" s="64"/>
      <c r="R932" s="64"/>
      <c r="S932" s="64"/>
      <c r="T932" s="64"/>
      <c r="U932" s="64"/>
      <c r="V932" s="64"/>
      <c r="W932" s="64"/>
      <c r="X932" s="64"/>
      <c r="Y932" s="64"/>
      <c r="Z932" s="64"/>
      <c r="AA932" s="64"/>
      <c r="AB932" s="64"/>
      <c r="AC932" s="64"/>
      <c r="AD932" s="64"/>
      <c r="AE932" s="64"/>
      <c r="AF932" s="64"/>
      <c r="AG932" s="64"/>
    </row>
    <row r="933" spans="1:33">
      <c r="A933" s="25"/>
      <c r="B933" s="25"/>
      <c r="C933" s="25"/>
      <c r="D933" s="25"/>
      <c r="E933" s="62"/>
      <c r="F933" s="63"/>
      <c r="G933" s="25"/>
      <c r="H933" s="63"/>
      <c r="I933" s="63"/>
      <c r="J933" s="64"/>
      <c r="K933" s="64"/>
      <c r="L933" s="64"/>
      <c r="M933" s="64"/>
      <c r="N933" s="64"/>
      <c r="O933" s="64"/>
      <c r="P933" s="64"/>
      <c r="Q933" s="64"/>
      <c r="R933" s="64"/>
      <c r="S933" s="64"/>
      <c r="T933" s="64"/>
      <c r="U933" s="64"/>
      <c r="V933" s="64"/>
      <c r="W933" s="64"/>
      <c r="X933" s="64"/>
      <c r="Y933" s="64"/>
      <c r="Z933" s="64"/>
      <c r="AA933" s="64"/>
      <c r="AB933" s="64"/>
      <c r="AC933" s="64"/>
      <c r="AD933" s="64"/>
      <c r="AE933" s="64"/>
      <c r="AF933" s="64"/>
      <c r="AG933" s="64"/>
    </row>
    <row r="934" spans="1:33">
      <c r="A934" s="25"/>
      <c r="B934" s="25"/>
      <c r="C934" s="25"/>
      <c r="D934" s="25"/>
      <c r="E934" s="62"/>
      <c r="F934" s="63"/>
      <c r="G934" s="25"/>
      <c r="H934" s="63"/>
      <c r="I934" s="63"/>
      <c r="J934" s="64"/>
      <c r="K934" s="64"/>
      <c r="L934" s="64"/>
      <c r="M934" s="64"/>
      <c r="N934" s="64"/>
      <c r="O934" s="64"/>
      <c r="P934" s="64"/>
      <c r="Q934" s="64"/>
      <c r="R934" s="64"/>
      <c r="S934" s="64"/>
      <c r="T934" s="64"/>
      <c r="U934" s="64"/>
      <c r="V934" s="64"/>
      <c r="W934" s="64"/>
      <c r="X934" s="64"/>
      <c r="Y934" s="64"/>
      <c r="Z934" s="64"/>
      <c r="AA934" s="64"/>
      <c r="AB934" s="64"/>
      <c r="AC934" s="64"/>
      <c r="AD934" s="64"/>
      <c r="AE934" s="64"/>
      <c r="AF934" s="64"/>
      <c r="AG934" s="64"/>
    </row>
    <row r="935" spans="1:33">
      <c r="A935" s="25"/>
      <c r="B935" s="25"/>
      <c r="C935" s="25"/>
      <c r="D935" s="25"/>
      <c r="E935" s="62"/>
      <c r="F935" s="63"/>
      <c r="G935" s="25"/>
      <c r="H935" s="63"/>
      <c r="I935" s="63"/>
      <c r="J935" s="64"/>
      <c r="K935" s="64"/>
      <c r="L935" s="64"/>
      <c r="M935" s="64"/>
      <c r="N935" s="64"/>
      <c r="O935" s="64"/>
      <c r="P935" s="64"/>
      <c r="Q935" s="64"/>
      <c r="R935" s="64"/>
      <c r="S935" s="64"/>
      <c r="T935" s="64"/>
      <c r="U935" s="64"/>
      <c r="V935" s="64"/>
      <c r="W935" s="64"/>
      <c r="X935" s="64"/>
      <c r="Y935" s="64"/>
      <c r="Z935" s="64"/>
      <c r="AA935" s="64"/>
      <c r="AB935" s="64"/>
      <c r="AC935" s="64"/>
      <c r="AD935" s="64"/>
      <c r="AE935" s="64"/>
      <c r="AF935" s="64"/>
      <c r="AG935" s="64"/>
    </row>
    <row r="936" spans="1:33">
      <c r="A936" s="25"/>
      <c r="B936" s="25"/>
      <c r="C936" s="25"/>
      <c r="D936" s="25"/>
      <c r="E936" s="62"/>
      <c r="F936" s="63"/>
      <c r="G936" s="25"/>
      <c r="H936" s="63"/>
      <c r="I936" s="63"/>
      <c r="J936" s="64"/>
      <c r="K936" s="64"/>
      <c r="L936" s="64"/>
      <c r="M936" s="64"/>
      <c r="N936" s="64"/>
      <c r="O936" s="64"/>
      <c r="P936" s="64"/>
      <c r="Q936" s="64"/>
      <c r="R936" s="64"/>
      <c r="S936" s="64"/>
      <c r="T936" s="64"/>
      <c r="U936" s="64"/>
      <c r="V936" s="64"/>
      <c r="W936" s="64"/>
      <c r="X936" s="64"/>
      <c r="Y936" s="64"/>
      <c r="Z936" s="64"/>
      <c r="AA936" s="64"/>
      <c r="AB936" s="64"/>
      <c r="AC936" s="64"/>
      <c r="AD936" s="64"/>
      <c r="AE936" s="64"/>
      <c r="AF936" s="64"/>
      <c r="AG936" s="64"/>
    </row>
    <row r="937" spans="1:33">
      <c r="A937" s="25"/>
      <c r="B937" s="25"/>
      <c r="C937" s="25"/>
      <c r="D937" s="25"/>
      <c r="E937" s="62"/>
      <c r="F937" s="63"/>
      <c r="G937" s="25"/>
      <c r="H937" s="63"/>
      <c r="I937" s="63"/>
      <c r="J937" s="64"/>
      <c r="K937" s="64"/>
      <c r="L937" s="64"/>
      <c r="M937" s="64"/>
      <c r="N937" s="64"/>
      <c r="O937" s="64"/>
      <c r="P937" s="64"/>
      <c r="Q937" s="64"/>
      <c r="R937" s="64"/>
      <c r="S937" s="64"/>
      <c r="T937" s="64"/>
      <c r="U937" s="64"/>
      <c r="V937" s="64"/>
      <c r="W937" s="64"/>
      <c r="X937" s="64"/>
      <c r="Y937" s="64"/>
      <c r="Z937" s="64"/>
      <c r="AA937" s="64"/>
      <c r="AB937" s="64"/>
      <c r="AC937" s="64"/>
      <c r="AD937" s="64"/>
      <c r="AE937" s="64"/>
      <c r="AF937" s="64"/>
      <c r="AG937" s="64"/>
    </row>
    <row r="938" spans="1:33">
      <c r="A938" s="25"/>
      <c r="B938" s="25"/>
      <c r="C938" s="25"/>
      <c r="D938" s="25"/>
      <c r="E938" s="62"/>
      <c r="F938" s="63"/>
      <c r="G938" s="25"/>
      <c r="H938" s="63"/>
      <c r="I938" s="63"/>
      <c r="J938" s="64"/>
      <c r="K938" s="64"/>
      <c r="L938" s="64"/>
      <c r="M938" s="64"/>
      <c r="N938" s="64"/>
      <c r="O938" s="64"/>
      <c r="P938" s="64"/>
      <c r="Q938" s="64"/>
      <c r="R938" s="64"/>
      <c r="S938" s="64"/>
      <c r="T938" s="64"/>
      <c r="U938" s="64"/>
      <c r="V938" s="64"/>
      <c r="W938" s="64"/>
      <c r="X938" s="64"/>
      <c r="Y938" s="64"/>
      <c r="Z938" s="64"/>
      <c r="AA938" s="64"/>
      <c r="AB938" s="64"/>
      <c r="AC938" s="64"/>
      <c r="AD938" s="64"/>
      <c r="AE938" s="64"/>
      <c r="AF938" s="64"/>
      <c r="AG938" s="64"/>
    </row>
    <row r="939" spans="1:33">
      <c r="A939" s="25"/>
      <c r="B939" s="25"/>
      <c r="C939" s="25"/>
      <c r="D939" s="25"/>
      <c r="E939" s="62"/>
      <c r="F939" s="63"/>
      <c r="G939" s="25"/>
      <c r="H939" s="63"/>
      <c r="I939" s="63"/>
      <c r="J939" s="64"/>
      <c r="K939" s="64"/>
      <c r="L939" s="64"/>
      <c r="M939" s="64"/>
      <c r="N939" s="64"/>
      <c r="O939" s="64"/>
      <c r="P939" s="64"/>
      <c r="Q939" s="64"/>
      <c r="R939" s="64"/>
      <c r="S939" s="64"/>
      <c r="T939" s="64"/>
      <c r="U939" s="64"/>
      <c r="V939" s="64"/>
      <c r="W939" s="64"/>
      <c r="X939" s="64"/>
      <c r="Y939" s="64"/>
      <c r="Z939" s="64"/>
      <c r="AA939" s="64"/>
      <c r="AB939" s="64"/>
      <c r="AC939" s="64"/>
      <c r="AD939" s="64"/>
      <c r="AE939" s="64"/>
      <c r="AF939" s="64"/>
      <c r="AG939" s="64"/>
    </row>
    <row r="940" spans="1:33">
      <c r="A940" s="25"/>
      <c r="B940" s="25"/>
      <c r="C940" s="25"/>
      <c r="D940" s="25"/>
      <c r="E940" s="62"/>
      <c r="F940" s="63"/>
      <c r="G940" s="25"/>
      <c r="H940" s="63"/>
      <c r="I940" s="63"/>
      <c r="J940" s="64"/>
      <c r="K940" s="64"/>
      <c r="L940" s="64"/>
      <c r="M940" s="64"/>
      <c r="N940" s="64"/>
      <c r="O940" s="64"/>
      <c r="P940" s="64"/>
      <c r="Q940" s="64"/>
      <c r="R940" s="64"/>
      <c r="S940" s="64"/>
      <c r="T940" s="64"/>
      <c r="U940" s="64"/>
      <c r="V940" s="64"/>
      <c r="W940" s="64"/>
      <c r="X940" s="64"/>
      <c r="Y940" s="64"/>
      <c r="Z940" s="64"/>
      <c r="AA940" s="64"/>
      <c r="AB940" s="64"/>
      <c r="AC940" s="64"/>
      <c r="AD940" s="64"/>
      <c r="AE940" s="64"/>
      <c r="AF940" s="64"/>
      <c r="AG940" s="64"/>
    </row>
    <row r="941" spans="1:33">
      <c r="A941" s="25"/>
      <c r="B941" s="25"/>
      <c r="C941" s="25"/>
      <c r="D941" s="25"/>
      <c r="E941" s="62"/>
      <c r="F941" s="63"/>
      <c r="G941" s="25"/>
      <c r="H941" s="63"/>
      <c r="I941" s="63"/>
      <c r="J941" s="64"/>
      <c r="K941" s="64"/>
      <c r="L941" s="64"/>
      <c r="M941" s="64"/>
      <c r="N941" s="64"/>
      <c r="O941" s="64"/>
      <c r="P941" s="64"/>
      <c r="Q941" s="64"/>
      <c r="R941" s="64"/>
      <c r="S941" s="64"/>
      <c r="T941" s="64"/>
      <c r="U941" s="64"/>
      <c r="V941" s="64"/>
      <c r="W941" s="64"/>
      <c r="X941" s="64"/>
      <c r="Y941" s="64"/>
      <c r="Z941" s="64"/>
      <c r="AA941" s="64"/>
      <c r="AB941" s="64"/>
      <c r="AC941" s="64"/>
      <c r="AD941" s="64"/>
      <c r="AE941" s="64"/>
      <c r="AF941" s="64"/>
      <c r="AG941" s="64"/>
    </row>
    <row r="942" spans="1:33">
      <c r="A942" s="25"/>
      <c r="B942" s="25"/>
      <c r="C942" s="25"/>
      <c r="D942" s="25"/>
      <c r="E942" s="62"/>
      <c r="F942" s="63"/>
      <c r="G942" s="25"/>
      <c r="H942" s="63"/>
      <c r="I942" s="63"/>
      <c r="J942" s="64"/>
      <c r="K942" s="64"/>
      <c r="L942" s="64"/>
      <c r="M942" s="64"/>
      <c r="N942" s="64"/>
      <c r="O942" s="64"/>
      <c r="P942" s="64"/>
      <c r="Q942" s="64"/>
      <c r="R942" s="64"/>
      <c r="S942" s="64"/>
      <c r="T942" s="64"/>
      <c r="U942" s="64"/>
      <c r="V942" s="64"/>
      <c r="W942" s="64"/>
      <c r="X942" s="64"/>
      <c r="Y942" s="64"/>
      <c r="Z942" s="64"/>
      <c r="AA942" s="64"/>
      <c r="AB942" s="64"/>
      <c r="AC942" s="64"/>
      <c r="AD942" s="64"/>
      <c r="AE942" s="64"/>
      <c r="AF942" s="64"/>
      <c r="AG942" s="64"/>
    </row>
    <row r="943" spans="1:33">
      <c r="A943" s="25"/>
      <c r="B943" s="25"/>
      <c r="C943" s="25"/>
      <c r="D943" s="25"/>
      <c r="E943" s="62"/>
      <c r="F943" s="63"/>
      <c r="G943" s="25"/>
      <c r="H943" s="63"/>
      <c r="I943" s="63"/>
      <c r="J943" s="64"/>
      <c r="K943" s="64"/>
      <c r="L943" s="64"/>
      <c r="M943" s="64"/>
      <c r="N943" s="64"/>
      <c r="O943" s="64"/>
      <c r="P943" s="64"/>
      <c r="Q943" s="64"/>
      <c r="R943" s="64"/>
      <c r="S943" s="64"/>
      <c r="T943" s="64"/>
      <c r="U943" s="64"/>
      <c r="V943" s="64"/>
      <c r="W943" s="64"/>
      <c r="X943" s="64"/>
      <c r="Y943" s="64"/>
      <c r="Z943" s="64"/>
      <c r="AA943" s="64"/>
      <c r="AB943" s="64"/>
      <c r="AC943" s="64"/>
      <c r="AD943" s="64"/>
      <c r="AE943" s="64"/>
      <c r="AF943" s="64"/>
      <c r="AG943" s="64"/>
    </row>
    <row r="944" spans="1:33">
      <c r="A944" s="25"/>
      <c r="B944" s="25"/>
      <c r="C944" s="25"/>
      <c r="D944" s="25"/>
      <c r="E944" s="62"/>
      <c r="F944" s="63"/>
      <c r="G944" s="25"/>
      <c r="H944" s="63"/>
      <c r="I944" s="63"/>
      <c r="J944" s="64"/>
      <c r="K944" s="64"/>
      <c r="L944" s="64"/>
      <c r="M944" s="64"/>
      <c r="N944" s="64"/>
      <c r="O944" s="64"/>
      <c r="P944" s="64"/>
      <c r="Q944" s="64"/>
      <c r="R944" s="64"/>
      <c r="S944" s="64"/>
      <c r="T944" s="64"/>
      <c r="U944" s="64"/>
      <c r="V944" s="64"/>
      <c r="W944" s="64"/>
      <c r="X944" s="64"/>
      <c r="Y944" s="64"/>
      <c r="Z944" s="64"/>
      <c r="AA944" s="64"/>
      <c r="AB944" s="64"/>
      <c r="AC944" s="64"/>
      <c r="AD944" s="64"/>
      <c r="AE944" s="64"/>
      <c r="AF944" s="64"/>
      <c r="AG944" s="64"/>
    </row>
    <row r="945" spans="1:33">
      <c r="A945" s="25"/>
      <c r="B945" s="25"/>
      <c r="C945" s="25"/>
      <c r="D945" s="25"/>
      <c r="E945" s="62"/>
      <c r="F945" s="63"/>
      <c r="G945" s="25"/>
      <c r="H945" s="63"/>
      <c r="I945" s="63"/>
      <c r="J945" s="64"/>
      <c r="K945" s="64"/>
      <c r="L945" s="64"/>
      <c r="M945" s="64"/>
      <c r="N945" s="64"/>
      <c r="O945" s="64"/>
      <c r="P945" s="64"/>
      <c r="Q945" s="64"/>
      <c r="R945" s="64"/>
      <c r="S945" s="64"/>
      <c r="T945" s="64"/>
      <c r="U945" s="64"/>
      <c r="V945" s="64"/>
      <c r="W945" s="64"/>
      <c r="X945" s="64"/>
      <c r="Y945" s="64"/>
      <c r="Z945" s="64"/>
      <c r="AA945" s="64"/>
      <c r="AB945" s="64"/>
      <c r="AC945" s="64"/>
      <c r="AD945" s="64"/>
      <c r="AE945" s="64"/>
      <c r="AF945" s="64"/>
      <c r="AG945" s="64"/>
    </row>
    <row r="946" spans="1:33">
      <c r="A946" s="25"/>
      <c r="B946" s="25"/>
      <c r="C946" s="25"/>
      <c r="D946" s="25"/>
      <c r="E946" s="62"/>
      <c r="F946" s="63"/>
      <c r="G946" s="25"/>
      <c r="H946" s="63"/>
      <c r="I946" s="63"/>
      <c r="J946" s="64"/>
      <c r="K946" s="64"/>
      <c r="L946" s="64"/>
      <c r="M946" s="64"/>
      <c r="N946" s="64"/>
      <c r="O946" s="64"/>
      <c r="P946" s="64"/>
      <c r="Q946" s="64"/>
      <c r="R946" s="64"/>
      <c r="S946" s="64"/>
      <c r="T946" s="64"/>
      <c r="U946" s="64"/>
      <c r="V946" s="64"/>
      <c r="W946" s="64"/>
      <c r="X946" s="64"/>
      <c r="Y946" s="64"/>
      <c r="Z946" s="64"/>
      <c r="AA946" s="64"/>
      <c r="AB946" s="64"/>
      <c r="AC946" s="64"/>
      <c r="AD946" s="64"/>
      <c r="AE946" s="64"/>
      <c r="AF946" s="64"/>
      <c r="AG946" s="64"/>
    </row>
    <row r="947" spans="1:33">
      <c r="A947" s="25"/>
      <c r="B947" s="25"/>
      <c r="C947" s="25"/>
      <c r="D947" s="25"/>
      <c r="E947" s="62"/>
      <c r="F947" s="63"/>
      <c r="G947" s="25"/>
      <c r="H947" s="63"/>
      <c r="I947" s="63"/>
      <c r="J947" s="64"/>
      <c r="K947" s="64"/>
      <c r="L947" s="64"/>
      <c r="M947" s="64"/>
      <c r="N947" s="64"/>
      <c r="O947" s="64"/>
      <c r="P947" s="64"/>
      <c r="Q947" s="64"/>
      <c r="R947" s="64"/>
      <c r="S947" s="64"/>
      <c r="T947" s="64"/>
      <c r="U947" s="64"/>
      <c r="V947" s="64"/>
      <c r="W947" s="64"/>
      <c r="X947" s="64"/>
      <c r="Y947" s="64"/>
      <c r="Z947" s="64"/>
      <c r="AA947" s="64"/>
      <c r="AB947" s="64"/>
      <c r="AC947" s="64"/>
      <c r="AD947" s="64"/>
      <c r="AE947" s="64"/>
      <c r="AF947" s="64"/>
      <c r="AG947" s="64"/>
    </row>
    <row r="948" spans="1:33">
      <c r="A948" s="25"/>
      <c r="B948" s="25"/>
      <c r="C948" s="25"/>
      <c r="D948" s="25"/>
      <c r="E948" s="62"/>
      <c r="F948" s="63"/>
      <c r="G948" s="25"/>
      <c r="H948" s="63"/>
      <c r="I948" s="63"/>
      <c r="J948" s="64"/>
      <c r="K948" s="64"/>
      <c r="L948" s="64"/>
      <c r="M948" s="64"/>
      <c r="N948" s="64"/>
      <c r="O948" s="64"/>
      <c r="P948" s="64"/>
      <c r="Q948" s="64"/>
      <c r="R948" s="64"/>
      <c r="S948" s="64"/>
      <c r="T948" s="64"/>
      <c r="U948" s="64"/>
      <c r="V948" s="64"/>
      <c r="W948" s="64"/>
      <c r="X948" s="64"/>
      <c r="Y948" s="64"/>
      <c r="Z948" s="64"/>
      <c r="AA948" s="64"/>
      <c r="AB948" s="64"/>
      <c r="AC948" s="64"/>
      <c r="AD948" s="64"/>
      <c r="AE948" s="64"/>
      <c r="AF948" s="64"/>
      <c r="AG948" s="64"/>
    </row>
    <row r="949" spans="1:33">
      <c r="A949" s="25"/>
      <c r="B949" s="25"/>
      <c r="C949" s="25"/>
      <c r="D949" s="25"/>
      <c r="E949" s="62"/>
      <c r="F949" s="63"/>
      <c r="G949" s="25"/>
      <c r="H949" s="63"/>
      <c r="I949" s="63"/>
      <c r="J949" s="64"/>
      <c r="K949" s="64"/>
      <c r="L949" s="64"/>
      <c r="M949" s="64"/>
      <c r="N949" s="64"/>
      <c r="O949" s="64"/>
      <c r="P949" s="64"/>
      <c r="Q949" s="64"/>
      <c r="R949" s="64"/>
      <c r="S949" s="64"/>
      <c r="T949" s="64"/>
      <c r="U949" s="64"/>
      <c r="V949" s="64"/>
      <c r="W949" s="64"/>
      <c r="X949" s="64"/>
      <c r="Y949" s="64"/>
      <c r="Z949" s="64"/>
      <c r="AA949" s="64"/>
      <c r="AB949" s="64"/>
      <c r="AC949" s="64"/>
      <c r="AD949" s="64"/>
      <c r="AE949" s="64"/>
      <c r="AF949" s="64"/>
      <c r="AG949" s="64"/>
    </row>
    <row r="950" spans="1:33">
      <c r="A950" s="25"/>
      <c r="B950" s="25"/>
      <c r="C950" s="25"/>
      <c r="D950" s="25"/>
      <c r="E950" s="62"/>
      <c r="F950" s="63"/>
      <c r="G950" s="25"/>
      <c r="H950" s="63"/>
      <c r="I950" s="63"/>
      <c r="J950" s="64"/>
      <c r="K950" s="64"/>
      <c r="L950" s="64"/>
      <c r="M950" s="64"/>
      <c r="N950" s="64"/>
      <c r="O950" s="64"/>
      <c r="P950" s="64"/>
      <c r="Q950" s="64"/>
      <c r="R950" s="64"/>
      <c r="S950" s="64"/>
      <c r="T950" s="64"/>
      <c r="U950" s="64"/>
      <c r="V950" s="64"/>
      <c r="W950" s="64"/>
      <c r="X950" s="64"/>
      <c r="Y950" s="64"/>
      <c r="Z950" s="64"/>
      <c r="AA950" s="64"/>
      <c r="AB950" s="64"/>
      <c r="AC950" s="64"/>
      <c r="AD950" s="64"/>
      <c r="AE950" s="64"/>
      <c r="AF950" s="64"/>
      <c r="AG950" s="64"/>
    </row>
    <row r="951" spans="1:33">
      <c r="A951" s="25"/>
      <c r="B951" s="25"/>
      <c r="C951" s="25"/>
      <c r="D951" s="25"/>
      <c r="E951" s="62"/>
      <c r="F951" s="63"/>
      <c r="G951" s="25"/>
      <c r="H951" s="63"/>
      <c r="I951" s="63"/>
      <c r="J951" s="64"/>
      <c r="K951" s="64"/>
      <c r="L951" s="64"/>
      <c r="M951" s="64"/>
      <c r="N951" s="64"/>
      <c r="O951" s="64"/>
      <c r="P951" s="64"/>
      <c r="Q951" s="64"/>
      <c r="R951" s="64"/>
      <c r="S951" s="64"/>
      <c r="T951" s="64"/>
      <c r="U951" s="64"/>
      <c r="V951" s="64"/>
      <c r="W951" s="64"/>
      <c r="X951" s="64"/>
      <c r="Y951" s="64"/>
      <c r="Z951" s="64"/>
      <c r="AA951" s="64"/>
      <c r="AB951" s="64"/>
      <c r="AC951" s="64"/>
      <c r="AD951" s="64"/>
      <c r="AE951" s="64"/>
      <c r="AF951" s="64"/>
      <c r="AG951" s="64"/>
    </row>
    <row r="952" spans="1:33">
      <c r="A952" s="25"/>
      <c r="B952" s="25"/>
      <c r="C952" s="25"/>
      <c r="D952" s="25"/>
      <c r="E952" s="62"/>
      <c r="F952" s="63"/>
      <c r="G952" s="25"/>
      <c r="H952" s="63"/>
      <c r="I952" s="63"/>
      <c r="J952" s="64"/>
      <c r="K952" s="64"/>
      <c r="L952" s="64"/>
      <c r="M952" s="64"/>
      <c r="N952" s="64"/>
      <c r="O952" s="64"/>
      <c r="P952" s="64"/>
      <c r="Q952" s="64"/>
      <c r="R952" s="64"/>
      <c r="S952" s="64"/>
      <c r="T952" s="64"/>
      <c r="U952" s="64"/>
      <c r="V952" s="64"/>
      <c r="W952" s="64"/>
      <c r="X952" s="64"/>
      <c r="Y952" s="64"/>
      <c r="Z952" s="64"/>
      <c r="AA952" s="64"/>
      <c r="AB952" s="64"/>
      <c r="AC952" s="64"/>
      <c r="AD952" s="64"/>
      <c r="AE952" s="64"/>
      <c r="AF952" s="64"/>
      <c r="AG952" s="64"/>
    </row>
    <row r="953" spans="1:33">
      <c r="A953" s="25"/>
      <c r="B953" s="25"/>
      <c r="C953" s="25"/>
      <c r="D953" s="25"/>
      <c r="E953" s="62"/>
      <c r="F953" s="63"/>
      <c r="G953" s="25"/>
      <c r="H953" s="63"/>
      <c r="I953" s="63"/>
      <c r="J953" s="64"/>
      <c r="K953" s="64"/>
      <c r="L953" s="64"/>
      <c r="M953" s="64"/>
      <c r="N953" s="64"/>
      <c r="O953" s="64"/>
      <c r="P953" s="64"/>
      <c r="Q953" s="64"/>
      <c r="R953" s="64"/>
      <c r="S953" s="64"/>
      <c r="T953" s="64"/>
      <c r="U953" s="64"/>
      <c r="V953" s="64"/>
      <c r="W953" s="64"/>
      <c r="X953" s="64"/>
      <c r="Y953" s="64"/>
      <c r="Z953" s="64"/>
      <c r="AA953" s="64"/>
      <c r="AB953" s="64"/>
      <c r="AC953" s="64"/>
      <c r="AD953" s="64"/>
      <c r="AE953" s="64"/>
      <c r="AF953" s="64"/>
      <c r="AG953" s="64"/>
    </row>
    <row r="954" spans="1:33">
      <c r="A954" s="25"/>
      <c r="B954" s="25"/>
      <c r="C954" s="25"/>
      <c r="D954" s="25"/>
      <c r="E954" s="62"/>
      <c r="F954" s="63"/>
      <c r="G954" s="25"/>
      <c r="H954" s="63"/>
      <c r="I954" s="63"/>
      <c r="J954" s="64"/>
      <c r="K954" s="64"/>
      <c r="L954" s="64"/>
      <c r="M954" s="64"/>
      <c r="N954" s="64"/>
      <c r="O954" s="64"/>
      <c r="P954" s="64"/>
      <c r="Q954" s="64"/>
      <c r="R954" s="64"/>
      <c r="S954" s="64"/>
      <c r="T954" s="64"/>
      <c r="U954" s="64"/>
      <c r="V954" s="64"/>
      <c r="W954" s="64"/>
      <c r="X954" s="64"/>
      <c r="Y954" s="64"/>
      <c r="Z954" s="64"/>
      <c r="AA954" s="64"/>
      <c r="AB954" s="64"/>
      <c r="AC954" s="64"/>
      <c r="AD954" s="64"/>
      <c r="AE954" s="64"/>
      <c r="AF954" s="64"/>
      <c r="AG954" s="64"/>
    </row>
    <row r="955" spans="1:33">
      <c r="A955" s="25"/>
      <c r="B955" s="25"/>
      <c r="C955" s="25"/>
      <c r="D955" s="25"/>
      <c r="E955" s="62"/>
      <c r="F955" s="63"/>
      <c r="G955" s="25"/>
      <c r="H955" s="63"/>
      <c r="I955" s="63"/>
      <c r="J955" s="64"/>
      <c r="K955" s="64"/>
      <c r="L955" s="64"/>
      <c r="M955" s="64"/>
      <c r="N955" s="64"/>
      <c r="O955" s="64"/>
      <c r="P955" s="64"/>
      <c r="Q955" s="64"/>
      <c r="R955" s="64"/>
      <c r="S955" s="64"/>
      <c r="T955" s="64"/>
      <c r="U955" s="64"/>
      <c r="V955" s="64"/>
      <c r="W955" s="64"/>
      <c r="X955" s="64"/>
      <c r="Y955" s="64"/>
      <c r="Z955" s="64"/>
      <c r="AA955" s="64"/>
      <c r="AB955" s="64"/>
      <c r="AC955" s="64"/>
      <c r="AD955" s="64"/>
      <c r="AE955" s="64"/>
      <c r="AF955" s="64"/>
      <c r="AG955" s="64"/>
    </row>
    <row r="956" spans="1:33">
      <c r="A956" s="25"/>
      <c r="B956" s="25"/>
      <c r="C956" s="25"/>
      <c r="D956" s="25"/>
      <c r="E956" s="62"/>
      <c r="F956" s="63"/>
      <c r="G956" s="25"/>
      <c r="H956" s="63"/>
      <c r="I956" s="63"/>
      <c r="J956" s="64"/>
      <c r="K956" s="64"/>
      <c r="L956" s="64"/>
      <c r="M956" s="64"/>
      <c r="N956" s="64"/>
      <c r="O956" s="64"/>
      <c r="P956" s="64"/>
      <c r="Q956" s="64"/>
      <c r="R956" s="64"/>
      <c r="S956" s="64"/>
      <c r="T956" s="64"/>
      <c r="U956" s="64"/>
      <c r="V956" s="64"/>
      <c r="W956" s="64"/>
      <c r="X956" s="64"/>
      <c r="Y956" s="64"/>
      <c r="Z956" s="64"/>
      <c r="AA956" s="64"/>
      <c r="AB956" s="64"/>
      <c r="AC956" s="64"/>
      <c r="AD956" s="64"/>
      <c r="AE956" s="64"/>
      <c r="AF956" s="64"/>
      <c r="AG956" s="64"/>
    </row>
    <row r="957" spans="1:33">
      <c r="A957" s="25"/>
      <c r="B957" s="25"/>
      <c r="C957" s="25"/>
      <c r="D957" s="25"/>
      <c r="E957" s="62"/>
      <c r="F957" s="63"/>
      <c r="G957" s="25"/>
      <c r="H957" s="63"/>
      <c r="I957" s="63"/>
      <c r="J957" s="64"/>
      <c r="K957" s="64"/>
      <c r="L957" s="64"/>
      <c r="M957" s="64"/>
      <c r="N957" s="64"/>
      <c r="O957" s="64"/>
      <c r="P957" s="64"/>
      <c r="Q957" s="64"/>
      <c r="R957" s="64"/>
      <c r="S957" s="64"/>
      <c r="T957" s="64"/>
      <c r="U957" s="64"/>
      <c r="V957" s="64"/>
      <c r="W957" s="64"/>
      <c r="X957" s="64"/>
      <c r="Y957" s="64"/>
      <c r="Z957" s="64"/>
      <c r="AA957" s="64"/>
      <c r="AB957" s="64"/>
      <c r="AC957" s="64"/>
      <c r="AD957" s="64"/>
      <c r="AE957" s="64"/>
      <c r="AF957" s="64"/>
      <c r="AG957" s="64"/>
    </row>
    <row r="958" spans="1:33">
      <c r="A958" s="25"/>
      <c r="B958" s="25"/>
      <c r="C958" s="25"/>
      <c r="D958" s="25"/>
      <c r="E958" s="62"/>
      <c r="F958" s="63"/>
      <c r="G958" s="25"/>
      <c r="H958" s="63"/>
      <c r="I958" s="63"/>
      <c r="J958" s="64"/>
      <c r="K958" s="64"/>
      <c r="L958" s="64"/>
      <c r="M958" s="64"/>
      <c r="N958" s="64"/>
      <c r="O958" s="64"/>
      <c r="P958" s="64"/>
      <c r="Q958" s="64"/>
      <c r="R958" s="64"/>
      <c r="S958" s="64"/>
      <c r="T958" s="64"/>
      <c r="U958" s="64"/>
      <c r="V958" s="64"/>
      <c r="W958" s="64"/>
      <c r="X958" s="64"/>
      <c r="Y958" s="64"/>
      <c r="Z958" s="64"/>
      <c r="AA958" s="64"/>
      <c r="AB958" s="64"/>
      <c r="AC958" s="64"/>
      <c r="AD958" s="64"/>
      <c r="AE958" s="64"/>
      <c r="AF958" s="64"/>
      <c r="AG958" s="64"/>
    </row>
    <row r="959" spans="1:33">
      <c r="A959" s="25"/>
      <c r="B959" s="25"/>
      <c r="C959" s="25"/>
      <c r="D959" s="25"/>
      <c r="E959" s="62"/>
      <c r="F959" s="63"/>
      <c r="G959" s="25"/>
      <c r="H959" s="63"/>
      <c r="I959" s="63"/>
      <c r="J959" s="64"/>
      <c r="K959" s="64"/>
      <c r="L959" s="64"/>
      <c r="M959" s="64"/>
      <c r="N959" s="64"/>
      <c r="O959" s="64"/>
      <c r="P959" s="64"/>
      <c r="Q959" s="64"/>
      <c r="R959" s="64"/>
      <c r="S959" s="64"/>
      <c r="T959" s="64"/>
      <c r="U959" s="64"/>
      <c r="V959" s="64"/>
      <c r="W959" s="64"/>
      <c r="X959" s="64"/>
      <c r="Y959" s="64"/>
      <c r="Z959" s="64"/>
      <c r="AA959" s="64"/>
      <c r="AB959" s="64"/>
      <c r="AC959" s="64"/>
      <c r="AD959" s="64"/>
      <c r="AE959" s="64"/>
      <c r="AF959" s="64"/>
      <c r="AG959" s="64"/>
    </row>
    <row r="960" spans="1:33">
      <c r="A960" s="25"/>
      <c r="B960" s="25"/>
      <c r="C960" s="25"/>
      <c r="D960" s="25"/>
      <c r="E960" s="62"/>
      <c r="F960" s="63"/>
      <c r="G960" s="25"/>
      <c r="H960" s="63"/>
      <c r="I960" s="63"/>
      <c r="J960" s="64"/>
      <c r="K960" s="64"/>
      <c r="L960" s="64"/>
      <c r="M960" s="64"/>
      <c r="N960" s="64"/>
      <c r="O960" s="64"/>
      <c r="P960" s="64"/>
      <c r="Q960" s="64"/>
      <c r="R960" s="64"/>
      <c r="S960" s="64"/>
      <c r="T960" s="64"/>
      <c r="U960" s="64"/>
      <c r="V960" s="64"/>
      <c r="W960" s="64"/>
      <c r="X960" s="64"/>
      <c r="Y960" s="64"/>
      <c r="Z960" s="64"/>
      <c r="AA960" s="64"/>
      <c r="AB960" s="64"/>
      <c r="AC960" s="64"/>
      <c r="AD960" s="64"/>
      <c r="AE960" s="64"/>
      <c r="AF960" s="64"/>
      <c r="AG960" s="64"/>
    </row>
    <row r="961" spans="1:33">
      <c r="A961" s="25"/>
      <c r="B961" s="25"/>
      <c r="C961" s="25"/>
      <c r="D961" s="25"/>
      <c r="E961" s="62"/>
      <c r="F961" s="63"/>
      <c r="G961" s="25"/>
      <c r="H961" s="63"/>
      <c r="I961" s="63"/>
      <c r="J961" s="64"/>
      <c r="K961" s="64"/>
      <c r="L961" s="64"/>
      <c r="M961" s="64"/>
      <c r="N961" s="64"/>
      <c r="O961" s="64"/>
      <c r="P961" s="64"/>
      <c r="Q961" s="64"/>
      <c r="R961" s="64"/>
      <c r="S961" s="64"/>
      <c r="T961" s="64"/>
      <c r="U961" s="64"/>
      <c r="V961" s="64"/>
      <c r="W961" s="64"/>
      <c r="X961" s="64"/>
      <c r="Y961" s="64"/>
      <c r="Z961" s="64"/>
      <c r="AA961" s="64"/>
      <c r="AB961" s="64"/>
      <c r="AC961" s="64"/>
      <c r="AD961" s="64"/>
      <c r="AE961" s="64"/>
      <c r="AF961" s="64"/>
      <c r="AG961" s="64"/>
    </row>
    <row r="962" spans="1:33">
      <c r="A962" s="25"/>
      <c r="B962" s="25"/>
      <c r="C962" s="25"/>
      <c r="D962" s="25"/>
      <c r="E962" s="62"/>
      <c r="F962" s="63"/>
      <c r="G962" s="25"/>
      <c r="H962" s="63"/>
      <c r="I962" s="63"/>
      <c r="J962" s="64"/>
      <c r="K962" s="64"/>
      <c r="L962" s="64"/>
      <c r="M962" s="64"/>
      <c r="N962" s="64"/>
      <c r="O962" s="64"/>
      <c r="P962" s="64"/>
      <c r="Q962" s="64"/>
      <c r="R962" s="64"/>
      <c r="S962" s="64"/>
      <c r="T962" s="64"/>
      <c r="U962" s="64"/>
      <c r="V962" s="64"/>
      <c r="W962" s="64"/>
      <c r="X962" s="64"/>
      <c r="Y962" s="64"/>
      <c r="Z962" s="64"/>
      <c r="AA962" s="64"/>
      <c r="AB962" s="64"/>
      <c r="AC962" s="64"/>
      <c r="AD962" s="64"/>
      <c r="AE962" s="64"/>
      <c r="AF962" s="64"/>
      <c r="AG962" s="64"/>
    </row>
    <row r="963" spans="1:33">
      <c r="A963" s="25"/>
      <c r="B963" s="25"/>
      <c r="C963" s="25"/>
      <c r="D963" s="25"/>
      <c r="E963" s="62"/>
      <c r="F963" s="63"/>
      <c r="G963" s="25"/>
      <c r="H963" s="63"/>
      <c r="I963" s="63"/>
      <c r="J963" s="64"/>
      <c r="K963" s="64"/>
      <c r="L963" s="64"/>
      <c r="M963" s="64"/>
      <c r="N963" s="64"/>
      <c r="O963" s="64"/>
      <c r="P963" s="64"/>
      <c r="Q963" s="64"/>
      <c r="R963" s="64"/>
      <c r="S963" s="64"/>
      <c r="T963" s="64"/>
      <c r="U963" s="64"/>
      <c r="V963" s="64"/>
      <c r="W963" s="64"/>
      <c r="X963" s="64"/>
      <c r="Y963" s="64"/>
      <c r="Z963" s="64"/>
      <c r="AA963" s="64"/>
      <c r="AB963" s="64"/>
      <c r="AC963" s="64"/>
      <c r="AD963" s="64"/>
      <c r="AE963" s="64"/>
      <c r="AF963" s="64"/>
      <c r="AG963" s="64"/>
    </row>
    <row r="964" spans="1:33">
      <c r="A964" s="25"/>
      <c r="B964" s="25"/>
      <c r="C964" s="25"/>
      <c r="D964" s="25"/>
      <c r="E964" s="62"/>
      <c r="F964" s="63"/>
      <c r="G964" s="25"/>
      <c r="H964" s="63"/>
      <c r="I964" s="63"/>
      <c r="J964" s="64"/>
      <c r="K964" s="64"/>
      <c r="L964" s="64"/>
      <c r="M964" s="64"/>
      <c r="N964" s="64"/>
      <c r="O964" s="64"/>
      <c r="P964" s="64"/>
      <c r="Q964" s="64"/>
      <c r="R964" s="64"/>
      <c r="S964" s="64"/>
      <c r="T964" s="64"/>
      <c r="U964" s="64"/>
      <c r="V964" s="64"/>
      <c r="W964" s="64"/>
      <c r="X964" s="64"/>
      <c r="Y964" s="64"/>
      <c r="Z964" s="64"/>
      <c r="AA964" s="64"/>
      <c r="AB964" s="64"/>
      <c r="AC964" s="64"/>
      <c r="AD964" s="64"/>
      <c r="AE964" s="64"/>
      <c r="AF964" s="64"/>
      <c r="AG964" s="64"/>
    </row>
    <row r="965" spans="1:33">
      <c r="A965" s="25"/>
      <c r="B965" s="25"/>
      <c r="C965" s="25"/>
      <c r="D965" s="25"/>
      <c r="E965" s="62"/>
      <c r="F965" s="63"/>
      <c r="G965" s="25"/>
      <c r="H965" s="63"/>
      <c r="I965" s="63"/>
      <c r="J965" s="64"/>
      <c r="K965" s="64"/>
      <c r="L965" s="64"/>
      <c r="M965" s="64"/>
      <c r="N965" s="64"/>
      <c r="O965" s="64"/>
      <c r="P965" s="64"/>
      <c r="Q965" s="64"/>
      <c r="R965" s="64"/>
      <c r="S965" s="64"/>
      <c r="T965" s="64"/>
      <c r="U965" s="64"/>
      <c r="V965" s="64"/>
      <c r="W965" s="64"/>
      <c r="X965" s="64"/>
      <c r="Y965" s="64"/>
      <c r="Z965" s="64"/>
      <c r="AA965" s="64"/>
      <c r="AB965" s="64"/>
      <c r="AC965" s="64"/>
      <c r="AD965" s="64"/>
      <c r="AE965" s="64"/>
      <c r="AF965" s="64"/>
      <c r="AG965" s="64"/>
    </row>
    <row r="966" spans="1:33">
      <c r="A966" s="25"/>
      <c r="B966" s="25"/>
      <c r="C966" s="25"/>
      <c r="D966" s="25"/>
      <c r="E966" s="62"/>
      <c r="F966" s="63"/>
      <c r="G966" s="25"/>
      <c r="H966" s="63"/>
      <c r="I966" s="63"/>
      <c r="J966" s="64"/>
      <c r="K966" s="64"/>
      <c r="L966" s="64"/>
      <c r="M966" s="64"/>
      <c r="N966" s="64"/>
      <c r="O966" s="64"/>
      <c r="P966" s="64"/>
      <c r="Q966" s="64"/>
      <c r="R966" s="64"/>
      <c r="S966" s="64"/>
      <c r="T966" s="64"/>
      <c r="U966" s="64"/>
      <c r="V966" s="64"/>
      <c r="W966" s="64"/>
      <c r="X966" s="64"/>
      <c r="Y966" s="64"/>
      <c r="Z966" s="64"/>
      <c r="AA966" s="64"/>
      <c r="AB966" s="64"/>
      <c r="AC966" s="64"/>
      <c r="AD966" s="64"/>
      <c r="AE966" s="64"/>
      <c r="AF966" s="64"/>
      <c r="AG966" s="64"/>
    </row>
    <row r="967" spans="1:33">
      <c r="A967" s="25"/>
      <c r="B967" s="25"/>
      <c r="C967" s="25"/>
      <c r="D967" s="25"/>
      <c r="E967" s="62"/>
      <c r="F967" s="63"/>
      <c r="G967" s="25"/>
      <c r="H967" s="63"/>
      <c r="I967" s="63"/>
      <c r="J967" s="64"/>
      <c r="K967" s="64"/>
      <c r="L967" s="64"/>
      <c r="M967" s="64"/>
      <c r="N967" s="64"/>
      <c r="O967" s="64"/>
      <c r="P967" s="64"/>
      <c r="Q967" s="64"/>
      <c r="R967" s="64"/>
      <c r="S967" s="64"/>
      <c r="T967" s="64"/>
      <c r="U967" s="64"/>
      <c r="V967" s="64"/>
      <c r="W967" s="64"/>
      <c r="X967" s="64"/>
      <c r="Y967" s="64"/>
      <c r="Z967" s="64"/>
      <c r="AA967" s="64"/>
      <c r="AB967" s="64"/>
      <c r="AC967" s="64"/>
      <c r="AD967" s="64"/>
      <c r="AE967" s="64"/>
      <c r="AF967" s="64"/>
      <c r="AG967" s="64"/>
    </row>
    <row r="968" spans="1:33">
      <c r="A968" s="25"/>
      <c r="B968" s="25"/>
      <c r="C968" s="25"/>
      <c r="D968" s="25"/>
      <c r="E968" s="62"/>
      <c r="F968" s="63"/>
      <c r="G968" s="25"/>
      <c r="H968" s="63"/>
      <c r="I968" s="63"/>
      <c r="J968" s="64"/>
      <c r="K968" s="64"/>
      <c r="L968" s="64"/>
      <c r="M968" s="64"/>
      <c r="N968" s="64"/>
      <c r="O968" s="64"/>
      <c r="P968" s="64"/>
      <c r="Q968" s="64"/>
      <c r="R968" s="64"/>
      <c r="S968" s="64"/>
      <c r="T968" s="64"/>
      <c r="U968" s="64"/>
      <c r="V968" s="64"/>
      <c r="W968" s="64"/>
      <c r="X968" s="64"/>
      <c r="Y968" s="64"/>
      <c r="Z968" s="64"/>
      <c r="AA968" s="64"/>
      <c r="AB968" s="64"/>
      <c r="AC968" s="64"/>
      <c r="AD968" s="64"/>
      <c r="AE968" s="64"/>
      <c r="AF968" s="64"/>
      <c r="AG968" s="64"/>
    </row>
    <row r="969" spans="1:33">
      <c r="A969" s="25"/>
      <c r="B969" s="25"/>
      <c r="C969" s="25"/>
      <c r="D969" s="25"/>
      <c r="E969" s="62"/>
      <c r="F969" s="63"/>
      <c r="G969" s="25"/>
      <c r="H969" s="63"/>
      <c r="I969" s="63"/>
      <c r="J969" s="64"/>
      <c r="K969" s="64"/>
      <c r="L969" s="64"/>
      <c r="M969" s="64"/>
      <c r="N969" s="64"/>
      <c r="O969" s="64"/>
      <c r="P969" s="64"/>
      <c r="Q969" s="64"/>
      <c r="R969" s="64"/>
      <c r="S969" s="64"/>
      <c r="T969" s="64"/>
      <c r="U969" s="64"/>
      <c r="V969" s="64"/>
      <c r="W969" s="64"/>
      <c r="X969" s="64"/>
      <c r="Y969" s="64"/>
      <c r="Z969" s="64"/>
      <c r="AA969" s="64"/>
      <c r="AB969" s="64"/>
      <c r="AC969" s="64"/>
      <c r="AD969" s="64"/>
      <c r="AE969" s="64"/>
      <c r="AF969" s="64"/>
      <c r="AG969" s="64"/>
    </row>
    <row r="970" spans="1:33">
      <c r="A970" s="25"/>
      <c r="B970" s="25"/>
      <c r="C970" s="25"/>
      <c r="D970" s="25"/>
      <c r="E970" s="62"/>
      <c r="F970" s="63"/>
      <c r="G970" s="25"/>
      <c r="H970" s="63"/>
      <c r="I970" s="63"/>
      <c r="J970" s="64"/>
      <c r="K970" s="64"/>
      <c r="L970" s="64"/>
      <c r="M970" s="64"/>
      <c r="N970" s="64"/>
      <c r="O970" s="64"/>
      <c r="P970" s="64"/>
      <c r="Q970" s="64"/>
      <c r="R970" s="64"/>
      <c r="S970" s="64"/>
      <c r="T970" s="64"/>
      <c r="U970" s="64"/>
      <c r="V970" s="64"/>
      <c r="W970" s="64"/>
      <c r="X970" s="64"/>
      <c r="Y970" s="64"/>
      <c r="Z970" s="64"/>
      <c r="AA970" s="64"/>
      <c r="AB970" s="64"/>
      <c r="AC970" s="64"/>
      <c r="AD970" s="64"/>
      <c r="AE970" s="64"/>
      <c r="AF970" s="64"/>
      <c r="AG970" s="64"/>
    </row>
    <row r="971" spans="1:33">
      <c r="A971" s="25"/>
      <c r="B971" s="25"/>
      <c r="C971" s="25"/>
      <c r="D971" s="25"/>
      <c r="E971" s="62"/>
      <c r="F971" s="63"/>
      <c r="G971" s="25"/>
      <c r="H971" s="63"/>
      <c r="I971" s="63"/>
      <c r="J971" s="64"/>
      <c r="K971" s="64"/>
      <c r="L971" s="64"/>
      <c r="M971" s="64"/>
      <c r="N971" s="64"/>
      <c r="O971" s="64"/>
      <c r="P971" s="64"/>
      <c r="Q971" s="64"/>
      <c r="R971" s="64"/>
      <c r="S971" s="64"/>
      <c r="T971" s="64"/>
      <c r="U971" s="64"/>
      <c r="V971" s="64"/>
      <c r="W971" s="64"/>
      <c r="X971" s="64"/>
      <c r="Y971" s="64"/>
      <c r="Z971" s="64"/>
      <c r="AA971" s="64"/>
      <c r="AB971" s="64"/>
      <c r="AC971" s="64"/>
      <c r="AD971" s="64"/>
      <c r="AE971" s="64"/>
      <c r="AF971" s="64"/>
      <c r="AG971" s="64"/>
    </row>
    <row r="972" spans="1:33">
      <c r="A972" s="25"/>
      <c r="B972" s="25"/>
      <c r="C972" s="25"/>
      <c r="D972" s="25"/>
      <c r="E972" s="62"/>
      <c r="F972" s="63"/>
      <c r="G972" s="25"/>
      <c r="H972" s="63"/>
      <c r="I972" s="63"/>
      <c r="J972" s="64"/>
      <c r="K972" s="64"/>
      <c r="L972" s="64"/>
      <c r="M972" s="64"/>
      <c r="N972" s="64"/>
      <c r="O972" s="64"/>
      <c r="P972" s="64"/>
      <c r="Q972" s="64"/>
      <c r="R972" s="64"/>
      <c r="S972" s="64"/>
      <c r="T972" s="64"/>
      <c r="U972" s="64"/>
      <c r="V972" s="64"/>
      <c r="W972" s="64"/>
      <c r="X972" s="64"/>
      <c r="Y972" s="64"/>
      <c r="Z972" s="64"/>
      <c r="AA972" s="64"/>
      <c r="AB972" s="64"/>
      <c r="AC972" s="64"/>
      <c r="AD972" s="64"/>
      <c r="AE972" s="64"/>
      <c r="AF972" s="64"/>
      <c r="AG972" s="64"/>
    </row>
    <row r="973" spans="1:33">
      <c r="A973" s="25"/>
      <c r="B973" s="25"/>
      <c r="C973" s="25"/>
      <c r="D973" s="25"/>
      <c r="E973" s="62"/>
      <c r="F973" s="63"/>
      <c r="G973" s="25"/>
      <c r="H973" s="63"/>
      <c r="I973" s="63"/>
      <c r="J973" s="64"/>
      <c r="K973" s="64"/>
      <c r="L973" s="64"/>
      <c r="M973" s="64"/>
      <c r="N973" s="64"/>
      <c r="O973" s="64"/>
      <c r="P973" s="64"/>
      <c r="Q973" s="64"/>
      <c r="R973" s="64"/>
      <c r="S973" s="64"/>
      <c r="T973" s="64"/>
      <c r="U973" s="64"/>
      <c r="V973" s="64"/>
      <c r="W973" s="64"/>
      <c r="X973" s="64"/>
      <c r="Y973" s="64"/>
      <c r="Z973" s="64"/>
      <c r="AA973" s="64"/>
      <c r="AB973" s="64"/>
      <c r="AC973" s="64"/>
      <c r="AD973" s="64"/>
      <c r="AE973" s="64"/>
      <c r="AF973" s="64"/>
      <c r="AG973" s="64"/>
    </row>
    <row r="974" spans="1:33">
      <c r="A974" s="25"/>
      <c r="B974" s="25"/>
      <c r="C974" s="25"/>
      <c r="D974" s="25"/>
      <c r="E974" s="62"/>
      <c r="F974" s="63"/>
      <c r="G974" s="25"/>
      <c r="H974" s="63"/>
      <c r="I974" s="63"/>
      <c r="J974" s="64"/>
      <c r="K974" s="64"/>
      <c r="L974" s="64"/>
      <c r="M974" s="64"/>
      <c r="N974" s="64"/>
      <c r="O974" s="64"/>
      <c r="P974" s="64"/>
      <c r="Q974" s="64"/>
      <c r="R974" s="64"/>
      <c r="S974" s="64"/>
      <c r="T974" s="64"/>
      <c r="U974" s="64"/>
      <c r="V974" s="64"/>
      <c r="W974" s="64"/>
      <c r="X974" s="64"/>
      <c r="Y974" s="64"/>
      <c r="Z974" s="64"/>
      <c r="AA974" s="64"/>
      <c r="AB974" s="64"/>
      <c r="AC974" s="64"/>
      <c r="AD974" s="64"/>
      <c r="AE974" s="64"/>
      <c r="AF974" s="64"/>
      <c r="AG974" s="64"/>
    </row>
    <row r="975" spans="1:33">
      <c r="A975" s="25"/>
      <c r="B975" s="25"/>
      <c r="C975" s="25"/>
      <c r="D975" s="25"/>
      <c r="E975" s="62"/>
      <c r="F975" s="63"/>
      <c r="G975" s="25"/>
      <c r="H975" s="63"/>
      <c r="I975" s="63"/>
      <c r="J975" s="64"/>
      <c r="K975" s="64"/>
      <c r="L975" s="64"/>
      <c r="M975" s="64"/>
      <c r="N975" s="64"/>
      <c r="O975" s="64"/>
      <c r="P975" s="64"/>
      <c r="Q975" s="64"/>
      <c r="R975" s="64"/>
      <c r="S975" s="64"/>
      <c r="T975" s="64"/>
      <c r="U975" s="64"/>
      <c r="V975" s="64"/>
      <c r="W975" s="64"/>
      <c r="X975" s="64"/>
      <c r="Y975" s="64"/>
      <c r="Z975" s="64"/>
      <c r="AA975" s="64"/>
      <c r="AB975" s="64"/>
      <c r="AC975" s="64"/>
      <c r="AD975" s="64"/>
      <c r="AE975" s="64"/>
      <c r="AF975" s="64"/>
      <c r="AG975" s="64"/>
    </row>
    <row r="976" spans="1:33">
      <c r="A976" s="25"/>
      <c r="B976" s="25"/>
      <c r="C976" s="25"/>
      <c r="D976" s="25"/>
      <c r="E976" s="62"/>
      <c r="F976" s="63"/>
      <c r="G976" s="25"/>
      <c r="H976" s="63"/>
      <c r="I976" s="63"/>
      <c r="J976" s="64"/>
      <c r="K976" s="64"/>
      <c r="L976" s="64"/>
      <c r="M976" s="64"/>
      <c r="N976" s="64"/>
      <c r="O976" s="64"/>
      <c r="P976" s="64"/>
      <c r="Q976" s="64"/>
      <c r="R976" s="64"/>
      <c r="S976" s="64"/>
      <c r="T976" s="64"/>
      <c r="U976" s="64"/>
      <c r="V976" s="64"/>
      <c r="W976" s="64"/>
      <c r="X976" s="64"/>
      <c r="Y976" s="64"/>
      <c r="Z976" s="64"/>
      <c r="AA976" s="64"/>
      <c r="AB976" s="64"/>
      <c r="AC976" s="64"/>
      <c r="AD976" s="64"/>
      <c r="AE976" s="64"/>
      <c r="AF976" s="64"/>
      <c r="AG976" s="64"/>
    </row>
    <row r="977" spans="1:33">
      <c r="A977" s="25"/>
      <c r="B977" s="25"/>
      <c r="C977" s="25"/>
      <c r="D977" s="25"/>
      <c r="E977" s="62"/>
      <c r="F977" s="63"/>
      <c r="G977" s="25"/>
      <c r="H977" s="63"/>
      <c r="I977" s="63"/>
      <c r="J977" s="64"/>
      <c r="K977" s="64"/>
      <c r="L977" s="64"/>
      <c r="M977" s="64"/>
      <c r="N977" s="64"/>
      <c r="O977" s="64"/>
      <c r="P977" s="64"/>
      <c r="Q977" s="64"/>
      <c r="R977" s="64"/>
      <c r="S977" s="64"/>
      <c r="T977" s="64"/>
      <c r="U977" s="64"/>
      <c r="V977" s="64"/>
      <c r="W977" s="64"/>
      <c r="X977" s="64"/>
      <c r="Y977" s="64"/>
      <c r="Z977" s="64"/>
      <c r="AA977" s="64"/>
      <c r="AB977" s="64"/>
      <c r="AC977" s="64"/>
      <c r="AD977" s="64"/>
      <c r="AE977" s="64"/>
      <c r="AF977" s="64"/>
      <c r="AG977" s="64"/>
    </row>
    <row r="978" spans="1:33">
      <c r="A978" s="25"/>
      <c r="B978" s="25"/>
      <c r="C978" s="25"/>
      <c r="D978" s="25"/>
      <c r="E978" s="62"/>
      <c r="F978" s="63"/>
      <c r="G978" s="25"/>
      <c r="H978" s="63"/>
      <c r="I978" s="63"/>
      <c r="J978" s="64"/>
      <c r="K978" s="64"/>
      <c r="L978" s="64"/>
      <c r="M978" s="64"/>
      <c r="N978" s="64"/>
      <c r="O978" s="64"/>
      <c r="P978" s="64"/>
      <c r="Q978" s="64"/>
      <c r="R978" s="64"/>
      <c r="S978" s="64"/>
      <c r="T978" s="64"/>
      <c r="U978" s="64"/>
      <c r="V978" s="64"/>
      <c r="W978" s="64"/>
      <c r="X978" s="64"/>
      <c r="Y978" s="64"/>
      <c r="Z978" s="64"/>
      <c r="AA978" s="64"/>
      <c r="AB978" s="64"/>
      <c r="AC978" s="64"/>
      <c r="AD978" s="64"/>
      <c r="AE978" s="64"/>
      <c r="AF978" s="64"/>
      <c r="AG978" s="64"/>
    </row>
    <row r="979" spans="1:33">
      <c r="A979" s="25"/>
      <c r="B979" s="25"/>
      <c r="C979" s="25"/>
      <c r="D979" s="25"/>
      <c r="E979" s="62"/>
      <c r="F979" s="63"/>
      <c r="G979" s="25"/>
      <c r="H979" s="63"/>
      <c r="I979" s="63"/>
      <c r="J979" s="64"/>
      <c r="K979" s="64"/>
      <c r="L979" s="64"/>
      <c r="M979" s="64"/>
      <c r="N979" s="64"/>
      <c r="O979" s="64"/>
      <c r="P979" s="64"/>
      <c r="Q979" s="64"/>
      <c r="R979" s="64"/>
      <c r="S979" s="64"/>
      <c r="T979" s="64"/>
      <c r="U979" s="64"/>
      <c r="V979" s="64"/>
      <c r="W979" s="64"/>
      <c r="X979" s="64"/>
      <c r="Y979" s="64"/>
      <c r="Z979" s="64"/>
      <c r="AA979" s="64"/>
      <c r="AB979" s="64"/>
      <c r="AC979" s="64"/>
      <c r="AD979" s="64"/>
      <c r="AE979" s="64"/>
      <c r="AF979" s="64"/>
      <c r="AG979" s="64"/>
    </row>
    <row r="980" spans="1:33">
      <c r="A980" s="25"/>
      <c r="B980" s="25"/>
      <c r="C980" s="25"/>
      <c r="D980" s="25"/>
      <c r="E980" s="62"/>
      <c r="F980" s="63"/>
      <c r="G980" s="25"/>
      <c r="H980" s="63"/>
      <c r="I980" s="63"/>
      <c r="J980" s="64"/>
      <c r="K980" s="64"/>
      <c r="L980" s="64"/>
      <c r="M980" s="64"/>
      <c r="N980" s="64"/>
      <c r="O980" s="64"/>
      <c r="P980" s="64"/>
      <c r="Q980" s="64"/>
      <c r="R980" s="64"/>
      <c r="S980" s="64"/>
      <c r="T980" s="64"/>
      <c r="U980" s="64"/>
      <c r="V980" s="64"/>
      <c r="W980" s="64"/>
      <c r="X980" s="64"/>
      <c r="Y980" s="64"/>
      <c r="Z980" s="64"/>
      <c r="AA980" s="64"/>
      <c r="AB980" s="64"/>
      <c r="AC980" s="64"/>
      <c r="AD980" s="64"/>
      <c r="AE980" s="64"/>
      <c r="AF980" s="64"/>
      <c r="AG980" s="64"/>
    </row>
    <row r="981" spans="1:33">
      <c r="A981" s="25"/>
      <c r="B981" s="25"/>
      <c r="C981" s="25"/>
      <c r="D981" s="25"/>
      <c r="E981" s="62"/>
      <c r="F981" s="63"/>
      <c r="G981" s="25"/>
      <c r="H981" s="63"/>
      <c r="I981" s="63"/>
      <c r="J981" s="64"/>
      <c r="K981" s="64"/>
      <c r="L981" s="64"/>
      <c r="M981" s="64"/>
      <c r="N981" s="64"/>
      <c r="O981" s="64"/>
      <c r="P981" s="64"/>
      <c r="Q981" s="64"/>
      <c r="R981" s="64"/>
      <c r="S981" s="64"/>
      <c r="T981" s="64"/>
      <c r="U981" s="64"/>
      <c r="V981" s="64"/>
      <c r="W981" s="64"/>
      <c r="X981" s="64"/>
      <c r="Y981" s="64"/>
      <c r="Z981" s="64"/>
      <c r="AA981" s="64"/>
      <c r="AB981" s="64"/>
      <c r="AC981" s="64"/>
      <c r="AD981" s="64"/>
      <c r="AE981" s="64"/>
      <c r="AF981" s="64"/>
      <c r="AG981" s="64"/>
    </row>
    <row r="982" spans="1:33">
      <c r="A982" s="25"/>
      <c r="B982" s="25"/>
      <c r="C982" s="25"/>
      <c r="D982" s="25"/>
      <c r="E982" s="62"/>
      <c r="F982" s="63"/>
      <c r="G982" s="25"/>
      <c r="H982" s="63"/>
      <c r="I982" s="63"/>
      <c r="J982" s="64"/>
      <c r="K982" s="64"/>
      <c r="L982" s="64"/>
      <c r="M982" s="64"/>
      <c r="N982" s="64"/>
      <c r="O982" s="64"/>
      <c r="P982" s="64"/>
      <c r="Q982" s="64"/>
      <c r="R982" s="64"/>
      <c r="S982" s="64"/>
      <c r="T982" s="64"/>
      <c r="U982" s="64"/>
      <c r="V982" s="64"/>
      <c r="W982" s="64"/>
      <c r="X982" s="64"/>
      <c r="Y982" s="64"/>
      <c r="Z982" s="64"/>
      <c r="AA982" s="64"/>
      <c r="AB982" s="64"/>
      <c r="AC982" s="64"/>
      <c r="AD982" s="64"/>
      <c r="AE982" s="64"/>
      <c r="AF982" s="64"/>
      <c r="AG982" s="64"/>
    </row>
    <row r="983" spans="1:33">
      <c r="A983" s="25"/>
      <c r="B983" s="25"/>
      <c r="C983" s="25"/>
      <c r="D983" s="25"/>
      <c r="E983" s="62"/>
      <c r="F983" s="63"/>
      <c r="G983" s="25"/>
      <c r="H983" s="63"/>
      <c r="I983" s="63"/>
      <c r="J983" s="64"/>
      <c r="K983" s="64"/>
      <c r="L983" s="64"/>
      <c r="M983" s="64"/>
      <c r="N983" s="64"/>
      <c r="O983" s="64"/>
      <c r="P983" s="64"/>
      <c r="Q983" s="64"/>
      <c r="R983" s="64"/>
      <c r="S983" s="64"/>
      <c r="T983" s="64"/>
      <c r="U983" s="64"/>
      <c r="V983" s="64"/>
      <c r="W983" s="64"/>
      <c r="X983" s="64"/>
      <c r="Y983" s="64"/>
      <c r="Z983" s="64"/>
      <c r="AA983" s="64"/>
      <c r="AB983" s="64"/>
      <c r="AC983" s="64"/>
      <c r="AD983" s="64"/>
      <c r="AE983" s="64"/>
      <c r="AF983" s="64"/>
      <c r="AG983" s="64"/>
    </row>
    <row r="984" spans="1:33">
      <c r="A984" s="25"/>
      <c r="B984" s="25"/>
      <c r="C984" s="25"/>
      <c r="D984" s="25"/>
      <c r="E984" s="62"/>
      <c r="F984" s="63"/>
      <c r="G984" s="25"/>
      <c r="H984" s="63"/>
      <c r="I984" s="63"/>
      <c r="J984" s="64"/>
      <c r="K984" s="64"/>
      <c r="L984" s="64"/>
      <c r="M984" s="64"/>
      <c r="N984" s="64"/>
      <c r="O984" s="64"/>
      <c r="P984" s="64"/>
      <c r="Q984" s="64"/>
      <c r="R984" s="64"/>
      <c r="S984" s="64"/>
      <c r="T984" s="64"/>
      <c r="U984" s="64"/>
      <c r="V984" s="64"/>
      <c r="W984" s="64"/>
      <c r="X984" s="64"/>
      <c r="Y984" s="64"/>
      <c r="Z984" s="64"/>
      <c r="AA984" s="64"/>
      <c r="AB984" s="64"/>
      <c r="AC984" s="64"/>
      <c r="AD984" s="64"/>
      <c r="AE984" s="64"/>
      <c r="AF984" s="64"/>
      <c r="AG984" s="64"/>
    </row>
    <row r="985" spans="1:33">
      <c r="A985" s="25"/>
      <c r="B985" s="25"/>
      <c r="C985" s="25"/>
      <c r="D985" s="25"/>
      <c r="E985" s="62"/>
      <c r="F985" s="63"/>
      <c r="G985" s="25"/>
      <c r="H985" s="63"/>
      <c r="I985" s="63"/>
      <c r="J985" s="64"/>
      <c r="K985" s="64"/>
      <c r="L985" s="64"/>
      <c r="M985" s="64"/>
      <c r="N985" s="64"/>
      <c r="O985" s="64"/>
      <c r="P985" s="64"/>
      <c r="Q985" s="64"/>
      <c r="R985" s="64"/>
      <c r="S985" s="64"/>
      <c r="T985" s="64"/>
      <c r="U985" s="64"/>
      <c r="V985" s="64"/>
      <c r="W985" s="64"/>
      <c r="X985" s="64"/>
      <c r="Y985" s="64"/>
      <c r="Z985" s="64"/>
      <c r="AA985" s="64"/>
      <c r="AB985" s="64"/>
      <c r="AC985" s="64"/>
      <c r="AD985" s="64"/>
      <c r="AE985" s="64"/>
      <c r="AF985" s="64"/>
      <c r="AG985" s="64"/>
    </row>
    <row r="986" spans="1:33">
      <c r="A986" s="25"/>
      <c r="B986" s="25"/>
      <c r="C986" s="25"/>
      <c r="D986" s="25"/>
      <c r="E986" s="62"/>
      <c r="F986" s="63"/>
      <c r="G986" s="25"/>
      <c r="H986" s="63"/>
      <c r="I986" s="63"/>
      <c r="J986" s="64"/>
      <c r="K986" s="64"/>
      <c r="L986" s="64"/>
      <c r="M986" s="64"/>
      <c r="N986" s="64"/>
      <c r="O986" s="64"/>
      <c r="P986" s="64"/>
      <c r="Q986" s="64"/>
      <c r="R986" s="64"/>
      <c r="S986" s="64"/>
      <c r="T986" s="64"/>
      <c r="U986" s="64"/>
      <c r="V986" s="64"/>
      <c r="W986" s="64"/>
      <c r="X986" s="64"/>
      <c r="Y986" s="64"/>
      <c r="Z986" s="64"/>
      <c r="AA986" s="64"/>
      <c r="AB986" s="64"/>
      <c r="AC986" s="64"/>
      <c r="AD986" s="64"/>
      <c r="AE986" s="64"/>
      <c r="AF986" s="64"/>
      <c r="AG986" s="64"/>
    </row>
    <row r="987" spans="1:33">
      <c r="A987" s="25"/>
      <c r="B987" s="25"/>
      <c r="C987" s="25"/>
      <c r="D987" s="25"/>
      <c r="E987" s="62"/>
      <c r="F987" s="63"/>
      <c r="G987" s="25"/>
      <c r="H987" s="63"/>
      <c r="I987" s="63"/>
      <c r="J987" s="64"/>
      <c r="K987" s="64"/>
      <c r="L987" s="64"/>
      <c r="M987" s="64"/>
      <c r="N987" s="64"/>
      <c r="O987" s="64"/>
      <c r="P987" s="64"/>
      <c r="Q987" s="64"/>
      <c r="R987" s="64"/>
      <c r="S987" s="64"/>
      <c r="T987" s="64"/>
      <c r="U987" s="64"/>
      <c r="V987" s="64"/>
      <c r="W987" s="64"/>
      <c r="X987" s="64"/>
      <c r="Y987" s="64"/>
      <c r="Z987" s="64"/>
      <c r="AA987" s="64"/>
      <c r="AB987" s="64"/>
      <c r="AC987" s="64"/>
      <c r="AD987" s="64"/>
      <c r="AE987" s="64"/>
      <c r="AF987" s="64"/>
      <c r="AG987" s="64"/>
    </row>
    <row r="988" spans="1:33">
      <c r="A988" s="25"/>
      <c r="B988" s="25"/>
      <c r="C988" s="25"/>
      <c r="D988" s="25"/>
      <c r="E988" s="62"/>
      <c r="F988" s="63"/>
      <c r="G988" s="25"/>
      <c r="H988" s="63"/>
      <c r="I988" s="63"/>
      <c r="J988" s="64"/>
      <c r="K988" s="64"/>
      <c r="L988" s="64"/>
      <c r="M988" s="64"/>
      <c r="N988" s="64"/>
      <c r="O988" s="64"/>
      <c r="P988" s="64"/>
      <c r="Q988" s="64"/>
      <c r="R988" s="64"/>
      <c r="S988" s="64"/>
      <c r="T988" s="64"/>
      <c r="U988" s="64"/>
      <c r="V988" s="64"/>
      <c r="W988" s="64"/>
      <c r="X988" s="64"/>
      <c r="Y988" s="64"/>
      <c r="Z988" s="64"/>
      <c r="AA988" s="64"/>
      <c r="AB988" s="64"/>
      <c r="AC988" s="64"/>
      <c r="AD988" s="64"/>
      <c r="AE988" s="64"/>
      <c r="AF988" s="64"/>
      <c r="AG988" s="64"/>
    </row>
    <row r="989" spans="1:33">
      <c r="A989" s="25"/>
      <c r="B989" s="25"/>
      <c r="C989" s="25"/>
      <c r="D989" s="25"/>
      <c r="E989" s="62"/>
      <c r="F989" s="63"/>
      <c r="G989" s="25"/>
      <c r="H989" s="63"/>
      <c r="I989" s="63"/>
      <c r="J989" s="64"/>
      <c r="K989" s="64"/>
      <c r="L989" s="64"/>
      <c r="M989" s="64"/>
      <c r="N989" s="64"/>
      <c r="O989" s="64"/>
      <c r="P989" s="64"/>
      <c r="Q989" s="64"/>
      <c r="R989" s="64"/>
      <c r="S989" s="64"/>
      <c r="T989" s="64"/>
      <c r="U989" s="64"/>
      <c r="V989" s="64"/>
      <c r="W989" s="64"/>
      <c r="X989" s="64"/>
      <c r="Y989" s="64"/>
      <c r="Z989" s="64"/>
      <c r="AA989" s="64"/>
      <c r="AB989" s="64"/>
      <c r="AC989" s="64"/>
      <c r="AD989" s="64"/>
      <c r="AE989" s="64"/>
      <c r="AF989" s="64"/>
      <c r="AG989" s="64"/>
    </row>
    <row r="990" spans="1:33">
      <c r="A990" s="25"/>
      <c r="B990" s="25"/>
      <c r="C990" s="25"/>
      <c r="D990" s="25"/>
      <c r="E990" s="62"/>
      <c r="F990" s="63"/>
      <c r="G990" s="25"/>
      <c r="H990" s="63"/>
      <c r="I990" s="63"/>
      <c r="J990" s="64"/>
      <c r="K990" s="64"/>
      <c r="L990" s="64"/>
      <c r="M990" s="64"/>
      <c r="N990" s="64"/>
      <c r="O990" s="64"/>
      <c r="P990" s="64"/>
      <c r="Q990" s="64"/>
      <c r="R990" s="64"/>
      <c r="S990" s="64"/>
      <c r="T990" s="64"/>
      <c r="U990" s="64"/>
      <c r="V990" s="64"/>
      <c r="W990" s="64"/>
      <c r="X990" s="64"/>
      <c r="Y990" s="64"/>
      <c r="Z990" s="64"/>
      <c r="AA990" s="64"/>
      <c r="AB990" s="64"/>
      <c r="AC990" s="64"/>
      <c r="AD990" s="64"/>
      <c r="AE990" s="64"/>
      <c r="AF990" s="64"/>
      <c r="AG990" s="64"/>
    </row>
    <row r="991" spans="1:33">
      <c r="A991" s="25"/>
      <c r="B991" s="25"/>
      <c r="C991" s="25"/>
      <c r="D991" s="25"/>
      <c r="E991" s="62"/>
      <c r="F991" s="63"/>
      <c r="G991" s="25"/>
      <c r="H991" s="63"/>
      <c r="I991" s="63"/>
      <c r="J991" s="64"/>
      <c r="K991" s="64"/>
      <c r="L991" s="64"/>
      <c r="M991" s="64"/>
      <c r="N991" s="64"/>
      <c r="O991" s="64"/>
      <c r="P991" s="64"/>
      <c r="Q991" s="64"/>
      <c r="R991" s="64"/>
      <c r="S991" s="64"/>
      <c r="T991" s="64"/>
      <c r="U991" s="64"/>
      <c r="V991" s="64"/>
      <c r="W991" s="64"/>
      <c r="X991" s="64"/>
      <c r="Y991" s="64"/>
      <c r="Z991" s="64"/>
      <c r="AA991" s="64"/>
      <c r="AB991" s="64"/>
      <c r="AC991" s="64"/>
      <c r="AD991" s="64"/>
      <c r="AE991" s="64"/>
      <c r="AF991" s="64"/>
      <c r="AG991" s="64"/>
    </row>
    <row r="992" spans="1:33">
      <c r="A992" s="25"/>
      <c r="B992" s="25"/>
      <c r="C992" s="25"/>
      <c r="D992" s="25"/>
      <c r="E992" s="62"/>
      <c r="F992" s="63"/>
      <c r="G992" s="25"/>
      <c r="H992" s="63"/>
      <c r="I992" s="63"/>
      <c r="J992" s="64"/>
      <c r="K992" s="64"/>
      <c r="L992" s="64"/>
      <c r="M992" s="64"/>
      <c r="N992" s="64"/>
      <c r="O992" s="64"/>
      <c r="P992" s="64"/>
      <c r="Q992" s="64"/>
      <c r="R992" s="64"/>
      <c r="S992" s="64"/>
      <c r="T992" s="64"/>
      <c r="U992" s="64"/>
      <c r="V992" s="64"/>
      <c r="W992" s="64"/>
      <c r="X992" s="64"/>
      <c r="Y992" s="64"/>
      <c r="Z992" s="64"/>
      <c r="AA992" s="64"/>
      <c r="AB992" s="64"/>
      <c r="AC992" s="64"/>
      <c r="AD992" s="64"/>
      <c r="AE992" s="64"/>
      <c r="AF992" s="64"/>
      <c r="AG992" s="64"/>
    </row>
    <row r="993" spans="1:33">
      <c r="A993" s="25"/>
      <c r="B993" s="25"/>
      <c r="C993" s="25"/>
      <c r="D993" s="25"/>
      <c r="E993" s="62"/>
      <c r="F993" s="63"/>
      <c r="G993" s="25"/>
      <c r="H993" s="63"/>
      <c r="I993" s="63"/>
      <c r="J993" s="64"/>
      <c r="K993" s="64"/>
      <c r="L993" s="64"/>
      <c r="M993" s="64"/>
      <c r="N993" s="64"/>
      <c r="O993" s="64"/>
      <c r="P993" s="64"/>
      <c r="Q993" s="64"/>
      <c r="R993" s="64"/>
      <c r="S993" s="64"/>
      <c r="T993" s="64"/>
      <c r="U993" s="64"/>
      <c r="V993" s="64"/>
      <c r="W993" s="64"/>
      <c r="X993" s="64"/>
      <c r="Y993" s="64"/>
      <c r="Z993" s="64"/>
      <c r="AA993" s="64"/>
      <c r="AB993" s="64"/>
      <c r="AC993" s="64"/>
      <c r="AD993" s="64"/>
      <c r="AE993" s="64"/>
      <c r="AF993" s="64"/>
      <c r="AG993" s="64"/>
    </row>
    <row r="994" spans="1:33">
      <c r="A994" s="25"/>
      <c r="B994" s="25"/>
      <c r="C994" s="25"/>
      <c r="D994" s="25"/>
      <c r="E994" s="62"/>
      <c r="F994" s="63"/>
      <c r="G994" s="25"/>
      <c r="H994" s="63"/>
      <c r="I994" s="63"/>
      <c r="J994" s="64"/>
      <c r="K994" s="64"/>
      <c r="L994" s="64"/>
      <c r="M994" s="64"/>
      <c r="N994" s="64"/>
      <c r="O994" s="64"/>
      <c r="P994" s="64"/>
      <c r="Q994" s="64"/>
      <c r="R994" s="64"/>
      <c r="S994" s="64"/>
      <c r="T994" s="64"/>
      <c r="U994" s="64"/>
      <c r="V994" s="64"/>
      <c r="W994" s="64"/>
      <c r="X994" s="64"/>
      <c r="Y994" s="64"/>
      <c r="Z994" s="64"/>
      <c r="AA994" s="64"/>
      <c r="AB994" s="64"/>
      <c r="AC994" s="64"/>
      <c r="AD994" s="64"/>
      <c r="AE994" s="64"/>
      <c r="AF994" s="64"/>
      <c r="AG994" s="64"/>
    </row>
    <row r="995" spans="1:33">
      <c r="A995" s="25"/>
      <c r="B995" s="25"/>
      <c r="C995" s="25"/>
      <c r="D995" s="25"/>
      <c r="E995" s="62"/>
      <c r="F995" s="63"/>
      <c r="G995" s="25"/>
      <c r="H995" s="63"/>
      <c r="I995" s="63"/>
      <c r="J995" s="64"/>
      <c r="K995" s="64"/>
      <c r="L995" s="64"/>
      <c r="M995" s="64"/>
      <c r="N995" s="64"/>
      <c r="O995" s="64"/>
      <c r="P995" s="64"/>
      <c r="Q995" s="64"/>
      <c r="R995" s="64"/>
      <c r="S995" s="64"/>
      <c r="T995" s="64"/>
      <c r="U995" s="64"/>
      <c r="V995" s="64"/>
      <c r="W995" s="64"/>
      <c r="X995" s="64"/>
      <c r="Y995" s="64"/>
      <c r="Z995" s="64"/>
      <c r="AA995" s="64"/>
      <c r="AB995" s="64"/>
      <c r="AC995" s="64"/>
      <c r="AD995" s="64"/>
      <c r="AE995" s="64"/>
      <c r="AF995" s="64"/>
      <c r="AG995" s="64"/>
    </row>
    <row r="996" spans="1:33">
      <c r="A996" s="25"/>
      <c r="B996" s="25"/>
      <c r="C996" s="25"/>
      <c r="D996" s="25"/>
      <c r="E996" s="62"/>
      <c r="F996" s="63"/>
      <c r="G996" s="25"/>
      <c r="H996" s="63"/>
      <c r="I996" s="63"/>
      <c r="J996" s="64"/>
      <c r="K996" s="64"/>
      <c r="L996" s="64"/>
      <c r="M996" s="64"/>
      <c r="N996" s="64"/>
      <c r="O996" s="64"/>
      <c r="P996" s="64"/>
      <c r="Q996" s="64"/>
      <c r="R996" s="64"/>
      <c r="S996" s="64"/>
      <c r="T996" s="64"/>
      <c r="U996" s="64"/>
      <c r="V996" s="64"/>
      <c r="W996" s="64"/>
      <c r="X996" s="64"/>
      <c r="Y996" s="64"/>
      <c r="Z996" s="64"/>
      <c r="AA996" s="64"/>
      <c r="AB996" s="64"/>
      <c r="AC996" s="64"/>
      <c r="AD996" s="64"/>
      <c r="AE996" s="64"/>
      <c r="AF996" s="64"/>
      <c r="AG996" s="64"/>
    </row>
    <row r="997" spans="1:33">
      <c r="A997" s="25"/>
      <c r="B997" s="25"/>
      <c r="C997" s="25"/>
      <c r="D997" s="25"/>
      <c r="E997" s="62"/>
      <c r="F997" s="63"/>
      <c r="G997" s="25"/>
      <c r="H997" s="63"/>
      <c r="I997" s="63"/>
      <c r="J997" s="64"/>
      <c r="K997" s="64"/>
      <c r="L997" s="64"/>
      <c r="M997" s="64"/>
      <c r="N997" s="64"/>
      <c r="O997" s="64"/>
      <c r="P997" s="64"/>
      <c r="Q997" s="64"/>
      <c r="R997" s="64"/>
      <c r="S997" s="64"/>
      <c r="T997" s="64"/>
      <c r="U997" s="64"/>
      <c r="V997" s="64"/>
      <c r="W997" s="64"/>
      <c r="X997" s="64"/>
      <c r="Y997" s="64"/>
      <c r="Z997" s="64"/>
      <c r="AA997" s="64"/>
      <c r="AB997" s="64"/>
      <c r="AC997" s="64"/>
      <c r="AD997" s="64"/>
      <c r="AE997" s="64"/>
      <c r="AF997" s="64"/>
      <c r="AG997" s="64"/>
    </row>
    <row r="998" spans="1:33">
      <c r="A998" s="25"/>
      <c r="B998" s="25"/>
      <c r="C998" s="25"/>
      <c r="D998" s="25"/>
      <c r="E998" s="62"/>
      <c r="F998" s="63"/>
      <c r="G998" s="25"/>
      <c r="H998" s="63"/>
      <c r="I998" s="63"/>
      <c r="J998" s="64"/>
      <c r="K998" s="64"/>
      <c r="L998" s="64"/>
      <c r="M998" s="64"/>
      <c r="N998" s="64"/>
      <c r="O998" s="64"/>
      <c r="P998" s="64"/>
      <c r="Q998" s="64"/>
      <c r="R998" s="64"/>
      <c r="S998" s="64"/>
      <c r="T998" s="64"/>
      <c r="U998" s="64"/>
      <c r="V998" s="64"/>
      <c r="W998" s="64"/>
      <c r="X998" s="64"/>
      <c r="Y998" s="64"/>
      <c r="Z998" s="64"/>
      <c r="AA998" s="64"/>
      <c r="AB998" s="64"/>
      <c r="AC998" s="64"/>
      <c r="AD998" s="64"/>
      <c r="AE998" s="64"/>
      <c r="AF998" s="64"/>
      <c r="AG998" s="64"/>
    </row>
    <row r="999" spans="1:33">
      <c r="A999" s="25"/>
      <c r="B999" s="25"/>
      <c r="C999" s="25"/>
      <c r="D999" s="25"/>
      <c r="E999" s="62"/>
      <c r="F999" s="63"/>
      <c r="G999" s="25"/>
      <c r="H999" s="63"/>
      <c r="I999" s="63"/>
      <c r="J999" s="64"/>
      <c r="K999" s="64"/>
      <c r="L999" s="64"/>
      <c r="M999" s="64"/>
      <c r="N999" s="64"/>
      <c r="O999" s="64"/>
      <c r="P999" s="64"/>
      <c r="Q999" s="64"/>
      <c r="R999" s="64"/>
      <c r="S999" s="64"/>
      <c r="T999" s="64"/>
      <c r="U999" s="64"/>
      <c r="V999" s="64"/>
      <c r="W999" s="64"/>
      <c r="X999" s="64"/>
      <c r="Y999" s="64"/>
      <c r="Z999" s="64"/>
      <c r="AA999" s="64"/>
      <c r="AB999" s="64"/>
      <c r="AC999" s="64"/>
      <c r="AD999" s="64"/>
      <c r="AE999" s="64"/>
      <c r="AF999" s="64"/>
      <c r="AG999" s="64"/>
    </row>
    <row r="1000" spans="1:33">
      <c r="A1000" s="25"/>
      <c r="B1000" s="25"/>
      <c r="C1000" s="25"/>
      <c r="D1000" s="25"/>
      <c r="E1000" s="62"/>
      <c r="F1000" s="63"/>
      <c r="G1000" s="25"/>
      <c r="H1000" s="63"/>
      <c r="I1000" s="63"/>
      <c r="J1000" s="64"/>
      <c r="K1000" s="64"/>
      <c r="L1000" s="64"/>
      <c r="M1000" s="64"/>
      <c r="N1000" s="64"/>
      <c r="O1000" s="64"/>
      <c r="P1000" s="64"/>
      <c r="Q1000" s="64"/>
      <c r="R1000" s="64"/>
      <c r="S1000" s="64"/>
      <c r="T1000" s="64"/>
      <c r="U1000" s="64"/>
      <c r="V1000" s="64"/>
      <c r="W1000" s="64"/>
      <c r="X1000" s="64"/>
      <c r="Y1000" s="64"/>
      <c r="Z1000" s="64"/>
      <c r="AA1000" s="64"/>
      <c r="AB1000" s="64"/>
      <c r="AC1000" s="64"/>
      <c r="AD1000" s="64"/>
      <c r="AE1000" s="64"/>
      <c r="AF1000" s="64"/>
      <c r="AG1000" s="64"/>
    </row>
    <row r="1001" spans="1:33">
      <c r="A1001" s="25"/>
      <c r="B1001" s="25"/>
      <c r="C1001" s="25"/>
      <c r="D1001" s="25"/>
      <c r="E1001" s="62"/>
      <c r="F1001" s="63"/>
      <c r="G1001" s="25"/>
      <c r="H1001" s="63"/>
      <c r="I1001" s="63"/>
      <c r="J1001" s="64"/>
      <c r="K1001" s="64"/>
      <c r="L1001" s="64"/>
      <c r="M1001" s="64"/>
      <c r="N1001" s="64"/>
      <c r="O1001" s="64"/>
      <c r="P1001" s="64"/>
      <c r="Q1001" s="64"/>
      <c r="R1001" s="64"/>
      <c r="S1001" s="64"/>
      <c r="T1001" s="64"/>
      <c r="U1001" s="64"/>
      <c r="V1001" s="64"/>
      <c r="W1001" s="64"/>
      <c r="X1001" s="64"/>
      <c r="Y1001" s="64"/>
      <c r="Z1001" s="64"/>
      <c r="AA1001" s="64"/>
      <c r="AB1001" s="64"/>
      <c r="AC1001" s="64"/>
      <c r="AD1001" s="64"/>
      <c r="AE1001" s="64"/>
      <c r="AF1001" s="64"/>
      <c r="AG1001" s="64"/>
    </row>
    <row r="1002" spans="1:33">
      <c r="A1002" s="25"/>
      <c r="B1002" s="25"/>
      <c r="C1002" s="25"/>
      <c r="D1002" s="25"/>
      <c r="E1002" s="62"/>
      <c r="F1002" s="63"/>
      <c r="G1002" s="25"/>
      <c r="H1002" s="63"/>
      <c r="I1002" s="63"/>
      <c r="J1002" s="64"/>
      <c r="K1002" s="64"/>
      <c r="L1002" s="64"/>
      <c r="M1002" s="64"/>
      <c r="N1002" s="64"/>
      <c r="O1002" s="64"/>
      <c r="P1002" s="64"/>
      <c r="Q1002" s="64"/>
      <c r="R1002" s="64"/>
      <c r="S1002" s="64"/>
      <c r="T1002" s="64"/>
      <c r="U1002" s="64"/>
      <c r="V1002" s="64"/>
      <c r="W1002" s="64"/>
      <c r="X1002" s="64"/>
      <c r="Y1002" s="64"/>
      <c r="Z1002" s="64"/>
      <c r="AA1002" s="64"/>
      <c r="AB1002" s="64"/>
      <c r="AC1002" s="64"/>
      <c r="AD1002" s="64"/>
      <c r="AE1002" s="64"/>
      <c r="AF1002" s="64"/>
      <c r="AG1002" s="64"/>
    </row>
    <row r="1003" spans="1:33">
      <c r="A1003" s="25"/>
      <c r="B1003" s="25"/>
      <c r="C1003" s="25"/>
      <c r="D1003" s="25"/>
      <c r="E1003" s="62"/>
      <c r="F1003" s="63"/>
      <c r="G1003" s="25"/>
      <c r="H1003" s="63"/>
      <c r="I1003" s="63"/>
      <c r="J1003" s="64"/>
      <c r="K1003" s="64"/>
      <c r="L1003" s="64"/>
      <c r="M1003" s="64"/>
      <c r="N1003" s="64"/>
      <c r="O1003" s="64"/>
      <c r="P1003" s="64"/>
      <c r="Q1003" s="64"/>
      <c r="R1003" s="64"/>
      <c r="S1003" s="64"/>
      <c r="T1003" s="64"/>
      <c r="U1003" s="64"/>
      <c r="V1003" s="64"/>
      <c r="W1003" s="64"/>
      <c r="X1003" s="64"/>
      <c r="Y1003" s="64"/>
      <c r="Z1003" s="64"/>
      <c r="AA1003" s="64"/>
      <c r="AB1003" s="64"/>
      <c r="AC1003" s="64"/>
      <c r="AD1003" s="64"/>
      <c r="AE1003" s="64"/>
      <c r="AF1003" s="64"/>
      <c r="AG1003" s="64"/>
    </row>
    <row r="1004" spans="1:33">
      <c r="A1004" s="25"/>
      <c r="B1004" s="25"/>
      <c r="C1004" s="25"/>
      <c r="D1004" s="25"/>
      <c r="E1004" s="62"/>
      <c r="F1004" s="63"/>
      <c r="G1004" s="25"/>
      <c r="H1004" s="63"/>
      <c r="I1004" s="63"/>
      <c r="J1004" s="64"/>
      <c r="K1004" s="64"/>
      <c r="L1004" s="64"/>
      <c r="M1004" s="64"/>
      <c r="N1004" s="64"/>
      <c r="O1004" s="64"/>
      <c r="P1004" s="64"/>
      <c r="Q1004" s="64"/>
      <c r="R1004" s="64"/>
      <c r="S1004" s="64"/>
      <c r="T1004" s="64"/>
      <c r="U1004" s="64"/>
      <c r="V1004" s="64"/>
      <c r="W1004" s="64"/>
      <c r="X1004" s="64"/>
      <c r="Y1004" s="64"/>
      <c r="Z1004" s="64"/>
      <c r="AA1004" s="64"/>
      <c r="AB1004" s="64"/>
      <c r="AC1004" s="64"/>
      <c r="AD1004" s="64"/>
      <c r="AE1004" s="64"/>
      <c r="AF1004" s="64"/>
      <c r="AG1004" s="64"/>
    </row>
    <row r="1005" spans="1:33">
      <c r="A1005" s="25"/>
      <c r="B1005" s="25"/>
      <c r="C1005" s="25"/>
      <c r="D1005" s="25"/>
      <c r="E1005" s="62"/>
      <c r="F1005" s="63"/>
      <c r="G1005" s="25"/>
      <c r="H1005" s="63"/>
      <c r="I1005" s="63"/>
      <c r="J1005" s="64"/>
      <c r="K1005" s="64"/>
      <c r="L1005" s="64"/>
      <c r="M1005" s="64"/>
      <c r="N1005" s="64"/>
      <c r="O1005" s="64"/>
      <c r="P1005" s="64"/>
      <c r="Q1005" s="64"/>
      <c r="R1005" s="64"/>
      <c r="S1005" s="64"/>
      <c r="T1005" s="64"/>
      <c r="U1005" s="64"/>
      <c r="V1005" s="64"/>
      <c r="W1005" s="64"/>
      <c r="X1005" s="64"/>
      <c r="Y1005" s="64"/>
      <c r="Z1005" s="64"/>
      <c r="AA1005" s="64"/>
      <c r="AB1005" s="64"/>
      <c r="AC1005" s="64"/>
      <c r="AD1005" s="64"/>
      <c r="AE1005" s="64"/>
      <c r="AF1005" s="64"/>
      <c r="AG1005" s="64"/>
    </row>
    <row r="1006" spans="1:33">
      <c r="A1006" s="25"/>
      <c r="B1006" s="25"/>
      <c r="C1006" s="25"/>
      <c r="D1006" s="25"/>
      <c r="E1006" s="62"/>
      <c r="F1006" s="63"/>
      <c r="G1006" s="25"/>
      <c r="H1006" s="63"/>
      <c r="I1006" s="63"/>
      <c r="J1006" s="64"/>
      <c r="K1006" s="64"/>
      <c r="L1006" s="64"/>
      <c r="M1006" s="64"/>
      <c r="N1006" s="64"/>
      <c r="O1006" s="64"/>
      <c r="P1006" s="64"/>
      <c r="Q1006" s="64"/>
      <c r="R1006" s="64"/>
      <c r="S1006" s="64"/>
      <c r="T1006" s="64"/>
      <c r="U1006" s="64"/>
      <c r="V1006" s="64"/>
      <c r="W1006" s="64"/>
      <c r="X1006" s="64"/>
      <c r="Y1006" s="64"/>
      <c r="Z1006" s="64"/>
      <c r="AA1006" s="64"/>
      <c r="AB1006" s="64"/>
      <c r="AC1006" s="64"/>
      <c r="AD1006" s="64"/>
      <c r="AE1006" s="64"/>
      <c r="AF1006" s="64"/>
      <c r="AG1006" s="64"/>
    </row>
    <row r="1007" spans="1:33">
      <c r="A1007" s="25"/>
      <c r="B1007" s="25"/>
      <c r="C1007" s="25"/>
      <c r="D1007" s="25"/>
      <c r="E1007" s="62"/>
      <c r="F1007" s="63"/>
      <c r="G1007" s="25"/>
      <c r="H1007" s="63"/>
      <c r="I1007" s="63"/>
      <c r="J1007" s="64"/>
      <c r="K1007" s="64"/>
      <c r="L1007" s="64"/>
      <c r="M1007" s="64"/>
      <c r="N1007" s="64"/>
      <c r="O1007" s="64"/>
      <c r="P1007" s="64"/>
      <c r="Q1007" s="64"/>
      <c r="R1007" s="64"/>
      <c r="S1007" s="64"/>
      <c r="T1007" s="64"/>
      <c r="U1007" s="64"/>
      <c r="V1007" s="64"/>
      <c r="W1007" s="64"/>
      <c r="X1007" s="64"/>
      <c r="Y1007" s="64"/>
      <c r="Z1007" s="64"/>
      <c r="AA1007" s="64"/>
      <c r="AB1007" s="64"/>
      <c r="AC1007" s="64"/>
      <c r="AD1007" s="64"/>
      <c r="AE1007" s="64"/>
      <c r="AF1007" s="64"/>
      <c r="AG1007" s="64"/>
    </row>
    <row r="1008" spans="1:33">
      <c r="A1008" s="25"/>
      <c r="B1008" s="25"/>
      <c r="C1008" s="25"/>
      <c r="D1008" s="25"/>
      <c r="E1008" s="62"/>
      <c r="F1008" s="63"/>
      <c r="G1008" s="25"/>
      <c r="H1008" s="63"/>
      <c r="I1008" s="63"/>
      <c r="J1008" s="64"/>
      <c r="K1008" s="64"/>
      <c r="L1008" s="64"/>
      <c r="M1008" s="64"/>
      <c r="N1008" s="64"/>
      <c r="O1008" s="64"/>
      <c r="P1008" s="64"/>
      <c r="Q1008" s="64"/>
      <c r="R1008" s="64"/>
      <c r="S1008" s="64"/>
      <c r="T1008" s="64"/>
      <c r="U1008" s="64"/>
      <c r="V1008" s="64"/>
      <c r="W1008" s="64"/>
      <c r="X1008" s="64"/>
      <c r="Y1008" s="64"/>
      <c r="Z1008" s="64"/>
      <c r="AA1008" s="64"/>
      <c r="AB1008" s="64"/>
      <c r="AC1008" s="64"/>
      <c r="AD1008" s="64"/>
      <c r="AE1008" s="64"/>
      <c r="AF1008" s="64"/>
      <c r="AG1008" s="64"/>
    </row>
    <row r="1009" spans="1:33">
      <c r="A1009" s="25"/>
      <c r="B1009" s="25"/>
      <c r="C1009" s="25"/>
      <c r="D1009" s="25"/>
      <c r="E1009" s="62"/>
      <c r="F1009" s="63"/>
      <c r="G1009" s="25"/>
      <c r="H1009" s="63"/>
      <c r="I1009" s="63"/>
      <c r="J1009" s="64"/>
      <c r="K1009" s="64"/>
      <c r="L1009" s="64"/>
      <c r="M1009" s="64"/>
      <c r="N1009" s="64"/>
      <c r="O1009" s="64"/>
      <c r="P1009" s="64"/>
      <c r="Q1009" s="64"/>
      <c r="R1009" s="64"/>
      <c r="S1009" s="64"/>
      <c r="T1009" s="64"/>
      <c r="U1009" s="64"/>
      <c r="V1009" s="64"/>
      <c r="W1009" s="64"/>
      <c r="X1009" s="64"/>
      <c r="Y1009" s="64"/>
      <c r="Z1009" s="64"/>
      <c r="AA1009" s="64"/>
      <c r="AB1009" s="64"/>
      <c r="AC1009" s="64"/>
      <c r="AD1009" s="64"/>
      <c r="AE1009" s="64"/>
      <c r="AF1009" s="64"/>
      <c r="AG1009" s="64"/>
    </row>
    <row r="1010" spans="1:33">
      <c r="A1010" s="25"/>
      <c r="B1010" s="25"/>
      <c r="C1010" s="25"/>
      <c r="D1010" s="25"/>
      <c r="E1010" s="62"/>
      <c r="F1010" s="63"/>
      <c r="G1010" s="25"/>
      <c r="H1010" s="63"/>
      <c r="I1010" s="63"/>
      <c r="J1010" s="64"/>
      <c r="K1010" s="64"/>
      <c r="L1010" s="64"/>
      <c r="M1010" s="64"/>
      <c r="N1010" s="64"/>
      <c r="O1010" s="64"/>
      <c r="P1010" s="64"/>
      <c r="Q1010" s="64"/>
      <c r="R1010" s="64"/>
      <c r="S1010" s="64"/>
      <c r="T1010" s="64"/>
      <c r="U1010" s="64"/>
      <c r="V1010" s="64"/>
      <c r="W1010" s="64"/>
      <c r="X1010" s="64"/>
      <c r="Y1010" s="64"/>
      <c r="Z1010" s="64"/>
      <c r="AA1010" s="64"/>
      <c r="AB1010" s="64"/>
      <c r="AC1010" s="64"/>
      <c r="AD1010" s="64"/>
      <c r="AE1010" s="64"/>
      <c r="AF1010" s="64"/>
      <c r="AG1010" s="64"/>
    </row>
    <row r="1011" spans="1:33">
      <c r="A1011" s="25"/>
      <c r="B1011" s="25"/>
      <c r="C1011" s="25"/>
      <c r="D1011" s="25"/>
      <c r="E1011" s="62"/>
      <c r="F1011" s="63"/>
      <c r="G1011" s="25"/>
      <c r="H1011" s="63"/>
      <c r="I1011" s="63"/>
      <c r="J1011" s="64"/>
      <c r="K1011" s="64"/>
      <c r="L1011" s="64"/>
      <c r="M1011" s="64"/>
      <c r="N1011" s="64"/>
      <c r="O1011" s="64"/>
      <c r="P1011" s="64"/>
      <c r="Q1011" s="64"/>
      <c r="R1011" s="64"/>
      <c r="S1011" s="64"/>
      <c r="T1011" s="64"/>
      <c r="U1011" s="64"/>
      <c r="V1011" s="64"/>
      <c r="W1011" s="64"/>
      <c r="X1011" s="64"/>
      <c r="Y1011" s="64"/>
      <c r="Z1011" s="64"/>
      <c r="AA1011" s="64"/>
      <c r="AB1011" s="64"/>
      <c r="AC1011" s="64"/>
      <c r="AD1011" s="64"/>
      <c r="AE1011" s="64"/>
      <c r="AF1011" s="64"/>
      <c r="AG1011" s="64"/>
    </row>
    <row r="1012" spans="1:33">
      <c r="A1012" s="25"/>
      <c r="B1012" s="25"/>
      <c r="C1012" s="25"/>
      <c r="D1012" s="25"/>
      <c r="E1012" s="62"/>
      <c r="F1012" s="63"/>
      <c r="G1012" s="25"/>
      <c r="H1012" s="63"/>
      <c r="I1012" s="63"/>
      <c r="J1012" s="64"/>
      <c r="K1012" s="64"/>
      <c r="L1012" s="64"/>
      <c r="M1012" s="64"/>
      <c r="N1012" s="64"/>
      <c r="O1012" s="64"/>
      <c r="P1012" s="64"/>
      <c r="Q1012" s="64"/>
      <c r="R1012" s="64"/>
      <c r="S1012" s="64"/>
      <c r="T1012" s="64"/>
      <c r="U1012" s="64"/>
      <c r="V1012" s="64"/>
      <c r="W1012" s="64"/>
      <c r="X1012" s="64"/>
      <c r="Y1012" s="64"/>
      <c r="Z1012" s="64"/>
      <c r="AA1012" s="64"/>
      <c r="AB1012" s="64"/>
      <c r="AC1012" s="64"/>
      <c r="AD1012" s="64"/>
      <c r="AE1012" s="64"/>
      <c r="AF1012" s="64"/>
      <c r="AG1012" s="64"/>
    </row>
    <row r="1013" spans="1:33">
      <c r="A1013" s="25"/>
      <c r="B1013" s="25"/>
      <c r="C1013" s="25"/>
      <c r="D1013" s="25"/>
      <c r="E1013" s="62"/>
      <c r="F1013" s="63"/>
      <c r="G1013" s="25"/>
      <c r="H1013" s="63"/>
      <c r="I1013" s="63"/>
      <c r="J1013" s="64"/>
      <c r="K1013" s="64"/>
      <c r="L1013" s="64"/>
      <c r="M1013" s="64"/>
      <c r="N1013" s="64"/>
      <c r="O1013" s="64"/>
      <c r="P1013" s="64"/>
      <c r="Q1013" s="64"/>
      <c r="R1013" s="64"/>
      <c r="S1013" s="64"/>
      <c r="T1013" s="64"/>
      <c r="U1013" s="64"/>
      <c r="V1013" s="64"/>
      <c r="W1013" s="64"/>
      <c r="X1013" s="64"/>
      <c r="Y1013" s="64"/>
      <c r="Z1013" s="64"/>
      <c r="AA1013" s="64"/>
      <c r="AB1013" s="64"/>
      <c r="AC1013" s="64"/>
      <c r="AD1013" s="64"/>
      <c r="AE1013" s="64"/>
      <c r="AF1013" s="64"/>
      <c r="AG1013" s="64"/>
    </row>
    <row r="1014" spans="1:33">
      <c r="A1014" s="25"/>
      <c r="B1014" s="25"/>
      <c r="C1014" s="25"/>
      <c r="D1014" s="25"/>
      <c r="E1014" s="62"/>
      <c r="F1014" s="63"/>
      <c r="G1014" s="25"/>
      <c r="H1014" s="63"/>
      <c r="I1014" s="63"/>
      <c r="J1014" s="64"/>
      <c r="K1014" s="64"/>
      <c r="L1014" s="64"/>
      <c r="M1014" s="64"/>
      <c r="N1014" s="64"/>
      <c r="O1014" s="64"/>
      <c r="P1014" s="64"/>
      <c r="Q1014" s="64"/>
      <c r="R1014" s="64"/>
      <c r="S1014" s="64"/>
      <c r="T1014" s="64"/>
      <c r="U1014" s="64"/>
      <c r="V1014" s="64"/>
      <c r="W1014" s="64"/>
      <c r="X1014" s="64"/>
      <c r="Y1014" s="64"/>
      <c r="Z1014" s="64"/>
      <c r="AA1014" s="64"/>
      <c r="AB1014" s="64"/>
      <c r="AC1014" s="64"/>
      <c r="AD1014" s="64"/>
      <c r="AE1014" s="64"/>
      <c r="AF1014" s="64"/>
      <c r="AG1014" s="64"/>
    </row>
    <row r="1015" spans="1:33">
      <c r="A1015" s="25"/>
      <c r="B1015" s="25"/>
      <c r="C1015" s="25"/>
      <c r="D1015" s="25"/>
      <c r="E1015" s="62"/>
      <c r="F1015" s="63"/>
      <c r="G1015" s="25"/>
      <c r="H1015" s="63"/>
      <c r="I1015" s="63"/>
      <c r="J1015" s="64"/>
      <c r="K1015" s="64"/>
      <c r="L1015" s="64"/>
      <c r="M1015" s="64"/>
      <c r="N1015" s="64"/>
      <c r="O1015" s="64"/>
      <c r="P1015" s="64"/>
      <c r="Q1015" s="64"/>
      <c r="R1015" s="64"/>
      <c r="S1015" s="64"/>
      <c r="T1015" s="64"/>
      <c r="U1015" s="64"/>
      <c r="V1015" s="64"/>
      <c r="W1015" s="64"/>
      <c r="X1015" s="64"/>
      <c r="Y1015" s="64"/>
      <c r="Z1015" s="64"/>
      <c r="AA1015" s="64"/>
      <c r="AB1015" s="64"/>
      <c r="AC1015" s="64"/>
      <c r="AD1015" s="64"/>
      <c r="AE1015" s="64"/>
      <c r="AF1015" s="64"/>
      <c r="AG1015" s="64"/>
    </row>
    <row r="1016" spans="1:33">
      <c r="A1016" s="25"/>
      <c r="B1016" s="25"/>
      <c r="C1016" s="25"/>
      <c r="D1016" s="25"/>
      <c r="E1016" s="62"/>
      <c r="F1016" s="63"/>
      <c r="G1016" s="25"/>
      <c r="H1016" s="63"/>
      <c r="I1016" s="63"/>
      <c r="J1016" s="64"/>
      <c r="K1016" s="64"/>
      <c r="L1016" s="64"/>
      <c r="M1016" s="64"/>
      <c r="N1016" s="64"/>
      <c r="O1016" s="64"/>
      <c r="P1016" s="64"/>
      <c r="Q1016" s="64"/>
      <c r="R1016" s="64"/>
      <c r="S1016" s="64"/>
      <c r="T1016" s="64"/>
      <c r="U1016" s="64"/>
      <c r="V1016" s="64"/>
      <c r="W1016" s="64"/>
      <c r="X1016" s="64"/>
      <c r="Y1016" s="64"/>
      <c r="Z1016" s="64"/>
      <c r="AA1016" s="64"/>
      <c r="AB1016" s="64"/>
      <c r="AC1016" s="64"/>
      <c r="AD1016" s="64"/>
      <c r="AE1016" s="64"/>
      <c r="AF1016" s="64"/>
      <c r="AG1016" s="64"/>
    </row>
    <row r="1017" spans="1:33">
      <c r="A1017" s="25"/>
      <c r="B1017" s="25"/>
      <c r="C1017" s="25"/>
      <c r="D1017" s="25"/>
      <c r="E1017" s="62"/>
      <c r="F1017" s="63"/>
      <c r="G1017" s="25"/>
      <c r="H1017" s="63"/>
      <c r="I1017" s="63"/>
      <c r="J1017" s="64"/>
      <c r="K1017" s="64"/>
      <c r="L1017" s="64"/>
      <c r="M1017" s="64"/>
      <c r="N1017" s="64"/>
      <c r="O1017" s="64"/>
      <c r="P1017" s="64"/>
      <c r="Q1017" s="64"/>
      <c r="R1017" s="64"/>
      <c r="S1017" s="64"/>
      <c r="T1017" s="64"/>
      <c r="U1017" s="64"/>
      <c r="V1017" s="64"/>
      <c r="W1017" s="64"/>
      <c r="X1017" s="64"/>
      <c r="Y1017" s="64"/>
      <c r="Z1017" s="64"/>
      <c r="AA1017" s="64"/>
      <c r="AB1017" s="64"/>
      <c r="AC1017" s="64"/>
      <c r="AD1017" s="64"/>
      <c r="AE1017" s="64"/>
      <c r="AF1017" s="64"/>
      <c r="AG1017" s="64"/>
    </row>
    <row r="1018" spans="1:33">
      <c r="A1018" s="25"/>
      <c r="B1018" s="25"/>
      <c r="C1018" s="25"/>
      <c r="D1018" s="25"/>
      <c r="E1018" s="62"/>
      <c r="F1018" s="63"/>
      <c r="G1018" s="25"/>
      <c r="H1018" s="63"/>
      <c r="I1018" s="63"/>
      <c r="J1018" s="64"/>
      <c r="K1018" s="64"/>
      <c r="L1018" s="64"/>
      <c r="M1018" s="64"/>
      <c r="N1018" s="64"/>
      <c r="O1018" s="64"/>
      <c r="P1018" s="64"/>
      <c r="Q1018" s="64"/>
      <c r="R1018" s="64"/>
      <c r="S1018" s="64"/>
      <c r="T1018" s="64"/>
      <c r="U1018" s="64"/>
      <c r="V1018" s="64"/>
      <c r="W1018" s="64"/>
      <c r="X1018" s="64"/>
      <c r="Y1018" s="64"/>
      <c r="Z1018" s="64"/>
      <c r="AA1018" s="64"/>
      <c r="AB1018" s="64"/>
      <c r="AC1018" s="64"/>
      <c r="AD1018" s="64"/>
      <c r="AE1018" s="64"/>
      <c r="AF1018" s="64"/>
      <c r="AG1018" s="64"/>
    </row>
    <row r="1019" spans="1:33">
      <c r="A1019" s="25"/>
      <c r="B1019" s="25"/>
      <c r="C1019" s="25"/>
      <c r="D1019" s="25"/>
      <c r="E1019" s="62"/>
      <c r="F1019" s="63"/>
      <c r="G1019" s="25"/>
      <c r="H1019" s="63"/>
      <c r="I1019" s="63"/>
      <c r="J1019" s="64"/>
      <c r="K1019" s="64"/>
      <c r="L1019" s="64"/>
      <c r="M1019" s="64"/>
      <c r="N1019" s="64"/>
      <c r="O1019" s="64"/>
      <c r="P1019" s="64"/>
      <c r="Q1019" s="64"/>
      <c r="R1019" s="64"/>
      <c r="S1019" s="64"/>
      <c r="T1019" s="64"/>
      <c r="U1019" s="64"/>
      <c r="V1019" s="64"/>
      <c r="W1019" s="64"/>
      <c r="X1019" s="64"/>
      <c r="Y1019" s="64"/>
      <c r="Z1019" s="64"/>
      <c r="AA1019" s="64"/>
      <c r="AB1019" s="64"/>
      <c r="AC1019" s="64"/>
      <c r="AD1019" s="64"/>
      <c r="AE1019" s="64"/>
      <c r="AF1019" s="64"/>
      <c r="AG1019" s="64"/>
    </row>
    <row r="1020" spans="1:33">
      <c r="A1020" s="25"/>
      <c r="B1020" s="25"/>
      <c r="C1020" s="25"/>
      <c r="D1020" s="25"/>
      <c r="E1020" s="62"/>
      <c r="F1020" s="63"/>
      <c r="G1020" s="25"/>
      <c r="H1020" s="63"/>
      <c r="I1020" s="63"/>
      <c r="J1020" s="64"/>
      <c r="K1020" s="64"/>
      <c r="L1020" s="64"/>
      <c r="M1020" s="64"/>
      <c r="N1020" s="64"/>
      <c r="O1020" s="64"/>
      <c r="P1020" s="64"/>
      <c r="Q1020" s="64"/>
      <c r="R1020" s="64"/>
      <c r="S1020" s="64"/>
      <c r="T1020" s="64"/>
      <c r="U1020" s="64"/>
      <c r="V1020" s="64"/>
      <c r="W1020" s="64"/>
      <c r="X1020" s="64"/>
      <c r="Y1020" s="64"/>
      <c r="Z1020" s="64"/>
      <c r="AA1020" s="64"/>
      <c r="AB1020" s="64"/>
      <c r="AC1020" s="64"/>
      <c r="AD1020" s="64"/>
      <c r="AE1020" s="64"/>
      <c r="AF1020" s="64"/>
      <c r="AG1020" s="64"/>
    </row>
    <row r="1021" spans="1:33">
      <c r="A1021" s="25"/>
      <c r="B1021" s="25"/>
      <c r="C1021" s="25"/>
      <c r="D1021" s="25"/>
      <c r="E1021" s="62"/>
      <c r="F1021" s="63"/>
      <c r="G1021" s="25"/>
      <c r="H1021" s="63"/>
      <c r="I1021" s="63"/>
      <c r="J1021" s="64"/>
      <c r="K1021" s="64"/>
      <c r="L1021" s="64"/>
      <c r="M1021" s="64"/>
      <c r="N1021" s="64"/>
      <c r="O1021" s="64"/>
      <c r="P1021" s="64"/>
      <c r="Q1021" s="64"/>
      <c r="R1021" s="64"/>
      <c r="S1021" s="64"/>
      <c r="T1021" s="64"/>
      <c r="U1021" s="64"/>
      <c r="V1021" s="64"/>
      <c r="W1021" s="64"/>
      <c r="X1021" s="64"/>
      <c r="Y1021" s="64"/>
      <c r="Z1021" s="64"/>
      <c r="AA1021" s="64"/>
      <c r="AB1021" s="64"/>
      <c r="AC1021" s="64"/>
      <c r="AD1021" s="64"/>
      <c r="AE1021" s="64"/>
      <c r="AF1021" s="64"/>
      <c r="AG1021" s="64"/>
    </row>
    <row r="1022" spans="1:33">
      <c r="A1022" s="25"/>
      <c r="B1022" s="25"/>
      <c r="C1022" s="25"/>
      <c r="D1022" s="25"/>
      <c r="E1022" s="62"/>
      <c r="F1022" s="63"/>
      <c r="G1022" s="25"/>
      <c r="H1022" s="63"/>
      <c r="I1022" s="63"/>
      <c r="J1022" s="64"/>
      <c r="K1022" s="64"/>
      <c r="L1022" s="64"/>
      <c r="M1022" s="64"/>
      <c r="N1022" s="64"/>
      <c r="O1022" s="64"/>
      <c r="P1022" s="64"/>
      <c r="Q1022" s="64"/>
      <c r="R1022" s="64"/>
      <c r="S1022" s="64"/>
      <c r="T1022" s="64"/>
      <c r="U1022" s="64"/>
      <c r="V1022" s="64"/>
      <c r="W1022" s="64"/>
      <c r="X1022" s="64"/>
      <c r="Y1022" s="64"/>
      <c r="Z1022" s="64"/>
      <c r="AA1022" s="64"/>
      <c r="AB1022" s="64"/>
      <c r="AC1022" s="64"/>
      <c r="AD1022" s="64"/>
      <c r="AE1022" s="64"/>
      <c r="AF1022" s="64"/>
      <c r="AG1022" s="64"/>
    </row>
    <row r="1023" spans="1:33">
      <c r="A1023" s="25"/>
      <c r="B1023" s="25"/>
      <c r="C1023" s="25"/>
      <c r="D1023" s="25"/>
      <c r="E1023" s="62"/>
      <c r="F1023" s="63"/>
      <c r="G1023" s="25"/>
      <c r="H1023" s="63"/>
      <c r="I1023" s="63"/>
      <c r="J1023" s="64"/>
      <c r="K1023" s="64"/>
      <c r="L1023" s="64"/>
      <c r="M1023" s="64"/>
      <c r="N1023" s="64"/>
      <c r="O1023" s="64"/>
      <c r="P1023" s="64"/>
      <c r="Q1023" s="64"/>
      <c r="R1023" s="64"/>
      <c r="S1023" s="64"/>
      <c r="T1023" s="64"/>
      <c r="U1023" s="64"/>
      <c r="V1023" s="64"/>
      <c r="W1023" s="64"/>
      <c r="X1023" s="64"/>
      <c r="Y1023" s="64"/>
      <c r="Z1023" s="64"/>
      <c r="AA1023" s="64"/>
      <c r="AB1023" s="64"/>
      <c r="AC1023" s="64"/>
      <c r="AD1023" s="64"/>
      <c r="AE1023" s="64"/>
      <c r="AF1023" s="64"/>
      <c r="AG1023" s="64"/>
    </row>
    <row r="1024" spans="1:33">
      <c r="A1024" s="25"/>
      <c r="B1024" s="25"/>
      <c r="C1024" s="25"/>
      <c r="D1024" s="25"/>
      <c r="E1024" s="62"/>
      <c r="F1024" s="63"/>
      <c r="G1024" s="25"/>
      <c r="H1024" s="63"/>
      <c r="I1024" s="63"/>
      <c r="J1024" s="64"/>
      <c r="K1024" s="64"/>
      <c r="L1024" s="64"/>
      <c r="M1024" s="64"/>
      <c r="N1024" s="64"/>
      <c r="O1024" s="64"/>
      <c r="P1024" s="64"/>
      <c r="Q1024" s="64"/>
      <c r="R1024" s="64"/>
      <c r="S1024" s="64"/>
      <c r="T1024" s="64"/>
      <c r="U1024" s="64"/>
      <c r="V1024" s="64"/>
      <c r="W1024" s="64"/>
      <c r="X1024" s="64"/>
      <c r="Y1024" s="64"/>
      <c r="Z1024" s="64"/>
      <c r="AA1024" s="64"/>
      <c r="AB1024" s="64"/>
      <c r="AC1024" s="64"/>
      <c r="AD1024" s="64"/>
      <c r="AE1024" s="64"/>
      <c r="AF1024" s="64"/>
      <c r="AG1024" s="64"/>
    </row>
    <row r="1025" spans="1:33">
      <c r="A1025" s="25"/>
      <c r="B1025" s="25"/>
      <c r="C1025" s="25"/>
      <c r="D1025" s="25"/>
      <c r="E1025" s="62"/>
      <c r="F1025" s="63"/>
      <c r="G1025" s="25"/>
      <c r="H1025" s="63"/>
      <c r="I1025" s="63"/>
      <c r="J1025" s="64"/>
      <c r="K1025" s="64"/>
      <c r="L1025" s="64"/>
      <c r="M1025" s="64"/>
      <c r="N1025" s="64"/>
      <c r="O1025" s="64"/>
      <c r="P1025" s="64"/>
      <c r="Q1025" s="64"/>
      <c r="R1025" s="64"/>
      <c r="S1025" s="64"/>
      <c r="T1025" s="64"/>
      <c r="U1025" s="64"/>
      <c r="V1025" s="64"/>
      <c r="W1025" s="64"/>
      <c r="X1025" s="64"/>
      <c r="Y1025" s="64"/>
      <c r="Z1025" s="64"/>
      <c r="AA1025" s="64"/>
      <c r="AB1025" s="64"/>
      <c r="AC1025" s="64"/>
      <c r="AD1025" s="64"/>
      <c r="AE1025" s="64"/>
      <c r="AF1025" s="64"/>
      <c r="AG1025" s="64"/>
    </row>
  </sheetData>
  <dataValidations count="3">
    <dataValidation type="list" allowBlank="1" showErrorMessage="1" sqref="B2:B307" xr:uid="{00000000-0002-0000-0400-000000000000}">
      <formula1>"ICSE"</formula1>
      <formula2>0</formula2>
    </dataValidation>
    <dataValidation type="list" allowBlank="1" showErrorMessage="1" sqref="C2:C307" xr:uid="{00000000-0002-0000-0400-000001000000}">
      <formula1>"Maths"</formula1>
      <formula2>0</formula2>
    </dataValidation>
    <dataValidation type="list" allowBlank="1" showErrorMessage="1" sqref="D2:D307" xr:uid="{00000000-0002-0000-0400-000002000000}">
      <formula1>"6"</formula1>
      <formula2>0</formula2>
    </dataValidation>
  </dataValidations>
  <pageMargins left="0.74791666666666701" right="0.74791666666666701" top="0.98402777777777795" bottom="0.98402777777777795" header="0.511811023622047" footer="0.511811023622047"/>
  <pageSetup paperSize="9" orientation="portrait" horizontalDpi="300" verticalDpi="300"/>
  <legacyDrawing r:id="rId1"/>
  <tableParts count="1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G978"/>
  <sheetViews>
    <sheetView zoomScaleNormal="100" workbookViewId="0">
      <pane ySplit="1" topLeftCell="A2" activePane="bottomLeft" state="frozen"/>
      <selection pane="bottomLeft" activeCell="E1" sqref="E1"/>
    </sheetView>
  </sheetViews>
  <sheetFormatPr defaultColWidth="12.6640625" defaultRowHeight="13.2"/>
  <cols>
    <col min="5" max="5" width="16.6640625" customWidth="1"/>
    <col min="6" max="6" width="28" customWidth="1"/>
    <col min="8" max="8" width="44.33203125" customWidth="1"/>
    <col min="9" max="9" width="26.77734375" customWidth="1"/>
    <col min="10" max="10" width="17" customWidth="1"/>
  </cols>
  <sheetData>
    <row r="1" spans="1:33" ht="27.6">
      <c r="A1" s="3" t="s">
        <v>0</v>
      </c>
      <c r="B1" s="67" t="s">
        <v>1</v>
      </c>
      <c r="C1" s="67" t="s">
        <v>2</v>
      </c>
      <c r="D1" s="67" t="s">
        <v>3</v>
      </c>
      <c r="E1" s="68" t="s">
        <v>1280</v>
      </c>
      <c r="F1" s="68" t="s">
        <v>4</v>
      </c>
      <c r="G1" s="67" t="s">
        <v>223</v>
      </c>
      <c r="H1" s="67" t="s">
        <v>307</v>
      </c>
      <c r="I1" s="69"/>
      <c r="J1" s="24" t="s">
        <v>5</v>
      </c>
      <c r="K1" s="24" t="s">
        <v>6</v>
      </c>
      <c r="L1" s="24" t="s">
        <v>7</v>
      </c>
      <c r="M1" s="24" t="s">
        <v>8</v>
      </c>
      <c r="N1" s="24" t="s">
        <v>9</v>
      </c>
      <c r="O1" s="24" t="s">
        <v>10</v>
      </c>
      <c r="P1" s="24" t="s">
        <v>11</v>
      </c>
      <c r="Q1" s="24" t="s">
        <v>12</v>
      </c>
      <c r="R1" s="24" t="s">
        <v>13</v>
      </c>
      <c r="S1" s="24" t="s">
        <v>14</v>
      </c>
      <c r="T1" s="24" t="s">
        <v>15</v>
      </c>
      <c r="U1" s="24" t="s">
        <v>16</v>
      </c>
      <c r="V1" s="9" t="s">
        <v>17</v>
      </c>
      <c r="W1" s="9" t="s">
        <v>18</v>
      </c>
      <c r="X1" s="9" t="s">
        <v>19</v>
      </c>
      <c r="Y1" s="9" t="s">
        <v>20</v>
      </c>
      <c r="Z1" s="9" t="s">
        <v>21</v>
      </c>
      <c r="AA1" s="9" t="s">
        <v>22</v>
      </c>
      <c r="AB1" s="9" t="s">
        <v>23</v>
      </c>
      <c r="AC1" s="10" t="s">
        <v>24</v>
      </c>
      <c r="AD1" s="11" t="s">
        <v>25</v>
      </c>
      <c r="AE1" s="11" t="s">
        <v>26</v>
      </c>
      <c r="AF1" s="11" t="s">
        <v>27</v>
      </c>
      <c r="AG1" s="12" t="s">
        <v>309</v>
      </c>
    </row>
    <row r="2" spans="1:33" ht="13.8">
      <c r="A2" s="25"/>
      <c r="B2" s="25" t="s">
        <v>29</v>
      </c>
      <c r="C2" s="25" t="s">
        <v>310</v>
      </c>
      <c r="D2" s="25">
        <v>7</v>
      </c>
      <c r="E2" s="64" t="s">
        <v>394</v>
      </c>
      <c r="F2" s="70" t="s">
        <v>760</v>
      </c>
      <c r="G2" s="71" t="s">
        <v>761</v>
      </c>
      <c r="H2" s="72" t="str">
        <f ca="1">IFERROR(__xludf.dummyfunction("IFERROR(
  VLOOKUP(G2, IMPORTRANGE(""https://docs.google.com/spreadsheets/d/14deopnvwcrKtEGCKuYXdUHJbeLDZlkiSSWWT0g7x2pM/edit#gid=849066331"", ""LU List Maths (Filter)!A:B""), 2, FALSE),
  IFERROR(
    VLOOKUP(G2, IMPORTRANGE(""https://docs.google.com/spr"&amp;"eadsheets/d/14deopnvwcrKtEGCKuYXdUHJbeLDZlkiSSWWT0g7x2pM/edit#gid=849066331"", ""LU List Science (Filter)!A:B""), 2, FALSE),
    ""Not Found""
  )
)
"),"Multiplication of two integers")</f>
        <v>Multiplication of two integers</v>
      </c>
      <c r="I2" s="64"/>
      <c r="J2" s="29" t="str">
        <f t="shared" ref="J2:J33" si="0">G2 &amp; ".001"</f>
        <v>LU000355.001</v>
      </c>
      <c r="K2" s="29" t="str">
        <f ca="1">IFERROR(__xludf.dummyfunction("VLOOKUP(J2, IMPORTRANGE(""https://docs.google.com/spreadsheets/d/1yDAaXNsi4Mr5FtRQL4tbmSdIzhx6_m4wkOD7IG-k_eo/edit#gid=0"", ""Maths!M:N""), 2, FALSE)"),"List the rules for multiplying integers with like and unlike signs.")</f>
        <v>List the rules for multiplying integers with like and unlike signs.</v>
      </c>
      <c r="L2" s="29" t="str">
        <f t="shared" ref="L2:L33" si="1">G2 &amp; ".002"</f>
        <v>LU000355.002</v>
      </c>
      <c r="M2" s="29" t="str">
        <f ca="1">IFERROR(__xludf.dummyfunction("VLOOKUP(L2, IMPORTRANGE(""https://docs.google.com/spreadsheets/d/1yDAaXNsi4Mr5FtRQL4tbmSdIzhx6_m4wkOD7IG-k_eo/edit#gid=0"", ""Maths!M:N""), 2, FALSE)"),"Explain the concept of multiplication of integers using number lines or visual models.")</f>
        <v>Explain the concept of multiplication of integers using number lines or visual models.</v>
      </c>
      <c r="N2" s="29" t="str">
        <f t="shared" ref="N2:N33" si="2">G2 &amp; ".003"</f>
        <v>LU000355.003</v>
      </c>
      <c r="O2" s="29" t="str">
        <f ca="1">IFERROR(__xludf.dummyfunction("VLOOKUP(N2, IMPORTRANGE(""https://docs.google.com/spreadsheets/d/1yDAaXNsi4Mr5FtRQL4tbmSdIzhx6_m4wkOD7IG-k_eo/edit#gid=0"", ""Maths!M:N""), 2, FALSE)"),"Solve arithmetic and practical problems involving multiplication of integers.")</f>
        <v>Solve arithmetic and practical problems involving multiplication of integers.</v>
      </c>
      <c r="P2" s="29" t="str">
        <f t="shared" ref="P2:P33" si="3">G2 &amp; ".004"</f>
        <v>LU000355.004</v>
      </c>
      <c r="Q2" s="29" t="str">
        <f ca="1">IFERROR(__xludf.dummyfunction("VLOOKUP(P2, IMPORTRANGE(""https://docs.google.com/spreadsheets/d/1yDAaXNsi4Mr5FtRQL4tbmSdIzhx6_m4wkOD7IG-k_eo/edit#gid=0"", ""Maths!M:N""), 2, FALSE)"),"Analyse and identify errors in multiplication of integers calculations.")</f>
        <v>Analyse and identify errors in multiplication of integers calculations.</v>
      </c>
      <c r="R2" s="29" t="str">
        <f t="shared" ref="R2:R33" si="4">G2 &amp; ".005"</f>
        <v>LU000355.005</v>
      </c>
      <c r="S2" s="29" t="str">
        <f ca="1">IFERROR(__xludf.dummyfunction("VLOOKUP(R2, IMPORTRANGE(""https://docs.google.com/spreadsheets/d/1yDAaXNsi4Mr5FtRQL4tbmSdIzhx6_m4wkOD7IG-k_eo/edit#gid=0"", ""Maths!M:N""), 2, FALSE)"),"Judge which method is more effective for multiplying integers.")</f>
        <v>Judge which method is more effective for multiplying integers.</v>
      </c>
      <c r="T2" s="29" t="str">
        <f t="shared" ref="T2:T33" si="5">G2 &amp; ".006"</f>
        <v>LU000355.006</v>
      </c>
      <c r="U2" s="29" t="str">
        <f ca="1">IFERROR(__xludf.dummyfunction("VLOOKUP(T2, IMPORTRANGE(""https://docs.google.com/spreadsheets/d/1yDAaXNsi4Mr5FtRQL4tbmSdIzhx6_m4wkOD7IG-k_eo/edit#gid=0"", ""Maths!M:N""), 2, FALSE)"),"Create a set of word problems involving multiplication of integers.")</f>
        <v>Create a set of word problems involving multiplication of integers.</v>
      </c>
      <c r="V2" s="16">
        <f ca="1">IFERROR(__xludf.dummyfunction("ArrayFormula(VLOOKUP(G2, IMPORTRANGE(""https://docs.google.com/spreadsheets/d/1p7R4vtkWt5VOBim4ltsDG9KTzSjrtKXsMtQGXPHyND0/edit#gid=795171502"", ""'Filter 30_05_2024'!A1:M2000""), {2, 3, 4, 5,6,7,8,9,10,11,12,13}, 0))"),9)</f>
        <v>9</v>
      </c>
      <c r="W2" s="16">
        <f ca="1">IFERROR(__xludf.dummyfunction("""COMPUTED_VALUE"""),26)</f>
        <v>26</v>
      </c>
      <c r="X2" s="16">
        <f ca="1">IFERROR(__xludf.dummyfunction("""COMPUTED_VALUE"""),11)</f>
        <v>11</v>
      </c>
      <c r="Y2" s="16">
        <f ca="1">IFERROR(__xludf.dummyfunction("""COMPUTED_VALUE"""),46)</f>
        <v>46</v>
      </c>
      <c r="Z2" s="16">
        <f ca="1">IFERROR(__xludf.dummyfunction("""COMPUTED_VALUE"""),9)</f>
        <v>9</v>
      </c>
      <c r="AA2" s="30">
        <f ca="1">IFERROR(__xludf.dummyfunction("""COMPUTED_VALUE"""),13)</f>
        <v>13</v>
      </c>
      <c r="AB2" s="30">
        <f ca="1">IFERROR(__xludf.dummyfunction("""COMPUTED_VALUE"""),3)</f>
        <v>3</v>
      </c>
      <c r="AC2" s="30">
        <f ca="1">IFERROR(__xludf.dummyfunction("""COMPUTED_VALUE"""),25)</f>
        <v>25</v>
      </c>
      <c r="AD2" s="16"/>
      <c r="AE2" s="30"/>
      <c r="AF2" s="30"/>
      <c r="AG2" s="30"/>
    </row>
    <row r="3" spans="1:33" ht="13.8">
      <c r="A3" s="25"/>
      <c r="B3" s="25" t="s">
        <v>29</v>
      </c>
      <c r="C3" s="25" t="s">
        <v>310</v>
      </c>
      <c r="D3" s="25">
        <v>7</v>
      </c>
      <c r="E3" s="64" t="s">
        <v>394</v>
      </c>
      <c r="F3" s="70"/>
      <c r="G3" s="71" t="s">
        <v>762</v>
      </c>
      <c r="H3" s="72" t="str">
        <f ca="1">IFERROR(__xludf.dummyfunction("IFERROR(
  VLOOKUP(G3, IMPORTRANGE(""https://docs.google.com/spreadsheets/d/14deopnvwcrKtEGCKuYXdUHJbeLDZlkiSSWWT0g7x2pM/edit#gid=849066331"", ""LU List Maths (Filter)!A:B""), 2, FALSE),
  IFERROR(
    VLOOKUP(G3, IMPORTRANGE(""https://docs.google.com/spr"&amp;"eadsheets/d/14deopnvwcrKtEGCKuYXdUHJbeLDZlkiSSWWT0g7x2pM/edit#gid=849066331"", ""LU List Science (Filter)!A:B""), 2, FALSE),
    ""Not Found""
  )
)
"),"Multiplication by zero")</f>
        <v>Multiplication by zero</v>
      </c>
      <c r="I3" s="64"/>
      <c r="J3" s="29" t="str">
        <f t="shared" si="0"/>
        <v>LU000358.001</v>
      </c>
      <c r="K3" s="29" t="str">
        <f ca="1">IFERROR(__xludf.dummyfunction("VLOOKUP(J3, IMPORTRANGE(""https://docs.google.com/spreadsheets/d/1yDAaXNsi4Mr5FtRQL4tbmSdIzhx6_m4wkOD7IG-k_eo/edit#gid=0"", ""Maths!M:N""), 2, FALSE)"),"State the result of multiplying any integer by zero.")</f>
        <v>State the result of multiplying any integer by zero.</v>
      </c>
      <c r="L3" s="29" t="str">
        <f t="shared" si="1"/>
        <v>LU000358.002</v>
      </c>
      <c r="M3" s="29" t="str">
        <f ca="1">IFERROR(__xludf.dummyfunction("VLOOKUP(L3, IMPORTRANGE(""https://docs.google.com/spreadsheets/d/1yDAaXNsi4Mr5FtRQL4tbmSdIzhx6_m4wkOD7IG-k_eo/edit#gid=0"", ""Maths!M:N""), 2, FALSE)"),"Explain why the multiplication by zero results in a product of zero using real-life analogies.")</f>
        <v>Explain why the multiplication by zero results in a product of zero using real-life analogies.</v>
      </c>
      <c r="N3" s="29" t="str">
        <f t="shared" si="2"/>
        <v>LU000358.003</v>
      </c>
      <c r="O3" s="29" t="str">
        <f ca="1">IFERROR(__xludf.dummyfunction("VLOOKUP(N3, IMPORTRANGE(""https://docs.google.com/spreadsheets/d/1yDAaXNsi4Mr5FtRQL4tbmSdIzhx6_m4wkOD7IG-k_eo/edit#gid=0"", ""Maths!M:N""), 2, FALSE)"),"Apply the concept of multiplication by zero to simplify expressions involving integers.")</f>
        <v>Apply the concept of multiplication by zero to simplify expressions involving integers.</v>
      </c>
      <c r="P3" s="29" t="str">
        <f t="shared" si="3"/>
        <v>LU000358.004</v>
      </c>
      <c r="Q3" s="29" t="str">
        <f ca="1">IFERROR(__xludf.dummyfunction("VLOOKUP(P3, IMPORTRANGE(""https://docs.google.com/spreadsheets/d/1yDAaXNsi4Mr5FtRQL4tbmSdIzhx6_m4wkOD7IG-k_eo/edit#gid=0"", ""Maths!M:N""), 2, FALSE)"),"Analyse a set of mathematical expressions and identify instances where multiplication by zero is used to simplify.")</f>
        <v>Analyse a set of mathematical expressions and identify instances where multiplication by zero is used to simplify.</v>
      </c>
      <c r="R3" s="29" t="str">
        <f t="shared" si="4"/>
        <v>LU000358.005</v>
      </c>
      <c r="S3" s="29" t="str">
        <f ca="1">IFERROR(__xludf.dummyfunction("VLOOKUP(R3, IMPORTRANGE(""https://docs.google.com/spreadsheets/d/1yDAaXNsi4Mr5FtRQL4tbmSdIzhx6_m4wkOD7IG-k_eo/edit#gid=0"", ""Maths!M:N""), 2, FALSE)"),"Evaluate the application of the multiplication by zero concept in a solution to a problem.")</f>
        <v>Evaluate the application of the multiplication by zero concept in a solution to a problem.</v>
      </c>
      <c r="T3" s="29" t="str">
        <f t="shared" si="5"/>
        <v>LU000358.006</v>
      </c>
      <c r="U3" s="29" t="str">
        <f ca="1">IFERROR(__xludf.dummyfunction("VLOOKUP(T3, IMPORTRANGE(""https://docs.google.com/spreadsheets/d/1yDAaXNsi4Mr5FtRQL4tbmSdIzhx6_m4wkOD7IG-k_eo/edit#gid=0"", ""Maths!M:N""), 2, FALSE)"),"#N/A")</f>
        <v>#N/A</v>
      </c>
      <c r="V3" s="16">
        <f ca="1">IFERROR(__xludf.dummyfunction("ArrayFormula(VLOOKUP(G3, IMPORTRANGE(""https://docs.google.com/spreadsheets/d/1p7R4vtkWt5VOBim4ltsDG9KTzSjrtKXsMtQGXPHyND0/edit#gid=795171502"", ""'Filter 30_05_2024'!A1:M2000""), {2, 3, 4, 5,6,7,8,9,10,11,12,13}, 0))"),4)</f>
        <v>4</v>
      </c>
      <c r="W3" s="16">
        <f ca="1">IFERROR(__xludf.dummyfunction("""COMPUTED_VALUE"""),4)</f>
        <v>4</v>
      </c>
      <c r="X3" s="16">
        <f ca="1">IFERROR(__xludf.dummyfunction("""COMPUTED_VALUE"""),2)</f>
        <v>2</v>
      </c>
      <c r="Y3" s="16">
        <f ca="1">IFERROR(__xludf.dummyfunction("""COMPUTED_VALUE"""),10)</f>
        <v>10</v>
      </c>
      <c r="Z3" s="16">
        <f ca="1">IFERROR(__xludf.dummyfunction("""COMPUTED_VALUE"""),4)</f>
        <v>4</v>
      </c>
      <c r="AA3" s="30">
        <f ca="1">IFERROR(__xludf.dummyfunction("""COMPUTED_VALUE"""),5)</f>
        <v>5</v>
      </c>
      <c r="AB3" s="30">
        <f ca="1">IFERROR(__xludf.dummyfunction("""COMPUTED_VALUE"""),1)</f>
        <v>1</v>
      </c>
      <c r="AC3" s="30">
        <f ca="1">IFERROR(__xludf.dummyfunction("""COMPUTED_VALUE"""),10)</f>
        <v>10</v>
      </c>
      <c r="AD3" s="16"/>
      <c r="AE3" s="30"/>
      <c r="AF3" s="30"/>
      <c r="AG3" s="30"/>
    </row>
    <row r="4" spans="1:33" ht="13.8">
      <c r="A4" s="25"/>
      <c r="B4" s="25" t="s">
        <v>29</v>
      </c>
      <c r="C4" s="25" t="s">
        <v>310</v>
      </c>
      <c r="D4" s="25">
        <v>7</v>
      </c>
      <c r="E4" s="64" t="s">
        <v>394</v>
      </c>
      <c r="F4" s="70"/>
      <c r="G4" s="71" t="s">
        <v>763</v>
      </c>
      <c r="H4" s="72" t="str">
        <f ca="1">IFERROR(__xludf.dummyfunction("IFERROR(
  VLOOKUP(G4, IMPORTRANGE(""https://docs.google.com/spreadsheets/d/14deopnvwcrKtEGCKuYXdUHJbeLDZlkiSSWWT0g7x2pM/edit#gid=849066331"", ""LU List Maths (Filter)!A:B""), 2, FALSE),
  IFERROR(
    VLOOKUP(G4, IMPORTRANGE(""https://docs.google.com/spr"&amp;"eadsheets/d/14deopnvwcrKtEGCKuYXdUHJbeLDZlkiSSWWT0g7x2pM/edit#gid=849066331"", ""LU List Science (Filter)!A:B""), 2, FALSE),
    ""Not Found""
  )
)
"),"Multiplication of three or more negative integers")</f>
        <v>Multiplication of three or more negative integers</v>
      </c>
      <c r="I4" s="64"/>
      <c r="J4" s="29" t="str">
        <f t="shared" si="0"/>
        <v>LU000356.001</v>
      </c>
      <c r="K4" s="29" t="str">
        <f ca="1">IFERROR(__xludf.dummyfunction("VLOOKUP(J4, IMPORTRANGE(""https://docs.google.com/spreadsheets/d/1yDAaXNsi4Mr5FtRQL4tbmSdIzhx6_m4wkOD7IG-k_eo/edit#gid=0"", ""Maths!M:N""), 2, FALSE)"),"List the rule for multiplying three or more negative integers and provide an example.")</f>
        <v>List the rule for multiplying three or more negative integers and provide an example.</v>
      </c>
      <c r="L4" s="29" t="str">
        <f t="shared" si="1"/>
        <v>LU000356.002</v>
      </c>
      <c r="M4" s="29" t="str">
        <f ca="1">IFERROR(__xludf.dummyfunction("VLOOKUP(L4, IMPORTRANGE(""https://docs.google.com/spreadsheets/d/1yDAaXNsi4Mr5FtRQL4tbmSdIzhx6_m4wkOD7IG-k_eo/edit#gid=0"", ""Maths!M:N""), 2, FALSE)"),"Explain the concept of multiplying multiple negative integers and the impact on the resulting sign.")</f>
        <v>Explain the concept of multiplying multiple negative integers and the impact on the resulting sign.</v>
      </c>
      <c r="N4" s="29" t="str">
        <f t="shared" si="2"/>
        <v>LU000356.003</v>
      </c>
      <c r="O4" s="29" t="str">
        <f ca="1">IFERROR(__xludf.dummyfunction("VLOOKUP(N4, IMPORTRANGE(""https://docs.google.com/spreadsheets/d/1yDAaXNsi4Mr5FtRQL4tbmSdIzhx6_m4wkOD7IG-k_eo/edit#gid=0"", ""Maths!M:N""), 2, FALSE)"),"Apply the rules of multiplying three or more negative integers to solve complex problems.")</f>
        <v>Apply the rules of multiplying three or more negative integers to solve complex problems.</v>
      </c>
      <c r="P4" s="29" t="str">
        <f t="shared" si="3"/>
        <v>LU000356.004</v>
      </c>
      <c r="Q4" s="29" t="str">
        <f ca="1">IFERROR(__xludf.dummyfunction("VLOOKUP(P4, IMPORTRANGE(""https://docs.google.com/spreadsheets/d/1yDAaXNsi4Mr5FtRQL4tbmSdIzhx6_m4wkOD7IG-k_eo/edit#gid=0"", ""Maths!M:N""), 2, FALSE)"),"Analyse the multiplication process of multiple negative integers and identify the patterns in the resulting sign.")</f>
        <v>Analyse the multiplication process of multiple negative integers and identify the patterns in the resulting sign.</v>
      </c>
      <c r="R4" s="29" t="str">
        <f t="shared" si="4"/>
        <v>LU000356.005</v>
      </c>
      <c r="S4" s="29" t="str">
        <f ca="1">IFERROR(__xludf.dummyfunction("VLOOKUP(R4, IMPORTRANGE(""https://docs.google.com/spreadsheets/d/1yDAaXNsi4Mr5FtRQL4tbmSdIzhx6_m4wkOD7IG-k_eo/edit#gid=0"", ""Maths!M:N""), 2, FALSE)"),"Evaluate the solutions of solving problems involving multiplication of three or more negative integers, checking for errors and accuracy.")</f>
        <v>Evaluate the solutions of solving problems involving multiplication of three or more negative integers, checking for errors and accuracy.</v>
      </c>
      <c r="T4" s="29" t="str">
        <f t="shared" si="5"/>
        <v>LU000356.006</v>
      </c>
      <c r="U4" s="29" t="str">
        <f ca="1">IFERROR(__xludf.dummyfunction("VLOOKUP(T4, IMPORTRANGE(""https://docs.google.com/spreadsheets/d/1yDAaXNsi4Mr5FtRQL4tbmSdIzhx6_m4wkOD7IG-k_eo/edit#gid=0"", ""Maths!M:N""), 2, FALSE)"),"Create a set of word problems that involve multiplying three or more negative integers in unique situations, such as calculating the change in depth when diving to different depths underwater.")</f>
        <v>Create a set of word problems that involve multiplying three or more negative integers in unique situations, such as calculating the change in depth when diving to different depths underwater.</v>
      </c>
      <c r="V4" s="16">
        <f ca="1">IFERROR(__xludf.dummyfunction("ArrayFormula(VLOOKUP(G4, IMPORTRANGE(""https://docs.google.com/spreadsheets/d/1p7R4vtkWt5VOBim4ltsDG9KTzSjrtKXsMtQGXPHyND0/edit#gid=795171502"", ""'Filter 30_05_2024'!A1:M2000""), {2, 3, 4, 5,6,7,8,9,10,11,12,13}, 0))"),4)</f>
        <v>4</v>
      </c>
      <c r="W4" s="16">
        <f ca="1">IFERROR(__xludf.dummyfunction("""COMPUTED_VALUE"""),7)</f>
        <v>7</v>
      </c>
      <c r="X4" s="16">
        <f ca="1">IFERROR(__xludf.dummyfunction("""COMPUTED_VALUE"""),2)</f>
        <v>2</v>
      </c>
      <c r="Y4" s="16">
        <f ca="1">IFERROR(__xludf.dummyfunction("""COMPUTED_VALUE"""),13)</f>
        <v>13</v>
      </c>
      <c r="Z4" s="16">
        <f ca="1">IFERROR(__xludf.dummyfunction("""COMPUTED_VALUE"""),4)</f>
        <v>4</v>
      </c>
      <c r="AA4" s="30">
        <f ca="1">IFERROR(__xludf.dummyfunction("""COMPUTED_VALUE"""),3)</f>
        <v>3</v>
      </c>
      <c r="AB4" s="30">
        <f ca="1">IFERROR(__xludf.dummyfunction("""COMPUTED_VALUE"""),1)</f>
        <v>1</v>
      </c>
      <c r="AC4" s="30">
        <f ca="1">IFERROR(__xludf.dummyfunction("""COMPUTED_VALUE"""),8)</f>
        <v>8</v>
      </c>
      <c r="AD4" s="16"/>
      <c r="AE4" s="30"/>
      <c r="AF4" s="30"/>
      <c r="AG4" s="30"/>
    </row>
    <row r="5" spans="1:33" ht="13.8">
      <c r="A5" s="25"/>
      <c r="B5" s="25" t="s">
        <v>29</v>
      </c>
      <c r="C5" s="25" t="s">
        <v>310</v>
      </c>
      <c r="D5" s="25">
        <v>7</v>
      </c>
      <c r="E5" s="64" t="s">
        <v>394</v>
      </c>
      <c r="F5" s="70" t="s">
        <v>764</v>
      </c>
      <c r="G5" s="71" t="s">
        <v>765</v>
      </c>
      <c r="H5" s="72" t="str">
        <f ca="1">IFERROR(__xludf.dummyfunction("IFERROR(
  VLOOKUP(G5, IMPORTRANGE(""https://docs.google.com/spreadsheets/d/14deopnvwcrKtEGCKuYXdUHJbeLDZlkiSSWWT0g7x2pM/edit#gid=849066331"", ""LU List Maths (Filter)!A:B""), 2, FALSE),
  IFERROR(
    VLOOKUP(G5, IMPORTRANGE(""https://docs.google.com/spr"&amp;"eadsheets/d/14deopnvwcrKtEGCKuYXdUHJbeLDZlkiSSWWT0g7x2pM/edit#gid=849066331"", ""LU List Science (Filter)!A:B""), 2, FALSE),
    ""Not Found""
  )
)
"),"Division of integers by non zero integer")</f>
        <v>Division of integers by non zero integer</v>
      </c>
      <c r="I5" s="64"/>
      <c r="J5" s="29" t="str">
        <f t="shared" si="0"/>
        <v>LU000361.001</v>
      </c>
      <c r="K5" s="29" t="str">
        <f ca="1">IFERROR(__xludf.dummyfunction("VLOOKUP(J5, IMPORTRANGE(""https://docs.google.com/spreadsheets/d/1yDAaXNsi4Mr5FtRQL4tbmSdIzhx6_m4wkOD7IG-k_eo/edit#gid=0"", ""Maths!M:N""), 2, FALSE)"),"List the rules deduced from multiplication of integers for dividing integers with like and unlike signs.")</f>
        <v>List the rules deduced from multiplication of integers for dividing integers with like and unlike signs.</v>
      </c>
      <c r="L5" s="29" t="str">
        <f t="shared" si="1"/>
        <v>LU000361.002</v>
      </c>
      <c r="M5" s="29" t="str">
        <f ca="1">IFERROR(__xludf.dummyfunction("VLOOKUP(L5, IMPORTRANGE(""https://docs.google.com/spreadsheets/d/1yDAaXNsi4Mr5FtRQL4tbmSdIzhx6_m4wkOD7IG-k_eo/edit#gid=0"", ""Maths!M:N""), 2, FALSE)"),"Explain the process of dividing an integer with non-zero integer.")</f>
        <v>Explain the process of dividing an integer with non-zero integer.</v>
      </c>
      <c r="N5" s="29" t="str">
        <f t="shared" si="2"/>
        <v>LU000361.003</v>
      </c>
      <c r="O5" s="29" t="str">
        <f ca="1">IFERROR(__xludf.dummyfunction("VLOOKUP(N5, IMPORTRANGE(""https://docs.google.com/spreadsheets/d/1yDAaXNsi4Mr5FtRQL4tbmSdIzhx6_m4wkOD7IG-k_eo/edit#gid=0"", ""Maths!M:N""), 2, FALSE)"),"Solve a word problem that involves dividing integers to distribute resources among a group.")</f>
        <v>Solve a word problem that involves dividing integers to distribute resources among a group.</v>
      </c>
      <c r="P5" s="29" t="str">
        <f t="shared" si="3"/>
        <v>LU000361.004</v>
      </c>
      <c r="Q5" s="29" t="str">
        <f ca="1">IFERROR(__xludf.dummyfunction("VLOOKUP(P5, IMPORTRANGE(""https://docs.google.com/spreadsheets/d/1yDAaXNsi4Mr5FtRQL4tbmSdIzhx6_m4wkOD7IG-k_eo/edit#gid=0"", ""Maths!M:N""), 2, FALSE)"),"Analyse a set of division expressions and identify errors in calculations.")</f>
        <v>Analyse a set of division expressions and identify errors in calculations.</v>
      </c>
      <c r="R5" s="29" t="str">
        <f t="shared" si="4"/>
        <v>LU000361.005</v>
      </c>
      <c r="S5" s="29" t="str">
        <f ca="1">IFERROR(__xludf.dummyfunction("VLOOKUP(R5, IMPORTRANGE(""https://docs.google.com/spreadsheets/d/1yDAaXNsi4Mr5FtRQL4tbmSdIzhx6_m4wkOD7IG-k_eo/edit#gid=0"", ""Maths!M:N""), 2, FALSE)"),"Evaluate the solution methods used in solving division of integer problems and determine their accuracy.")</f>
        <v>Evaluate the solution methods used in solving division of integer problems and determine their accuracy.</v>
      </c>
      <c r="T5" s="29" t="str">
        <f t="shared" si="5"/>
        <v>LU000361.006</v>
      </c>
      <c r="U5" s="29" t="str">
        <f ca="1">IFERROR(__xludf.dummyfunction("VLOOKUP(T5, IMPORTRANGE(""https://docs.google.com/spreadsheets/d/1yDAaXNsi4Mr5FtRQL4tbmSdIzhx6_m4wkOD7IG-k_eo/edit#gid=0"", ""Maths!M:N""), 2, FALSE)"),"Design a set of word problems that requires to apply division of integers creatively.")</f>
        <v>Design a set of word problems that requires to apply division of integers creatively.</v>
      </c>
      <c r="V5" s="16">
        <f ca="1">IFERROR(__xludf.dummyfunction("ArrayFormula(VLOOKUP(G5, IMPORTRANGE(""https://docs.google.com/spreadsheets/d/1p7R4vtkWt5VOBim4ltsDG9KTzSjrtKXsMtQGXPHyND0/edit#gid=795171502"", ""'Filter 30_05_2024'!A1:M2000""), {2, 3, 4, 5,6,7,8,9,10,11,12,13}, 0))"),11)</f>
        <v>11</v>
      </c>
      <c r="W5" s="16">
        <f ca="1">IFERROR(__xludf.dummyfunction("""COMPUTED_VALUE"""),14)</f>
        <v>14</v>
      </c>
      <c r="X5" s="16">
        <f ca="1">IFERROR(__xludf.dummyfunction("""COMPUTED_VALUE"""),11)</f>
        <v>11</v>
      </c>
      <c r="Y5" s="16">
        <f ca="1">IFERROR(__xludf.dummyfunction("""COMPUTED_VALUE"""),36)</f>
        <v>36</v>
      </c>
      <c r="Z5" s="16">
        <f ca="1">IFERROR(__xludf.dummyfunction("""COMPUTED_VALUE"""),9)</f>
        <v>9</v>
      </c>
      <c r="AA5" s="30">
        <f ca="1">IFERROR(__xludf.dummyfunction("""COMPUTED_VALUE"""),3)</f>
        <v>3</v>
      </c>
      <c r="AB5" s="30">
        <f ca="1">IFERROR(__xludf.dummyfunction("""COMPUTED_VALUE"""),4)</f>
        <v>4</v>
      </c>
      <c r="AC5" s="30">
        <f ca="1">IFERROR(__xludf.dummyfunction("""COMPUTED_VALUE"""),16)</f>
        <v>16</v>
      </c>
      <c r="AD5" s="16"/>
      <c r="AE5" s="30"/>
      <c r="AF5" s="30"/>
      <c r="AG5" s="30"/>
    </row>
    <row r="6" spans="1:33" ht="13.8">
      <c r="A6" s="25"/>
      <c r="B6" s="25" t="s">
        <v>29</v>
      </c>
      <c r="C6" s="25" t="s">
        <v>310</v>
      </c>
      <c r="D6" s="25">
        <v>7</v>
      </c>
      <c r="E6" s="64" t="s">
        <v>394</v>
      </c>
      <c r="F6" s="70"/>
      <c r="G6" s="71" t="s">
        <v>766</v>
      </c>
      <c r="H6" s="72" t="str">
        <f ca="1">IFERROR(__xludf.dummyfunction("IFERROR(
  VLOOKUP(G6, IMPORTRANGE(""https://docs.google.com/spreadsheets/d/14deopnvwcrKtEGCKuYXdUHJbeLDZlkiSSWWT0g7x2pM/edit#gid=849066331"", ""LU List Maths (Filter)!A:B""), 2, FALSE),
  IFERROR(
    VLOOKUP(G6, IMPORTRANGE(""https://docs.google.com/spr"&amp;"eadsheets/d/14deopnvwcrKtEGCKuYXdUHJbeLDZlkiSSWWT0g7x2pM/edit#gid=849066331"", ""LU List Science (Filter)!A:B""), 2, FALSE),
    ""Not Found""
  )
)
"),"Division of integers by one")</f>
        <v>Division of integers by one</v>
      </c>
      <c r="I6" s="64"/>
      <c r="J6" s="29" t="str">
        <f t="shared" si="0"/>
        <v>LU000363.001</v>
      </c>
      <c r="K6" s="29" t="str">
        <f ca="1">IFERROR(__xludf.dummyfunction("VLOOKUP(J6, IMPORTRANGE(""https://docs.google.com/spreadsheets/d/1yDAaXNsi4Mr5FtRQL4tbmSdIzhx6_m4wkOD7IG-k_eo/edit#gid=0"", ""Maths!M:N""), 2, FALSE)"),"State the result of dividing any integer by 1.")</f>
        <v>State the result of dividing any integer by 1.</v>
      </c>
      <c r="L6" s="29" t="str">
        <f t="shared" si="1"/>
        <v>LU000363.002</v>
      </c>
      <c r="M6" s="29" t="str">
        <f ca="1">IFERROR(__xludf.dummyfunction("VLOOKUP(L6, IMPORTRANGE(""https://docs.google.com/spreadsheets/d/1yDAaXNsi4Mr5FtRQL4tbmSdIzhx6_m4wkOD7IG-k_eo/edit#gid=0"", ""Maths!M:N""), 2, FALSE)"),"Explain why dividing an integer by 1 results in the integer itself and how this concept is applied.")</f>
        <v>Explain why dividing an integer by 1 results in the integer itself and how this concept is applied.</v>
      </c>
      <c r="N6" s="29" t="str">
        <f t="shared" si="2"/>
        <v>LU000363.003</v>
      </c>
      <c r="O6" s="29" t="str">
        <f ca="1">IFERROR(__xludf.dummyfunction("VLOOKUP(N6, IMPORTRANGE(""https://docs.google.com/spreadsheets/d/1yDAaXNsi4Mr5FtRQL4tbmSdIzhx6_m4wkOD7IG-k_eo/edit#gid=0"", ""Maths!M:N""), 2, FALSE)"),"Apply the concept of division by 1 to simplify expressions involving integers.")</f>
        <v>Apply the concept of division by 1 to simplify expressions involving integers.</v>
      </c>
      <c r="P6" s="29" t="str">
        <f t="shared" si="3"/>
        <v>LU000363.004</v>
      </c>
      <c r="Q6" s="29" t="str">
        <f ca="1">IFERROR(__xludf.dummyfunction("VLOOKUP(P6, IMPORTRANGE(""https://docs.google.com/spreadsheets/d/1yDAaXNsi4Mr5FtRQL4tbmSdIzhx6_m4wkOD7IG-k_eo/edit#gid=0"", ""Maths!M:N""), 2, FALSE)"),"Analyse a set of division expressions involving division by 1 and identify its effect.")</f>
        <v>Analyse a set of division expressions involving division by 1 and identify its effect.</v>
      </c>
      <c r="R6" s="29" t="str">
        <f t="shared" si="4"/>
        <v>LU000363.005</v>
      </c>
      <c r="S6" s="29" t="str">
        <f ca="1">IFERROR(__xludf.dummyfunction("VLOOKUP(R6, IMPORTRANGE(""https://docs.google.com/spreadsheets/d/1yDAaXNsi4Mr5FtRQL4tbmSdIzhx6_m4wkOD7IG-k_eo/edit#gid=0"", ""Maths!M:N""), 2, FALSE)"),"Evaluate the application of division by 1 in a solution to a division problem.")</f>
        <v>Evaluate the application of division by 1 in a solution to a division problem.</v>
      </c>
      <c r="T6" s="29" t="str">
        <f t="shared" si="5"/>
        <v>LU000363.006</v>
      </c>
      <c r="U6" s="29" t="str">
        <f ca="1">IFERROR(__xludf.dummyfunction("VLOOKUP(T6, IMPORTRANGE(""https://docs.google.com/spreadsheets/d/1yDAaXNsi4Mr5FtRQL4tbmSdIzhx6_m4wkOD7IG-k_eo/edit#gid=0"", ""Maths!M:N""), 2, FALSE)"),"#N/A")</f>
        <v>#N/A</v>
      </c>
      <c r="V6" s="16">
        <f ca="1">IFERROR(__xludf.dummyfunction("ArrayFormula(VLOOKUP(G6, IMPORTRANGE(""https://docs.google.com/spreadsheets/d/1p7R4vtkWt5VOBim4ltsDG9KTzSjrtKXsMtQGXPHyND0/edit#gid=795171502"", ""'Filter 30_05_2024'!A1:M2000""), {2, 3, 4, 5,6,7,8,9,10,11,12,13}, 0))"),4)</f>
        <v>4</v>
      </c>
      <c r="W6" s="16">
        <f ca="1">IFERROR(__xludf.dummyfunction("""COMPUTED_VALUE"""),6)</f>
        <v>6</v>
      </c>
      <c r="X6" s="16">
        <f ca="1">IFERROR(__xludf.dummyfunction("""COMPUTED_VALUE"""),2)</f>
        <v>2</v>
      </c>
      <c r="Y6" s="16">
        <f ca="1">IFERROR(__xludf.dummyfunction("""COMPUTED_VALUE"""),12)</f>
        <v>12</v>
      </c>
      <c r="Z6" s="16">
        <f ca="1">IFERROR(__xludf.dummyfunction("""COMPUTED_VALUE"""),4)</f>
        <v>4</v>
      </c>
      <c r="AA6" s="30">
        <f ca="1">IFERROR(__xludf.dummyfunction("""COMPUTED_VALUE"""),3)</f>
        <v>3</v>
      </c>
      <c r="AB6" s="30">
        <f ca="1">IFERROR(__xludf.dummyfunction("""COMPUTED_VALUE"""),1)</f>
        <v>1</v>
      </c>
      <c r="AC6" s="30">
        <f ca="1">IFERROR(__xludf.dummyfunction("""COMPUTED_VALUE"""),8)</f>
        <v>8</v>
      </c>
      <c r="AD6" s="16"/>
      <c r="AE6" s="30"/>
      <c r="AF6" s="30"/>
      <c r="AG6" s="30"/>
    </row>
    <row r="7" spans="1:33" ht="13.8">
      <c r="A7" s="25"/>
      <c r="B7" s="25" t="s">
        <v>29</v>
      </c>
      <c r="C7" s="25" t="s">
        <v>310</v>
      </c>
      <c r="D7" s="25">
        <v>7</v>
      </c>
      <c r="E7" s="64" t="s">
        <v>394</v>
      </c>
      <c r="F7" s="70"/>
      <c r="G7" s="71" t="s">
        <v>767</v>
      </c>
      <c r="H7" s="72" t="str">
        <f ca="1">IFERROR(__xludf.dummyfunction("IFERROR(
  VLOOKUP(G7, IMPORTRANGE(""https://docs.google.com/spreadsheets/d/14deopnvwcrKtEGCKuYXdUHJbeLDZlkiSSWWT0g7x2pM/edit#gid=849066331"", ""LU List Maths (Filter)!A:B""), 2, FALSE),
  IFERROR(
    VLOOKUP(G7, IMPORTRANGE(""https://docs.google.com/spr"&amp;"eadsheets/d/14deopnvwcrKtEGCKuYXdUHJbeLDZlkiSSWWT0g7x2pM/edit#gid=849066331"", ""LU List Science (Filter)!A:B""), 2, FALSE),
    ""Not Found""
  )
)
"),"Division of integers by zero")</f>
        <v>Division of integers by zero</v>
      </c>
      <c r="I7" s="64"/>
      <c r="J7" s="29" t="str">
        <f t="shared" si="0"/>
        <v>LU000364.001</v>
      </c>
      <c r="K7" s="29" t="str">
        <f ca="1">IFERROR(__xludf.dummyfunction("VLOOKUP(J7, IMPORTRANGE(""https://docs.google.com/spreadsheets/d/1yDAaXNsi4Mr5FtRQL4tbmSdIzhx6_m4wkOD7IG-k_eo/edit#gid=0"", ""Maths!M:N""), 2, FALSE)"),"State the rule that division of any integer by 0 is not defined.")</f>
        <v>State the rule that division of any integer by 0 is not defined.</v>
      </c>
      <c r="L7" s="29" t="str">
        <f t="shared" si="1"/>
        <v>LU000364.002</v>
      </c>
      <c r="M7" s="29" t="str">
        <f ca="1">IFERROR(__xludf.dummyfunction("VLOOKUP(L7, IMPORTRANGE(""https://docs.google.com/spreadsheets/d/1yDAaXNsi4Mr5FtRQL4tbmSdIzhx6_m4wkOD7IG-k_eo/edit#gid=0"", ""Maths!M:N""), 2, FALSE)"),"Explain why division of integers by 0 is not defined and the concept of ""undefined"" in mathematics.")</f>
        <v>Explain why division of integers by 0 is not defined and the concept of "undefined" in mathematics.</v>
      </c>
      <c r="N7" s="29" t="str">
        <f t="shared" si="2"/>
        <v>LU000364.003</v>
      </c>
      <c r="O7" s="29" t="str">
        <f ca="1">IFERROR(__xludf.dummyfunction("VLOOKUP(N7, IMPORTRANGE(""https://docs.google.com/spreadsheets/d/1yDAaXNsi4Mr5FtRQL4tbmSdIzhx6_m4wkOD7IG-k_eo/edit#gid=0"", ""Maths!M:N""), 2, FALSE)"),"Apply the understanding of division by 0 to identify and explain instances where division by 0 is encountered.")</f>
        <v>Apply the understanding of division by 0 to identify and explain instances where division by 0 is encountered.</v>
      </c>
      <c r="P7" s="29" t="str">
        <f t="shared" si="3"/>
        <v>LU000364.004</v>
      </c>
      <c r="Q7" s="29" t="str">
        <f ca="1">IFERROR(__xludf.dummyfunction("VLOOKUP(P7, IMPORTRANGE(""https://docs.google.com/spreadsheets/d/1yDAaXNsi4Mr5FtRQL4tbmSdIzhx6_m4wkOD7IG-k_eo/edit#gid=0"", ""Maths!M:N""), 2, FALSE)"),"Analyse a set of mathematical expressions involving division by 0 and explain the implications.")</f>
        <v>Analyse a set of mathematical expressions involving division by 0 and explain the implications.</v>
      </c>
      <c r="R7" s="29" t="str">
        <f t="shared" si="4"/>
        <v>LU000364.005</v>
      </c>
      <c r="S7" s="29" t="str">
        <f ca="1">IFERROR(__xludf.dummyfunction("VLOOKUP(R7, IMPORTRANGE(""https://docs.google.com/spreadsheets/d/1yDAaXNsi4Mr5FtRQL4tbmSdIzhx6_m4wkOD7IG-k_eo/edit#gid=0"", ""Maths!M:N""), 2, FALSE)"),"Evaluate the application of division by 0 in a solution to a problem and provide feedback on the error.")</f>
        <v>Evaluate the application of division by 0 in a solution to a problem and provide feedback on the error.</v>
      </c>
      <c r="T7" s="29" t="str">
        <f t="shared" si="5"/>
        <v>LU000364.006</v>
      </c>
      <c r="U7" s="29" t="str">
        <f ca="1">IFERROR(__xludf.dummyfunction("VLOOKUP(T7, IMPORTRANGE(""https://docs.google.com/spreadsheets/d/1yDAaXNsi4Mr5FtRQL4tbmSdIzhx6_m4wkOD7IG-k_eo/edit#gid=0"", ""Maths!M:N""), 2, FALSE)"),"Construct a creative visual representation or infographic that illustrates why division by 0 is not defined.")</f>
        <v>Construct a creative visual representation or infographic that illustrates why division by 0 is not defined.</v>
      </c>
      <c r="V7" s="16">
        <f ca="1">IFERROR(__xludf.dummyfunction("ArrayFormula(VLOOKUP(G7, IMPORTRANGE(""https://docs.google.com/spreadsheets/d/1p7R4vtkWt5VOBim4ltsDG9KTzSjrtKXsMtQGXPHyND0/edit#gid=795171502"", ""'Filter 30_05_2024'!A1:M2000""), {2, 3, 4, 5,6,7,8,9,10,11,12,13}, 0))"),4)</f>
        <v>4</v>
      </c>
      <c r="W7" s="16">
        <f ca="1">IFERROR(__xludf.dummyfunction("""COMPUTED_VALUE"""),3)</f>
        <v>3</v>
      </c>
      <c r="X7" s="16">
        <f ca="1">IFERROR(__xludf.dummyfunction("""COMPUTED_VALUE"""),2)</f>
        <v>2</v>
      </c>
      <c r="Y7" s="16">
        <f ca="1">IFERROR(__xludf.dummyfunction("""COMPUTED_VALUE"""),9)</f>
        <v>9</v>
      </c>
      <c r="Z7" s="16">
        <f ca="1">IFERROR(__xludf.dummyfunction("""COMPUTED_VALUE"""),4)</f>
        <v>4</v>
      </c>
      <c r="AA7" s="30">
        <f ca="1">IFERROR(__xludf.dummyfunction("""COMPUTED_VALUE"""),6)</f>
        <v>6</v>
      </c>
      <c r="AB7" s="30">
        <f ca="1">IFERROR(__xludf.dummyfunction("""COMPUTED_VALUE"""),1)</f>
        <v>1</v>
      </c>
      <c r="AC7" s="30">
        <f ca="1">IFERROR(__xludf.dummyfunction("""COMPUTED_VALUE"""),11)</f>
        <v>11</v>
      </c>
      <c r="AD7" s="16"/>
      <c r="AE7" s="30"/>
      <c r="AF7" s="30"/>
      <c r="AG7" s="30"/>
    </row>
    <row r="8" spans="1:33" ht="13.8">
      <c r="A8" s="25"/>
      <c r="B8" s="25" t="s">
        <v>29</v>
      </c>
      <c r="C8" s="25" t="s">
        <v>310</v>
      </c>
      <c r="D8" s="25">
        <v>7</v>
      </c>
      <c r="E8" s="64" t="s">
        <v>394</v>
      </c>
      <c r="F8" s="70"/>
      <c r="G8" s="71" t="s">
        <v>768</v>
      </c>
      <c r="H8" s="72" t="str">
        <f ca="1">IFERROR(__xludf.dummyfunction("IFERROR(
  VLOOKUP(G8, IMPORTRANGE(""https://docs.google.com/spreadsheets/d/14deopnvwcrKtEGCKuYXdUHJbeLDZlkiSSWWT0g7x2pM/edit#gid=849066331"", ""LU List Maths (Filter)!A:B""), 2, FALSE),
  IFERROR(
    VLOOKUP(G8, IMPORTRANGE(""https://docs.google.com/spr"&amp;"eadsheets/d/14deopnvwcrKtEGCKuYXdUHJbeLDZlkiSSWWT0g7x2pM/edit#gid=849066331"", ""LU List Science (Filter)!A:B""), 2, FALSE),
    ""Not Found""
  )
)
"),"Division of zero by any non-zero integer")</f>
        <v>Division of zero by any non-zero integer</v>
      </c>
      <c r="I8" s="64"/>
      <c r="J8" s="29" t="str">
        <f t="shared" si="0"/>
        <v>LU000365.001</v>
      </c>
      <c r="K8" s="29" t="str">
        <f ca="1">IFERROR(__xludf.dummyfunction("VLOOKUP(J8, IMPORTRANGE(""https://docs.google.com/spreadsheets/d/1yDAaXNsi4Mr5FtRQL4tbmSdIzhx6_m4wkOD7IG-k_eo/edit#gid=0"", ""Maths!M:N""), 2, FALSE)"),"State the rule that division of 0 by any non-zero integer is 0.")</f>
        <v>State the rule that division of 0 by any non-zero integer is 0.</v>
      </c>
      <c r="L8" s="29" t="str">
        <f t="shared" si="1"/>
        <v>LU000365.002</v>
      </c>
      <c r="M8" s="29" t="str">
        <f ca="1">IFERROR(__xludf.dummyfunction("VLOOKUP(L8, IMPORTRANGE(""https://docs.google.com/spreadsheets/d/1yDAaXNsi4Mr5FtRQL4tbmSdIzhx6_m4wkOD7IG-k_eo/edit#gid=0"", ""Maths!M:N""), 2, FALSE)"),"Explain why division of 0 by any non-zero integer results in 0.")</f>
        <v>Explain why division of 0 by any non-zero integer results in 0.</v>
      </c>
      <c r="N8" s="29" t="str">
        <f t="shared" si="2"/>
        <v>LU000365.003</v>
      </c>
      <c r="O8" s="29" t="str">
        <f ca="1">IFERROR(__xludf.dummyfunction("VLOOKUP(N8, IMPORTRANGE(""https://docs.google.com/spreadsheets/d/1yDAaXNsi4Mr5FtRQL4tbmSdIzhx6_m4wkOD7IG-k_eo/edit#gid=0"", ""Maths!M:N""), 2, FALSE)"),"Solve word problems that requires dividing 0 by a non-zero integer to find the resulting quotient.")</f>
        <v>Solve word problems that requires dividing 0 by a non-zero integer to find the resulting quotient.</v>
      </c>
      <c r="P8" s="29" t="str">
        <f t="shared" si="3"/>
        <v>LU000365.004</v>
      </c>
      <c r="Q8" s="29" t="str">
        <f ca="1">IFERROR(__xludf.dummyfunction("VLOOKUP(P8, IMPORTRANGE(""https://docs.google.com/spreadsheets/d/1yDAaXNsi4Mr5FtRQL4tbmSdIzhx6_m4wkOD7IG-k_eo/edit#gid=0"", ""Maths!M:N""), 2, FALSE)"),"Analyse a set of mathematical expressions involving division of 0 by non-zero integers and explain the consistent result.")</f>
        <v>Analyse a set of mathematical expressions involving division of 0 by non-zero integers and explain the consistent result.</v>
      </c>
      <c r="R8" s="29" t="str">
        <f t="shared" si="4"/>
        <v>LU000365.005</v>
      </c>
      <c r="S8" s="29" t="str">
        <f ca="1">IFERROR(__xludf.dummyfunction("VLOOKUP(R8, IMPORTRANGE(""https://docs.google.com/spreadsheets/d/1yDAaXNsi4Mr5FtRQL4tbmSdIzhx6_m4wkOD7IG-k_eo/edit#gid=0"", ""Maths!M:N""), 2, FALSE)"),"Evaluate the application of division of 0 by non-zero integers in a solution and provide feedback.")</f>
        <v>Evaluate the application of division of 0 by non-zero integers in a solution and provide feedback.</v>
      </c>
      <c r="T8" s="29" t="str">
        <f t="shared" si="5"/>
        <v>LU000365.006</v>
      </c>
      <c r="U8" s="29" t="str">
        <f ca="1">IFERROR(__xludf.dummyfunction("VLOOKUP(T8, IMPORTRANGE(""https://docs.google.com/spreadsheets/d/1yDAaXNsi4Mr5FtRQL4tbmSdIzhx6_m4wkOD7IG-k_eo/edit#gid=0"", ""Maths!M:N""), 2, FALSE)"),"#N/A")</f>
        <v>#N/A</v>
      </c>
      <c r="V8" s="16">
        <f ca="1">IFERROR(__xludf.dummyfunction("ArrayFormula(VLOOKUP(G8, IMPORTRANGE(""https://docs.google.com/spreadsheets/d/1p7R4vtkWt5VOBim4ltsDG9KTzSjrtKXsMtQGXPHyND0/edit#gid=795171502"", ""'Filter 30_05_2024'!A1:M2000""), {2, 3, 4, 5,6,7,8,9,10,11,12,13}, 0))"),4)</f>
        <v>4</v>
      </c>
      <c r="W8" s="16">
        <f ca="1">IFERROR(__xludf.dummyfunction("""COMPUTED_VALUE"""),6)</f>
        <v>6</v>
      </c>
      <c r="X8" s="16">
        <f ca="1">IFERROR(__xludf.dummyfunction("""COMPUTED_VALUE"""),2)</f>
        <v>2</v>
      </c>
      <c r="Y8" s="16">
        <f ca="1">IFERROR(__xludf.dummyfunction("""COMPUTED_VALUE"""),12)</f>
        <v>12</v>
      </c>
      <c r="Z8" s="16">
        <f ca="1">IFERROR(__xludf.dummyfunction("""COMPUTED_VALUE"""),4)</f>
        <v>4</v>
      </c>
      <c r="AA8" s="30">
        <f ca="1">IFERROR(__xludf.dummyfunction("""COMPUTED_VALUE"""),3)</f>
        <v>3</v>
      </c>
      <c r="AB8" s="30">
        <f ca="1">IFERROR(__xludf.dummyfunction("""COMPUTED_VALUE"""),1)</f>
        <v>1</v>
      </c>
      <c r="AC8" s="30">
        <f ca="1">IFERROR(__xludf.dummyfunction("""COMPUTED_VALUE"""),8)</f>
        <v>8</v>
      </c>
      <c r="AD8" s="16"/>
      <c r="AE8" s="30"/>
      <c r="AF8" s="30"/>
      <c r="AG8" s="30"/>
    </row>
    <row r="9" spans="1:33" ht="13.8">
      <c r="A9" s="43"/>
      <c r="B9" s="43" t="s">
        <v>29</v>
      </c>
      <c r="C9" s="43" t="s">
        <v>310</v>
      </c>
      <c r="D9" s="43">
        <v>7</v>
      </c>
      <c r="E9" s="73" t="s">
        <v>394</v>
      </c>
      <c r="F9" s="74" t="s">
        <v>769</v>
      </c>
      <c r="G9" s="75" t="s">
        <v>413</v>
      </c>
      <c r="H9" s="76" t="str">
        <f ca="1">IFERROR(__xludf.dummyfunction("IFERROR(
  VLOOKUP(G9, IMPORTRANGE(""https://docs.google.com/spreadsheets/d/14deopnvwcrKtEGCKuYXdUHJbeLDZlkiSSWWT0g7x2pM/edit#gid=849066331"", ""LU List Maths (Filter)!A:B""), 2, FALSE),
  IFERROR(
    VLOOKUP(G9, IMPORTRANGE(""https://docs.google.com/spr"&amp;"eadsheets/d/14deopnvwcrKtEGCKuYXdUHJbeLDZlkiSSWWT0g7x2pM/edit#gid=849066331"", ""LU List Science (Filter)!A:B""), 2, FALSE),
    ""Not Found""
  )
)
"),"Closure property for addition of integers")</f>
        <v>Closure property for addition of integers</v>
      </c>
      <c r="I9" s="73"/>
      <c r="J9" s="29" t="str">
        <f t="shared" si="0"/>
        <v>LU000991.001</v>
      </c>
      <c r="K9" s="29" t="str">
        <f ca="1">IFERROR(__xludf.dummyfunction("VLOOKUP(J9, IMPORTRANGE(""https://docs.google.com/spreadsheets/d/1yDAaXNsi4Mr5FtRQL4tbmSdIzhx6_m4wkOD7IG-k_eo/edit#gid=0"", ""Maths!M:N""), 2, FALSE)"),"Recall the definition of the closure property for addition of integers.")</f>
        <v>Recall the definition of the closure property for addition of integers.</v>
      </c>
      <c r="L9" s="29" t="str">
        <f t="shared" si="1"/>
        <v>LU000991.002</v>
      </c>
      <c r="M9" s="29" t="str">
        <f ca="1">IFERROR(__xludf.dummyfunction("VLOOKUP(L9, IMPORTRANGE(""https://docs.google.com/spreadsheets/d/1yDAaXNsi4Mr5FtRQL4tbmSdIzhx6_m4wkOD7IG-k_eo/edit#gid=0"", ""Maths!M:N""), 2, FALSE)"),"Explain the concept of the closure property and how it applies to the addition of integers.")</f>
        <v>Explain the concept of the closure property and how it applies to the addition of integers.</v>
      </c>
      <c r="N9" s="29" t="str">
        <f t="shared" si="2"/>
        <v>LU000991.003</v>
      </c>
      <c r="O9" s="29" t="str">
        <f ca="1">IFERROR(__xludf.dummyfunction("VLOOKUP(N9, IMPORTRANGE(""https://docs.google.com/spreadsheets/d/1yDAaXNsi4Mr5FtRQL4tbmSdIzhx6_m4wkOD7IG-k_eo/edit#gid=0"", ""Maths!M:N""), 2, FALSE)"),"Apply the closure property to demonstrate that the sum of two integers is always an integer in practical addition calculations.")</f>
        <v>Apply the closure property to demonstrate that the sum of two integers is always an integer in practical addition calculations.</v>
      </c>
      <c r="P9" s="29" t="str">
        <f t="shared" si="3"/>
        <v>LU000991.004</v>
      </c>
      <c r="Q9" s="29" t="str">
        <f ca="1">IFERROR(__xludf.dummyfunction("VLOOKUP(P9, IMPORTRANGE(""https://docs.google.com/spreadsheets/d/1yDAaXNsi4Mr5FtRQL4tbmSdIzhx6_m4wkOD7IG-k_eo/edit#gid=0"", ""Maths!M:N""), 2, FALSE)"),"Analyze mathematical expressions to verify the closure property in action for addition of integers.")</f>
        <v>Analyze mathematical expressions to verify the closure property in action for addition of integers.</v>
      </c>
      <c r="R9" s="29" t="str">
        <f t="shared" si="4"/>
        <v>LU000991.005</v>
      </c>
      <c r="S9" s="29" t="str">
        <f ca="1">IFERROR(__xludf.dummyfunction("VLOOKUP(R9, IMPORTRANGE(""https://docs.google.com/spreadsheets/d/1yDAaXNsi4Mr5FtRQL4tbmSdIzhx6_m4wkOD7IG-k_eo/edit#gid=0"", ""Maths!M:N""), 2, FALSE)"),"Evaluate the correctness of statements regarding the closure property and its significance in integer addition.")</f>
        <v>Evaluate the correctness of statements regarding the closure property and its significance in integer addition.</v>
      </c>
      <c r="T9" s="29" t="str">
        <f t="shared" si="5"/>
        <v>LU000991.006</v>
      </c>
      <c r="U9" s="29" t="str">
        <f ca="1">IFERROR(__xludf.dummyfunction("VLOOKUP(T9, IMPORTRANGE(""https://docs.google.com/spreadsheets/d/1yDAaXNsi4Mr5FtRQL4tbmSdIzhx6_m4wkOD7IG-k_eo/edit#gid=0"", ""Maths!M:N""), 2, FALSE)"),"#N/A")</f>
        <v>#N/A</v>
      </c>
      <c r="V9" s="16">
        <f ca="1">IFERROR(__xludf.dummyfunction("ArrayFormula(VLOOKUP(G9, IMPORTRANGE(""https://docs.google.com/spreadsheets/d/1p7R4vtkWt5VOBim4ltsDG9KTzSjrtKXsMtQGXPHyND0/edit#gid=795171502"", ""'Filter 30_05_2024'!A1:M2000""), {2, 3, 4, 5,6,7,8,9,10,11,12,13}, 0))"),4)</f>
        <v>4</v>
      </c>
      <c r="W9" s="16">
        <f ca="1">IFERROR(__xludf.dummyfunction("""COMPUTED_VALUE"""),6)</f>
        <v>6</v>
      </c>
      <c r="X9" s="16">
        <f ca="1">IFERROR(__xludf.dummyfunction("""COMPUTED_VALUE"""),2)</f>
        <v>2</v>
      </c>
      <c r="Y9" s="16">
        <f ca="1">IFERROR(__xludf.dummyfunction("""COMPUTED_VALUE"""),12)</f>
        <v>12</v>
      </c>
      <c r="Z9" s="16">
        <f ca="1">IFERROR(__xludf.dummyfunction("""COMPUTED_VALUE"""),5)</f>
        <v>5</v>
      </c>
      <c r="AA9" s="30">
        <f ca="1">IFERROR(__xludf.dummyfunction("""COMPUTED_VALUE"""),3)</f>
        <v>3</v>
      </c>
      <c r="AB9" s="30">
        <f ca="1">IFERROR(__xludf.dummyfunction("""COMPUTED_VALUE"""),1)</f>
        <v>1</v>
      </c>
      <c r="AC9" s="30">
        <f ca="1">IFERROR(__xludf.dummyfunction("""COMPUTED_VALUE"""),9)</f>
        <v>9</v>
      </c>
      <c r="AD9" s="16"/>
      <c r="AE9" s="30"/>
      <c r="AF9" s="30"/>
      <c r="AG9" s="30"/>
    </row>
    <row r="10" spans="1:33" ht="13.8">
      <c r="A10" s="43"/>
      <c r="B10" s="43" t="s">
        <v>29</v>
      </c>
      <c r="C10" s="43" t="s">
        <v>310</v>
      </c>
      <c r="D10" s="43">
        <v>7</v>
      </c>
      <c r="E10" s="73" t="s">
        <v>394</v>
      </c>
      <c r="F10" s="74"/>
      <c r="G10" s="75" t="s">
        <v>414</v>
      </c>
      <c r="H10" s="76" t="str">
        <f ca="1">IFERROR(__xludf.dummyfunction("IFERROR(
  VLOOKUP(G10, IMPORTRANGE(""https://docs.google.com/spreadsheets/d/14deopnvwcrKtEGCKuYXdUHJbeLDZlkiSSWWT0g7x2pM/edit#gid=849066331"", ""LU List Maths (Filter)!A:B""), 2, FALSE),
  IFERROR(
    VLOOKUP(G10, IMPORTRANGE(""https://docs.google.com/s"&amp;"preadsheets/d/14deopnvwcrKtEGCKuYXdUHJbeLDZlkiSSWWT0g7x2pM/edit#gid=849066331"", ""LU List Science (Filter)!A:B""), 2, FALSE),
    ""Not Found""
  )
)
"),"Commutative property for addition of integers")</f>
        <v>Commutative property for addition of integers</v>
      </c>
      <c r="I10" s="73"/>
      <c r="J10" s="29" t="str">
        <f t="shared" si="0"/>
        <v>LU000995.001</v>
      </c>
      <c r="K10" s="29" t="str">
        <f ca="1">IFERROR(__xludf.dummyfunction("VLOOKUP(J10, IMPORTRANGE(""https://docs.google.com/spreadsheets/d/1yDAaXNsi4Mr5FtRQL4tbmSdIzhx6_m4wkOD7IG-k_eo/edit#gid=0"", ""Maths!M:N""), 2, FALSE)"),"Recall the statement of the commutative property for addition of integers.")</f>
        <v>Recall the statement of the commutative property for addition of integers.</v>
      </c>
      <c r="L10" s="29" t="str">
        <f t="shared" si="1"/>
        <v>LU000995.002</v>
      </c>
      <c r="M10" s="29" t="str">
        <f ca="1">IFERROR(__xludf.dummyfunction("VLOOKUP(L10, IMPORTRANGE(""https://docs.google.com/spreadsheets/d/1yDAaXNsi4Mr5FtRQL4tbmSdIzhx6_m4wkOD7IG-k_eo/edit#gid=0"", ""Maths!M:N""), 2, FALSE)"),"Explain the concept of the commutative property and its application to addition of integers.")</f>
        <v>Explain the concept of the commutative property and its application to addition of integers.</v>
      </c>
      <c r="N10" s="29" t="str">
        <f t="shared" si="2"/>
        <v>LU000995.003</v>
      </c>
      <c r="O10" s="29" t="str">
        <f ca="1">IFERROR(__xludf.dummyfunction("VLOOKUP(N10, IMPORTRANGE(""https://docs.google.com/spreadsheets/d/1yDAaXNsi4Mr5FtRQL4tbmSdIzhx6_m4wkOD7IG-k_eo/edit#gid=0"", ""Maths!M:N""), 2, FALSE)"),"Apply the commutative property to demonstrate that the sum of two integers remains the same regardless of the order in practical addition calculations.")</f>
        <v>Apply the commutative property to demonstrate that the sum of two integers remains the same regardless of the order in practical addition calculations.</v>
      </c>
      <c r="P10" s="29" t="str">
        <f t="shared" si="3"/>
        <v>LU000995.004</v>
      </c>
      <c r="Q10" s="29" t="str">
        <f ca="1">IFERROR(__xludf.dummyfunction("VLOOKUP(P10, IMPORTRANGE(""https://docs.google.com/spreadsheets/d/1yDAaXNsi4Mr5FtRQL4tbmSdIzhx6_m4wkOD7IG-k_eo/edit#gid=0"", ""Maths!M:N""), 2, FALSE)"),"Analyze mathematical expressions to verify the commutative property in action for addition of integers.")</f>
        <v>Analyze mathematical expressions to verify the commutative property in action for addition of integers.</v>
      </c>
      <c r="R10" s="29" t="str">
        <f t="shared" si="4"/>
        <v>LU000995.005</v>
      </c>
      <c r="S10" s="29" t="str">
        <f ca="1">IFERROR(__xludf.dummyfunction("VLOOKUP(R10, IMPORTRANGE(""https://docs.google.com/spreadsheets/d/1yDAaXNsi4Mr5FtRQL4tbmSdIzhx6_m4wkOD7IG-k_eo/edit#gid=0"", ""Maths!M:N""), 2, FALSE)"),"Evaluate the correctness of statements regarding the commutative property and its relevance in integer addition.")</f>
        <v>Evaluate the correctness of statements regarding the commutative property and its relevance in integer addition.</v>
      </c>
      <c r="T10" s="29" t="str">
        <f t="shared" si="5"/>
        <v>LU000995.006</v>
      </c>
      <c r="U10" s="29" t="str">
        <f ca="1">IFERROR(__xludf.dummyfunction("VLOOKUP(T10, IMPORTRANGE(""https://docs.google.com/spreadsheets/d/1yDAaXNsi4Mr5FtRQL4tbmSdIzhx6_m4wkOD7IG-k_eo/edit#gid=0"", ""Maths!M:N""), 2, FALSE)"),"#N/A")</f>
        <v>#N/A</v>
      </c>
      <c r="V10" s="16">
        <f ca="1">IFERROR(__xludf.dummyfunction("ArrayFormula(VLOOKUP(G10, IMPORTRANGE(""https://docs.google.com/spreadsheets/d/1p7R4vtkWt5VOBim4ltsDG9KTzSjrtKXsMtQGXPHyND0/edit#gid=795171502"", ""'Filter 30_05_2024'!A1:M2000""), {2, 3, 4, 5,6,7,8,9,10,11,12,13}, 0))"),14)</f>
        <v>14</v>
      </c>
      <c r="W10" s="16">
        <f ca="1">IFERROR(__xludf.dummyfunction("""COMPUTED_VALUE"""),9)</f>
        <v>9</v>
      </c>
      <c r="X10" s="16">
        <f ca="1">IFERROR(__xludf.dummyfunction("""COMPUTED_VALUE"""),5)</f>
        <v>5</v>
      </c>
      <c r="Y10" s="16">
        <f ca="1">IFERROR(__xludf.dummyfunction("""COMPUTED_VALUE"""),28)</f>
        <v>28</v>
      </c>
      <c r="Z10" s="16">
        <f ca="1">IFERROR(__xludf.dummyfunction("""COMPUTED_VALUE"""),4)</f>
        <v>4</v>
      </c>
      <c r="AA10" s="30">
        <f ca="1">IFERROR(__xludf.dummyfunction("""COMPUTED_VALUE"""),3)</f>
        <v>3</v>
      </c>
      <c r="AB10" s="30">
        <f ca="1">IFERROR(__xludf.dummyfunction("""COMPUTED_VALUE"""),2)</f>
        <v>2</v>
      </c>
      <c r="AC10" s="30">
        <f ca="1">IFERROR(__xludf.dummyfunction("""COMPUTED_VALUE"""),9)</f>
        <v>9</v>
      </c>
      <c r="AD10" s="16"/>
      <c r="AE10" s="30"/>
      <c r="AF10" s="30"/>
      <c r="AG10" s="30"/>
    </row>
    <row r="11" spans="1:33" ht="13.8">
      <c r="A11" s="43"/>
      <c r="B11" s="43" t="s">
        <v>29</v>
      </c>
      <c r="C11" s="43" t="s">
        <v>310</v>
      </c>
      <c r="D11" s="43">
        <v>7</v>
      </c>
      <c r="E11" s="73" t="s">
        <v>394</v>
      </c>
      <c r="F11" s="74"/>
      <c r="G11" s="75" t="s">
        <v>415</v>
      </c>
      <c r="H11" s="76" t="str">
        <f ca="1">IFERROR(__xludf.dummyfunction("IFERROR(
  VLOOKUP(G11, IMPORTRANGE(""https://docs.google.com/spreadsheets/d/14deopnvwcrKtEGCKuYXdUHJbeLDZlkiSSWWT0g7x2pM/edit#gid=849066331"", ""LU List Maths (Filter)!A:B""), 2, FALSE),
  IFERROR(
    VLOOKUP(G11, IMPORTRANGE(""https://docs.google.com/s"&amp;"preadsheets/d/14deopnvwcrKtEGCKuYXdUHJbeLDZlkiSSWWT0g7x2pM/edit#gid=849066331"", ""LU List Science (Filter)!A:B""), 2, FALSE),
    ""Not Found""
  )
)
"),"Associative property for addition of integers")</f>
        <v>Associative property for addition of integers</v>
      </c>
      <c r="I11" s="73"/>
      <c r="J11" s="29" t="str">
        <f t="shared" si="0"/>
        <v>LU001001.001</v>
      </c>
      <c r="K11" s="29" t="str">
        <f ca="1">IFERROR(__xludf.dummyfunction("VLOOKUP(J11, IMPORTRANGE(""https://docs.google.com/spreadsheets/d/1yDAaXNsi4Mr5FtRQL4tbmSdIzhx6_m4wkOD7IG-k_eo/edit#gid=0"", ""Maths!M:N""), 2, FALSE)"),"Recall the statement of the associative property for addition of integers.")</f>
        <v>Recall the statement of the associative property for addition of integers.</v>
      </c>
      <c r="L11" s="29" t="str">
        <f t="shared" si="1"/>
        <v>LU001001.002</v>
      </c>
      <c r="M11" s="29" t="str">
        <f ca="1">IFERROR(__xludf.dummyfunction("VLOOKUP(L11, IMPORTRANGE(""https://docs.google.com/spreadsheets/d/1yDAaXNsi4Mr5FtRQL4tbmSdIzhx6_m4wkOD7IG-k_eo/edit#gid=0"", ""Maths!M:N""), 2, FALSE)"),"Explain the concept of the associative property and how it applies to addition of integers.")</f>
        <v>Explain the concept of the associative property and how it applies to addition of integers.</v>
      </c>
      <c r="N11" s="29" t="str">
        <f t="shared" si="2"/>
        <v>LU001001.003</v>
      </c>
      <c r="O11" s="29" t="str">
        <f ca="1">IFERROR(__xludf.dummyfunction("VLOOKUP(N11, IMPORTRANGE(""https://docs.google.com/spreadsheets/d/1yDAaXNsi4Mr5FtRQL4tbmSdIzhx6_m4wkOD7IG-k_eo/edit#gid=0"", ""Maths!M:N""), 2, FALSE)"),"Apply the associative property to re-group and simplify integer addition expressions.")</f>
        <v>Apply the associative property to re-group and simplify integer addition expressions.</v>
      </c>
      <c r="P11" s="29" t="str">
        <f t="shared" si="3"/>
        <v>LU001001.004</v>
      </c>
      <c r="Q11" s="29" t="str">
        <f ca="1">IFERROR(__xludf.dummyfunction("VLOOKUP(P11, IMPORTRANGE(""https://docs.google.com/spreadsheets/d/1yDAaXNsi4Mr5FtRQL4tbmSdIzhx6_m4wkOD7IG-k_eo/edit#gid=0"", ""Maths!M:N""), 2, FALSE)"),"Analyze mathematical equations to demonstrate the use of the associative property and how it affects the grouping of integers in addition.")</f>
        <v>Analyze mathematical equations to demonstrate the use of the associative property and how it affects the grouping of integers in addition.</v>
      </c>
      <c r="R11" s="29" t="str">
        <f t="shared" si="4"/>
        <v>LU001001.005</v>
      </c>
      <c r="S11" s="29" t="str">
        <f ca="1">IFERROR(__xludf.dummyfunction("VLOOKUP(R11, IMPORTRANGE(""https://docs.google.com/spreadsheets/d/1yDAaXNsi4Mr5FtRQL4tbmSdIzhx6_m4wkOD7IG-k_eo/edit#gid=0"", ""Maths!M:N""), 2, FALSE)"),"Evaluate the correctness of solutions obtained using the associative property in integer addition problems and identify any errors.")</f>
        <v>Evaluate the correctness of solutions obtained using the associative property in integer addition problems and identify any errors.</v>
      </c>
      <c r="T11" s="29" t="str">
        <f t="shared" si="5"/>
        <v>LU001001.006</v>
      </c>
      <c r="U11" s="29" t="str">
        <f ca="1">IFERROR(__xludf.dummyfunction("VLOOKUP(T11, IMPORTRANGE(""https://docs.google.com/spreadsheets/d/1yDAaXNsi4Mr5FtRQL4tbmSdIzhx6_m4wkOD7IG-k_eo/edit#gid=0"", ""Maths!M:N""), 2, FALSE)"),"#N/A")</f>
        <v>#N/A</v>
      </c>
      <c r="V11" s="16">
        <f ca="1">IFERROR(__xludf.dummyfunction("ArrayFormula(VLOOKUP(G11, IMPORTRANGE(""https://docs.google.com/spreadsheets/d/1p7R4vtkWt5VOBim4ltsDG9KTzSjrtKXsMtQGXPHyND0/edit#gid=795171502"", ""'Filter 30_05_2024'!A1:M2000""), {2, 3, 4, 5,6,7,8,9,10,11,12,13}, 0))"),5)</f>
        <v>5</v>
      </c>
      <c r="W11" s="16">
        <f ca="1">IFERROR(__xludf.dummyfunction("""COMPUTED_VALUE"""),5)</f>
        <v>5</v>
      </c>
      <c r="X11" s="16">
        <f ca="1">IFERROR(__xludf.dummyfunction("""COMPUTED_VALUE"""),17)</f>
        <v>17</v>
      </c>
      <c r="Y11" s="16">
        <f ca="1">IFERROR(__xludf.dummyfunction("""COMPUTED_VALUE"""),27)</f>
        <v>27</v>
      </c>
      <c r="Z11" s="16">
        <f ca="1">IFERROR(__xludf.dummyfunction("""COMPUTED_VALUE"""),4)</f>
        <v>4</v>
      </c>
      <c r="AA11" s="30">
        <f ca="1">IFERROR(__xludf.dummyfunction("""COMPUTED_VALUE"""),5)</f>
        <v>5</v>
      </c>
      <c r="AB11" s="30">
        <f ca="1">IFERROR(__xludf.dummyfunction("""COMPUTED_VALUE"""),2)</f>
        <v>2</v>
      </c>
      <c r="AC11" s="30">
        <f ca="1">IFERROR(__xludf.dummyfunction("""COMPUTED_VALUE"""),11)</f>
        <v>11</v>
      </c>
      <c r="AD11" s="16"/>
      <c r="AE11" s="30"/>
      <c r="AF11" s="30"/>
      <c r="AG11" s="30"/>
    </row>
    <row r="12" spans="1:33" ht="26.4">
      <c r="A12" s="43"/>
      <c r="B12" s="43" t="s">
        <v>29</v>
      </c>
      <c r="C12" s="43" t="s">
        <v>310</v>
      </c>
      <c r="D12" s="43">
        <v>7</v>
      </c>
      <c r="E12" s="73" t="s">
        <v>394</v>
      </c>
      <c r="F12" s="74" t="s">
        <v>770</v>
      </c>
      <c r="G12" s="75" t="s">
        <v>416</v>
      </c>
      <c r="H12" s="76" t="str">
        <f ca="1">IFERROR(__xludf.dummyfunction("IFERROR(
  VLOOKUP(G12, IMPORTRANGE(""https://docs.google.com/spreadsheets/d/14deopnvwcrKtEGCKuYXdUHJbeLDZlkiSSWWT0g7x2pM/edit#gid=849066331"", ""LU List Maths (Filter)!A:B""), 2, FALSE),
  IFERROR(
    VLOOKUP(G12, IMPORTRANGE(""https://docs.google.com/s"&amp;"preadsheets/d/14deopnvwcrKtEGCKuYXdUHJbeLDZlkiSSWWT0g7x2pM/edit#gid=849066331"", ""LU List Science (Filter)!A:B""), 2, FALSE),
    ""Not Found""
  )
)
"),"Additive identity of integers")</f>
        <v>Additive identity of integers</v>
      </c>
      <c r="I12" s="73"/>
      <c r="J12" s="29" t="str">
        <f t="shared" si="0"/>
        <v>LU000354.001</v>
      </c>
      <c r="K12" s="29" t="str">
        <f ca="1">IFERROR(__xludf.dummyfunction("VLOOKUP(J12, IMPORTRANGE(""https://docs.google.com/spreadsheets/d/1yDAaXNsi4Mr5FtRQL4tbmSdIzhx6_m4wkOD7IG-k_eo/edit#gid=0"", ""Maths!M:N""), 2, FALSE)"),"Define the additive identity of integers and its mathematical representation.")</f>
        <v>Define the additive identity of integers and its mathematical representation.</v>
      </c>
      <c r="L12" s="29" t="str">
        <f t="shared" si="1"/>
        <v>LU000354.002</v>
      </c>
      <c r="M12" s="29" t="str">
        <f ca="1">IFERROR(__xludf.dummyfunction("VLOOKUP(L12, IMPORTRANGE(""https://docs.google.com/spreadsheets/d/1yDAaXNsi4Mr5FtRQL4tbmSdIzhx6_m4wkOD7IG-k_eo/edit#gid=0"", ""Maths!M:N""), 2, FALSE)"),"Explain the concept of additive identity in the context of integers and its role in addition operations.")</f>
        <v>Explain the concept of additive identity in the context of integers and its role in addition operations.</v>
      </c>
      <c r="N12" s="29" t="str">
        <f t="shared" si="2"/>
        <v>LU000354.003</v>
      </c>
      <c r="O12" s="29" t="str">
        <f ca="1">IFERROR(__xludf.dummyfunction("VLOOKUP(N12, IMPORTRANGE(""https://docs.google.com/spreadsheets/d/1yDAaXNsi4Mr5FtRQL4tbmSdIzhx6_m4wkOD7IG-k_eo/edit#gid=0"", ""Maths!M:N""), 2, FALSE)"),"Apply the additive identity property to simplify expressions involving integers.")</f>
        <v>Apply the additive identity property to simplify expressions involving integers.</v>
      </c>
      <c r="P12" s="29" t="str">
        <f t="shared" si="3"/>
        <v>LU000354.004</v>
      </c>
      <c r="Q12" s="29" t="str">
        <f ca="1">IFERROR(__xludf.dummyfunction("VLOOKUP(P12, IMPORTRANGE(""https://docs.google.com/spreadsheets/d/1yDAaXNsi4Mr5FtRQL4tbmSdIzhx6_m4wkOD7IG-k_eo/edit#gid=0"", ""Maths!M:N""), 2, FALSE)"),"Analyse a series of integer operations and identify instances where the additive identity property is used.")</f>
        <v>Analyse a series of integer operations and identify instances where the additive identity property is used.</v>
      </c>
      <c r="R12" s="29" t="str">
        <f t="shared" si="4"/>
        <v>LU000354.005</v>
      </c>
      <c r="S12" s="29" t="str">
        <f ca="1">IFERROR(__xludf.dummyfunction("VLOOKUP(R12, IMPORTRANGE(""https://docs.google.com/spreadsheets/d/1yDAaXNsi4Mr5FtRQL4tbmSdIzhx6_m4wkOD7IG-k_eo/edit#gid=0"", ""Maths!M:N""), 2, FALSE)"),"Evaluate the application of the additive identity property in a solution to an integer addition problem.")</f>
        <v>Evaluate the application of the additive identity property in a solution to an integer addition problem.</v>
      </c>
      <c r="T12" s="29" t="str">
        <f t="shared" si="5"/>
        <v>LU000354.006</v>
      </c>
      <c r="U12" s="29" t="str">
        <f ca="1">IFERROR(__xludf.dummyfunction("VLOOKUP(T12, IMPORTRANGE(""https://docs.google.com/spreadsheets/d/1yDAaXNsi4Mr5FtRQL4tbmSdIzhx6_m4wkOD7IG-k_eo/edit#gid=0"", ""Maths!M:N""), 2, FALSE)"),"Design a set of problems that require to utilise the additive identity property in creative ways.")</f>
        <v>Design a set of problems that require to utilise the additive identity property in creative ways.</v>
      </c>
      <c r="V12" s="16">
        <f ca="1">IFERROR(__xludf.dummyfunction("ArrayFormula(VLOOKUP(G12, IMPORTRANGE(""https://docs.google.com/spreadsheets/d/1p7R4vtkWt5VOBim4ltsDG9KTzSjrtKXsMtQGXPHyND0/edit#gid=795171502"", ""'Filter 30_05_2024'!A1:M2000""), {2, 3, 4, 5,6,7,8,9,10,11,12,13}, 0))"),4)</f>
        <v>4</v>
      </c>
      <c r="W12" s="16">
        <f ca="1">IFERROR(__xludf.dummyfunction("""COMPUTED_VALUE"""),7)</f>
        <v>7</v>
      </c>
      <c r="X12" s="16">
        <f ca="1">IFERROR(__xludf.dummyfunction("""COMPUTED_VALUE"""),2)</f>
        <v>2</v>
      </c>
      <c r="Y12" s="16">
        <f ca="1">IFERROR(__xludf.dummyfunction("""COMPUTED_VALUE"""),13)</f>
        <v>13</v>
      </c>
      <c r="Z12" s="16">
        <f ca="1">IFERROR(__xludf.dummyfunction("""COMPUTED_VALUE"""),4)</f>
        <v>4</v>
      </c>
      <c r="AA12" s="30">
        <f ca="1">IFERROR(__xludf.dummyfunction("""COMPUTED_VALUE"""),3)</f>
        <v>3</v>
      </c>
      <c r="AB12" s="30">
        <f ca="1">IFERROR(__xludf.dummyfunction("""COMPUTED_VALUE"""),1)</f>
        <v>1</v>
      </c>
      <c r="AC12" s="30">
        <f ca="1">IFERROR(__xludf.dummyfunction("""COMPUTED_VALUE"""),8)</f>
        <v>8</v>
      </c>
      <c r="AD12" s="16"/>
      <c r="AE12" s="30"/>
      <c r="AF12" s="30"/>
      <c r="AG12" s="30"/>
    </row>
    <row r="13" spans="1:33" ht="13.8">
      <c r="A13" s="43"/>
      <c r="B13" s="43" t="s">
        <v>29</v>
      </c>
      <c r="C13" s="43" t="s">
        <v>310</v>
      </c>
      <c r="D13" s="43">
        <v>7</v>
      </c>
      <c r="E13" s="73" t="s">
        <v>394</v>
      </c>
      <c r="F13" s="74"/>
      <c r="G13" s="77" t="s">
        <v>411</v>
      </c>
      <c r="H13" s="76" t="str">
        <f ca="1">IFERROR(__xludf.dummyfunction("IFERROR(
  VLOOKUP(G13, IMPORTRANGE(""https://docs.google.com/spreadsheets/d/14deopnvwcrKtEGCKuYXdUHJbeLDZlkiSSWWT0g7x2pM/edit#gid=849066331"", ""LU List Maths (Filter)!A:B""), 2, FALSE),
  IFERROR(
    VLOOKUP(G13, IMPORTRANGE(""https://docs.google.com/s"&amp;"preadsheets/d/14deopnvwcrKtEGCKuYXdUHJbeLDZlkiSSWWT0g7x2pM/edit#gid=849066331"", ""LU List Science (Filter)!A:B""), 2, FALSE),
    ""Not Found""
  )
)
"),"Additive inverse of integers")</f>
        <v>Additive inverse of integers</v>
      </c>
      <c r="I13" s="73"/>
      <c r="J13" s="29" t="str">
        <f t="shared" si="0"/>
        <v>LU000274.001</v>
      </c>
      <c r="K13" s="29" t="str">
        <f ca="1">IFERROR(__xludf.dummyfunction("VLOOKUP(J13, IMPORTRANGE(""https://docs.google.com/spreadsheets/d/1yDAaXNsi4Mr5FtRQL4tbmSdIzhx6_m4wkOD7IG-k_eo/edit#gid=0"", ""Maths!M:N""), 2, FALSE)"),"Define the additive inverse of an integer and its relation to the original integer.")</f>
        <v>Define the additive inverse of an integer and its relation to the original integer.</v>
      </c>
      <c r="L13" s="29" t="str">
        <f t="shared" si="1"/>
        <v>LU000274.002</v>
      </c>
      <c r="M13" s="29" t="str">
        <f ca="1">IFERROR(__xludf.dummyfunction("VLOOKUP(L13, IMPORTRANGE(""https://docs.google.com/spreadsheets/d/1yDAaXNsi4Mr5FtRQL4tbmSdIzhx6_m4wkOD7IG-k_eo/edit#gid=0"", ""Maths!M:N""), 2, FALSE)"),"Describe how the additive inverse of an integer is the value that, when added to the original integer, results in zero.")</f>
        <v>Describe how the additive inverse of an integer is the value that, when added to the original integer, results in zero.</v>
      </c>
      <c r="N13" s="29" t="str">
        <f t="shared" si="2"/>
        <v>LU000274.003</v>
      </c>
      <c r="O13" s="29" t="str">
        <f ca="1">IFERROR(__xludf.dummyfunction("VLOOKUP(N13, IMPORTRANGE(""https://docs.google.com/spreadsheets/d/1yDAaXNsi4Mr5FtRQL4tbmSdIzhx6_m4wkOD7IG-k_eo/edit#gid=0"", ""Maths!M:N""), 2, FALSE)"),"Apply the knowledge of additive inverses to find the additive inverse of given integers.")</f>
        <v>Apply the knowledge of additive inverses to find the additive inverse of given integers.</v>
      </c>
      <c r="P13" s="29" t="str">
        <f t="shared" si="3"/>
        <v>LU000274.004</v>
      </c>
      <c r="Q13" s="29" t="str">
        <f ca="1">IFERROR(__xludf.dummyfunction("VLOOKUP(P13, IMPORTRANGE(""https://docs.google.com/spreadsheets/d/1yDAaXNsi4Mr5FtRQL4tbmSdIzhx6_m4wkOD7IG-k_eo/edit#gid=0"", ""Maths!M:N""), 2, FALSE)"),"Analyse how the additive inverse of an integer is located symmetrically across zero on the number line.")</f>
        <v>Analyse how the additive inverse of an integer is located symmetrically across zero on the number line.</v>
      </c>
      <c r="R13" s="29" t="str">
        <f t="shared" si="4"/>
        <v>LU000274.005</v>
      </c>
      <c r="S13" s="29" t="str">
        <f ca="1">IFERROR(__xludf.dummyfunction("VLOOKUP(R13, IMPORTRANGE(""https://docs.google.com/spreadsheets/d/1yDAaXNsi4Mr5FtRQL4tbmSdIzhx6_m4wkOD7IG-k_eo/edit#gid=0"", ""Maths!M:N""), 2, FALSE)"),"#N/A")</f>
        <v>#N/A</v>
      </c>
      <c r="T13" s="29" t="str">
        <f t="shared" si="5"/>
        <v>LU000274.006</v>
      </c>
      <c r="U13" s="29" t="str">
        <f ca="1">IFERROR(__xludf.dummyfunction("VLOOKUP(T13, IMPORTRANGE(""https://docs.google.com/spreadsheets/d/1yDAaXNsi4Mr5FtRQL4tbmSdIzhx6_m4wkOD7IG-k_eo/edit#gid=0"", ""Maths!M:N""), 2, FALSE)"),"#N/A")</f>
        <v>#N/A</v>
      </c>
      <c r="V13" s="16">
        <f ca="1">IFERROR(__xludf.dummyfunction("ArrayFormula(VLOOKUP(G13, IMPORTRANGE(""https://docs.google.com/spreadsheets/d/1p7R4vtkWt5VOBim4ltsDG9KTzSjrtKXsMtQGXPHyND0/edit#gid=795171502"", ""'Filter 30_05_2024'!A1:M2000""), {2, 3, 4, 5,6,7,8,9,10,11,12,13}, 0))"),5)</f>
        <v>5</v>
      </c>
      <c r="W13" s="16">
        <f ca="1">IFERROR(__xludf.dummyfunction("""COMPUTED_VALUE"""),3)</f>
        <v>3</v>
      </c>
      <c r="X13" s="16">
        <f ca="1">IFERROR(__xludf.dummyfunction("""COMPUTED_VALUE"""),2)</f>
        <v>2</v>
      </c>
      <c r="Y13" s="16">
        <f ca="1">IFERROR(__xludf.dummyfunction("""COMPUTED_VALUE"""),10)</f>
        <v>10</v>
      </c>
      <c r="Z13" s="16">
        <f ca="1">IFERROR(__xludf.dummyfunction("""COMPUTED_VALUE"""),4)</f>
        <v>4</v>
      </c>
      <c r="AA13" s="30">
        <f ca="1">IFERROR(__xludf.dummyfunction("""COMPUTED_VALUE"""),6)</f>
        <v>6</v>
      </c>
      <c r="AB13" s="30">
        <f ca="1">IFERROR(__xludf.dummyfunction("""COMPUTED_VALUE"""),1)</f>
        <v>1</v>
      </c>
      <c r="AC13" s="30">
        <f ca="1">IFERROR(__xludf.dummyfunction("""COMPUTED_VALUE"""),11)</f>
        <v>11</v>
      </c>
      <c r="AD13" s="16"/>
      <c r="AE13" s="30"/>
      <c r="AF13" s="30"/>
      <c r="AG13" s="30"/>
    </row>
    <row r="14" spans="1:33" ht="26.4">
      <c r="A14" s="25"/>
      <c r="B14" s="25" t="s">
        <v>29</v>
      </c>
      <c r="C14" s="25" t="s">
        <v>310</v>
      </c>
      <c r="D14" s="25">
        <v>7</v>
      </c>
      <c r="E14" s="64" t="s">
        <v>394</v>
      </c>
      <c r="F14" s="70" t="s">
        <v>771</v>
      </c>
      <c r="G14" s="71" t="s">
        <v>772</v>
      </c>
      <c r="H14" s="72" t="str">
        <f ca="1">IFERROR(__xludf.dummyfunction("IFERROR(
  VLOOKUP(G14, IMPORTRANGE(""https://docs.google.com/spreadsheets/d/14deopnvwcrKtEGCKuYXdUHJbeLDZlkiSSWWT0g7x2pM/edit#gid=849066331"", ""LU List Maths (Filter)!A:B""), 2, FALSE),
  IFERROR(
    VLOOKUP(G14, IMPORTRANGE(""https://docs.google.com/s"&amp;"preadsheets/d/14deopnvwcrKtEGCKuYXdUHJbeLDZlkiSSWWT0g7x2pM/edit#gid=849066331"", ""LU List Science (Filter)!A:B""), 2, FALSE),
    ""Not Found""
  )
)
"),"Closure property for subtraction of integers")</f>
        <v>Closure property for subtraction of integers</v>
      </c>
      <c r="I14" s="64"/>
      <c r="J14" s="29" t="str">
        <f t="shared" si="0"/>
        <v>LU000992.001</v>
      </c>
      <c r="K14" s="29" t="str">
        <f ca="1">IFERROR(__xludf.dummyfunction("VLOOKUP(J14, IMPORTRANGE(""https://docs.google.com/spreadsheets/d/1yDAaXNsi4Mr5FtRQL4tbmSdIzhx6_m4wkOD7IG-k_eo/edit#gid=0"", ""Maths!M:N""), 2, FALSE)"),"Recall the definition of the closure property for subtraction of integers.")</f>
        <v>Recall the definition of the closure property for subtraction of integers.</v>
      </c>
      <c r="L14" s="29" t="str">
        <f t="shared" si="1"/>
        <v>LU000992.002</v>
      </c>
      <c r="M14" s="29" t="str">
        <f ca="1">IFERROR(__xludf.dummyfunction("VLOOKUP(L14, IMPORTRANGE(""https://docs.google.com/spreadsheets/d/1yDAaXNsi4Mr5FtRQL4tbmSdIzhx6_m4wkOD7IG-k_eo/edit#gid=0"", ""Maths!M:N""), 2, FALSE)"),"Explain the concept of the closure property and how it applies to the subtraction of integers.")</f>
        <v>Explain the concept of the closure property and how it applies to the subtraction of integers.</v>
      </c>
      <c r="N14" s="29" t="str">
        <f t="shared" si="2"/>
        <v>LU000992.003</v>
      </c>
      <c r="O14" s="29" t="str">
        <f ca="1">IFERROR(__xludf.dummyfunction("VLOOKUP(N14, IMPORTRANGE(""https://docs.google.com/spreadsheets/d/1yDAaXNsi4Mr5FtRQL4tbmSdIzhx6_m4wkOD7IG-k_eo/edit#gid=0"", ""Maths!M:N""), 2, FALSE)"),"Apply the closure property to demonstrate that the result of subtracting two integers is always an integer in practical subtraction calculations.")</f>
        <v>Apply the closure property to demonstrate that the result of subtracting two integers is always an integer in practical subtraction calculations.</v>
      </c>
      <c r="P14" s="29" t="str">
        <f t="shared" si="3"/>
        <v>LU000992.004</v>
      </c>
      <c r="Q14" s="29" t="str">
        <f ca="1">IFERROR(__xludf.dummyfunction("VLOOKUP(P14, IMPORTRANGE(""https://docs.google.com/spreadsheets/d/1yDAaXNsi4Mr5FtRQL4tbmSdIzhx6_m4wkOD7IG-k_eo/edit#gid=0"", ""Maths!M:N""), 2, FALSE)"),"Analyze mathematical expressions to verify the closure property in action for subtraction of integers.")</f>
        <v>Analyze mathematical expressions to verify the closure property in action for subtraction of integers.</v>
      </c>
      <c r="R14" s="29" t="str">
        <f t="shared" si="4"/>
        <v>LU000992.005</v>
      </c>
      <c r="S14" s="29" t="str">
        <f ca="1">IFERROR(__xludf.dummyfunction("VLOOKUP(R14, IMPORTRANGE(""https://docs.google.com/spreadsheets/d/1yDAaXNsi4Mr5FtRQL4tbmSdIzhx6_m4wkOD7IG-k_eo/edit#gid=0"", ""Maths!M:N""), 2, FALSE)"),"Evaluate the correctness of statements regarding the closure property and its significance in integer subtraction.")</f>
        <v>Evaluate the correctness of statements regarding the closure property and its significance in integer subtraction.</v>
      </c>
      <c r="T14" s="29" t="str">
        <f t="shared" si="5"/>
        <v>LU000992.006</v>
      </c>
      <c r="U14" s="29" t="str">
        <f ca="1">IFERROR(__xludf.dummyfunction("VLOOKUP(T14, IMPORTRANGE(""https://docs.google.com/spreadsheets/d/1yDAaXNsi4Mr5FtRQL4tbmSdIzhx6_m4wkOD7IG-k_eo/edit#gid=0"", ""Maths!M:N""), 2, FALSE)"),"#N/A")</f>
        <v>#N/A</v>
      </c>
      <c r="V14" s="16">
        <f ca="1">IFERROR(__xludf.dummyfunction("ArrayFormula(VLOOKUP(G14, IMPORTRANGE(""https://docs.google.com/spreadsheets/d/1p7R4vtkWt5VOBim4ltsDG9KTzSjrtKXsMtQGXPHyND0/edit#gid=795171502"", ""'Filter 30_05_2024'!A1:M2000""), {2, 3, 4, 5,6,7,8,9,10,11,12,13}, 0))"),4)</f>
        <v>4</v>
      </c>
      <c r="W14" s="16">
        <f ca="1">IFERROR(__xludf.dummyfunction("""COMPUTED_VALUE"""),6)</f>
        <v>6</v>
      </c>
      <c r="X14" s="16">
        <f ca="1">IFERROR(__xludf.dummyfunction("""COMPUTED_VALUE"""),7)</f>
        <v>7</v>
      </c>
      <c r="Y14" s="16">
        <f ca="1">IFERROR(__xludf.dummyfunction("""COMPUTED_VALUE"""),17)</f>
        <v>17</v>
      </c>
      <c r="Z14" s="16">
        <f ca="1">IFERROR(__xludf.dummyfunction("""COMPUTED_VALUE"""),4)</f>
        <v>4</v>
      </c>
      <c r="AA14" s="30">
        <f ca="1">IFERROR(__xludf.dummyfunction("""COMPUTED_VALUE"""),3)</f>
        <v>3</v>
      </c>
      <c r="AB14" s="30">
        <f ca="1">IFERROR(__xludf.dummyfunction("""COMPUTED_VALUE"""),1)</f>
        <v>1</v>
      </c>
      <c r="AC14" s="30">
        <f ca="1">IFERROR(__xludf.dummyfunction("""COMPUTED_VALUE"""),8)</f>
        <v>8</v>
      </c>
      <c r="AD14" s="16"/>
      <c r="AE14" s="30"/>
      <c r="AF14" s="30"/>
      <c r="AG14" s="30"/>
    </row>
    <row r="15" spans="1:33" ht="13.8">
      <c r="A15" s="25"/>
      <c r="B15" s="25" t="s">
        <v>29</v>
      </c>
      <c r="C15" s="25" t="s">
        <v>310</v>
      </c>
      <c r="D15" s="25">
        <v>7</v>
      </c>
      <c r="E15" s="64" t="s">
        <v>394</v>
      </c>
      <c r="F15" s="70"/>
      <c r="G15" s="71" t="s">
        <v>773</v>
      </c>
      <c r="H15" s="72" t="str">
        <f ca="1">IFERROR(__xludf.dummyfunction("IFERROR(
  VLOOKUP(G15, IMPORTRANGE(""https://docs.google.com/spreadsheets/d/14deopnvwcrKtEGCKuYXdUHJbeLDZlkiSSWWT0g7x2pM/edit#gid=849066331"", ""LU List Maths (Filter)!A:B""), 2, FALSE),
  IFERROR(
    VLOOKUP(G15, IMPORTRANGE(""https://docs.google.com/s"&amp;"preadsheets/d/14deopnvwcrKtEGCKuYXdUHJbeLDZlkiSSWWT0g7x2pM/edit#gid=849066331"", ""LU List Science (Filter)!A:B""), 2, FALSE),
    ""Not Found""
  )
)
"),"Examination of commutative property for subtraction of integers")</f>
        <v>Examination of commutative property for subtraction of integers</v>
      </c>
      <c r="I15" s="64"/>
      <c r="J15" s="29" t="str">
        <f t="shared" si="0"/>
        <v>LU000996.001</v>
      </c>
      <c r="K15" s="29" t="str">
        <f ca="1">IFERROR(__xludf.dummyfunction("VLOOKUP(J15, IMPORTRANGE(""https://docs.google.com/spreadsheets/d/1yDAaXNsi4Mr5FtRQL4tbmSdIzhx6_m4wkOD7IG-k_eo/edit#gid=0"", ""Maths!M:N""), 2, FALSE)"),"Recall that the commutative property does not apply to subtraction of integers.")</f>
        <v>Recall that the commutative property does not apply to subtraction of integers.</v>
      </c>
      <c r="L15" s="29" t="str">
        <f t="shared" si="1"/>
        <v>LU000996.002</v>
      </c>
      <c r="M15" s="29" t="str">
        <f ca="1">IFERROR(__xludf.dummyfunction("VLOOKUP(L15, IMPORTRANGE(""https://docs.google.com/spreadsheets/d/1yDAaXNsi4Mr5FtRQL4tbmSdIzhx6_m4wkOD7IG-k_eo/edit#gid=0"", ""Maths!M:N""), 2, FALSE)"),"Explain why the commutative property is inapplicable to integer subtraction.")</f>
        <v>Explain why the commutative property is inapplicable to integer subtraction.</v>
      </c>
      <c r="N15" s="29" t="str">
        <f t="shared" si="2"/>
        <v>LU000996.003</v>
      </c>
      <c r="O15" s="29" t="str">
        <f ca="1">IFERROR(__xludf.dummyfunction("VLOOKUP(N15, IMPORTRANGE(""https://docs.google.com/spreadsheets/d/1yDAaXNsi4Mr5FtRQL4tbmSdIzhx6_m4wkOD7IG-k_eo/edit#gid=0"", ""Maths!M:N""), 2, FALSE)"),"Identify examples where subtraction of integers demonstrates commutativity or non-commutativity.")</f>
        <v>Identify examples where subtraction of integers demonstrates commutativity or non-commutativity.</v>
      </c>
      <c r="P15" s="29" t="str">
        <f t="shared" si="3"/>
        <v>LU000996.004</v>
      </c>
      <c r="Q15" s="29" t="str">
        <f ca="1">IFERROR(__xludf.dummyfunction("VLOOKUP(P15, IMPORTRANGE(""https://docs.google.com/spreadsheets/d/1yDAaXNsi4Mr5FtRQL4tbmSdIzhx6_m4wkOD7IG-k_eo/edit#gid=0"", ""Maths!M:N""), 2, FALSE)"),"Analyse a range of subtraction problems involving integers to highlight the failure of the commutative property.")</f>
        <v>Analyse a range of subtraction problems involving integers to highlight the failure of the commutative property.</v>
      </c>
      <c r="R15" s="29" t="str">
        <f t="shared" si="4"/>
        <v>LU000996.005</v>
      </c>
      <c r="S15" s="29" t="str">
        <f ca="1">IFERROR(__xludf.dummyfunction("VLOOKUP(R15, IMPORTRANGE(""https://docs.google.com/spreadsheets/d/1yDAaXNsi4Mr5FtRQL4tbmSdIzhx6_m4wkOD7IG-k_eo/edit#gid=0"", ""Maths!M:N""), 2, FALSE)"),"Evaluate the correctness of statements regarding the commutative property and its non-applicability in integer subtraction.")</f>
        <v>Evaluate the correctness of statements regarding the commutative property and its non-applicability in integer subtraction.</v>
      </c>
      <c r="T15" s="29" t="str">
        <f t="shared" si="5"/>
        <v>LU000996.006</v>
      </c>
      <c r="U15" s="29" t="str">
        <f ca="1">IFERROR(__xludf.dummyfunction("VLOOKUP(T15, IMPORTRANGE(""https://docs.google.com/spreadsheets/d/1yDAaXNsi4Mr5FtRQL4tbmSdIzhx6_m4wkOD7IG-k_eo/edit#gid=0"", ""Maths!M:N""), 2, FALSE)"),"#N/A")</f>
        <v>#N/A</v>
      </c>
      <c r="V15" s="16">
        <f ca="1">IFERROR(__xludf.dummyfunction("ArrayFormula(VLOOKUP(G15, IMPORTRANGE(""https://docs.google.com/spreadsheets/d/1p7R4vtkWt5VOBim4ltsDG9KTzSjrtKXsMtQGXPHyND0/edit#gid=795171502"", ""'Filter 30_05_2024'!A1:M2000""), {2, 3, 4, 5,6,7,8,9,10,11,12,13}, 0))"),4)</f>
        <v>4</v>
      </c>
      <c r="W15" s="16">
        <f ca="1">IFERROR(__xludf.dummyfunction("""COMPUTED_VALUE"""),6)</f>
        <v>6</v>
      </c>
      <c r="X15" s="16">
        <f ca="1">IFERROR(__xludf.dummyfunction("""COMPUTED_VALUE"""),3)</f>
        <v>3</v>
      </c>
      <c r="Y15" s="16">
        <f ca="1">IFERROR(__xludf.dummyfunction("""COMPUTED_VALUE"""),13)</f>
        <v>13</v>
      </c>
      <c r="Z15" s="16">
        <f ca="1">IFERROR(__xludf.dummyfunction("""COMPUTED_VALUE"""),4)</f>
        <v>4</v>
      </c>
      <c r="AA15" s="30">
        <f ca="1">IFERROR(__xludf.dummyfunction("""COMPUTED_VALUE"""),3)</f>
        <v>3</v>
      </c>
      <c r="AB15" s="30">
        <f ca="1">IFERROR(__xludf.dummyfunction("""COMPUTED_VALUE"""),1)</f>
        <v>1</v>
      </c>
      <c r="AC15" s="30">
        <f ca="1">IFERROR(__xludf.dummyfunction("""COMPUTED_VALUE"""),8)</f>
        <v>8</v>
      </c>
      <c r="AD15" s="16"/>
      <c r="AE15" s="30"/>
      <c r="AF15" s="30"/>
      <c r="AG15" s="30"/>
    </row>
    <row r="16" spans="1:33" ht="13.8">
      <c r="A16" s="25"/>
      <c r="B16" s="25" t="s">
        <v>29</v>
      </c>
      <c r="C16" s="25" t="s">
        <v>310</v>
      </c>
      <c r="D16" s="25">
        <v>7</v>
      </c>
      <c r="E16" s="64" t="s">
        <v>394</v>
      </c>
      <c r="F16" s="70"/>
      <c r="G16" s="71" t="s">
        <v>774</v>
      </c>
      <c r="H16" s="72" t="str">
        <f ca="1">IFERROR(__xludf.dummyfunction("IFERROR(
  VLOOKUP(G16, IMPORTRANGE(""https://docs.google.com/spreadsheets/d/14deopnvwcrKtEGCKuYXdUHJbeLDZlkiSSWWT0g7x2pM/edit#gid=849066331"", ""LU List Maths (Filter)!A:B""), 2, FALSE),
  IFERROR(
    VLOOKUP(G16, IMPORTRANGE(""https://docs.google.com/s"&amp;"preadsheets/d/14deopnvwcrKtEGCKuYXdUHJbeLDZlkiSSWWT0g7x2pM/edit#gid=849066331"", ""LU List Science (Filter)!A:B""), 2, FALSE),
    ""Not Found""
  )
)
"),"Examination of associative property for subtraction of integers")</f>
        <v>Examination of associative property for subtraction of integers</v>
      </c>
      <c r="I16" s="64"/>
      <c r="J16" s="29" t="str">
        <f t="shared" si="0"/>
        <v>LU001002.001</v>
      </c>
      <c r="K16" s="29" t="str">
        <f ca="1">IFERROR(__xludf.dummyfunction("VLOOKUP(J16, IMPORTRANGE(""https://docs.google.com/spreadsheets/d/1yDAaXNsi4Mr5FtRQL4tbmSdIzhx6_m4wkOD7IG-k_eo/edit#gid=0"", ""Maths!M:N""), 2, FALSE)"),"Recall that the associative property does not apply to subtraction of integers.")</f>
        <v>Recall that the associative property does not apply to subtraction of integers.</v>
      </c>
      <c r="L16" s="29" t="str">
        <f t="shared" si="1"/>
        <v>LU001002.002</v>
      </c>
      <c r="M16" s="29" t="str">
        <f ca="1">IFERROR(__xludf.dummyfunction("VLOOKUP(L16, IMPORTRANGE(""https://docs.google.com/spreadsheets/d/1yDAaXNsi4Mr5FtRQL4tbmSdIzhx6_m4wkOD7IG-k_eo/edit#gid=0"", ""Maths!M:N""), 2, FALSE)"),"Explain why the associative property is inapplicable to integer subtraction.")</f>
        <v>Explain why the associative property is inapplicable to integer subtraction.</v>
      </c>
      <c r="N16" s="29" t="str">
        <f t="shared" si="2"/>
        <v>LU001002.003</v>
      </c>
      <c r="O16" s="29" t="str">
        <f ca="1">IFERROR(__xludf.dummyfunction("VLOOKUP(N16, IMPORTRANGE(""https://docs.google.com/spreadsheets/d/1yDAaXNsi4Mr5FtRQL4tbmSdIzhx6_m4wkOD7IG-k_eo/edit#gid=0"", ""Maths!M:N""), 2, FALSE)"),"Identify examples where subtraction of integers demonstrates the non-associativity.")</f>
        <v>Identify examples where subtraction of integers demonstrates the non-associativity.</v>
      </c>
      <c r="P16" s="29" t="str">
        <f t="shared" si="3"/>
        <v>LU001002.004</v>
      </c>
      <c r="Q16" s="29" t="str">
        <f ca="1">IFERROR(__xludf.dummyfunction("VLOOKUP(P16, IMPORTRANGE(""https://docs.google.com/spreadsheets/d/1yDAaXNsi4Mr5FtRQL4tbmSdIzhx6_m4wkOD7IG-k_eo/edit#gid=0"", ""Maths!M:N""), 2, FALSE)"),"Analyse a range of subtraction problems involving integers to highlight the failure of the associative property.")</f>
        <v>Analyse a range of subtraction problems involving integers to highlight the failure of the associative property.</v>
      </c>
      <c r="R16" s="29" t="str">
        <f t="shared" si="4"/>
        <v>LU001002.005</v>
      </c>
      <c r="S16" s="29" t="str">
        <f ca="1">IFERROR(__xludf.dummyfunction("VLOOKUP(R16, IMPORTRANGE(""https://docs.google.com/spreadsheets/d/1yDAaXNsi4Mr5FtRQL4tbmSdIzhx6_m4wkOD7IG-k_eo/edit#gid=0"", ""Maths!M:N""), 2, FALSE)"),"Evaluate the correctness of statements regarding the associative property and its non-applicability in integer subtraction.")</f>
        <v>Evaluate the correctness of statements regarding the associative property and its non-applicability in integer subtraction.</v>
      </c>
      <c r="T16" s="29" t="str">
        <f t="shared" si="5"/>
        <v>LU001002.006</v>
      </c>
      <c r="U16" s="29" t="str">
        <f ca="1">IFERROR(__xludf.dummyfunction("VLOOKUP(T16, IMPORTRANGE(""https://docs.google.com/spreadsheets/d/1yDAaXNsi4Mr5FtRQL4tbmSdIzhx6_m4wkOD7IG-k_eo/edit#gid=0"", ""Maths!M:N""), 2, FALSE)"),"#N/A")</f>
        <v>#N/A</v>
      </c>
      <c r="V16" s="16">
        <f ca="1">IFERROR(__xludf.dummyfunction("ArrayFormula(VLOOKUP(G16, IMPORTRANGE(""https://docs.google.com/spreadsheets/d/1p7R4vtkWt5VOBim4ltsDG9KTzSjrtKXsMtQGXPHyND0/edit#gid=795171502"", ""'Filter 30_05_2024'!A1:M2000""), {2, 3, 4, 5,6,7,8,9,10,11,12,13}, 0))"),8)</f>
        <v>8</v>
      </c>
      <c r="W16" s="16">
        <f ca="1">IFERROR(__xludf.dummyfunction("""COMPUTED_VALUE"""),7)</f>
        <v>7</v>
      </c>
      <c r="X16" s="16">
        <f ca="1">IFERROR(__xludf.dummyfunction("""COMPUTED_VALUE"""),4)</f>
        <v>4</v>
      </c>
      <c r="Y16" s="16">
        <f ca="1">IFERROR(__xludf.dummyfunction("""COMPUTED_VALUE"""),19)</f>
        <v>19</v>
      </c>
      <c r="Z16" s="16">
        <f ca="1">IFERROR(__xludf.dummyfunction("""COMPUTED_VALUE"""),4)</f>
        <v>4</v>
      </c>
      <c r="AA16" s="30">
        <f ca="1">IFERROR(__xludf.dummyfunction("""COMPUTED_VALUE"""),3)</f>
        <v>3</v>
      </c>
      <c r="AB16" s="30">
        <f ca="1">IFERROR(__xludf.dummyfunction("""COMPUTED_VALUE"""),1)</f>
        <v>1</v>
      </c>
      <c r="AC16" s="30">
        <f ca="1">IFERROR(__xludf.dummyfunction("""COMPUTED_VALUE"""),8)</f>
        <v>8</v>
      </c>
      <c r="AD16" s="16"/>
      <c r="AE16" s="30"/>
      <c r="AF16" s="30"/>
      <c r="AG16" s="30"/>
    </row>
    <row r="17" spans="1:33" ht="26.4">
      <c r="A17" s="25"/>
      <c r="B17" s="25" t="s">
        <v>29</v>
      </c>
      <c r="C17" s="25" t="s">
        <v>310</v>
      </c>
      <c r="D17" s="25">
        <v>7</v>
      </c>
      <c r="E17" s="64" t="s">
        <v>394</v>
      </c>
      <c r="F17" s="70" t="s">
        <v>775</v>
      </c>
      <c r="G17" s="71" t="s">
        <v>776</v>
      </c>
      <c r="H17" s="72" t="str">
        <f ca="1">IFERROR(__xludf.dummyfunction("IFERROR(
  VLOOKUP(G17, IMPORTRANGE(""https://docs.google.com/spreadsheets/d/14deopnvwcrKtEGCKuYXdUHJbeLDZlkiSSWWT0g7x2pM/edit#gid=849066331"", ""LU List Maths (Filter)!A:B""), 2, FALSE),
  IFERROR(
    VLOOKUP(G17, IMPORTRANGE(""https://docs.google.com/s"&amp;"preadsheets/d/14deopnvwcrKtEGCKuYXdUHJbeLDZlkiSSWWT0g7x2pM/edit#gid=849066331"", ""LU List Science (Filter)!A:B""), 2, FALSE),
    ""Not Found""
  )
)
"),"Closure property for multiplication of integers")</f>
        <v>Closure property for multiplication of integers</v>
      </c>
      <c r="I17" s="64"/>
      <c r="J17" s="29" t="str">
        <f t="shared" si="0"/>
        <v>LU000993.001</v>
      </c>
      <c r="K17" s="29" t="str">
        <f ca="1">IFERROR(__xludf.dummyfunction("VLOOKUP(J17, IMPORTRANGE(""https://docs.google.com/spreadsheets/d/1yDAaXNsi4Mr5FtRQL4tbmSdIzhx6_m4wkOD7IG-k_eo/edit#gid=0"", ""Maths!M:N""), 2, FALSE)"),"Recall the definition of the closure property for multiplication of integers.")</f>
        <v>Recall the definition of the closure property for multiplication of integers.</v>
      </c>
      <c r="L17" s="29" t="str">
        <f t="shared" si="1"/>
        <v>LU000993.002</v>
      </c>
      <c r="M17" s="29" t="str">
        <f ca="1">IFERROR(__xludf.dummyfunction("VLOOKUP(L17, IMPORTRANGE(""https://docs.google.com/spreadsheets/d/1yDAaXNsi4Mr5FtRQL4tbmSdIzhx6_m4wkOD7IG-k_eo/edit#gid=0"", ""Maths!M:N""), 2, FALSE)"),"Explain the concept of the closure property and how it applies to the multiplication of integers.")</f>
        <v>Explain the concept of the closure property and how it applies to the multiplication of integers.</v>
      </c>
      <c r="N17" s="29" t="str">
        <f t="shared" si="2"/>
        <v>LU000993.003</v>
      </c>
      <c r="O17" s="29" t="str">
        <f ca="1">IFERROR(__xludf.dummyfunction("VLOOKUP(N17, IMPORTRANGE(""https://docs.google.com/spreadsheets/d/1yDAaXNsi4Mr5FtRQL4tbmSdIzhx6_m4wkOD7IG-k_eo/edit#gid=0"", ""Maths!M:N""), 2, FALSE)"),"Apply the closure property to demonstrate that the product of two integers is always an integer in practical multiplication calculations.")</f>
        <v>Apply the closure property to demonstrate that the product of two integers is always an integer in practical multiplication calculations.</v>
      </c>
      <c r="P17" s="29" t="str">
        <f t="shared" si="3"/>
        <v>LU000993.004</v>
      </c>
      <c r="Q17" s="29" t="str">
        <f ca="1">IFERROR(__xludf.dummyfunction("VLOOKUP(P17, IMPORTRANGE(""https://docs.google.com/spreadsheets/d/1yDAaXNsi4Mr5FtRQL4tbmSdIzhx6_m4wkOD7IG-k_eo/edit#gid=0"", ""Maths!M:N""), 2, FALSE)"),"Analyze mathematical expressions to verify the closure property in action for multiplication of integers.")</f>
        <v>Analyze mathematical expressions to verify the closure property in action for multiplication of integers.</v>
      </c>
      <c r="R17" s="29" t="str">
        <f t="shared" si="4"/>
        <v>LU000993.005</v>
      </c>
      <c r="S17" s="29" t="str">
        <f ca="1">IFERROR(__xludf.dummyfunction("VLOOKUP(R17, IMPORTRANGE(""https://docs.google.com/spreadsheets/d/1yDAaXNsi4Mr5FtRQL4tbmSdIzhx6_m4wkOD7IG-k_eo/edit#gid=0"", ""Maths!M:N""), 2, FALSE)"),"Evaluate the correctness of statements regarding the closure property and its significance in integer multiplication.")</f>
        <v>Evaluate the correctness of statements regarding the closure property and its significance in integer multiplication.</v>
      </c>
      <c r="T17" s="29" t="str">
        <f t="shared" si="5"/>
        <v>LU000993.006</v>
      </c>
      <c r="U17" s="29" t="str">
        <f ca="1">IFERROR(__xludf.dummyfunction("VLOOKUP(T17, IMPORTRANGE(""https://docs.google.com/spreadsheets/d/1yDAaXNsi4Mr5FtRQL4tbmSdIzhx6_m4wkOD7IG-k_eo/edit#gid=0"", ""Maths!M:N""), 2, FALSE)"),"#N/A")</f>
        <v>#N/A</v>
      </c>
      <c r="V17" s="16">
        <f ca="1">IFERROR(__xludf.dummyfunction("ArrayFormula(VLOOKUP(G17, IMPORTRANGE(""https://docs.google.com/spreadsheets/d/1p7R4vtkWt5VOBim4ltsDG9KTzSjrtKXsMtQGXPHyND0/edit#gid=795171502"", ""'Filter 30_05_2024'!A1:M2000""), {2, 3, 4, 5,6,7,8,9,10,11,12,13}, 0))"),6)</f>
        <v>6</v>
      </c>
      <c r="W17" s="16">
        <f ca="1">IFERROR(__xludf.dummyfunction("""COMPUTED_VALUE"""),6)</f>
        <v>6</v>
      </c>
      <c r="X17" s="16">
        <f ca="1">IFERROR(__xludf.dummyfunction("""COMPUTED_VALUE"""),2)</f>
        <v>2</v>
      </c>
      <c r="Y17" s="16">
        <f ca="1">IFERROR(__xludf.dummyfunction("""COMPUTED_VALUE"""),14)</f>
        <v>14</v>
      </c>
      <c r="Z17" s="16">
        <f ca="1">IFERROR(__xludf.dummyfunction("""COMPUTED_VALUE"""),4)</f>
        <v>4</v>
      </c>
      <c r="AA17" s="30">
        <f ca="1">IFERROR(__xludf.dummyfunction("""COMPUTED_VALUE"""),3)</f>
        <v>3</v>
      </c>
      <c r="AB17" s="30">
        <f ca="1">IFERROR(__xludf.dummyfunction("""COMPUTED_VALUE"""),1)</f>
        <v>1</v>
      </c>
      <c r="AC17" s="30">
        <f ca="1">IFERROR(__xludf.dummyfunction("""COMPUTED_VALUE"""),8)</f>
        <v>8</v>
      </c>
      <c r="AD17" s="16"/>
      <c r="AE17" s="30"/>
      <c r="AF17" s="30"/>
      <c r="AG17" s="30"/>
    </row>
    <row r="18" spans="1:33" ht="13.8">
      <c r="A18" s="25"/>
      <c r="B18" s="25" t="s">
        <v>29</v>
      </c>
      <c r="C18" s="25" t="s">
        <v>310</v>
      </c>
      <c r="D18" s="25">
        <v>7</v>
      </c>
      <c r="E18" s="64" t="s">
        <v>394</v>
      </c>
      <c r="F18" s="70"/>
      <c r="G18" s="71" t="s">
        <v>777</v>
      </c>
      <c r="H18" s="72" t="str">
        <f ca="1">IFERROR(__xludf.dummyfunction("IFERROR(
  VLOOKUP(G18, IMPORTRANGE(""https://docs.google.com/spreadsheets/d/14deopnvwcrKtEGCKuYXdUHJbeLDZlkiSSWWT0g7x2pM/edit#gid=849066331"", ""LU List Maths (Filter)!A:B""), 2, FALSE),
  IFERROR(
    VLOOKUP(G18, IMPORTRANGE(""https://docs.google.com/s"&amp;"preadsheets/d/14deopnvwcrKtEGCKuYXdUHJbeLDZlkiSSWWT0g7x2pM/edit#gid=849066331"", ""LU List Science (Filter)!A:B""), 2, FALSE),
    ""Not Found""
  )
)
"),"Commutative property for multiplication of integers")</f>
        <v>Commutative property for multiplication of integers</v>
      </c>
      <c r="I18" s="64"/>
      <c r="J18" s="29" t="str">
        <f t="shared" si="0"/>
        <v>LU000997.001</v>
      </c>
      <c r="K18" s="29" t="str">
        <f ca="1">IFERROR(__xludf.dummyfunction("VLOOKUP(J18, IMPORTRANGE(""https://docs.google.com/spreadsheets/d/1yDAaXNsi4Mr5FtRQL4tbmSdIzhx6_m4wkOD7IG-k_eo/edit#gid=0"", ""Maths!M:N""), 2, FALSE)"),"Recall the statement of the commutative property for multiplication of integers.")</f>
        <v>Recall the statement of the commutative property for multiplication of integers.</v>
      </c>
      <c r="L18" s="29" t="str">
        <f t="shared" si="1"/>
        <v>LU000997.002</v>
      </c>
      <c r="M18" s="29" t="str">
        <f ca="1">IFERROR(__xludf.dummyfunction("VLOOKUP(L18, IMPORTRANGE(""https://docs.google.com/spreadsheets/d/1yDAaXNsi4Mr5FtRQL4tbmSdIzhx6_m4wkOD7IG-k_eo/edit#gid=0"", ""Maths!M:N""), 2, FALSE)"),"Explain the concept of the commutative property and its application to multiplication of integers.")</f>
        <v>Explain the concept of the commutative property and its application to multiplication of integers.</v>
      </c>
      <c r="N18" s="29" t="str">
        <f t="shared" si="2"/>
        <v>LU000997.003</v>
      </c>
      <c r="O18" s="29" t="str">
        <f ca="1">IFERROR(__xludf.dummyfunction("VLOOKUP(N18, IMPORTRANGE(""https://docs.google.com/spreadsheets/d/1yDAaXNsi4Mr5FtRQL4tbmSdIzhx6_m4wkOD7IG-k_eo/edit#gid=0"", ""Maths!M:N""), 2, FALSE)"),"Apply the commutative property to demonstrate that the product of two integers remains the same regardless of the order in multiplication calculations.")</f>
        <v>Apply the commutative property to demonstrate that the product of two integers remains the same regardless of the order in multiplication calculations.</v>
      </c>
      <c r="P18" s="29" t="str">
        <f t="shared" si="3"/>
        <v>LU000997.004</v>
      </c>
      <c r="Q18" s="29" t="str">
        <f ca="1">IFERROR(__xludf.dummyfunction("VLOOKUP(P18, IMPORTRANGE(""https://docs.google.com/spreadsheets/d/1yDAaXNsi4Mr5FtRQL4tbmSdIzhx6_m4wkOD7IG-k_eo/edit#gid=0"", ""Maths!M:N""), 2, FALSE)"),"Analyze mathematical expressions to verify the commutative property in action for multiplication of integers.")</f>
        <v>Analyze mathematical expressions to verify the commutative property in action for multiplication of integers.</v>
      </c>
      <c r="R18" s="29" t="str">
        <f t="shared" si="4"/>
        <v>LU000997.005</v>
      </c>
      <c r="S18" s="29" t="str">
        <f ca="1">IFERROR(__xludf.dummyfunction("VLOOKUP(R18, IMPORTRANGE(""https://docs.google.com/spreadsheets/d/1yDAaXNsi4Mr5FtRQL4tbmSdIzhx6_m4wkOD7IG-k_eo/edit#gid=0"", ""Maths!M:N""), 2, FALSE)"),"Evaluate the correctness of statements regarding the commutative property and its relevance in integer multiplication.")</f>
        <v>Evaluate the correctness of statements regarding the commutative property and its relevance in integer multiplication.</v>
      </c>
      <c r="T18" s="29" t="str">
        <f t="shared" si="5"/>
        <v>LU000997.006</v>
      </c>
      <c r="U18" s="29" t="str">
        <f ca="1">IFERROR(__xludf.dummyfunction("VLOOKUP(T18, IMPORTRANGE(""https://docs.google.com/spreadsheets/d/1yDAaXNsi4Mr5FtRQL4tbmSdIzhx6_m4wkOD7IG-k_eo/edit#gid=0"", ""Maths!M:N""), 2, FALSE)"),"#N/A")</f>
        <v>#N/A</v>
      </c>
      <c r="V18" s="16">
        <f ca="1">IFERROR(__xludf.dummyfunction("ArrayFormula(VLOOKUP(G18, IMPORTRANGE(""https://docs.google.com/spreadsheets/d/1p7R4vtkWt5VOBim4ltsDG9KTzSjrtKXsMtQGXPHyND0/edit#gid=795171502"", ""'Filter 30_05_2024'!A1:M2000""), {2, 3, 4, 5,6,7,8,9,10,11,12,13}, 0))"),5)</f>
        <v>5</v>
      </c>
      <c r="W18" s="16">
        <f ca="1">IFERROR(__xludf.dummyfunction("""COMPUTED_VALUE"""),6)</f>
        <v>6</v>
      </c>
      <c r="X18" s="16">
        <f ca="1">IFERROR(__xludf.dummyfunction("""COMPUTED_VALUE"""),5)</f>
        <v>5</v>
      </c>
      <c r="Y18" s="16">
        <f ca="1">IFERROR(__xludf.dummyfunction("""COMPUTED_VALUE"""),16)</f>
        <v>16</v>
      </c>
      <c r="Z18" s="16">
        <f ca="1">IFERROR(__xludf.dummyfunction("""COMPUTED_VALUE"""),4)</f>
        <v>4</v>
      </c>
      <c r="AA18" s="30">
        <f ca="1">IFERROR(__xludf.dummyfunction("""COMPUTED_VALUE"""),3)</f>
        <v>3</v>
      </c>
      <c r="AB18" s="30">
        <f ca="1">IFERROR(__xludf.dummyfunction("""COMPUTED_VALUE"""),1)</f>
        <v>1</v>
      </c>
      <c r="AC18" s="30">
        <f ca="1">IFERROR(__xludf.dummyfunction("""COMPUTED_VALUE"""),8)</f>
        <v>8</v>
      </c>
      <c r="AD18" s="16"/>
      <c r="AE18" s="30"/>
      <c r="AF18" s="30"/>
      <c r="AG18" s="30"/>
    </row>
    <row r="19" spans="1:33" ht="13.8">
      <c r="A19" s="25"/>
      <c r="B19" s="25" t="s">
        <v>29</v>
      </c>
      <c r="C19" s="25" t="s">
        <v>310</v>
      </c>
      <c r="D19" s="25">
        <v>7</v>
      </c>
      <c r="E19" s="64" t="s">
        <v>394</v>
      </c>
      <c r="F19" s="70"/>
      <c r="G19" s="71" t="s">
        <v>778</v>
      </c>
      <c r="H19" s="72" t="str">
        <f ca="1">IFERROR(__xludf.dummyfunction("IFERROR(
  VLOOKUP(G19, IMPORTRANGE(""https://docs.google.com/spreadsheets/d/14deopnvwcrKtEGCKuYXdUHJbeLDZlkiSSWWT0g7x2pM/edit#gid=849066331"", ""LU List Maths (Filter)!A:B""), 2, FALSE),
  IFERROR(
    VLOOKUP(G19, IMPORTRANGE(""https://docs.google.com/s"&amp;"preadsheets/d/14deopnvwcrKtEGCKuYXdUHJbeLDZlkiSSWWT0g7x2pM/edit#gid=849066331"", ""LU List Science (Filter)!A:B""), 2, FALSE),
    ""Not Found""
  )
)
"),"Associative property for multiplication of integers")</f>
        <v>Associative property for multiplication of integers</v>
      </c>
      <c r="I19" s="64"/>
      <c r="J19" s="29" t="str">
        <f t="shared" si="0"/>
        <v>LU001003.001</v>
      </c>
      <c r="K19" s="29" t="str">
        <f ca="1">IFERROR(__xludf.dummyfunction("VLOOKUP(J19, IMPORTRANGE(""https://docs.google.com/spreadsheets/d/1yDAaXNsi4Mr5FtRQL4tbmSdIzhx6_m4wkOD7IG-k_eo/edit#gid=0"", ""Maths!M:N""), 2, FALSE)"),"Recall the statement of the associative property for multiplication of integers.")</f>
        <v>Recall the statement of the associative property for multiplication of integers.</v>
      </c>
      <c r="L19" s="29" t="str">
        <f t="shared" si="1"/>
        <v>LU001003.002</v>
      </c>
      <c r="M19" s="29" t="str">
        <f ca="1">IFERROR(__xludf.dummyfunction("VLOOKUP(L19, IMPORTRANGE(""https://docs.google.com/spreadsheets/d/1yDAaXNsi4Mr5FtRQL4tbmSdIzhx6_m4wkOD7IG-k_eo/edit#gid=0"", ""Maths!M:N""), 2, FALSE)"),"Explain the concept of the associative property and its application to multiplication of integers.")</f>
        <v>Explain the concept of the associative property and its application to multiplication of integers.</v>
      </c>
      <c r="N19" s="29" t="str">
        <f t="shared" si="2"/>
        <v>LU001003.003</v>
      </c>
      <c r="O19" s="29" t="str">
        <f ca="1">IFERROR(__xludf.dummyfunction("VLOOKUP(N19, IMPORTRANGE(""https://docs.google.com/spreadsheets/d/1yDAaXNsi4Mr5FtRQL4tbmSdIzhx6_m4wkOD7IG-k_eo/edit#gid=0"", ""Maths!M:N""), 2, FALSE)"),"Apply the associative property to re-group and simplify integer multiplication expressions.")</f>
        <v>Apply the associative property to re-group and simplify integer multiplication expressions.</v>
      </c>
      <c r="P19" s="29" t="str">
        <f t="shared" si="3"/>
        <v>LU001003.004</v>
      </c>
      <c r="Q19" s="29" t="str">
        <f ca="1">IFERROR(__xludf.dummyfunction("VLOOKUP(P19, IMPORTRANGE(""https://docs.google.com/spreadsheets/d/1yDAaXNsi4Mr5FtRQL4tbmSdIzhx6_m4wkOD7IG-k_eo/edit#gid=0"", ""Maths!M:N""), 2, FALSE)"),"Analyze mathematical equations to demonstrate the use of the associative property and how it affects the grouping of integers in multiplication.")</f>
        <v>Analyze mathematical equations to demonstrate the use of the associative property and how it affects the grouping of integers in multiplication.</v>
      </c>
      <c r="R19" s="29" t="str">
        <f t="shared" si="4"/>
        <v>LU001003.005</v>
      </c>
      <c r="S19" s="29" t="str">
        <f ca="1">IFERROR(__xludf.dummyfunction("VLOOKUP(R19, IMPORTRANGE(""https://docs.google.com/spreadsheets/d/1yDAaXNsi4Mr5FtRQL4tbmSdIzhx6_m4wkOD7IG-k_eo/edit#gid=0"", ""Maths!M:N""), 2, FALSE)"),"Evaluate the correctness of solutions obtained using the associative property in integer multiplication problems and identify any errors.")</f>
        <v>Evaluate the correctness of solutions obtained using the associative property in integer multiplication problems and identify any errors.</v>
      </c>
      <c r="T19" s="29" t="str">
        <f t="shared" si="5"/>
        <v>LU001003.006</v>
      </c>
      <c r="U19" s="29" t="str">
        <f ca="1">IFERROR(__xludf.dummyfunction("VLOOKUP(T19, IMPORTRANGE(""https://docs.google.com/spreadsheets/d/1yDAaXNsi4Mr5FtRQL4tbmSdIzhx6_m4wkOD7IG-k_eo/edit#gid=0"", ""Maths!M:N""), 2, FALSE)"),"#N/A")</f>
        <v>#N/A</v>
      </c>
      <c r="V19" s="16">
        <f ca="1">IFERROR(__xludf.dummyfunction("ArrayFormula(VLOOKUP(G19, IMPORTRANGE(""https://docs.google.com/spreadsheets/d/1p7R4vtkWt5VOBim4ltsDG9KTzSjrtKXsMtQGXPHyND0/edit#gid=795171502"", ""'Filter 30_05_2024'!A1:M2000""), {2, 3, 4, 5,6,7,8,9,10,11,12,13}, 0))"),4)</f>
        <v>4</v>
      </c>
      <c r="W19" s="16">
        <f ca="1">IFERROR(__xludf.dummyfunction("""COMPUTED_VALUE"""),11)</f>
        <v>11</v>
      </c>
      <c r="X19" s="16">
        <f ca="1">IFERROR(__xludf.dummyfunction("""COMPUTED_VALUE"""),2)</f>
        <v>2</v>
      </c>
      <c r="Y19" s="16">
        <f ca="1">IFERROR(__xludf.dummyfunction("""COMPUTED_VALUE"""),17)</f>
        <v>17</v>
      </c>
      <c r="Z19" s="16">
        <f ca="1">IFERROR(__xludf.dummyfunction("""COMPUTED_VALUE"""),4)</f>
        <v>4</v>
      </c>
      <c r="AA19" s="30">
        <f ca="1">IFERROR(__xludf.dummyfunction("""COMPUTED_VALUE"""),6)</f>
        <v>6</v>
      </c>
      <c r="AB19" s="30">
        <f ca="1">IFERROR(__xludf.dummyfunction("""COMPUTED_VALUE"""),1)</f>
        <v>1</v>
      </c>
      <c r="AC19" s="30">
        <f ca="1">IFERROR(__xludf.dummyfunction("""COMPUTED_VALUE"""),11)</f>
        <v>11</v>
      </c>
      <c r="AD19" s="16"/>
      <c r="AE19" s="30"/>
      <c r="AF19" s="30"/>
      <c r="AG19" s="30"/>
    </row>
    <row r="20" spans="1:33" ht="13.8">
      <c r="A20" s="25"/>
      <c r="B20" s="25" t="s">
        <v>29</v>
      </c>
      <c r="C20" s="25" t="s">
        <v>310</v>
      </c>
      <c r="D20" s="25">
        <v>7</v>
      </c>
      <c r="E20" s="64" t="s">
        <v>394</v>
      </c>
      <c r="F20" s="70"/>
      <c r="G20" s="71" t="s">
        <v>779</v>
      </c>
      <c r="H20" s="72" t="str">
        <f ca="1">IFERROR(__xludf.dummyfunction("IFERROR(
  VLOOKUP(G20, IMPORTRANGE(""https://docs.google.com/spreadsheets/d/14deopnvwcrKtEGCKuYXdUHJbeLDZlkiSSWWT0g7x2pM/edit#gid=849066331"", ""LU List Maths (Filter)!A:B""), 2, FALSE),
  IFERROR(
    VLOOKUP(G20, IMPORTRANGE(""https://docs.google.com/s"&amp;"preadsheets/d/14deopnvwcrKtEGCKuYXdUHJbeLDZlkiSSWWT0g7x2pM/edit#gid=849066331"", ""LU List Science (Filter)!A:B""), 2, FALSE),
    ""Not Found""
  )
)
"),"Multiplicative identity of integers")</f>
        <v>Multiplicative identity of integers</v>
      </c>
      <c r="I20" s="64"/>
      <c r="J20" s="29" t="str">
        <f t="shared" si="0"/>
        <v>LU000359.001</v>
      </c>
      <c r="K20" s="29" t="str">
        <f ca="1">IFERROR(__xludf.dummyfunction("VLOOKUP(J20, IMPORTRANGE(""https://docs.google.com/spreadsheets/d/1yDAaXNsi4Mr5FtRQL4tbmSdIzhx6_m4wkOD7IG-k_eo/edit#gid=0"", ""Maths!M:N""), 2, FALSE)"),"Define the multiplicative identity of integers and its mathematical representation.")</f>
        <v>Define the multiplicative identity of integers and its mathematical representation.</v>
      </c>
      <c r="L20" s="29" t="str">
        <f t="shared" si="1"/>
        <v>LU000359.002</v>
      </c>
      <c r="M20" s="29" t="str">
        <f ca="1">IFERROR(__xludf.dummyfunction("VLOOKUP(L20, IMPORTRANGE(""https://docs.google.com/spreadsheets/d/1yDAaXNsi4Mr5FtRQL4tbmSdIzhx6_m4wkOD7IG-k_eo/edit#gid=0"", ""Maths!M:N""), 2, FALSE)"),"Explain the concept of the multiplicative identity and its role in integer multiplication.")</f>
        <v>Explain the concept of the multiplicative identity and its role in integer multiplication.</v>
      </c>
      <c r="N20" s="29" t="str">
        <f t="shared" si="2"/>
        <v>LU000359.003</v>
      </c>
      <c r="O20" s="29" t="str">
        <f ca="1">IFERROR(__xludf.dummyfunction("VLOOKUP(N20, IMPORTRANGE(""https://docs.google.com/spreadsheets/d/1yDAaXNsi4Mr5FtRQL4tbmSdIzhx6_m4wkOD7IG-k_eo/edit#gid=0"", ""Maths!M:N""), 2, FALSE)"),"Simplify the expression using the multiplicative identity property.")</f>
        <v>Simplify the expression using the multiplicative identity property.</v>
      </c>
      <c r="P20" s="29" t="str">
        <f t="shared" si="3"/>
        <v>LU000359.004</v>
      </c>
      <c r="Q20" s="29" t="str">
        <f ca="1">IFERROR(__xludf.dummyfunction("VLOOKUP(P20, IMPORTRANGE(""https://docs.google.com/spreadsheets/d/1yDAaXNsi4Mr5FtRQL4tbmSdIzhx6_m4wkOD7IG-k_eo/edit#gid=0"", ""Maths!M:N""), 2, FALSE)"),"Analyse a series of integer operations and identify instances where the multiplicative identity property is used.")</f>
        <v>Analyse a series of integer operations and identify instances where the multiplicative identity property is used.</v>
      </c>
      <c r="R20" s="29" t="str">
        <f t="shared" si="4"/>
        <v>LU000359.005</v>
      </c>
      <c r="S20" s="29" t="str">
        <f ca="1">IFERROR(__xludf.dummyfunction("VLOOKUP(R20, IMPORTRANGE(""https://docs.google.com/spreadsheets/d/1yDAaXNsi4Mr5FtRQL4tbmSdIzhx6_m4wkOD7IG-k_eo/edit#gid=0"", ""Maths!M:N""), 2, FALSE)"),"Evaluate the correctness of a solution to a multiplication problem involving the multiplicative identity.")</f>
        <v>Evaluate the correctness of a solution to a multiplication problem involving the multiplicative identity.</v>
      </c>
      <c r="T20" s="29" t="str">
        <f t="shared" si="5"/>
        <v>LU000359.006</v>
      </c>
      <c r="U20" s="29" t="str">
        <f ca="1">IFERROR(__xludf.dummyfunction("VLOOKUP(T20, IMPORTRANGE(""https://docs.google.com/spreadsheets/d/1yDAaXNsi4Mr5FtRQL4tbmSdIzhx6_m4wkOD7IG-k_eo/edit#gid=0"", ""Maths!M:N""), 2, FALSE)"),"Create a set of word problems that challenge students to incorporate the multiplicative identity property in scenarios")</f>
        <v>Create a set of word problems that challenge students to incorporate the multiplicative identity property in scenarios</v>
      </c>
      <c r="V20" s="16">
        <f ca="1">IFERROR(__xludf.dummyfunction("ArrayFormula(VLOOKUP(G20, IMPORTRANGE(""https://docs.google.com/spreadsheets/d/1p7R4vtkWt5VOBim4ltsDG9KTzSjrtKXsMtQGXPHyND0/edit#gid=795171502"", ""'Filter 30_05_2024'!A1:M2000""), {2, 3, 4, 5,6,7,8,9,10,11,12,13}, 0))"),4)</f>
        <v>4</v>
      </c>
      <c r="W20" s="16">
        <f ca="1">IFERROR(__xludf.dummyfunction("""COMPUTED_VALUE"""),7)</f>
        <v>7</v>
      </c>
      <c r="X20" s="16">
        <f ca="1">IFERROR(__xludf.dummyfunction("""COMPUTED_VALUE"""),2)</f>
        <v>2</v>
      </c>
      <c r="Y20" s="16">
        <f ca="1">IFERROR(__xludf.dummyfunction("""COMPUTED_VALUE"""),13)</f>
        <v>13</v>
      </c>
      <c r="Z20" s="16">
        <f ca="1">IFERROR(__xludf.dummyfunction("""COMPUTED_VALUE"""),4)</f>
        <v>4</v>
      </c>
      <c r="AA20" s="30">
        <f ca="1">IFERROR(__xludf.dummyfunction("""COMPUTED_VALUE"""),2)</f>
        <v>2</v>
      </c>
      <c r="AB20" s="30">
        <f ca="1">IFERROR(__xludf.dummyfunction("""COMPUTED_VALUE"""),1)</f>
        <v>1</v>
      </c>
      <c r="AC20" s="30">
        <f ca="1">IFERROR(__xludf.dummyfunction("""COMPUTED_VALUE"""),7)</f>
        <v>7</v>
      </c>
      <c r="AD20" s="16"/>
      <c r="AE20" s="30"/>
      <c r="AF20" s="30"/>
      <c r="AG20" s="30"/>
    </row>
    <row r="21" spans="1:33" ht="13.8">
      <c r="A21" s="25"/>
      <c r="B21" s="25" t="s">
        <v>29</v>
      </c>
      <c r="C21" s="25" t="s">
        <v>310</v>
      </c>
      <c r="D21" s="25">
        <v>7</v>
      </c>
      <c r="E21" s="64" t="s">
        <v>394</v>
      </c>
      <c r="F21" s="70" t="s">
        <v>780</v>
      </c>
      <c r="G21" s="71" t="s">
        <v>781</v>
      </c>
      <c r="H21" s="72" t="str">
        <f ca="1">IFERROR(__xludf.dummyfunction("IFERROR(
  VLOOKUP(G21, IMPORTRANGE(""https://docs.google.com/spreadsheets/d/14deopnvwcrKtEGCKuYXdUHJbeLDZlkiSSWWT0g7x2pM/edit#gid=849066331"", ""LU List Maths (Filter)!A:B""), 2, FALSE),
  IFERROR(
    VLOOKUP(G21, IMPORTRANGE(""https://docs.google.com/s"&amp;"preadsheets/d/14deopnvwcrKtEGCKuYXdUHJbeLDZlkiSSWWT0g7x2pM/edit#gid=849066331"", ""LU List Science (Filter)!A:B""), 2, FALSE),
    ""Not Found""
  )
)
"),"Distributive property of multiplication over addition of integers")</f>
        <v>Distributive property of multiplication over addition of integers</v>
      </c>
      <c r="I21" s="64"/>
      <c r="J21" s="29" t="str">
        <f t="shared" si="0"/>
        <v>LU000999.001</v>
      </c>
      <c r="K21" s="29" t="str">
        <f ca="1">IFERROR(__xludf.dummyfunction("VLOOKUP(J21, IMPORTRANGE(""https://docs.google.com/spreadsheets/d/1yDAaXNsi4Mr5FtRQL4tbmSdIzhx6_m4wkOD7IG-k_eo/edit#gid=0"", ""Maths!M:N""), 2, FALSE)"),"Recall the statement of the distributive property of multiplication over addition for integers.")</f>
        <v>Recall the statement of the distributive property of multiplication over addition for integers.</v>
      </c>
      <c r="L21" s="29" t="str">
        <f t="shared" si="1"/>
        <v>LU000999.002</v>
      </c>
      <c r="M21" s="29" t="str">
        <f ca="1">IFERROR(__xludf.dummyfunction("VLOOKUP(L21, IMPORTRANGE(""https://docs.google.com/spreadsheets/d/1yDAaXNsi4Mr5FtRQL4tbmSdIzhx6_m4wkOD7IG-k_eo/edit#gid=0"", ""Maths!M:N""), 2, FALSE)"),"Explain the concept of the distributive property and how it applies to the multiplication of integers over addition.")</f>
        <v>Explain the concept of the distributive property and how it applies to the multiplication of integers over addition.</v>
      </c>
      <c r="N21" s="29" t="str">
        <f t="shared" si="2"/>
        <v>LU000999.003</v>
      </c>
      <c r="O21" s="29" t="str">
        <f ca="1">IFERROR(__xludf.dummyfunction("VLOOKUP(N21, IMPORTRANGE(""https://docs.google.com/spreadsheets/d/1yDAaXNsi4Mr5FtRQL4tbmSdIzhx6_m4wkOD7IG-k_eo/edit#gid=0"", ""Maths!M:N""), 2, FALSE)"),"Apply the distributive property to simplify and evaluate mathematical expressions involving multiplication and addition of integers.")</f>
        <v>Apply the distributive property to simplify and evaluate mathematical expressions involving multiplication and addition of integers.</v>
      </c>
      <c r="P21" s="29" t="str">
        <f t="shared" si="3"/>
        <v>LU000999.004</v>
      </c>
      <c r="Q21" s="29" t="str">
        <f ca="1">IFERROR(__xludf.dummyfunction("VLOOKUP(P21, IMPORTRANGE(""https://docs.google.com/spreadsheets/d/1yDAaXNsi4Mr5FtRQL4tbmSdIzhx6_m4wkOD7IG-k_eo/edit#gid=0"", ""Maths!M:N""), 2, FALSE)"),"Analyze mathematical equations to demonstrate the use of the distributive property and its effect on integer expressions.")</f>
        <v>Analyze mathematical equations to demonstrate the use of the distributive property and its effect on integer expressions.</v>
      </c>
      <c r="R21" s="29" t="str">
        <f t="shared" si="4"/>
        <v>LU000999.005</v>
      </c>
      <c r="S21" s="29" t="str">
        <f ca="1">IFERROR(__xludf.dummyfunction("VLOOKUP(R21, IMPORTRANGE(""https://docs.google.com/spreadsheets/d/1yDAaXNsi4Mr5FtRQL4tbmSdIzhx6_m4wkOD7IG-k_eo/edit#gid=0"", ""Maths!M:N""), 2, FALSE)"),"Evaluate the correctness of solutions obtained using the distributive property in integer calculations and identify errors if any.")</f>
        <v>Evaluate the correctness of solutions obtained using the distributive property in integer calculations and identify errors if any.</v>
      </c>
      <c r="T21" s="29" t="str">
        <f t="shared" si="5"/>
        <v>LU000999.006</v>
      </c>
      <c r="U21" s="29" t="str">
        <f ca="1">IFERROR(__xludf.dummyfunction("VLOOKUP(T21, IMPORTRANGE(""https://docs.google.com/spreadsheets/d/1yDAaXNsi4Mr5FtRQL4tbmSdIzhx6_m4wkOD7IG-k_eo/edit#gid=0"", ""Maths!M:N""), 2, FALSE)"),"#N/A")</f>
        <v>#N/A</v>
      </c>
      <c r="V21" s="16">
        <f ca="1">IFERROR(__xludf.dummyfunction("ArrayFormula(VLOOKUP(G21, IMPORTRANGE(""https://docs.google.com/spreadsheets/d/1p7R4vtkWt5VOBim4ltsDG9KTzSjrtKXsMtQGXPHyND0/edit#gid=795171502"", ""'Filter 30_05_2024'!A1:M2000""), {2, 3, 4, 5,6,7,8,9,10,11,12,13}, 0))"),6)</f>
        <v>6</v>
      </c>
      <c r="W21" s="16">
        <f ca="1">IFERROR(__xludf.dummyfunction("""COMPUTED_VALUE"""),8)</f>
        <v>8</v>
      </c>
      <c r="X21" s="16">
        <f ca="1">IFERROR(__xludf.dummyfunction("""COMPUTED_VALUE"""),2)</f>
        <v>2</v>
      </c>
      <c r="Y21" s="16">
        <f ca="1">IFERROR(__xludf.dummyfunction("""COMPUTED_VALUE"""),16)</f>
        <v>16</v>
      </c>
      <c r="Z21" s="16">
        <f ca="1">IFERROR(__xludf.dummyfunction("""COMPUTED_VALUE"""),4)</f>
        <v>4</v>
      </c>
      <c r="AA21" s="30">
        <f ca="1">IFERROR(__xludf.dummyfunction("""COMPUTED_VALUE"""),4)</f>
        <v>4</v>
      </c>
      <c r="AB21" s="30">
        <f ca="1">IFERROR(__xludf.dummyfunction("""COMPUTED_VALUE"""),1)</f>
        <v>1</v>
      </c>
      <c r="AC21" s="30">
        <f ca="1">IFERROR(__xludf.dummyfunction("""COMPUTED_VALUE"""),9)</f>
        <v>9</v>
      </c>
      <c r="AD21" s="16"/>
      <c r="AE21" s="30"/>
      <c r="AF21" s="30"/>
      <c r="AG21" s="30"/>
    </row>
    <row r="22" spans="1:33" ht="13.8">
      <c r="A22" s="25"/>
      <c r="B22" s="25" t="s">
        <v>29</v>
      </c>
      <c r="C22" s="25" t="s">
        <v>310</v>
      </c>
      <c r="D22" s="25">
        <v>7</v>
      </c>
      <c r="E22" s="64" t="s">
        <v>394</v>
      </c>
      <c r="F22" s="70"/>
      <c r="G22" s="71" t="s">
        <v>782</v>
      </c>
      <c r="H22" s="72" t="str">
        <f ca="1">IFERROR(__xludf.dummyfunction("IFERROR(
  VLOOKUP(G22, IMPORTRANGE(""https://docs.google.com/spreadsheets/d/14deopnvwcrKtEGCKuYXdUHJbeLDZlkiSSWWT0g7x2pM/edit#gid=849066331"", ""LU List Maths (Filter)!A:B""), 2, FALSE),
  IFERROR(
    VLOOKUP(G22, IMPORTRANGE(""https://docs.google.com/s"&amp;"preadsheets/d/14deopnvwcrKtEGCKuYXdUHJbeLDZlkiSSWWT0g7x2pM/edit#gid=849066331"", ""LU List Science (Filter)!A:B""), 2, FALSE),
    ""Not Found""
  )
)
"),"Distributive property of multiplication over subtraction of integers")</f>
        <v>Distributive property of multiplication over subtraction of integers</v>
      </c>
      <c r="I22" s="64"/>
      <c r="J22" s="29" t="str">
        <f t="shared" si="0"/>
        <v>LU001000.001</v>
      </c>
      <c r="K22" s="29" t="str">
        <f ca="1">IFERROR(__xludf.dummyfunction("VLOOKUP(J22, IMPORTRANGE(""https://docs.google.com/spreadsheets/d/1yDAaXNsi4Mr5FtRQL4tbmSdIzhx6_m4wkOD7IG-k_eo/edit#gid=0"", ""Maths!M:N""), 2, FALSE)"),"Recall the statement of the distributive property of multiplication over subtraction for integers.")</f>
        <v>Recall the statement of the distributive property of multiplication over subtraction for integers.</v>
      </c>
      <c r="L22" s="29" t="str">
        <f t="shared" si="1"/>
        <v>LU001000.002</v>
      </c>
      <c r="M22" s="29" t="str">
        <f ca="1">IFERROR(__xludf.dummyfunction("VLOOKUP(L22, IMPORTRANGE(""https://docs.google.com/spreadsheets/d/1yDAaXNsi4Mr5FtRQL4tbmSdIzhx6_m4wkOD7IG-k_eo/edit#gid=0"", ""Maths!M:N""), 2, FALSE)"),"Explain the concept of the distributive property and its application to the multiplication of integers over subtraction.")</f>
        <v>Explain the concept of the distributive property and its application to the multiplication of integers over subtraction.</v>
      </c>
      <c r="N22" s="29" t="str">
        <f t="shared" si="2"/>
        <v>LU001000.003</v>
      </c>
      <c r="O22" s="29" t="str">
        <f ca="1">IFERROR(__xludf.dummyfunction("VLOOKUP(N22, IMPORTRANGE(""https://docs.google.com/spreadsheets/d/1yDAaXNsi4Mr5FtRQL4tbmSdIzhx6_m4wkOD7IG-k_eo/edit#gid=0"", ""Maths!M:N""), 2, FALSE)"),"Apply the distributive property to simplify and evaluate mathematical expressions involving multiplication and subtraction of integers.")</f>
        <v>Apply the distributive property to simplify and evaluate mathematical expressions involving multiplication and subtraction of integers.</v>
      </c>
      <c r="P22" s="29" t="str">
        <f t="shared" si="3"/>
        <v>LU001000.004</v>
      </c>
      <c r="Q22" s="29" t="str">
        <f ca="1">IFERROR(__xludf.dummyfunction("VLOOKUP(P22, IMPORTRANGE(""https://docs.google.com/spreadsheets/d/1yDAaXNsi4Mr5FtRQL4tbmSdIzhx6_m4wkOD7IG-k_eo/edit#gid=0"", ""Maths!M:N""), 2, FALSE)"),"Analyze mathematical equations to demonstrate the use of the distributive property and its effect on integer expressions involving subtraction.")</f>
        <v>Analyze mathematical equations to demonstrate the use of the distributive property and its effect on integer expressions involving subtraction.</v>
      </c>
      <c r="R22" s="29" t="str">
        <f t="shared" si="4"/>
        <v>LU001000.005</v>
      </c>
      <c r="S22" s="29" t="str">
        <f ca="1">IFERROR(__xludf.dummyfunction("VLOOKUP(R22, IMPORTRANGE(""https://docs.google.com/spreadsheets/d/1yDAaXNsi4Mr5FtRQL4tbmSdIzhx6_m4wkOD7IG-k_eo/edit#gid=0"", ""Maths!M:N""), 2, FALSE)"),"Evaluate the correctness of solutions obtained using the distributive property in integer calculations with subtraction and identify any errors.")</f>
        <v>Evaluate the correctness of solutions obtained using the distributive property in integer calculations with subtraction and identify any errors.</v>
      </c>
      <c r="T22" s="29" t="str">
        <f t="shared" si="5"/>
        <v>LU001000.006</v>
      </c>
      <c r="U22" s="29" t="str">
        <f ca="1">IFERROR(__xludf.dummyfunction("VLOOKUP(T22, IMPORTRANGE(""https://docs.google.com/spreadsheets/d/1yDAaXNsi4Mr5FtRQL4tbmSdIzhx6_m4wkOD7IG-k_eo/edit#gid=0"", ""Maths!M:N""), 2, FALSE)"),"#N/A")</f>
        <v>#N/A</v>
      </c>
      <c r="V22" s="16">
        <f ca="1">IFERROR(__xludf.dummyfunction("ArrayFormula(VLOOKUP(G22, IMPORTRANGE(""https://docs.google.com/spreadsheets/d/1p7R4vtkWt5VOBim4ltsDG9KTzSjrtKXsMtQGXPHyND0/edit#gid=795171502"", ""'Filter 30_05_2024'!A1:M2000""), {2, 3, 4, 5,6,7,8,9,10,11,12,13}, 0))"),5)</f>
        <v>5</v>
      </c>
      <c r="W22" s="16">
        <f ca="1">IFERROR(__xludf.dummyfunction("""COMPUTED_VALUE"""),6)</f>
        <v>6</v>
      </c>
      <c r="X22" s="16">
        <f ca="1">IFERROR(__xludf.dummyfunction("""COMPUTED_VALUE"""),2)</f>
        <v>2</v>
      </c>
      <c r="Y22" s="16">
        <f ca="1">IFERROR(__xludf.dummyfunction("""COMPUTED_VALUE"""),13)</f>
        <v>13</v>
      </c>
      <c r="Z22" s="16">
        <f ca="1">IFERROR(__xludf.dummyfunction("""COMPUTED_VALUE"""),4)</f>
        <v>4</v>
      </c>
      <c r="AA22" s="30">
        <f ca="1">IFERROR(__xludf.dummyfunction("""COMPUTED_VALUE"""),3)</f>
        <v>3</v>
      </c>
      <c r="AB22" s="30">
        <f ca="1">IFERROR(__xludf.dummyfunction("""COMPUTED_VALUE"""),1)</f>
        <v>1</v>
      </c>
      <c r="AC22" s="30">
        <f ca="1">IFERROR(__xludf.dummyfunction("""COMPUTED_VALUE"""),8)</f>
        <v>8</v>
      </c>
      <c r="AD22" s="16"/>
      <c r="AE22" s="30">
        <f ca="1">IFERROR(__xludf.dummyfunction("""COMPUTED_VALUE"""),1)</f>
        <v>1</v>
      </c>
      <c r="AF22" s="30"/>
      <c r="AG22" s="30">
        <f ca="1">IFERROR(__xludf.dummyfunction("""COMPUTED_VALUE"""),1)</f>
        <v>1</v>
      </c>
    </row>
    <row r="23" spans="1:33" ht="13.8">
      <c r="A23" s="25"/>
      <c r="B23" s="25" t="s">
        <v>29</v>
      </c>
      <c r="C23" s="25" t="s">
        <v>310</v>
      </c>
      <c r="D23" s="25">
        <v>7</v>
      </c>
      <c r="E23" s="64" t="s">
        <v>394</v>
      </c>
      <c r="F23" s="70" t="s">
        <v>783</v>
      </c>
      <c r="G23" s="71" t="s">
        <v>784</v>
      </c>
      <c r="H23" s="72" t="str">
        <f ca="1">IFERROR(__xludf.dummyfunction("IFERROR(
  VLOOKUP(G23, IMPORTRANGE(""https://docs.google.com/spreadsheets/d/14deopnvwcrKtEGCKuYXdUHJbeLDZlkiSSWWT0g7x2pM/edit#gid=849066331"", ""LU List Maths (Filter)!A:B""), 2, FALSE),
  IFERROR(
    VLOOKUP(G23, IMPORTRANGE(""https://docs.google.com/s"&amp;"preadsheets/d/14deopnvwcrKtEGCKuYXdUHJbeLDZlkiSSWWT0g7x2pM/edit#gid=849066331"", ""LU List Science (Filter)!A:B""), 2, FALSE),
    ""Not Found""
  )
)
"),"Examination of closure property for division of integers")</f>
        <v>Examination of closure property for division of integers</v>
      </c>
      <c r="I23" s="64"/>
      <c r="J23" s="29" t="str">
        <f t="shared" si="0"/>
        <v>LU000994.001</v>
      </c>
      <c r="K23" s="29" t="str">
        <f ca="1">IFERROR(__xludf.dummyfunction("VLOOKUP(J23, IMPORTRANGE(""https://docs.google.com/spreadsheets/d/1yDAaXNsi4Mr5FtRQL4tbmSdIzhx6_m4wkOD7IG-k_eo/edit#gid=0"", ""Maths!M:N""), 2, FALSE)"),"State that the closure property does not always hold for the division of integers.")</f>
        <v>State that the closure property does not always hold for the division of integers.</v>
      </c>
      <c r="L23" s="29" t="str">
        <f t="shared" si="1"/>
        <v>LU000994.002</v>
      </c>
      <c r="M23" s="29" t="str">
        <f ca="1">IFERROR(__xludf.dummyfunction("VLOOKUP(L23, IMPORTRANGE(""https://docs.google.com/spreadsheets/d/1yDAaXNsi4Mr5FtRQL4tbmSdIzhx6_m4wkOD7IG-k_eo/edit#gid=0"", ""Maths!M:N""), 2, FALSE)"),"Explain why the closure property may or may not hold for the division of integers.")</f>
        <v>Explain why the closure property may or may not hold for the division of integers.</v>
      </c>
      <c r="N23" s="29" t="str">
        <f t="shared" si="2"/>
        <v>LU000994.003</v>
      </c>
      <c r="O23" s="29" t="str">
        <f ca="1">IFERROR(__xludf.dummyfunction("VLOOKUP(N23, IMPORTRANGE(""https://docs.google.com/spreadsheets/d/1yDAaXNsi4Mr5FtRQL4tbmSdIzhx6_m4wkOD7IG-k_eo/edit#gid=0"", ""Maths!M:N""), 2, FALSE)"),"Identify examples where division of integers does not maintain the closure property.")</f>
        <v>Identify examples where division of integers does not maintain the closure property.</v>
      </c>
      <c r="P23" s="29" t="str">
        <f t="shared" si="3"/>
        <v>LU000994.004</v>
      </c>
      <c r="Q23" s="29" t="str">
        <f ca="1">IFERROR(__xludf.dummyfunction("VLOOKUP(P23, IMPORTRANGE(""https://docs.google.com/spreadsheets/d/1yDAaXNsi4Mr5FtRQL4tbmSdIzhx6_m4wkOD7IG-k_eo/edit#gid=0"", ""Maths!M:N""), 2, FALSE)"),"Analyse a range of division problems to determine when the closure property fails.")</f>
        <v>Analyse a range of division problems to determine when the closure property fails.</v>
      </c>
      <c r="R23" s="29" t="str">
        <f t="shared" si="4"/>
        <v>LU000994.005</v>
      </c>
      <c r="S23" s="29" t="str">
        <f ca="1">IFERROR(__xludf.dummyfunction("VLOOKUP(R23, IMPORTRANGE(""https://docs.google.com/spreadsheets/d/1yDAaXNsi4Mr5FtRQL4tbmSdIzhx6_m4wkOD7IG-k_eo/edit#gid=0"", ""Maths!M:N""), 2, FALSE)"),"Evaluate the correctness of statements regarding the closure property and its non-applicability in integer division.")</f>
        <v>Evaluate the correctness of statements regarding the closure property and its non-applicability in integer division.</v>
      </c>
      <c r="T23" s="29" t="str">
        <f t="shared" si="5"/>
        <v>LU000994.006</v>
      </c>
      <c r="U23" s="29" t="str">
        <f ca="1">IFERROR(__xludf.dummyfunction("VLOOKUP(T23, IMPORTRANGE(""https://docs.google.com/spreadsheets/d/1yDAaXNsi4Mr5FtRQL4tbmSdIzhx6_m4wkOD7IG-k_eo/edit#gid=0"", ""Maths!M:N""), 2, FALSE)"),"#N/A")</f>
        <v>#N/A</v>
      </c>
      <c r="V23" s="16">
        <f ca="1">IFERROR(__xludf.dummyfunction("ArrayFormula(VLOOKUP(G23, IMPORTRANGE(""https://docs.google.com/spreadsheets/d/1p7R4vtkWt5VOBim4ltsDG9KTzSjrtKXsMtQGXPHyND0/edit#gid=795171502"", ""'Filter 30_05_2024'!A1:M2000""), {2, 3, 4, 5,6,7,8,9,10,11,12,13}, 0))"),3)</f>
        <v>3</v>
      </c>
      <c r="W23" s="16">
        <f ca="1">IFERROR(__xludf.dummyfunction("""COMPUTED_VALUE"""),6)</f>
        <v>6</v>
      </c>
      <c r="X23" s="16">
        <f ca="1">IFERROR(__xludf.dummyfunction("""COMPUTED_VALUE"""),2)</f>
        <v>2</v>
      </c>
      <c r="Y23" s="16">
        <f ca="1">IFERROR(__xludf.dummyfunction("""COMPUTED_VALUE"""),11)</f>
        <v>11</v>
      </c>
      <c r="Z23" s="16">
        <f ca="1">IFERROR(__xludf.dummyfunction("""COMPUTED_VALUE"""),6)</f>
        <v>6</v>
      </c>
      <c r="AA23" s="30">
        <f ca="1">IFERROR(__xludf.dummyfunction("""COMPUTED_VALUE"""),3)</f>
        <v>3</v>
      </c>
      <c r="AB23" s="30">
        <f ca="1">IFERROR(__xludf.dummyfunction("""COMPUTED_VALUE"""),1)</f>
        <v>1</v>
      </c>
      <c r="AC23" s="30">
        <f ca="1">IFERROR(__xludf.dummyfunction("""COMPUTED_VALUE"""),10)</f>
        <v>10</v>
      </c>
      <c r="AD23" s="16"/>
      <c r="AE23" s="30"/>
      <c r="AF23" s="30"/>
      <c r="AG23" s="30"/>
    </row>
    <row r="24" spans="1:33" ht="13.8">
      <c r="A24" s="25"/>
      <c r="B24" s="25" t="s">
        <v>29</v>
      </c>
      <c r="C24" s="25" t="s">
        <v>310</v>
      </c>
      <c r="D24" s="25">
        <v>7</v>
      </c>
      <c r="E24" s="64" t="s">
        <v>394</v>
      </c>
      <c r="F24" s="70"/>
      <c r="G24" s="71" t="s">
        <v>785</v>
      </c>
      <c r="H24" s="72" t="str">
        <f ca="1">IFERROR(__xludf.dummyfunction("IFERROR(
  VLOOKUP(G24, IMPORTRANGE(""https://docs.google.com/spreadsheets/d/14deopnvwcrKtEGCKuYXdUHJbeLDZlkiSSWWT0g7x2pM/edit#gid=849066331"", ""LU List Maths (Filter)!A:B""), 2, FALSE),
  IFERROR(
    VLOOKUP(G24, IMPORTRANGE(""https://docs.google.com/s"&amp;"preadsheets/d/14deopnvwcrKtEGCKuYXdUHJbeLDZlkiSSWWT0g7x2pM/edit#gid=849066331"", ""LU List Science (Filter)!A:B""), 2, FALSE),
    ""Not Found""
  )
)
"),"Examination of commutative property for division of integers")</f>
        <v>Examination of commutative property for division of integers</v>
      </c>
      <c r="I24" s="64"/>
      <c r="J24" s="29" t="str">
        <f t="shared" si="0"/>
        <v>LU000998.001</v>
      </c>
      <c r="K24" s="29" t="str">
        <f ca="1">IFERROR(__xludf.dummyfunction("VLOOKUP(J24, IMPORTRANGE(""https://docs.google.com/spreadsheets/d/1yDAaXNsi4Mr5FtRQL4tbmSdIzhx6_m4wkOD7IG-k_eo/edit#gid=0"", ""Maths!M:N""), 2, FALSE)"),"Recall that the commutative property does not apply to division of integers.")</f>
        <v>Recall that the commutative property does not apply to division of integers.</v>
      </c>
      <c r="L24" s="29" t="str">
        <f t="shared" si="1"/>
        <v>LU000998.002</v>
      </c>
      <c r="M24" s="29" t="str">
        <f ca="1">IFERROR(__xludf.dummyfunction("VLOOKUP(L24, IMPORTRANGE(""https://docs.google.com/spreadsheets/d/1yDAaXNsi4Mr5FtRQL4tbmSdIzhx6_m4wkOD7IG-k_eo/edit#gid=0"", ""Maths!M:N""), 2, FALSE)"),"Explain why the commutative property is inapplicable to integer division.")</f>
        <v>Explain why the commutative property is inapplicable to integer division.</v>
      </c>
      <c r="N24" s="29" t="str">
        <f t="shared" si="2"/>
        <v>LU000998.003</v>
      </c>
      <c r="O24" s="29" t="str">
        <f ca="1">IFERROR(__xludf.dummyfunction("VLOOKUP(N24, IMPORTRANGE(""https://docs.google.com/spreadsheets/d/1yDAaXNsi4Mr5FtRQL4tbmSdIzhx6_m4wkOD7IG-k_eo/edit#gid=0"", ""Maths!M:N""), 2, FALSE)"),"Identify examples where the division of integers demonstrates commutativity or non-commutativity.")</f>
        <v>Identify examples where the division of integers demonstrates commutativity or non-commutativity.</v>
      </c>
      <c r="P24" s="29" t="str">
        <f t="shared" si="3"/>
        <v>LU000998.004</v>
      </c>
      <c r="Q24" s="29" t="str">
        <f ca="1">IFERROR(__xludf.dummyfunction("VLOOKUP(P24, IMPORTRANGE(""https://docs.google.com/spreadsheets/d/1yDAaXNsi4Mr5FtRQL4tbmSdIzhx6_m4wkOD7IG-k_eo/edit#gid=0"", ""Maths!M:N""), 2, FALSE)"),"Analyse a range of division problems involving integers to highlight the failure of the commutative property.")</f>
        <v>Analyse a range of division problems involving integers to highlight the failure of the commutative property.</v>
      </c>
      <c r="R24" s="29" t="str">
        <f t="shared" si="4"/>
        <v>LU000998.005</v>
      </c>
      <c r="S24" s="29" t="str">
        <f ca="1">IFERROR(__xludf.dummyfunction("VLOOKUP(R24, IMPORTRANGE(""https://docs.google.com/spreadsheets/d/1yDAaXNsi4Mr5FtRQL4tbmSdIzhx6_m4wkOD7IG-k_eo/edit#gid=0"", ""Maths!M:N""), 2, FALSE)"),"Evaluate the correctness of statements regarding the commutative property and its non-applicability in integer division.")</f>
        <v>Evaluate the correctness of statements regarding the commutative property and its non-applicability in integer division.</v>
      </c>
      <c r="T24" s="29" t="str">
        <f t="shared" si="5"/>
        <v>LU000998.006</v>
      </c>
      <c r="U24" s="29" t="str">
        <f ca="1">IFERROR(__xludf.dummyfunction("VLOOKUP(T24, IMPORTRANGE(""https://docs.google.com/spreadsheets/d/1yDAaXNsi4Mr5FtRQL4tbmSdIzhx6_m4wkOD7IG-k_eo/edit#gid=0"", ""Maths!M:N""), 2, FALSE)"),"#N/A")</f>
        <v>#N/A</v>
      </c>
      <c r="V24" s="16">
        <f ca="1">IFERROR(__xludf.dummyfunction("ArrayFormula(VLOOKUP(G24, IMPORTRANGE(""https://docs.google.com/spreadsheets/d/1p7R4vtkWt5VOBim4ltsDG9KTzSjrtKXsMtQGXPHyND0/edit#gid=795171502"", ""'Filter 30_05_2024'!A1:M2000""), {2, 3, 4, 5,6,7,8,9,10,11,12,13}, 0))"),4)</f>
        <v>4</v>
      </c>
      <c r="W24" s="16">
        <f ca="1">IFERROR(__xludf.dummyfunction("""COMPUTED_VALUE"""),6)</f>
        <v>6</v>
      </c>
      <c r="X24" s="16">
        <f ca="1">IFERROR(__xludf.dummyfunction("""COMPUTED_VALUE"""),2)</f>
        <v>2</v>
      </c>
      <c r="Y24" s="16">
        <f ca="1">IFERROR(__xludf.dummyfunction("""COMPUTED_VALUE"""),12)</f>
        <v>12</v>
      </c>
      <c r="Z24" s="16">
        <f ca="1">IFERROR(__xludf.dummyfunction("""COMPUTED_VALUE"""),4)</f>
        <v>4</v>
      </c>
      <c r="AA24" s="30">
        <f ca="1">IFERROR(__xludf.dummyfunction("""COMPUTED_VALUE"""),3)</f>
        <v>3</v>
      </c>
      <c r="AB24" s="30">
        <f ca="1">IFERROR(__xludf.dummyfunction("""COMPUTED_VALUE"""),1)</f>
        <v>1</v>
      </c>
      <c r="AC24" s="30">
        <f ca="1">IFERROR(__xludf.dummyfunction("""COMPUTED_VALUE"""),8)</f>
        <v>8</v>
      </c>
      <c r="AD24" s="16"/>
      <c r="AE24" s="30"/>
      <c r="AF24" s="30"/>
      <c r="AG24" s="30"/>
    </row>
    <row r="25" spans="1:33" ht="13.8">
      <c r="A25" s="25"/>
      <c r="B25" s="25" t="s">
        <v>29</v>
      </c>
      <c r="C25" s="25" t="s">
        <v>310</v>
      </c>
      <c r="D25" s="25">
        <v>7</v>
      </c>
      <c r="E25" s="64" t="s">
        <v>394</v>
      </c>
      <c r="F25" s="70"/>
      <c r="G25" s="71" t="s">
        <v>786</v>
      </c>
      <c r="H25" s="72" t="str">
        <f ca="1">IFERROR(__xludf.dummyfunction("IFERROR(
  VLOOKUP(G25, IMPORTRANGE(""https://docs.google.com/spreadsheets/d/14deopnvwcrKtEGCKuYXdUHJbeLDZlkiSSWWT0g7x2pM/edit#gid=849066331"", ""LU List Maths (Filter)!A:B""), 2, FALSE),
  IFERROR(
    VLOOKUP(G25, IMPORTRANGE(""https://docs.google.com/s"&amp;"preadsheets/d/14deopnvwcrKtEGCKuYXdUHJbeLDZlkiSSWWT0g7x2pM/edit#gid=849066331"", ""LU List Science (Filter)!A:B""), 2, FALSE),
    ""Not Found""
  )
)
"),"Examination of associative property for division of integers")</f>
        <v>Examination of associative property for division of integers</v>
      </c>
      <c r="I25" s="64"/>
      <c r="J25" s="29" t="str">
        <f t="shared" si="0"/>
        <v>LU001004.001</v>
      </c>
      <c r="K25" s="29" t="str">
        <f ca="1">IFERROR(__xludf.dummyfunction("VLOOKUP(J25, IMPORTRANGE(""https://docs.google.com/spreadsheets/d/1yDAaXNsi4Mr5FtRQL4tbmSdIzhx6_m4wkOD7IG-k_eo/edit#gid=0"", ""Maths!M:N""), 2, FALSE)"),"Recall that the associative property does not apply to division of integers.")</f>
        <v>Recall that the associative property does not apply to division of integers.</v>
      </c>
      <c r="L25" s="29" t="str">
        <f t="shared" si="1"/>
        <v>LU001004.002</v>
      </c>
      <c r="M25" s="29" t="str">
        <f ca="1">IFERROR(__xludf.dummyfunction("VLOOKUP(L25, IMPORTRANGE(""https://docs.google.com/spreadsheets/d/1yDAaXNsi4Mr5FtRQL4tbmSdIzhx6_m4wkOD7IG-k_eo/edit#gid=0"", ""Maths!M:N""), 2, FALSE)"),"Explain why the associative property is inapplicable to integer division.")</f>
        <v>Explain why the associative property is inapplicable to integer division.</v>
      </c>
      <c r="N25" s="29" t="str">
        <f t="shared" si="2"/>
        <v>LU001004.003</v>
      </c>
      <c r="O25" s="29" t="str">
        <f ca="1">IFERROR(__xludf.dummyfunction("VLOOKUP(N25, IMPORTRANGE(""https://docs.google.com/spreadsheets/d/1yDAaXNsi4Mr5FtRQL4tbmSdIzhx6_m4wkOD7IG-k_eo/edit#gid=0"", ""Maths!M:N""), 2, FALSE)"),"Identify examples where division of integers demonstrates the non-associativity.")</f>
        <v>Identify examples where division of integers demonstrates the non-associativity.</v>
      </c>
      <c r="P25" s="29" t="str">
        <f t="shared" si="3"/>
        <v>LU001004.004</v>
      </c>
      <c r="Q25" s="29" t="str">
        <f ca="1">IFERROR(__xludf.dummyfunction("VLOOKUP(P25, IMPORTRANGE(""https://docs.google.com/spreadsheets/d/1yDAaXNsi4Mr5FtRQL4tbmSdIzhx6_m4wkOD7IG-k_eo/edit#gid=0"", ""Maths!M:N""), 2, FALSE)"),"Analyse a range of division problems involving integers to highlight the failure of the associative property.")</f>
        <v>Analyse a range of division problems involving integers to highlight the failure of the associative property.</v>
      </c>
      <c r="R25" s="29" t="str">
        <f t="shared" si="4"/>
        <v>LU001004.005</v>
      </c>
      <c r="S25" s="29" t="str">
        <f ca="1">IFERROR(__xludf.dummyfunction("VLOOKUP(R25, IMPORTRANGE(""https://docs.google.com/spreadsheets/d/1yDAaXNsi4Mr5FtRQL4tbmSdIzhx6_m4wkOD7IG-k_eo/edit#gid=0"", ""Maths!M:N""), 2, FALSE)"),"Evaluate the correctness of statements regarding the associative property and its non-applicability in integer division.")</f>
        <v>Evaluate the correctness of statements regarding the associative property and its non-applicability in integer division.</v>
      </c>
      <c r="T25" s="29" t="str">
        <f t="shared" si="5"/>
        <v>LU001004.006</v>
      </c>
      <c r="U25" s="29" t="str">
        <f ca="1">IFERROR(__xludf.dummyfunction("VLOOKUP(T25, IMPORTRANGE(""https://docs.google.com/spreadsheets/d/1yDAaXNsi4Mr5FtRQL4tbmSdIzhx6_m4wkOD7IG-k_eo/edit#gid=0"", ""Maths!M:N""), 2, FALSE)"),"#N/A")</f>
        <v>#N/A</v>
      </c>
      <c r="V25" s="16">
        <f ca="1">IFERROR(__xludf.dummyfunction("ArrayFormula(VLOOKUP(G25, IMPORTRANGE(""https://docs.google.com/spreadsheets/d/1p7R4vtkWt5VOBim4ltsDG9KTzSjrtKXsMtQGXPHyND0/edit#gid=795171502"", ""'Filter 30_05_2024'!A1:M2000""), {2, 3, 4, 5,6,7,8,9,10,11,12,13}, 0))"),4)</f>
        <v>4</v>
      </c>
      <c r="W25" s="16">
        <f ca="1">IFERROR(__xludf.dummyfunction("""COMPUTED_VALUE"""),6)</f>
        <v>6</v>
      </c>
      <c r="X25" s="16">
        <f ca="1">IFERROR(__xludf.dummyfunction("""COMPUTED_VALUE"""),2)</f>
        <v>2</v>
      </c>
      <c r="Y25" s="16">
        <f ca="1">IFERROR(__xludf.dummyfunction("""COMPUTED_VALUE"""),12)</f>
        <v>12</v>
      </c>
      <c r="Z25" s="16">
        <f ca="1">IFERROR(__xludf.dummyfunction("""COMPUTED_VALUE"""),4)</f>
        <v>4</v>
      </c>
      <c r="AA25" s="30">
        <f ca="1">IFERROR(__xludf.dummyfunction("""COMPUTED_VALUE"""),3)</f>
        <v>3</v>
      </c>
      <c r="AB25" s="30">
        <f ca="1">IFERROR(__xludf.dummyfunction("""COMPUTED_VALUE"""),1)</f>
        <v>1</v>
      </c>
      <c r="AC25" s="30">
        <f ca="1">IFERROR(__xludf.dummyfunction("""COMPUTED_VALUE"""),8)</f>
        <v>8</v>
      </c>
      <c r="AD25" s="16"/>
      <c r="AE25" s="30"/>
      <c r="AF25" s="30"/>
      <c r="AG25" s="30"/>
    </row>
    <row r="26" spans="1:33" ht="15.6">
      <c r="A26" s="25"/>
      <c r="B26" s="25" t="s">
        <v>29</v>
      </c>
      <c r="C26" s="25" t="s">
        <v>310</v>
      </c>
      <c r="D26" s="25">
        <v>7</v>
      </c>
      <c r="E26" s="64" t="s">
        <v>394</v>
      </c>
      <c r="F26" s="78" t="s">
        <v>787</v>
      </c>
      <c r="G26" s="79" t="s">
        <v>788</v>
      </c>
      <c r="H26" s="72" t="str">
        <f ca="1">IFERROR(__xludf.dummyfunction("IFERROR(
  VLOOKUP(G26, IMPORTRANGE(""https://docs.google.com/spreadsheets/d/14deopnvwcrKtEGCKuYXdUHJbeLDZlkiSSWWT0g7x2pM/edit#gid=849066331"", ""LU List Maths (Filter)!A:B""), 2, FALSE),
  IFERROR(
    VLOOKUP(G26, IMPORTRANGE(""https://docs.google.com/s"&amp;"preadsheets/d/14deopnvwcrKtEGCKuYXdUHJbeLDZlkiSSWWT0g7x2pM/edit#gid=849066331"", ""LU List Science (Filter)!A:B""), 2, FALSE),
    ""Not Found""
  )
)
"),"Application of combination of properties of integers")</f>
        <v>Application of combination of properties of integers</v>
      </c>
      <c r="I26" s="64"/>
      <c r="J26" s="29" t="str">
        <f t="shared" si="0"/>
        <v>LU001392.001</v>
      </c>
      <c r="K26" s="29" t="str">
        <f ca="1">IFERROR(__xludf.dummyfunction("VLOOKUP(J26, IMPORTRANGE(""https://docs.google.com/spreadsheets/d/1yDAaXNsi4Mr5FtRQL4tbmSdIzhx6_m4wkOD7IG-k_eo/edit#gid=0"", ""Maths!M:N""), 2, FALSE)"),"(LU001392.001); Default - Remember")</f>
        <v>(LU001392.001); Default - Remember</v>
      </c>
      <c r="L26" s="29" t="str">
        <f t="shared" si="1"/>
        <v>LU001392.002</v>
      </c>
      <c r="M26" s="29" t="str">
        <f ca="1">IFERROR(__xludf.dummyfunction("VLOOKUP(L26, IMPORTRANGE(""https://docs.google.com/spreadsheets/d/1yDAaXNsi4Mr5FtRQL4tbmSdIzhx6_m4wkOD7IG-k_eo/edit#gid=0"", ""Maths!M:N""), 2, FALSE)"),"(LU001392.002); Default - Understand")</f>
        <v>(LU001392.002); Default - Understand</v>
      </c>
      <c r="N26" s="29" t="str">
        <f t="shared" si="2"/>
        <v>LU001392.003</v>
      </c>
      <c r="O26" s="29" t="str">
        <f ca="1">IFERROR(__xludf.dummyfunction("VLOOKUP(N26, IMPORTRANGE(""https://docs.google.com/spreadsheets/d/1yDAaXNsi4Mr5FtRQL4tbmSdIzhx6_m4wkOD7IG-k_eo/edit#gid=0"", ""Maths!M:N""), 2, FALSE)"),"(LU001392.003); Default - Apply")</f>
        <v>(LU001392.003); Default - Apply</v>
      </c>
      <c r="P26" s="29" t="str">
        <f t="shared" si="3"/>
        <v>LU001392.004</v>
      </c>
      <c r="Q26" s="29" t="str">
        <f ca="1">IFERROR(__xludf.dummyfunction("VLOOKUP(P26, IMPORTRANGE(""https://docs.google.com/spreadsheets/d/1yDAaXNsi4Mr5FtRQL4tbmSdIzhx6_m4wkOD7IG-k_eo/edit#gid=0"", ""Maths!M:N""), 2, FALSE)"),"(LU001392.004); Default - Analyse")</f>
        <v>(LU001392.004); Default - Analyse</v>
      </c>
      <c r="R26" s="29" t="str">
        <f t="shared" si="4"/>
        <v>LU001392.005</v>
      </c>
      <c r="S26" s="29" t="str">
        <f ca="1">IFERROR(__xludf.dummyfunction("VLOOKUP(R26, IMPORTRANGE(""https://docs.google.com/spreadsheets/d/1yDAaXNsi4Mr5FtRQL4tbmSdIzhx6_m4wkOD7IG-k_eo/edit#gid=0"", ""Maths!M:N""), 2, FALSE)"),"(LU001392.005); Default - Evaluate")</f>
        <v>(LU001392.005); Default - Evaluate</v>
      </c>
      <c r="T26" s="29" t="str">
        <f t="shared" si="5"/>
        <v>LU001392.006</v>
      </c>
      <c r="U26" s="29" t="str">
        <f ca="1">IFERROR(__xludf.dummyfunction("VLOOKUP(T26, IMPORTRANGE(""https://docs.google.com/spreadsheets/d/1yDAaXNsi4Mr5FtRQL4tbmSdIzhx6_m4wkOD7IG-k_eo/edit#gid=0"", ""Maths!M:N""), 2, FALSE)"),"(LU001392.006); Default - Create")</f>
        <v>(LU001392.006); Default - Create</v>
      </c>
      <c r="V26" s="16" t="str">
        <f ca="1">IFERROR(__xludf.dummyfunction("ArrayFormula(VLOOKUP(G26, IMPORTRANGE(""https://docs.google.com/spreadsheets/d/1p7R4vtkWt5VOBim4ltsDG9KTzSjrtKXsMtQGXPHyND0/edit#gid=795171502"", ""'Filter 30_05_2024'!A1:M2000""), {2, 3, 4, 5,6,7,8,9,10,11,12,13}, 0))"),"#N/A")</f>
        <v>#N/A</v>
      </c>
      <c r="W26" s="16" t="str">
        <f ca="1">IFERROR(__xludf.dummyfunction("""COMPUTED_VALUE"""),"#N/A")</f>
        <v>#N/A</v>
      </c>
      <c r="X26" s="16" t="str">
        <f ca="1">IFERROR(__xludf.dummyfunction("""COMPUTED_VALUE"""),"#N/A")</f>
        <v>#N/A</v>
      </c>
      <c r="Y26" s="16" t="str">
        <f ca="1">IFERROR(__xludf.dummyfunction("""COMPUTED_VALUE"""),"#N/A")</f>
        <v>#N/A</v>
      </c>
      <c r="Z26" s="16" t="str">
        <f ca="1">IFERROR(__xludf.dummyfunction("""COMPUTED_VALUE"""),"#N/A")</f>
        <v>#N/A</v>
      </c>
      <c r="AA26" s="30" t="str">
        <f ca="1">IFERROR(__xludf.dummyfunction("""COMPUTED_VALUE"""),"#N/A")</f>
        <v>#N/A</v>
      </c>
      <c r="AB26" s="30" t="str">
        <f ca="1">IFERROR(__xludf.dummyfunction("""COMPUTED_VALUE"""),"#N/A")</f>
        <v>#N/A</v>
      </c>
      <c r="AC26" s="30" t="str">
        <f ca="1">IFERROR(__xludf.dummyfunction("""COMPUTED_VALUE"""),"#N/A")</f>
        <v>#N/A</v>
      </c>
      <c r="AD26" s="16" t="str">
        <f ca="1">IFERROR(__xludf.dummyfunction("""COMPUTED_VALUE"""),"#N/A")</f>
        <v>#N/A</v>
      </c>
      <c r="AE26" s="30" t="str">
        <f ca="1">IFERROR(__xludf.dummyfunction("""COMPUTED_VALUE"""),"#N/A")</f>
        <v>#N/A</v>
      </c>
      <c r="AF26" s="30" t="str">
        <f ca="1">IFERROR(__xludf.dummyfunction("""COMPUTED_VALUE"""),"#N/A")</f>
        <v>#N/A</v>
      </c>
      <c r="AG26" s="30" t="str">
        <f ca="1">IFERROR(__xludf.dummyfunction("""COMPUTED_VALUE"""),"#N/A")</f>
        <v>#N/A</v>
      </c>
    </row>
    <row r="27" spans="1:33" ht="15.6">
      <c r="A27" s="25"/>
      <c r="B27" s="25" t="s">
        <v>29</v>
      </c>
      <c r="C27" s="25" t="s">
        <v>310</v>
      </c>
      <c r="D27" s="25">
        <v>7</v>
      </c>
      <c r="E27" s="64" t="s">
        <v>394</v>
      </c>
      <c r="F27" s="80" t="s">
        <v>789</v>
      </c>
      <c r="G27" s="79" t="s">
        <v>790</v>
      </c>
      <c r="H27" s="72" t="str">
        <f ca="1">IFERROR(__xludf.dummyfunction("IFERROR(
  VLOOKUP(G27, IMPORTRANGE(""https://docs.google.com/spreadsheets/d/14deopnvwcrKtEGCKuYXdUHJbeLDZlkiSSWWT0g7x2pM/edit#gid=849066331"", ""LU List Maths (Filter)!A:B""), 2, FALSE),
  IFERROR(
    VLOOKUP(G27, IMPORTRANGE(""https://docs.google.com/s"&amp;"preadsheets/d/14deopnvwcrKtEGCKuYXdUHJbeLDZlkiSSWWT0g7x2pM/edit#gid=849066331"", ""LU List Science (Filter)!A:B""), 2, FALSE),
    ""Not Found""
  )
)
"),"Word problems on integers (all operations)")</f>
        <v>Word problems on integers (all operations)</v>
      </c>
      <c r="I27" s="64"/>
      <c r="J27" s="29" t="str">
        <f t="shared" si="0"/>
        <v>LU001393.001</v>
      </c>
      <c r="K27" s="29" t="str">
        <f ca="1">IFERROR(__xludf.dummyfunction("VLOOKUP(J27, IMPORTRANGE(""https://docs.google.com/spreadsheets/d/1yDAaXNsi4Mr5FtRQL4tbmSdIzhx6_m4wkOD7IG-k_eo/edit#gid=0"", ""Maths!M:N""), 2, FALSE)"),"(LU001393.001); Default - Remember")</f>
        <v>(LU001393.001); Default - Remember</v>
      </c>
      <c r="L27" s="29" t="str">
        <f t="shared" si="1"/>
        <v>LU001393.002</v>
      </c>
      <c r="M27" s="29" t="str">
        <f ca="1">IFERROR(__xludf.dummyfunction("VLOOKUP(L27, IMPORTRANGE(""https://docs.google.com/spreadsheets/d/1yDAaXNsi4Mr5FtRQL4tbmSdIzhx6_m4wkOD7IG-k_eo/edit#gid=0"", ""Maths!M:N""), 2, FALSE)"),"(LU001393.002); Default - Understand")</f>
        <v>(LU001393.002); Default - Understand</v>
      </c>
      <c r="N27" s="29" t="str">
        <f t="shared" si="2"/>
        <v>LU001393.003</v>
      </c>
      <c r="O27" s="29" t="str">
        <f ca="1">IFERROR(__xludf.dummyfunction("VLOOKUP(N27, IMPORTRANGE(""https://docs.google.com/spreadsheets/d/1yDAaXNsi4Mr5FtRQL4tbmSdIzhx6_m4wkOD7IG-k_eo/edit#gid=0"", ""Maths!M:N""), 2, FALSE)"),"(LU001393.003); Default - Apply")</f>
        <v>(LU001393.003); Default - Apply</v>
      </c>
      <c r="P27" s="29" t="str">
        <f t="shared" si="3"/>
        <v>LU001393.004</v>
      </c>
      <c r="Q27" s="29" t="str">
        <f ca="1">IFERROR(__xludf.dummyfunction("VLOOKUP(P27, IMPORTRANGE(""https://docs.google.com/spreadsheets/d/1yDAaXNsi4Mr5FtRQL4tbmSdIzhx6_m4wkOD7IG-k_eo/edit#gid=0"", ""Maths!M:N""), 2, FALSE)"),"(LU001393.004); Default - Analyse")</f>
        <v>(LU001393.004); Default - Analyse</v>
      </c>
      <c r="R27" s="29" t="str">
        <f t="shared" si="4"/>
        <v>LU001393.005</v>
      </c>
      <c r="S27" s="29" t="str">
        <f ca="1">IFERROR(__xludf.dummyfunction("VLOOKUP(R27, IMPORTRANGE(""https://docs.google.com/spreadsheets/d/1yDAaXNsi4Mr5FtRQL4tbmSdIzhx6_m4wkOD7IG-k_eo/edit#gid=0"", ""Maths!M:N""), 2, FALSE)"),"(LU001393.005); Default - Evaluate")</f>
        <v>(LU001393.005); Default - Evaluate</v>
      </c>
      <c r="T27" s="29" t="str">
        <f t="shared" si="5"/>
        <v>LU001393.006</v>
      </c>
      <c r="U27" s="29" t="str">
        <f ca="1">IFERROR(__xludf.dummyfunction("VLOOKUP(T27, IMPORTRANGE(""https://docs.google.com/spreadsheets/d/1yDAaXNsi4Mr5FtRQL4tbmSdIzhx6_m4wkOD7IG-k_eo/edit#gid=0"", ""Maths!M:N""), 2, FALSE)"),"(LU001393.006); Default - Create")</f>
        <v>(LU001393.006); Default - Create</v>
      </c>
      <c r="V27" s="16" t="str">
        <f ca="1">IFERROR(__xludf.dummyfunction("ArrayFormula(VLOOKUP(G27, IMPORTRANGE(""https://docs.google.com/spreadsheets/d/1p7R4vtkWt5VOBim4ltsDG9KTzSjrtKXsMtQGXPHyND0/edit#gid=795171502"", ""'Filter 30_05_2024'!A1:M2000""), {2, 3, 4, 5,6,7,8,9,10,11,12,13}, 0))"),"#N/A")</f>
        <v>#N/A</v>
      </c>
      <c r="W27" s="16" t="str">
        <f ca="1">IFERROR(__xludf.dummyfunction("""COMPUTED_VALUE"""),"#N/A")</f>
        <v>#N/A</v>
      </c>
      <c r="X27" s="16" t="str">
        <f ca="1">IFERROR(__xludf.dummyfunction("""COMPUTED_VALUE"""),"#N/A")</f>
        <v>#N/A</v>
      </c>
      <c r="Y27" s="16" t="str">
        <f ca="1">IFERROR(__xludf.dummyfunction("""COMPUTED_VALUE"""),"#N/A")</f>
        <v>#N/A</v>
      </c>
      <c r="Z27" s="16" t="str">
        <f ca="1">IFERROR(__xludf.dummyfunction("""COMPUTED_VALUE"""),"#N/A")</f>
        <v>#N/A</v>
      </c>
      <c r="AA27" s="30" t="str">
        <f ca="1">IFERROR(__xludf.dummyfunction("""COMPUTED_VALUE"""),"#N/A")</f>
        <v>#N/A</v>
      </c>
      <c r="AB27" s="30" t="str">
        <f ca="1">IFERROR(__xludf.dummyfunction("""COMPUTED_VALUE"""),"#N/A")</f>
        <v>#N/A</v>
      </c>
      <c r="AC27" s="30" t="str">
        <f ca="1">IFERROR(__xludf.dummyfunction("""COMPUTED_VALUE"""),"#N/A")</f>
        <v>#N/A</v>
      </c>
      <c r="AD27" s="16" t="str">
        <f ca="1">IFERROR(__xludf.dummyfunction("""COMPUTED_VALUE"""),"#N/A")</f>
        <v>#N/A</v>
      </c>
      <c r="AE27" s="30" t="str">
        <f ca="1">IFERROR(__xludf.dummyfunction("""COMPUTED_VALUE"""),"#N/A")</f>
        <v>#N/A</v>
      </c>
      <c r="AF27" s="30" t="str">
        <f ca="1">IFERROR(__xludf.dummyfunction("""COMPUTED_VALUE"""),"#N/A")</f>
        <v>#N/A</v>
      </c>
      <c r="AG27" s="30" t="str">
        <f ca="1">IFERROR(__xludf.dummyfunction("""COMPUTED_VALUE"""),"#N/A")</f>
        <v>#N/A</v>
      </c>
    </row>
    <row r="28" spans="1:33" ht="13.8">
      <c r="A28" s="25"/>
      <c r="B28" s="25" t="s">
        <v>29</v>
      </c>
      <c r="C28" s="25" t="s">
        <v>310</v>
      </c>
      <c r="D28" s="25">
        <v>7</v>
      </c>
      <c r="E28" s="70" t="s">
        <v>791</v>
      </c>
      <c r="F28" s="70" t="s">
        <v>792</v>
      </c>
      <c r="G28" s="71" t="s">
        <v>793</v>
      </c>
      <c r="H28" s="72" t="str">
        <f ca="1">IFERROR(__xludf.dummyfunction("IFERROR(
  VLOOKUP(G28, IMPORTRANGE(""https://docs.google.com/spreadsheets/d/14deopnvwcrKtEGCKuYXdUHJbeLDZlkiSSWWT0g7x2pM/edit#gid=849066331"", ""LU List Maths (Filter)!A:B""), 2, FALSE),
  IFERROR(
    VLOOKUP(G28, IMPORTRANGE(""https://docs.google.com/s"&amp;"preadsheets/d/14deopnvwcrKtEGCKuYXdUHJbeLDZlkiSSWWT0g7x2pM/edit#gid=849066331"", ""LU List Science (Filter)!A:B""), 2, FALSE),
    ""Not Found""
  )
)
"),"Definition of rational numbers")</f>
        <v>Definition of rational numbers</v>
      </c>
      <c r="I28" s="64"/>
      <c r="J28" s="29" t="str">
        <f t="shared" si="0"/>
        <v>LU000464.001</v>
      </c>
      <c r="K28" s="29" t="str">
        <f ca="1">IFERROR(__xludf.dummyfunction("VLOOKUP(J28, IMPORTRANGE(""https://docs.google.com/spreadsheets/d/1yDAaXNsi4Mr5FtRQL4tbmSdIzhx6_m4wkOD7IG-k_eo/edit#gid=0"", ""Maths!M:N""), 2, FALSE)"),"State that rational numbers are numbers that can be expressed as fractions, where the numerator and denominator are integers and the denominator is not zero.")</f>
        <v>State that rational numbers are numbers that can be expressed as fractions, where the numerator and denominator are integers and the denominator is not zero.</v>
      </c>
      <c r="L28" s="29" t="str">
        <f t="shared" si="1"/>
        <v>LU000464.002</v>
      </c>
      <c r="M28" s="29" t="str">
        <f ca="1">IFERROR(__xludf.dummyfunction("VLOOKUP(L28, IMPORTRANGE(""https://docs.google.com/spreadsheets/d/1yDAaXNsi4Mr5FtRQL4tbmSdIzhx6_m4wkOD7IG-k_eo/edit#gid=0"", ""Maths!M:N""), 2, FALSE)"),"Explain why fractions and integers are considered rational numbers.")</f>
        <v>Explain why fractions and integers are considered rational numbers.</v>
      </c>
      <c r="N28" s="29" t="str">
        <f t="shared" si="2"/>
        <v>LU000464.003</v>
      </c>
      <c r="O28" s="29" t="str">
        <f ca="1">IFERROR(__xludf.dummyfunction("VLOOKUP(N28, IMPORTRANGE(""https://docs.google.com/spreadsheets/d/1yDAaXNsi4Mr5FtRQL4tbmSdIzhx6_m4wkOD7IG-k_eo/edit#gid=0"", ""Maths!M:N""), 2, FALSE)"),"Solve problems involving the classification of numbers as rational or not.")</f>
        <v>Solve problems involving the classification of numbers as rational or not.</v>
      </c>
      <c r="P28" s="29" t="str">
        <f t="shared" si="3"/>
        <v>LU000464.004</v>
      </c>
      <c r="Q28" s="29" t="str">
        <f ca="1">IFERROR(__xludf.dummyfunction("VLOOKUP(P28, IMPORTRANGE(""https://docs.google.com/spreadsheets/d/1yDAaXNsi4Mr5FtRQL4tbmSdIzhx6_m4wkOD7IG-k_eo/edit#gid=0"", ""Maths!M:N""), 2, FALSE)"),"Compare and contrast rational numbers with irrational numbers, providing examples of each.")</f>
        <v>Compare and contrast rational numbers with irrational numbers, providing examples of each.</v>
      </c>
      <c r="R28" s="29" t="str">
        <f t="shared" si="4"/>
        <v>LU000464.005</v>
      </c>
      <c r="S28" s="29" t="str">
        <f ca="1">IFERROR(__xludf.dummyfunction("VLOOKUP(R28, IMPORTRANGE(""https://docs.google.com/spreadsheets/d/1yDAaXNsi4Mr5FtRQL4tbmSdIzhx6_m4wkOD7IG-k_eo/edit#gid=0"", ""Maths!M:N""), 2, FALSE)"),"Evaluate the importance of rational numbers in real-life scenarios.")</f>
        <v>Evaluate the importance of rational numbers in real-life scenarios.</v>
      </c>
      <c r="T28" s="29" t="str">
        <f t="shared" si="5"/>
        <v>LU000464.006</v>
      </c>
      <c r="U28" s="29" t="str">
        <f ca="1">IFERROR(__xludf.dummyfunction("VLOOKUP(T28, IMPORTRANGE(""https://docs.google.com/spreadsheets/d/1yDAaXNsi4Mr5FtRQL4tbmSdIzhx6_m4wkOD7IG-k_eo/edit#gid=0"", ""Maths!M:N""), 2, FALSE)"),"Create a visual representation of a rational number.")</f>
        <v>Create a visual representation of a rational number.</v>
      </c>
      <c r="V28" s="16">
        <f ca="1">IFERROR(__xludf.dummyfunction("ArrayFormula(VLOOKUP(G28, IMPORTRANGE(""https://docs.google.com/spreadsheets/d/1p7R4vtkWt5VOBim4ltsDG9KTzSjrtKXsMtQGXPHyND0/edit#gid=795171502"", ""'Filter 30_05_2024'!A1:M2000""), {2, 3, 4, 5,6,7,8,9,10,11,12,13}, 0))"),12)</f>
        <v>12</v>
      </c>
      <c r="W28" s="16">
        <f ca="1">IFERROR(__xludf.dummyfunction("""COMPUTED_VALUE"""),5)</f>
        <v>5</v>
      </c>
      <c r="X28" s="16">
        <f ca="1">IFERROR(__xludf.dummyfunction("""COMPUTED_VALUE"""),15)</f>
        <v>15</v>
      </c>
      <c r="Y28" s="16">
        <f ca="1">IFERROR(__xludf.dummyfunction("""COMPUTED_VALUE"""),32)</f>
        <v>32</v>
      </c>
      <c r="Z28" s="16">
        <f ca="1">IFERROR(__xludf.dummyfunction("""COMPUTED_VALUE"""),5)</f>
        <v>5</v>
      </c>
      <c r="AA28" s="30">
        <f ca="1">IFERROR(__xludf.dummyfunction("""COMPUTED_VALUE"""),4)</f>
        <v>4</v>
      </c>
      <c r="AB28" s="30">
        <f ca="1">IFERROR(__xludf.dummyfunction("""COMPUTED_VALUE"""),6)</f>
        <v>6</v>
      </c>
      <c r="AC28" s="30">
        <f ca="1">IFERROR(__xludf.dummyfunction("""COMPUTED_VALUE"""),15)</f>
        <v>15</v>
      </c>
      <c r="AD28" s="16"/>
      <c r="AE28" s="30"/>
      <c r="AF28" s="30"/>
      <c r="AG28" s="30"/>
    </row>
    <row r="29" spans="1:33" ht="13.8">
      <c r="A29" s="25"/>
      <c r="B29" s="25" t="s">
        <v>29</v>
      </c>
      <c r="C29" s="25" t="s">
        <v>310</v>
      </c>
      <c r="D29" s="25">
        <v>7</v>
      </c>
      <c r="E29" s="70" t="s">
        <v>791</v>
      </c>
      <c r="F29" s="70"/>
      <c r="G29" s="71" t="s">
        <v>794</v>
      </c>
      <c r="H29" s="72" t="str">
        <f ca="1">IFERROR(__xludf.dummyfunction("IFERROR(
  VLOOKUP(G29, IMPORTRANGE(""https://docs.google.com/spreadsheets/d/14deopnvwcrKtEGCKuYXdUHJbeLDZlkiSSWWT0g7x2pM/edit#gid=849066331"", ""LU List Maths (Filter)!A:B""), 2, FALSE),
  IFERROR(
    VLOOKUP(G29, IMPORTRANGE(""https://docs.google.com/s"&amp;"preadsheets/d/14deopnvwcrKtEGCKuYXdUHJbeLDZlkiSSWWT0g7x2pM/edit#gid=849066331"", ""LU List Science (Filter)!A:B""), 2, FALSE),
    ""Not Found""
  )
)
"),"Relation between fractional numbers and rational numbers")</f>
        <v>Relation between fractional numbers and rational numbers</v>
      </c>
      <c r="I29" s="64"/>
      <c r="J29" s="29" t="str">
        <f t="shared" si="0"/>
        <v>LU000465.001</v>
      </c>
      <c r="K29" s="29" t="str">
        <f ca="1">IFERROR(__xludf.dummyfunction("VLOOKUP(J29, IMPORTRANGE(""https://docs.google.com/spreadsheets/d/1yDAaXNsi4Mr5FtRQL4tbmSdIzhx6_m4wkOD7IG-k_eo/edit#gid=0"", ""Maths!M:N""), 2, FALSE)"),"List the definitions of fractional numbers and rational numbers.")</f>
        <v>List the definitions of fractional numbers and rational numbers.</v>
      </c>
      <c r="L29" s="29" t="str">
        <f t="shared" si="1"/>
        <v>LU000465.002</v>
      </c>
      <c r="M29" s="29" t="str">
        <f ca="1">IFERROR(__xludf.dummyfunction("VLOOKUP(L29, IMPORTRANGE(""https://docs.google.com/spreadsheets/d/1yDAaXNsi4Mr5FtRQL4tbmSdIzhx6_m4wkOD7IG-k_eo/edit#gid=0"", ""Maths!M:N""), 2, FALSE)"),"Explain the connection between fractional numbers and rational numbers.")</f>
        <v>Explain the connection between fractional numbers and rational numbers.</v>
      </c>
      <c r="N29" s="29" t="str">
        <f t="shared" si="2"/>
        <v>LU000465.003</v>
      </c>
      <c r="O29" s="29" t="str">
        <f ca="1">IFERROR(__xludf.dummyfunction("VLOOKUP(N29, IMPORTRANGE(""https://docs.google.com/spreadsheets/d/1yDAaXNsi4Mr5FtRQL4tbmSdIzhx6_m4wkOD7IG-k_eo/edit#gid=0"", ""Maths!M:N""), 2, FALSE)"),"Identify examples of fractional numbers that are also rational numbers.")</f>
        <v>Identify examples of fractional numbers that are also rational numbers.</v>
      </c>
      <c r="P29" s="29" t="str">
        <f t="shared" si="3"/>
        <v>LU000465.004</v>
      </c>
      <c r="Q29" s="29" t="str">
        <f ca="1">IFERROR(__xludf.dummyfunction("VLOOKUP(P29, IMPORTRANGE(""https://docs.google.com/spreadsheets/d/1yDAaXNsi4Mr5FtRQL4tbmSdIzhx6_m4wkOD7IG-k_eo/edit#gid=0"", ""Maths!M:N""), 2, FALSE)"),"Examine how proper fractions are rational numbers that represent values between 0 and 1, and provide reasoning.")</f>
        <v>Examine how proper fractions are rational numbers that represent values between 0 and 1, and provide reasoning.</v>
      </c>
      <c r="R29" s="29" t="str">
        <f t="shared" si="4"/>
        <v>LU000465.005</v>
      </c>
      <c r="S29" s="29" t="str">
        <f ca="1">IFERROR(__xludf.dummyfunction("VLOOKUP(R29, IMPORTRANGE(""https://docs.google.com/spreadsheets/d/1yDAaXNsi4Mr5FtRQL4tbmSdIzhx6_m4wkOD7IG-k_eo/edit#gid=0"", ""Maths!M:N""), 2, FALSE)"),"Appraise the relevance of understanding the connection between fractional and rational numbers for academic and real-life applications.")</f>
        <v>Appraise the relevance of understanding the connection between fractional and rational numbers for academic and real-life applications.</v>
      </c>
      <c r="T29" s="29" t="str">
        <f t="shared" si="5"/>
        <v>LU000465.006</v>
      </c>
      <c r="U29" s="29" t="str">
        <f ca="1">IFERROR(__xludf.dummyfunction("VLOOKUP(T29, IMPORTRANGE(""https://docs.google.com/spreadsheets/d/1yDAaXNsi4Mr5FtRQL4tbmSdIzhx6_m4wkOD7IG-k_eo/edit#gid=0"", ""Maths!M:N""), 2, FALSE)"),"Create a diagram illustrating the overlap between fractional numbers and rational numbers.")</f>
        <v>Create a diagram illustrating the overlap between fractional numbers and rational numbers.</v>
      </c>
      <c r="V29" s="16">
        <f ca="1">IFERROR(__xludf.dummyfunction("ArrayFormula(VLOOKUP(G29, IMPORTRANGE(""https://docs.google.com/spreadsheets/d/1p7R4vtkWt5VOBim4ltsDG9KTzSjrtKXsMtQGXPHyND0/edit#gid=795171502"", ""'Filter 30_05_2024'!A1:M2000""), {2, 3, 4, 5,6,7,8,9,10,11,12,13}, 0))"),4)</f>
        <v>4</v>
      </c>
      <c r="W29" s="16">
        <f ca="1">IFERROR(__xludf.dummyfunction("""COMPUTED_VALUE"""),6)</f>
        <v>6</v>
      </c>
      <c r="X29" s="16">
        <f ca="1">IFERROR(__xludf.dummyfunction("""COMPUTED_VALUE"""),2)</f>
        <v>2</v>
      </c>
      <c r="Y29" s="16">
        <f ca="1">IFERROR(__xludf.dummyfunction("""COMPUTED_VALUE"""),12)</f>
        <v>12</v>
      </c>
      <c r="Z29" s="16">
        <f ca="1">IFERROR(__xludf.dummyfunction("""COMPUTED_VALUE"""),4)</f>
        <v>4</v>
      </c>
      <c r="AA29" s="30">
        <f ca="1">IFERROR(__xludf.dummyfunction("""COMPUTED_VALUE"""),3)</f>
        <v>3</v>
      </c>
      <c r="AB29" s="30">
        <f ca="1">IFERROR(__xludf.dummyfunction("""COMPUTED_VALUE"""),1)</f>
        <v>1</v>
      </c>
      <c r="AC29" s="30">
        <f ca="1">IFERROR(__xludf.dummyfunction("""COMPUTED_VALUE"""),8)</f>
        <v>8</v>
      </c>
      <c r="AD29" s="16"/>
      <c r="AE29" s="30"/>
      <c r="AF29" s="30"/>
      <c r="AG29" s="30"/>
    </row>
    <row r="30" spans="1:33" ht="13.8">
      <c r="A30" s="25"/>
      <c r="B30" s="25" t="s">
        <v>29</v>
      </c>
      <c r="C30" s="25" t="s">
        <v>310</v>
      </c>
      <c r="D30" s="25">
        <v>7</v>
      </c>
      <c r="E30" s="70" t="s">
        <v>791</v>
      </c>
      <c r="F30" s="70"/>
      <c r="G30" s="71" t="s">
        <v>795</v>
      </c>
      <c r="H30" s="72" t="str">
        <f ca="1">IFERROR(__xludf.dummyfunction("IFERROR(
  VLOOKUP(G30, IMPORTRANGE(""https://docs.google.com/spreadsheets/d/14deopnvwcrKtEGCKuYXdUHJbeLDZlkiSSWWT0g7x2pM/edit#gid=849066331"", ""LU List Maths (Filter)!A:B""), 2, FALSE),
  IFERROR(
    VLOOKUP(G30, IMPORTRANGE(""https://docs.google.com/s"&amp;"preadsheets/d/14deopnvwcrKtEGCKuYXdUHJbeLDZlkiSSWWT0g7x2pM/edit#gid=849066331"", ""LU List Science (Filter)!A:B""), 2, FALSE),
    ""Not Found""
  )
)
"),"Relation between integers and rational numbers")</f>
        <v>Relation between integers and rational numbers</v>
      </c>
      <c r="I30" s="64"/>
      <c r="J30" s="29" t="str">
        <f t="shared" si="0"/>
        <v>LU000466.001</v>
      </c>
      <c r="K30" s="29" t="str">
        <f ca="1">IFERROR(__xludf.dummyfunction("VLOOKUP(J30, IMPORTRANGE(""https://docs.google.com/spreadsheets/d/1yDAaXNsi4Mr5FtRQL4tbmSdIzhx6_m4wkOD7IG-k_eo/edit#gid=0"", ""Maths!M:N""), 2, FALSE)"),"State the definitions of integers and rational numbers")</f>
        <v>State the definitions of integers and rational numbers</v>
      </c>
      <c r="L30" s="29" t="str">
        <f t="shared" si="1"/>
        <v>LU000466.002</v>
      </c>
      <c r="M30" s="29" t="str">
        <f ca="1">IFERROR(__xludf.dummyfunction("VLOOKUP(L30, IMPORTRANGE(""https://docs.google.com/spreadsheets/d/1yDAaXNsi4Mr5FtRQL4tbmSdIzhx6_m4wkOD7IG-k_eo/edit#gid=0"", ""Maths!M:N""), 2, FALSE)"),"Explain how integers are a subset of rational numbers.")</f>
        <v>Explain how integers are a subset of rational numbers.</v>
      </c>
      <c r="N30" s="29" t="str">
        <f t="shared" si="2"/>
        <v>LU000466.003</v>
      </c>
      <c r="O30" s="29" t="str">
        <f ca="1">IFERROR(__xludf.dummyfunction("VLOOKUP(N30, IMPORTRANGE(""https://docs.google.com/spreadsheets/d/1yDAaXNsi4Mr5FtRQL4tbmSdIzhx6_m4wkOD7IG-k_eo/edit#gid=0"", ""Maths!M:N""), 2, FALSE)"),"Demonstrate the representation of integers as rational numbers")</f>
        <v>Demonstrate the representation of integers as rational numbers</v>
      </c>
      <c r="P30" s="29" t="str">
        <f t="shared" si="3"/>
        <v>LU000466.004</v>
      </c>
      <c r="Q30" s="29" t="str">
        <f ca="1">IFERROR(__xludf.dummyfunction("VLOOKUP(P30, IMPORTRANGE(""https://docs.google.com/spreadsheets/d/1yDAaXNsi4Mr5FtRQL4tbmSdIzhx6_m4wkOD7IG-k_eo/edit#gid=0"", ""Maths!M:N""), 2, FALSE)"),"Compare and contrast integers and other rational numbers in terms of their characteristics and mathematical properties.")</f>
        <v>Compare and contrast integers and other rational numbers in terms of their characteristics and mathematical properties.</v>
      </c>
      <c r="R30" s="29" t="str">
        <f t="shared" si="4"/>
        <v>LU000466.005</v>
      </c>
      <c r="S30" s="29" t="str">
        <f ca="1">IFERROR(__xludf.dummyfunction("VLOOKUP(R30, IMPORTRANGE(""https://docs.google.com/spreadsheets/d/1yDAaXNsi4Mr5FtRQL4tbmSdIzhx6_m4wkOD7IG-k_eo/edit#gid=0"", ""Maths!M:N""), 2, FALSE)"),"Assess the significance of understanding the relationship between integers and rational numbers for problem-solving and real-world applications.")</f>
        <v>Assess the significance of understanding the relationship between integers and rational numbers for problem-solving and real-world applications.</v>
      </c>
      <c r="T30" s="29" t="str">
        <f t="shared" si="5"/>
        <v>LU000466.006</v>
      </c>
      <c r="U30" s="29" t="str">
        <f ca="1">IFERROR(__xludf.dummyfunction("VLOOKUP(T30, IMPORTRANGE(""https://docs.google.com/spreadsheets/d/1yDAaXNsi4Mr5FtRQL4tbmSdIzhx6_m4wkOD7IG-k_eo/edit#gid=0"", ""Maths!M:N""), 2, FALSE)"),"#N/A")</f>
        <v>#N/A</v>
      </c>
      <c r="V30" s="16">
        <f ca="1">IFERROR(__xludf.dummyfunction("ArrayFormula(VLOOKUP(G30, IMPORTRANGE(""https://docs.google.com/spreadsheets/d/1p7R4vtkWt5VOBim4ltsDG9KTzSjrtKXsMtQGXPHyND0/edit#gid=795171502"", ""'Filter 30_05_2024'!A1:M2000""), {2, 3, 4, 5,6,7,8,9,10,11,12,13}, 0))"),4)</f>
        <v>4</v>
      </c>
      <c r="W30" s="16">
        <f ca="1">IFERROR(__xludf.dummyfunction("""COMPUTED_VALUE"""),6)</f>
        <v>6</v>
      </c>
      <c r="X30" s="16">
        <f ca="1">IFERROR(__xludf.dummyfunction("""COMPUTED_VALUE"""),2)</f>
        <v>2</v>
      </c>
      <c r="Y30" s="16">
        <f ca="1">IFERROR(__xludf.dummyfunction("""COMPUTED_VALUE"""),12)</f>
        <v>12</v>
      </c>
      <c r="Z30" s="16">
        <f ca="1">IFERROR(__xludf.dummyfunction("""COMPUTED_VALUE"""),4)</f>
        <v>4</v>
      </c>
      <c r="AA30" s="30">
        <f ca="1">IFERROR(__xludf.dummyfunction("""COMPUTED_VALUE"""),3)</f>
        <v>3</v>
      </c>
      <c r="AB30" s="30">
        <f ca="1">IFERROR(__xludf.dummyfunction("""COMPUTED_VALUE"""),1)</f>
        <v>1</v>
      </c>
      <c r="AC30" s="30">
        <f ca="1">IFERROR(__xludf.dummyfunction("""COMPUTED_VALUE"""),8)</f>
        <v>8</v>
      </c>
      <c r="AD30" s="16"/>
      <c r="AE30" s="30"/>
      <c r="AF30" s="30"/>
      <c r="AG30" s="30"/>
    </row>
    <row r="31" spans="1:33" ht="39.6">
      <c r="A31" s="25"/>
      <c r="B31" s="25" t="s">
        <v>29</v>
      </c>
      <c r="C31" s="25" t="s">
        <v>310</v>
      </c>
      <c r="D31" s="25">
        <v>7</v>
      </c>
      <c r="E31" s="70" t="s">
        <v>791</v>
      </c>
      <c r="F31" s="70" t="s">
        <v>796</v>
      </c>
      <c r="G31" s="71" t="s">
        <v>797</v>
      </c>
      <c r="H31" s="72" t="str">
        <f ca="1">IFERROR(__xludf.dummyfunction("IFERROR(
  VLOOKUP(G31, IMPORTRANGE(""https://docs.google.com/spreadsheets/d/14deopnvwcrKtEGCKuYXdUHJbeLDZlkiSSWWT0g7x2pM/edit#gid=849066331"", ""LU List Maths (Filter)!A:B""), 2, FALSE),
  IFERROR(
    VLOOKUP(G31, IMPORTRANGE(""https://docs.google.com/s"&amp;"preadsheets/d/14deopnvwcrKtEGCKuYXdUHJbeLDZlkiSSWWT0g7x2pM/edit#gid=849066331"", ""LU List Science (Filter)!A:B""), 2, FALSE),
    ""Not Found""
  )
)
"),"Definition of equivalent rational number")</f>
        <v>Definition of equivalent rational number</v>
      </c>
      <c r="I31" s="64"/>
      <c r="J31" s="29" t="str">
        <f t="shared" si="0"/>
        <v>LU000467.001</v>
      </c>
      <c r="K31" s="29" t="str">
        <f ca="1">IFERROR(__xludf.dummyfunction("VLOOKUP(J31, IMPORTRANGE(""https://docs.google.com/spreadsheets/d/1yDAaXNsi4Mr5FtRQL4tbmSdIzhx6_m4wkOD7IG-k_eo/edit#gid=0"", ""Maths!M:N""), 2, FALSE)"),"State the definition of equivalent rational numbers")</f>
        <v>State the definition of equivalent rational numbers</v>
      </c>
      <c r="L31" s="29" t="str">
        <f t="shared" si="1"/>
        <v>LU000467.002</v>
      </c>
      <c r="M31" s="29" t="str">
        <f ca="1">IFERROR(__xludf.dummyfunction("VLOOKUP(L31, IMPORTRANGE(""https://docs.google.com/spreadsheets/d/1yDAaXNsi4Mr5FtRQL4tbmSdIzhx6_m4wkOD7IG-k_eo/edit#gid=0"", ""Maths!M:N""), 2, FALSE)"),"Describe how equivalent rational numbers represent the same quantity, even though their numerators and denominators are different.")</f>
        <v>Describe how equivalent rational numbers represent the same quantity, even though their numerators and denominators are different.</v>
      </c>
      <c r="N31" s="29" t="str">
        <f t="shared" si="2"/>
        <v>LU000467.003</v>
      </c>
      <c r="O31" s="29" t="str">
        <f ca="1">IFERROR(__xludf.dummyfunction("VLOOKUP(N31, IMPORTRANGE(""https://docs.google.com/spreadsheets/d/1yDAaXNsi4Mr5FtRQL4tbmSdIzhx6_m4wkOD7IG-k_eo/edit#gid=0"", ""Maths!M:N""), 2, FALSE)"),"Determine whether given pairs of rational numbers are equivalent.")</f>
        <v>Determine whether given pairs of rational numbers are equivalent.</v>
      </c>
      <c r="P31" s="29" t="str">
        <f t="shared" si="3"/>
        <v>LU000467.004</v>
      </c>
      <c r="Q31" s="29" t="str">
        <f ca="1">IFERROR(__xludf.dummyfunction("VLOOKUP(P31, IMPORTRANGE(""https://docs.google.com/spreadsheets/d/1yDAaXNsi4Mr5FtRQL4tbmSdIzhx6_m4wkOD7IG-k_eo/edit#gid=0"", ""Maths!M:N""), 2, FALSE)"),"Analyse the effect of multiplying both the numerator and denominator of a rational number by the same non-zero number on its equivalence.")</f>
        <v>Analyse the effect of multiplying both the numerator and denominator of a rational number by the same non-zero number on its equivalence.</v>
      </c>
      <c r="R31" s="29" t="str">
        <f t="shared" si="4"/>
        <v>LU000467.005</v>
      </c>
      <c r="S31" s="29" t="str">
        <f ca="1">IFERROR(__xludf.dummyfunction("VLOOKUP(R31, IMPORTRANGE(""https://docs.google.com/spreadsheets/d/1yDAaXNsi4Mr5FtRQL4tbmSdIzhx6_m4wkOD7IG-k_eo/edit#gid=0"", ""Maths!M:N""), 2, FALSE)"),"Evaluate the importance of recognising equivalent rational numbers in real-life scenarios.")</f>
        <v>Evaluate the importance of recognising equivalent rational numbers in real-life scenarios.</v>
      </c>
      <c r="T31" s="29" t="str">
        <f t="shared" si="5"/>
        <v>LU000467.006</v>
      </c>
      <c r="U31" s="29" t="str">
        <f ca="1">IFERROR(__xludf.dummyfunction("VLOOKUP(T31, IMPORTRANGE(""https://docs.google.com/spreadsheets/d/1yDAaXNsi4Mr5FtRQL4tbmSdIzhx6_m4wkOD7IG-k_eo/edit#gid=0"", ""Maths!M:N""), 2, FALSE)"),"#N/A")</f>
        <v>#N/A</v>
      </c>
      <c r="V31" s="16">
        <f ca="1">IFERROR(__xludf.dummyfunction("ArrayFormula(VLOOKUP(G31, IMPORTRANGE(""https://docs.google.com/spreadsheets/d/1p7R4vtkWt5VOBim4ltsDG9KTzSjrtKXsMtQGXPHyND0/edit#gid=795171502"", ""'Filter 30_05_2024'!A1:M2000""), {2, 3, 4, 5,6,7,8,9,10,11,12,13}, 0))"),4)</f>
        <v>4</v>
      </c>
      <c r="W31" s="16">
        <f ca="1">IFERROR(__xludf.dummyfunction("""COMPUTED_VALUE"""),6)</f>
        <v>6</v>
      </c>
      <c r="X31" s="16">
        <f ca="1">IFERROR(__xludf.dummyfunction("""COMPUTED_VALUE"""),2)</f>
        <v>2</v>
      </c>
      <c r="Y31" s="16">
        <f ca="1">IFERROR(__xludf.dummyfunction("""COMPUTED_VALUE"""),12)</f>
        <v>12</v>
      </c>
      <c r="Z31" s="16">
        <f ca="1">IFERROR(__xludf.dummyfunction("""COMPUTED_VALUE"""),4)</f>
        <v>4</v>
      </c>
      <c r="AA31" s="30">
        <f ca="1">IFERROR(__xludf.dummyfunction("""COMPUTED_VALUE"""),4)</f>
        <v>4</v>
      </c>
      <c r="AB31" s="30">
        <f ca="1">IFERROR(__xludf.dummyfunction("""COMPUTED_VALUE"""),1)</f>
        <v>1</v>
      </c>
      <c r="AC31" s="30">
        <f ca="1">IFERROR(__xludf.dummyfunction("""COMPUTED_VALUE"""),9)</f>
        <v>9</v>
      </c>
      <c r="AD31" s="16"/>
      <c r="AE31" s="30"/>
      <c r="AF31" s="30"/>
      <c r="AG31" s="30"/>
    </row>
    <row r="32" spans="1:33" ht="13.8">
      <c r="A32" s="25"/>
      <c r="B32" s="25" t="s">
        <v>29</v>
      </c>
      <c r="C32" s="25" t="s">
        <v>310</v>
      </c>
      <c r="D32" s="25">
        <v>7</v>
      </c>
      <c r="E32" s="70" t="s">
        <v>791</v>
      </c>
      <c r="F32" s="70"/>
      <c r="G32" s="71" t="s">
        <v>798</v>
      </c>
      <c r="H32" s="72" t="str">
        <f ca="1">IFERROR(__xludf.dummyfunction("IFERROR(
  VLOOKUP(G32, IMPORTRANGE(""https://docs.google.com/spreadsheets/d/14deopnvwcrKtEGCKuYXdUHJbeLDZlkiSSWWT0g7x2pM/edit#gid=849066331"", ""LU List Maths (Filter)!A:B""), 2, FALSE),
  IFERROR(
    VLOOKUP(G32, IMPORTRANGE(""https://docs.google.com/s"&amp;"preadsheets/d/14deopnvwcrKtEGCKuYXdUHJbeLDZlkiSSWWT0g7x2pM/edit#gid=849066331"", ""LU List Science (Filter)!A:B""), 2, FALSE),
    ""Not Found""
  )
)
"),"Definition of positive rational number")</f>
        <v>Definition of positive rational number</v>
      </c>
      <c r="I32" s="64"/>
      <c r="J32" s="29" t="str">
        <f t="shared" si="0"/>
        <v>LU000468.001</v>
      </c>
      <c r="K32" s="29" t="str">
        <f ca="1">IFERROR(__xludf.dummyfunction("VLOOKUP(J32, IMPORTRANGE(""https://docs.google.com/spreadsheets/d/1yDAaXNsi4Mr5FtRQL4tbmSdIzhx6_m4wkOD7IG-k_eo/edit#gid=0"", ""Maths!M:N""), 2, FALSE)"),"State the definition of a positive rational number and highlight its key features.")</f>
        <v>State the definition of a positive rational number and highlight its key features.</v>
      </c>
      <c r="L32" s="29" t="str">
        <f t="shared" si="1"/>
        <v>LU000468.002</v>
      </c>
      <c r="M32" s="29" t="str">
        <f ca="1">IFERROR(__xludf.dummyfunction("VLOOKUP(L32, IMPORTRANGE(""https://docs.google.com/spreadsheets/d/1yDAaXNsi4Mr5FtRQL4tbmSdIzhx6_m4wkOD7IG-k_eo/edit#gid=0"", ""Maths!M:N""), 2, FALSE)"),"Describe what positive rational numbers are and how they can be expressed as fractions of integers with a positive numerator and denominator.")</f>
        <v>Describe what positive rational numbers are and how they can be expressed as fractions of integers with a positive numerator and denominator.</v>
      </c>
      <c r="N32" s="29" t="str">
        <f t="shared" si="2"/>
        <v>LU000468.003</v>
      </c>
      <c r="O32" s="29" t="str">
        <f ca="1">IFERROR(__xludf.dummyfunction("VLOOKUP(N32, IMPORTRANGE(""https://docs.google.com/spreadsheets/d/1yDAaXNsi4Mr5FtRQL4tbmSdIzhx6_m4wkOD7IG-k_eo/edit#gid=0"", ""Maths!M:N""), 2, FALSE)"),"Identify positive rational numbers from a list of given numbers.")</f>
        <v>Identify positive rational numbers from a list of given numbers.</v>
      </c>
      <c r="P32" s="29" t="str">
        <f t="shared" si="3"/>
        <v>LU000468.004</v>
      </c>
      <c r="Q32" s="29" t="str">
        <f ca="1">IFERROR(__xludf.dummyfunction("VLOOKUP(P32, IMPORTRANGE(""https://docs.google.com/spreadsheets/d/1yDAaXNsi4Mr5FtRQL4tbmSdIzhx6_m4wkOD7IG-k_eo/edit#gid=0"", ""Maths!M:N""), 2, FALSE)"),"Analyze and compare positive and negative rational numbers")</f>
        <v>Analyze and compare positive and negative rational numbers</v>
      </c>
      <c r="R32" s="29" t="str">
        <f t="shared" si="4"/>
        <v>LU000468.005</v>
      </c>
      <c r="S32" s="29" t="str">
        <f ca="1">IFERROR(__xludf.dummyfunction("VLOOKUP(R32, IMPORTRANGE(""https://docs.google.com/spreadsheets/d/1yDAaXNsi4Mr5FtRQL4tbmSdIzhx6_m4wkOD7IG-k_eo/edit#gid=0"", ""Maths!M:N""), 2, FALSE)"),"Evaluate the importance of understanding positive rational numbers when dealing with real-life situations.")</f>
        <v>Evaluate the importance of understanding positive rational numbers when dealing with real-life situations.</v>
      </c>
      <c r="T32" s="29" t="str">
        <f t="shared" si="5"/>
        <v>LU000468.006</v>
      </c>
      <c r="U32" s="29" t="str">
        <f ca="1">IFERROR(__xludf.dummyfunction("VLOOKUP(T32, IMPORTRANGE(""https://docs.google.com/spreadsheets/d/1yDAaXNsi4Mr5FtRQL4tbmSdIzhx6_m4wkOD7IG-k_eo/edit#gid=0"", ""Maths!M:N""), 2, FALSE)"),"Design a set of practice problems that involve finding positive rational numbers within various contexts.")</f>
        <v>Design a set of practice problems that involve finding positive rational numbers within various contexts.</v>
      </c>
      <c r="V32" s="16">
        <f ca="1">IFERROR(__xludf.dummyfunction("ArrayFormula(VLOOKUP(G32, IMPORTRANGE(""https://docs.google.com/spreadsheets/d/1p7R4vtkWt5VOBim4ltsDG9KTzSjrtKXsMtQGXPHyND0/edit#gid=795171502"", ""'Filter 30_05_2024'!A1:M2000""), {2, 3, 4, 5,6,7,8,9,10,11,12,13}, 0))"),4)</f>
        <v>4</v>
      </c>
      <c r="W32" s="16">
        <f ca="1">IFERROR(__xludf.dummyfunction("""COMPUTED_VALUE"""),9)</f>
        <v>9</v>
      </c>
      <c r="X32" s="16">
        <f ca="1">IFERROR(__xludf.dummyfunction("""COMPUTED_VALUE"""),2)</f>
        <v>2</v>
      </c>
      <c r="Y32" s="16">
        <f ca="1">IFERROR(__xludf.dummyfunction("""COMPUTED_VALUE"""),15)</f>
        <v>15</v>
      </c>
      <c r="Z32" s="16">
        <f ca="1">IFERROR(__xludf.dummyfunction("""COMPUTED_VALUE"""),4)</f>
        <v>4</v>
      </c>
      <c r="AA32" s="30">
        <f ca="1">IFERROR(__xludf.dummyfunction("""COMPUTED_VALUE"""),3)</f>
        <v>3</v>
      </c>
      <c r="AB32" s="30">
        <f ca="1">IFERROR(__xludf.dummyfunction("""COMPUTED_VALUE"""),1)</f>
        <v>1</v>
      </c>
      <c r="AC32" s="30">
        <f ca="1">IFERROR(__xludf.dummyfunction("""COMPUTED_VALUE"""),8)</f>
        <v>8</v>
      </c>
      <c r="AD32" s="16"/>
      <c r="AE32" s="30"/>
      <c r="AF32" s="30"/>
      <c r="AG32" s="30"/>
    </row>
    <row r="33" spans="1:33" ht="13.8">
      <c r="A33" s="25"/>
      <c r="B33" s="25" t="s">
        <v>29</v>
      </c>
      <c r="C33" s="25" t="s">
        <v>310</v>
      </c>
      <c r="D33" s="25">
        <v>7</v>
      </c>
      <c r="E33" s="70" t="s">
        <v>791</v>
      </c>
      <c r="F33" s="70"/>
      <c r="G33" s="71" t="s">
        <v>799</v>
      </c>
      <c r="H33" s="72" t="str">
        <f ca="1">IFERROR(__xludf.dummyfunction("IFERROR(
  VLOOKUP(G33, IMPORTRANGE(""https://docs.google.com/spreadsheets/d/14deopnvwcrKtEGCKuYXdUHJbeLDZlkiSSWWT0g7x2pM/edit#gid=849066331"", ""LU List Maths (Filter)!A:B""), 2, FALSE),
  IFERROR(
    VLOOKUP(G33, IMPORTRANGE(""https://docs.google.com/s"&amp;"preadsheets/d/14deopnvwcrKtEGCKuYXdUHJbeLDZlkiSSWWT0g7x2pM/edit#gid=849066331"", ""LU List Science (Filter)!A:B""), 2, FALSE),
    ""Not Found""
  )
)
"),"Definition of negative rational number")</f>
        <v>Definition of negative rational number</v>
      </c>
      <c r="I33" s="64"/>
      <c r="J33" s="29" t="str">
        <f t="shared" si="0"/>
        <v>LU000469.001</v>
      </c>
      <c r="K33" s="29" t="str">
        <f ca="1">IFERROR(__xludf.dummyfunction("VLOOKUP(J33, IMPORTRANGE(""https://docs.google.com/spreadsheets/d/1yDAaXNsi4Mr5FtRQL4tbmSdIzhx6_m4wkOD7IG-k_eo/edit#gid=0"", ""Maths!M:N""), 2, FALSE)"),"State the definition of a negative rational number and identify its key characteristics.")</f>
        <v>State the definition of a negative rational number and identify its key characteristics.</v>
      </c>
      <c r="L33" s="29" t="str">
        <f t="shared" si="1"/>
        <v>LU000469.002</v>
      </c>
      <c r="M33" s="29" t="str">
        <f ca="1">IFERROR(__xludf.dummyfunction("VLOOKUP(L33, IMPORTRANGE(""https://docs.google.com/spreadsheets/d/1yDAaXNsi4Mr5FtRQL4tbmSdIzhx6_m4wkOD7IG-k_eo/edit#gid=0"", ""Maths!M:N""), 2, FALSE)"),"Describe negative rational numbers as fractions with integers in the numerator and denominator, where the numerator is negative and the denominator is positive.")</f>
        <v>Describe negative rational numbers as fractions with integers in the numerator and denominator, where the numerator is negative and the denominator is positive.</v>
      </c>
      <c r="N33" s="29" t="str">
        <f t="shared" si="2"/>
        <v>LU000469.003</v>
      </c>
      <c r="O33" s="29" t="str">
        <f ca="1">IFERROR(__xludf.dummyfunction("VLOOKUP(N33, IMPORTRANGE(""https://docs.google.com/spreadsheets/d/1yDAaXNsi4Mr5FtRQL4tbmSdIzhx6_m4wkOD7IG-k_eo/edit#gid=0"", ""Maths!M:N""), 2, FALSE)"),"Identify negative rational numbers from a list of given numbers.")</f>
        <v>Identify negative rational numbers from a list of given numbers.</v>
      </c>
      <c r="P33" s="29" t="str">
        <f t="shared" si="3"/>
        <v>LU000469.004</v>
      </c>
      <c r="Q33" s="29" t="str">
        <f ca="1">IFERROR(__xludf.dummyfunction("VLOOKUP(P33, IMPORTRANGE(""https://docs.google.com/spreadsheets/d/1yDAaXNsi4Mr5FtRQL4tbmSdIzhx6_m4wkOD7IG-k_eo/edit#gid=0"", ""Maths!M:N""), 2, FALSE)"),"Examine how positive and negative rational numbers are interconnected in real-world situations.")</f>
        <v>Examine how positive and negative rational numbers are interconnected in real-world situations.</v>
      </c>
      <c r="R33" s="29" t="str">
        <f t="shared" si="4"/>
        <v>LU000469.005</v>
      </c>
      <c r="S33" s="29" t="str">
        <f ca="1">IFERROR(__xludf.dummyfunction("VLOOKUP(R33, IMPORTRANGE(""https://docs.google.com/spreadsheets/d/1yDAaXNsi4Mr5FtRQL4tbmSdIzhx6_m4wkOD7IG-k_eo/edit#gid=0"", ""Maths!M:N""), 2, FALSE)"),"Evaluate the importance of understanding negative rational numbers when solving practical problems.")</f>
        <v>Evaluate the importance of understanding negative rational numbers when solving practical problems.</v>
      </c>
      <c r="T33" s="29" t="str">
        <f t="shared" si="5"/>
        <v>LU000469.006</v>
      </c>
      <c r="U33" s="29" t="str">
        <f ca="1">IFERROR(__xludf.dummyfunction("VLOOKUP(T33, IMPORTRANGE(""https://docs.google.com/spreadsheets/d/1yDAaXNsi4Mr5FtRQL4tbmSdIzhx6_m4wkOD7IG-k_eo/edit#gid=0"", ""Maths!M:N""), 2, FALSE)"),"Design set of scenarios where negative rational numbers play a significant role and present them.")</f>
        <v>Design set of scenarios where negative rational numbers play a significant role and present them.</v>
      </c>
      <c r="V33" s="16">
        <f ca="1">IFERROR(__xludf.dummyfunction("ArrayFormula(VLOOKUP(G33, IMPORTRANGE(""https://docs.google.com/spreadsheets/d/1p7R4vtkWt5VOBim4ltsDG9KTzSjrtKXsMtQGXPHyND0/edit#gid=795171502"", ""'Filter 30_05_2024'!A1:M2000""), {2, 3, 4, 5,6,7,8,9,10,11,12,13}, 0))"),4)</f>
        <v>4</v>
      </c>
      <c r="W33" s="16">
        <f ca="1">IFERROR(__xludf.dummyfunction("""COMPUTED_VALUE"""),10)</f>
        <v>10</v>
      </c>
      <c r="X33" s="16">
        <f ca="1">IFERROR(__xludf.dummyfunction("""COMPUTED_VALUE"""),2)</f>
        <v>2</v>
      </c>
      <c r="Y33" s="16">
        <f ca="1">IFERROR(__xludf.dummyfunction("""COMPUTED_VALUE"""),16)</f>
        <v>16</v>
      </c>
      <c r="Z33" s="16">
        <f ca="1">IFERROR(__xludf.dummyfunction("""COMPUTED_VALUE"""),4)</f>
        <v>4</v>
      </c>
      <c r="AA33" s="30">
        <f ca="1">IFERROR(__xludf.dummyfunction("""COMPUTED_VALUE"""),3)</f>
        <v>3</v>
      </c>
      <c r="AB33" s="30">
        <f ca="1">IFERROR(__xludf.dummyfunction("""COMPUTED_VALUE"""),2)</f>
        <v>2</v>
      </c>
      <c r="AC33" s="30">
        <f ca="1">IFERROR(__xludf.dummyfunction("""COMPUTED_VALUE"""),9)</f>
        <v>9</v>
      </c>
      <c r="AD33" s="16"/>
      <c r="AE33" s="30"/>
      <c r="AF33" s="30"/>
      <c r="AG33" s="30"/>
    </row>
    <row r="34" spans="1:33" ht="26.4">
      <c r="A34" s="43"/>
      <c r="B34" s="43" t="s">
        <v>29</v>
      </c>
      <c r="C34" s="43" t="s">
        <v>310</v>
      </c>
      <c r="D34" s="43">
        <v>7</v>
      </c>
      <c r="E34" s="74" t="s">
        <v>791</v>
      </c>
      <c r="F34" s="74" t="s">
        <v>800</v>
      </c>
      <c r="G34" s="77" t="s">
        <v>801</v>
      </c>
      <c r="H34" s="76" t="str">
        <f ca="1">IFERROR(__xludf.dummyfunction("IFERROR(
  VLOOKUP(G34, IMPORTRANGE(""https://docs.google.com/spreadsheets/d/14deopnvwcrKtEGCKuYXdUHJbeLDZlkiSSWWT0g7x2pM/edit#gid=849066331"", ""LU List Maths (Filter)!A:B""), 2, FALSE),
  IFERROR(
    VLOOKUP(G34, IMPORTRANGE(""https://docs.google.com/s"&amp;"preadsheets/d/14deopnvwcrKtEGCKuYXdUHJbeLDZlkiSSWWT0g7x2pM/edit#gid=849066331"", ""LU List Science (Filter)!A:B""), 2, FALSE),
    ""Not Found""
  )
)
"),"Representation of rational numbers on a number line")</f>
        <v>Representation of rational numbers on a number line</v>
      </c>
      <c r="I34" s="73"/>
      <c r="J34" s="29" t="str">
        <f t="shared" ref="J34:J65" si="6">G34 &amp; ".001"</f>
        <v>LU000470.001</v>
      </c>
      <c r="K34" s="29" t="str">
        <f ca="1">IFERROR(__xludf.dummyfunction("VLOOKUP(J34, IMPORTRANGE(""https://docs.google.com/spreadsheets/d/1yDAaXNsi4Mr5FtRQL4tbmSdIzhx6_m4wkOD7IG-k_eo/edit#gid=0"", ""Maths!M:N""), 2, FALSE)"),"Recall the concept of representing rational numbers on a number line.")</f>
        <v>Recall the concept of representing rational numbers on a number line.</v>
      </c>
      <c r="L34" s="29" t="str">
        <f t="shared" ref="L34:L65" si="7">G34 &amp; ".002"</f>
        <v>LU000470.002</v>
      </c>
      <c r="M34" s="29" t="str">
        <f ca="1">IFERROR(__xludf.dummyfunction("VLOOKUP(L34, IMPORTRANGE(""https://docs.google.com/spreadsheets/d/1yDAaXNsi4Mr5FtRQL4tbmSdIzhx6_m4wkOD7IG-k_eo/edit#gid=0"", ""Maths!M:N""), 2, FALSE)"),"Explain how rational numbers are located and ordered on a number line.")</f>
        <v>Explain how rational numbers are located and ordered on a number line.</v>
      </c>
      <c r="N34" s="29" t="str">
        <f t="shared" ref="N34:N65" si="8">G34 &amp; ".003"</f>
        <v>LU000470.003</v>
      </c>
      <c r="O34" s="29" t="str">
        <f ca="1">IFERROR(__xludf.dummyfunction("VLOOKUP(N34, IMPORTRANGE(""https://docs.google.com/spreadsheets/d/1yDAaXNsi4Mr5FtRQL4tbmSdIzhx6_m4wkOD7IG-k_eo/edit#gid=0"", ""Maths!M:N""), 2, FALSE)"),"Place given rational numbers on a number line.")</f>
        <v>Place given rational numbers on a number line.</v>
      </c>
      <c r="P34" s="29" t="str">
        <f t="shared" ref="P34:P65" si="9">G34 &amp; ".004"</f>
        <v>LU000470.004</v>
      </c>
      <c r="Q34" s="29" t="str">
        <f ca="1">IFERROR(__xludf.dummyfunction("VLOOKUP(P34, IMPORTRANGE(""https://docs.google.com/spreadsheets/d/1yDAaXNsi4Mr5FtRQL4tbmSdIzhx6_m4wkOD7IG-k_eo/edit#gid=0"", ""Maths!M:N""), 2, FALSE)"),"Compare positive and negative rational numbers on a number line.")</f>
        <v>Compare positive and negative rational numbers on a number line.</v>
      </c>
      <c r="R34" s="29" t="str">
        <f t="shared" ref="R34:R65" si="10">G34 &amp; ".005"</f>
        <v>LU000470.005</v>
      </c>
      <c r="S34" s="29" t="str">
        <f ca="1">IFERROR(__xludf.dummyfunction("VLOOKUP(R34, IMPORTRANGE(""https://docs.google.com/spreadsheets/d/1yDAaXNsi4Mr5FtRQL4tbmSdIzhx6_m4wkOD7IG-k_eo/edit#gid=0"", ""Maths!M:N""), 2, FALSE)"),"Evaluate the effectiveness of using a number line to visualise the relationships between rational numbers.")</f>
        <v>Evaluate the effectiveness of using a number line to visualise the relationships between rational numbers.</v>
      </c>
      <c r="T34" s="29" t="str">
        <f t="shared" ref="T34:T65" si="11">G34 &amp; ".006"</f>
        <v>LU000470.006</v>
      </c>
      <c r="U34" s="29" t="str">
        <f ca="1">IFERROR(__xludf.dummyfunction("VLOOKUP(T34, IMPORTRANGE(""https://docs.google.com/spreadsheets/d/1yDAaXNsi4Mr5FtRQL4tbmSdIzhx6_m4wkOD7IG-k_eo/edit#gid=0"", ""Maths!M:N""), 2, FALSE)"),"Create a number line with a range of rational numbers, then use it to solve a problem.")</f>
        <v>Create a number line with a range of rational numbers, then use it to solve a problem.</v>
      </c>
      <c r="V34" s="16">
        <f ca="1">IFERROR(__xludf.dummyfunction("ArrayFormula(VLOOKUP(G34, IMPORTRANGE(""https://docs.google.com/spreadsheets/d/1p7R4vtkWt5VOBim4ltsDG9KTzSjrtKXsMtQGXPHyND0/edit#gid=795171502"", ""'Filter 30_05_2024'!A1:M2000""), {2, 3, 4, 5,6,7,8,9,10,11,12,13}, 0))"),4)</f>
        <v>4</v>
      </c>
      <c r="W34" s="16">
        <f ca="1">IFERROR(__xludf.dummyfunction("""COMPUTED_VALUE"""),2)</f>
        <v>2</v>
      </c>
      <c r="X34" s="16">
        <f ca="1">IFERROR(__xludf.dummyfunction("""COMPUTED_VALUE"""),15)</f>
        <v>15</v>
      </c>
      <c r="Y34" s="16">
        <f ca="1">IFERROR(__xludf.dummyfunction("""COMPUTED_VALUE"""),21)</f>
        <v>21</v>
      </c>
      <c r="Z34" s="16">
        <f ca="1">IFERROR(__xludf.dummyfunction("""COMPUTED_VALUE"""),4)</f>
        <v>4</v>
      </c>
      <c r="AA34" s="30">
        <f ca="1">IFERROR(__xludf.dummyfunction("""COMPUTED_VALUE"""),7)</f>
        <v>7</v>
      </c>
      <c r="AB34" s="30">
        <f ca="1">IFERROR(__xludf.dummyfunction("""COMPUTED_VALUE"""),3)</f>
        <v>3</v>
      </c>
      <c r="AC34" s="30">
        <f ca="1">IFERROR(__xludf.dummyfunction("""COMPUTED_VALUE"""),14)</f>
        <v>14</v>
      </c>
      <c r="AD34" s="16"/>
      <c r="AE34" s="30"/>
      <c r="AF34" s="30"/>
      <c r="AG34" s="30"/>
    </row>
    <row r="35" spans="1:33" ht="13.8">
      <c r="A35" s="25"/>
      <c r="B35" s="25" t="s">
        <v>29</v>
      </c>
      <c r="C35" s="25" t="s">
        <v>310</v>
      </c>
      <c r="D35" s="25">
        <v>7</v>
      </c>
      <c r="E35" s="70" t="s">
        <v>791</v>
      </c>
      <c r="F35" s="70"/>
      <c r="G35" s="71" t="s">
        <v>802</v>
      </c>
      <c r="H35" s="72" t="str">
        <f ca="1">IFERROR(__xludf.dummyfunction("IFERROR(
  VLOOKUP(G35, IMPORTRANGE(""https://docs.google.com/spreadsheets/d/14deopnvwcrKtEGCKuYXdUHJbeLDZlkiSSWWT0g7x2pM/edit#gid=849066331"", ""LU List Maths (Filter)!A:B""), 2, FALSE),
  IFERROR(
    VLOOKUP(G35, IMPORTRANGE(""https://docs.google.com/s"&amp;"preadsheets/d/14deopnvwcrKtEGCKuYXdUHJbeLDZlkiSSWWT0g7x2pM/edit#gid=849066331"", ""LU List Science (Filter)!A:B""), 2, FALSE),
    ""Not Found""
  )
)
"),"Standard form of rational number")</f>
        <v>Standard form of rational number</v>
      </c>
      <c r="I35" s="64"/>
      <c r="J35" s="29" t="str">
        <f t="shared" si="6"/>
        <v>LU000471.001</v>
      </c>
      <c r="K35" s="29" t="str">
        <f ca="1">IFERROR(__xludf.dummyfunction("VLOOKUP(J35, IMPORTRANGE(""https://docs.google.com/spreadsheets/d/1yDAaXNsi4Mr5FtRQL4tbmSdIzhx6_m4wkOD7IG-k_eo/edit#gid=0"", ""Maths!M:N""), 2, FALSE)"),"State the idea of representing rational numbers in a specific format called standard form to simplify their presentation.")</f>
        <v>State the idea of representing rational numbers in a specific format called standard form to simplify their presentation.</v>
      </c>
      <c r="L35" s="29" t="str">
        <f t="shared" si="7"/>
        <v>LU000471.002</v>
      </c>
      <c r="M35" s="29" t="str">
        <f ca="1">IFERROR(__xludf.dummyfunction("VLOOKUP(L35, IMPORTRANGE(""https://docs.google.com/spreadsheets/d/1yDAaXNsi4Mr5FtRQL4tbmSdIzhx6_m4wkOD7IG-k_eo/edit#gid=0"", ""Maths!M:N""), 2, FALSE)"),"Explain how standard form simplifies the representation of rational numbers.")</f>
        <v>Explain how standard form simplifies the representation of rational numbers.</v>
      </c>
      <c r="N35" s="29" t="str">
        <f t="shared" si="8"/>
        <v>LU000471.003</v>
      </c>
      <c r="O35" s="29" t="str">
        <f ca="1">IFERROR(__xludf.dummyfunction("VLOOKUP(N35, IMPORTRANGE(""https://docs.google.com/spreadsheets/d/1yDAaXNsi4Mr5FtRQL4tbmSdIzhx6_m4wkOD7IG-k_eo/edit#gid=0"", ""Maths!M:N""), 2, FALSE)"),"Convert given rational numbers into standard form.")</f>
        <v>Convert given rational numbers into standard form.</v>
      </c>
      <c r="P35" s="29" t="str">
        <f t="shared" si="9"/>
        <v>LU000471.004</v>
      </c>
      <c r="Q35" s="29" t="str">
        <f ca="1">IFERROR(__xludf.dummyfunction("VLOOKUP(P35, IMPORTRANGE(""https://docs.google.com/spreadsheets/d/1yDAaXNsi4Mr5FtRQL4tbmSdIzhx6_m4wkOD7IG-k_eo/edit#gid=0"", ""Maths!M:N""), 2, FALSE)"),"Analyse the similarities and differences between rational numbers in standard form and their original forms.")</f>
        <v>Analyse the similarities and differences between rational numbers in standard form and their original forms.</v>
      </c>
      <c r="R35" s="29" t="str">
        <f t="shared" si="10"/>
        <v>LU000471.005</v>
      </c>
      <c r="S35" s="29" t="str">
        <f ca="1">IFERROR(__xludf.dummyfunction("VLOOKUP(R35, IMPORTRANGE(""https://docs.google.com/spreadsheets/d/1yDAaXNsi4Mr5FtRQL4tbmSdIzhx6_m4wkOD7IG-k_eo/edit#gid=0"", ""Maths!M:N""), 2, FALSE)"),"Evaluate the advantages of expressing rational numbers in standard form when performing arithmetic operations.")</f>
        <v>Evaluate the advantages of expressing rational numbers in standard form when performing arithmetic operations.</v>
      </c>
      <c r="T35" s="29" t="str">
        <f t="shared" si="11"/>
        <v>LU000471.006</v>
      </c>
      <c r="U35" s="29" t="str">
        <f ca="1">IFERROR(__xludf.dummyfunction("VLOOKUP(T35, IMPORTRANGE(""https://docs.google.com/spreadsheets/d/1yDAaXNsi4Mr5FtRQL4tbmSdIzhx6_m4wkOD7IG-k_eo/edit#gid=0"", ""Maths!M:N""), 2, FALSE)"),"Design a set of exercises where students must convert rational numbers into standard form and solve related problems.")</f>
        <v>Design a set of exercises where students must convert rational numbers into standard form and solve related problems.</v>
      </c>
      <c r="V35" s="16">
        <f ca="1">IFERROR(__xludf.dummyfunction("ArrayFormula(VLOOKUP(G35, IMPORTRANGE(""https://docs.google.com/spreadsheets/d/1p7R4vtkWt5VOBim4ltsDG9KTzSjrtKXsMtQGXPHyND0/edit#gid=795171502"", ""'Filter 30_05_2024'!A1:M2000""), {2, 3, 4, 5,6,7,8,9,10,11,12,13}, 0))"),6)</f>
        <v>6</v>
      </c>
      <c r="W35" s="16">
        <f ca="1">IFERROR(__xludf.dummyfunction("""COMPUTED_VALUE"""),6)</f>
        <v>6</v>
      </c>
      <c r="X35" s="16">
        <f ca="1">IFERROR(__xludf.dummyfunction("""COMPUTED_VALUE"""),2)</f>
        <v>2</v>
      </c>
      <c r="Y35" s="16">
        <f ca="1">IFERROR(__xludf.dummyfunction("""COMPUTED_VALUE"""),14)</f>
        <v>14</v>
      </c>
      <c r="Z35" s="16">
        <f ca="1">IFERROR(__xludf.dummyfunction("""COMPUTED_VALUE"""),5)</f>
        <v>5</v>
      </c>
      <c r="AA35" s="30">
        <f ca="1">IFERROR(__xludf.dummyfunction("""COMPUTED_VALUE"""),3)</f>
        <v>3</v>
      </c>
      <c r="AB35" s="30">
        <f ca="1">IFERROR(__xludf.dummyfunction("""COMPUTED_VALUE"""),1)</f>
        <v>1</v>
      </c>
      <c r="AC35" s="30">
        <f ca="1">IFERROR(__xludf.dummyfunction("""COMPUTED_VALUE"""),9)</f>
        <v>9</v>
      </c>
      <c r="AD35" s="16"/>
      <c r="AE35" s="30"/>
      <c r="AF35" s="30"/>
      <c r="AG35" s="30"/>
    </row>
    <row r="36" spans="1:33" ht="13.8">
      <c r="A36" s="25"/>
      <c r="B36" s="25" t="s">
        <v>29</v>
      </c>
      <c r="C36" s="25" t="s">
        <v>310</v>
      </c>
      <c r="D36" s="25">
        <v>7</v>
      </c>
      <c r="E36" s="70" t="s">
        <v>791</v>
      </c>
      <c r="F36" s="70" t="s">
        <v>803</v>
      </c>
      <c r="G36" s="71" t="s">
        <v>804</v>
      </c>
      <c r="H36" s="72" t="str">
        <f ca="1">IFERROR(__xludf.dummyfunction("IFERROR(
  VLOOKUP(G36, IMPORTRANGE(""https://docs.google.com/spreadsheets/d/14deopnvwcrKtEGCKuYXdUHJbeLDZlkiSSWWT0g7x2pM/edit#gid=849066331"", ""LU List Maths (Filter)!A:B""), 2, FALSE),
  IFERROR(
    VLOOKUP(G36, IMPORTRANGE(""https://docs.google.com/s"&amp;"preadsheets/d/14deopnvwcrKtEGCKuYXdUHJbeLDZlkiSSWWT0g7x2pM/edit#gid=849066331"", ""LU List Science (Filter)!A:B""), 2, FALSE),
    ""Not Found""
  )
)
"),"Comparison of rational numbers")</f>
        <v>Comparison of rational numbers</v>
      </c>
      <c r="I36" s="64"/>
      <c r="J36" s="29" t="str">
        <f t="shared" si="6"/>
        <v>LU000472.001</v>
      </c>
      <c r="K36" s="29" t="str">
        <f ca="1">IFERROR(__xludf.dummyfunction("VLOOKUP(J36, IMPORTRANGE(""https://docs.google.com/spreadsheets/d/1yDAaXNsi4Mr5FtRQL4tbmSdIzhx6_m4wkOD7IG-k_eo/edit#gid=0"", ""Maths!M:N""), 2, FALSE)"),"State the idea of determining the relationship between different rational numbers by comparing their values.")</f>
        <v>State the idea of determining the relationship between different rational numbers by comparing their values.</v>
      </c>
      <c r="L36" s="29" t="str">
        <f t="shared" si="7"/>
        <v>LU000472.002</v>
      </c>
      <c r="M36" s="29" t="str">
        <f ca="1">IFERROR(__xludf.dummyfunction("VLOOKUP(L36, IMPORTRANGE(""https://docs.google.com/spreadsheets/d/1yDAaXNsi4Mr5FtRQL4tbmSdIzhx6_m4wkOD7IG-k_eo/edit#gid=0"", ""Maths!M:N""), 2, FALSE)"),"Compare given rational numbers using the appropriate comparison symbols.")</f>
        <v>Compare given rational numbers using the appropriate comparison symbols.</v>
      </c>
      <c r="N36" s="29" t="str">
        <f t="shared" si="8"/>
        <v>LU000472.003</v>
      </c>
      <c r="O36" s="29" t="str">
        <f ca="1">IFERROR(__xludf.dummyfunction("VLOOKUP(N36, IMPORTRANGE(""https://docs.google.com/spreadsheets/d/1yDAaXNsi4Mr5FtRQL4tbmSdIzhx6_m4wkOD7IG-k_eo/edit#gid=0"", ""Maths!M:N""), 2, FALSE)"),"Arrange a set of given rational numbers in ascending or descending order.")</f>
        <v>Arrange a set of given rational numbers in ascending or descending order.</v>
      </c>
      <c r="P36" s="29" t="str">
        <f t="shared" si="9"/>
        <v>LU000472.004</v>
      </c>
      <c r="Q36" s="29" t="str">
        <f ca="1">IFERROR(__xludf.dummyfunction("VLOOKUP(P36, IMPORTRANGE(""https://docs.google.com/spreadsheets/d/1yDAaXNsi4Mr5FtRQL4tbmSdIzhx6_m4wkOD7IG-k_eo/edit#gid=0"", ""Maths!M:N""), 2, FALSE)"),"Analyse the effect of common denominators and numerators when comparing rational numbers.")</f>
        <v>Analyse the effect of common denominators and numerators when comparing rational numbers.</v>
      </c>
      <c r="R36" s="29" t="str">
        <f t="shared" si="10"/>
        <v>LU000472.005</v>
      </c>
      <c r="S36" s="29" t="str">
        <f ca="1">IFERROR(__xludf.dummyfunction("VLOOKUP(R36, IMPORTRANGE(""https://docs.google.com/spreadsheets/d/1yDAaXNsi4Mr5FtRQL4tbmSdIzhx6_m4wkOD7IG-k_eo/edit#gid=0"", ""Maths!M:N""), 2, FALSE)"),"Evaluate the challenge of comparing rational numbers with different signs and denominators.")</f>
        <v>Evaluate the challenge of comparing rational numbers with different signs and denominators.</v>
      </c>
      <c r="T36" s="29" t="str">
        <f t="shared" si="11"/>
        <v>LU000472.006</v>
      </c>
      <c r="U36" s="29" t="str">
        <f ca="1">IFERROR(__xludf.dummyfunction("VLOOKUP(T36, IMPORTRANGE(""https://docs.google.com/spreadsheets/d/1yDAaXNsi4Mr5FtRQL4tbmSdIzhx6_m4wkOD7IG-k_eo/edit#gid=0"", ""Maths!M:N""), 2, FALSE)"),"Develop a set of scenario-based problems where students must compare rational numbers to solve practical situations")</f>
        <v>Develop a set of scenario-based problems where students must compare rational numbers to solve practical situations</v>
      </c>
      <c r="V36" s="16">
        <f ca="1">IFERROR(__xludf.dummyfunction("ArrayFormula(VLOOKUP(G36, IMPORTRANGE(""https://docs.google.com/spreadsheets/d/1p7R4vtkWt5VOBim4ltsDG9KTzSjrtKXsMtQGXPHyND0/edit#gid=795171502"", ""'Filter 30_05_2024'!A1:M2000""), {2, 3, 4, 5,6,7,8,9,10,11,12,13}, 0))"),5)</f>
        <v>5</v>
      </c>
      <c r="W36" s="16">
        <f ca="1">IFERROR(__xludf.dummyfunction("""COMPUTED_VALUE"""),11)</f>
        <v>11</v>
      </c>
      <c r="X36" s="16">
        <f ca="1">IFERROR(__xludf.dummyfunction("""COMPUTED_VALUE"""),2)</f>
        <v>2</v>
      </c>
      <c r="Y36" s="16">
        <f ca="1">IFERROR(__xludf.dummyfunction("""COMPUTED_VALUE"""),18)</f>
        <v>18</v>
      </c>
      <c r="Z36" s="16">
        <f ca="1">IFERROR(__xludf.dummyfunction("""COMPUTED_VALUE"""),4)</f>
        <v>4</v>
      </c>
      <c r="AA36" s="30">
        <f ca="1">IFERROR(__xludf.dummyfunction("""COMPUTED_VALUE"""),3)</f>
        <v>3</v>
      </c>
      <c r="AB36" s="30">
        <f ca="1">IFERROR(__xludf.dummyfunction("""COMPUTED_VALUE"""),1)</f>
        <v>1</v>
      </c>
      <c r="AC36" s="30">
        <f ca="1">IFERROR(__xludf.dummyfunction("""COMPUTED_VALUE"""),8)</f>
        <v>8</v>
      </c>
      <c r="AD36" s="16"/>
      <c r="AE36" s="30"/>
      <c r="AF36" s="30"/>
      <c r="AG36" s="30"/>
    </row>
    <row r="37" spans="1:33" ht="39.6">
      <c r="A37" s="43"/>
      <c r="B37" s="43" t="s">
        <v>29</v>
      </c>
      <c r="C37" s="43" t="s">
        <v>310</v>
      </c>
      <c r="D37" s="43">
        <v>7</v>
      </c>
      <c r="E37" s="74" t="s">
        <v>791</v>
      </c>
      <c r="F37" s="74" t="s">
        <v>805</v>
      </c>
      <c r="G37" s="77" t="s">
        <v>806</v>
      </c>
      <c r="H37" s="76" t="str">
        <f ca="1">IFERROR(__xludf.dummyfunction("IFERROR(
  VLOOKUP(G37, IMPORTRANGE(""https://docs.google.com/spreadsheets/d/14deopnvwcrKtEGCKuYXdUHJbeLDZlkiSSWWT0g7x2pM/edit#gid=849066331"", ""LU List Maths (Filter)!A:B""), 2, FALSE),
  IFERROR(
    VLOOKUP(G37, IMPORTRANGE(""https://docs.google.com/s"&amp;"preadsheets/d/14deopnvwcrKtEGCKuYXdUHJbeLDZlkiSSWWT0g7x2pM/edit#gid=849066331"", ""LU List Science (Filter)!A:B""), 2, FALSE),
    ""Not Found""
  )
)
"),"Rational numbers between two rational numbers")</f>
        <v>Rational numbers between two rational numbers</v>
      </c>
      <c r="I37" s="73"/>
      <c r="J37" s="29" t="str">
        <f t="shared" si="6"/>
        <v>LU000473.001</v>
      </c>
      <c r="K37" s="29" t="str">
        <f ca="1">IFERROR(__xludf.dummyfunction("VLOOKUP(J37, IMPORTRANGE(""https://docs.google.com/spreadsheets/d/1yDAaXNsi4Mr5FtRQL4tbmSdIzhx6_m4wkOD7IG-k_eo/edit#gid=0"", ""Maths!M:N""), 2, FALSE)"),"State the idea of finding rational numbers that lie between two specified rational numbers on the number line.")</f>
        <v>State the idea of finding rational numbers that lie between two specified rational numbers on the number line.</v>
      </c>
      <c r="L37" s="29" t="str">
        <f t="shared" si="7"/>
        <v>LU000473.002</v>
      </c>
      <c r="M37" s="29" t="str">
        <f ca="1">IFERROR(__xludf.dummyfunction("VLOOKUP(L37, IMPORTRANGE(""https://docs.google.com/spreadsheets/d/1yDAaXNsi4Mr5FtRQL4tbmSdIzhx6_m4wkOD7IG-k_eo/edit#gid=0"", ""Maths!M:N""), 2, FALSE)"),"Explain why there are infinitely many rational numbers between any two given rational numbers.")</f>
        <v>Explain why there are infinitely many rational numbers between any two given rational numbers.</v>
      </c>
      <c r="N37" s="29" t="str">
        <f t="shared" si="8"/>
        <v>LU000473.003</v>
      </c>
      <c r="O37" s="29" t="str">
        <f ca="1">IFERROR(__xludf.dummyfunction("VLOOKUP(N37, IMPORTRANGE(""https://docs.google.com/spreadsheets/d/1yDAaXNsi4Mr5FtRQL4tbmSdIzhx6_m4wkOD7IG-k_eo/edit#gid=0"", ""Maths!M:N""), 2, FALSE)"),"Determine rational numbers between given pairs of rational numbers.")</f>
        <v>Determine rational numbers between given pairs of rational numbers.</v>
      </c>
      <c r="P37" s="29" t="str">
        <f t="shared" si="9"/>
        <v>LU000473.004</v>
      </c>
      <c r="Q37" s="29" t="str">
        <f ca="1">IFERROR(__xludf.dummyfunction("VLOOKUP(P37, IMPORTRANGE(""https://docs.google.com/spreadsheets/d/1yDAaXNsi4Mr5FtRQL4tbmSdIzhx6_m4wkOD7IG-k_eo/edit#gid=0"", ""Maths!M:N""), 2, FALSE)"),"Analyse the patterns and relationships among rational numbers located between two given values.")</f>
        <v>Analyse the patterns and relationships among rational numbers located between two given values.</v>
      </c>
      <c r="R37" s="29" t="str">
        <f t="shared" si="10"/>
        <v>LU000473.005</v>
      </c>
      <c r="S37" s="29" t="str">
        <f ca="1">IFERROR(__xludf.dummyfunction("VLOOKUP(R37, IMPORTRANGE(""https://docs.google.com/spreadsheets/d/1yDAaXNsi4Mr5FtRQL4tbmSdIzhx6_m4wkOD7IG-k_eo/edit#gid=0"", ""Maths!M:N""), 2, FALSE)"),"Evaluate the concept of finding rational numbers between two given ones in terms of its practical applications.")</f>
        <v>Evaluate the concept of finding rational numbers between two given ones in terms of its practical applications.</v>
      </c>
      <c r="T37" s="29" t="str">
        <f t="shared" si="11"/>
        <v>LU000473.006</v>
      </c>
      <c r="U37" s="29" t="str">
        <f ca="1">IFERROR(__xludf.dummyfunction("VLOOKUP(T37, IMPORTRANGE(""https://docs.google.com/spreadsheets/d/1yDAaXNsi4Mr5FtRQL4tbmSdIzhx6_m4wkOD7IG-k_eo/edit#gid=0"", ""Maths!M:N""), 2, FALSE)"),"Create a visual representation of a number line segment that illustrates rational numbers between rational numbers, indicating their positions.")</f>
        <v>Create a visual representation of a number line segment that illustrates rational numbers between rational numbers, indicating their positions.</v>
      </c>
      <c r="V37" s="16">
        <f ca="1">IFERROR(__xludf.dummyfunction("ArrayFormula(VLOOKUP(G37, IMPORTRANGE(""https://docs.google.com/spreadsheets/d/1p7R4vtkWt5VOBim4ltsDG9KTzSjrtKXsMtQGXPHyND0/edit#gid=795171502"", ""'Filter 30_05_2024'!A1:M2000""), {2, 3, 4, 5,6,7,8,9,10,11,12,13}, 0))"),5)</f>
        <v>5</v>
      </c>
      <c r="W37" s="16">
        <f ca="1">IFERROR(__xludf.dummyfunction("""COMPUTED_VALUE"""),12)</f>
        <v>12</v>
      </c>
      <c r="X37" s="16">
        <f ca="1">IFERROR(__xludf.dummyfunction("""COMPUTED_VALUE"""),11)</f>
        <v>11</v>
      </c>
      <c r="Y37" s="16">
        <f ca="1">IFERROR(__xludf.dummyfunction("""COMPUTED_VALUE"""),28)</f>
        <v>28</v>
      </c>
      <c r="Z37" s="16">
        <f ca="1">IFERROR(__xludf.dummyfunction("""COMPUTED_VALUE"""),4)</f>
        <v>4</v>
      </c>
      <c r="AA37" s="30">
        <f ca="1">IFERROR(__xludf.dummyfunction("""COMPUTED_VALUE"""),6)</f>
        <v>6</v>
      </c>
      <c r="AB37" s="30">
        <f ca="1">IFERROR(__xludf.dummyfunction("""COMPUTED_VALUE"""),3)</f>
        <v>3</v>
      </c>
      <c r="AC37" s="30">
        <f ca="1">IFERROR(__xludf.dummyfunction("""COMPUTED_VALUE"""),13)</f>
        <v>13</v>
      </c>
      <c r="AD37" s="16"/>
      <c r="AE37" s="30"/>
      <c r="AF37" s="30"/>
      <c r="AG37" s="30"/>
    </row>
    <row r="38" spans="1:33" ht="13.8">
      <c r="A38" s="25"/>
      <c r="B38" s="25" t="s">
        <v>29</v>
      </c>
      <c r="C38" s="25" t="s">
        <v>310</v>
      </c>
      <c r="D38" s="25">
        <v>7</v>
      </c>
      <c r="E38" s="70" t="s">
        <v>791</v>
      </c>
      <c r="F38" s="70" t="s">
        <v>807</v>
      </c>
      <c r="G38" s="71" t="s">
        <v>808</v>
      </c>
      <c r="H38" s="72" t="str">
        <f ca="1">IFERROR(__xludf.dummyfunction("IFERROR(
  VLOOKUP(G38, IMPORTRANGE(""https://docs.google.com/spreadsheets/d/14deopnvwcrKtEGCKuYXdUHJbeLDZlkiSSWWT0g7x2pM/edit#gid=849066331"", ""LU List Maths (Filter)!A:B""), 2, FALSE),
  IFERROR(
    VLOOKUP(G38, IMPORTRANGE(""https://docs.google.com/s"&amp;"preadsheets/d/14deopnvwcrKtEGCKuYXdUHJbeLDZlkiSSWWT0g7x2pM/edit#gid=849066331"", ""LU List Science (Filter)!A:B""), 2, FALSE),
    ""Not Found""
  )
)
"),"Addition of rational numbers")</f>
        <v>Addition of rational numbers</v>
      </c>
      <c r="I38" s="64"/>
      <c r="J38" s="29" t="str">
        <f t="shared" si="6"/>
        <v>LU000474.001</v>
      </c>
      <c r="K38" s="29" t="str">
        <f ca="1">IFERROR(__xludf.dummyfunction("VLOOKUP(J38, IMPORTRANGE(""https://docs.google.com/spreadsheets/d/1yDAaXNsi4Mr5FtRQL4tbmSdIzhx6_m4wkOD7IG-k_eo/edit#gid=0"", ""Maths!M:N""), 2, FALSE)"),"State the process of combining rational numbers to find their sum.")</f>
        <v>State the process of combining rational numbers to find their sum.</v>
      </c>
      <c r="L38" s="29" t="str">
        <f t="shared" si="7"/>
        <v>LU000474.002</v>
      </c>
      <c r="M38" s="29" t="str">
        <f ca="1">IFERROR(__xludf.dummyfunction("VLOOKUP(L38, IMPORTRANGE(""https://docs.google.com/spreadsheets/d/1yDAaXNsi4Mr5FtRQL4tbmSdIzhx6_m4wkOD7IG-k_eo/edit#gid=0"", ""Maths!M:N""), 2, FALSE)"),"Explain how addition of rational numbers involves combining fractions with a common denominator.")</f>
        <v>Explain how addition of rational numbers involves combining fractions with a common denominator.</v>
      </c>
      <c r="N38" s="29" t="str">
        <f t="shared" si="8"/>
        <v>LU000474.003</v>
      </c>
      <c r="O38" s="29" t="str">
        <f ca="1">IFERROR(__xludf.dummyfunction("VLOOKUP(N38, IMPORTRANGE(""https://docs.google.com/spreadsheets/d/1yDAaXNsi4Mr5FtRQL4tbmSdIzhx6_m4wkOD7IG-k_eo/edit#gid=0"", ""Maths!M:N""), 2, FALSE)"),"Solve arithmetic and practical addition problems involving rational numbers with both like and unlike denominators.")</f>
        <v>Solve arithmetic and practical addition problems involving rational numbers with both like and unlike denominators.</v>
      </c>
      <c r="P38" s="29" t="str">
        <f t="shared" si="9"/>
        <v>LU000474.004</v>
      </c>
      <c r="Q38" s="29" t="str">
        <f ca="1">IFERROR(__xludf.dummyfunction("VLOOKUP(P38, IMPORTRANGE(""https://docs.google.com/spreadsheets/d/1yDAaXNsi4Mr5FtRQL4tbmSdIzhx6_m4wkOD7IG-k_eo/edit#gid=0"", ""Maths!M:N""), 2, FALSE)"),"Compare the addition of a positive rational number and a negative rational number, explaining how their signs contribute to the sign of the sum.")</f>
        <v>Compare the addition of a positive rational number and a negative rational number, explaining how their signs contribute to the sign of the sum.</v>
      </c>
      <c r="R38" s="29" t="str">
        <f t="shared" si="10"/>
        <v>LU000474.005</v>
      </c>
      <c r="S38" s="29" t="str">
        <f ca="1">IFERROR(__xludf.dummyfunction("VLOOKUP(R38, IMPORTRANGE(""https://docs.google.com/spreadsheets/d/1yDAaXNsi4Mr5FtRQL4tbmSdIzhx6_m4wkOD7IG-k_eo/edit#gid=0"", ""Maths!M:N""), 2, FALSE)"),"Evaluate the significance of understanding addition of rational numbers in real-life scenarios.")</f>
        <v>Evaluate the significance of understanding addition of rational numbers in real-life scenarios.</v>
      </c>
      <c r="T38" s="29" t="str">
        <f t="shared" si="11"/>
        <v>LU000474.006</v>
      </c>
      <c r="U38" s="29" t="str">
        <f ca="1">IFERROR(__xludf.dummyfunction("VLOOKUP(T38, IMPORTRANGE(""https://docs.google.com/spreadsheets/d/1yDAaXNsi4Mr5FtRQL4tbmSdIzhx6_m4wkOD7IG-k_eo/edit#gid=0"", ""Maths!M:N""), 2, FALSE)"),"Design a visual representation that illustrates the process of adding rational numbers on a number line.")</f>
        <v>Design a visual representation that illustrates the process of adding rational numbers on a number line.</v>
      </c>
      <c r="V38" s="16">
        <f ca="1">IFERROR(__xludf.dummyfunction("ArrayFormula(VLOOKUP(G38, IMPORTRANGE(""https://docs.google.com/spreadsheets/d/1p7R4vtkWt5VOBim4ltsDG9KTzSjrtKXsMtQGXPHyND0/edit#gid=795171502"", ""'Filter 30_05_2024'!A1:M2000""), {2, 3, 4, 5,6,7,8,9,10,11,12,13}, 0))"),4)</f>
        <v>4</v>
      </c>
      <c r="W38" s="16">
        <f ca="1">IFERROR(__xludf.dummyfunction("""COMPUTED_VALUE"""),17)</f>
        <v>17</v>
      </c>
      <c r="X38" s="16">
        <f ca="1">IFERROR(__xludf.dummyfunction("""COMPUTED_VALUE"""),2)</f>
        <v>2</v>
      </c>
      <c r="Y38" s="16">
        <f ca="1">IFERROR(__xludf.dummyfunction("""COMPUTED_VALUE"""),23)</f>
        <v>23</v>
      </c>
      <c r="Z38" s="16">
        <f ca="1">IFERROR(__xludf.dummyfunction("""COMPUTED_VALUE"""),4)</f>
        <v>4</v>
      </c>
      <c r="AA38" s="30">
        <f ca="1">IFERROR(__xludf.dummyfunction("""COMPUTED_VALUE"""),7)</f>
        <v>7</v>
      </c>
      <c r="AB38" s="30">
        <f ca="1">IFERROR(__xludf.dummyfunction("""COMPUTED_VALUE"""),1)</f>
        <v>1</v>
      </c>
      <c r="AC38" s="30">
        <f ca="1">IFERROR(__xludf.dummyfunction("""COMPUTED_VALUE"""),12)</f>
        <v>12</v>
      </c>
      <c r="AD38" s="16"/>
      <c r="AE38" s="30"/>
      <c r="AF38" s="30"/>
      <c r="AG38" s="30"/>
    </row>
    <row r="39" spans="1:33" ht="13.8">
      <c r="A39" s="25"/>
      <c r="B39" s="25" t="s">
        <v>29</v>
      </c>
      <c r="C39" s="25" t="s">
        <v>310</v>
      </c>
      <c r="D39" s="25">
        <v>7</v>
      </c>
      <c r="E39" s="70" t="s">
        <v>791</v>
      </c>
      <c r="F39" s="70" t="s">
        <v>809</v>
      </c>
      <c r="G39" s="71" t="s">
        <v>810</v>
      </c>
      <c r="H39" s="72" t="str">
        <f ca="1">IFERROR(__xludf.dummyfunction("IFERROR(
  VLOOKUP(G39, IMPORTRANGE(""https://docs.google.com/spreadsheets/d/14deopnvwcrKtEGCKuYXdUHJbeLDZlkiSSWWT0g7x2pM/edit#gid=849066331"", ""LU List Maths (Filter)!A:B""), 2, FALSE),
  IFERROR(
    VLOOKUP(G39, IMPORTRANGE(""https://docs.google.com/s"&amp;"preadsheets/d/14deopnvwcrKtEGCKuYXdUHJbeLDZlkiSSWWT0g7x2pM/edit#gid=849066331"", ""LU List Science (Filter)!A:B""), 2, FALSE),
    ""Not Found""
  )
)
"),"Subtraction of rational numbers")</f>
        <v>Subtraction of rational numbers</v>
      </c>
      <c r="I39" s="64"/>
      <c r="J39" s="29" t="str">
        <f t="shared" si="6"/>
        <v>LU000475.001</v>
      </c>
      <c r="K39" s="29" t="str">
        <f ca="1">IFERROR(__xludf.dummyfunction("VLOOKUP(J39, IMPORTRANGE(""https://docs.google.com/spreadsheets/d/1yDAaXNsi4Mr5FtRQL4tbmSdIzhx6_m4wkOD7IG-k_eo/edit#gid=0"", ""Maths!M:N""), 2, FALSE)"),"State the process of subtracting rational numbers to find their difference.")</f>
        <v>State the process of subtracting rational numbers to find their difference.</v>
      </c>
      <c r="L39" s="29" t="str">
        <f t="shared" si="7"/>
        <v>LU000475.002</v>
      </c>
      <c r="M39" s="29" t="str">
        <f ca="1">IFERROR(__xludf.dummyfunction("VLOOKUP(L39, IMPORTRANGE(""https://docs.google.com/spreadsheets/d/1yDAaXNsi4Mr5FtRQL4tbmSdIzhx6_m4wkOD7IG-k_eo/edit#gid=0"", ""Maths!M:N""), 2, FALSE)"),"Describe how subtracting a rational number is equivalent to adding its additive inverse, allowing for simplification.")</f>
        <v>Describe how subtracting a rational number is equivalent to adding its additive inverse, allowing for simplification.</v>
      </c>
      <c r="N39" s="29" t="str">
        <f t="shared" si="8"/>
        <v>LU000475.003</v>
      </c>
      <c r="O39" s="29" t="str">
        <f ca="1">IFERROR(__xludf.dummyfunction("VLOOKUP(N39, IMPORTRANGE(""https://docs.google.com/spreadsheets/d/1yDAaXNsi4Mr5FtRQL4tbmSdIzhx6_m4wkOD7IG-k_eo/edit#gid=0"", ""Maths!M:N""), 2, FALSE)"),"Solve arithmetic and practical subtraction problems involving rational numbers with both like and unlike denominators.")</f>
        <v>Solve arithmetic and practical subtraction problems involving rational numbers with both like and unlike denominators.</v>
      </c>
      <c r="P39" s="29" t="str">
        <f t="shared" si="9"/>
        <v>LU000475.004</v>
      </c>
      <c r="Q39" s="29" t="str">
        <f ca="1">IFERROR(__xludf.dummyfunction("VLOOKUP(P39, IMPORTRANGE(""https://docs.google.com/spreadsheets/d/1yDAaXNsi4Mr5FtRQL4tbmSdIzhx6_m4wkOD7IG-k_eo/edit#gid=0"", ""Maths!M:N""), 2, FALSE)"),"Analyse how the sign of rational numbers affects their difference when subtracting.")</f>
        <v>Analyse how the sign of rational numbers affects their difference when subtracting.</v>
      </c>
      <c r="R39" s="29" t="str">
        <f t="shared" si="10"/>
        <v>LU000475.005</v>
      </c>
      <c r="S39" s="29" t="str">
        <f ca="1">IFERROR(__xludf.dummyfunction("VLOOKUP(R39, IMPORTRANGE(""https://docs.google.com/spreadsheets/d/1yDAaXNsi4Mr5FtRQL4tbmSdIzhx6_m4wkOD7IG-k_eo/edit#gid=0"", ""Maths!M:N""), 2, FALSE)"),"Evaluate the significance of understanding subtraction of rational numbers in real-life scenarios.")</f>
        <v>Evaluate the significance of understanding subtraction of rational numbers in real-life scenarios.</v>
      </c>
      <c r="T39" s="29" t="str">
        <f t="shared" si="11"/>
        <v>LU000475.006</v>
      </c>
      <c r="U39" s="29" t="str">
        <f ca="1">IFERROR(__xludf.dummyfunction("VLOOKUP(T39, IMPORTRANGE(""https://docs.google.com/spreadsheets/d/1yDAaXNsi4Mr5FtRQL4tbmSdIzhx6_m4wkOD7IG-k_eo/edit#gid=0"", ""Maths!M:N""), 2, FALSE)"),"Design a visual representation that illustrates the process of subtracting rational numbers on a number line.")</f>
        <v>Design a visual representation that illustrates the process of subtracting rational numbers on a number line.</v>
      </c>
      <c r="V39" s="16">
        <f ca="1">IFERROR(__xludf.dummyfunction("ArrayFormula(VLOOKUP(G39, IMPORTRANGE(""https://docs.google.com/spreadsheets/d/1p7R4vtkWt5VOBim4ltsDG9KTzSjrtKXsMtQGXPHyND0/edit#gid=795171502"", ""'Filter 30_05_2024'!A1:M2000""), {2, 3, 4, 5,6,7,8,9,10,11,12,13}, 0))"),12)</f>
        <v>12</v>
      </c>
      <c r="W39" s="16">
        <f ca="1">IFERROR(__xludf.dummyfunction("""COMPUTED_VALUE"""),6)</f>
        <v>6</v>
      </c>
      <c r="X39" s="16">
        <f ca="1">IFERROR(__xludf.dummyfunction("""COMPUTED_VALUE"""),2)</f>
        <v>2</v>
      </c>
      <c r="Y39" s="16">
        <f ca="1">IFERROR(__xludf.dummyfunction("""COMPUTED_VALUE"""),20)</f>
        <v>20</v>
      </c>
      <c r="Z39" s="16">
        <f ca="1">IFERROR(__xludf.dummyfunction("""COMPUTED_VALUE"""),6)</f>
        <v>6</v>
      </c>
      <c r="AA39" s="30">
        <f ca="1">IFERROR(__xludf.dummyfunction("""COMPUTED_VALUE"""),4)</f>
        <v>4</v>
      </c>
      <c r="AB39" s="30">
        <f ca="1">IFERROR(__xludf.dummyfunction("""COMPUTED_VALUE"""),1)</f>
        <v>1</v>
      </c>
      <c r="AC39" s="30">
        <f ca="1">IFERROR(__xludf.dummyfunction("""COMPUTED_VALUE"""),11)</f>
        <v>11</v>
      </c>
      <c r="AD39" s="16"/>
      <c r="AE39" s="30"/>
      <c r="AF39" s="30"/>
      <c r="AG39" s="30"/>
    </row>
    <row r="40" spans="1:33" ht="13.8">
      <c r="A40" s="25"/>
      <c r="B40" s="25" t="s">
        <v>29</v>
      </c>
      <c r="C40" s="25" t="s">
        <v>310</v>
      </c>
      <c r="D40" s="25">
        <v>7</v>
      </c>
      <c r="E40" s="70" t="s">
        <v>791</v>
      </c>
      <c r="F40" s="70" t="s">
        <v>811</v>
      </c>
      <c r="G40" s="71" t="s">
        <v>812</v>
      </c>
      <c r="H40" s="72" t="str">
        <f ca="1">IFERROR(__xludf.dummyfunction("IFERROR(
  VLOOKUP(G40, IMPORTRANGE(""https://docs.google.com/spreadsheets/d/14deopnvwcrKtEGCKuYXdUHJbeLDZlkiSSWWT0g7x2pM/edit#gid=849066331"", ""LU List Maths (Filter)!A:B""), 2, FALSE),
  IFERROR(
    VLOOKUP(G40, IMPORTRANGE(""https://docs.google.com/s"&amp;"preadsheets/d/14deopnvwcrKtEGCKuYXdUHJbeLDZlkiSSWWT0g7x2pM/edit#gid=849066331"", ""LU List Science (Filter)!A:B""), 2, FALSE),
    ""Not Found""
  )
)
"),"Multiplication of rational numbers")</f>
        <v>Multiplication of rational numbers</v>
      </c>
      <c r="I40" s="64"/>
      <c r="J40" s="29" t="str">
        <f t="shared" si="6"/>
        <v>LU000476.001</v>
      </c>
      <c r="K40" s="29" t="str">
        <f ca="1">IFERROR(__xludf.dummyfunction("VLOOKUP(J40, IMPORTRANGE(""https://docs.google.com/spreadsheets/d/1yDAaXNsi4Mr5FtRQL4tbmSdIzhx6_m4wkOD7IG-k_eo/edit#gid=0"", ""Maths!M:N""), 2, FALSE)"),"State the process of multiplying rational numbers to find their product.")</f>
        <v>State the process of multiplying rational numbers to find their product.</v>
      </c>
      <c r="L40" s="29" t="str">
        <f t="shared" si="7"/>
        <v>LU000476.002</v>
      </c>
      <c r="M40" s="29" t="str">
        <f ca="1">IFERROR(__xludf.dummyfunction("VLOOKUP(L40, IMPORTRANGE(""https://docs.google.com/spreadsheets/d/1yDAaXNsi4Mr5FtRQL4tbmSdIzhx6_m4wkOD7IG-k_eo/edit#gid=0"", ""Maths!M:N""), 2, FALSE)"),"Explain how multiplication of rational numbers involves multiplying both numerators and denominators.")</f>
        <v>Explain how multiplication of rational numbers involves multiplying both numerators and denominators.</v>
      </c>
      <c r="N40" s="29" t="str">
        <f t="shared" si="8"/>
        <v>LU000476.003</v>
      </c>
      <c r="O40" s="29" t="str">
        <f ca="1">IFERROR(__xludf.dummyfunction("VLOOKUP(N40, IMPORTRANGE(""https://docs.google.com/spreadsheets/d/1yDAaXNsi4Mr5FtRQL4tbmSdIzhx6_m4wkOD7IG-k_eo/edit#gid=0"", ""Maths!M:N""), 2, FALSE)"),"Solve arithmetic and practical multiplication problems involving rational numbers with both like and unlike denominators.")</f>
        <v>Solve arithmetic and practical multiplication problems involving rational numbers with both like and unlike denominators.</v>
      </c>
      <c r="P40" s="29" t="str">
        <f t="shared" si="9"/>
        <v>LU000476.004</v>
      </c>
      <c r="Q40" s="29" t="str">
        <f ca="1">IFERROR(__xludf.dummyfunction("VLOOKUP(P40, IMPORTRANGE(""https://docs.google.com/spreadsheets/d/1yDAaXNsi4Mr5FtRQL4tbmSdIzhx6_m4wkOD7IG-k_eo/edit#gid=0"", ""Maths!M:N""), 2, FALSE)"),"Compare the product of two positive rational numbers with the product of a positive rational number and a negative rational number, explaining how the signs interact.")</f>
        <v>Compare the product of two positive rational numbers with the product of a positive rational number and a negative rational number, explaining how the signs interact.</v>
      </c>
      <c r="R40" s="29" t="str">
        <f t="shared" si="10"/>
        <v>LU000476.005</v>
      </c>
      <c r="S40" s="29" t="str">
        <f ca="1">IFERROR(__xludf.dummyfunction("VLOOKUP(R40, IMPORTRANGE(""https://docs.google.com/spreadsheets/d/1yDAaXNsi4Mr5FtRQL4tbmSdIzhx6_m4wkOD7IG-k_eo/edit#gid=0"", ""Maths!M:N""), 2, FALSE)"),"Evaluate the importance of understanding multiplication of rational numbers in practical scenarios.")</f>
        <v>Evaluate the importance of understanding multiplication of rational numbers in practical scenarios.</v>
      </c>
      <c r="T40" s="29" t="str">
        <f t="shared" si="11"/>
        <v>LU000476.006</v>
      </c>
      <c r="U40" s="29" t="str">
        <f ca="1">IFERROR(__xludf.dummyfunction("VLOOKUP(T40, IMPORTRANGE(""https://docs.google.com/spreadsheets/d/1yDAaXNsi4Mr5FtRQL4tbmSdIzhx6_m4wkOD7IG-k_eo/edit#gid=0"", ""Maths!M:N""), 2, FALSE)"),"Design a visual representation that illustrates the process of multiplying rational numbers on a number line.")</f>
        <v>Design a visual representation that illustrates the process of multiplying rational numbers on a number line.</v>
      </c>
      <c r="V40" s="16">
        <f ca="1">IFERROR(__xludf.dummyfunction("ArrayFormula(VLOOKUP(G40, IMPORTRANGE(""https://docs.google.com/spreadsheets/d/1p7R4vtkWt5VOBim4ltsDG9KTzSjrtKXsMtQGXPHyND0/edit#gid=795171502"", ""'Filter 30_05_2024'!A1:M2000""), {2, 3, 4, 5,6,7,8,9,10,11,12,13}, 0))"),4)</f>
        <v>4</v>
      </c>
      <c r="W40" s="16">
        <f ca="1">IFERROR(__xludf.dummyfunction("""COMPUTED_VALUE"""),2)</f>
        <v>2</v>
      </c>
      <c r="X40" s="16">
        <f ca="1">IFERROR(__xludf.dummyfunction("""COMPUTED_VALUE"""),2)</f>
        <v>2</v>
      </c>
      <c r="Y40" s="16">
        <f ca="1">IFERROR(__xludf.dummyfunction("""COMPUTED_VALUE"""),8)</f>
        <v>8</v>
      </c>
      <c r="Z40" s="16">
        <f ca="1">IFERROR(__xludf.dummyfunction("""COMPUTED_VALUE"""),4)</f>
        <v>4</v>
      </c>
      <c r="AA40" s="30">
        <f ca="1">IFERROR(__xludf.dummyfunction("""COMPUTED_VALUE"""),7)</f>
        <v>7</v>
      </c>
      <c r="AB40" s="30">
        <f ca="1">IFERROR(__xludf.dummyfunction("""COMPUTED_VALUE"""),1)</f>
        <v>1</v>
      </c>
      <c r="AC40" s="30">
        <f ca="1">IFERROR(__xludf.dummyfunction("""COMPUTED_VALUE"""),12)</f>
        <v>12</v>
      </c>
      <c r="AD40" s="16"/>
      <c r="AE40" s="30"/>
      <c r="AF40" s="30"/>
      <c r="AG40" s="30"/>
    </row>
    <row r="41" spans="1:33" ht="13.8">
      <c r="A41" s="25"/>
      <c r="B41" s="25" t="s">
        <v>29</v>
      </c>
      <c r="C41" s="25" t="s">
        <v>310</v>
      </c>
      <c r="D41" s="25">
        <v>7</v>
      </c>
      <c r="E41" s="70" t="s">
        <v>791</v>
      </c>
      <c r="F41" s="70" t="s">
        <v>813</v>
      </c>
      <c r="G41" s="71" t="s">
        <v>814</v>
      </c>
      <c r="H41" s="72" t="str">
        <f ca="1">IFERROR(__xludf.dummyfunction("IFERROR(
  VLOOKUP(G41, IMPORTRANGE(""https://docs.google.com/spreadsheets/d/14deopnvwcrKtEGCKuYXdUHJbeLDZlkiSSWWT0g7x2pM/edit#gid=849066331"", ""LU List Maths (Filter)!A:B""), 2, FALSE),
  IFERROR(
    VLOOKUP(G41, IMPORTRANGE(""https://docs.google.com/s"&amp;"preadsheets/d/14deopnvwcrKtEGCKuYXdUHJbeLDZlkiSSWWT0g7x2pM/edit#gid=849066331"", ""LU List Science (Filter)!A:B""), 2, FALSE),
    ""Not Found""
  )
)
"),"Division of rational numbers")</f>
        <v>Division of rational numbers</v>
      </c>
      <c r="I41" s="64"/>
      <c r="J41" s="29" t="str">
        <f t="shared" si="6"/>
        <v>LU000477.001</v>
      </c>
      <c r="K41" s="29" t="str">
        <f ca="1">IFERROR(__xludf.dummyfunction("VLOOKUP(J41, IMPORTRANGE(""https://docs.google.com/spreadsheets/d/1yDAaXNsi4Mr5FtRQL4tbmSdIzhx6_m4wkOD7IG-k_eo/edit#gid=0"", ""Maths!M:N""), 2, FALSE)"),"State the process of dividing rational numbers to find their quotient.")</f>
        <v>State the process of dividing rational numbers to find their quotient.</v>
      </c>
      <c r="L41" s="29" t="str">
        <f t="shared" si="7"/>
        <v>LU000477.002</v>
      </c>
      <c r="M41" s="29" t="str">
        <f ca="1">IFERROR(__xludf.dummyfunction("VLOOKUP(L41, IMPORTRANGE(""https://docs.google.com/spreadsheets/d/1yDAaXNsi4Mr5FtRQL4tbmSdIzhx6_m4wkOD7IG-k_eo/edit#gid=0"", ""Maths!M:N""), 2, FALSE)"),"Explain how division of rational numbers involves multiplying by the reciprocal.")</f>
        <v>Explain how division of rational numbers involves multiplying by the reciprocal.</v>
      </c>
      <c r="N41" s="29" t="str">
        <f t="shared" si="8"/>
        <v>LU000477.003</v>
      </c>
      <c r="O41" s="29" t="str">
        <f ca="1">IFERROR(__xludf.dummyfunction("VLOOKUP(N41, IMPORTRANGE(""https://docs.google.com/spreadsheets/d/1yDAaXNsi4Mr5FtRQL4tbmSdIzhx6_m4wkOD7IG-k_eo/edit#gid=0"", ""Maths!M:N""), 2, FALSE)"),"Solve arithmetic and practical division problems involving rational numbers.")</f>
        <v>Solve arithmetic and practical division problems involving rational numbers.</v>
      </c>
      <c r="P41" s="29" t="str">
        <f t="shared" si="9"/>
        <v>LU000477.004</v>
      </c>
      <c r="Q41" s="29" t="str">
        <f ca="1">IFERROR(__xludf.dummyfunction("VLOOKUP(P41, IMPORTRANGE(""https://docs.google.com/spreadsheets/d/1yDAaXNsi4Mr5FtRQL4tbmSdIzhx6_m4wkOD7IG-k_eo/edit#gid=0"", ""Maths!M:N""), 2, FALSE)"),"Analyse how the signs of rational numbers affect their quotient when dividing.")</f>
        <v>Analyse how the signs of rational numbers affect their quotient when dividing.</v>
      </c>
      <c r="R41" s="29" t="str">
        <f t="shared" si="10"/>
        <v>LU000477.005</v>
      </c>
      <c r="S41" s="29" t="str">
        <f ca="1">IFERROR(__xludf.dummyfunction("VLOOKUP(R41, IMPORTRANGE(""https://docs.google.com/spreadsheets/d/1yDAaXNsi4Mr5FtRQL4tbmSdIzhx6_m4wkOD7IG-k_eo/edit#gid=0"", ""Maths!M:N""), 2, FALSE)"),"Evaluate the significance of understanding division of rational numbers in practical scenarios.")</f>
        <v>Evaluate the significance of understanding division of rational numbers in practical scenarios.</v>
      </c>
      <c r="T41" s="29" t="str">
        <f t="shared" si="11"/>
        <v>LU000477.006</v>
      </c>
      <c r="U41" s="29" t="str">
        <f ca="1">IFERROR(__xludf.dummyfunction("VLOOKUP(T41, IMPORTRANGE(""https://docs.google.com/spreadsheets/d/1yDAaXNsi4Mr5FtRQL4tbmSdIzhx6_m4wkOD7IG-k_eo/edit#gid=0"", ""Maths!M:N""), 2, FALSE)"),"Design a set of word problems that require dividing rational numbers in various real-world contexts.")</f>
        <v>Design a set of word problems that require dividing rational numbers in various real-world contexts.</v>
      </c>
      <c r="V41" s="16">
        <f ca="1">IFERROR(__xludf.dummyfunction("ArrayFormula(VLOOKUP(G41, IMPORTRANGE(""https://docs.google.com/spreadsheets/d/1p7R4vtkWt5VOBim4ltsDG9KTzSjrtKXsMtQGXPHyND0/edit#gid=795171502"", ""'Filter 30_05_2024'!A1:M2000""), {2, 3, 4, 5,6,7,8,9,10,11,12,13}, 0))"),6)</f>
        <v>6</v>
      </c>
      <c r="W41" s="16">
        <f ca="1">IFERROR(__xludf.dummyfunction("""COMPUTED_VALUE"""),6)</f>
        <v>6</v>
      </c>
      <c r="X41" s="16">
        <f ca="1">IFERROR(__xludf.dummyfunction("""COMPUTED_VALUE"""),2)</f>
        <v>2</v>
      </c>
      <c r="Y41" s="16">
        <f ca="1">IFERROR(__xludf.dummyfunction("""COMPUTED_VALUE"""),14)</f>
        <v>14</v>
      </c>
      <c r="Z41" s="16">
        <f ca="1">IFERROR(__xludf.dummyfunction("""COMPUTED_VALUE"""),6)</f>
        <v>6</v>
      </c>
      <c r="AA41" s="30">
        <f ca="1">IFERROR(__xludf.dummyfunction("""COMPUTED_VALUE"""),4)</f>
        <v>4</v>
      </c>
      <c r="AB41" s="30">
        <f ca="1">IFERROR(__xludf.dummyfunction("""COMPUTED_VALUE"""),1)</f>
        <v>1</v>
      </c>
      <c r="AC41" s="30">
        <f ca="1">IFERROR(__xludf.dummyfunction("""COMPUTED_VALUE"""),11)</f>
        <v>11</v>
      </c>
      <c r="AD41" s="16"/>
      <c r="AE41" s="30"/>
      <c r="AF41" s="30"/>
      <c r="AG41" s="30"/>
    </row>
    <row r="42" spans="1:33" ht="13.8">
      <c r="A42" s="50"/>
      <c r="B42" s="50" t="s">
        <v>29</v>
      </c>
      <c r="C42" s="50" t="s">
        <v>310</v>
      </c>
      <c r="D42" s="50">
        <v>7</v>
      </c>
      <c r="E42" s="81" t="s">
        <v>791</v>
      </c>
      <c r="F42" s="82" t="s">
        <v>815</v>
      </c>
      <c r="G42" s="83" t="s">
        <v>816</v>
      </c>
      <c r="H42" s="84" t="str">
        <f ca="1">IFERROR(__xludf.dummyfunction("IFERROR(
  VLOOKUP(G42, IMPORTRANGE(""https://docs.google.com/spreadsheets/d/14deopnvwcrKtEGCKuYXdUHJbeLDZlkiSSWWT0g7x2pM/edit#gid=849066331"", ""LU List Maths (Filter)!A:B""), 2, FALSE),
  IFERROR(
    VLOOKUP(G42, IMPORTRANGE(""https://docs.google.com/s"&amp;"preadsheets/d/14deopnvwcrKtEGCKuYXdUHJbeLDZlkiSSWWT0g7x2pM/edit#gid=849066331"", ""LU List Science (Filter)!A:B""), 2, FALSE),
    ""Not Found""
  )
)
"),"Rational numbers as terminating decimal [definition, express one form to another]")</f>
        <v>Rational numbers as terminating decimal [definition, express one form to another]</v>
      </c>
      <c r="I42" s="85"/>
      <c r="J42" s="29" t="str">
        <f t="shared" si="6"/>
        <v>LU001180.001</v>
      </c>
      <c r="K42" s="29" t="str">
        <f ca="1">IFERROR(__xludf.dummyfunction("VLOOKUP(J42, IMPORTRANGE(""https://docs.google.com/spreadsheets/d/1yDAaXNsi4Mr5FtRQL4tbmSdIzhx6_m4wkOD7IG-k_eo/edit#gid=0"", ""Maths!M:N""), 2, FALSE)"),"Define a terminating decimal and identify examples of rational numbers that have terminating decimal expansions.")</f>
        <v>Define a terminating decimal and identify examples of rational numbers that have terminating decimal expansions.</v>
      </c>
      <c r="L42" s="29" t="str">
        <f t="shared" si="7"/>
        <v>LU001180.002</v>
      </c>
      <c r="M42" s="29" t="str">
        <f ca="1">IFERROR(__xludf.dummyfunction("VLOOKUP(L42, IMPORTRANGE(""https://docs.google.com/spreadsheets/d/1yDAaXNsi4Mr5FtRQL4tbmSdIzhx6_m4wkOD7IG-k_eo/edit#gid=0"", ""Maths!M:N""), 2, FALSE)"),"Explain the process of converting a rational number (fractional form) to a terminating decimal and vice versa.")</f>
        <v>Explain the process of converting a rational number (fractional form) to a terminating decimal and vice versa.</v>
      </c>
      <c r="N42" s="29" t="str">
        <f t="shared" si="8"/>
        <v>LU001180.003</v>
      </c>
      <c r="O42" s="29" t="str">
        <f ca="1">IFERROR(__xludf.dummyfunction("VLOOKUP(N42, IMPORTRANGE(""https://docs.google.com/spreadsheets/d/1yDAaXNsi4Mr5FtRQL4tbmSdIzhx6_m4wkOD7IG-k_eo/edit#gid=0"", ""Maths!M:N""), 2, FALSE)"),"Convert a given rational number in fractional form to its terminating decimal form and vice versa.")</f>
        <v>Convert a given rational number in fractional form to its terminating decimal form and vice versa.</v>
      </c>
      <c r="P42" s="29" t="str">
        <f t="shared" si="9"/>
        <v>LU001180.004</v>
      </c>
      <c r="Q42" s="29" t="str">
        <f ca="1">IFERROR(__xludf.dummyfunction("VLOOKUP(P42, IMPORTRANGE(""https://docs.google.com/spreadsheets/d/1yDAaXNsi4Mr5FtRQL4tbmSdIzhx6_m4wkOD7IG-k_eo/edit#gid=0"", ""Maths!M:N""), 2, FALSE)"),"Differentiate between rational numbers with terminating and non-terminating decimal expansions.")</f>
        <v>Differentiate between rational numbers with terminating and non-terminating decimal expansions.</v>
      </c>
      <c r="R42" s="29" t="str">
        <f t="shared" si="10"/>
        <v>LU001180.005</v>
      </c>
      <c r="S42" s="29" t="str">
        <f ca="1">IFERROR(__xludf.dummyfunction("VLOOKUP(R42, IMPORTRANGE(""https://docs.google.com/spreadsheets/d/1yDAaXNsi4Mr5FtRQL4tbmSdIzhx6_m4wkOD7IG-k_eo/edit#gid=0"", ""Maths!M:N""), 2, FALSE)"),"Assess the validity of a decimal representation to determine if it corresponds to a terminating decimal.")</f>
        <v>Assess the validity of a decimal representation to determine if it corresponds to a terminating decimal.</v>
      </c>
      <c r="T42" s="29" t="str">
        <f t="shared" si="11"/>
        <v>LU001180.006</v>
      </c>
      <c r="U42" s="29" t="str">
        <f ca="1">IFERROR(__xludf.dummyfunction("VLOOKUP(T42, IMPORTRANGE(""https://docs.google.com/spreadsheets/d/1yDAaXNsi4Mr5FtRQL4tbmSdIzhx6_m4wkOD7IG-k_eo/edit#gid=0"", ""Maths!M:N""), 2, FALSE)"),"Develop a step-by-step guide for converting fractions with denominators that result in terminating decimals.")</f>
        <v>Develop a step-by-step guide for converting fractions with denominators that result in terminating decimals.</v>
      </c>
      <c r="V42" s="16" t="str">
        <f ca="1">IFERROR(__xludf.dummyfunction("ArrayFormula(VLOOKUP(G42, IMPORTRANGE(""https://docs.google.com/spreadsheets/d/1p7R4vtkWt5VOBim4ltsDG9KTzSjrtKXsMtQGXPHyND0/edit#gid=795171502"", ""'Filter 30_05_2024'!A1:M2000""), {2, 3, 4, 5,6,7,8,9,10,11,12,13}, 0))"),"#N/A")</f>
        <v>#N/A</v>
      </c>
      <c r="W42" s="16" t="str">
        <f ca="1">IFERROR(__xludf.dummyfunction("""COMPUTED_VALUE"""),"#N/A")</f>
        <v>#N/A</v>
      </c>
      <c r="X42" s="16" t="str">
        <f ca="1">IFERROR(__xludf.dummyfunction("""COMPUTED_VALUE"""),"#N/A")</f>
        <v>#N/A</v>
      </c>
      <c r="Y42" s="16" t="str">
        <f ca="1">IFERROR(__xludf.dummyfunction("""COMPUTED_VALUE"""),"#N/A")</f>
        <v>#N/A</v>
      </c>
      <c r="Z42" s="16" t="str">
        <f ca="1">IFERROR(__xludf.dummyfunction("""COMPUTED_VALUE"""),"#N/A")</f>
        <v>#N/A</v>
      </c>
      <c r="AA42" s="30" t="str">
        <f ca="1">IFERROR(__xludf.dummyfunction("""COMPUTED_VALUE"""),"#N/A")</f>
        <v>#N/A</v>
      </c>
      <c r="AB42" s="30" t="str">
        <f ca="1">IFERROR(__xludf.dummyfunction("""COMPUTED_VALUE"""),"#N/A")</f>
        <v>#N/A</v>
      </c>
      <c r="AC42" s="30" t="str">
        <f ca="1">IFERROR(__xludf.dummyfunction("""COMPUTED_VALUE"""),"#N/A")</f>
        <v>#N/A</v>
      </c>
      <c r="AD42" s="16" t="str">
        <f ca="1">IFERROR(__xludf.dummyfunction("""COMPUTED_VALUE"""),"#N/A")</f>
        <v>#N/A</v>
      </c>
      <c r="AE42" s="30" t="str">
        <f ca="1">IFERROR(__xludf.dummyfunction("""COMPUTED_VALUE"""),"#N/A")</f>
        <v>#N/A</v>
      </c>
      <c r="AF42" s="30" t="str">
        <f ca="1">IFERROR(__xludf.dummyfunction("""COMPUTED_VALUE"""),"#N/A")</f>
        <v>#N/A</v>
      </c>
      <c r="AG42" s="30" t="str">
        <f ca="1">IFERROR(__xludf.dummyfunction("""COMPUTED_VALUE"""),"#N/A")</f>
        <v>#N/A</v>
      </c>
    </row>
    <row r="43" spans="1:33" ht="27">
      <c r="A43" s="25"/>
      <c r="B43" s="25" t="s">
        <v>29</v>
      </c>
      <c r="C43" s="25" t="s">
        <v>310</v>
      </c>
      <c r="D43" s="25">
        <v>7</v>
      </c>
      <c r="E43" s="70" t="s">
        <v>791</v>
      </c>
      <c r="F43" s="80" t="s">
        <v>817</v>
      </c>
      <c r="G43" s="79" t="s">
        <v>818</v>
      </c>
      <c r="H43" s="72" t="str">
        <f ca="1">IFERROR(__xludf.dummyfunction("IFERROR(
  VLOOKUP(G43, IMPORTRANGE(""https://docs.google.com/spreadsheets/d/14deopnvwcrKtEGCKuYXdUHJbeLDZlkiSSWWT0g7x2pM/edit#gid=849066331"", ""LU List Maths (Filter)!A:B""), 2, FALSE),
  IFERROR(
    VLOOKUP(G43, IMPORTRANGE(""https://docs.google.com/s"&amp;"preadsheets/d/14deopnvwcrKtEGCKuYXdUHJbeLDZlkiSSWWT0g7x2pM/edit#gid=849066331"", ""LU List Science (Filter)!A:B""), 2, FALSE),
    ""Not Found""
  )
)
"),"Word problems on rational numbers (all operations)")</f>
        <v>Word problems on rational numbers (all operations)</v>
      </c>
      <c r="I43" s="64"/>
      <c r="J43" s="29" t="str">
        <f t="shared" si="6"/>
        <v>LU001394.001</v>
      </c>
      <c r="K43" s="29" t="str">
        <f ca="1">IFERROR(__xludf.dummyfunction("VLOOKUP(J43, IMPORTRANGE(""https://docs.google.com/spreadsheets/d/1yDAaXNsi4Mr5FtRQL4tbmSdIzhx6_m4wkOD7IG-k_eo/edit#gid=0"", ""Maths!M:N""), 2, FALSE)"),"(LU001394.001); Default - Remember")</f>
        <v>(LU001394.001); Default - Remember</v>
      </c>
      <c r="L43" s="29" t="str">
        <f t="shared" si="7"/>
        <v>LU001394.002</v>
      </c>
      <c r="M43" s="29" t="str">
        <f ca="1">IFERROR(__xludf.dummyfunction("VLOOKUP(L43, IMPORTRANGE(""https://docs.google.com/spreadsheets/d/1yDAaXNsi4Mr5FtRQL4tbmSdIzhx6_m4wkOD7IG-k_eo/edit#gid=0"", ""Maths!M:N""), 2, FALSE)"),"(LU001394.002); Default - Understand")</f>
        <v>(LU001394.002); Default - Understand</v>
      </c>
      <c r="N43" s="29" t="str">
        <f t="shared" si="8"/>
        <v>LU001394.003</v>
      </c>
      <c r="O43" s="29" t="str">
        <f ca="1">IFERROR(__xludf.dummyfunction("VLOOKUP(N43, IMPORTRANGE(""https://docs.google.com/spreadsheets/d/1yDAaXNsi4Mr5FtRQL4tbmSdIzhx6_m4wkOD7IG-k_eo/edit#gid=0"", ""Maths!M:N""), 2, FALSE)"),"(LU001394.003); Default - Apply")</f>
        <v>(LU001394.003); Default - Apply</v>
      </c>
      <c r="P43" s="29" t="str">
        <f t="shared" si="9"/>
        <v>LU001394.004</v>
      </c>
      <c r="Q43" s="29" t="str">
        <f ca="1">IFERROR(__xludf.dummyfunction("VLOOKUP(P43, IMPORTRANGE(""https://docs.google.com/spreadsheets/d/1yDAaXNsi4Mr5FtRQL4tbmSdIzhx6_m4wkOD7IG-k_eo/edit#gid=0"", ""Maths!M:N""), 2, FALSE)"),"(LU001394.004); Default - Analyse")</f>
        <v>(LU001394.004); Default - Analyse</v>
      </c>
      <c r="R43" s="29" t="str">
        <f t="shared" si="10"/>
        <v>LU001394.005</v>
      </c>
      <c r="S43" s="29" t="str">
        <f ca="1">IFERROR(__xludf.dummyfunction("VLOOKUP(R43, IMPORTRANGE(""https://docs.google.com/spreadsheets/d/1yDAaXNsi4Mr5FtRQL4tbmSdIzhx6_m4wkOD7IG-k_eo/edit#gid=0"", ""Maths!M:N""), 2, FALSE)"),"(LU001394.005); Default - Evaluate")</f>
        <v>(LU001394.005); Default - Evaluate</v>
      </c>
      <c r="T43" s="29" t="str">
        <f t="shared" si="11"/>
        <v>LU001394.006</v>
      </c>
      <c r="U43" s="29" t="str">
        <f ca="1">IFERROR(__xludf.dummyfunction("VLOOKUP(T43, IMPORTRANGE(""https://docs.google.com/spreadsheets/d/1yDAaXNsi4Mr5FtRQL4tbmSdIzhx6_m4wkOD7IG-k_eo/edit#gid=0"", ""Maths!M:N""), 2, FALSE)"),"(LU001394.006); Default - Create")</f>
        <v>(LU001394.006); Default - Create</v>
      </c>
      <c r="V43" s="16" t="str">
        <f ca="1">IFERROR(__xludf.dummyfunction("ArrayFormula(VLOOKUP(G43, IMPORTRANGE(""https://docs.google.com/spreadsheets/d/1p7R4vtkWt5VOBim4ltsDG9KTzSjrtKXsMtQGXPHyND0/edit#gid=795171502"", ""'Filter 30_05_2024'!A1:M2000""), {2, 3, 4, 5,6,7,8,9,10,11,12,13}, 0))"),"#N/A")</f>
        <v>#N/A</v>
      </c>
      <c r="W43" s="16" t="str">
        <f ca="1">IFERROR(__xludf.dummyfunction("""COMPUTED_VALUE"""),"#N/A")</f>
        <v>#N/A</v>
      </c>
      <c r="X43" s="16" t="str">
        <f ca="1">IFERROR(__xludf.dummyfunction("""COMPUTED_VALUE"""),"#N/A")</f>
        <v>#N/A</v>
      </c>
      <c r="Y43" s="16" t="str">
        <f ca="1">IFERROR(__xludf.dummyfunction("""COMPUTED_VALUE"""),"#N/A")</f>
        <v>#N/A</v>
      </c>
      <c r="Z43" s="16" t="str">
        <f ca="1">IFERROR(__xludf.dummyfunction("""COMPUTED_VALUE"""),"#N/A")</f>
        <v>#N/A</v>
      </c>
      <c r="AA43" s="30" t="str">
        <f ca="1">IFERROR(__xludf.dummyfunction("""COMPUTED_VALUE"""),"#N/A")</f>
        <v>#N/A</v>
      </c>
      <c r="AB43" s="30" t="str">
        <f ca="1">IFERROR(__xludf.dummyfunction("""COMPUTED_VALUE"""),"#N/A")</f>
        <v>#N/A</v>
      </c>
      <c r="AC43" s="30" t="str">
        <f ca="1">IFERROR(__xludf.dummyfunction("""COMPUTED_VALUE"""),"#N/A")</f>
        <v>#N/A</v>
      </c>
      <c r="AD43" s="16" t="str">
        <f ca="1">IFERROR(__xludf.dummyfunction("""COMPUTED_VALUE"""),"#N/A")</f>
        <v>#N/A</v>
      </c>
      <c r="AE43" s="30" t="str">
        <f ca="1">IFERROR(__xludf.dummyfunction("""COMPUTED_VALUE"""),"#N/A")</f>
        <v>#N/A</v>
      </c>
      <c r="AF43" s="30" t="str">
        <f ca="1">IFERROR(__xludf.dummyfunction("""COMPUTED_VALUE"""),"#N/A")</f>
        <v>#N/A</v>
      </c>
      <c r="AG43" s="30" t="str">
        <f ca="1">IFERROR(__xludf.dummyfunction("""COMPUTED_VALUE"""),"#N/A")</f>
        <v>#N/A</v>
      </c>
    </row>
    <row r="44" spans="1:33" ht="27">
      <c r="A44" s="25"/>
      <c r="B44" s="25" t="s">
        <v>29</v>
      </c>
      <c r="C44" s="25" t="s">
        <v>310</v>
      </c>
      <c r="D44" s="25">
        <v>7</v>
      </c>
      <c r="E44" s="70" t="s">
        <v>819</v>
      </c>
      <c r="F44" s="80" t="s">
        <v>820</v>
      </c>
      <c r="G44" s="79" t="s">
        <v>821</v>
      </c>
      <c r="H44" s="72" t="str">
        <f ca="1">IFERROR(__xludf.dummyfunction("IFERROR(
  VLOOKUP(G44, IMPORTRANGE(""https://docs.google.com/spreadsheets/d/14deopnvwcrKtEGCKuYXdUHJbeLDZlkiSSWWT0g7x2pM/edit#gid=849066331"", ""LU List Maths (Filter)!A:B""), 2, FALSE),
  IFERROR(
    VLOOKUP(G44, IMPORTRANGE(""https://docs.google.com/s"&amp;"preadsheets/d/14deopnvwcrKtEGCKuYXdUHJbeLDZlkiSSWWT0g7x2pM/edit#gid=849066331"", ""LU List Science (Filter)!A:B""), 2, FALSE),
    ""Not Found""
  )
)
"),"Decimal and vulgar fraction")</f>
        <v>Decimal and vulgar fraction</v>
      </c>
      <c r="I44" s="64"/>
      <c r="J44" s="29" t="str">
        <f t="shared" si="6"/>
        <v>LU001395.001</v>
      </c>
      <c r="K44" s="29" t="str">
        <f ca="1">IFERROR(__xludf.dummyfunction("VLOOKUP(J44, IMPORTRANGE(""https://docs.google.com/spreadsheets/d/1yDAaXNsi4Mr5FtRQL4tbmSdIzhx6_m4wkOD7IG-k_eo/edit#gid=0"", ""Maths!M:N""), 2, FALSE)"),"(LU001395.001); Default - Remember")</f>
        <v>(LU001395.001); Default - Remember</v>
      </c>
      <c r="L44" s="29" t="str">
        <f t="shared" si="7"/>
        <v>LU001395.002</v>
      </c>
      <c r="M44" s="29" t="str">
        <f ca="1">IFERROR(__xludf.dummyfunction("VLOOKUP(L44, IMPORTRANGE(""https://docs.google.com/spreadsheets/d/1yDAaXNsi4Mr5FtRQL4tbmSdIzhx6_m4wkOD7IG-k_eo/edit#gid=0"", ""Maths!M:N""), 2, FALSE)"),"(LU001395.002); Default - Understand")</f>
        <v>(LU001395.002); Default - Understand</v>
      </c>
      <c r="N44" s="29" t="str">
        <f t="shared" si="8"/>
        <v>LU001395.003</v>
      </c>
      <c r="O44" s="29" t="str">
        <f ca="1">IFERROR(__xludf.dummyfunction("VLOOKUP(N44, IMPORTRANGE(""https://docs.google.com/spreadsheets/d/1yDAaXNsi4Mr5FtRQL4tbmSdIzhx6_m4wkOD7IG-k_eo/edit#gid=0"", ""Maths!M:N""), 2, FALSE)"),"(LU001395.003); Default - Apply")</f>
        <v>(LU001395.003); Default - Apply</v>
      </c>
      <c r="P44" s="29" t="str">
        <f t="shared" si="9"/>
        <v>LU001395.004</v>
      </c>
      <c r="Q44" s="29" t="str">
        <f ca="1">IFERROR(__xludf.dummyfunction("VLOOKUP(P44, IMPORTRANGE(""https://docs.google.com/spreadsheets/d/1yDAaXNsi4Mr5FtRQL4tbmSdIzhx6_m4wkOD7IG-k_eo/edit#gid=0"", ""Maths!M:N""), 2, FALSE)"),"(LU001395.004); Default - Analyse")</f>
        <v>(LU001395.004); Default - Analyse</v>
      </c>
      <c r="R44" s="29" t="str">
        <f t="shared" si="10"/>
        <v>LU001395.005</v>
      </c>
      <c r="S44" s="29" t="str">
        <f ca="1">IFERROR(__xludf.dummyfunction("VLOOKUP(R44, IMPORTRANGE(""https://docs.google.com/spreadsheets/d/1yDAaXNsi4Mr5FtRQL4tbmSdIzhx6_m4wkOD7IG-k_eo/edit#gid=0"", ""Maths!M:N""), 2, FALSE)"),"(LU001395.005); Default - Evaluate")</f>
        <v>(LU001395.005); Default - Evaluate</v>
      </c>
      <c r="T44" s="29" t="str">
        <f t="shared" si="11"/>
        <v>LU001395.006</v>
      </c>
      <c r="U44" s="29" t="str">
        <f ca="1">IFERROR(__xludf.dummyfunction("VLOOKUP(T44, IMPORTRANGE(""https://docs.google.com/spreadsheets/d/1yDAaXNsi4Mr5FtRQL4tbmSdIzhx6_m4wkOD7IG-k_eo/edit#gid=0"", ""Maths!M:N""), 2, FALSE)"),"(LU001395.006); Default - Create")</f>
        <v>(LU001395.006); Default - Create</v>
      </c>
      <c r="V44" s="16" t="str">
        <f ca="1">IFERROR(__xludf.dummyfunction("ArrayFormula(VLOOKUP(G44, IMPORTRANGE(""https://docs.google.com/spreadsheets/d/1p7R4vtkWt5VOBim4ltsDG9KTzSjrtKXsMtQGXPHyND0/edit#gid=795171502"", ""'Filter 30_05_2024'!A1:M2000""), {2, 3, 4, 5,6,7,8,9,10,11,12,13}, 0))"),"#N/A")</f>
        <v>#N/A</v>
      </c>
      <c r="W44" s="16" t="str">
        <f ca="1">IFERROR(__xludf.dummyfunction("""COMPUTED_VALUE"""),"#N/A")</f>
        <v>#N/A</v>
      </c>
      <c r="X44" s="16" t="str">
        <f ca="1">IFERROR(__xludf.dummyfunction("""COMPUTED_VALUE"""),"#N/A")</f>
        <v>#N/A</v>
      </c>
      <c r="Y44" s="16" t="str">
        <f ca="1">IFERROR(__xludf.dummyfunction("""COMPUTED_VALUE"""),"#N/A")</f>
        <v>#N/A</v>
      </c>
      <c r="Z44" s="16" t="str">
        <f ca="1">IFERROR(__xludf.dummyfunction("""COMPUTED_VALUE"""),"#N/A")</f>
        <v>#N/A</v>
      </c>
      <c r="AA44" s="30" t="str">
        <f ca="1">IFERROR(__xludf.dummyfunction("""COMPUTED_VALUE"""),"#N/A")</f>
        <v>#N/A</v>
      </c>
      <c r="AB44" s="30" t="str">
        <f ca="1">IFERROR(__xludf.dummyfunction("""COMPUTED_VALUE"""),"#N/A")</f>
        <v>#N/A</v>
      </c>
      <c r="AC44" s="30" t="str">
        <f ca="1">IFERROR(__xludf.dummyfunction("""COMPUTED_VALUE"""),"#N/A")</f>
        <v>#N/A</v>
      </c>
      <c r="AD44" s="16" t="str">
        <f ca="1">IFERROR(__xludf.dummyfunction("""COMPUTED_VALUE"""),"#N/A")</f>
        <v>#N/A</v>
      </c>
      <c r="AE44" s="30" t="str">
        <f ca="1">IFERROR(__xludf.dummyfunction("""COMPUTED_VALUE"""),"#N/A")</f>
        <v>#N/A</v>
      </c>
      <c r="AF44" s="30" t="str">
        <f ca="1">IFERROR(__xludf.dummyfunction("""COMPUTED_VALUE"""),"#N/A")</f>
        <v>#N/A</v>
      </c>
      <c r="AG44" s="30" t="str">
        <f ca="1">IFERROR(__xludf.dummyfunction("""COMPUTED_VALUE"""),"#N/A")</f>
        <v>#N/A</v>
      </c>
    </row>
    <row r="45" spans="1:33" ht="26.4">
      <c r="A45" s="25"/>
      <c r="B45" s="25" t="s">
        <v>29</v>
      </c>
      <c r="C45" s="25" t="s">
        <v>310</v>
      </c>
      <c r="D45" s="25">
        <v>7</v>
      </c>
      <c r="E45" s="70" t="s">
        <v>819</v>
      </c>
      <c r="F45" s="70" t="s">
        <v>822</v>
      </c>
      <c r="G45" s="71" t="s">
        <v>823</v>
      </c>
      <c r="H45" s="72" t="str">
        <f ca="1">IFERROR(__xludf.dummyfunction("IFERROR(
  VLOOKUP(G45, IMPORTRANGE(""https://docs.google.com/spreadsheets/d/14deopnvwcrKtEGCKuYXdUHJbeLDZlkiSSWWT0g7x2pM/edit#gid=849066331"", ""LU List Maths (Filter)!A:B""), 2, FALSE),
  IFERROR(
    VLOOKUP(G45, IMPORTRANGE(""https://docs.google.com/s"&amp;"preadsheets/d/14deopnvwcrKtEGCKuYXdUHJbeLDZlkiSSWWT0g7x2pM/edit#gid=849066331"", ""LU List Science (Filter)!A:B""), 2, FALSE),
    ""Not Found""
  )
)
"),"Multiplication of a proper fraction by a whole number")</f>
        <v>Multiplication of a proper fraction by a whole number</v>
      </c>
      <c r="I45" s="64"/>
      <c r="J45" s="29" t="str">
        <f t="shared" si="6"/>
        <v>LU001005.001</v>
      </c>
      <c r="K45" s="29" t="str">
        <f ca="1">IFERROR(__xludf.dummyfunction("VLOOKUP(J45, IMPORTRANGE(""https://docs.google.com/spreadsheets/d/1yDAaXNsi4Mr5FtRQL4tbmSdIzhx6_m4wkOD7IG-k_eo/edit#gid=0"", ""Maths!M:N""), 2, FALSE)"),"Define the process of multiplying a proper fraction by a whole number.")</f>
        <v>Define the process of multiplying a proper fraction by a whole number.</v>
      </c>
      <c r="L45" s="29" t="str">
        <f t="shared" si="7"/>
        <v>LU001005.002</v>
      </c>
      <c r="M45" s="29" t="str">
        <f ca="1">IFERROR(__xludf.dummyfunction("VLOOKUP(L45, IMPORTRANGE(""https://docs.google.com/spreadsheets/d/1yDAaXNsi4Mr5FtRQL4tbmSdIzhx6_m4wkOD7IG-k_eo/edit#gid=0"", ""Maths!M:N""), 2, FALSE)"),"Explain the concept of multiplying a proper fraction by a whole number using examples.")</f>
        <v>Explain the concept of multiplying a proper fraction by a whole number using examples.</v>
      </c>
      <c r="N45" s="29" t="str">
        <f t="shared" si="8"/>
        <v>LU001005.003</v>
      </c>
      <c r="O45" s="29" t="str">
        <f ca="1">IFERROR(__xludf.dummyfunction("VLOOKUP(N45, IMPORTRANGE(""https://docs.google.com/spreadsheets/d/1yDAaXNsi4Mr5FtRQL4tbmSdIzhx6_m4wkOD7IG-k_eo/edit#gid=0"", ""Maths!M:N""), 2, FALSE)"),"Solve problems involving the multiplication of a proper fraction by a whole number.")</f>
        <v>Solve problems involving the multiplication of a proper fraction by a whole number.</v>
      </c>
      <c r="P45" s="29" t="str">
        <f t="shared" si="9"/>
        <v>LU001005.004</v>
      </c>
      <c r="Q45" s="29" t="str">
        <f ca="1">IFERROR(__xludf.dummyfunction("VLOOKUP(P45, IMPORTRANGE(""https://docs.google.com/spreadsheets/d/1yDAaXNsi4Mr5FtRQL4tbmSdIzhx6_m4wkOD7IG-k_eo/edit#gid=0"", ""Maths!M:N""), 2, FALSE)"),"Differentiate between correct and incorrect applications of multiplying a proper fraction by a whole number in given examples.")</f>
        <v>Differentiate between correct and incorrect applications of multiplying a proper fraction by a whole number in given examples.</v>
      </c>
      <c r="R45" s="29" t="str">
        <f t="shared" si="10"/>
        <v>LU001005.005</v>
      </c>
      <c r="S45" s="29" t="str">
        <f ca="1">IFERROR(__xludf.dummyfunction("VLOOKUP(R45, IMPORTRANGE(""https://docs.google.com/spreadsheets/d/1yDAaXNsi4Mr5FtRQL4tbmSdIzhx6_m4wkOD7IG-k_eo/edit#gid=0"", ""Maths!M:N""), 2, FALSE)"),"Assess the solutions to problems involving the multiplication of a proper fraction by a whole number and justify the methods used.")</f>
        <v>Assess the solutions to problems involving the multiplication of a proper fraction by a whole number and justify the methods used.</v>
      </c>
      <c r="T45" s="29" t="str">
        <f t="shared" si="11"/>
        <v>LU001005.006</v>
      </c>
      <c r="U45" s="29" t="str">
        <f ca="1">IFERROR(__xludf.dummyfunction("VLOOKUP(T45, IMPORTRANGE(""https://docs.google.com/spreadsheets/d/1yDAaXNsi4Mr5FtRQL4tbmSdIzhx6_m4wkOD7IG-k_eo/edit#gid=0"", ""Maths!M:N""), 2, FALSE)"),"#N/A")</f>
        <v>#N/A</v>
      </c>
      <c r="V45" s="16">
        <f ca="1">IFERROR(__xludf.dummyfunction("ArrayFormula(VLOOKUP(G45, IMPORTRANGE(""https://docs.google.com/spreadsheets/d/1p7R4vtkWt5VOBim4ltsDG9KTzSjrtKXsMtQGXPHyND0/edit#gid=795171502"", ""'Filter 30_05_2024'!A1:M2000""), {2, 3, 4, 5,6,7,8,9,10,11,12,13}, 0))"),20)</f>
        <v>20</v>
      </c>
      <c r="W45" s="16">
        <f ca="1">IFERROR(__xludf.dummyfunction("""COMPUTED_VALUE"""),28)</f>
        <v>28</v>
      </c>
      <c r="X45" s="16">
        <f ca="1">IFERROR(__xludf.dummyfunction("""COMPUTED_VALUE"""),5)</f>
        <v>5</v>
      </c>
      <c r="Y45" s="16">
        <f ca="1">IFERROR(__xludf.dummyfunction("""COMPUTED_VALUE"""),53)</f>
        <v>53</v>
      </c>
      <c r="Z45" s="16">
        <f ca="1">IFERROR(__xludf.dummyfunction("""COMPUTED_VALUE"""),9)</f>
        <v>9</v>
      </c>
      <c r="AA45" s="30">
        <f ca="1">IFERROR(__xludf.dummyfunction("""COMPUTED_VALUE"""),8)</f>
        <v>8</v>
      </c>
      <c r="AB45" s="30">
        <f ca="1">IFERROR(__xludf.dummyfunction("""COMPUTED_VALUE"""),2)</f>
        <v>2</v>
      </c>
      <c r="AC45" s="30">
        <f ca="1">IFERROR(__xludf.dummyfunction("""COMPUTED_VALUE"""),19)</f>
        <v>19</v>
      </c>
      <c r="AD45" s="16"/>
      <c r="AE45" s="30"/>
      <c r="AF45" s="30"/>
      <c r="AG45" s="30"/>
    </row>
    <row r="46" spans="1:33" ht="26.4">
      <c r="A46" s="25"/>
      <c r="B46" s="25" t="s">
        <v>29</v>
      </c>
      <c r="C46" s="25" t="s">
        <v>310</v>
      </c>
      <c r="D46" s="25">
        <v>7</v>
      </c>
      <c r="E46" s="70" t="s">
        <v>819</v>
      </c>
      <c r="F46" s="70"/>
      <c r="G46" s="71" t="s">
        <v>824</v>
      </c>
      <c r="H46" s="72" t="str">
        <f ca="1">IFERROR(__xludf.dummyfunction("IFERROR(
  VLOOKUP(G46, IMPORTRANGE(""https://docs.google.com/spreadsheets/d/14deopnvwcrKtEGCKuYXdUHJbeLDZlkiSSWWT0g7x2pM/edit#gid=849066331"", ""LU List Maths (Filter)!A:B""), 2, FALSE),
  IFERROR(
    VLOOKUP(G46, IMPORTRANGE(""https://docs.google.com/s"&amp;"preadsheets/d/14deopnvwcrKtEGCKuYXdUHJbeLDZlkiSSWWT0g7x2pM/edit#gid=849066331"", ""LU List Science (Filter)!A:B""), 2, FALSE),
    ""Not Found""
  )
)
"),"Multiplication of an improper fraction by a whole number")</f>
        <v>Multiplication of an improper fraction by a whole number</v>
      </c>
      <c r="I46" s="64"/>
      <c r="J46" s="29" t="str">
        <f t="shared" si="6"/>
        <v>LU001006.001</v>
      </c>
      <c r="K46" s="29" t="str">
        <f ca="1">IFERROR(__xludf.dummyfunction("VLOOKUP(J46, IMPORTRANGE(""https://docs.google.com/spreadsheets/d/1yDAaXNsi4Mr5FtRQL4tbmSdIzhx6_m4wkOD7IG-k_eo/edit#gid=0"", ""Maths!M:N""), 2, FALSE)"),"Identify the steps in multiplying an improper fraction by a whole number.")</f>
        <v>Identify the steps in multiplying an improper fraction by a whole number.</v>
      </c>
      <c r="L46" s="29" t="str">
        <f t="shared" si="7"/>
        <v>LU001006.002</v>
      </c>
      <c r="M46" s="29" t="str">
        <f ca="1">IFERROR(__xludf.dummyfunction("VLOOKUP(L46, IMPORTRANGE(""https://docs.google.com/spreadsheets/d/1yDAaXNsi4Mr5FtRQL4tbmSdIzhx6_m4wkOD7IG-k_eo/edit#gid=0"", ""Maths!M:N""), 2, FALSE)"),"Summarize how to multiply an improper fraction by a whole number using illustrative examples.")</f>
        <v>Summarize how to multiply an improper fraction by a whole number using illustrative examples.</v>
      </c>
      <c r="N46" s="29" t="str">
        <f t="shared" si="8"/>
        <v>LU001006.003</v>
      </c>
      <c r="O46" s="29" t="str">
        <f ca="1">IFERROR(__xludf.dummyfunction("VLOOKUP(N46, IMPORTRANGE(""https://docs.google.com/spreadsheets/d/1yDAaXNsi4Mr5FtRQL4tbmSdIzhx6_m4wkOD7IG-k_eo/edit#gid=0"", ""Maths!M:N""), 2, FALSE)"),"Perform calculations involving the multiplication of an improper fraction by a whole number.")</f>
        <v>Perform calculations involving the multiplication of an improper fraction by a whole number.</v>
      </c>
      <c r="P46" s="29" t="str">
        <f t="shared" si="9"/>
        <v>LU001006.004</v>
      </c>
      <c r="Q46" s="29" t="str">
        <f ca="1">IFERROR(__xludf.dummyfunction("VLOOKUP(P46, IMPORTRANGE(""https://docs.google.com/spreadsheets/d/1yDAaXNsi4Mr5FtRQL4tbmSdIzhx6_m4wkOD7IG-k_eo/edit#gid=0"", ""Maths!M:N""), 2, FALSE)"),"Examine a set of problems to distinguish correct and incorrect multiplication of an improper fraction by a whole number.")</f>
        <v>Examine a set of problems to distinguish correct and incorrect multiplication of an improper fraction by a whole number.</v>
      </c>
      <c r="R46" s="29" t="str">
        <f t="shared" si="10"/>
        <v>LU001006.005</v>
      </c>
      <c r="S46" s="29" t="str">
        <f ca="1">IFERROR(__xludf.dummyfunction("VLOOKUP(R46, IMPORTRANGE(""https://docs.google.com/spreadsheets/d/1yDAaXNsi4Mr5FtRQL4tbmSdIzhx6_m4wkOD7IG-k_eo/edit#gid=0"", ""Maths!M:N""), 2, FALSE)"),"Critically review solutions to problems that involve the multiplication of an improper fraction by a whole number, explaining the correctness of each method.")</f>
        <v>Critically review solutions to problems that involve the multiplication of an improper fraction by a whole number, explaining the correctness of each method.</v>
      </c>
      <c r="T46" s="29" t="str">
        <f t="shared" si="11"/>
        <v>LU001006.006</v>
      </c>
      <c r="U46" s="29" t="str">
        <f ca="1">IFERROR(__xludf.dummyfunction("VLOOKUP(T46, IMPORTRANGE(""https://docs.google.com/spreadsheets/d/1yDAaXNsi4Mr5FtRQL4tbmSdIzhx6_m4wkOD7IG-k_eo/edit#gid=0"", ""Maths!M:N""), 2, FALSE)"),"#N/A")</f>
        <v>#N/A</v>
      </c>
      <c r="V46" s="16">
        <f ca="1">IFERROR(__xludf.dummyfunction("ArrayFormula(VLOOKUP(G46, IMPORTRANGE(""https://docs.google.com/spreadsheets/d/1p7R4vtkWt5VOBim4ltsDG9KTzSjrtKXsMtQGXPHyND0/edit#gid=795171502"", ""'Filter 30_05_2024'!A1:M2000""), {2, 3, 4, 5,6,7,8,9,10,11,12,13}, 0))"),4)</f>
        <v>4</v>
      </c>
      <c r="W46" s="16">
        <f ca="1">IFERROR(__xludf.dummyfunction("""COMPUTED_VALUE"""),6)</f>
        <v>6</v>
      </c>
      <c r="X46" s="16">
        <f ca="1">IFERROR(__xludf.dummyfunction("""COMPUTED_VALUE"""),2)</f>
        <v>2</v>
      </c>
      <c r="Y46" s="16">
        <f ca="1">IFERROR(__xludf.dummyfunction("""COMPUTED_VALUE"""),12)</f>
        <v>12</v>
      </c>
      <c r="Z46" s="16">
        <f ca="1">IFERROR(__xludf.dummyfunction("""COMPUTED_VALUE"""),4)</f>
        <v>4</v>
      </c>
      <c r="AA46" s="30">
        <f ca="1">IFERROR(__xludf.dummyfunction("""COMPUTED_VALUE"""),3)</f>
        <v>3</v>
      </c>
      <c r="AB46" s="30">
        <f ca="1">IFERROR(__xludf.dummyfunction("""COMPUTED_VALUE"""),1)</f>
        <v>1</v>
      </c>
      <c r="AC46" s="30">
        <f ca="1">IFERROR(__xludf.dummyfunction("""COMPUTED_VALUE"""),8)</f>
        <v>8</v>
      </c>
      <c r="AD46" s="16"/>
      <c r="AE46" s="30"/>
      <c r="AF46" s="30"/>
      <c r="AG46" s="30"/>
    </row>
    <row r="47" spans="1:33" ht="26.4">
      <c r="A47" s="25"/>
      <c r="B47" s="25" t="s">
        <v>29</v>
      </c>
      <c r="C47" s="25" t="s">
        <v>310</v>
      </c>
      <c r="D47" s="25">
        <v>7</v>
      </c>
      <c r="E47" s="70" t="s">
        <v>819</v>
      </c>
      <c r="F47" s="70"/>
      <c r="G47" s="71" t="s">
        <v>825</v>
      </c>
      <c r="H47" s="72" t="str">
        <f ca="1">IFERROR(__xludf.dummyfunction("IFERROR(
  VLOOKUP(G47, IMPORTRANGE(""https://docs.google.com/spreadsheets/d/14deopnvwcrKtEGCKuYXdUHJbeLDZlkiSSWWT0g7x2pM/edit#gid=849066331"", ""LU List Maths (Filter)!A:B""), 2, FALSE),
  IFERROR(
    VLOOKUP(G47, IMPORTRANGE(""https://docs.google.com/s"&amp;"preadsheets/d/14deopnvwcrKtEGCKuYXdUHJbeLDZlkiSSWWT0g7x2pM/edit#gid=849066331"", ""LU List Science (Filter)!A:B""), 2, FALSE),
    ""Not Found""
  )
)
"),"Multiplication of a mixed fraction by a whole number")</f>
        <v>Multiplication of a mixed fraction by a whole number</v>
      </c>
      <c r="I47" s="64"/>
      <c r="J47" s="29" t="str">
        <f t="shared" si="6"/>
        <v>LU001007.001</v>
      </c>
      <c r="K47" s="29" t="str">
        <f ca="1">IFERROR(__xludf.dummyfunction("VLOOKUP(J47, IMPORTRANGE(""https://docs.google.com/spreadsheets/d/1yDAaXNsi4Mr5FtRQL4tbmSdIzhx6_m4wkOD7IG-k_eo/edit#gid=0"", ""Maths!M:N""), 2, FALSE)"),"Recall the method for multiplying a mixed fraction by a whole number.")</f>
        <v>Recall the method for multiplying a mixed fraction by a whole number.</v>
      </c>
      <c r="L47" s="29" t="str">
        <f t="shared" si="7"/>
        <v>LU001007.002</v>
      </c>
      <c r="M47" s="29" t="str">
        <f ca="1">IFERROR(__xludf.dummyfunction("VLOOKUP(L47, IMPORTRANGE(""https://docs.google.com/spreadsheets/d/1yDAaXNsi4Mr5FtRQL4tbmSdIzhx6_m4wkOD7IG-k_eo/edit#gid=0"", ""Maths!M:N""), 2, FALSE)"),"Describe the process of multiplying a mixed fraction by a whole number with examples.")</f>
        <v>Describe the process of multiplying a mixed fraction by a whole number with examples.</v>
      </c>
      <c r="N47" s="29" t="str">
        <f t="shared" si="8"/>
        <v>LU001007.003</v>
      </c>
      <c r="O47" s="29" t="str">
        <f ca="1">IFERROR(__xludf.dummyfunction("VLOOKUP(N47, IMPORTRANGE(""https://docs.google.com/spreadsheets/d/1yDAaXNsi4Mr5FtRQL4tbmSdIzhx6_m4wkOD7IG-k_eo/edit#gid=0"", ""Maths!M:N""), 2, FALSE)"),"Calculate the product of a mixed fraction and a whole number in various problems.")</f>
        <v>Calculate the product of a mixed fraction and a whole number in various problems.</v>
      </c>
      <c r="P47" s="29" t="str">
        <f t="shared" si="9"/>
        <v>LU001007.004</v>
      </c>
      <c r="Q47" s="29" t="str">
        <f ca="1">IFERROR(__xludf.dummyfunction("VLOOKUP(P47, IMPORTRANGE(""https://docs.google.com/spreadsheets/d/1yDAaXNsi4Mr5FtRQL4tbmSdIzhx6_m4wkOD7IG-k_eo/edit#gid=0"", ""Maths!M:N""), 2, FALSE)"),"Distinguish between correctly and incorrectly solved problems involving the multiplication of a mixed fraction by a whole number.")</f>
        <v>Distinguish between correctly and incorrectly solved problems involving the multiplication of a mixed fraction by a whole number.</v>
      </c>
      <c r="R47" s="29" t="str">
        <f t="shared" si="10"/>
        <v>LU001007.005</v>
      </c>
      <c r="S47" s="29" t="str">
        <f ca="1">IFERROR(__xludf.dummyfunction("VLOOKUP(R47, IMPORTRANGE(""https://docs.google.com/spreadsheets/d/1yDAaXNsi4Mr5FtRQL4tbmSdIzhx6_m4wkOD7IG-k_eo/edit#gid=0"", ""Maths!M:N""), 2, FALSE)"),"Judge the accuracy of solutions to mixed fraction and whole number multiplication problems, and provide reasons for the evaluation.")</f>
        <v>Judge the accuracy of solutions to mixed fraction and whole number multiplication problems, and provide reasons for the evaluation.</v>
      </c>
      <c r="T47" s="29" t="str">
        <f t="shared" si="11"/>
        <v>LU001007.006</v>
      </c>
      <c r="U47" s="29" t="str">
        <f ca="1">IFERROR(__xludf.dummyfunction("VLOOKUP(T47, IMPORTRANGE(""https://docs.google.com/spreadsheets/d/1yDAaXNsi4Mr5FtRQL4tbmSdIzhx6_m4wkOD7IG-k_eo/edit#gid=0"", ""Maths!M:N""), 2, FALSE)"),"#N/A")</f>
        <v>#N/A</v>
      </c>
      <c r="V47" s="16">
        <f ca="1">IFERROR(__xludf.dummyfunction("ArrayFormula(VLOOKUP(G47, IMPORTRANGE(""https://docs.google.com/spreadsheets/d/1p7R4vtkWt5VOBim4ltsDG9KTzSjrtKXsMtQGXPHyND0/edit#gid=795171502"", ""'Filter 30_05_2024'!A1:M2000""), {2, 3, 4, 5,6,7,8,9,10,11,12,13}, 0))"),4)</f>
        <v>4</v>
      </c>
      <c r="W47" s="16">
        <f ca="1">IFERROR(__xludf.dummyfunction("""COMPUTED_VALUE"""),10)</f>
        <v>10</v>
      </c>
      <c r="X47" s="16">
        <f ca="1">IFERROR(__xludf.dummyfunction("""COMPUTED_VALUE"""),2)</f>
        <v>2</v>
      </c>
      <c r="Y47" s="16">
        <f ca="1">IFERROR(__xludf.dummyfunction("""COMPUTED_VALUE"""),16)</f>
        <v>16</v>
      </c>
      <c r="Z47" s="16">
        <f ca="1">IFERROR(__xludf.dummyfunction("""COMPUTED_VALUE"""),4)</f>
        <v>4</v>
      </c>
      <c r="AA47" s="30">
        <f ca="1">IFERROR(__xludf.dummyfunction("""COMPUTED_VALUE"""),2)</f>
        <v>2</v>
      </c>
      <c r="AB47" s="30">
        <f ca="1">IFERROR(__xludf.dummyfunction("""COMPUTED_VALUE"""),1)</f>
        <v>1</v>
      </c>
      <c r="AC47" s="30">
        <f ca="1">IFERROR(__xludf.dummyfunction("""COMPUTED_VALUE"""),7)</f>
        <v>7</v>
      </c>
      <c r="AD47" s="16"/>
      <c r="AE47" s="30"/>
      <c r="AF47" s="30"/>
      <c r="AG47" s="30"/>
    </row>
    <row r="48" spans="1:33" ht="26.4">
      <c r="A48" s="25"/>
      <c r="B48" s="25" t="s">
        <v>29</v>
      </c>
      <c r="C48" s="25" t="s">
        <v>310</v>
      </c>
      <c r="D48" s="25">
        <v>7</v>
      </c>
      <c r="E48" s="70" t="s">
        <v>819</v>
      </c>
      <c r="F48" s="70" t="s">
        <v>826</v>
      </c>
      <c r="G48" s="71" t="s">
        <v>827</v>
      </c>
      <c r="H48" s="72" t="str">
        <f ca="1">IFERROR(__xludf.dummyfunction("IFERROR(
  VLOOKUP(G48, IMPORTRANGE(""https://docs.google.com/spreadsheets/d/14deopnvwcrKtEGCKuYXdUHJbeLDZlkiSSWWT0g7x2pM/edit#gid=849066331"", ""LU List Maths (Filter)!A:B""), 2, FALSE),
  IFERROR(
    VLOOKUP(G48, IMPORTRANGE(""https://docs.google.com/s"&amp;"preadsheets/d/14deopnvwcrKtEGCKuYXdUHJbeLDZlkiSSWWT0g7x2pM/edit#gid=849066331"", ""LU List Science (Filter)!A:B""), 2, FALSE),
    ""Not Found""
  )
)
"),"Multiplication of a proper fraction by another fraction(proper, improper and mixed)")</f>
        <v>Multiplication of a proper fraction by another fraction(proper, improper and mixed)</v>
      </c>
      <c r="I48" s="64"/>
      <c r="J48" s="29" t="str">
        <f t="shared" si="6"/>
        <v>LU001008.001</v>
      </c>
      <c r="K48" s="29" t="str">
        <f ca="1">IFERROR(__xludf.dummyfunction("VLOOKUP(J48, IMPORTRANGE(""https://docs.google.com/spreadsheets/d/1yDAaXNsi4Mr5FtRQL4tbmSdIzhx6_m4wkOD7IG-k_eo/edit#gid=0"", ""Maths!M:N""), 2, FALSE)"),"List the steps to multiply a proper fraction by another fraction (proper, improper, or mixed).")</f>
        <v>List the steps to multiply a proper fraction by another fraction (proper, improper, or mixed).</v>
      </c>
      <c r="L48" s="29" t="str">
        <f t="shared" si="7"/>
        <v>LU001008.002</v>
      </c>
      <c r="M48" s="29" t="str">
        <f ca="1">IFERROR(__xludf.dummyfunction("VLOOKUP(L48, IMPORTRANGE(""https://docs.google.com/spreadsheets/d/1yDAaXNsi4Mr5FtRQL4tbmSdIzhx6_m4wkOD7IG-k_eo/edit#gid=0"", ""Maths!M:N""), 2, FALSE)"),"Interpret the concept of multiplying a proper fraction by various types of fractions with examples.")</f>
        <v>Interpret the concept of multiplying a proper fraction by various types of fractions with examples.</v>
      </c>
      <c r="N48" s="29" t="str">
        <f t="shared" si="8"/>
        <v>LU001008.003</v>
      </c>
      <c r="O48" s="29" t="str">
        <f ca="1">IFERROR(__xludf.dummyfunction("VLOOKUP(N48, IMPORTRANGE(""https://docs.google.com/spreadsheets/d/1yDAaXNsi4Mr5FtRQL4tbmSdIzhx6_m4wkOD7IG-k_eo/edit#gid=0"", ""Maths!M:N""), 2, FALSE)"),"Execute multiplication problems involving a proper fraction and another fraction (proper, improper, or mixed).")</f>
        <v>Execute multiplication problems involving a proper fraction and another fraction (proper, improper, or mixed).</v>
      </c>
      <c r="P48" s="29" t="str">
        <f t="shared" si="9"/>
        <v>LU001008.004</v>
      </c>
      <c r="Q48" s="29" t="str">
        <f ca="1">IFERROR(__xludf.dummyfunction("VLOOKUP(P48, IMPORTRANGE(""https://docs.google.com/spreadsheets/d/1yDAaXNsi4Mr5FtRQL4tbmSdIzhx6_m4wkOD7IG-k_eo/edit#gid=0"", ""Maths!M:N""), 2, FALSE)"),"Examine and differentiate between correctly and incorrectly solved examples of multiplying a proper fraction by another fraction.")</f>
        <v>Examine and differentiate between correctly and incorrectly solved examples of multiplying a proper fraction by another fraction.</v>
      </c>
      <c r="R48" s="29" t="str">
        <f t="shared" si="10"/>
        <v>LU001008.005</v>
      </c>
      <c r="S48" s="29" t="str">
        <f ca="1">IFERROR(__xludf.dummyfunction("VLOOKUP(R48, IMPORTRANGE(""https://docs.google.com/spreadsheets/d/1yDAaXNsi4Mr5FtRQL4tbmSdIzhx6_m4wkOD7IG-k_eo/edit#gid=0"", ""Maths!M:N""), 2, FALSE)"),"Critique solutions to problems that involve multiplying a proper fraction by another fraction, explaining the rationale behind correct and incorrect methods.")</f>
        <v>Critique solutions to problems that involve multiplying a proper fraction by another fraction, explaining the rationale behind correct and incorrect methods.</v>
      </c>
      <c r="T48" s="29" t="str">
        <f t="shared" si="11"/>
        <v>LU001008.006</v>
      </c>
      <c r="U48" s="29" t="str">
        <f ca="1">IFERROR(__xludf.dummyfunction("VLOOKUP(T48, IMPORTRANGE(""https://docs.google.com/spreadsheets/d/1yDAaXNsi4Mr5FtRQL4tbmSdIzhx6_m4wkOD7IG-k_eo/edit#gid=0"", ""Maths!M:N""), 2, FALSE)"),"#N/A")</f>
        <v>#N/A</v>
      </c>
      <c r="V48" s="16">
        <f ca="1">IFERROR(__xludf.dummyfunction("ArrayFormula(VLOOKUP(G48, IMPORTRANGE(""https://docs.google.com/spreadsheets/d/1p7R4vtkWt5VOBim4ltsDG9KTzSjrtKXsMtQGXPHyND0/edit#gid=795171502"", ""'Filter 30_05_2024'!A1:M2000""), {2, 3, 4, 5,6,7,8,9,10,11,12,13}, 0))"),4)</f>
        <v>4</v>
      </c>
      <c r="W48" s="16">
        <f ca="1">IFERROR(__xludf.dummyfunction("""COMPUTED_VALUE"""),6)</f>
        <v>6</v>
      </c>
      <c r="X48" s="16"/>
      <c r="Y48" s="16">
        <f ca="1">IFERROR(__xludf.dummyfunction("""COMPUTED_VALUE"""),10)</f>
        <v>10</v>
      </c>
      <c r="Z48" s="16">
        <f ca="1">IFERROR(__xludf.dummyfunction("""COMPUTED_VALUE"""),4)</f>
        <v>4</v>
      </c>
      <c r="AA48" s="30">
        <f ca="1">IFERROR(__xludf.dummyfunction("""COMPUTED_VALUE"""),3)</f>
        <v>3</v>
      </c>
      <c r="AB48" s="30">
        <f ca="1">IFERROR(__xludf.dummyfunction("""COMPUTED_VALUE"""),1)</f>
        <v>1</v>
      </c>
      <c r="AC48" s="30">
        <f ca="1">IFERROR(__xludf.dummyfunction("""COMPUTED_VALUE"""),8)</f>
        <v>8</v>
      </c>
      <c r="AD48" s="16"/>
      <c r="AE48" s="30"/>
      <c r="AF48" s="30"/>
      <c r="AG48" s="30"/>
    </row>
    <row r="49" spans="1:33" ht="26.4">
      <c r="A49" s="25"/>
      <c r="B49" s="25" t="s">
        <v>29</v>
      </c>
      <c r="C49" s="25" t="s">
        <v>310</v>
      </c>
      <c r="D49" s="25">
        <v>7</v>
      </c>
      <c r="E49" s="70" t="s">
        <v>819</v>
      </c>
      <c r="F49" s="70"/>
      <c r="G49" s="71" t="s">
        <v>828</v>
      </c>
      <c r="H49" s="72" t="str">
        <f ca="1">IFERROR(__xludf.dummyfunction("IFERROR(
  VLOOKUP(G49, IMPORTRANGE(""https://docs.google.com/spreadsheets/d/14deopnvwcrKtEGCKuYXdUHJbeLDZlkiSSWWT0g7x2pM/edit#gid=849066331"", ""LU List Maths (Filter)!A:B""), 2, FALSE),
  IFERROR(
    VLOOKUP(G49, IMPORTRANGE(""https://docs.google.com/s"&amp;"preadsheets/d/14deopnvwcrKtEGCKuYXdUHJbeLDZlkiSSWWT0g7x2pM/edit#gid=849066331"", ""LU List Science (Filter)!A:B""), 2, FALSE),
    ""Not Found""
  )
)
"),"Multiplication of an improper fraction by another fraction(proper, improper and mixed)")</f>
        <v>Multiplication of an improper fraction by another fraction(proper, improper and mixed)</v>
      </c>
      <c r="I49" s="64"/>
      <c r="J49" s="29" t="str">
        <f t="shared" si="6"/>
        <v>LU001009.001</v>
      </c>
      <c r="K49" s="29" t="str">
        <f ca="1">IFERROR(__xludf.dummyfunction("VLOOKUP(J49, IMPORTRANGE(""https://docs.google.com/spreadsheets/d/1yDAaXNsi4Mr5FtRQL4tbmSdIzhx6_m4wkOD7IG-k_eo/edit#gid=0"", ""Maths!M:N""), 2, FALSE)"),"Outline steps for multiplying an improper fraction by various fractions.")</f>
        <v>Outline steps for multiplying an improper fraction by various fractions.</v>
      </c>
      <c r="L49" s="29" t="str">
        <f t="shared" si="7"/>
        <v>LU001009.002</v>
      </c>
      <c r="M49" s="29" t="str">
        <f ca="1">IFERROR(__xludf.dummyfunction("VLOOKUP(L49, IMPORTRANGE(""https://docs.google.com/spreadsheets/d/1yDAaXNsi4Mr5FtRQL4tbmSdIzhx6_m4wkOD7IG-k_eo/edit#gid=0"", ""Maths!M:N""), 2, FALSE)"),"Summarize the multiplication of an improper fraction by different fraction types.")</f>
        <v>Summarize the multiplication of an improper fraction by different fraction types.</v>
      </c>
      <c r="N49" s="29" t="str">
        <f t="shared" si="8"/>
        <v>LU001009.003</v>
      </c>
      <c r="O49" s="29" t="str">
        <f ca="1">IFERROR(__xludf.dummyfunction("VLOOKUP(N49, IMPORTRANGE(""https://docs.google.com/spreadsheets/d/1yDAaXNsi4Mr5FtRQL4tbmSdIzhx6_m4wkOD7IG-k_eo/edit#gid=0"", ""Maths!M:N""), 2, FALSE)"),"Compute products of an improper fraction with proper, improper, and mixed fractions.")</f>
        <v>Compute products of an improper fraction with proper, improper, and mixed fractions.</v>
      </c>
      <c r="P49" s="29" t="str">
        <f t="shared" si="9"/>
        <v>LU001009.004</v>
      </c>
      <c r="Q49" s="29" t="str">
        <f ca="1">IFERROR(__xludf.dummyfunction("VLOOKUP(P49, IMPORTRANGE(""https://docs.google.com/spreadsheets/d/1yDAaXNsi4Mr5FtRQL4tbmSdIzhx6_m4wkOD7IG-k_eo/edit#gid=0"", ""Maths!M:N""), 2, FALSE)"),"Differentiate correct and incorrect multiplication methods of improper fractions with others.")</f>
        <v>Differentiate correct and incorrect multiplication methods of improper fractions with others.</v>
      </c>
      <c r="R49" s="29" t="str">
        <f t="shared" si="10"/>
        <v>LU001009.005</v>
      </c>
      <c r="S49" s="29" t="str">
        <f ca="1">IFERROR(__xludf.dummyfunction("VLOOKUP(R49, IMPORTRANGE(""https://docs.google.com/spreadsheets/d/1yDAaXNsi4Mr5FtRQL4tbmSdIzhx6_m4wkOD7IG-k_eo/edit#gid=0"", ""Maths!M:N""), 2, FALSE)"),"Assess the accuracy of multiplication solutions involving improper and other fractions.")</f>
        <v>Assess the accuracy of multiplication solutions involving improper and other fractions.</v>
      </c>
      <c r="T49" s="29" t="str">
        <f t="shared" si="11"/>
        <v>LU001009.006</v>
      </c>
      <c r="U49" s="29" t="str">
        <f ca="1">IFERROR(__xludf.dummyfunction("VLOOKUP(T49, IMPORTRANGE(""https://docs.google.com/spreadsheets/d/1yDAaXNsi4Mr5FtRQL4tbmSdIzhx6_m4wkOD7IG-k_eo/edit#gid=0"", ""Maths!M:N""), 2, FALSE)"),"#N/A")</f>
        <v>#N/A</v>
      </c>
      <c r="V49" s="16">
        <f ca="1">IFERROR(__xludf.dummyfunction("ArrayFormula(VLOOKUP(G49, IMPORTRANGE(""https://docs.google.com/spreadsheets/d/1p7R4vtkWt5VOBim4ltsDG9KTzSjrtKXsMtQGXPHyND0/edit#gid=795171502"", ""'Filter 30_05_2024'!A1:M2000""), {2, 3, 4, 5,6,7,8,9,10,11,12,13}, 0))"),4)</f>
        <v>4</v>
      </c>
      <c r="W49" s="16">
        <f ca="1">IFERROR(__xludf.dummyfunction("""COMPUTED_VALUE"""),8)</f>
        <v>8</v>
      </c>
      <c r="X49" s="16">
        <f ca="1">IFERROR(__xludf.dummyfunction("""COMPUTED_VALUE"""),2)</f>
        <v>2</v>
      </c>
      <c r="Y49" s="16">
        <f ca="1">IFERROR(__xludf.dummyfunction("""COMPUTED_VALUE"""),14)</f>
        <v>14</v>
      </c>
      <c r="Z49" s="16">
        <f ca="1">IFERROR(__xludf.dummyfunction("""COMPUTED_VALUE"""),4)</f>
        <v>4</v>
      </c>
      <c r="AA49" s="30">
        <f ca="1">IFERROR(__xludf.dummyfunction("""COMPUTED_VALUE"""),4)</f>
        <v>4</v>
      </c>
      <c r="AB49" s="30">
        <f ca="1">IFERROR(__xludf.dummyfunction("""COMPUTED_VALUE"""),1)</f>
        <v>1</v>
      </c>
      <c r="AC49" s="30">
        <f ca="1">IFERROR(__xludf.dummyfunction("""COMPUTED_VALUE"""),9)</f>
        <v>9</v>
      </c>
      <c r="AD49" s="16"/>
      <c r="AE49" s="30"/>
      <c r="AF49" s="30"/>
      <c r="AG49" s="30"/>
    </row>
    <row r="50" spans="1:33" ht="26.4">
      <c r="A50" s="25"/>
      <c r="B50" s="25" t="s">
        <v>29</v>
      </c>
      <c r="C50" s="25" t="s">
        <v>310</v>
      </c>
      <c r="D50" s="25">
        <v>7</v>
      </c>
      <c r="E50" s="70" t="s">
        <v>819</v>
      </c>
      <c r="F50" s="70"/>
      <c r="G50" s="71" t="s">
        <v>829</v>
      </c>
      <c r="H50" s="72" t="str">
        <f ca="1">IFERROR(__xludf.dummyfunction("IFERROR(
  VLOOKUP(G50, IMPORTRANGE(""https://docs.google.com/spreadsheets/d/14deopnvwcrKtEGCKuYXdUHJbeLDZlkiSSWWT0g7x2pM/edit#gid=849066331"", ""LU List Maths (Filter)!A:B""), 2, FALSE),
  IFERROR(
    VLOOKUP(G50, IMPORTRANGE(""https://docs.google.com/s"&amp;"preadsheets/d/14deopnvwcrKtEGCKuYXdUHJbeLDZlkiSSWWT0g7x2pM/edit#gid=849066331"", ""LU List Science (Filter)!A:B""), 2, FALSE),
    ""Not Found""
  )
)
"),"Multiplication of a mixed fraction by another fraction(proper, improper and mixed)")</f>
        <v>Multiplication of a mixed fraction by another fraction(proper, improper and mixed)</v>
      </c>
      <c r="I50" s="64"/>
      <c r="J50" s="29" t="str">
        <f t="shared" si="6"/>
        <v>LU001010.001</v>
      </c>
      <c r="K50" s="29" t="str">
        <f ca="1">IFERROR(__xludf.dummyfunction("VLOOKUP(J50, IMPORTRANGE(""https://docs.google.com/spreadsheets/d/1yDAaXNsi4Mr5FtRQL4tbmSdIzhx6_m4wkOD7IG-k_eo/edit#gid=0"", ""Maths!M:N""), 2, FALSE)"),"Identify the process for multiplying a mixed fraction by different types of fractions.")</f>
        <v>Identify the process for multiplying a mixed fraction by different types of fractions.</v>
      </c>
      <c r="L50" s="29" t="str">
        <f t="shared" si="7"/>
        <v>LU001010.002</v>
      </c>
      <c r="M50" s="29" t="str">
        <f ca="1">IFERROR(__xludf.dummyfunction("VLOOKUP(L50, IMPORTRANGE(""https://docs.google.com/spreadsheets/d/1yDAaXNsi4Mr5FtRQL4tbmSdIzhx6_m4wkOD7IG-k_eo/edit#gid=0"", ""Maths!M:N""), 2, FALSE)"),"Explain the multiplication of a mixed fraction with various fractions using examples.")</f>
        <v>Explain the multiplication of a mixed fraction with various fractions using examples.</v>
      </c>
      <c r="N50" s="29" t="str">
        <f t="shared" si="8"/>
        <v>LU001010.003</v>
      </c>
      <c r="O50" s="29" t="str">
        <f ca="1">IFERROR(__xludf.dummyfunction("VLOOKUP(N50, IMPORTRANGE(""https://docs.google.com/spreadsheets/d/1yDAaXNsi4Mr5FtRQL4tbmSdIzhx6_m4wkOD7IG-k_eo/edit#gid=0"", ""Maths!M:N""), 2, FALSE)"),"Calculate the product of mixed fractions with proper, improper, and mixed fractions.")</f>
        <v>Calculate the product of mixed fractions with proper, improper, and mixed fractions.</v>
      </c>
      <c r="P50" s="29" t="str">
        <f t="shared" si="9"/>
        <v>LU001010.004</v>
      </c>
      <c r="Q50" s="29" t="str">
        <f ca="1">IFERROR(__xludf.dummyfunction("VLOOKUP(P50, IMPORTRANGE(""https://docs.google.com/spreadsheets/d/1yDAaXNsi4Mr5FtRQL4tbmSdIzhx6_m4wkOD7IG-k_eo/edit#gid=0"", ""Maths!M:N""), 2, FALSE)"),"Evaluate solutions to distinguish correct from incorrect multiplication of mixed fractions with others.")</f>
        <v>Evaluate solutions to distinguish correct from incorrect multiplication of mixed fractions with others.</v>
      </c>
      <c r="R50" s="29" t="str">
        <f t="shared" si="10"/>
        <v>LU001010.005</v>
      </c>
      <c r="S50" s="29" t="str">
        <f ca="1">IFERROR(__xludf.dummyfunction("VLOOKUP(R50, IMPORTRANGE(""https://docs.google.com/spreadsheets/d/1yDAaXNsi4Mr5FtRQL4tbmSdIzhx6_m4wkOD7IG-k_eo/edit#gid=0"", ""Maths!M:N""), 2, FALSE)"),"Judge the accuracy of solutions in multiplying mixed fractions by other fractions.")</f>
        <v>Judge the accuracy of solutions in multiplying mixed fractions by other fractions.</v>
      </c>
      <c r="T50" s="29" t="str">
        <f t="shared" si="11"/>
        <v>LU001010.006</v>
      </c>
      <c r="U50" s="29" t="str">
        <f ca="1">IFERROR(__xludf.dummyfunction("VLOOKUP(T50, IMPORTRANGE(""https://docs.google.com/spreadsheets/d/1yDAaXNsi4Mr5FtRQL4tbmSdIzhx6_m4wkOD7IG-k_eo/edit#gid=0"", ""Maths!M:N""), 2, FALSE)"),"#N/A")</f>
        <v>#N/A</v>
      </c>
      <c r="V50" s="16">
        <f ca="1">IFERROR(__xludf.dummyfunction("ArrayFormula(VLOOKUP(G50, IMPORTRANGE(""https://docs.google.com/spreadsheets/d/1p7R4vtkWt5VOBim4ltsDG9KTzSjrtKXsMtQGXPHyND0/edit#gid=795171502"", ""'Filter 30_05_2024'!A1:M2000""), {2, 3, 4, 5,6,7,8,9,10,11,12,13}, 0))"),4)</f>
        <v>4</v>
      </c>
      <c r="W50" s="16">
        <f ca="1">IFERROR(__xludf.dummyfunction("""COMPUTED_VALUE"""),5)</f>
        <v>5</v>
      </c>
      <c r="X50" s="16">
        <f ca="1">IFERROR(__xludf.dummyfunction("""COMPUTED_VALUE"""),2)</f>
        <v>2</v>
      </c>
      <c r="Y50" s="16">
        <f ca="1">IFERROR(__xludf.dummyfunction("""COMPUTED_VALUE"""),11)</f>
        <v>11</v>
      </c>
      <c r="Z50" s="16">
        <f ca="1">IFERROR(__xludf.dummyfunction("""COMPUTED_VALUE"""),4)</f>
        <v>4</v>
      </c>
      <c r="AA50" s="30">
        <f ca="1">IFERROR(__xludf.dummyfunction("""COMPUTED_VALUE"""),5)</f>
        <v>5</v>
      </c>
      <c r="AB50" s="30">
        <f ca="1">IFERROR(__xludf.dummyfunction("""COMPUTED_VALUE"""),1)</f>
        <v>1</v>
      </c>
      <c r="AC50" s="30">
        <f ca="1">IFERROR(__xludf.dummyfunction("""COMPUTED_VALUE"""),10)</f>
        <v>10</v>
      </c>
      <c r="AD50" s="16"/>
      <c r="AE50" s="30"/>
      <c r="AF50" s="30"/>
      <c r="AG50" s="30"/>
    </row>
    <row r="51" spans="1:33" ht="26.4">
      <c r="A51" s="25"/>
      <c r="B51" s="25" t="s">
        <v>29</v>
      </c>
      <c r="C51" s="25" t="s">
        <v>310</v>
      </c>
      <c r="D51" s="25">
        <v>7</v>
      </c>
      <c r="E51" s="70" t="s">
        <v>819</v>
      </c>
      <c r="F51" s="70"/>
      <c r="G51" s="71" t="s">
        <v>830</v>
      </c>
      <c r="H51" s="72" t="str">
        <f ca="1">IFERROR(__xludf.dummyfunction("IFERROR(
  VLOOKUP(G51, IMPORTRANGE(""https://docs.google.com/spreadsheets/d/14deopnvwcrKtEGCKuYXdUHJbeLDZlkiSSWWT0g7x2pM/edit#gid=849066331"", ""LU List Maths (Filter)!A:B""), 2, FALSE),
  IFERROR(
    VLOOKUP(G51, IMPORTRANGE(""https://docs.google.com/s"&amp;"preadsheets/d/14deopnvwcrKtEGCKuYXdUHJbeLDZlkiSSWWT0g7x2pM/edit#gid=849066331"", ""LU List Science (Filter)!A:B""), 2, FALSE),
    ""Not Found""
  )
)
"),"Comparison of the product value of the fractions with the original fractions")</f>
        <v>Comparison of the product value of the fractions with the original fractions</v>
      </c>
      <c r="I51" s="64"/>
      <c r="J51" s="29" t="str">
        <f t="shared" si="6"/>
        <v>LU000368.001</v>
      </c>
      <c r="K51" s="29" t="str">
        <f ca="1">IFERROR(__xludf.dummyfunction("VLOOKUP(J51, IMPORTRANGE(""https://docs.google.com/spreadsheets/d/1yDAaXNsi4Mr5FtRQL4tbmSdIzhx6_m4wkOD7IG-k_eo/edit#gid=0"", ""Maths!M:N""), 2, FALSE)"),"Recall that the product of two proper fractions is smaller than each fraction.")</f>
        <v>Recall that the product of two proper fractions is smaller than each fraction.</v>
      </c>
      <c r="L51" s="29" t="str">
        <f t="shared" si="7"/>
        <v>LU000368.002</v>
      </c>
      <c r="M51" s="29" t="str">
        <f ca="1">IFERROR(__xludf.dummyfunction("VLOOKUP(L51, IMPORTRANGE(""https://docs.google.com/spreadsheets/d/1yDAaXNsi4Mr5FtRQL4tbmSdIzhx6_m4wkOD7IG-k_eo/edit#gid=0"", ""Maths!M:N""), 2, FALSE)"),"Explain the relationships between product value and fractions for different cases.")</f>
        <v>Explain the relationships between product value and fractions for different cases.</v>
      </c>
      <c r="N51" s="29" t="str">
        <f t="shared" si="8"/>
        <v>LU000368.003</v>
      </c>
      <c r="O51" s="29" t="str">
        <f ca="1">IFERROR(__xludf.dummyfunction("VLOOKUP(N51, IMPORTRANGE(""https://docs.google.com/spreadsheets/d/1yDAaXNsi4Mr5FtRQL4tbmSdIzhx6_m4wkOD7IG-k_eo/edit#gid=0"", ""Maths!M:N""), 2, FALSE)"),"Apply fraction multiplication to determine product values for comparison.")</f>
        <v>Apply fraction multiplication to determine product values for comparison.</v>
      </c>
      <c r="P51" s="29" t="str">
        <f t="shared" si="9"/>
        <v>LU000368.004</v>
      </c>
      <c r="Q51" s="29" t="str">
        <f ca="1">IFERROR(__xludf.dummyfunction("VLOOKUP(P51, IMPORTRANGE(""https://docs.google.com/spreadsheets/d/1yDAaXNsi4Mr5FtRQL4tbmSdIzhx6_m4wkOD7IG-k_eo/edit#gid=0"", ""Maths!M:N""), 2, FALSE)"),"Analyse the conditions under which product values are smaller or larger than fractions.")</f>
        <v>Analyse the conditions under which product values are smaller or larger than fractions.</v>
      </c>
      <c r="R51" s="29" t="str">
        <f t="shared" si="10"/>
        <v>LU000368.005</v>
      </c>
      <c r="S51" s="29" t="str">
        <f ca="1">IFERROR(__xludf.dummyfunction("VLOOKUP(R51, IMPORTRANGE(""https://docs.google.com/spreadsheets/d/1yDAaXNsi4Mr5FtRQL4tbmSdIzhx6_m4wkOD7IG-k_eo/edit#gid=0"", ""Maths!M:N""), 2, FALSE)"),"Evaluate the accuracy of statements about fraction product comparisons.")</f>
        <v>Evaluate the accuracy of statements about fraction product comparisons.</v>
      </c>
      <c r="T51" s="29" t="str">
        <f t="shared" si="11"/>
        <v>LU000368.006</v>
      </c>
      <c r="U51" s="29" t="str">
        <f ca="1">IFERROR(__xludf.dummyfunction("VLOOKUP(T51, IMPORTRANGE(""https://docs.google.com/spreadsheets/d/1yDAaXNsi4Mr5FtRQL4tbmSdIzhx6_m4wkOD7IG-k_eo/edit#gid=0"", ""Maths!M:N""), 2, FALSE)"),"#N/A")</f>
        <v>#N/A</v>
      </c>
      <c r="V51" s="16">
        <f ca="1">IFERROR(__xludf.dummyfunction("ArrayFormula(VLOOKUP(G51, IMPORTRANGE(""https://docs.google.com/spreadsheets/d/1p7R4vtkWt5VOBim4ltsDG9KTzSjrtKXsMtQGXPHyND0/edit#gid=795171502"", ""'Filter 30_05_2024'!A1:M2000""), {2, 3, 4, 5,6,7,8,9,10,11,12,13}, 0))"),3)</f>
        <v>3</v>
      </c>
      <c r="W51" s="16">
        <f ca="1">IFERROR(__xludf.dummyfunction("""COMPUTED_VALUE"""),4)</f>
        <v>4</v>
      </c>
      <c r="X51" s="16">
        <f ca="1">IFERROR(__xludf.dummyfunction("""COMPUTED_VALUE"""),2)</f>
        <v>2</v>
      </c>
      <c r="Y51" s="16">
        <f ca="1">IFERROR(__xludf.dummyfunction("""COMPUTED_VALUE"""),9)</f>
        <v>9</v>
      </c>
      <c r="Z51" s="16">
        <f ca="1">IFERROR(__xludf.dummyfunction("""COMPUTED_VALUE"""),4)</f>
        <v>4</v>
      </c>
      <c r="AA51" s="30">
        <f ca="1">IFERROR(__xludf.dummyfunction("""COMPUTED_VALUE"""),6)</f>
        <v>6</v>
      </c>
      <c r="AB51" s="30">
        <f ca="1">IFERROR(__xludf.dummyfunction("""COMPUTED_VALUE"""),1)</f>
        <v>1</v>
      </c>
      <c r="AC51" s="30">
        <f ca="1">IFERROR(__xludf.dummyfunction("""COMPUTED_VALUE"""),11)</f>
        <v>11</v>
      </c>
      <c r="AD51" s="16"/>
      <c r="AE51" s="30"/>
      <c r="AF51" s="30"/>
      <c r="AG51" s="30"/>
    </row>
    <row r="52" spans="1:33" ht="26.4">
      <c r="A52" s="25"/>
      <c r="B52" s="25" t="s">
        <v>29</v>
      </c>
      <c r="C52" s="25" t="s">
        <v>310</v>
      </c>
      <c r="D52" s="25">
        <v>7</v>
      </c>
      <c r="E52" s="70" t="s">
        <v>819</v>
      </c>
      <c r="F52" s="70" t="s">
        <v>831</v>
      </c>
      <c r="G52" s="71" t="s">
        <v>832</v>
      </c>
      <c r="H52" s="72" t="str">
        <f ca="1">IFERROR(__xludf.dummyfunction("IFERROR(
  VLOOKUP(G52, IMPORTRANGE(""https://docs.google.com/spreadsheets/d/14deopnvwcrKtEGCKuYXdUHJbeLDZlkiSSWWT0g7x2pM/edit#gid=849066331"", ""LU List Maths (Filter)!A:B""), 2, FALSE),
  IFERROR(
    VLOOKUP(G52, IMPORTRANGE(""https://docs.google.com/s"&amp;"preadsheets/d/14deopnvwcrKtEGCKuYXdUHJbeLDZlkiSSWWT0g7x2pM/edit#gid=849066331"", ""LU List Science (Filter)!A:B""), 2, FALSE),
    ""Not Found""
  )
)
"),"Division of a whole number by a proper fraction")</f>
        <v>Division of a whole number by a proper fraction</v>
      </c>
      <c r="I52" s="64"/>
      <c r="J52" s="29" t="str">
        <f t="shared" si="6"/>
        <v>LU001011.001</v>
      </c>
      <c r="K52" s="29" t="str">
        <f ca="1">IFERROR(__xludf.dummyfunction("VLOOKUP(J52, IMPORTRANGE(""https://docs.google.com/spreadsheets/d/1yDAaXNsi4Mr5FtRQL4tbmSdIzhx6_m4wkOD7IG-k_eo/edit#gid=0"", ""Maths!M:N""), 2, FALSE)"),"Recall the method for dividing a whole number by a proper fraction.")</f>
        <v>Recall the method for dividing a whole number by a proper fraction.</v>
      </c>
      <c r="L52" s="29" t="str">
        <f t="shared" si="7"/>
        <v>LU001011.002</v>
      </c>
      <c r="M52" s="29" t="str">
        <f ca="1">IFERROR(__xludf.dummyfunction("VLOOKUP(L52, IMPORTRANGE(""https://docs.google.com/spreadsheets/d/1yDAaXNsi4Mr5FtRQL4tbmSdIzhx6_m4wkOD7IG-k_eo/edit#gid=0"", ""Maths!M:N""), 2, FALSE)"),"Interpret the process of dividing a whole number by a proper fraction.")</f>
        <v>Interpret the process of dividing a whole number by a proper fraction.</v>
      </c>
      <c r="N52" s="29" t="str">
        <f t="shared" si="8"/>
        <v>LU001011.003</v>
      </c>
      <c r="O52" s="29" t="str">
        <f ca="1">IFERROR(__xludf.dummyfunction("VLOOKUP(N52, IMPORTRANGE(""https://docs.google.com/spreadsheets/d/1yDAaXNsi4Mr5FtRQL4tbmSdIzhx6_m4wkOD7IG-k_eo/edit#gid=0"", ""Maths!M:N""), 2, FALSE)"),"Solve division problems involving a whole number and a proper fraction.")</f>
        <v>Solve division problems involving a whole number and a proper fraction.</v>
      </c>
      <c r="P52" s="29" t="str">
        <f t="shared" si="9"/>
        <v>LU001011.004</v>
      </c>
      <c r="Q52" s="29" t="str">
        <f ca="1">IFERROR(__xludf.dummyfunction("VLOOKUP(P52, IMPORTRANGE(""https://docs.google.com/spreadsheets/d/1yDAaXNsi4Mr5FtRQL4tbmSdIzhx6_m4wkOD7IG-k_eo/edit#gid=0"", ""Maths!M:N""), 2, FALSE)"),"Differentiate between correctly and incorrectly solved problems of dividing a whole number by a proper fraction.")</f>
        <v>Differentiate between correctly and incorrectly solved problems of dividing a whole number by a proper fraction.</v>
      </c>
      <c r="R52" s="29" t="str">
        <f t="shared" si="10"/>
        <v>LU001011.005</v>
      </c>
      <c r="S52" s="29" t="str">
        <f ca="1">IFERROR(__xludf.dummyfunction("VLOOKUP(R52, IMPORTRANGE(""https://docs.google.com/spreadsheets/d/1yDAaXNsi4Mr5FtRQL4tbmSdIzhx6_m4wkOD7IG-k_eo/edit#gid=0"", ""Maths!M:N""), 2, FALSE)"),"Critically review and assess the solutions to division problems involving a whole number and a proper fraction.")</f>
        <v>Critically review and assess the solutions to division problems involving a whole number and a proper fraction.</v>
      </c>
      <c r="T52" s="29" t="str">
        <f t="shared" si="11"/>
        <v>LU001011.006</v>
      </c>
      <c r="U52" s="29" t="str">
        <f ca="1">IFERROR(__xludf.dummyfunction("VLOOKUP(T52, IMPORTRANGE(""https://docs.google.com/spreadsheets/d/1yDAaXNsi4Mr5FtRQL4tbmSdIzhx6_m4wkOD7IG-k_eo/edit#gid=0"", ""Maths!M:N""), 2, FALSE)"),"#N/A")</f>
        <v>#N/A</v>
      </c>
      <c r="V52" s="16">
        <f ca="1">IFERROR(__xludf.dummyfunction("ArrayFormula(VLOOKUP(G52, IMPORTRANGE(""https://docs.google.com/spreadsheets/d/1p7R4vtkWt5VOBim4ltsDG9KTzSjrtKXsMtQGXPHyND0/edit#gid=795171502"", ""'Filter 30_05_2024'!A1:M2000""), {2, 3, 4, 5,6,7,8,9,10,11,12,13}, 0))"),5)</f>
        <v>5</v>
      </c>
      <c r="W52" s="16">
        <f ca="1">IFERROR(__xludf.dummyfunction("""COMPUTED_VALUE"""),6)</f>
        <v>6</v>
      </c>
      <c r="X52" s="16">
        <f ca="1">IFERROR(__xludf.dummyfunction("""COMPUTED_VALUE"""),5)</f>
        <v>5</v>
      </c>
      <c r="Y52" s="16">
        <f ca="1">IFERROR(__xludf.dummyfunction("""COMPUTED_VALUE"""),16)</f>
        <v>16</v>
      </c>
      <c r="Z52" s="16">
        <f ca="1">IFERROR(__xludf.dummyfunction("""COMPUTED_VALUE"""),4)</f>
        <v>4</v>
      </c>
      <c r="AA52" s="30">
        <f ca="1">IFERROR(__xludf.dummyfunction("""COMPUTED_VALUE"""),6)</f>
        <v>6</v>
      </c>
      <c r="AB52" s="30">
        <f ca="1">IFERROR(__xludf.dummyfunction("""COMPUTED_VALUE"""),1)</f>
        <v>1</v>
      </c>
      <c r="AC52" s="30">
        <f ca="1">IFERROR(__xludf.dummyfunction("""COMPUTED_VALUE"""),11)</f>
        <v>11</v>
      </c>
      <c r="AD52" s="16"/>
      <c r="AE52" s="30"/>
      <c r="AF52" s="30"/>
      <c r="AG52" s="30"/>
    </row>
    <row r="53" spans="1:33" ht="26.4">
      <c r="A53" s="25"/>
      <c r="B53" s="25" t="s">
        <v>29</v>
      </c>
      <c r="C53" s="25" t="s">
        <v>310</v>
      </c>
      <c r="D53" s="25">
        <v>7</v>
      </c>
      <c r="E53" s="70" t="s">
        <v>819</v>
      </c>
      <c r="F53" s="70"/>
      <c r="G53" s="71" t="s">
        <v>833</v>
      </c>
      <c r="H53" s="72" t="str">
        <f ca="1">IFERROR(__xludf.dummyfunction("IFERROR(
  VLOOKUP(G53, IMPORTRANGE(""https://docs.google.com/spreadsheets/d/14deopnvwcrKtEGCKuYXdUHJbeLDZlkiSSWWT0g7x2pM/edit#gid=849066331"", ""LU List Maths (Filter)!A:B""), 2, FALSE),
  IFERROR(
    VLOOKUP(G53, IMPORTRANGE(""https://docs.google.com/s"&amp;"preadsheets/d/14deopnvwcrKtEGCKuYXdUHJbeLDZlkiSSWWT0g7x2pM/edit#gid=849066331"", ""LU List Science (Filter)!A:B""), 2, FALSE),
    ""Not Found""
  )
)
"),"Division of a whole number by an improper fraction")</f>
        <v>Division of a whole number by an improper fraction</v>
      </c>
      <c r="I53" s="64"/>
      <c r="J53" s="29" t="str">
        <f t="shared" si="6"/>
        <v>LU001012.001</v>
      </c>
      <c r="K53" s="29" t="str">
        <f ca="1">IFERROR(__xludf.dummyfunction("VLOOKUP(J53, IMPORTRANGE(""https://docs.google.com/spreadsheets/d/1yDAaXNsi4Mr5FtRQL4tbmSdIzhx6_m4wkOD7IG-k_eo/edit#gid=0"", ""Maths!M:N""), 2, FALSE)"),"State the steps for dividing a whole number by an improper fraction.")</f>
        <v>State the steps for dividing a whole number by an improper fraction.</v>
      </c>
      <c r="L53" s="29" t="str">
        <f t="shared" si="7"/>
        <v>LU001012.002</v>
      </c>
      <c r="M53" s="29" t="str">
        <f ca="1">IFERROR(__xludf.dummyfunction("VLOOKUP(L53, IMPORTRANGE(""https://docs.google.com/spreadsheets/d/1yDAaXNsi4Mr5FtRQL4tbmSdIzhx6_m4wkOD7IG-k_eo/edit#gid=0"", ""Maths!M:N""), 2, FALSE)"),"Describe the concept of dividing a whole number by an improper fraction using examples.")</f>
        <v>Describe the concept of dividing a whole number by an improper fraction using examples.</v>
      </c>
      <c r="N53" s="29" t="str">
        <f t="shared" si="8"/>
        <v>LU001012.003</v>
      </c>
      <c r="O53" s="29" t="str">
        <f ca="1">IFERROR(__xludf.dummyfunction("VLOOKUP(N53, IMPORTRANGE(""https://docs.google.com/spreadsheets/d/1yDAaXNsi4Mr5FtRQL4tbmSdIzhx6_m4wkOD7IG-k_eo/edit#gid=0"", ""Maths!M:N""), 2, FALSE)"),"Perform division operations involving a whole number and an improper fraction.")</f>
        <v>Perform division operations involving a whole number and an improper fraction.</v>
      </c>
      <c r="P53" s="29" t="str">
        <f t="shared" si="9"/>
        <v>LU001012.004</v>
      </c>
      <c r="Q53" s="29" t="str">
        <f ca="1">IFERROR(__xludf.dummyfunction("VLOOKUP(P53, IMPORTRANGE(""https://docs.google.com/spreadsheets/d/1yDAaXNsi4Mr5FtRQL4tbmSdIzhx6_m4wkOD7IG-k_eo/edit#gid=0"", ""Maths!M:N""), 2, FALSE)"),"Examine and distinguish correct and incorrect methods in division problems of a whole number by an improper fraction.")</f>
        <v>Examine and distinguish correct and incorrect methods in division problems of a whole number by an improper fraction.</v>
      </c>
      <c r="R53" s="29" t="str">
        <f t="shared" si="10"/>
        <v>LU001012.005</v>
      </c>
      <c r="S53" s="29" t="str">
        <f ca="1">IFERROR(__xludf.dummyfunction("VLOOKUP(R53, IMPORTRANGE(""https://docs.google.com/spreadsheets/d/1yDAaXNsi4Mr5FtRQL4tbmSdIzhx6_m4wkOD7IG-k_eo/edit#gid=0"", ""Maths!M:N""), 2, FALSE)"),"Evaluate the correctness of solutions in dividing a whole number by an improper fraction.")</f>
        <v>Evaluate the correctness of solutions in dividing a whole number by an improper fraction.</v>
      </c>
      <c r="T53" s="29" t="str">
        <f t="shared" si="11"/>
        <v>LU001012.006</v>
      </c>
      <c r="U53" s="29" t="str">
        <f ca="1">IFERROR(__xludf.dummyfunction("VLOOKUP(T53, IMPORTRANGE(""https://docs.google.com/spreadsheets/d/1yDAaXNsi4Mr5FtRQL4tbmSdIzhx6_m4wkOD7IG-k_eo/edit#gid=0"", ""Maths!M:N""), 2, FALSE)"),"#N/A")</f>
        <v>#N/A</v>
      </c>
      <c r="V53" s="16">
        <f ca="1">IFERROR(__xludf.dummyfunction("ArrayFormula(VLOOKUP(G53, IMPORTRANGE(""https://docs.google.com/spreadsheets/d/1p7R4vtkWt5VOBim4ltsDG9KTzSjrtKXsMtQGXPHyND0/edit#gid=795171502"", ""'Filter 30_05_2024'!A1:M2000""), {2, 3, 4, 5,6,7,8,9,10,11,12,13}, 0))"),4)</f>
        <v>4</v>
      </c>
      <c r="W53" s="16">
        <f ca="1">IFERROR(__xludf.dummyfunction("""COMPUTED_VALUE"""),6)</f>
        <v>6</v>
      </c>
      <c r="X53" s="16">
        <f ca="1">IFERROR(__xludf.dummyfunction("""COMPUTED_VALUE"""),2)</f>
        <v>2</v>
      </c>
      <c r="Y53" s="16">
        <f ca="1">IFERROR(__xludf.dummyfunction("""COMPUTED_VALUE"""),12)</f>
        <v>12</v>
      </c>
      <c r="Z53" s="16">
        <f ca="1">IFERROR(__xludf.dummyfunction("""COMPUTED_VALUE"""),4)</f>
        <v>4</v>
      </c>
      <c r="AA53" s="30">
        <f ca="1">IFERROR(__xludf.dummyfunction("""COMPUTED_VALUE"""),3)</f>
        <v>3</v>
      </c>
      <c r="AB53" s="30">
        <f ca="1">IFERROR(__xludf.dummyfunction("""COMPUTED_VALUE"""),1)</f>
        <v>1</v>
      </c>
      <c r="AC53" s="30">
        <f ca="1">IFERROR(__xludf.dummyfunction("""COMPUTED_VALUE"""),8)</f>
        <v>8</v>
      </c>
      <c r="AD53" s="16"/>
      <c r="AE53" s="30"/>
      <c r="AF53" s="30"/>
      <c r="AG53" s="30"/>
    </row>
    <row r="54" spans="1:33" ht="26.4">
      <c r="A54" s="25"/>
      <c r="B54" s="25" t="s">
        <v>29</v>
      </c>
      <c r="C54" s="25" t="s">
        <v>310</v>
      </c>
      <c r="D54" s="25">
        <v>7</v>
      </c>
      <c r="E54" s="70" t="s">
        <v>819</v>
      </c>
      <c r="F54" s="70"/>
      <c r="G54" s="71" t="s">
        <v>834</v>
      </c>
      <c r="H54" s="72" t="str">
        <f ca="1">IFERROR(__xludf.dummyfunction("IFERROR(
  VLOOKUP(G54, IMPORTRANGE(""https://docs.google.com/spreadsheets/d/14deopnvwcrKtEGCKuYXdUHJbeLDZlkiSSWWT0g7x2pM/edit#gid=849066331"", ""LU List Maths (Filter)!A:B""), 2, FALSE),
  IFERROR(
    VLOOKUP(G54, IMPORTRANGE(""https://docs.google.com/s"&amp;"preadsheets/d/14deopnvwcrKtEGCKuYXdUHJbeLDZlkiSSWWT0g7x2pM/edit#gid=849066331"", ""LU List Science (Filter)!A:B""), 2, FALSE),
    ""Not Found""
  )
)
"),"Division of a whole number by a mixed fraction")</f>
        <v>Division of a whole number by a mixed fraction</v>
      </c>
      <c r="I54" s="64"/>
      <c r="J54" s="29" t="str">
        <f t="shared" si="6"/>
        <v>LU001013.001</v>
      </c>
      <c r="K54" s="29" t="str">
        <f ca="1">IFERROR(__xludf.dummyfunction("VLOOKUP(J54, IMPORTRANGE(""https://docs.google.com/spreadsheets/d/1yDAaXNsi4Mr5FtRQL4tbmSdIzhx6_m4wkOD7IG-k_eo/edit#gid=0"", ""Maths!M:N""), 2, FALSE)"),"Identify the procedure for dividing a whole number by a mixed fraction.")</f>
        <v>Identify the procedure for dividing a whole number by a mixed fraction.</v>
      </c>
      <c r="L54" s="29" t="str">
        <f t="shared" si="7"/>
        <v>LU001013.002</v>
      </c>
      <c r="M54" s="29" t="str">
        <f ca="1">IFERROR(__xludf.dummyfunction("VLOOKUP(L54, IMPORTRANGE(""https://docs.google.com/spreadsheets/d/1yDAaXNsi4Mr5FtRQL4tbmSdIzhx6_m4wkOD7IG-k_eo/edit#gid=0"", ""Maths!M:N""), 2, FALSE)"),"Explain the process of dividing a whole number by a mixed fraction, using examples.")</f>
        <v>Explain the process of dividing a whole number by a mixed fraction, using examples.</v>
      </c>
      <c r="N54" s="29" t="str">
        <f t="shared" si="8"/>
        <v>LU001013.003</v>
      </c>
      <c r="O54" s="29" t="str">
        <f ca="1">IFERROR(__xludf.dummyfunction("VLOOKUP(N54, IMPORTRANGE(""https://docs.google.com/spreadsheets/d/1yDAaXNsi4Mr5FtRQL4tbmSdIzhx6_m4wkOD7IG-k_eo/edit#gid=0"", ""Maths!M:N""), 2, FALSE)"),"Solve division problems where a whole number is divided by a mixed fraction.")</f>
        <v>Solve division problems where a whole number is divided by a mixed fraction.</v>
      </c>
      <c r="P54" s="29" t="str">
        <f t="shared" si="9"/>
        <v>LU001013.004</v>
      </c>
      <c r="Q54" s="29" t="str">
        <f ca="1">IFERROR(__xludf.dummyfunction("VLOOKUP(P54, IMPORTRANGE(""https://docs.google.com/spreadsheets/d/1yDAaXNsi4Mr5FtRQL4tbmSdIzhx6_m4wkOD7IG-k_eo/edit#gid=0"", ""Maths!M:N""), 2, FALSE)"),"Differentiate correct and incorrect solutions in dividing a whole number by a mixed fraction.")</f>
        <v>Differentiate correct and incorrect solutions in dividing a whole number by a mixed fraction.</v>
      </c>
      <c r="R54" s="29" t="str">
        <f t="shared" si="10"/>
        <v>LU001013.005</v>
      </c>
      <c r="S54" s="29" t="str">
        <f ca="1">IFERROR(__xludf.dummyfunction("VLOOKUP(R54, IMPORTRANGE(""https://docs.google.com/spreadsheets/d/1yDAaXNsi4Mr5FtRQL4tbmSdIzhx6_m4wkOD7IG-k_eo/edit#gid=0"", ""Maths!M:N""), 2, FALSE)"),"Assess and critique solutions to problems involving division of a whole number by a mixed fraction.")</f>
        <v>Assess and critique solutions to problems involving division of a whole number by a mixed fraction.</v>
      </c>
      <c r="T54" s="29" t="str">
        <f t="shared" si="11"/>
        <v>LU001013.006</v>
      </c>
      <c r="U54" s="29" t="str">
        <f ca="1">IFERROR(__xludf.dummyfunction("VLOOKUP(T54, IMPORTRANGE(""https://docs.google.com/spreadsheets/d/1yDAaXNsi4Mr5FtRQL4tbmSdIzhx6_m4wkOD7IG-k_eo/edit#gid=0"", ""Maths!M:N""), 2, FALSE)"),"#N/A")</f>
        <v>#N/A</v>
      </c>
      <c r="V54" s="16">
        <f ca="1">IFERROR(__xludf.dummyfunction("ArrayFormula(VLOOKUP(G54, IMPORTRANGE(""https://docs.google.com/spreadsheets/d/1p7R4vtkWt5VOBim4ltsDG9KTzSjrtKXsMtQGXPHyND0/edit#gid=795171502"", ""'Filter 30_05_2024'!A1:M2000""), {2, 3, 4, 5,6,7,8,9,10,11,12,13}, 0))"),4)</f>
        <v>4</v>
      </c>
      <c r="W54" s="16">
        <f ca="1">IFERROR(__xludf.dummyfunction("""COMPUTED_VALUE"""),5)</f>
        <v>5</v>
      </c>
      <c r="X54" s="16">
        <f ca="1">IFERROR(__xludf.dummyfunction("""COMPUTED_VALUE"""),2)</f>
        <v>2</v>
      </c>
      <c r="Y54" s="16">
        <f ca="1">IFERROR(__xludf.dummyfunction("""COMPUTED_VALUE"""),11)</f>
        <v>11</v>
      </c>
      <c r="Z54" s="16">
        <f ca="1">IFERROR(__xludf.dummyfunction("""COMPUTED_VALUE"""),4)</f>
        <v>4</v>
      </c>
      <c r="AA54" s="30">
        <f ca="1">IFERROR(__xludf.dummyfunction("""COMPUTED_VALUE"""),4)</f>
        <v>4</v>
      </c>
      <c r="AB54" s="30">
        <f ca="1">IFERROR(__xludf.dummyfunction("""COMPUTED_VALUE"""),1)</f>
        <v>1</v>
      </c>
      <c r="AC54" s="30">
        <f ca="1">IFERROR(__xludf.dummyfunction("""COMPUTED_VALUE"""),9)</f>
        <v>9</v>
      </c>
      <c r="AD54" s="16"/>
      <c r="AE54" s="30"/>
      <c r="AF54" s="30"/>
      <c r="AG54" s="30"/>
    </row>
    <row r="55" spans="1:33" ht="26.4">
      <c r="A55" s="25"/>
      <c r="B55" s="25" t="s">
        <v>29</v>
      </c>
      <c r="C55" s="25" t="s">
        <v>310</v>
      </c>
      <c r="D55" s="25">
        <v>7</v>
      </c>
      <c r="E55" s="70" t="s">
        <v>819</v>
      </c>
      <c r="F55" s="70"/>
      <c r="G55" s="71" t="s">
        <v>835</v>
      </c>
      <c r="H55" s="72" t="str">
        <f ca="1">IFERROR(__xludf.dummyfunction("IFERROR(
  VLOOKUP(G55, IMPORTRANGE(""https://docs.google.com/spreadsheets/d/14deopnvwcrKtEGCKuYXdUHJbeLDZlkiSSWWT0g7x2pM/edit#gid=849066331"", ""LU List Maths (Filter)!A:B""), 2, FALSE),
  IFERROR(
    VLOOKUP(G55, IMPORTRANGE(""https://docs.google.com/s"&amp;"preadsheets/d/14deopnvwcrKtEGCKuYXdUHJbeLDZlkiSSWWT0g7x2pM/edit#gid=849066331"", ""LU List Science (Filter)!A:B""), 2, FALSE),
    ""Not Found""
  )
)
"),"Reciprocal of a fraction")</f>
        <v>Reciprocal of a fraction</v>
      </c>
      <c r="I55" s="64"/>
      <c r="J55" s="29" t="str">
        <f t="shared" si="6"/>
        <v>LU000371.001</v>
      </c>
      <c r="K55" s="29" t="str">
        <f ca="1">IFERROR(__xludf.dummyfunction("VLOOKUP(J55, IMPORTRANGE(""https://docs.google.com/spreadsheets/d/1yDAaXNsi4Mr5FtRQL4tbmSdIzhx6_m4wkOD7IG-k_eo/edit#gid=0"", ""Maths!M:N""), 2, FALSE)"),"Define the reciprocal of a fraction.")</f>
        <v>Define the reciprocal of a fraction.</v>
      </c>
      <c r="L55" s="29" t="str">
        <f t="shared" si="7"/>
        <v>LU000371.002</v>
      </c>
      <c r="M55" s="29" t="str">
        <f ca="1">IFERROR(__xludf.dummyfunction("VLOOKUP(L55, IMPORTRANGE(""https://docs.google.com/spreadsheets/d/1yDAaXNsi4Mr5FtRQL4tbmSdIzhx6_m4wkOD7IG-k_eo/edit#gid=0"", ""Maths!M:N""), 2, FALSE)"),"Explain that product of a non-zero number with its reciprocal is 1.")</f>
        <v>Explain that product of a non-zero number with its reciprocal is 1.</v>
      </c>
      <c r="N55" s="29" t="str">
        <f t="shared" si="8"/>
        <v>LU000371.003</v>
      </c>
      <c r="O55" s="29" t="str">
        <f ca="1">IFERROR(__xludf.dummyfunction("VLOOKUP(N55, IMPORTRANGE(""https://docs.google.com/spreadsheets/d/1yDAaXNsi4Mr5FtRQL4tbmSdIzhx6_m4wkOD7IG-k_eo/edit#gid=0"", ""Maths!M:N""), 2, FALSE)"),"Find the reciprocal of a given fraction.")</f>
        <v>Find the reciprocal of a given fraction.</v>
      </c>
      <c r="P55" s="29" t="str">
        <f t="shared" si="9"/>
        <v>LU000371.004</v>
      </c>
      <c r="Q55" s="29" t="str">
        <f ca="1">IFERROR(__xludf.dummyfunction("VLOOKUP(P55, IMPORTRANGE(""https://docs.google.com/spreadsheets/d/1yDAaXNsi4Mr5FtRQL4tbmSdIzhx6_m4wkOD7IG-k_eo/edit#gid=0"", ""Maths!M:N""), 2, FALSE)"),"Analyse the properties of reciprocals for both proper and improper fractions.")</f>
        <v>Analyse the properties of reciprocals for both proper and improper fractions.</v>
      </c>
      <c r="R55" s="29" t="str">
        <f t="shared" si="10"/>
        <v>LU000371.005</v>
      </c>
      <c r="S55" s="29" t="str">
        <f ca="1">IFERROR(__xludf.dummyfunction("VLOOKUP(R55, IMPORTRANGE(""https://docs.google.com/spreadsheets/d/1yDAaXNsi4Mr5FtRQL4tbmSdIzhx6_m4wkOD7IG-k_eo/edit#gid=0"", ""Maths!M:N""), 2, FALSE)"),"Evaluate the correctness of identifying the reciprocal of proper and improper fractions.")</f>
        <v>Evaluate the correctness of identifying the reciprocal of proper and improper fractions.</v>
      </c>
      <c r="T55" s="29" t="str">
        <f t="shared" si="11"/>
        <v>LU000371.006</v>
      </c>
      <c r="U55" s="29" t="str">
        <f ca="1">IFERROR(__xludf.dummyfunction("VLOOKUP(T55, IMPORTRANGE(""https://docs.google.com/spreadsheets/d/1yDAaXNsi4Mr5FtRQL4tbmSdIzhx6_m4wkOD7IG-k_eo/edit#gid=0"", ""Maths!M:N""), 2, FALSE)"),"#N/A")</f>
        <v>#N/A</v>
      </c>
      <c r="V55" s="16">
        <f ca="1">IFERROR(__xludf.dummyfunction("ArrayFormula(VLOOKUP(G55, IMPORTRANGE(""https://docs.google.com/spreadsheets/d/1p7R4vtkWt5VOBim4ltsDG9KTzSjrtKXsMtQGXPHyND0/edit#gid=795171502"", ""'Filter 30_05_2024'!A1:M2000""), {2, 3, 4, 5,6,7,8,9,10,11,12,13}, 0))"),4)</f>
        <v>4</v>
      </c>
      <c r="W55" s="16">
        <f ca="1">IFERROR(__xludf.dummyfunction("""COMPUTED_VALUE"""),6)</f>
        <v>6</v>
      </c>
      <c r="X55" s="16">
        <f ca="1">IFERROR(__xludf.dummyfunction("""COMPUTED_VALUE"""),2)</f>
        <v>2</v>
      </c>
      <c r="Y55" s="16">
        <f ca="1">IFERROR(__xludf.dummyfunction("""COMPUTED_VALUE"""),12)</f>
        <v>12</v>
      </c>
      <c r="Z55" s="16">
        <f ca="1">IFERROR(__xludf.dummyfunction("""COMPUTED_VALUE"""),4)</f>
        <v>4</v>
      </c>
      <c r="AA55" s="30">
        <f ca="1">IFERROR(__xludf.dummyfunction("""COMPUTED_VALUE"""),3)</f>
        <v>3</v>
      </c>
      <c r="AB55" s="30">
        <f ca="1">IFERROR(__xludf.dummyfunction("""COMPUTED_VALUE"""),1)</f>
        <v>1</v>
      </c>
      <c r="AC55" s="30">
        <f ca="1">IFERROR(__xludf.dummyfunction("""COMPUTED_VALUE"""),8)</f>
        <v>8</v>
      </c>
      <c r="AD55" s="16"/>
      <c r="AE55" s="30"/>
      <c r="AF55" s="30"/>
      <c r="AG55" s="30"/>
    </row>
    <row r="56" spans="1:33" ht="26.4">
      <c r="A56" s="25"/>
      <c r="B56" s="25" t="s">
        <v>29</v>
      </c>
      <c r="C56" s="25" t="s">
        <v>310</v>
      </c>
      <c r="D56" s="25">
        <v>7</v>
      </c>
      <c r="E56" s="70" t="s">
        <v>819</v>
      </c>
      <c r="F56" s="70" t="s">
        <v>836</v>
      </c>
      <c r="G56" s="71" t="s">
        <v>837</v>
      </c>
      <c r="H56" s="72" t="str">
        <f ca="1">IFERROR(__xludf.dummyfunction("IFERROR(
  VLOOKUP(G56, IMPORTRANGE(""https://docs.google.com/spreadsheets/d/14deopnvwcrKtEGCKuYXdUHJbeLDZlkiSSWWT0g7x2pM/edit#gid=849066331"", ""LU List Maths (Filter)!A:B""), 2, FALSE),
  IFERROR(
    VLOOKUP(G56, IMPORTRANGE(""https://docs.google.com/s"&amp;"preadsheets/d/14deopnvwcrKtEGCKuYXdUHJbeLDZlkiSSWWT0g7x2pM/edit#gid=849066331"", ""LU List Science (Filter)!A:B""), 2, FALSE),
    ""Not Found""
  )
)
"),"Division of a proper fraction by a whole number")</f>
        <v>Division of a proper fraction by a whole number</v>
      </c>
      <c r="I56" s="64"/>
      <c r="J56" s="29" t="str">
        <f t="shared" si="6"/>
        <v>LU001014.001</v>
      </c>
      <c r="K56" s="29" t="str">
        <f ca="1">IFERROR(__xludf.dummyfunction("VLOOKUP(J56, IMPORTRANGE(""https://docs.google.com/spreadsheets/d/1yDAaXNsi4Mr5FtRQL4tbmSdIzhx6_m4wkOD7IG-k_eo/edit#gid=0"", ""Maths!M:N""), 2, FALSE)"),"Outline the steps for dividing a proper fraction by a whole number.")</f>
        <v>Outline the steps for dividing a proper fraction by a whole number.</v>
      </c>
      <c r="L56" s="29" t="str">
        <f t="shared" si="7"/>
        <v>LU001014.002</v>
      </c>
      <c r="M56" s="29" t="str">
        <f ca="1">IFERROR(__xludf.dummyfunction("VLOOKUP(L56, IMPORTRANGE(""https://docs.google.com/spreadsheets/d/1yDAaXNsi4Mr5FtRQL4tbmSdIzhx6_m4wkOD7IG-k_eo/edit#gid=0"", ""Maths!M:N""), 2, FALSE)"),"Interpret the process and result of dividing a proper fraction by a whole number.")</f>
        <v>Interpret the process and result of dividing a proper fraction by a whole number.</v>
      </c>
      <c r="N56" s="29" t="str">
        <f t="shared" si="8"/>
        <v>LU001014.003</v>
      </c>
      <c r="O56" s="29" t="str">
        <f ca="1">IFERROR(__xludf.dummyfunction("VLOOKUP(N56, IMPORTRANGE(""https://docs.google.com/spreadsheets/d/1yDAaXNsi4Mr5FtRQL4tbmSdIzhx6_m4wkOD7IG-k_eo/edit#gid=0"", ""Maths!M:N""), 2, FALSE)"),"Compute the division of proper fractions by whole numbers in various problems.")</f>
        <v>Compute the division of proper fractions by whole numbers in various problems.</v>
      </c>
      <c r="P56" s="29" t="str">
        <f t="shared" si="9"/>
        <v>LU001014.004</v>
      </c>
      <c r="Q56" s="29" t="str">
        <f ca="1">IFERROR(__xludf.dummyfunction("VLOOKUP(P56, IMPORTRANGE(""https://docs.google.com/spreadsheets/d/1yDAaXNsi4Mr5FtRQL4tbmSdIzhx6_m4wkOD7IG-k_eo/edit#gid=0"", ""Maths!M:N""), 2, FALSE)"),"Evaluate and distinguish correct from incorrect methods in division problems involving a proper fraction and a whole number.")</f>
        <v>Evaluate and distinguish correct from incorrect methods in division problems involving a proper fraction and a whole number.</v>
      </c>
      <c r="R56" s="29" t="str">
        <f t="shared" si="10"/>
        <v>LU001014.005</v>
      </c>
      <c r="S56" s="29" t="str">
        <f ca="1">IFERROR(__xludf.dummyfunction("VLOOKUP(R56, IMPORTRANGE(""https://docs.google.com/spreadsheets/d/1yDAaXNsi4Mr5FtRQL4tbmSdIzhx6_m4wkOD7IG-k_eo/edit#gid=0"", ""Maths!M:N""), 2, FALSE)"),"Assess and justify the accuracy of solutions in dividing proper fractions by whole numbers.")</f>
        <v>Assess and justify the accuracy of solutions in dividing proper fractions by whole numbers.</v>
      </c>
      <c r="T56" s="29" t="str">
        <f t="shared" si="11"/>
        <v>LU001014.006</v>
      </c>
      <c r="U56" s="29" t="str">
        <f ca="1">IFERROR(__xludf.dummyfunction("VLOOKUP(T56, IMPORTRANGE(""https://docs.google.com/spreadsheets/d/1yDAaXNsi4Mr5FtRQL4tbmSdIzhx6_m4wkOD7IG-k_eo/edit#gid=0"", ""Maths!M:N""), 2, FALSE)"),"#N/A")</f>
        <v>#N/A</v>
      </c>
      <c r="V56" s="16">
        <f ca="1">IFERROR(__xludf.dummyfunction("ArrayFormula(VLOOKUP(G56, IMPORTRANGE(""https://docs.google.com/spreadsheets/d/1p7R4vtkWt5VOBim4ltsDG9KTzSjrtKXsMtQGXPHyND0/edit#gid=795171502"", ""'Filter 30_05_2024'!A1:M2000""), {2, 3, 4, 5,6,7,8,9,10,11,12,13}, 0))"),5)</f>
        <v>5</v>
      </c>
      <c r="W56" s="16">
        <f ca="1">IFERROR(__xludf.dummyfunction("""COMPUTED_VALUE"""),5)</f>
        <v>5</v>
      </c>
      <c r="X56" s="16">
        <f ca="1">IFERROR(__xludf.dummyfunction("""COMPUTED_VALUE"""),2)</f>
        <v>2</v>
      </c>
      <c r="Y56" s="16">
        <f ca="1">IFERROR(__xludf.dummyfunction("""COMPUTED_VALUE"""),12)</f>
        <v>12</v>
      </c>
      <c r="Z56" s="16">
        <f ca="1">IFERROR(__xludf.dummyfunction("""COMPUTED_VALUE"""),4)</f>
        <v>4</v>
      </c>
      <c r="AA56" s="30">
        <f ca="1">IFERROR(__xludf.dummyfunction("""COMPUTED_VALUE"""),7)</f>
        <v>7</v>
      </c>
      <c r="AB56" s="30">
        <f ca="1">IFERROR(__xludf.dummyfunction("""COMPUTED_VALUE"""),1)</f>
        <v>1</v>
      </c>
      <c r="AC56" s="30">
        <f ca="1">IFERROR(__xludf.dummyfunction("""COMPUTED_VALUE"""),12)</f>
        <v>12</v>
      </c>
      <c r="AD56" s="16"/>
      <c r="AE56" s="30"/>
      <c r="AF56" s="30"/>
      <c r="AG56" s="30"/>
    </row>
    <row r="57" spans="1:33" ht="26.4">
      <c r="A57" s="25"/>
      <c r="B57" s="25" t="s">
        <v>29</v>
      </c>
      <c r="C57" s="25" t="s">
        <v>310</v>
      </c>
      <c r="D57" s="25">
        <v>7</v>
      </c>
      <c r="E57" s="70" t="s">
        <v>819</v>
      </c>
      <c r="F57" s="70"/>
      <c r="G57" s="71" t="s">
        <v>838</v>
      </c>
      <c r="H57" s="72" t="str">
        <f ca="1">IFERROR(__xludf.dummyfunction("IFERROR(
  VLOOKUP(G57, IMPORTRANGE(""https://docs.google.com/spreadsheets/d/14deopnvwcrKtEGCKuYXdUHJbeLDZlkiSSWWT0g7x2pM/edit#gid=849066331"", ""LU List Maths (Filter)!A:B""), 2, FALSE),
  IFERROR(
    VLOOKUP(G57, IMPORTRANGE(""https://docs.google.com/s"&amp;"preadsheets/d/14deopnvwcrKtEGCKuYXdUHJbeLDZlkiSSWWT0g7x2pM/edit#gid=849066331"", ""LU List Science (Filter)!A:B""), 2, FALSE),
    ""Not Found""
  )
)
"),"Division of an improper fraction by a whole number")</f>
        <v>Division of an improper fraction by a whole number</v>
      </c>
      <c r="I57" s="64"/>
      <c r="J57" s="29" t="str">
        <f t="shared" si="6"/>
        <v>LU001015.001</v>
      </c>
      <c r="K57" s="29" t="str">
        <f ca="1">IFERROR(__xludf.dummyfunction("VLOOKUP(J57, IMPORTRANGE(""https://docs.google.com/spreadsheets/d/1yDAaXNsi4Mr5FtRQL4tbmSdIzhx6_m4wkOD7IG-k_eo/edit#gid=0"", ""Maths!M:N""), 2, FALSE)"),"List the basic steps for dividing an improper fraction by a whole number.")</f>
        <v>List the basic steps for dividing an improper fraction by a whole number.</v>
      </c>
      <c r="L57" s="29" t="str">
        <f t="shared" si="7"/>
        <v>LU001015.002</v>
      </c>
      <c r="M57" s="29" t="str">
        <f ca="1">IFERROR(__xludf.dummyfunction("VLOOKUP(L57, IMPORTRANGE(""https://docs.google.com/spreadsheets/d/1yDAaXNsi4Mr5FtRQL4tbmSdIzhx6_m4wkOD7IG-k_eo/edit#gid=0"", ""Maths!M:N""), 2, FALSE)"),"Explain the division of an improper fraction by a whole number with examples.")</f>
        <v>Explain the division of an improper fraction by a whole number with examples.</v>
      </c>
      <c r="N57" s="29" t="str">
        <f t="shared" si="8"/>
        <v>LU001015.003</v>
      </c>
      <c r="O57" s="29" t="str">
        <f ca="1">IFERROR(__xludf.dummyfunction("VLOOKUP(N57, IMPORTRANGE(""https://docs.google.com/spreadsheets/d/1yDAaXNsi4Mr5FtRQL4tbmSdIzhx6_m4wkOD7IG-k_eo/edit#gid=0"", ""Maths!M:N""), 2, FALSE)"),"Perform calculations dividing improper fractions by whole numbers.")</f>
        <v>Perform calculations dividing improper fractions by whole numbers.</v>
      </c>
      <c r="P57" s="29" t="str">
        <f t="shared" si="9"/>
        <v>LU001015.004</v>
      </c>
      <c r="Q57" s="29" t="str">
        <f ca="1">IFERROR(__xludf.dummyfunction("VLOOKUP(P57, IMPORTRANGE(""https://docs.google.com/spreadsheets/d/1yDAaXNsi4Mr5FtRQL4tbmSdIzhx6_m4wkOD7IG-k_eo/edit#gid=0"", ""Maths!M:N""), 2, FALSE)"),"Distinguish between correctly and incorrectly solved problems of dividing an improper fraction by a whole number.")</f>
        <v>Distinguish between correctly and incorrectly solved problems of dividing an improper fraction by a whole number.</v>
      </c>
      <c r="R57" s="29" t="str">
        <f t="shared" si="10"/>
        <v>LU001015.005</v>
      </c>
      <c r="S57" s="29" t="str">
        <f ca="1">IFERROR(__xludf.dummyfunction("VLOOKUP(R57, IMPORTRANGE(""https://docs.google.com/spreadsheets/d/1yDAaXNsi4Mr5FtRQL4tbmSdIzhx6_m4wkOD7IG-k_eo/edit#gid=0"", ""Maths!M:N""), 2, FALSE)"),"Critique solutions to division problems involving an improper fraction and a whole number.")</f>
        <v>Critique solutions to division problems involving an improper fraction and a whole number.</v>
      </c>
      <c r="T57" s="29" t="str">
        <f t="shared" si="11"/>
        <v>LU001015.006</v>
      </c>
      <c r="U57" s="29" t="str">
        <f ca="1">IFERROR(__xludf.dummyfunction("VLOOKUP(T57, IMPORTRANGE(""https://docs.google.com/spreadsheets/d/1yDAaXNsi4Mr5FtRQL4tbmSdIzhx6_m4wkOD7IG-k_eo/edit#gid=0"", ""Maths!M:N""), 2, FALSE)"),"#N/A")</f>
        <v>#N/A</v>
      </c>
      <c r="V57" s="16">
        <f ca="1">IFERROR(__xludf.dummyfunction("ArrayFormula(VLOOKUP(G57, IMPORTRANGE(""https://docs.google.com/spreadsheets/d/1p7R4vtkWt5VOBim4ltsDG9KTzSjrtKXsMtQGXPHyND0/edit#gid=795171502"", ""'Filter 30_05_2024'!A1:M2000""), {2, 3, 4, 5,6,7,8,9,10,11,12,13}, 0))"),5)</f>
        <v>5</v>
      </c>
      <c r="W57" s="16">
        <f ca="1">IFERROR(__xludf.dummyfunction("""COMPUTED_VALUE"""),9)</f>
        <v>9</v>
      </c>
      <c r="X57" s="16">
        <f ca="1">IFERROR(__xludf.dummyfunction("""COMPUTED_VALUE"""),2)</f>
        <v>2</v>
      </c>
      <c r="Y57" s="16">
        <f ca="1">IFERROR(__xludf.dummyfunction("""COMPUTED_VALUE"""),16)</f>
        <v>16</v>
      </c>
      <c r="Z57" s="16">
        <f ca="1">IFERROR(__xludf.dummyfunction("""COMPUTED_VALUE"""),4)</f>
        <v>4</v>
      </c>
      <c r="AA57" s="30">
        <f ca="1">IFERROR(__xludf.dummyfunction("""COMPUTED_VALUE"""),2)</f>
        <v>2</v>
      </c>
      <c r="AB57" s="30">
        <f ca="1">IFERROR(__xludf.dummyfunction("""COMPUTED_VALUE"""),1)</f>
        <v>1</v>
      </c>
      <c r="AC57" s="30">
        <f ca="1">IFERROR(__xludf.dummyfunction("""COMPUTED_VALUE"""),7)</f>
        <v>7</v>
      </c>
      <c r="AD57" s="16"/>
      <c r="AE57" s="30"/>
      <c r="AF57" s="30"/>
      <c r="AG57" s="30"/>
    </row>
    <row r="58" spans="1:33" ht="26.4">
      <c r="A58" s="25"/>
      <c r="B58" s="25" t="s">
        <v>29</v>
      </c>
      <c r="C58" s="25" t="s">
        <v>310</v>
      </c>
      <c r="D58" s="25">
        <v>7</v>
      </c>
      <c r="E58" s="70" t="s">
        <v>819</v>
      </c>
      <c r="F58" s="70"/>
      <c r="G58" s="71" t="s">
        <v>839</v>
      </c>
      <c r="H58" s="72" t="str">
        <f ca="1">IFERROR(__xludf.dummyfunction("IFERROR(
  VLOOKUP(G58, IMPORTRANGE(""https://docs.google.com/spreadsheets/d/14deopnvwcrKtEGCKuYXdUHJbeLDZlkiSSWWT0g7x2pM/edit#gid=849066331"", ""LU List Maths (Filter)!A:B""), 2, FALSE),
  IFERROR(
    VLOOKUP(G58, IMPORTRANGE(""https://docs.google.com/s"&amp;"preadsheets/d/14deopnvwcrKtEGCKuYXdUHJbeLDZlkiSSWWT0g7x2pM/edit#gid=849066331"", ""LU List Science (Filter)!A:B""), 2, FALSE),
    ""Not Found""
  )
)
"),"Division of a mixed fraction by a whole number")</f>
        <v>Division of a mixed fraction by a whole number</v>
      </c>
      <c r="I58" s="64"/>
      <c r="J58" s="29" t="str">
        <f t="shared" si="6"/>
        <v>LU001016.001</v>
      </c>
      <c r="K58" s="29" t="str">
        <f ca="1">IFERROR(__xludf.dummyfunction("VLOOKUP(J58, IMPORTRANGE(""https://docs.google.com/spreadsheets/d/1yDAaXNsi4Mr5FtRQL4tbmSdIzhx6_m4wkOD7IG-k_eo/edit#gid=0"", ""Maths!M:N""), 2, FALSE)"),"Recall the method for dividing a mixed fraction by a whole number.")</f>
        <v>Recall the method for dividing a mixed fraction by a whole number.</v>
      </c>
      <c r="L58" s="29" t="str">
        <f t="shared" si="7"/>
        <v>LU001016.002</v>
      </c>
      <c r="M58" s="29" t="str">
        <f ca="1">IFERROR(__xludf.dummyfunction("VLOOKUP(L58, IMPORTRANGE(""https://docs.google.com/spreadsheets/d/1yDAaXNsi4Mr5FtRQL4tbmSdIzhx6_m4wkOD7IG-k_eo/edit#gid=0"", ""Maths!M:N""), 2, FALSE)"),"Summarize the process of dividing a mixed fraction by a whole number, using examples.")</f>
        <v>Summarize the process of dividing a mixed fraction by a whole number, using examples.</v>
      </c>
      <c r="N58" s="29" t="str">
        <f t="shared" si="8"/>
        <v>LU001016.003</v>
      </c>
      <c r="O58" s="29" t="str">
        <f ca="1">IFERROR(__xludf.dummyfunction("VLOOKUP(N58, IMPORTRANGE(""https://docs.google.com/spreadsheets/d/1yDAaXNsi4Mr5FtRQL4tbmSdIzhx6_m4wkOD7IG-k_eo/edit#gid=0"", ""Maths!M:N""), 2, FALSE)"),"Solve division problems involving a mixed fraction and a whole number.")</f>
        <v>Solve division problems involving a mixed fraction and a whole number.</v>
      </c>
      <c r="P58" s="29" t="str">
        <f t="shared" si="9"/>
        <v>LU001016.004</v>
      </c>
      <c r="Q58" s="29" t="str">
        <f ca="1">IFERROR(__xludf.dummyfunction("VLOOKUP(P58, IMPORTRANGE(""https://docs.google.com/spreadsheets/d/1yDAaXNsi4Mr5FtRQL4tbmSdIzhx6_m4wkOD7IG-k_eo/edit#gid=0"", ""Maths!M:N""), 2, FALSE)"),"Analyze and differentiate correct and incorrect solutions in the division of a mixed fraction by a whole number.")</f>
        <v>Analyze and differentiate correct and incorrect solutions in the division of a mixed fraction by a whole number.</v>
      </c>
      <c r="R58" s="29" t="str">
        <f t="shared" si="10"/>
        <v>LU001016.005</v>
      </c>
      <c r="S58" s="29" t="str">
        <f ca="1">IFERROR(__xludf.dummyfunction("VLOOKUP(R58, IMPORTRANGE(""https://docs.google.com/spreadsheets/d/1yDAaXNsi4Mr5FtRQL4tbmSdIzhx6_m4wkOD7IG-k_eo/edit#gid=0"", ""Maths!M:N""), 2, FALSE)"),"Evaluate and justify the accuracy of solutions in dividing a mixed fraction by a whole number.")</f>
        <v>Evaluate and justify the accuracy of solutions in dividing a mixed fraction by a whole number.</v>
      </c>
      <c r="T58" s="29" t="str">
        <f t="shared" si="11"/>
        <v>LU001016.006</v>
      </c>
      <c r="U58" s="29" t="str">
        <f ca="1">IFERROR(__xludf.dummyfunction("VLOOKUP(T58, IMPORTRANGE(""https://docs.google.com/spreadsheets/d/1yDAaXNsi4Mr5FtRQL4tbmSdIzhx6_m4wkOD7IG-k_eo/edit#gid=0"", ""Maths!M:N""), 2, FALSE)"),"#N/A")</f>
        <v>#N/A</v>
      </c>
      <c r="V58" s="16">
        <f ca="1">IFERROR(__xludf.dummyfunction("ArrayFormula(VLOOKUP(G58, IMPORTRANGE(""https://docs.google.com/spreadsheets/d/1p7R4vtkWt5VOBim4ltsDG9KTzSjrtKXsMtQGXPHyND0/edit#gid=795171502"", ""'Filter 30_05_2024'!A1:M2000""), {2, 3, 4, 5,6,7,8,9,10,11,12,13}, 0))"),4)</f>
        <v>4</v>
      </c>
      <c r="W58" s="16">
        <f ca="1">IFERROR(__xludf.dummyfunction("""COMPUTED_VALUE"""),6)</f>
        <v>6</v>
      </c>
      <c r="X58" s="16">
        <f ca="1">IFERROR(__xludf.dummyfunction("""COMPUTED_VALUE"""),2)</f>
        <v>2</v>
      </c>
      <c r="Y58" s="16">
        <f ca="1">IFERROR(__xludf.dummyfunction("""COMPUTED_VALUE"""),12)</f>
        <v>12</v>
      </c>
      <c r="Z58" s="16">
        <f ca="1">IFERROR(__xludf.dummyfunction("""COMPUTED_VALUE"""),4)</f>
        <v>4</v>
      </c>
      <c r="AA58" s="30">
        <f ca="1">IFERROR(__xludf.dummyfunction("""COMPUTED_VALUE"""),3)</f>
        <v>3</v>
      </c>
      <c r="AB58" s="30">
        <f ca="1">IFERROR(__xludf.dummyfunction("""COMPUTED_VALUE"""),1)</f>
        <v>1</v>
      </c>
      <c r="AC58" s="30">
        <f ca="1">IFERROR(__xludf.dummyfunction("""COMPUTED_VALUE"""),8)</f>
        <v>8</v>
      </c>
      <c r="AD58" s="16"/>
      <c r="AE58" s="30"/>
      <c r="AF58" s="30"/>
      <c r="AG58" s="30"/>
    </row>
    <row r="59" spans="1:33" ht="26.4">
      <c r="A59" s="25"/>
      <c r="B59" s="25" t="s">
        <v>29</v>
      </c>
      <c r="C59" s="25" t="s">
        <v>310</v>
      </c>
      <c r="D59" s="25">
        <v>7</v>
      </c>
      <c r="E59" s="70" t="s">
        <v>819</v>
      </c>
      <c r="F59" s="70" t="s">
        <v>840</v>
      </c>
      <c r="G59" s="71" t="s">
        <v>841</v>
      </c>
      <c r="H59" s="72" t="str">
        <f ca="1">IFERROR(__xludf.dummyfunction("IFERROR(
  VLOOKUP(G59, IMPORTRANGE(""https://docs.google.com/spreadsheets/d/14deopnvwcrKtEGCKuYXdUHJbeLDZlkiSSWWT0g7x2pM/edit#gid=849066331"", ""LU List Maths (Filter)!A:B""), 2, FALSE),
  IFERROR(
    VLOOKUP(G59, IMPORTRANGE(""https://docs.google.com/s"&amp;"preadsheets/d/14deopnvwcrKtEGCKuYXdUHJbeLDZlkiSSWWT0g7x2pM/edit#gid=849066331"", ""LU List Science (Filter)!A:B""), 2, FALSE),
    ""Not Found""
  )
)
"),"Division of a proper fraction by another fraction(proper, improper and mixed)")</f>
        <v>Division of a proper fraction by another fraction(proper, improper and mixed)</v>
      </c>
      <c r="I59" s="64"/>
      <c r="J59" s="29" t="str">
        <f t="shared" si="6"/>
        <v>LU001017.001</v>
      </c>
      <c r="K59" s="29" t="str">
        <f ca="1">IFERROR(__xludf.dummyfunction("VLOOKUP(J59, IMPORTRANGE(""https://docs.google.com/spreadsheets/d/1yDAaXNsi4Mr5FtRQL4tbmSdIzhx6_m4wkOD7IG-k_eo/edit#gid=0"", ""Maths!M:N""), 2, FALSE)"),"State the rules for dividing a proper fraction by different types of fractions.")</f>
        <v>State the rules for dividing a proper fraction by different types of fractions.</v>
      </c>
      <c r="L59" s="29" t="str">
        <f t="shared" si="7"/>
        <v>LU001017.002</v>
      </c>
      <c r="M59" s="29" t="str">
        <f ca="1">IFERROR(__xludf.dummyfunction("VLOOKUP(L59, IMPORTRANGE(""https://docs.google.com/spreadsheets/d/1yDAaXNsi4Mr5FtRQL4tbmSdIzhx6_m4wkOD7IG-k_eo/edit#gid=0"", ""Maths!M:N""), 2, FALSE)"),"Describe how to divide a proper fraction by another fraction, using various examples.")</f>
        <v>Describe how to divide a proper fraction by another fraction, using various examples.</v>
      </c>
      <c r="N59" s="29" t="str">
        <f t="shared" si="8"/>
        <v>LU001017.003</v>
      </c>
      <c r="O59" s="29" t="str">
        <f ca="1">IFERROR(__xludf.dummyfunction("VLOOKUP(N59, IMPORTRANGE(""https://docs.google.com/spreadsheets/d/1yDAaXNsi4Mr5FtRQL4tbmSdIzhx6_m4wkOD7IG-k_eo/edit#gid=0"", ""Maths!M:N""), 2, FALSE)"),"Execute division operations involving a proper fraction and other fractions (proper, improper, mixed).")</f>
        <v>Execute division operations involving a proper fraction and other fractions (proper, improper, mixed).</v>
      </c>
      <c r="P59" s="29" t="str">
        <f t="shared" si="9"/>
        <v>LU001017.004</v>
      </c>
      <c r="Q59" s="29" t="str">
        <f ca="1">IFERROR(__xludf.dummyfunction("VLOOKUP(P59, IMPORTRANGE(""https://docs.google.com/spreadsheets/d/1yDAaXNsi4Mr5FtRQL4tbmSdIzhx6_m4wkOD7IG-k_eo/edit#gid=0"", ""Maths!M:N""), 2, FALSE)"),"Differentiate correct from incorrect methods in problems dividing a proper fraction by other fractions.")</f>
        <v>Differentiate correct from incorrect methods in problems dividing a proper fraction by other fractions.</v>
      </c>
      <c r="R59" s="29" t="str">
        <f t="shared" si="10"/>
        <v>LU001017.005</v>
      </c>
      <c r="S59" s="29" t="str">
        <f ca="1">IFERROR(__xludf.dummyfunction("VLOOKUP(R59, IMPORTRANGE(""https://docs.google.com/spreadsheets/d/1yDAaXNsi4Mr5FtRQL4tbmSdIzhx6_m4wkOD7IG-k_eo/edit#gid=0"", ""Maths!M:N""), 2, FALSE)"),"Assess the accuracy of solutions in dividing a proper fraction by various types of fractions.")</f>
        <v>Assess the accuracy of solutions in dividing a proper fraction by various types of fractions.</v>
      </c>
      <c r="T59" s="29" t="str">
        <f t="shared" si="11"/>
        <v>LU001017.006</v>
      </c>
      <c r="U59" s="29" t="str">
        <f ca="1">IFERROR(__xludf.dummyfunction("VLOOKUP(T59, IMPORTRANGE(""https://docs.google.com/spreadsheets/d/1yDAaXNsi4Mr5FtRQL4tbmSdIzhx6_m4wkOD7IG-k_eo/edit#gid=0"", ""Maths!M:N""), 2, FALSE)"),"#N/A")</f>
        <v>#N/A</v>
      </c>
      <c r="V59" s="16">
        <f ca="1">IFERROR(__xludf.dummyfunction("ArrayFormula(VLOOKUP(G59, IMPORTRANGE(""https://docs.google.com/spreadsheets/d/1p7R4vtkWt5VOBim4ltsDG9KTzSjrtKXsMtQGXPHyND0/edit#gid=795171502"", ""'Filter 30_05_2024'!A1:M2000""), {2, 3, 4, 5,6,7,8,9,10,11,12,13}, 0))"),4)</f>
        <v>4</v>
      </c>
      <c r="W59" s="16">
        <f ca="1">IFERROR(__xludf.dummyfunction("""COMPUTED_VALUE"""),12)</f>
        <v>12</v>
      </c>
      <c r="X59" s="16">
        <f ca="1">IFERROR(__xludf.dummyfunction("""COMPUTED_VALUE"""),2)</f>
        <v>2</v>
      </c>
      <c r="Y59" s="16">
        <f ca="1">IFERROR(__xludf.dummyfunction("""COMPUTED_VALUE"""),18)</f>
        <v>18</v>
      </c>
      <c r="Z59" s="16">
        <f ca="1">IFERROR(__xludf.dummyfunction("""COMPUTED_VALUE"""),4)</f>
        <v>4</v>
      </c>
      <c r="AA59" s="30">
        <f ca="1">IFERROR(__xludf.dummyfunction("""COMPUTED_VALUE"""),9)</f>
        <v>9</v>
      </c>
      <c r="AB59" s="30">
        <f ca="1">IFERROR(__xludf.dummyfunction("""COMPUTED_VALUE"""),1)</f>
        <v>1</v>
      </c>
      <c r="AC59" s="30">
        <f ca="1">IFERROR(__xludf.dummyfunction("""COMPUTED_VALUE"""),14)</f>
        <v>14</v>
      </c>
      <c r="AD59" s="16"/>
      <c r="AE59" s="30"/>
      <c r="AF59" s="30"/>
      <c r="AG59" s="30"/>
    </row>
    <row r="60" spans="1:33" ht="26.4">
      <c r="A60" s="25"/>
      <c r="B60" s="25" t="s">
        <v>29</v>
      </c>
      <c r="C60" s="25" t="s">
        <v>310</v>
      </c>
      <c r="D60" s="25">
        <v>7</v>
      </c>
      <c r="E60" s="70" t="s">
        <v>819</v>
      </c>
      <c r="F60" s="70"/>
      <c r="G60" s="71" t="s">
        <v>842</v>
      </c>
      <c r="H60" s="72" t="str">
        <f ca="1">IFERROR(__xludf.dummyfunction("IFERROR(
  VLOOKUP(G60, IMPORTRANGE(""https://docs.google.com/spreadsheets/d/14deopnvwcrKtEGCKuYXdUHJbeLDZlkiSSWWT0g7x2pM/edit#gid=849066331"", ""LU List Maths (Filter)!A:B""), 2, FALSE),
  IFERROR(
    VLOOKUP(G60, IMPORTRANGE(""https://docs.google.com/s"&amp;"preadsheets/d/14deopnvwcrKtEGCKuYXdUHJbeLDZlkiSSWWT0g7x2pM/edit#gid=849066331"", ""LU List Science (Filter)!A:B""), 2, FALSE),
    ""Not Found""
  )
)
"),"Division of an improper fraction by another fraction(proper, improper and mixed)")</f>
        <v>Division of an improper fraction by another fraction(proper, improper and mixed)</v>
      </c>
      <c r="I60" s="64"/>
      <c r="J60" s="29" t="str">
        <f t="shared" si="6"/>
        <v>LU001018.001</v>
      </c>
      <c r="K60" s="29" t="str">
        <f ca="1">IFERROR(__xludf.dummyfunction("VLOOKUP(J60, IMPORTRANGE(""https://docs.google.com/spreadsheets/d/1yDAaXNsi4Mr5FtRQL4tbmSdIzhx6_m4wkOD7IG-k_eo/edit#gid=0"", ""Maths!M:N""), 2, FALSE)"),"State the rules for dividing a improper fraction by different types of fractions.")</f>
        <v>State the rules for dividing a improper fraction by different types of fractions.</v>
      </c>
      <c r="L60" s="29" t="str">
        <f t="shared" si="7"/>
        <v>LU001018.002</v>
      </c>
      <c r="M60" s="29" t="str">
        <f ca="1">IFERROR(__xludf.dummyfunction("VLOOKUP(L60, IMPORTRANGE(""https://docs.google.com/spreadsheets/d/1yDAaXNsi4Mr5FtRQL4tbmSdIzhx6_m4wkOD7IG-k_eo/edit#gid=0"", ""Maths!M:N""), 2, FALSE)"),"Describe how to divide a improper fraction by another fraction, using various examples.")</f>
        <v>Describe how to divide a improper fraction by another fraction, using various examples.</v>
      </c>
      <c r="N60" s="29" t="str">
        <f t="shared" si="8"/>
        <v>LU001018.003</v>
      </c>
      <c r="O60" s="29" t="str">
        <f ca="1">IFERROR(__xludf.dummyfunction("VLOOKUP(N60, IMPORTRANGE(""https://docs.google.com/spreadsheets/d/1yDAaXNsi4Mr5FtRQL4tbmSdIzhx6_m4wkOD7IG-k_eo/edit#gid=0"", ""Maths!M:N""), 2, FALSE)"),"Execute division operations involving a improper fraction and other fractions (proper, improper, mixed).")</f>
        <v>Execute division operations involving a improper fraction and other fractions (proper, improper, mixed).</v>
      </c>
      <c r="P60" s="29" t="str">
        <f t="shared" si="9"/>
        <v>LU001018.004</v>
      </c>
      <c r="Q60" s="29" t="str">
        <f ca="1">IFERROR(__xludf.dummyfunction("VLOOKUP(P60, IMPORTRANGE(""https://docs.google.com/spreadsheets/d/1yDAaXNsi4Mr5FtRQL4tbmSdIzhx6_m4wkOD7IG-k_eo/edit#gid=0"", ""Maths!M:N""), 2, FALSE)"),"Differentiate correct from incorrect methods in problems dividing a improper fraction by other fractions.")</f>
        <v>Differentiate correct from incorrect methods in problems dividing a improper fraction by other fractions.</v>
      </c>
      <c r="R60" s="29" t="str">
        <f t="shared" si="10"/>
        <v>LU001018.005</v>
      </c>
      <c r="S60" s="29" t="str">
        <f ca="1">IFERROR(__xludf.dummyfunction("VLOOKUP(R60, IMPORTRANGE(""https://docs.google.com/spreadsheets/d/1yDAaXNsi4Mr5FtRQL4tbmSdIzhx6_m4wkOD7IG-k_eo/edit#gid=0"", ""Maths!M:N""), 2, FALSE)"),"Assess the accuracy of solutions in dividing a improper fraction by various types of fractions.")</f>
        <v>Assess the accuracy of solutions in dividing a improper fraction by various types of fractions.</v>
      </c>
      <c r="T60" s="29" t="str">
        <f t="shared" si="11"/>
        <v>LU001018.006</v>
      </c>
      <c r="U60" s="29" t="str">
        <f ca="1">IFERROR(__xludf.dummyfunction("VLOOKUP(T60, IMPORTRANGE(""https://docs.google.com/spreadsheets/d/1yDAaXNsi4Mr5FtRQL4tbmSdIzhx6_m4wkOD7IG-k_eo/edit#gid=0"", ""Maths!M:N""), 2, FALSE)"),"#N/A")</f>
        <v>#N/A</v>
      </c>
      <c r="V60" s="16">
        <f ca="1">IFERROR(__xludf.dummyfunction("ArrayFormula(VLOOKUP(G60, IMPORTRANGE(""https://docs.google.com/spreadsheets/d/1p7R4vtkWt5VOBim4ltsDG9KTzSjrtKXsMtQGXPHyND0/edit#gid=795171502"", ""'Filter 30_05_2024'!A1:M2000""), {2, 3, 4, 5,6,7,8,9,10,11,12,13}, 0))"),4)</f>
        <v>4</v>
      </c>
      <c r="W60" s="16">
        <f ca="1">IFERROR(__xludf.dummyfunction("""COMPUTED_VALUE"""),8)</f>
        <v>8</v>
      </c>
      <c r="X60" s="16"/>
      <c r="Y60" s="16">
        <f ca="1">IFERROR(__xludf.dummyfunction("""COMPUTED_VALUE"""),12)</f>
        <v>12</v>
      </c>
      <c r="Z60" s="16">
        <f ca="1">IFERROR(__xludf.dummyfunction("""COMPUTED_VALUE"""),4)</f>
        <v>4</v>
      </c>
      <c r="AA60" s="30">
        <f ca="1">IFERROR(__xludf.dummyfunction("""COMPUTED_VALUE"""),3)</f>
        <v>3</v>
      </c>
      <c r="AB60" s="30">
        <f ca="1">IFERROR(__xludf.dummyfunction("""COMPUTED_VALUE"""),1)</f>
        <v>1</v>
      </c>
      <c r="AC60" s="30">
        <f ca="1">IFERROR(__xludf.dummyfunction("""COMPUTED_VALUE"""),8)</f>
        <v>8</v>
      </c>
      <c r="AD60" s="16"/>
      <c r="AE60" s="30"/>
      <c r="AF60" s="30"/>
      <c r="AG60" s="30"/>
    </row>
    <row r="61" spans="1:33" ht="26.4">
      <c r="A61" s="25"/>
      <c r="B61" s="25" t="s">
        <v>29</v>
      </c>
      <c r="C61" s="25" t="s">
        <v>310</v>
      </c>
      <c r="D61" s="25">
        <v>7</v>
      </c>
      <c r="E61" s="70" t="s">
        <v>819</v>
      </c>
      <c r="F61" s="70"/>
      <c r="G61" s="71" t="s">
        <v>843</v>
      </c>
      <c r="H61" s="72" t="str">
        <f ca="1">IFERROR(__xludf.dummyfunction("IFERROR(
  VLOOKUP(G61, IMPORTRANGE(""https://docs.google.com/spreadsheets/d/14deopnvwcrKtEGCKuYXdUHJbeLDZlkiSSWWT0g7x2pM/edit#gid=849066331"", ""LU List Maths (Filter)!A:B""), 2, FALSE),
  IFERROR(
    VLOOKUP(G61, IMPORTRANGE(""https://docs.google.com/s"&amp;"preadsheets/d/14deopnvwcrKtEGCKuYXdUHJbeLDZlkiSSWWT0g7x2pM/edit#gid=849066331"", ""LU List Science (Filter)!A:B""), 2, FALSE),
    ""Not Found""
  )
)
"),"Division of a mixed fraction by another fraction(proper, improper and mixed)")</f>
        <v>Division of a mixed fraction by another fraction(proper, improper and mixed)</v>
      </c>
      <c r="I61" s="64"/>
      <c r="J61" s="29" t="str">
        <f t="shared" si="6"/>
        <v>LU001019.001</v>
      </c>
      <c r="K61" s="29" t="str">
        <f ca="1">IFERROR(__xludf.dummyfunction("VLOOKUP(J61, IMPORTRANGE(""https://docs.google.com/spreadsheets/d/1yDAaXNsi4Mr5FtRQL4tbmSdIzhx6_m4wkOD7IG-k_eo/edit#gid=0"", ""Maths!M:N""), 2, FALSE)"),"State the rules for dividing a mixed fraction by different types of fractions.")</f>
        <v>State the rules for dividing a mixed fraction by different types of fractions.</v>
      </c>
      <c r="L61" s="29" t="str">
        <f t="shared" si="7"/>
        <v>LU001019.002</v>
      </c>
      <c r="M61" s="29" t="str">
        <f ca="1">IFERROR(__xludf.dummyfunction("VLOOKUP(L61, IMPORTRANGE(""https://docs.google.com/spreadsheets/d/1yDAaXNsi4Mr5FtRQL4tbmSdIzhx6_m4wkOD7IG-k_eo/edit#gid=0"", ""Maths!M:N""), 2, FALSE)"),"Describe how to divide a mixed fraction by another fraction, using various examples.")</f>
        <v>Describe how to divide a mixed fraction by another fraction, using various examples.</v>
      </c>
      <c r="N61" s="29" t="str">
        <f t="shared" si="8"/>
        <v>LU001019.003</v>
      </c>
      <c r="O61" s="29" t="str">
        <f ca="1">IFERROR(__xludf.dummyfunction("VLOOKUP(N61, IMPORTRANGE(""https://docs.google.com/spreadsheets/d/1yDAaXNsi4Mr5FtRQL4tbmSdIzhx6_m4wkOD7IG-k_eo/edit#gid=0"", ""Maths!M:N""), 2, FALSE)"),"Execute division operations involving a mixed fraction and other fractions (proper, improper, mixed).")</f>
        <v>Execute division operations involving a mixed fraction and other fractions (proper, improper, mixed).</v>
      </c>
      <c r="P61" s="29" t="str">
        <f t="shared" si="9"/>
        <v>LU001019.004</v>
      </c>
      <c r="Q61" s="29" t="str">
        <f ca="1">IFERROR(__xludf.dummyfunction("VLOOKUP(P61, IMPORTRANGE(""https://docs.google.com/spreadsheets/d/1yDAaXNsi4Mr5FtRQL4tbmSdIzhx6_m4wkOD7IG-k_eo/edit#gid=0"", ""Maths!M:N""), 2, FALSE)"),"Differentiate correct from incorrect methods in problems dividing a mixed fraction by other fractions.")</f>
        <v>Differentiate correct from incorrect methods in problems dividing a mixed fraction by other fractions.</v>
      </c>
      <c r="R61" s="29" t="str">
        <f t="shared" si="10"/>
        <v>LU001019.005</v>
      </c>
      <c r="S61" s="29" t="str">
        <f ca="1">IFERROR(__xludf.dummyfunction("VLOOKUP(R61, IMPORTRANGE(""https://docs.google.com/spreadsheets/d/1yDAaXNsi4Mr5FtRQL4tbmSdIzhx6_m4wkOD7IG-k_eo/edit#gid=0"", ""Maths!M:N""), 2, FALSE)"),"Assess the accuracy of solutions in dividing a mixed fraction by various types of fractions.")</f>
        <v>Assess the accuracy of solutions in dividing a mixed fraction by various types of fractions.</v>
      </c>
      <c r="T61" s="29" t="str">
        <f t="shared" si="11"/>
        <v>LU001019.006</v>
      </c>
      <c r="U61" s="29" t="str">
        <f ca="1">IFERROR(__xludf.dummyfunction("VLOOKUP(T61, IMPORTRANGE(""https://docs.google.com/spreadsheets/d/1yDAaXNsi4Mr5FtRQL4tbmSdIzhx6_m4wkOD7IG-k_eo/edit#gid=0"", ""Maths!M:N""), 2, FALSE)"),"#N/A")</f>
        <v>#N/A</v>
      </c>
      <c r="V61" s="16">
        <f ca="1">IFERROR(__xludf.dummyfunction("ArrayFormula(VLOOKUP(G61, IMPORTRANGE(""https://docs.google.com/spreadsheets/d/1p7R4vtkWt5VOBim4ltsDG9KTzSjrtKXsMtQGXPHyND0/edit#gid=795171502"", ""'Filter 30_05_2024'!A1:M2000""), {2, 3, 4, 5,6,7,8,9,10,11,12,13}, 0))"),4)</f>
        <v>4</v>
      </c>
      <c r="W61" s="16">
        <f ca="1">IFERROR(__xludf.dummyfunction("""COMPUTED_VALUE"""),6)</f>
        <v>6</v>
      </c>
      <c r="X61" s="16">
        <f ca="1">IFERROR(__xludf.dummyfunction("""COMPUTED_VALUE"""),2)</f>
        <v>2</v>
      </c>
      <c r="Y61" s="16">
        <f ca="1">IFERROR(__xludf.dummyfunction("""COMPUTED_VALUE"""),12)</f>
        <v>12</v>
      </c>
      <c r="Z61" s="16">
        <f ca="1">IFERROR(__xludf.dummyfunction("""COMPUTED_VALUE"""),4)</f>
        <v>4</v>
      </c>
      <c r="AA61" s="30">
        <f ca="1">IFERROR(__xludf.dummyfunction("""COMPUTED_VALUE"""),3)</f>
        <v>3</v>
      </c>
      <c r="AB61" s="30">
        <f ca="1">IFERROR(__xludf.dummyfunction("""COMPUTED_VALUE"""),1)</f>
        <v>1</v>
      </c>
      <c r="AC61" s="30">
        <f ca="1">IFERROR(__xludf.dummyfunction("""COMPUTED_VALUE"""),8)</f>
        <v>8</v>
      </c>
      <c r="AD61" s="16"/>
      <c r="AE61" s="30"/>
      <c r="AF61" s="30"/>
      <c r="AG61" s="30"/>
    </row>
    <row r="62" spans="1:33" ht="26.4">
      <c r="A62" s="25"/>
      <c r="B62" s="25" t="s">
        <v>29</v>
      </c>
      <c r="C62" s="25" t="s">
        <v>310</v>
      </c>
      <c r="D62" s="25">
        <v>7</v>
      </c>
      <c r="E62" s="70" t="s">
        <v>819</v>
      </c>
      <c r="F62" s="70" t="s">
        <v>844</v>
      </c>
      <c r="G62" s="47" t="s">
        <v>845</v>
      </c>
      <c r="H62" s="72" t="str">
        <f ca="1">IFERROR(__xludf.dummyfunction("IFERROR(
  VLOOKUP(G62, IMPORTRANGE(""https://docs.google.com/spreadsheets/d/14deopnvwcrKtEGCKuYXdUHJbeLDZlkiSSWWT0g7x2pM/edit#gid=849066331"", ""LU List Maths (Filter)!A:B""), 2, FALSE),
  IFERROR(
    VLOOKUP(G62, IMPORTRANGE(""https://docs.google.com/s"&amp;"preadsheets/d/14deopnvwcrKtEGCKuYXdUHJbeLDZlkiSSWWT0g7x2pM/edit#gid=849066331"", ""LU List Science (Filter)!A:B""), 2, FALSE),
    ""Not Found""
  )
)
"),"Simplification rule (DMAS) to solve numerical expression involving fractions")</f>
        <v>Simplification rule (DMAS) to solve numerical expression involving fractions</v>
      </c>
      <c r="I62" s="64"/>
      <c r="J62" s="29" t="str">
        <f t="shared" si="6"/>
        <v>LU000383.001</v>
      </c>
      <c r="K62" s="29" t="str">
        <f ca="1">IFERROR(__xludf.dummyfunction("VLOOKUP(J62, IMPORTRANGE(""https://docs.google.com/spreadsheets/d/1yDAaXNsi4Mr5FtRQL4tbmSdIzhx6_m4wkOD7IG-k_eo/edit#gid=0"", ""Maths!M:N""), 2, FALSE)"),"State the DMAS rule and the order of operations for simplifying numerical expressions involving fractions")</f>
        <v>State the DMAS rule and the order of operations for simplifying numerical expressions involving fractions</v>
      </c>
      <c r="L62" s="29" t="str">
        <f t="shared" si="7"/>
        <v>LU000383.002</v>
      </c>
      <c r="M62" s="29" t="str">
        <f ca="1">IFERROR(__xludf.dummyfunction("VLOOKUP(L62, IMPORTRANGE(""https://docs.google.com/spreadsheets/d/1yDAaXNsi4Mr5FtRQL4tbmSdIzhx6_m4wkOD7IG-k_eo/edit#gid=0"", ""Maths!M:N""), 2, FALSE)"),"#N/A")</f>
        <v>#N/A</v>
      </c>
      <c r="N62" s="29" t="str">
        <f t="shared" si="8"/>
        <v>LU000383.003</v>
      </c>
      <c r="O62" s="29" t="str">
        <f ca="1">IFERROR(__xludf.dummyfunction("VLOOKUP(N62, IMPORTRANGE(""https://docs.google.com/spreadsheets/d/1yDAaXNsi4Mr5FtRQL4tbmSdIzhx6_m4wkOD7IG-k_eo/edit#gid=0"", ""Maths!M:N""), 2, FALSE)"),"Apply the DMAS rule to evaluate numerical expressions involving fractions")</f>
        <v>Apply the DMAS rule to evaluate numerical expressions involving fractions</v>
      </c>
      <c r="P62" s="29" t="str">
        <f t="shared" si="9"/>
        <v>LU000383.004</v>
      </c>
      <c r="Q62" s="29" t="str">
        <f ca="1">IFERROR(__xludf.dummyfunction("VLOOKUP(P62, IMPORTRANGE(""https://docs.google.com/spreadsheets/d/1yDAaXNsi4Mr5FtRQL4tbmSdIzhx6_m4wkOD7IG-k_eo/edit#gid=0"", ""Maths!M:N""), 2, FALSE)"),"Analyze complex numerical expressions involving fractions to identify the specific steps where DMAS rules are applied")</f>
        <v>Analyze complex numerical expressions involving fractions to identify the specific steps where DMAS rules are applied</v>
      </c>
      <c r="R62" s="29" t="str">
        <f t="shared" si="10"/>
        <v>LU000383.005</v>
      </c>
      <c r="S62" s="29" t="str">
        <f ca="1">IFERROR(__xludf.dummyfunction("VLOOKUP(R62, IMPORTRANGE(""https://docs.google.com/spreadsheets/d/1yDAaXNsi4Mr5FtRQL4tbmSdIzhx6_m4wkOD7IG-k_eo/edit#gid=0"", ""Maths!M:N""), 2, FALSE)"),"#N/A")</f>
        <v>#N/A</v>
      </c>
      <c r="T62" s="29" t="str">
        <f t="shared" si="11"/>
        <v>LU000383.006</v>
      </c>
      <c r="U62" s="29" t="str">
        <f ca="1">IFERROR(__xludf.dummyfunction("VLOOKUP(T62, IMPORTRANGE(""https://docs.google.com/spreadsheets/d/1yDAaXNsi4Mr5FtRQL4tbmSdIzhx6_m4wkOD7IG-k_eo/edit#gid=0"", ""Maths!M:N""), 2, FALSE)"),"#N/A")</f>
        <v>#N/A</v>
      </c>
      <c r="V62" s="16">
        <f ca="1">IFERROR(__xludf.dummyfunction("ArrayFormula(VLOOKUP(G62, IMPORTRANGE(""https://docs.google.com/spreadsheets/d/1p7R4vtkWt5VOBim4ltsDG9KTzSjrtKXsMtQGXPHyND0/edit#gid=795171502"", ""'Filter 30_05_2024'!A1:M2000""), {2, 3, 4, 5,6,7,8,9,10,11,12,13}, 0))"),4)</f>
        <v>4</v>
      </c>
      <c r="W62" s="16">
        <f ca="1">IFERROR(__xludf.dummyfunction("""COMPUTED_VALUE"""),11)</f>
        <v>11</v>
      </c>
      <c r="X62" s="16">
        <f ca="1">IFERROR(__xludf.dummyfunction("""COMPUTED_VALUE"""),2)</f>
        <v>2</v>
      </c>
      <c r="Y62" s="16">
        <f ca="1">IFERROR(__xludf.dummyfunction("""COMPUTED_VALUE"""),17)</f>
        <v>17</v>
      </c>
      <c r="Z62" s="16">
        <f ca="1">IFERROR(__xludf.dummyfunction("""COMPUTED_VALUE"""),4)</f>
        <v>4</v>
      </c>
      <c r="AA62" s="30">
        <f ca="1">IFERROR(__xludf.dummyfunction("""COMPUTED_VALUE"""),4)</f>
        <v>4</v>
      </c>
      <c r="AB62" s="30">
        <f ca="1">IFERROR(__xludf.dummyfunction("""COMPUTED_VALUE"""),1)</f>
        <v>1</v>
      </c>
      <c r="AC62" s="30">
        <f ca="1">IFERROR(__xludf.dummyfunction("""COMPUTED_VALUE"""),9)</f>
        <v>9</v>
      </c>
      <c r="AD62" s="16"/>
      <c r="AE62" s="30"/>
      <c r="AF62" s="30"/>
      <c r="AG62" s="30"/>
    </row>
    <row r="63" spans="1:33" ht="26.4">
      <c r="A63" s="25"/>
      <c r="B63" s="25" t="s">
        <v>29</v>
      </c>
      <c r="C63" s="25" t="s">
        <v>310</v>
      </c>
      <c r="D63" s="25">
        <v>7</v>
      </c>
      <c r="E63" s="70" t="s">
        <v>819</v>
      </c>
      <c r="F63" s="70"/>
      <c r="G63" s="86" t="s">
        <v>846</v>
      </c>
      <c r="H63" s="72" t="str">
        <f ca="1">IFERROR(__xludf.dummyfunction("IFERROR(
  VLOOKUP(G63, IMPORTRANGE(""https://docs.google.com/spreadsheets/d/14deopnvwcrKtEGCKuYXdUHJbeLDZlkiSSWWT0g7x2pM/edit#gid=849066331"", ""LU List Maths (Filter)!A:B""), 2, FALSE),
  IFERROR(
    VLOOKUP(G63, IMPORTRANGE(""https://docs.google.com/s"&amp;"preadsheets/d/14deopnvwcrKtEGCKuYXdUHJbeLDZlkiSSWWT0g7x2pM/edit#gid=849066331"", ""LU List Science (Filter)!A:B""), 2, FALSE),
    ""Not Found""
  )
)
"),"Simplification rule (BODMAS) to solve numerical expression involving fractions")</f>
        <v>Simplification rule (BODMAS) to solve numerical expression involving fractions</v>
      </c>
      <c r="I63" s="64"/>
      <c r="J63" s="29" t="str">
        <f t="shared" si="6"/>
        <v>LU001164.001</v>
      </c>
      <c r="K63" s="29" t="str">
        <f ca="1">IFERROR(__xludf.dummyfunction("VLOOKUP(J63, IMPORTRANGE(""https://docs.google.com/spreadsheets/d/1yDAaXNsi4Mr5FtRQL4tbmSdIzhx6_m4wkOD7IG-k_eo/edit#gid=0"", ""Maths!M:N""), 2, FALSE)"),"State the order of operations represented by BODMAS when solving numerical expressions involving fractions.")</f>
        <v>State the order of operations represented by BODMAS when solving numerical expressions involving fractions.</v>
      </c>
      <c r="L63" s="29" t="str">
        <f t="shared" si="7"/>
        <v>LU001164.002</v>
      </c>
      <c r="M63" s="29" t="str">
        <f ca="1">IFERROR(__xludf.dummyfunction("VLOOKUP(L63, IMPORTRANGE(""https://docs.google.com/spreadsheets/d/1yDAaXNsi4Mr5FtRQL4tbmSdIzhx6_m4wkOD7IG-k_eo/edit#gid=0"", ""Maths!M:N""), 2, FALSE)"),"Explain the significance of following the BODMAS rule in correctly simplifying numerical expressions.")</f>
        <v>Explain the significance of following the BODMAS rule in correctly simplifying numerical expressions.</v>
      </c>
      <c r="N63" s="29" t="str">
        <f t="shared" si="8"/>
        <v>LU001164.003</v>
      </c>
      <c r="O63" s="29" t="str">
        <f ca="1">IFERROR(__xludf.dummyfunction("VLOOKUP(N63, IMPORTRANGE(""https://docs.google.com/spreadsheets/d/1yDAaXNsi4Mr5FtRQL4tbmSdIzhx6_m4wkOD7IG-k_eo/edit#gid=0"", ""Maths!M:N""), 2, FALSE)"),"Apply the BODMAS rule to solve numerical expressions involving fractions.")</f>
        <v>Apply the BODMAS rule to solve numerical expressions involving fractions.</v>
      </c>
      <c r="P63" s="29" t="str">
        <f t="shared" si="9"/>
        <v>LU001164.004</v>
      </c>
      <c r="Q63" s="29" t="str">
        <f ca="1">IFERROR(__xludf.dummyfunction("VLOOKUP(P63, IMPORTRANGE(""https://docs.google.com/spreadsheets/d/1yDAaXNsi4Mr5FtRQL4tbmSdIzhx6_m4wkOD7IG-k_eo/edit#gid=0"", ""Maths!M:N""), 2, FALSE)"),"Analyse complex numerical expressions to identify and prioritise operations according to the BODMAS rule.")</f>
        <v>Analyse complex numerical expressions to identify and prioritise operations according to the BODMAS rule.</v>
      </c>
      <c r="R63" s="29" t="str">
        <f t="shared" si="10"/>
        <v>LU001164.005</v>
      </c>
      <c r="S63" s="29" t="str">
        <f ca="1">IFERROR(__xludf.dummyfunction("VLOOKUP(R63, IMPORTRANGE(""https://docs.google.com/spreadsheets/d/1yDAaXNsi4Mr5FtRQL4tbmSdIzhx6_m4wkOD7IG-k_eo/edit#gid=0"", ""Maths!M:N""), 2, FALSE)"),"Evaluate the effectiveness of using the BODMAS rule in simplifying numerical expressions.")</f>
        <v>Evaluate the effectiveness of using the BODMAS rule in simplifying numerical expressions.</v>
      </c>
      <c r="T63" s="29" t="str">
        <f t="shared" si="11"/>
        <v>LU001164.006</v>
      </c>
      <c r="U63" s="29" t="str">
        <f ca="1">IFERROR(__xludf.dummyfunction("VLOOKUP(T63, IMPORTRANGE(""https://docs.google.com/spreadsheets/d/1yDAaXNsi4Mr5FtRQL4tbmSdIzhx6_m4wkOD7IG-k_eo/edit#gid=0"", ""Maths!M:N""), 2, FALSE)"),"Devise a set of practice problems involving numerical expressions requiring the application of the BODMAS rule.")</f>
        <v>Devise a set of practice problems involving numerical expressions requiring the application of the BODMAS rule.</v>
      </c>
      <c r="V63" s="16" t="str">
        <f ca="1">IFERROR(__xludf.dummyfunction("ArrayFormula(VLOOKUP(G63, IMPORTRANGE(""https://docs.google.com/spreadsheets/d/1p7R4vtkWt5VOBim4ltsDG9KTzSjrtKXsMtQGXPHyND0/edit#gid=795171502"", ""'Filter 30_05_2024'!A1:M2000""), {2, 3, 4, 5,6,7,8,9,10,11,12,13}, 0))"),"#N/A")</f>
        <v>#N/A</v>
      </c>
      <c r="W63" s="16" t="str">
        <f ca="1">IFERROR(__xludf.dummyfunction("""COMPUTED_VALUE"""),"#N/A")</f>
        <v>#N/A</v>
      </c>
      <c r="X63" s="16" t="str">
        <f ca="1">IFERROR(__xludf.dummyfunction("""COMPUTED_VALUE"""),"#N/A")</f>
        <v>#N/A</v>
      </c>
      <c r="Y63" s="16" t="str">
        <f ca="1">IFERROR(__xludf.dummyfunction("""COMPUTED_VALUE"""),"#N/A")</f>
        <v>#N/A</v>
      </c>
      <c r="Z63" s="16" t="str">
        <f ca="1">IFERROR(__xludf.dummyfunction("""COMPUTED_VALUE"""),"#N/A")</f>
        <v>#N/A</v>
      </c>
      <c r="AA63" s="30" t="str">
        <f ca="1">IFERROR(__xludf.dummyfunction("""COMPUTED_VALUE"""),"#N/A")</f>
        <v>#N/A</v>
      </c>
      <c r="AB63" s="30" t="str">
        <f ca="1">IFERROR(__xludf.dummyfunction("""COMPUTED_VALUE"""),"#N/A")</f>
        <v>#N/A</v>
      </c>
      <c r="AC63" s="30" t="str">
        <f ca="1">IFERROR(__xludf.dummyfunction("""COMPUTED_VALUE"""),"#N/A")</f>
        <v>#N/A</v>
      </c>
      <c r="AD63" s="16" t="str">
        <f ca="1">IFERROR(__xludf.dummyfunction("""COMPUTED_VALUE"""),"#N/A")</f>
        <v>#N/A</v>
      </c>
      <c r="AE63" s="30" t="str">
        <f ca="1">IFERROR(__xludf.dummyfunction("""COMPUTED_VALUE"""),"#N/A")</f>
        <v>#N/A</v>
      </c>
      <c r="AF63" s="30" t="str">
        <f ca="1">IFERROR(__xludf.dummyfunction("""COMPUTED_VALUE"""),"#N/A")</f>
        <v>#N/A</v>
      </c>
      <c r="AG63" s="30" t="str">
        <f ca="1">IFERROR(__xludf.dummyfunction("""COMPUTED_VALUE"""),"#N/A")</f>
        <v>#N/A</v>
      </c>
    </row>
    <row r="64" spans="1:33" ht="13.8">
      <c r="A64" s="25"/>
      <c r="B64" s="25" t="s">
        <v>29</v>
      </c>
      <c r="C64" s="25" t="s">
        <v>310</v>
      </c>
      <c r="D64" s="25">
        <v>7</v>
      </c>
      <c r="E64" s="64" t="s">
        <v>847</v>
      </c>
      <c r="F64" s="70" t="s">
        <v>848</v>
      </c>
      <c r="G64" s="71" t="s">
        <v>849</v>
      </c>
      <c r="H64" s="72" t="str">
        <f ca="1">IFERROR(__xludf.dummyfunction("IFERROR(
  VLOOKUP(G64, IMPORTRANGE(""https://docs.google.com/spreadsheets/d/14deopnvwcrKtEGCKuYXdUHJbeLDZlkiSSWWT0g7x2pM/edit#gid=849066331"", ""LU List Maths (Filter)!A:B""), 2, FALSE),
  IFERROR(
    VLOOKUP(G64, IMPORTRANGE(""https://docs.google.com/s"&amp;"preadsheets/d/14deopnvwcrKtEGCKuYXdUHJbeLDZlkiSSWWT0g7x2pM/edit#gid=849066331"", ""LU List Science (Filter)!A:B""), 2, FALSE),
    ""Not Found""
  )
)
"),"Multiplication of decimal number by a whole number")</f>
        <v>Multiplication of decimal number by a whole number</v>
      </c>
      <c r="I64" s="64"/>
      <c r="J64" s="29" t="str">
        <f t="shared" si="6"/>
        <v>LU000375.001</v>
      </c>
      <c r="K64" s="29" t="str">
        <f ca="1">IFERROR(__xludf.dummyfunction("VLOOKUP(J64, IMPORTRANGE(""https://docs.google.com/spreadsheets/d/1yDAaXNsi4Mr5FtRQL4tbmSdIzhx6_m4wkOD7IG-k_eo/edit#gid=0"", ""Maths!M:N""), 2, FALSE)"),"Recall the steps to multiply a decimal by a whole number.")</f>
        <v>Recall the steps to multiply a decimal by a whole number.</v>
      </c>
      <c r="L64" s="29" t="str">
        <f t="shared" si="7"/>
        <v>LU000375.002</v>
      </c>
      <c r="M64" s="29" t="str">
        <f ca="1">IFERROR(__xludf.dummyfunction("VLOOKUP(L64, IMPORTRANGE(""https://docs.google.com/spreadsheets/d/1yDAaXNsi4Mr5FtRQL4tbmSdIzhx6_m4wkOD7IG-k_eo/edit#gid=0"", ""Maths!M:N""), 2, FALSE)"),"Explain why the placement of the decimal point is important in decimal multiplication.")</f>
        <v>Explain why the placement of the decimal point is important in decimal multiplication.</v>
      </c>
      <c r="N64" s="29" t="str">
        <f t="shared" si="8"/>
        <v>LU000375.003</v>
      </c>
      <c r="O64" s="29" t="str">
        <f ca="1">IFERROR(__xludf.dummyfunction("VLOOKUP(N64, IMPORTRANGE(""https://docs.google.com/spreadsheets/d/1yDAaXNsi4Mr5FtRQL4tbmSdIzhx6_m4wkOD7IG-k_eo/edit#gid=0"", ""Maths!M:N""), 2, FALSE)"),"Calculate the product of a decimal and with a whole number.")</f>
        <v>Calculate the product of a decimal and with a whole number.</v>
      </c>
      <c r="P64" s="29" t="str">
        <f t="shared" si="9"/>
        <v>LU000375.004</v>
      </c>
      <c r="Q64" s="29" t="str">
        <f ca="1">IFERROR(__xludf.dummyfunction("VLOOKUP(P64, IMPORTRANGE(""https://docs.google.com/spreadsheets/d/1yDAaXNsi4Mr5FtRQL4tbmSdIzhx6_m4wkOD7IG-k_eo/edit#gid=0"", ""Maths!M:N""), 2, FALSE)"),"Solve word problems on the multiplication of a decimal with a whole number.")</f>
        <v>Solve word problems on the multiplication of a decimal with a whole number.</v>
      </c>
      <c r="R64" s="29" t="str">
        <f t="shared" si="10"/>
        <v>LU000375.005</v>
      </c>
      <c r="S64" s="29" t="str">
        <f ca="1">IFERROR(__xludf.dummyfunction("VLOOKUP(R64, IMPORTRANGE(""https://docs.google.com/spreadsheets/d/1yDAaXNsi4Mr5FtRQL4tbmSdIzhx6_m4wkOD7IG-k_eo/edit#gid=0"", ""Maths!M:N""), 2, FALSE)"),"Evaluate the accuracy of solutions for decimal multiplication by whole numbers.")</f>
        <v>Evaluate the accuracy of solutions for decimal multiplication by whole numbers.</v>
      </c>
      <c r="T64" s="29" t="str">
        <f t="shared" si="11"/>
        <v>LU000375.006</v>
      </c>
      <c r="U64" s="29" t="str">
        <f ca="1">IFERROR(__xludf.dummyfunction("VLOOKUP(T64, IMPORTRANGE(""https://docs.google.com/spreadsheets/d/1yDAaXNsi4Mr5FtRQL4tbmSdIzhx6_m4wkOD7IG-k_eo/edit#gid=0"", ""Maths!M:N""), 2, FALSE)"),"Create word problems involving real-life scenarios for peers to solve using decimal multiplication.")</f>
        <v>Create word problems involving real-life scenarios for peers to solve using decimal multiplication.</v>
      </c>
      <c r="V64" s="16">
        <f ca="1">IFERROR(__xludf.dummyfunction("ArrayFormula(VLOOKUP(G64, IMPORTRANGE(""https://docs.google.com/spreadsheets/d/1p7R4vtkWt5VOBim4ltsDG9KTzSjrtKXsMtQGXPHyND0/edit#gid=795171502"", ""'Filter 30_05_2024'!A1:M2000""), {2, 3, 4, 5,6,7,8,9,10,11,12,13}, 0))"),4)</f>
        <v>4</v>
      </c>
      <c r="W64" s="16">
        <f ca="1">IFERROR(__xludf.dummyfunction("""COMPUTED_VALUE"""),10)</f>
        <v>10</v>
      </c>
      <c r="X64" s="16">
        <f ca="1">IFERROR(__xludf.dummyfunction("""COMPUTED_VALUE"""),5)</f>
        <v>5</v>
      </c>
      <c r="Y64" s="16">
        <f ca="1">IFERROR(__xludf.dummyfunction("""COMPUTED_VALUE"""),19)</f>
        <v>19</v>
      </c>
      <c r="Z64" s="16">
        <f ca="1">IFERROR(__xludf.dummyfunction("""COMPUTED_VALUE"""),4)</f>
        <v>4</v>
      </c>
      <c r="AA64" s="30">
        <f ca="1">IFERROR(__xludf.dummyfunction("""COMPUTED_VALUE"""),3)</f>
        <v>3</v>
      </c>
      <c r="AB64" s="30">
        <f ca="1">IFERROR(__xludf.dummyfunction("""COMPUTED_VALUE"""),1)</f>
        <v>1</v>
      </c>
      <c r="AC64" s="30">
        <f ca="1">IFERROR(__xludf.dummyfunction("""COMPUTED_VALUE"""),8)</f>
        <v>8</v>
      </c>
      <c r="AD64" s="16"/>
      <c r="AE64" s="30"/>
      <c r="AF64" s="30"/>
      <c r="AG64" s="30"/>
    </row>
    <row r="65" spans="1:33" ht="13.8">
      <c r="A65" s="25"/>
      <c r="B65" s="25" t="s">
        <v>29</v>
      </c>
      <c r="C65" s="25" t="s">
        <v>310</v>
      </c>
      <c r="D65" s="25">
        <v>7</v>
      </c>
      <c r="E65" s="64" t="s">
        <v>847</v>
      </c>
      <c r="F65" s="70"/>
      <c r="G65" s="71" t="s">
        <v>850</v>
      </c>
      <c r="H65" s="72" t="str">
        <f ca="1">IFERROR(__xludf.dummyfunction("IFERROR(
  VLOOKUP(G65, IMPORTRANGE(""https://docs.google.com/spreadsheets/d/14deopnvwcrKtEGCKuYXdUHJbeLDZlkiSSWWT0g7x2pM/edit#gid=849066331"", ""LU List Maths (Filter)!A:B""), 2, FALSE),
  IFERROR(
    VLOOKUP(G65, IMPORTRANGE(""https://docs.google.com/s"&amp;"preadsheets/d/14deopnvwcrKtEGCKuYXdUHJbeLDZlkiSSWWT0g7x2pM/edit#gid=849066331"", ""LU List Science (Filter)!A:B""), 2, FALSE),
    ""Not Found""
  )
)
"),"Multiplication of decimal number by multiples of 10")</f>
        <v>Multiplication of decimal number by multiples of 10</v>
      </c>
      <c r="I65" s="64"/>
      <c r="J65" s="29" t="str">
        <f t="shared" si="6"/>
        <v>LU000376.001</v>
      </c>
      <c r="K65" s="29" t="str">
        <f ca="1">IFERROR(__xludf.dummyfunction("VLOOKUP(J65, IMPORTRANGE(""https://docs.google.com/spreadsheets/d/1yDAaXNsi4Mr5FtRQL4tbmSdIzhx6_m4wkOD7IG-k_eo/edit#gid=0"", ""Maths!M:N""), 2, FALSE)"),"Recall the steps to multiply a decimal by multiples of 10.")</f>
        <v>Recall the steps to multiply a decimal by multiples of 10.</v>
      </c>
      <c r="L65" s="29" t="str">
        <f t="shared" si="7"/>
        <v>LU000376.002</v>
      </c>
      <c r="M65" s="29" t="str">
        <f ca="1">IFERROR(__xludf.dummyfunction("VLOOKUP(L65, IMPORTRANGE(""https://docs.google.com/spreadsheets/d/1yDAaXNsi4Mr5FtRQL4tbmSdIzhx6_m4wkOD7IG-k_eo/edit#gid=0"", ""Maths!M:N""), 2, FALSE)"),"Explain why multiplication by 10, 100, etc. shifts decimal digits.")</f>
        <v>Explain why multiplication by 10, 100, etc. shifts decimal digits.</v>
      </c>
      <c r="N65" s="29" t="str">
        <f t="shared" si="8"/>
        <v>LU000376.003</v>
      </c>
      <c r="O65" s="29" t="str">
        <f ca="1">IFERROR(__xludf.dummyfunction("VLOOKUP(N65, IMPORTRANGE(""https://docs.google.com/spreadsheets/d/1yDAaXNsi4Mr5FtRQL4tbmSdIzhx6_m4wkOD7IG-k_eo/edit#gid=0"", ""Maths!M:N""), 2, FALSE)"),"Calculate the product of multiplying a decimal number by multiples of 10.")</f>
        <v>Calculate the product of multiplying a decimal number by multiples of 10.</v>
      </c>
      <c r="P65" s="29" t="str">
        <f t="shared" si="9"/>
        <v>LU000376.004</v>
      </c>
      <c r="Q65" s="29" t="str">
        <f ca="1">IFERROR(__xludf.dummyfunction("VLOOKUP(P65, IMPORTRANGE(""https://docs.google.com/spreadsheets/d/1yDAaXNsi4Mr5FtRQL4tbmSdIzhx6_m4wkOD7IG-k_eo/edit#gid=0"", ""Maths!M:N""), 2, FALSE)"),"Solve word problems on the multiplication of a decimal by multiples of 10.")</f>
        <v>Solve word problems on the multiplication of a decimal by multiples of 10.</v>
      </c>
      <c r="R65" s="29" t="str">
        <f t="shared" si="10"/>
        <v>LU000376.005</v>
      </c>
      <c r="S65" s="29" t="str">
        <f ca="1">IFERROR(__xludf.dummyfunction("VLOOKUP(R65, IMPORTRANGE(""https://docs.google.com/spreadsheets/d/1yDAaXNsi4Mr5FtRQL4tbmSdIzhx6_m4wkOD7IG-k_eo/edit#gid=0"", ""Maths!M:N""), 2, FALSE)"),"Verify that the product of decimal numbers by multiples of 10 in order to infer the right shift in decimal point.")</f>
        <v>Verify that the product of decimal numbers by multiples of 10 in order to infer the right shift in decimal point.</v>
      </c>
      <c r="T65" s="29" t="str">
        <f t="shared" si="11"/>
        <v>LU000376.006</v>
      </c>
      <c r="U65" s="29" t="str">
        <f ca="1">IFERROR(__xludf.dummyfunction("VLOOKUP(T65, IMPORTRANGE(""https://docs.google.com/spreadsheets/d/1yDAaXNsi4Mr5FtRQL4tbmSdIzhx6_m4wkOD7IG-k_eo/edit#gid=0"", ""Maths!M:N""), 2, FALSE)"),"Create real-life examples that require the multiplication of a decimal by multiples of 10.")</f>
        <v>Create real-life examples that require the multiplication of a decimal by multiples of 10.</v>
      </c>
      <c r="V65" s="16">
        <f ca="1">IFERROR(__xludf.dummyfunction("ArrayFormula(VLOOKUP(G65, IMPORTRANGE(""https://docs.google.com/spreadsheets/d/1p7R4vtkWt5VOBim4ltsDG9KTzSjrtKXsMtQGXPHyND0/edit#gid=795171502"", ""'Filter 30_05_2024'!A1:M2000""), {2, 3, 4, 5,6,7,8,9,10,11,12,13}, 0))"),4)</f>
        <v>4</v>
      </c>
      <c r="W65" s="16">
        <f ca="1">IFERROR(__xludf.dummyfunction("""COMPUTED_VALUE"""),6)</f>
        <v>6</v>
      </c>
      <c r="X65" s="16">
        <f ca="1">IFERROR(__xludf.dummyfunction("""COMPUTED_VALUE"""),10)</f>
        <v>10</v>
      </c>
      <c r="Y65" s="16">
        <f ca="1">IFERROR(__xludf.dummyfunction("""COMPUTED_VALUE"""),20)</f>
        <v>20</v>
      </c>
      <c r="Z65" s="16">
        <f ca="1">IFERROR(__xludf.dummyfunction("""COMPUTED_VALUE"""),4)</f>
        <v>4</v>
      </c>
      <c r="AA65" s="30">
        <f ca="1">IFERROR(__xludf.dummyfunction("""COMPUTED_VALUE"""),4)</f>
        <v>4</v>
      </c>
      <c r="AB65" s="30">
        <f ca="1">IFERROR(__xludf.dummyfunction("""COMPUTED_VALUE"""),2)</f>
        <v>2</v>
      </c>
      <c r="AC65" s="30">
        <f ca="1">IFERROR(__xludf.dummyfunction("""COMPUTED_VALUE"""),10)</f>
        <v>10</v>
      </c>
      <c r="AD65" s="16"/>
      <c r="AE65" s="30"/>
      <c r="AF65" s="30"/>
      <c r="AG65" s="30"/>
    </row>
    <row r="66" spans="1:33" ht="13.8">
      <c r="A66" s="25"/>
      <c r="B66" s="25" t="s">
        <v>29</v>
      </c>
      <c r="C66" s="25" t="s">
        <v>310</v>
      </c>
      <c r="D66" s="25">
        <v>7</v>
      </c>
      <c r="E66" s="64" t="s">
        <v>847</v>
      </c>
      <c r="F66" s="70"/>
      <c r="G66" s="71" t="s">
        <v>851</v>
      </c>
      <c r="H66" s="72" t="str">
        <f ca="1">IFERROR(__xludf.dummyfunction("IFERROR(
  VLOOKUP(G66, IMPORTRANGE(""https://docs.google.com/spreadsheets/d/14deopnvwcrKtEGCKuYXdUHJbeLDZlkiSSWWT0g7x2pM/edit#gid=849066331"", ""LU List Maths (Filter)!A:B""), 2, FALSE),
  IFERROR(
    VLOOKUP(G66, IMPORTRANGE(""https://docs.google.com/s"&amp;"preadsheets/d/14deopnvwcrKtEGCKuYXdUHJbeLDZlkiSSWWT0g7x2pM/edit#gid=849066331"", ""LU List Science (Filter)!A:B""), 2, FALSE),
    ""Not Found""
  )
)
"),"Multiplication of decimal numbers")</f>
        <v>Multiplication of decimal numbers</v>
      </c>
      <c r="I66" s="64"/>
      <c r="J66" s="29" t="str">
        <f t="shared" ref="J66:J97" si="12">G66 &amp; ".001"</f>
        <v>LU000377.001</v>
      </c>
      <c r="K66" s="29" t="str">
        <f ca="1">IFERROR(__xludf.dummyfunction("VLOOKUP(J66, IMPORTRANGE(""https://docs.google.com/spreadsheets/d/1yDAaXNsi4Mr5FtRQL4tbmSdIzhx6_m4wkOD7IG-k_eo/edit#gid=0"", ""Maths!M:N""), 2, FALSE)"),"State the various methods to multiply decimal numbers by other decimal numbers.")</f>
        <v>State the various methods to multiply decimal numbers by other decimal numbers.</v>
      </c>
      <c r="L66" s="29" t="str">
        <f t="shared" ref="L66:L97" si="13">G66 &amp; ".002"</f>
        <v>LU000377.002</v>
      </c>
      <c r="M66" s="29" t="str">
        <f ca="1">IFERROR(__xludf.dummyfunction("VLOOKUP(L66, IMPORTRANGE(""https://docs.google.com/spreadsheets/d/1yDAaXNsi4Mr5FtRQL4tbmSdIzhx6_m4wkOD7IG-k_eo/edit#gid=0"", ""Maths!M:N""), 2, FALSE)"),"Explain the significance of considering decimal places in decimal multiplication.")</f>
        <v>Explain the significance of considering decimal places in decimal multiplication.</v>
      </c>
      <c r="N66" s="29" t="str">
        <f t="shared" ref="N66:N97" si="14">G66 &amp; ".003"</f>
        <v>LU000377.003</v>
      </c>
      <c r="O66" s="29" t="str">
        <f ca="1">IFERROR(__xludf.dummyfunction("VLOOKUP(N66, IMPORTRANGE(""https://docs.google.com/spreadsheets/d/1yDAaXNsi4Mr5FtRQL4tbmSdIzhx6_m4wkOD7IG-k_eo/edit#gid=0"", ""Maths!M:N""), 2, FALSE)"),"Calculate the product of decimal numbers.")</f>
        <v>Calculate the product of decimal numbers.</v>
      </c>
      <c r="P66" s="29" t="str">
        <f t="shared" ref="P66:P97" si="15">G66 &amp; ".004"</f>
        <v>LU000377.004</v>
      </c>
      <c r="Q66" s="29" t="str">
        <f ca="1">IFERROR(__xludf.dummyfunction("VLOOKUP(P66, IMPORTRANGE(""https://docs.google.com/spreadsheets/d/1yDAaXNsi4Mr5FtRQL4tbmSdIzhx6_m4wkOD7IG-k_eo/edit#gid=0"", ""Maths!M:N""), 2, FALSE)"),"Solve word problems on the multiplication of a decimal number by a decimal number.")</f>
        <v>Solve word problems on the multiplication of a decimal number by a decimal number.</v>
      </c>
      <c r="R66" s="29" t="str">
        <f t="shared" ref="R66:R97" si="16">G66 &amp; ".005"</f>
        <v>LU000377.005</v>
      </c>
      <c r="S66" s="29" t="str">
        <f ca="1">IFERROR(__xludf.dummyfunction("VLOOKUP(R66, IMPORTRANGE(""https://docs.google.com/spreadsheets/d/1yDAaXNsi4Mr5FtRQL4tbmSdIzhx6_m4wkOD7IG-k_eo/edit#gid=0"", ""Maths!M:N""), 2, FALSE)"),"Evaluate the accuracy of solutions using the method of counting decimal places.")</f>
        <v>Evaluate the accuracy of solutions using the method of counting decimal places.</v>
      </c>
      <c r="T66" s="29" t="str">
        <f t="shared" ref="T66:T97" si="17">G66 &amp; ".006"</f>
        <v>LU000377.006</v>
      </c>
      <c r="U66" s="29" t="str">
        <f ca="1">IFERROR(__xludf.dummyfunction("VLOOKUP(T66, IMPORTRANGE(""https://docs.google.com/spreadsheets/d/1yDAaXNsi4Mr5FtRQL4tbmSdIzhx6_m4wkOD7IG-k_eo/edit#gid=0"", ""Maths!M:N""), 2, FALSE)"),"Create word problems illustrating scenarios where decimal numbers are multiplied by other decimals.")</f>
        <v>Create word problems illustrating scenarios where decimal numbers are multiplied by other decimals.</v>
      </c>
      <c r="V66" s="16">
        <f ca="1">IFERROR(__xludf.dummyfunction("ArrayFormula(VLOOKUP(G66, IMPORTRANGE(""https://docs.google.com/spreadsheets/d/1p7R4vtkWt5VOBim4ltsDG9KTzSjrtKXsMtQGXPHyND0/edit#gid=795171502"", ""'Filter 30_05_2024'!A1:M2000""), {2, 3, 4, 5,6,7,8,9,10,11,12,13}, 0))"),11)</f>
        <v>11</v>
      </c>
      <c r="W66" s="16">
        <f ca="1">IFERROR(__xludf.dummyfunction("""COMPUTED_VALUE"""),16)</f>
        <v>16</v>
      </c>
      <c r="X66" s="16">
        <f ca="1">IFERROR(__xludf.dummyfunction("""COMPUTED_VALUE"""),5)</f>
        <v>5</v>
      </c>
      <c r="Y66" s="16">
        <f ca="1">IFERROR(__xludf.dummyfunction("""COMPUTED_VALUE"""),32)</f>
        <v>32</v>
      </c>
      <c r="Z66" s="16">
        <f ca="1">IFERROR(__xludf.dummyfunction("""COMPUTED_VALUE"""),4)</f>
        <v>4</v>
      </c>
      <c r="AA66" s="30">
        <f ca="1">IFERROR(__xludf.dummyfunction("""COMPUTED_VALUE"""),5)</f>
        <v>5</v>
      </c>
      <c r="AB66" s="30">
        <f ca="1">IFERROR(__xludf.dummyfunction("""COMPUTED_VALUE"""),3)</f>
        <v>3</v>
      </c>
      <c r="AC66" s="30">
        <f ca="1">IFERROR(__xludf.dummyfunction("""COMPUTED_VALUE"""),12)</f>
        <v>12</v>
      </c>
      <c r="AD66" s="16"/>
      <c r="AE66" s="30"/>
      <c r="AF66" s="30"/>
      <c r="AG66" s="30"/>
    </row>
    <row r="67" spans="1:33" ht="13.8">
      <c r="A67" s="25"/>
      <c r="B67" s="25" t="s">
        <v>29</v>
      </c>
      <c r="C67" s="25" t="s">
        <v>310</v>
      </c>
      <c r="D67" s="25">
        <v>7</v>
      </c>
      <c r="E67" s="64" t="s">
        <v>847</v>
      </c>
      <c r="F67" s="70" t="s">
        <v>852</v>
      </c>
      <c r="G67" s="71" t="s">
        <v>853</v>
      </c>
      <c r="H67" s="72" t="str">
        <f ca="1">IFERROR(__xludf.dummyfunction("IFERROR(
  VLOOKUP(G67, IMPORTRANGE(""https://docs.google.com/spreadsheets/d/14deopnvwcrKtEGCKuYXdUHJbeLDZlkiSSWWT0g7x2pM/edit#gid=849066331"", ""LU List Maths (Filter)!A:B""), 2, FALSE),
  IFERROR(
    VLOOKUP(G67, IMPORTRANGE(""https://docs.google.com/s"&amp;"preadsheets/d/14deopnvwcrKtEGCKuYXdUHJbeLDZlkiSSWWT0g7x2pM/edit#gid=849066331"", ""LU List Science (Filter)!A:B""), 2, FALSE),
    ""Not Found""
  )
)
"),"Division of a decimal number by a whole number")</f>
        <v>Division of a decimal number by a whole number</v>
      </c>
      <c r="I67" s="64"/>
      <c r="J67" s="29" t="str">
        <f t="shared" si="12"/>
        <v>LU000379.001</v>
      </c>
      <c r="K67" s="29" t="str">
        <f ca="1">IFERROR(__xludf.dummyfunction("VLOOKUP(J67, IMPORTRANGE(""https://docs.google.com/spreadsheets/d/1yDAaXNsi4Mr5FtRQL4tbmSdIzhx6_m4wkOD7IG-k_eo/edit#gid=0"", ""Maths!M:N""), 2, FALSE)"),"Recall the steps for dividing a decimal number by a whole number.")</f>
        <v>Recall the steps for dividing a decimal number by a whole number.</v>
      </c>
      <c r="L67" s="29" t="str">
        <f t="shared" si="13"/>
        <v>LU000379.002</v>
      </c>
      <c r="M67" s="29" t="str">
        <f ca="1">IFERROR(__xludf.dummyfunction("VLOOKUP(L67, IMPORTRANGE(""https://docs.google.com/spreadsheets/d/1yDAaXNsi4Mr5FtRQL4tbmSdIzhx6_m4wkOD7IG-k_eo/edit#gid=0"", ""Maths!M:N""), 2, FALSE)"),"Explain the rationale for placing the decimal point in the quotient during division of a decimal by a whole number.")</f>
        <v>Explain the rationale for placing the decimal point in the quotient during division of a decimal by a whole number.</v>
      </c>
      <c r="N67" s="29" t="str">
        <f t="shared" si="14"/>
        <v>LU000379.003</v>
      </c>
      <c r="O67" s="29" t="str">
        <f ca="1">IFERROR(__xludf.dummyfunction("VLOOKUP(N67, IMPORTRANGE(""https://docs.google.com/spreadsheets/d/1yDAaXNsi4Mr5FtRQL4tbmSdIzhx6_m4wkOD7IG-k_eo/edit#gid=0"", ""Maths!M:N""), 2, FALSE)"),"Calculate the quotient by dividing a decimal number by a whole number.")</f>
        <v>Calculate the quotient by dividing a decimal number by a whole number.</v>
      </c>
      <c r="P67" s="29" t="str">
        <f t="shared" si="15"/>
        <v>LU000379.004</v>
      </c>
      <c r="Q67" s="29" t="str">
        <f ca="1">IFERROR(__xludf.dummyfunction("VLOOKUP(P67, IMPORTRANGE(""https://docs.google.com/spreadsheets/d/1yDAaXNsi4Mr5FtRQL4tbmSdIzhx6_m4wkOD7IG-k_eo/edit#gid=0"", ""Maths!M:N""), 2, FALSE)"),"Analyse how the position of the decimal point in the dividend affects the quotient.")</f>
        <v>Analyse how the position of the decimal point in the dividend affects the quotient.</v>
      </c>
      <c r="R67" s="29" t="str">
        <f t="shared" si="16"/>
        <v>LU000379.005</v>
      </c>
      <c r="S67" s="29" t="str">
        <f ca="1">IFERROR(__xludf.dummyfunction("VLOOKUP(R67, IMPORTRANGE(""https://docs.google.com/spreadsheets/d/1yDAaXNsi4Mr5FtRQL4tbmSdIzhx6_m4wkOD7IG-k_eo/edit#gid=0"", ""Maths!M:N""), 2, FALSE)"),"Evaluate the accuracy of decimal point placement in quotient while dividing decimals by whole numbers.")</f>
        <v>Evaluate the accuracy of decimal point placement in quotient while dividing decimals by whole numbers.</v>
      </c>
      <c r="T67" s="29" t="str">
        <f t="shared" si="17"/>
        <v>LU000379.006</v>
      </c>
      <c r="U67" s="29" t="str">
        <f ca="1">IFERROR(__xludf.dummyfunction("VLOOKUP(T67, IMPORTRANGE(""https://docs.google.com/spreadsheets/d/1yDAaXNsi4Mr5FtRQL4tbmSdIzhx6_m4wkOD7IG-k_eo/edit#gid=0"", ""Maths!M:N""), 2, FALSE)"),"Create word problems demonstrating division of a decimal numbers by a whole number.")</f>
        <v>Create word problems demonstrating division of a decimal numbers by a whole number.</v>
      </c>
      <c r="V67" s="16">
        <f ca="1">IFERROR(__xludf.dummyfunction("ArrayFormula(VLOOKUP(G67, IMPORTRANGE(""https://docs.google.com/spreadsheets/d/1p7R4vtkWt5VOBim4ltsDG9KTzSjrtKXsMtQGXPHyND0/edit#gid=795171502"", ""'Filter 30_05_2024'!A1:M2000""), {2, 3, 4, 5,6,7,8,9,10,11,12,13}, 0))"),4)</f>
        <v>4</v>
      </c>
      <c r="W67" s="16">
        <f ca="1">IFERROR(__xludf.dummyfunction("""COMPUTED_VALUE"""),15)</f>
        <v>15</v>
      </c>
      <c r="X67" s="16">
        <f ca="1">IFERROR(__xludf.dummyfunction("""COMPUTED_VALUE"""),2)</f>
        <v>2</v>
      </c>
      <c r="Y67" s="16">
        <f ca="1">IFERROR(__xludf.dummyfunction("""COMPUTED_VALUE"""),21)</f>
        <v>21</v>
      </c>
      <c r="Z67" s="16">
        <f ca="1">IFERROR(__xludf.dummyfunction("""COMPUTED_VALUE"""),5)</f>
        <v>5</v>
      </c>
      <c r="AA67" s="30">
        <f ca="1">IFERROR(__xludf.dummyfunction("""COMPUTED_VALUE"""),6)</f>
        <v>6</v>
      </c>
      <c r="AB67" s="30">
        <f ca="1">IFERROR(__xludf.dummyfunction("""COMPUTED_VALUE"""),1)</f>
        <v>1</v>
      </c>
      <c r="AC67" s="30">
        <f ca="1">IFERROR(__xludf.dummyfunction("""COMPUTED_VALUE"""),12)</f>
        <v>12</v>
      </c>
      <c r="AD67" s="16"/>
      <c r="AE67" s="30"/>
      <c r="AF67" s="30"/>
      <c r="AG67" s="30"/>
    </row>
    <row r="68" spans="1:33" ht="13.8">
      <c r="A68" s="25"/>
      <c r="B68" s="25" t="s">
        <v>29</v>
      </c>
      <c r="C68" s="25" t="s">
        <v>310</v>
      </c>
      <c r="D68" s="25">
        <v>7</v>
      </c>
      <c r="E68" s="64" t="s">
        <v>847</v>
      </c>
      <c r="F68" s="70"/>
      <c r="G68" s="71" t="s">
        <v>854</v>
      </c>
      <c r="H68" s="72" t="str">
        <f ca="1">IFERROR(__xludf.dummyfunction("IFERROR(
  VLOOKUP(G68, IMPORTRANGE(""https://docs.google.com/spreadsheets/d/14deopnvwcrKtEGCKuYXdUHJbeLDZlkiSSWWT0g7x2pM/edit#gid=849066331"", ""LU List Maths (Filter)!A:B""), 2, FALSE),
  IFERROR(
    VLOOKUP(G68, IMPORTRANGE(""https://docs.google.com/s"&amp;"preadsheets/d/14deopnvwcrKtEGCKuYXdUHJbeLDZlkiSSWWT0g7x2pM/edit#gid=849066331"", ""LU List Science (Filter)!A:B""), 2, FALSE),
    ""Not Found""
  )
)
"),"Division of a decimal number by multiples of 10")</f>
        <v>Division of a decimal number by multiples of 10</v>
      </c>
      <c r="I68" s="64"/>
      <c r="J68" s="29" t="str">
        <f t="shared" si="12"/>
        <v>LU000380.001</v>
      </c>
      <c r="K68" s="29" t="str">
        <f ca="1">IFERROR(__xludf.dummyfunction("VLOOKUP(J68, IMPORTRANGE(""https://docs.google.com/spreadsheets/d/1yDAaXNsi4Mr5FtRQL4tbmSdIzhx6_m4wkOD7IG-k_eo/edit#gid=0"", ""Maths!M:N""), 2, FALSE)"),"Recall the steps to divide a decimal by multiples of 10.")</f>
        <v>Recall the steps to divide a decimal by multiples of 10.</v>
      </c>
      <c r="L68" s="29" t="str">
        <f t="shared" si="13"/>
        <v>LU000380.002</v>
      </c>
      <c r="M68" s="29" t="str">
        <f ca="1">IFERROR(__xludf.dummyfunction("VLOOKUP(L68, IMPORTRANGE(""https://docs.google.com/spreadsheets/d/1yDAaXNsi4Mr5FtRQL4tbmSdIzhx6_m4wkOD7IG-k_eo/edit#gid=0"", ""Maths!M:N""), 2, FALSE)"),"Explain why division by 10, 100, etc. involves shifting digits to the left.")</f>
        <v>Explain why division by 10, 100, etc. involves shifting digits to the left.</v>
      </c>
      <c r="N68" s="29" t="str">
        <f t="shared" si="14"/>
        <v>LU000380.003</v>
      </c>
      <c r="O68" s="29" t="str">
        <f ca="1">IFERROR(__xludf.dummyfunction("VLOOKUP(N68, IMPORTRANGE(""https://docs.google.com/spreadsheets/d/1yDAaXNsi4Mr5FtRQL4tbmSdIzhx6_m4wkOD7IG-k_eo/edit#gid=0"", ""Maths!M:N""), 2, FALSE)"),"Calculate the quotient by dividing a decimal number by multiples of 10.")</f>
        <v>Calculate the quotient by dividing a decimal number by multiples of 10.</v>
      </c>
      <c r="P68" s="29" t="str">
        <f t="shared" si="15"/>
        <v>LU000380.004</v>
      </c>
      <c r="Q68" s="29" t="str">
        <f ca="1">IFERROR(__xludf.dummyfunction("VLOOKUP(P68, IMPORTRANGE(""https://docs.google.com/spreadsheets/d/1yDAaXNsi4Mr5FtRQL4tbmSdIzhx6_m4wkOD7IG-k_eo/edit#gid=0"", ""Maths!M:N""), 2, FALSE)"),"Solve word problems on the division of a decimal by multiples of 10.")</f>
        <v>Solve word problems on the division of a decimal by multiples of 10.</v>
      </c>
      <c r="R68" s="29" t="str">
        <f t="shared" si="16"/>
        <v>LU000380.005</v>
      </c>
      <c r="S68" s="29" t="str">
        <f ca="1">IFERROR(__xludf.dummyfunction("VLOOKUP(R68, IMPORTRANGE(""https://docs.google.com/spreadsheets/d/1yDAaXNsi4Mr5FtRQL4tbmSdIzhx6_m4wkOD7IG-k_eo/edit#gid=0"", ""Maths!M:N""), 2, FALSE)"),"Evaluate the accuracy of the quotient obtained by shifting decimal digits during division by multiples of 10.")</f>
        <v>Evaluate the accuracy of the quotient obtained by shifting decimal digits during division by multiples of 10.</v>
      </c>
      <c r="T68" s="29" t="str">
        <f t="shared" si="17"/>
        <v>LU000380.006</v>
      </c>
      <c r="U68" s="29" t="str">
        <f ca="1">IFERROR(__xludf.dummyfunction("VLOOKUP(T68, IMPORTRANGE(""https://docs.google.com/spreadsheets/d/1yDAaXNsi4Mr5FtRQL4tbmSdIzhx6_m4wkOD7IG-k_eo/edit#gid=0"", ""Maths!M:N""), 2, FALSE)"),"Create real-life examples that require the division of a decimal by multiples of 10.")</f>
        <v>Create real-life examples that require the division of a decimal by multiples of 10.</v>
      </c>
      <c r="V68" s="16">
        <f ca="1">IFERROR(__xludf.dummyfunction("ArrayFormula(VLOOKUP(G68, IMPORTRANGE(""https://docs.google.com/spreadsheets/d/1p7R4vtkWt5VOBim4ltsDG9KTzSjrtKXsMtQGXPHyND0/edit#gid=795171502"", ""'Filter 30_05_2024'!A1:M2000""), {2, 3, 4, 5,6,7,8,9,10,11,12,13}, 0))"),4)</f>
        <v>4</v>
      </c>
      <c r="W68" s="16">
        <f ca="1">IFERROR(__xludf.dummyfunction("""COMPUTED_VALUE"""),14)</f>
        <v>14</v>
      </c>
      <c r="X68" s="16">
        <f ca="1">IFERROR(__xludf.dummyfunction("""COMPUTED_VALUE"""),4)</f>
        <v>4</v>
      </c>
      <c r="Y68" s="16">
        <f ca="1">IFERROR(__xludf.dummyfunction("""COMPUTED_VALUE"""),22)</f>
        <v>22</v>
      </c>
      <c r="Z68" s="16">
        <f ca="1">IFERROR(__xludf.dummyfunction("""COMPUTED_VALUE"""),4)</f>
        <v>4</v>
      </c>
      <c r="AA68" s="30">
        <f ca="1">IFERROR(__xludf.dummyfunction("""COMPUTED_VALUE"""),4)</f>
        <v>4</v>
      </c>
      <c r="AB68" s="30">
        <f ca="1">IFERROR(__xludf.dummyfunction("""COMPUTED_VALUE"""),1)</f>
        <v>1</v>
      </c>
      <c r="AC68" s="30">
        <f ca="1">IFERROR(__xludf.dummyfunction("""COMPUTED_VALUE"""),9)</f>
        <v>9</v>
      </c>
      <c r="AD68" s="16"/>
      <c r="AE68" s="30"/>
      <c r="AF68" s="30"/>
      <c r="AG68" s="30"/>
    </row>
    <row r="69" spans="1:33" ht="13.8">
      <c r="A69" s="25"/>
      <c r="B69" s="25" t="s">
        <v>29</v>
      </c>
      <c r="C69" s="25" t="s">
        <v>310</v>
      </c>
      <c r="D69" s="25">
        <v>7</v>
      </c>
      <c r="E69" s="64" t="s">
        <v>847</v>
      </c>
      <c r="F69" s="70"/>
      <c r="G69" s="71" t="s">
        <v>855</v>
      </c>
      <c r="H69" s="72" t="str">
        <f ca="1">IFERROR(__xludf.dummyfunction("IFERROR(
  VLOOKUP(G69, IMPORTRANGE(""https://docs.google.com/spreadsheets/d/14deopnvwcrKtEGCKuYXdUHJbeLDZlkiSSWWT0g7x2pM/edit#gid=849066331"", ""LU List Maths (Filter)!A:B""), 2, FALSE),
  IFERROR(
    VLOOKUP(G69, IMPORTRANGE(""https://docs.google.com/s"&amp;"preadsheets/d/14deopnvwcrKtEGCKuYXdUHJbeLDZlkiSSWWT0g7x2pM/edit#gid=849066331"", ""LU List Science (Filter)!A:B""), 2, FALSE),
    ""Not Found""
  )
)
"),"Division of a decimal number by another decimal number")</f>
        <v>Division of a decimal number by another decimal number</v>
      </c>
      <c r="I69" s="64"/>
      <c r="J69" s="29" t="str">
        <f t="shared" si="12"/>
        <v>LU000381.001</v>
      </c>
      <c r="K69" s="29" t="str">
        <f ca="1">IFERROR(__xludf.dummyfunction("VLOOKUP(J69, IMPORTRANGE(""https://docs.google.com/spreadsheets/d/1yDAaXNsi4Mr5FtRQL4tbmSdIzhx6_m4wkOD7IG-k_eo/edit#gid=0"", ""Maths!M:N""), 2, FALSE)"),"Recall the steps to divide two decimal numbers by converting the divisor to a whole number.")</f>
        <v>Recall the steps to divide two decimal numbers by converting the divisor to a whole number.</v>
      </c>
      <c r="L69" s="29" t="str">
        <f t="shared" si="13"/>
        <v>LU000381.002</v>
      </c>
      <c r="M69" s="29" t="str">
        <f ca="1">IFERROR(__xludf.dummyfunction("VLOOKUP(L69, IMPORTRANGE(""https://docs.google.com/spreadsheets/d/1yDAaXNsi4Mr5FtRQL4tbmSdIzhx6_m4wkOD7IG-k_eo/edit#gid=0"", ""Maths!M:N""), 2, FALSE)"),"Explain why shifting the decimal point in both decimal numbers is necessary for division.")</f>
        <v>Explain why shifting the decimal point in both decimal numbers is necessary for division.</v>
      </c>
      <c r="N69" s="29" t="str">
        <f t="shared" si="14"/>
        <v>LU000381.003</v>
      </c>
      <c r="O69" s="29" t="str">
        <f ca="1">IFERROR(__xludf.dummyfunction("VLOOKUP(N69, IMPORTRANGE(""https://docs.google.com/spreadsheets/d/1yDAaXNsi4Mr5FtRQL4tbmSdIzhx6_m4wkOD7IG-k_eo/edit#gid=0"", ""Maths!M:N""), 2, FALSE)"),"Calculate the quotient by dividing a decimal number by a decimal number.")</f>
        <v>Calculate the quotient by dividing a decimal number by a decimal number.</v>
      </c>
      <c r="P69" s="29" t="str">
        <f t="shared" si="15"/>
        <v>LU000381.004</v>
      </c>
      <c r="Q69" s="29" t="str">
        <f ca="1">IFERROR(__xludf.dummyfunction("VLOOKUP(P69, IMPORTRANGE(""https://docs.google.com/spreadsheets/d/1yDAaXNsi4Mr5FtRQL4tbmSdIzhx6_m4wkOD7IG-k_eo/edit#gid=0"", ""Maths!M:N""), 2, FALSE)"),"Solve word problems based on division of decimal numbers.")</f>
        <v>Solve word problems based on division of decimal numbers.</v>
      </c>
      <c r="R69" s="29" t="str">
        <f t="shared" si="16"/>
        <v>LU000381.005</v>
      </c>
      <c r="S69" s="29" t="str">
        <f ca="1">IFERROR(__xludf.dummyfunction("VLOOKUP(R69, IMPORTRANGE(""https://docs.google.com/spreadsheets/d/1yDAaXNsi4Mr5FtRQL4tbmSdIzhx6_m4wkOD7IG-k_eo/edit#gid=0"", ""Maths!M:N""), 2, FALSE)"),"Evaluate different strategies for dividing decimal numbers.")</f>
        <v>Evaluate different strategies for dividing decimal numbers.</v>
      </c>
      <c r="T69" s="29" t="str">
        <f t="shared" si="17"/>
        <v>LU000381.006</v>
      </c>
      <c r="U69" s="29" t="str">
        <f ca="1">IFERROR(__xludf.dummyfunction("VLOOKUP(T69, IMPORTRANGE(""https://docs.google.com/spreadsheets/d/1yDAaXNsi4Mr5FtRQL4tbmSdIzhx6_m4wkOD7IG-k_eo/edit#gid=0"", ""Maths!M:N""), 2, FALSE)"),"Create division problems involving decimals where equal decimal point shifts are required for division.")</f>
        <v>Create division problems involving decimals where equal decimal point shifts are required for division.</v>
      </c>
      <c r="V69" s="16">
        <f ca="1">IFERROR(__xludf.dummyfunction("ArrayFormula(VLOOKUP(G69, IMPORTRANGE(""https://docs.google.com/spreadsheets/d/1p7R4vtkWt5VOBim4ltsDG9KTzSjrtKXsMtQGXPHyND0/edit#gid=795171502"", ""'Filter 30_05_2024'!A1:M2000""), {2, 3, 4, 5,6,7,8,9,10,11,12,13}, 0))"),3)</f>
        <v>3</v>
      </c>
      <c r="W69" s="16">
        <f ca="1">IFERROR(__xludf.dummyfunction("""COMPUTED_VALUE"""),5)</f>
        <v>5</v>
      </c>
      <c r="X69" s="16">
        <f ca="1">IFERROR(__xludf.dummyfunction("""COMPUTED_VALUE"""),2)</f>
        <v>2</v>
      </c>
      <c r="Y69" s="16">
        <f ca="1">IFERROR(__xludf.dummyfunction("""COMPUTED_VALUE"""),10)</f>
        <v>10</v>
      </c>
      <c r="Z69" s="16">
        <f ca="1">IFERROR(__xludf.dummyfunction("""COMPUTED_VALUE"""),6)</f>
        <v>6</v>
      </c>
      <c r="AA69" s="30">
        <f ca="1">IFERROR(__xludf.dummyfunction("""COMPUTED_VALUE"""),8)</f>
        <v>8</v>
      </c>
      <c r="AB69" s="30">
        <f ca="1">IFERROR(__xludf.dummyfunction("""COMPUTED_VALUE"""),4)</f>
        <v>4</v>
      </c>
      <c r="AC69" s="30">
        <f ca="1">IFERROR(__xludf.dummyfunction("""COMPUTED_VALUE"""),18)</f>
        <v>18</v>
      </c>
      <c r="AD69" s="16"/>
      <c r="AE69" s="30"/>
      <c r="AF69" s="30"/>
      <c r="AG69" s="30"/>
    </row>
    <row r="70" spans="1:33" ht="13.8">
      <c r="A70" s="25"/>
      <c r="B70" s="25" t="s">
        <v>29</v>
      </c>
      <c r="C70" s="25" t="s">
        <v>310</v>
      </c>
      <c r="D70" s="25">
        <v>7</v>
      </c>
      <c r="E70" s="64" t="s">
        <v>856</v>
      </c>
      <c r="F70" s="64" t="s">
        <v>857</v>
      </c>
      <c r="G70" s="71" t="s">
        <v>858</v>
      </c>
      <c r="H70" s="72" t="str">
        <f ca="1">IFERROR(__xludf.dummyfunction("IFERROR(
  VLOOKUP(G70, IMPORTRANGE(""https://docs.google.com/spreadsheets/d/14deopnvwcrKtEGCKuYXdUHJbeLDZlkiSSWWT0g7x2pM/edit#gid=849066331"", ""LU List Maths (Filter)!A:B""), 2, FALSE),
  IFERROR(
    VLOOKUP(G70, IMPORTRANGE(""https://docs.google.com/s"&amp;"preadsheets/d/14deopnvwcrKtEGCKuYXdUHJbeLDZlkiSSWWT0g7x2pM/edit#gid=849066331"", ""LU List Science (Filter)!A:B""), 2, FALSE),
    ""Not Found""
  )
)
"),"Definition of exponent of a number")</f>
        <v>Definition of exponent of a number</v>
      </c>
      <c r="I70" s="64"/>
      <c r="J70" s="29" t="str">
        <f t="shared" si="12"/>
        <v>LU000517.001</v>
      </c>
      <c r="K70" s="29" t="str">
        <f ca="1">IFERROR(__xludf.dummyfunction("VLOOKUP(J70, IMPORTRANGE(""https://docs.google.com/spreadsheets/d/1yDAaXNsi4Mr5FtRQL4tbmSdIzhx6_m4wkOD7IG-k_eo/edit#gid=0"", ""Maths!M:N""), 2, FALSE)"),"State that in the expression ""3^4,"" the exponent is 4, which indicates that 3 is multiplied by itself four times.")</f>
        <v>State that in the expression "3^4," the exponent is 4, which indicates that 3 is multiplied by itself four times.</v>
      </c>
      <c r="L70" s="29" t="str">
        <f t="shared" si="13"/>
        <v>LU000517.002</v>
      </c>
      <c r="M70" s="29" t="str">
        <f ca="1">IFERROR(__xludf.dummyfunction("VLOOKUP(L70, IMPORTRANGE(""https://docs.google.com/spreadsheets/d/1yDAaXNsi4Mr5FtRQL4tbmSdIzhx6_m4wkOD7IG-k_eo/edit#gid=0"", ""Maths!M:N""), 2, FALSE)"),"Explain the significance of an exponent in indicating repeated multiplication.")</f>
        <v>Explain the significance of an exponent in indicating repeated multiplication.</v>
      </c>
      <c r="N70" s="29" t="str">
        <f t="shared" si="14"/>
        <v>LU000517.003</v>
      </c>
      <c r="O70" s="29" t="str">
        <f ca="1">IFERROR(__xludf.dummyfunction("VLOOKUP(N70, IMPORTRANGE(""https://docs.google.com/spreadsheets/d/1yDAaXNsi4Mr5FtRQL4tbmSdIzhx6_m4wkOD7IG-k_eo/edit#gid=0"", ""Maths!M:N""), 2, FALSE)"),"Calculate the value of expressions with exponents, applying the definition of an exponent.")</f>
        <v>Calculate the value of expressions with exponents, applying the definition of an exponent.</v>
      </c>
      <c r="P70" s="29" t="str">
        <f t="shared" si="15"/>
        <v>LU000517.004</v>
      </c>
      <c r="Q70" s="29" t="str">
        <f ca="1">IFERROR(__xludf.dummyfunction("VLOOKUP(P70, IMPORTRANGE(""https://docs.google.com/spreadsheets/d/1yDAaXNsi4Mr5FtRQL4tbmSdIzhx6_m4wkOD7IG-k_eo/edit#gid=0"", ""Maths!M:N""), 2, FALSE)"),"Analyse different expressions with powers, identifying the base and the exponent in each expression.")</f>
        <v>Analyse different expressions with powers, identifying the base and the exponent in each expression.</v>
      </c>
      <c r="R70" s="29" t="str">
        <f t="shared" si="16"/>
        <v>LU000517.005</v>
      </c>
      <c r="S70" s="29" t="str">
        <f ca="1">IFERROR(__xludf.dummyfunction("VLOOKUP(R70, IMPORTRANGE(""https://docs.google.com/spreadsheets/d/1yDAaXNsi4Mr5FtRQL4tbmSdIzhx6_m4wkOD7IG-k_eo/edit#gid=0"", ""Maths!M:N""), 2, FALSE)"),"Evaluate the significance of exponents in representing large numbers and compactly expressing repeated operations.")</f>
        <v>Evaluate the significance of exponents in representing large numbers and compactly expressing repeated operations.</v>
      </c>
      <c r="T70" s="29" t="str">
        <f t="shared" si="17"/>
        <v>LU000517.006</v>
      </c>
      <c r="U70" s="29" t="str">
        <f ca="1">IFERROR(__xludf.dummyfunction("VLOOKUP(T70, IMPORTRANGE(""https://docs.google.com/spreadsheets/d/1yDAaXNsi4Mr5FtRQL4tbmSdIzhx6_m4wkOD7IG-k_eo/edit#gid=0"", ""Maths!M:N""), 2, FALSE)"),"Design a set of expressions that require using exponents to represent repeated multiplications.")</f>
        <v>Design a set of expressions that require using exponents to represent repeated multiplications.</v>
      </c>
      <c r="V70" s="16">
        <f ca="1">IFERROR(__xludf.dummyfunction("ArrayFormula(VLOOKUP(G70, IMPORTRANGE(""https://docs.google.com/spreadsheets/d/1p7R4vtkWt5VOBim4ltsDG9KTzSjrtKXsMtQGXPHyND0/edit#gid=795171502"", ""'Filter 30_05_2024'!A1:M2000""), {2, 3, 4, 5,6,7,8,9,10,11,12,13}, 0))"),4)</f>
        <v>4</v>
      </c>
      <c r="W70" s="16">
        <f ca="1">IFERROR(__xludf.dummyfunction("""COMPUTED_VALUE"""),12)</f>
        <v>12</v>
      </c>
      <c r="X70" s="16">
        <f ca="1">IFERROR(__xludf.dummyfunction("""COMPUTED_VALUE"""),16)</f>
        <v>16</v>
      </c>
      <c r="Y70" s="16">
        <f ca="1">IFERROR(__xludf.dummyfunction("""COMPUTED_VALUE"""),32)</f>
        <v>32</v>
      </c>
      <c r="Z70" s="16">
        <f ca="1">IFERROR(__xludf.dummyfunction("""COMPUTED_VALUE"""),4)</f>
        <v>4</v>
      </c>
      <c r="AA70" s="30">
        <f ca="1">IFERROR(__xludf.dummyfunction("""COMPUTED_VALUE"""),3)</f>
        <v>3</v>
      </c>
      <c r="AB70" s="30">
        <f ca="1">IFERROR(__xludf.dummyfunction("""COMPUTED_VALUE"""),5)</f>
        <v>5</v>
      </c>
      <c r="AC70" s="30">
        <f ca="1">IFERROR(__xludf.dummyfunction("""COMPUTED_VALUE"""),12)</f>
        <v>12</v>
      </c>
      <c r="AD70" s="16"/>
      <c r="AE70" s="30"/>
      <c r="AF70" s="30"/>
      <c r="AG70" s="30"/>
    </row>
    <row r="71" spans="1:33" ht="13.8">
      <c r="A71" s="25"/>
      <c r="B71" s="25" t="s">
        <v>29</v>
      </c>
      <c r="C71" s="25" t="s">
        <v>310</v>
      </c>
      <c r="D71" s="25">
        <v>7</v>
      </c>
      <c r="E71" s="64" t="s">
        <v>856</v>
      </c>
      <c r="F71" s="64"/>
      <c r="G71" s="71" t="s">
        <v>859</v>
      </c>
      <c r="H71" s="72" t="str">
        <f ca="1">IFERROR(__xludf.dummyfunction("IFERROR(
  VLOOKUP(G71, IMPORTRANGE(""https://docs.google.com/spreadsheets/d/14deopnvwcrKtEGCKuYXdUHJbeLDZlkiSSWWT0g7x2pM/edit#gid=849066331"", ""LU List Maths (Filter)!A:B""), 2, FALSE),
  IFERROR(
    VLOOKUP(G71, IMPORTRANGE(""https://docs.google.com/s"&amp;"preadsheets/d/14deopnvwcrKtEGCKuYXdUHJbeLDZlkiSSWWT0g7x2pM/edit#gid=849066331"", ""LU List Science (Filter)!A:B""), 2, FALSE),
    ""Not Found""
  )
)
"),"Definition of base of a number")</f>
        <v>Definition of base of a number</v>
      </c>
      <c r="I71" s="64"/>
      <c r="J71" s="29" t="str">
        <f t="shared" si="12"/>
        <v>LU000518.001</v>
      </c>
      <c r="K71" s="29" t="str">
        <f ca="1">IFERROR(__xludf.dummyfunction("VLOOKUP(J71, IMPORTRANGE(""https://docs.google.com/spreadsheets/d/1yDAaXNsi4Mr5FtRQL4tbmSdIzhx6_m4wkOD7IG-k_eo/edit#gid=0"", ""Maths!M:N""), 2, FALSE)"),"State that in the expression like ""2^3,"" the base is 2, which is the fundamental value being raised to the third power.")</f>
        <v>State that in the expression like "2^3," the base is 2, which is the fundamental value being raised to the third power.</v>
      </c>
      <c r="L71" s="29" t="str">
        <f t="shared" si="13"/>
        <v>LU000518.002</v>
      </c>
      <c r="M71" s="29" t="str">
        <f ca="1">IFERROR(__xludf.dummyfunction("VLOOKUP(L71, IMPORTRANGE(""https://docs.google.com/spreadsheets/d/1yDAaXNsi4Mr5FtRQL4tbmSdIzhx6_m4wkOD7IG-k_eo/edit#gid=0"", ""Maths!M:N""), 2, FALSE)"),"Explain why the base is a crucial component in powers and how it influences the result.")</f>
        <v>Explain why the base is a crucial component in powers and how it influences the result.</v>
      </c>
      <c r="N71" s="29" t="str">
        <f t="shared" si="14"/>
        <v>LU000518.003</v>
      </c>
      <c r="O71" s="29" t="str">
        <f ca="1">IFERROR(__xludf.dummyfunction("VLOOKUP(N71, IMPORTRANGE(""https://docs.google.com/spreadsheets/d/1yDAaXNsi4Mr5FtRQL4tbmSdIzhx6_m4wkOD7IG-k_eo/edit#gid=0"", ""Maths!M:N""), 2, FALSE)"),"Identify the base in different expressions involving powers and use it to calculate the power's value.")</f>
        <v>Identify the base in different expressions involving powers and use it to calculate the power's value.</v>
      </c>
      <c r="P71" s="29" t="str">
        <f t="shared" si="15"/>
        <v>LU000518.004</v>
      </c>
      <c r="Q71" s="29" t="str">
        <f ca="1">IFERROR(__xludf.dummyfunction("VLOOKUP(P71, IMPORTRANGE(""https://docs.google.com/spreadsheets/d/1yDAaXNsi4Mr5FtRQL4tbmSdIzhx6_m4wkOD7IG-k_eo/edit#gid=0"", ""Maths!M:N""), 2, FALSE)"),"Analyse various expressions with powers, focusing on recognising the base and understanding its significance.")</f>
        <v>Analyse various expressions with powers, focusing on recognising the base and understanding its significance.</v>
      </c>
      <c r="R71" s="29" t="str">
        <f t="shared" si="16"/>
        <v>LU000518.005</v>
      </c>
      <c r="S71" s="29" t="str">
        <f ca="1">IFERROR(__xludf.dummyfunction("VLOOKUP(R71, IMPORTRANGE(""https://docs.google.com/spreadsheets/d/1yDAaXNsi4Mr5FtRQL4tbmSdIzhx6_m4wkOD7IG-k_eo/edit#gid=0"", ""Maths!M:N""), 2, FALSE)"),"Compare the numbers expressed in exponential form and evaluate the impact of different bases on the values of numbers.")</f>
        <v>Compare the numbers expressed in exponential form and evaluate the impact of different bases on the values of numbers.</v>
      </c>
      <c r="T71" s="29" t="str">
        <f t="shared" si="17"/>
        <v>LU000518.006</v>
      </c>
      <c r="U71" s="29" t="str">
        <f ca="1">IFERROR(__xludf.dummyfunction("VLOOKUP(T71, IMPORTRANGE(""https://docs.google.com/spreadsheets/d/1yDAaXNsi4Mr5FtRQL4tbmSdIzhx6_m4wkOD7IG-k_eo/edit#gid=0"", ""Maths!M:N""), 2, FALSE)"),"Create a set of expressions (like 10^2, 8^3, and 12^4), identify the bases and calculate the powers' values.")</f>
        <v>Create a set of expressions (like 10^2, 8^3, and 12^4), identify the bases and calculate the powers' values.</v>
      </c>
      <c r="V71" s="16">
        <f ca="1">IFERROR(__xludf.dummyfunction("ArrayFormula(VLOOKUP(G71, IMPORTRANGE(""https://docs.google.com/spreadsheets/d/1p7R4vtkWt5VOBim4ltsDG9KTzSjrtKXsMtQGXPHyND0/edit#gid=795171502"", ""'Filter 30_05_2024'!A1:M2000""), {2, 3, 4, 5,6,7,8,9,10,11,12,13}, 0))"),4)</f>
        <v>4</v>
      </c>
      <c r="W71" s="16">
        <f ca="1">IFERROR(__xludf.dummyfunction("""COMPUTED_VALUE"""),6)</f>
        <v>6</v>
      </c>
      <c r="X71" s="16">
        <f ca="1">IFERROR(__xludf.dummyfunction("""COMPUTED_VALUE"""),21)</f>
        <v>21</v>
      </c>
      <c r="Y71" s="16">
        <f ca="1">IFERROR(__xludf.dummyfunction("""COMPUTED_VALUE"""),31)</f>
        <v>31</v>
      </c>
      <c r="Z71" s="16">
        <f ca="1">IFERROR(__xludf.dummyfunction("""COMPUTED_VALUE"""),4)</f>
        <v>4</v>
      </c>
      <c r="AA71" s="30">
        <f ca="1">IFERROR(__xludf.dummyfunction("""COMPUTED_VALUE"""),3)</f>
        <v>3</v>
      </c>
      <c r="AB71" s="30">
        <f ca="1">IFERROR(__xludf.dummyfunction("""COMPUTED_VALUE"""),7)</f>
        <v>7</v>
      </c>
      <c r="AC71" s="30">
        <f ca="1">IFERROR(__xludf.dummyfunction("""COMPUTED_VALUE"""),14)</f>
        <v>14</v>
      </c>
      <c r="AD71" s="16"/>
      <c r="AE71" s="30"/>
      <c r="AF71" s="30"/>
      <c r="AG71" s="30"/>
    </row>
    <row r="72" spans="1:33" ht="151.80000000000001">
      <c r="A72" s="25"/>
      <c r="B72" s="25" t="s">
        <v>29</v>
      </c>
      <c r="C72" s="25" t="s">
        <v>310</v>
      </c>
      <c r="D72" s="25">
        <v>7</v>
      </c>
      <c r="E72" s="64" t="s">
        <v>856</v>
      </c>
      <c r="F72" s="64" t="s">
        <v>860</v>
      </c>
      <c r="G72" s="71" t="s">
        <v>861</v>
      </c>
      <c r="H72" s="72" t="str">
        <f ca="1">IFERROR(__xludf.dummyfunction("IFERROR(
  VLOOKUP(G72, IMPORTRANGE(""https://docs.google.com/spreadsheets/d/14deopnvwcrKtEGCKuYXdUHJbeLDZlkiSSWWT0g7x2pM/edit#gid=849066331"", ""LU List Maths (Filter)!A:B""), 2, FALSE),
  IFERROR(
    VLOOKUP(G72, IMPORTRANGE(""https://docs.google.com/s"&amp;"preadsheets/d/14deopnvwcrKtEGCKuYXdUHJbeLDZlkiSSWWT0g7x2pM/edit#gid=849066331"", ""LU List Science (Filter)!A:B""), 2, FALSE),
    ""Not Found""
  )
)
"),"Write whole numbers in exponential form")</f>
        <v>Write whole numbers in exponential form</v>
      </c>
      <c r="I72" s="64"/>
      <c r="J72" s="29" t="str">
        <f t="shared" si="12"/>
        <v>LU000519.001</v>
      </c>
      <c r="K72" s="29" t="str">
        <f ca="1">IFERROR(__xludf.dummyfunction("VLOOKUP(J72, IMPORTRANGE(""https://docs.google.com/spreadsheets/d/1yDAaXNsi4Mr5FtRQL4tbmSdIzhx6_m4wkOD7IG-k_eo/edit#gid=0"", ""Maths!M:N""), 2, FALSE)"),"State that the exponential form represents a whole number like ""5"" as ""5^1,"" where ""1"" is the exponent.")</f>
        <v>State that the exponential form represents a whole number like "5" as "5^1," where "1" is the exponent.</v>
      </c>
      <c r="L72" s="29" t="str">
        <f t="shared" si="13"/>
        <v>LU000519.002</v>
      </c>
      <c r="M72" s="29" t="str">
        <f ca="1">IFERROR(__xludf.dummyfunction("VLOOKUP(L72, IMPORTRANGE(""https://docs.google.com/spreadsheets/d/1yDAaXNsi4Mr5FtRQL4tbmSdIzhx6_m4wkOD7IG-k_eo/edit#gid=0"", ""Maths!M:N""), 2, FALSE)"),"Describe how writing whole numbers in exponential form makes it easier to handle and compare large values.")</f>
        <v>Describe how writing whole numbers in exponential form makes it easier to handle and compare large values.</v>
      </c>
      <c r="N72" s="29" t="str">
        <f t="shared" si="14"/>
        <v>LU000519.003</v>
      </c>
      <c r="O72" s="29" t="str">
        <f ca="1">IFERROR(__xludf.dummyfunction("VLOOKUP(N72, IMPORTRANGE(""https://docs.google.com/spreadsheets/d/1yDAaXNsi4Mr5FtRQL4tbmSdIzhx6_m4wkOD7IG-k_eo/edit#gid=0"", ""Maths!M:N""), 2, FALSE)"),"Convert whole numbers into exponential form.")</f>
        <v>Convert whole numbers into exponential form.</v>
      </c>
      <c r="P72" s="29" t="str">
        <f t="shared" si="15"/>
        <v>LU000519.004</v>
      </c>
      <c r="Q72" s="29" t="str">
        <f ca="1">IFERROR(__xludf.dummyfunction("VLOOKUP(P72, IMPORTRANGE(""https://docs.google.com/spreadsheets/d/1yDAaXNsi4Mr5FtRQL4tbmSdIzhx6_m4wkOD7IG-k_eo/edit#gid=0"", ""Maths!M:N""), 2, FALSE)"),"Break down whole numbers into their exponential forms, recognising the base and exponent in each case.")</f>
        <v>Break down whole numbers into their exponential forms, recognising the base and exponent in each case.</v>
      </c>
      <c r="R72" s="29" t="str">
        <f t="shared" si="16"/>
        <v>LU000519.005</v>
      </c>
      <c r="S72" s="29" t="str">
        <f ca="1">IFERROR(__xludf.dummyfunction("VLOOKUP(R72, IMPORTRANGE(""https://docs.google.com/spreadsheets/d/1yDAaXNsi4Mr5FtRQL4tbmSdIzhx6_m4wkOD7IG-k_eo/edit#gid=0"", ""Maths!M:N""), 2, FALSE)"),"Evaluate the advantages of using exponential form for whole numbers in terms of clarity and conciseness.")</f>
        <v>Evaluate the advantages of using exponential form for whole numbers in terms of clarity and conciseness.</v>
      </c>
      <c r="T72" s="29" t="str">
        <f t="shared" si="17"/>
        <v>LU000519.006</v>
      </c>
      <c r="U72" s="49" t="str">
        <f ca="1">IFERROR(__xludf.dummyfunction("VLOOKUP(T72, IMPORTRANGE(""https://docs.google.com/spreadsheets/d/1yDAaXNsi4Mr5FtRQL4tbmSdIzhx6_m4wkOD7IG-k_eo/edit#gid=0"", ""Maths!M:N""), 2, FALSE)"),"Create a list of whole numbers and write them in exponential form, reinforcing the skills in this concept.
")</f>
        <v xml:space="preserve">Create a list of whole numbers and write them in exponential form, reinforcing the skills in this concept.
</v>
      </c>
      <c r="V72" s="16">
        <f ca="1">IFERROR(__xludf.dummyfunction("ArrayFormula(VLOOKUP(G72, IMPORTRANGE(""https://docs.google.com/spreadsheets/d/1p7R4vtkWt5VOBim4ltsDG9KTzSjrtKXsMtQGXPHyND0/edit#gid=795171502"", ""'Filter 30_05_2024'!A1:M2000""), {2, 3, 4, 5,6,7,8,9,10,11,12,13}, 0))"),4)</f>
        <v>4</v>
      </c>
      <c r="W72" s="16">
        <f ca="1">IFERROR(__xludf.dummyfunction("""COMPUTED_VALUE"""),13)</f>
        <v>13</v>
      </c>
      <c r="X72" s="16">
        <f ca="1">IFERROR(__xludf.dummyfunction("""COMPUTED_VALUE"""),2)</f>
        <v>2</v>
      </c>
      <c r="Y72" s="16">
        <f ca="1">IFERROR(__xludf.dummyfunction("""COMPUTED_VALUE"""),19)</f>
        <v>19</v>
      </c>
      <c r="Z72" s="16">
        <f ca="1">IFERROR(__xludf.dummyfunction("""COMPUTED_VALUE"""),4)</f>
        <v>4</v>
      </c>
      <c r="AA72" s="30">
        <f ca="1">IFERROR(__xludf.dummyfunction("""COMPUTED_VALUE"""),5)</f>
        <v>5</v>
      </c>
      <c r="AB72" s="30">
        <f ca="1">IFERROR(__xludf.dummyfunction("""COMPUTED_VALUE"""),1)</f>
        <v>1</v>
      </c>
      <c r="AC72" s="30">
        <f ca="1">IFERROR(__xludf.dummyfunction("""COMPUTED_VALUE"""),10)</f>
        <v>10</v>
      </c>
      <c r="AD72" s="16"/>
      <c r="AE72" s="30"/>
      <c r="AF72" s="30"/>
      <c r="AG72" s="30"/>
    </row>
    <row r="73" spans="1:33" ht="13.8">
      <c r="A73" s="25"/>
      <c r="B73" s="25" t="s">
        <v>29</v>
      </c>
      <c r="C73" s="25" t="s">
        <v>310</v>
      </c>
      <c r="D73" s="25">
        <v>7</v>
      </c>
      <c r="E73" s="64" t="s">
        <v>856</v>
      </c>
      <c r="F73" s="64"/>
      <c r="G73" s="71" t="s">
        <v>862</v>
      </c>
      <c r="H73" s="72" t="str">
        <f ca="1">IFERROR(__xludf.dummyfunction("IFERROR(
  VLOOKUP(G73, IMPORTRANGE(""https://docs.google.com/spreadsheets/d/14deopnvwcrKtEGCKuYXdUHJbeLDZlkiSSWWT0g7x2pM/edit#gid=849066331"", ""LU List Maths (Filter)!A:B""), 2, FALSE),
  IFERROR(
    VLOOKUP(G73, IMPORTRANGE(""https://docs.google.com/s"&amp;"preadsheets/d/14deopnvwcrKtEGCKuYXdUHJbeLDZlkiSSWWT0g7x2pM/edit#gid=849066331"", ""LU List Science (Filter)!A:B""), 2, FALSE),
    ""Not Found""
  )
)
"),"Convert negative integer numbers to exponential form")</f>
        <v>Convert negative integer numbers to exponential form</v>
      </c>
      <c r="I73" s="64"/>
      <c r="J73" s="29" t="str">
        <f t="shared" si="12"/>
        <v>LU000934.001</v>
      </c>
      <c r="K73" s="29" t="str">
        <f ca="1">IFERROR(__xludf.dummyfunction("VLOOKUP(J73, IMPORTRANGE(""https://docs.google.com/spreadsheets/d/1yDAaXNsi4Mr5FtRQL4tbmSdIzhx6_m4wkOD7IG-k_eo/edit#gid=0"", ""Maths!M:N""), 2, FALSE)"),"Recall the definition of negative integer numbers and their representation as fractions in exponential form.")</f>
        <v>Recall the definition of negative integer numbers and their representation as fractions in exponential form.</v>
      </c>
      <c r="L73" s="29" t="str">
        <f t="shared" si="13"/>
        <v>LU000934.002</v>
      </c>
      <c r="M73" s="29" t="str">
        <f ca="1">IFERROR(__xludf.dummyfunction("VLOOKUP(L73, IMPORTRANGE(""https://docs.google.com/spreadsheets/d/1yDAaXNsi4Mr5FtRQL4tbmSdIzhx6_m4wkOD7IG-k_eo/edit#gid=0"", ""Maths!M:N""), 2, FALSE)"),"Explain the concept of representing negative integer numbers in exponential form.")</f>
        <v>Explain the concept of representing negative integer numbers in exponential form.</v>
      </c>
      <c r="N73" s="29" t="str">
        <f t="shared" si="14"/>
        <v>LU000934.003</v>
      </c>
      <c r="O73" s="29" t="str">
        <f ca="1">IFERROR(__xludf.dummyfunction("VLOOKUP(N73, IMPORTRANGE(""https://docs.google.com/spreadsheets/d/1yDAaXNsi4Mr5FtRQL4tbmSdIzhx6_m4wkOD7IG-k_eo/edit#gid=0"", ""Maths!M:N""), 2, FALSE)"),"Apply the knowledge of integer numbers and exponentiation to convert given negative integer numbers into exponential form.")</f>
        <v>Apply the knowledge of integer numbers and exponentiation to convert given negative integer numbers into exponential form.</v>
      </c>
      <c r="P73" s="29" t="str">
        <f t="shared" si="15"/>
        <v>LU000934.004</v>
      </c>
      <c r="Q73" s="29" t="str">
        <f ca="1">IFERROR(__xludf.dummyfunction("VLOOKUP(P73, IMPORTRANGE(""https://docs.google.com/spreadsheets/d/1yDAaXNsi4Mr5FtRQL4tbmSdIzhx6_m4wkOD7IG-k_eo/edit#gid=0"", ""Maths!M:N""), 2, FALSE)"),"Analyse different negative integer numbers to identify the relationship between their parts when expressed in exponential form.")</f>
        <v>Analyse different negative integer numbers to identify the relationship between their parts when expressed in exponential form.</v>
      </c>
      <c r="R73" s="29" t="str">
        <f t="shared" si="16"/>
        <v>LU000934.005</v>
      </c>
      <c r="S73" s="29" t="str">
        <f ca="1">IFERROR(__xludf.dummyfunction("VLOOKUP(R73, IMPORTRANGE(""https://docs.google.com/spreadsheets/d/1yDAaXNsi4Mr5FtRQL4tbmSdIzhx6_m4wkOD7IG-k_eo/edit#gid=0"", ""Maths!M:N""), 2, FALSE)"),"Evaluate the effectiveness of using exponential form to represent negative integer numbers for calculations and comparisons.")</f>
        <v>Evaluate the effectiveness of using exponential form to represent negative integer numbers for calculations and comparisons.</v>
      </c>
      <c r="T73" s="29" t="str">
        <f t="shared" si="17"/>
        <v>LU000934.006</v>
      </c>
      <c r="U73" s="29" t="str">
        <f ca="1">IFERROR(__xludf.dummyfunction("VLOOKUP(T73, IMPORTRANGE(""https://docs.google.com/spreadsheets/d/1yDAaXNsi4Mr5FtRQL4tbmSdIzhx6_m4wkOD7IG-k_eo/edit#gid=0"", ""Maths!M:N""), 2, FALSE)"),"Create a set of problems involving real-world situations and convert negative integer numbers into exponential form to solve practical challenges.")</f>
        <v>Create a set of problems involving real-world situations and convert negative integer numbers into exponential form to solve practical challenges.</v>
      </c>
      <c r="V73" s="16">
        <f ca="1">IFERROR(__xludf.dummyfunction("ArrayFormula(VLOOKUP(G73, IMPORTRANGE(""https://docs.google.com/spreadsheets/d/1p7R4vtkWt5VOBim4ltsDG9KTzSjrtKXsMtQGXPHyND0/edit#gid=795171502"", ""'Filter 30_05_2024'!A1:M2000""), {2, 3, 4, 5,6,7,8,9,10,11,12,13}, 0))"),4)</f>
        <v>4</v>
      </c>
      <c r="W73" s="16">
        <f ca="1">IFERROR(__xludf.dummyfunction("""COMPUTED_VALUE"""),6)</f>
        <v>6</v>
      </c>
      <c r="X73" s="16">
        <f ca="1">IFERROR(__xludf.dummyfunction("""COMPUTED_VALUE"""),2)</f>
        <v>2</v>
      </c>
      <c r="Y73" s="16">
        <f ca="1">IFERROR(__xludf.dummyfunction("""COMPUTED_VALUE"""),12)</f>
        <v>12</v>
      </c>
      <c r="Z73" s="16">
        <f ca="1">IFERROR(__xludf.dummyfunction("""COMPUTED_VALUE"""),4)</f>
        <v>4</v>
      </c>
      <c r="AA73" s="30">
        <f ca="1">IFERROR(__xludf.dummyfunction("""COMPUTED_VALUE"""),3)</f>
        <v>3</v>
      </c>
      <c r="AB73" s="30">
        <f ca="1">IFERROR(__xludf.dummyfunction("""COMPUTED_VALUE"""),1)</f>
        <v>1</v>
      </c>
      <c r="AC73" s="30">
        <f ca="1">IFERROR(__xludf.dummyfunction("""COMPUTED_VALUE"""),8)</f>
        <v>8</v>
      </c>
      <c r="AD73" s="16"/>
      <c r="AE73" s="30"/>
      <c r="AF73" s="30"/>
      <c r="AG73" s="30"/>
    </row>
    <row r="74" spans="1:33" ht="13.8">
      <c r="A74" s="25"/>
      <c r="B74" s="25" t="s">
        <v>29</v>
      </c>
      <c r="C74" s="25" t="s">
        <v>310</v>
      </c>
      <c r="D74" s="25">
        <v>7</v>
      </c>
      <c r="E74" s="64" t="s">
        <v>856</v>
      </c>
      <c r="F74" s="64" t="s">
        <v>863</v>
      </c>
      <c r="G74" s="71" t="s">
        <v>864</v>
      </c>
      <c r="H74" s="72" t="str">
        <f ca="1">IFERROR(__xludf.dummyfunction("IFERROR(
  VLOOKUP(G74, IMPORTRANGE(""https://docs.google.com/spreadsheets/d/14deopnvwcrKtEGCKuYXdUHJbeLDZlkiSSWWT0g7x2pM/edit#gid=849066331"", ""LU List Maths (Filter)!A:B""), 2, FALSE),
  IFERROR(
    VLOOKUP(G74, IMPORTRANGE(""https://docs.google.com/s"&amp;"preadsheets/d/14deopnvwcrKtEGCKuYXdUHJbeLDZlkiSSWWT0g7x2pM/edit#gid=849066331"", ""LU List Science (Filter)!A:B""), 2, FALSE),
    ""Not Found""
  )
)
"),"Convert positive rational numbers to exponential form")</f>
        <v>Convert positive rational numbers to exponential form</v>
      </c>
      <c r="I74" s="64"/>
      <c r="J74" s="29" t="str">
        <f t="shared" si="12"/>
        <v>LU000547.001</v>
      </c>
      <c r="K74" s="29" t="str">
        <f ca="1">IFERROR(__xludf.dummyfunction("VLOOKUP(J74, IMPORTRANGE(""https://docs.google.com/spreadsheets/d/1yDAaXNsi4Mr5FtRQL4tbmSdIzhx6_m4wkOD7IG-k_eo/edit#gid=0"", ""Maths!M:N""), 2, FALSE)"),"Recall the definition of positive rational numbers and their representation as fractions in exponential form.")</f>
        <v>Recall the definition of positive rational numbers and their representation as fractions in exponential form.</v>
      </c>
      <c r="L74" s="29" t="str">
        <f t="shared" si="13"/>
        <v>LU000547.002</v>
      </c>
      <c r="M74" s="29" t="str">
        <f ca="1">IFERROR(__xludf.dummyfunction("VLOOKUP(L74, IMPORTRANGE(""https://docs.google.com/spreadsheets/d/1yDAaXNsi4Mr5FtRQL4tbmSdIzhx6_m4wkOD7IG-k_eo/edit#gid=0"", ""Maths!M:N""), 2, FALSE)"),"Explain the concept of representing positive rational numbers in exponential form.")</f>
        <v>Explain the concept of representing positive rational numbers in exponential form.</v>
      </c>
      <c r="N74" s="29" t="str">
        <f t="shared" si="14"/>
        <v>LU000547.003</v>
      </c>
      <c r="O74" s="29" t="str">
        <f ca="1">IFERROR(__xludf.dummyfunction("VLOOKUP(N74, IMPORTRANGE(""https://docs.google.com/spreadsheets/d/1yDAaXNsi4Mr5FtRQL4tbmSdIzhx6_m4wkOD7IG-k_eo/edit#gid=0"", ""Maths!M:N""), 2, FALSE)"),"Apply the knowledge of rational numbers and exponentiation to convert given positive rational numbers into exponential form.")</f>
        <v>Apply the knowledge of rational numbers and exponentiation to convert given positive rational numbers into exponential form.</v>
      </c>
      <c r="P74" s="29" t="str">
        <f t="shared" si="15"/>
        <v>LU000547.004</v>
      </c>
      <c r="Q74" s="29" t="str">
        <f ca="1">IFERROR(__xludf.dummyfunction("VLOOKUP(P74, IMPORTRANGE(""https://docs.google.com/spreadsheets/d/1yDAaXNsi4Mr5FtRQL4tbmSdIzhx6_m4wkOD7IG-k_eo/edit#gid=0"", ""Maths!M:N""), 2, FALSE)"),"Analyse different positive rational numbers to identify the relationship between their parts when expressed in exponential form.")</f>
        <v>Analyse different positive rational numbers to identify the relationship between their parts when expressed in exponential form.</v>
      </c>
      <c r="R74" s="29" t="str">
        <f t="shared" si="16"/>
        <v>LU000547.005</v>
      </c>
      <c r="S74" s="29" t="str">
        <f ca="1">IFERROR(__xludf.dummyfunction("VLOOKUP(R74, IMPORTRANGE(""https://docs.google.com/spreadsheets/d/1yDAaXNsi4Mr5FtRQL4tbmSdIzhx6_m4wkOD7IG-k_eo/edit#gid=0"", ""Maths!M:N""), 2, FALSE)"),"Evaluate the effectiveness of using exponential form to represent positive rational numbers for calculations and comparisons.")</f>
        <v>Evaluate the effectiveness of using exponential form to represent positive rational numbers for calculations and comparisons.</v>
      </c>
      <c r="T74" s="29" t="str">
        <f t="shared" si="17"/>
        <v>LU000547.006</v>
      </c>
      <c r="U74" s="29" t="str">
        <f ca="1">IFERROR(__xludf.dummyfunction("VLOOKUP(T74, IMPORTRANGE(""https://docs.google.com/spreadsheets/d/1yDAaXNsi4Mr5FtRQL4tbmSdIzhx6_m4wkOD7IG-k_eo/edit#gid=0"", ""Maths!M:N""), 2, FALSE)"),"Create a set of problems involving real-world situations and convert positive rational numbers into exponential form to solve practical challenges.")</f>
        <v>Create a set of problems involving real-world situations and convert positive rational numbers into exponential form to solve practical challenges.</v>
      </c>
      <c r="V74" s="16">
        <f ca="1">IFERROR(__xludf.dummyfunction("ArrayFormula(VLOOKUP(G74, IMPORTRANGE(""https://docs.google.com/spreadsheets/d/1p7R4vtkWt5VOBim4ltsDG9KTzSjrtKXsMtQGXPHyND0/edit#gid=795171502"", ""'Filter 30_05_2024'!A1:M2000""), {2, 3, 4, 5,6,7,8,9,10,11,12,13}, 0))"),4)</f>
        <v>4</v>
      </c>
      <c r="W74" s="16">
        <f ca="1">IFERROR(__xludf.dummyfunction("""COMPUTED_VALUE"""),5)</f>
        <v>5</v>
      </c>
      <c r="X74" s="16">
        <f ca="1">IFERROR(__xludf.dummyfunction("""COMPUTED_VALUE"""),2)</f>
        <v>2</v>
      </c>
      <c r="Y74" s="16">
        <f ca="1">IFERROR(__xludf.dummyfunction("""COMPUTED_VALUE"""),11)</f>
        <v>11</v>
      </c>
      <c r="Z74" s="16">
        <f ca="1">IFERROR(__xludf.dummyfunction("""COMPUTED_VALUE"""),4)</f>
        <v>4</v>
      </c>
      <c r="AA74" s="30">
        <f ca="1">IFERROR(__xludf.dummyfunction("""COMPUTED_VALUE"""),7)</f>
        <v>7</v>
      </c>
      <c r="AB74" s="30">
        <f ca="1">IFERROR(__xludf.dummyfunction("""COMPUTED_VALUE"""),1)</f>
        <v>1</v>
      </c>
      <c r="AC74" s="30">
        <f ca="1">IFERROR(__xludf.dummyfunction("""COMPUTED_VALUE"""),12)</f>
        <v>12</v>
      </c>
      <c r="AD74" s="16"/>
      <c r="AE74" s="30"/>
      <c r="AF74" s="30"/>
      <c r="AG74" s="30"/>
    </row>
    <row r="75" spans="1:33" ht="13.8">
      <c r="A75" s="25"/>
      <c r="B75" s="25" t="s">
        <v>29</v>
      </c>
      <c r="C75" s="25" t="s">
        <v>310</v>
      </c>
      <c r="D75" s="25">
        <v>7</v>
      </c>
      <c r="E75" s="64" t="s">
        <v>856</v>
      </c>
      <c r="F75" s="64"/>
      <c r="G75" s="71" t="s">
        <v>865</v>
      </c>
      <c r="H75" s="72" t="str">
        <f ca="1">IFERROR(__xludf.dummyfunction("IFERROR(
  VLOOKUP(G75, IMPORTRANGE(""https://docs.google.com/spreadsheets/d/14deopnvwcrKtEGCKuYXdUHJbeLDZlkiSSWWT0g7x2pM/edit#gid=849066331"", ""LU List Maths (Filter)!A:B""), 2, FALSE),
  IFERROR(
    VLOOKUP(G75, IMPORTRANGE(""https://docs.google.com/s"&amp;"preadsheets/d/14deopnvwcrKtEGCKuYXdUHJbeLDZlkiSSWWT0g7x2pM/edit#gid=849066331"", ""LU List Science (Filter)!A:B""), 2, FALSE),
    ""Not Found""
  )
)
"),"Convert negative rational numbers to exponential form")</f>
        <v>Convert negative rational numbers to exponential form</v>
      </c>
      <c r="I75" s="64"/>
      <c r="J75" s="29" t="str">
        <f t="shared" si="12"/>
        <v>LU000553.001</v>
      </c>
      <c r="K75" s="29" t="str">
        <f ca="1">IFERROR(__xludf.dummyfunction("VLOOKUP(J75, IMPORTRANGE(""https://docs.google.com/spreadsheets/d/1yDAaXNsi4Mr5FtRQL4tbmSdIzhx6_m4wkOD7IG-k_eo/edit#gid=0"", ""Maths!M:N""), 2, FALSE)"),"Recall the definition of negative rational numbers and their representation as fractions in exponential form.")</f>
        <v>Recall the definition of negative rational numbers and their representation as fractions in exponential form.</v>
      </c>
      <c r="L75" s="29" t="str">
        <f t="shared" si="13"/>
        <v>LU000553.002</v>
      </c>
      <c r="M75" s="29" t="str">
        <f ca="1">IFERROR(__xludf.dummyfunction("VLOOKUP(L75, IMPORTRANGE(""https://docs.google.com/spreadsheets/d/1yDAaXNsi4Mr5FtRQL4tbmSdIzhx6_m4wkOD7IG-k_eo/edit#gid=0"", ""Maths!M:N""), 2, FALSE)"),"Explain the concept of representing negative rational numbers in exponential form.")</f>
        <v>Explain the concept of representing negative rational numbers in exponential form.</v>
      </c>
      <c r="N75" s="29" t="str">
        <f t="shared" si="14"/>
        <v>LU000553.003</v>
      </c>
      <c r="O75" s="29" t="str">
        <f ca="1">IFERROR(__xludf.dummyfunction("VLOOKUP(N75, IMPORTRANGE(""https://docs.google.com/spreadsheets/d/1yDAaXNsi4Mr5FtRQL4tbmSdIzhx6_m4wkOD7IG-k_eo/edit#gid=0"", ""Maths!M:N""), 2, FALSE)"),"Apply the knowledge of rational numbers and exponentiation to convert given negative rational numbers into exponential form.")</f>
        <v>Apply the knowledge of rational numbers and exponentiation to convert given negative rational numbers into exponential form.</v>
      </c>
      <c r="P75" s="29" t="str">
        <f t="shared" si="15"/>
        <v>LU000553.004</v>
      </c>
      <c r="Q75" s="29" t="str">
        <f ca="1">IFERROR(__xludf.dummyfunction("VLOOKUP(P75, IMPORTRANGE(""https://docs.google.com/spreadsheets/d/1yDAaXNsi4Mr5FtRQL4tbmSdIzhx6_m4wkOD7IG-k_eo/edit#gid=0"", ""Maths!M:N""), 2, FALSE)"),"Analyse different negative rational numbers to identify the relationship between their parts when expressed in exponential form.")</f>
        <v>Analyse different negative rational numbers to identify the relationship between their parts when expressed in exponential form.</v>
      </c>
      <c r="R75" s="29" t="str">
        <f t="shared" si="16"/>
        <v>LU000553.005</v>
      </c>
      <c r="S75" s="29" t="str">
        <f ca="1">IFERROR(__xludf.dummyfunction("VLOOKUP(R75, IMPORTRANGE(""https://docs.google.com/spreadsheets/d/1yDAaXNsi4Mr5FtRQL4tbmSdIzhx6_m4wkOD7IG-k_eo/edit#gid=0"", ""Maths!M:N""), 2, FALSE)"),"Evaluate the effectiveness of using exponential form to represent negative rational numbers for calculations and comparisons.")</f>
        <v>Evaluate the effectiveness of using exponential form to represent negative rational numbers for calculations and comparisons.</v>
      </c>
      <c r="T75" s="29" t="str">
        <f t="shared" si="17"/>
        <v>LU000553.006</v>
      </c>
      <c r="U75" s="29" t="str">
        <f ca="1">IFERROR(__xludf.dummyfunction("VLOOKUP(T75, IMPORTRANGE(""https://docs.google.com/spreadsheets/d/1yDAaXNsi4Mr5FtRQL4tbmSdIzhx6_m4wkOD7IG-k_eo/edit#gid=0"", ""Maths!M:N""), 2, FALSE)"),"Create a set of problems involving real-world situations and convert negative rational numbers into exponential form to solve practical challenges.")</f>
        <v>Create a set of problems involving real-world situations and convert negative rational numbers into exponential form to solve practical challenges.</v>
      </c>
      <c r="V75" s="16">
        <f ca="1">IFERROR(__xludf.dummyfunction("ArrayFormula(VLOOKUP(G75, IMPORTRANGE(""https://docs.google.com/spreadsheets/d/1p7R4vtkWt5VOBim4ltsDG9KTzSjrtKXsMtQGXPHyND0/edit#gid=795171502"", ""'Filter 30_05_2024'!A1:M2000""), {2, 3, 4, 5,6,7,8,9,10,11,12,13}, 0))"),4)</f>
        <v>4</v>
      </c>
      <c r="W75" s="16">
        <f ca="1">IFERROR(__xludf.dummyfunction("""COMPUTED_VALUE"""),4)</f>
        <v>4</v>
      </c>
      <c r="X75" s="16">
        <f ca="1">IFERROR(__xludf.dummyfunction("""COMPUTED_VALUE"""),2)</f>
        <v>2</v>
      </c>
      <c r="Y75" s="16">
        <f ca="1">IFERROR(__xludf.dummyfunction("""COMPUTED_VALUE"""),10)</f>
        <v>10</v>
      </c>
      <c r="Z75" s="16">
        <f ca="1">IFERROR(__xludf.dummyfunction("""COMPUTED_VALUE"""),4)</f>
        <v>4</v>
      </c>
      <c r="AA75" s="30">
        <f ca="1">IFERROR(__xludf.dummyfunction("""COMPUTED_VALUE"""),1)</f>
        <v>1</v>
      </c>
      <c r="AB75" s="30">
        <f ca="1">IFERROR(__xludf.dummyfunction("""COMPUTED_VALUE"""),1)</f>
        <v>1</v>
      </c>
      <c r="AC75" s="30">
        <f ca="1">IFERROR(__xludf.dummyfunction("""COMPUTED_VALUE"""),6)</f>
        <v>6</v>
      </c>
      <c r="AD75" s="16"/>
      <c r="AE75" s="30"/>
      <c r="AF75" s="30"/>
      <c r="AG75" s="30"/>
    </row>
    <row r="76" spans="1:33" ht="13.8">
      <c r="A76" s="25"/>
      <c r="B76" s="25" t="s">
        <v>29</v>
      </c>
      <c r="C76" s="25" t="s">
        <v>310</v>
      </c>
      <c r="D76" s="25">
        <v>7</v>
      </c>
      <c r="E76" s="64" t="s">
        <v>856</v>
      </c>
      <c r="F76" s="64" t="s">
        <v>866</v>
      </c>
      <c r="G76" s="71" t="s">
        <v>867</v>
      </c>
      <c r="H76" s="72" t="str">
        <f ca="1">IFERROR(__xludf.dummyfunction("IFERROR(
  VLOOKUP(G76, IMPORTRANGE(""https://docs.google.com/spreadsheets/d/14deopnvwcrKtEGCKuYXdUHJbeLDZlkiSSWWT0g7x2pM/edit#gid=849066331"", ""LU List Maths (Filter)!A:B""), 2, FALSE),
  IFERROR(
    VLOOKUP(G76, IMPORTRANGE(""https://docs.google.com/s"&amp;"preadsheets/d/14deopnvwcrKtEGCKuYXdUHJbeLDZlkiSSWWT0g7x2pM/edit#gid=849066331"", ""LU List Science (Filter)!A:B""), 2, FALSE),
    ""Not Found""
  )
)
"),"Comparison of numbers in exponential form (a^b)")</f>
        <v>Comparison of numbers in exponential form (a^b)</v>
      </c>
      <c r="I76" s="64"/>
      <c r="J76" s="29" t="str">
        <f t="shared" si="12"/>
        <v>LU001053.001</v>
      </c>
      <c r="K76" s="29" t="str">
        <f ca="1">IFERROR(__xludf.dummyfunction("VLOOKUP(J76, IMPORTRANGE(""https://docs.google.com/spreadsheets/d/1yDAaXNsi4Mr5FtRQL4tbmSdIzhx6_m4wkOD7IG-k_eo/edit#gid=0"", ""Maths!M:N""), 2, FALSE)"),"State the definition of numbers expressed in exponential form.")</f>
        <v>State the definition of numbers expressed in exponential form.</v>
      </c>
      <c r="L76" s="29" t="str">
        <f t="shared" si="13"/>
        <v>LU001053.002</v>
      </c>
      <c r="M76" s="29" t="str">
        <f ca="1">IFERROR(__xludf.dummyfunction("VLOOKUP(L76, IMPORTRANGE(""https://docs.google.com/spreadsheets/d/1yDAaXNsi4Mr5FtRQL4tbmSdIzhx6_m4wkOD7IG-k_eo/edit#gid=0"", ""Maths!M:N""), 2, FALSE)"),"Describe the relationship between exponential expressions and numerical values.")</f>
        <v>Describe the relationship between exponential expressions and numerical values.</v>
      </c>
      <c r="N76" s="29" t="str">
        <f t="shared" si="14"/>
        <v>LU001053.003</v>
      </c>
      <c r="O76" s="29" t="str">
        <f ca="1">IFERROR(__xludf.dummyfunction("VLOOKUP(N76, IMPORTRANGE(""https://docs.google.com/spreadsheets/d/1yDAaXNsi4Mr5FtRQL4tbmSdIzhx6_m4wkOD7IG-k_eo/edit#gid=0"", ""Maths!M:N""), 2, FALSE)"),"Solve problems involving the comparison of numbers expressed in exponential form.")</f>
        <v>Solve problems involving the comparison of numbers expressed in exponential form.</v>
      </c>
      <c r="P76" s="29" t="str">
        <f t="shared" si="15"/>
        <v>LU001053.004</v>
      </c>
      <c r="Q76" s="29" t="str">
        <f ca="1">IFERROR(__xludf.dummyfunction("VLOOKUP(P76, IMPORTRANGE(""https://docs.google.com/spreadsheets/d/1yDAaXNsi4Mr5FtRQL4tbmSdIzhx6_m4wkOD7IG-k_eo/edit#gid=0"", ""Maths!M:N""), 2, FALSE)"),"Analyse the relative impact of changes in the base versus changes in the exponent on the overall value of the expression.")</f>
        <v>Analyse the relative impact of changes in the base versus changes in the exponent on the overall value of the expression.</v>
      </c>
      <c r="R76" s="29" t="str">
        <f t="shared" si="16"/>
        <v>LU001053.005</v>
      </c>
      <c r="S76" s="29" t="str">
        <f ca="1">IFERROR(__xludf.dummyfunction("VLOOKUP(R76, IMPORTRANGE(""https://docs.google.com/spreadsheets/d/1yDAaXNsi4Mr5FtRQL4tbmSdIzhx6_m4wkOD7IG-k_eo/edit#gid=0"", ""Maths!M:N""), 2, FALSE)"),"Assess the accuracy of comparisons between numbers in exponential form.")</f>
        <v>Assess the accuracy of comparisons between numbers in exponential form.</v>
      </c>
      <c r="T76" s="29" t="str">
        <f t="shared" si="17"/>
        <v>LU001053.006</v>
      </c>
      <c r="U76" s="29" t="str">
        <f ca="1">IFERROR(__xludf.dummyfunction("VLOOKUP(T76, IMPORTRANGE(""https://docs.google.com/spreadsheets/d/1yDAaXNsi4Mr5FtRQL4tbmSdIzhx6_m4wkOD7IG-k_eo/edit#gid=0"", ""Maths!M:N""), 2, FALSE)"),"Devise problems requiring the comparison of numbers in exponential form with different bases and exponents.")</f>
        <v>Devise problems requiring the comparison of numbers in exponential form with different bases and exponents.</v>
      </c>
      <c r="V76" s="16">
        <f ca="1">IFERROR(__xludf.dummyfunction("ArrayFormula(VLOOKUP(G76, IMPORTRANGE(""https://docs.google.com/spreadsheets/d/1p7R4vtkWt5VOBim4ltsDG9KTzSjrtKXsMtQGXPHyND0/edit#gid=795171502"", ""'Filter 30_05_2024'!A1:M2000""), {2, 3, 4, 5,6,7,8,9,10,11,12,13}, 0))"),4)</f>
        <v>4</v>
      </c>
      <c r="W76" s="16">
        <f ca="1">IFERROR(__xludf.dummyfunction("""COMPUTED_VALUE"""),6)</f>
        <v>6</v>
      </c>
      <c r="X76" s="16">
        <f ca="1">IFERROR(__xludf.dummyfunction("""COMPUTED_VALUE"""),2)</f>
        <v>2</v>
      </c>
      <c r="Y76" s="16">
        <f ca="1">IFERROR(__xludf.dummyfunction("""COMPUTED_VALUE"""),12)</f>
        <v>12</v>
      </c>
      <c r="Z76" s="16">
        <f ca="1">IFERROR(__xludf.dummyfunction("""COMPUTED_VALUE"""),4)</f>
        <v>4</v>
      </c>
      <c r="AA76" s="30">
        <f ca="1">IFERROR(__xludf.dummyfunction("""COMPUTED_VALUE"""),3)</f>
        <v>3</v>
      </c>
      <c r="AB76" s="30">
        <f ca="1">IFERROR(__xludf.dummyfunction("""COMPUTED_VALUE"""),1)</f>
        <v>1</v>
      </c>
      <c r="AC76" s="30">
        <f ca="1">IFERROR(__xludf.dummyfunction("""COMPUTED_VALUE"""),8)</f>
        <v>8</v>
      </c>
      <c r="AD76" s="16"/>
      <c r="AE76" s="30"/>
      <c r="AF76" s="30"/>
      <c r="AG76" s="30"/>
    </row>
    <row r="77" spans="1:33" ht="13.8">
      <c r="A77" s="25"/>
      <c r="B77" s="25" t="s">
        <v>29</v>
      </c>
      <c r="C77" s="25" t="s">
        <v>310</v>
      </c>
      <c r="D77" s="25">
        <v>7</v>
      </c>
      <c r="E77" s="64" t="s">
        <v>856</v>
      </c>
      <c r="F77" s="64" t="s">
        <v>868</v>
      </c>
      <c r="G77" s="71" t="s">
        <v>869</v>
      </c>
      <c r="H77" s="72" t="str">
        <f ca="1">IFERROR(__xludf.dummyfunction("IFERROR(
  VLOOKUP(G77, IMPORTRANGE(""https://docs.google.com/spreadsheets/d/14deopnvwcrKtEGCKuYXdUHJbeLDZlkiSSWWT0g7x2pM/edit#gid=849066331"", ""LU List Maths (Filter)!A:B""), 2, FALSE),
  IFERROR(
    VLOOKUP(G77, IMPORTRANGE(""https://docs.google.com/s"&amp;"preadsheets/d/14deopnvwcrKtEGCKuYXdUHJbeLDZlkiSSWWT0g7x2pM/edit#gid=849066331"", ""LU List Science (Filter)!A:B""), 2, FALSE),
    ""Not Found""
  )
)
"),"Law of product of power with the same base for whole numbers")</f>
        <v>Law of product of power with the same base for whole numbers</v>
      </c>
      <c r="I77" s="64"/>
      <c r="J77" s="29" t="str">
        <f t="shared" si="12"/>
        <v>LU000520.001</v>
      </c>
      <c r="K77" s="29" t="str">
        <f ca="1">IFERROR(__xludf.dummyfunction("VLOOKUP(J77, IMPORTRANGE(""https://docs.google.com/spreadsheets/d/1yDAaXNsi4Mr5FtRQL4tbmSdIzhx6_m4wkOD7IG-k_eo/edit#gid=0"", ""Maths!M:N""), 2, FALSE)"),"State that the product of power with same base for whole numbers law states ""a^m * a^n = a^(m + n),"" where ""a"" is the base and ""m"" and ""n"" are exponents.")</f>
        <v>State that the product of power with same base for whole numbers law states "a^m * a^n = a^(m + n)," where "a" is the base and "m" and "n" are exponents.</v>
      </c>
      <c r="L77" s="29" t="str">
        <f t="shared" si="13"/>
        <v>LU000520.002</v>
      </c>
      <c r="M77" s="29" t="str">
        <f ca="1">IFERROR(__xludf.dummyfunction("VLOOKUP(L77, IMPORTRANGE(""https://docs.google.com/spreadsheets/d/1yDAaXNsi4Mr5FtRQL4tbmSdIzhx6_m4wkOD7IG-k_eo/edit#gid=0"", ""Maths!M:N""), 2, FALSE)"),"Explain the concept of the law of product of power with same base, emphasising how it simplifies the multiplication of powers (whole number) with the same base (whole number).")</f>
        <v>Explain the concept of the law of product of power with same base, emphasising how it simplifies the multiplication of powers (whole number) with the same base (whole number).</v>
      </c>
      <c r="N77" s="29" t="str">
        <f t="shared" si="14"/>
        <v>LU000520.003</v>
      </c>
      <c r="O77" s="29" t="str">
        <f ca="1">IFERROR(__xludf.dummyfunction("VLOOKUP(N77, IMPORTRANGE(""https://docs.google.com/spreadsheets/d/1yDAaXNsi4Mr5FtRQL4tbmSdIzhx6_m4wkOD7IG-k_eo/edit#gid=0"", ""Maths!M:N""), 2, FALSE)"),"Apply the law of product of power with same base to simplify expressions involving whole numbers.")</f>
        <v>Apply the law of product of power with same base to simplify expressions involving whole numbers.</v>
      </c>
      <c r="P77" s="29" t="str">
        <f t="shared" si="15"/>
        <v>LU000520.004</v>
      </c>
      <c r="Q77" s="29" t="str">
        <f ca="1">IFERROR(__xludf.dummyfunction("VLOOKUP(P77, IMPORTRANGE(""https://docs.google.com/spreadsheets/d/1yDAaXNsi4Mr5FtRQL4tbmSdIzhx6_m4wkOD7IG-k_eo/edit#gid=0"", ""Maths!M:N""), 2, FALSE)"),"Deduce the law of product of power with same base for whole number, breaking down the components.")</f>
        <v>Deduce the law of product of power with same base for whole number, breaking down the components.</v>
      </c>
      <c r="R77" s="29" t="str">
        <f t="shared" si="16"/>
        <v>LU000520.005</v>
      </c>
      <c r="S77" s="29" t="str">
        <f ca="1">IFERROR(__xludf.dummyfunction("VLOOKUP(R77, IMPORTRANGE(""https://docs.google.com/spreadsheets/d/1yDAaXNsi4Mr5FtRQL4tbmSdIzhx6_m4wkOD7IG-k_eo/edit#gid=0"", ""Maths!M:N""), 2, FALSE)"),"#N/A")</f>
        <v>#N/A</v>
      </c>
      <c r="T77" s="29" t="str">
        <f t="shared" si="17"/>
        <v>LU000520.006</v>
      </c>
      <c r="U77" s="29" t="str">
        <f ca="1">IFERROR(__xludf.dummyfunction("VLOOKUP(T77, IMPORTRANGE(""https://docs.google.com/spreadsheets/d/1yDAaXNsi4Mr5FtRQL4tbmSdIzhx6_m4wkOD7IG-k_eo/edit#gid=0"", ""Maths!M:N""), 2, FALSE)"),"Construct a visual representation that illustrates how the law of product of power simplifies the multiplication of powers with the same base for whole numbers.")</f>
        <v>Construct a visual representation that illustrates how the law of product of power simplifies the multiplication of powers with the same base for whole numbers.</v>
      </c>
      <c r="V77" s="16">
        <f ca="1">IFERROR(__xludf.dummyfunction("ArrayFormula(VLOOKUP(G77, IMPORTRANGE(""https://docs.google.com/spreadsheets/d/1p7R4vtkWt5VOBim4ltsDG9KTzSjrtKXsMtQGXPHyND0/edit#gid=795171502"", ""'Filter 30_05_2024'!A1:M2000""), {2, 3, 4, 5,6,7,8,9,10,11,12,13}, 0))"),4)</f>
        <v>4</v>
      </c>
      <c r="W77" s="16">
        <f ca="1">IFERROR(__xludf.dummyfunction("""COMPUTED_VALUE"""),3)</f>
        <v>3</v>
      </c>
      <c r="X77" s="16">
        <f ca="1">IFERROR(__xludf.dummyfunction("""COMPUTED_VALUE"""),2)</f>
        <v>2</v>
      </c>
      <c r="Y77" s="16">
        <f ca="1">IFERROR(__xludf.dummyfunction("""COMPUTED_VALUE"""),9)</f>
        <v>9</v>
      </c>
      <c r="Z77" s="16">
        <f ca="1">IFERROR(__xludf.dummyfunction("""COMPUTED_VALUE"""),4)</f>
        <v>4</v>
      </c>
      <c r="AA77" s="30">
        <f ca="1">IFERROR(__xludf.dummyfunction("""COMPUTED_VALUE"""),6)</f>
        <v>6</v>
      </c>
      <c r="AB77" s="30">
        <f ca="1">IFERROR(__xludf.dummyfunction("""COMPUTED_VALUE"""),1)</f>
        <v>1</v>
      </c>
      <c r="AC77" s="30">
        <f ca="1">IFERROR(__xludf.dummyfunction("""COMPUTED_VALUE"""),11)</f>
        <v>11</v>
      </c>
      <c r="AD77" s="16"/>
      <c r="AE77" s="30"/>
      <c r="AF77" s="30"/>
      <c r="AG77" s="30"/>
    </row>
    <row r="78" spans="1:33" ht="13.8">
      <c r="A78" s="25"/>
      <c r="B78" s="25" t="s">
        <v>29</v>
      </c>
      <c r="C78" s="25" t="s">
        <v>310</v>
      </c>
      <c r="D78" s="25">
        <v>7</v>
      </c>
      <c r="E78" s="64" t="s">
        <v>856</v>
      </c>
      <c r="F78" s="64"/>
      <c r="G78" s="71" t="s">
        <v>870</v>
      </c>
      <c r="H78" s="72" t="str">
        <f ca="1">IFERROR(__xludf.dummyfunction("IFERROR(
  VLOOKUP(G78, IMPORTRANGE(""https://docs.google.com/spreadsheets/d/14deopnvwcrKtEGCKuYXdUHJbeLDZlkiSSWWT0g7x2pM/edit#gid=849066331"", ""LU List Maths (Filter)!A:B""), 2, FALSE),
  IFERROR(
    VLOOKUP(G78, IMPORTRANGE(""https://docs.google.com/s"&amp;"preadsheets/d/14deopnvwcrKtEGCKuYXdUHJbeLDZlkiSSWWT0g7x2pM/edit#gid=849066331"", ""LU List Science (Filter)!A:B""), 2, FALSE),
    ""Not Found""
  )
)
"),"Law of product of power with the same base for integers")</f>
        <v>Law of product of power with the same base for integers</v>
      </c>
      <c r="I78" s="64"/>
      <c r="J78" s="29" t="str">
        <f t="shared" si="12"/>
        <v>LU000521.001</v>
      </c>
      <c r="K78" s="29" t="str">
        <f ca="1">IFERROR(__xludf.dummyfunction("VLOOKUP(J78, IMPORTRANGE(""https://docs.google.com/spreadsheets/d/1yDAaXNsi4Mr5FtRQL4tbmSdIzhx6_m4wkOD7IG-k_eo/edit#gid=0"", ""Maths!M:N""), 2, FALSE)"),"State that the product of power with same base for integers law states ""a^m * a^n = a^(m + n),"" where ""a"" is the base and ""m"" and ""n"" are exponents.")</f>
        <v>State that the product of power with same base for integers law states "a^m * a^n = a^(m + n)," where "a" is the base and "m" and "n" are exponents.</v>
      </c>
      <c r="L78" s="29" t="str">
        <f t="shared" si="13"/>
        <v>LU000521.002</v>
      </c>
      <c r="M78" s="29" t="str">
        <f ca="1">IFERROR(__xludf.dummyfunction("VLOOKUP(L78, IMPORTRANGE(""https://docs.google.com/spreadsheets/d/1yDAaXNsi4Mr5FtRQL4tbmSdIzhx6_m4wkOD7IG-k_eo/edit#gid=0"", ""Maths!M:N""), 2, FALSE)"),"Explain the concept of the law of product of power with same base, emphasising how it simplifies the multiplication of powers (integers) with the same base (integers).")</f>
        <v>Explain the concept of the law of product of power with same base, emphasising how it simplifies the multiplication of powers (integers) with the same base (integers).</v>
      </c>
      <c r="N78" s="29" t="str">
        <f t="shared" si="14"/>
        <v>LU000521.003</v>
      </c>
      <c r="O78" s="29" t="str">
        <f ca="1">IFERROR(__xludf.dummyfunction("VLOOKUP(N78, IMPORTRANGE(""https://docs.google.com/spreadsheets/d/1yDAaXNsi4Mr5FtRQL4tbmSdIzhx6_m4wkOD7IG-k_eo/edit#gid=0"", ""Maths!M:N""), 2, FALSE)"),"Apply the law of product of power with same base to simplify expressions involving integers.")</f>
        <v>Apply the law of product of power with same base to simplify expressions involving integers.</v>
      </c>
      <c r="P78" s="29" t="str">
        <f t="shared" si="15"/>
        <v>LU000521.004</v>
      </c>
      <c r="Q78" s="29" t="str">
        <f ca="1">IFERROR(__xludf.dummyfunction("VLOOKUP(P78, IMPORTRANGE(""https://docs.google.com/spreadsheets/d/1yDAaXNsi4Mr5FtRQL4tbmSdIzhx6_m4wkOD7IG-k_eo/edit#gid=0"", ""Maths!M:N""), 2, FALSE)"),"Deduce the law of product of power with same base for integers, breaking down the components.")</f>
        <v>Deduce the law of product of power with same base for integers, breaking down the components.</v>
      </c>
      <c r="R78" s="29" t="str">
        <f t="shared" si="16"/>
        <v>LU000521.005</v>
      </c>
      <c r="S78" s="29" t="str">
        <f ca="1">IFERROR(__xludf.dummyfunction("VLOOKUP(R78, IMPORTRANGE(""https://docs.google.com/spreadsheets/d/1yDAaXNsi4Mr5FtRQL4tbmSdIzhx6_m4wkOD7IG-k_eo/edit#gid=0"", ""Maths!M:N""), 2, FALSE)"),"#N/A")</f>
        <v>#N/A</v>
      </c>
      <c r="T78" s="29" t="str">
        <f t="shared" si="17"/>
        <v>LU000521.006</v>
      </c>
      <c r="U78" s="29" t="str">
        <f ca="1">IFERROR(__xludf.dummyfunction("VLOOKUP(T78, IMPORTRANGE(""https://docs.google.com/spreadsheets/d/1yDAaXNsi4Mr5FtRQL4tbmSdIzhx6_m4wkOD7IG-k_eo/edit#gid=0"", ""Maths!M:N""), 2, FALSE)"),"Construct a visual representation that illustrates how the law of product of power simplifies the multiplication of powers with the same base for integers.")</f>
        <v>Construct a visual representation that illustrates how the law of product of power simplifies the multiplication of powers with the same base for integers.</v>
      </c>
      <c r="V78" s="16">
        <f ca="1">IFERROR(__xludf.dummyfunction("ArrayFormula(VLOOKUP(G78, IMPORTRANGE(""https://docs.google.com/spreadsheets/d/1p7R4vtkWt5VOBim4ltsDG9KTzSjrtKXsMtQGXPHyND0/edit#gid=795171502"", ""'Filter 30_05_2024'!A1:M2000""), {2, 3, 4, 5,6,7,8,9,10,11,12,13}, 0))"),4)</f>
        <v>4</v>
      </c>
      <c r="W78" s="16">
        <f ca="1">IFERROR(__xludf.dummyfunction("""COMPUTED_VALUE"""),4)</f>
        <v>4</v>
      </c>
      <c r="X78" s="16">
        <f ca="1">IFERROR(__xludf.dummyfunction("""COMPUTED_VALUE"""),2)</f>
        <v>2</v>
      </c>
      <c r="Y78" s="16">
        <f ca="1">IFERROR(__xludf.dummyfunction("""COMPUTED_VALUE"""),10)</f>
        <v>10</v>
      </c>
      <c r="Z78" s="16">
        <f ca="1">IFERROR(__xludf.dummyfunction("""COMPUTED_VALUE"""),4)</f>
        <v>4</v>
      </c>
      <c r="AA78" s="30">
        <f ca="1">IFERROR(__xludf.dummyfunction("""COMPUTED_VALUE"""),5)</f>
        <v>5</v>
      </c>
      <c r="AB78" s="30">
        <f ca="1">IFERROR(__xludf.dummyfunction("""COMPUTED_VALUE"""),1)</f>
        <v>1</v>
      </c>
      <c r="AC78" s="30">
        <f ca="1">IFERROR(__xludf.dummyfunction("""COMPUTED_VALUE"""),10)</f>
        <v>10</v>
      </c>
      <c r="AD78" s="16"/>
      <c r="AE78" s="30"/>
      <c r="AF78" s="30"/>
      <c r="AG78" s="30"/>
    </row>
    <row r="79" spans="1:33" ht="13.8">
      <c r="A79" s="25"/>
      <c r="B79" s="25" t="s">
        <v>29</v>
      </c>
      <c r="C79" s="25" t="s">
        <v>310</v>
      </c>
      <c r="D79" s="25">
        <v>7</v>
      </c>
      <c r="E79" s="64" t="s">
        <v>856</v>
      </c>
      <c r="F79" s="64" t="s">
        <v>871</v>
      </c>
      <c r="G79" s="71" t="s">
        <v>872</v>
      </c>
      <c r="H79" s="72" t="str">
        <f ca="1">IFERROR(__xludf.dummyfunction("IFERROR(
  VLOOKUP(G79, IMPORTRANGE(""https://docs.google.com/spreadsheets/d/14deopnvwcrKtEGCKuYXdUHJbeLDZlkiSSWWT0g7x2pM/edit#gid=849066331"", ""LU List Maths (Filter)!A:B""), 2, FALSE),
  IFERROR(
    VLOOKUP(G79, IMPORTRANGE(""https://docs.google.com/s"&amp;"preadsheets/d/14deopnvwcrKtEGCKuYXdUHJbeLDZlkiSSWWT0g7x2pM/edit#gid=849066331"", ""LU List Science (Filter)!A:B""), 2, FALSE),
    ""Not Found""
  )
)
"),"Law of quotient of powers with the same base for whole numbers")</f>
        <v>Law of quotient of powers with the same base for whole numbers</v>
      </c>
      <c r="I79" s="64"/>
      <c r="J79" s="29" t="str">
        <f t="shared" si="12"/>
        <v>LU000523.001</v>
      </c>
      <c r="K79" s="29" t="str">
        <f ca="1">IFERROR(__xludf.dummyfunction("VLOOKUP(J79, IMPORTRANGE(""https://docs.google.com/spreadsheets/d/1yDAaXNsi4Mr5FtRQL4tbmSdIzhx6_m4wkOD7IG-k_eo/edit#gid=0"", ""Maths!M:N""), 2, FALSE)"),"State that the quotient of powers with the same base for whole numbers states ""a^m / a^n = a^(m - n),"" where ""a"" is the base, and ""m"" and ""n"" are exponents.")</f>
        <v>State that the quotient of powers with the same base for whole numbers states "a^m / a^n = a^(m - n)," where "a" is the base, and "m" and "n" are exponents.</v>
      </c>
      <c r="L79" s="29" t="str">
        <f t="shared" si="13"/>
        <v>LU000523.002</v>
      </c>
      <c r="M79" s="29" t="str">
        <f ca="1">IFERROR(__xludf.dummyfunction("VLOOKUP(L79, IMPORTRANGE(""https://docs.google.com/spreadsheets/d/1yDAaXNsi4Mr5FtRQL4tbmSdIzhx6_m4wkOD7IG-k_eo/edit#gid=0"", ""Maths!M:N""), 2, FALSE)"),"Describe how the law of quotient of powers with the same base for whole numbers enables to subtract the exponents of the same base when dividing powers.")</f>
        <v>Describe how the law of quotient of powers with the same base for whole numbers enables to subtract the exponents of the same base when dividing powers.</v>
      </c>
      <c r="N79" s="29" t="str">
        <f t="shared" si="14"/>
        <v>LU000523.003</v>
      </c>
      <c r="O79" s="29" t="str">
        <f ca="1">IFERROR(__xludf.dummyfunction("VLOOKUP(N79, IMPORTRANGE(""https://docs.google.com/spreadsheets/d/1yDAaXNsi4Mr5FtRQL4tbmSdIzhx6_m4wkOD7IG-k_eo/edit#gid=0"", ""Maths!M:N""), 2, FALSE)"),"Apply the law of quotient of powers with the same base to simplify expressions involving whole numbers.")</f>
        <v>Apply the law of quotient of powers with the same base to simplify expressions involving whole numbers.</v>
      </c>
      <c r="P79" s="29" t="str">
        <f t="shared" si="15"/>
        <v>LU000523.004</v>
      </c>
      <c r="Q79" s="29" t="str">
        <f ca="1">IFERROR(__xludf.dummyfunction("VLOOKUP(P79, IMPORTRANGE(""https://docs.google.com/spreadsheets/d/1yDAaXNsi4Mr5FtRQL4tbmSdIzhx6_m4wkOD7IG-k_eo/edit#gid=0"", ""Maths!M:N""), 2, FALSE)"),"Deduce the law of quotient of power with same base for whole numbers.")</f>
        <v>Deduce the law of quotient of power with same base for whole numbers.</v>
      </c>
      <c r="R79" s="29" t="str">
        <f t="shared" si="16"/>
        <v>LU000523.005</v>
      </c>
      <c r="S79" s="29" t="str">
        <f ca="1">IFERROR(__xludf.dummyfunction("VLOOKUP(R79, IMPORTRANGE(""https://docs.google.com/spreadsheets/d/1yDAaXNsi4Mr5FtRQL4tbmSdIzhx6_m4wkOD7IG-k_eo/edit#gid=0"", ""Maths!M:N""), 2, FALSE)"),"#N/A")</f>
        <v>#N/A</v>
      </c>
      <c r="T79" s="29" t="str">
        <f t="shared" si="17"/>
        <v>LU000523.006</v>
      </c>
      <c r="U79" s="29" t="str">
        <f ca="1">IFERROR(__xludf.dummyfunction("VLOOKUP(T79, IMPORTRANGE(""https://docs.google.com/spreadsheets/d/1yDAaXNsi4Mr5FtRQL4tbmSdIzhx6_m4wkOD7IG-k_eo/edit#gid=0"", ""Maths!M:N""), 2, FALSE)"),"Construct a visual representation that illustrates how the law of quotient of power simplifies the division of powers with the same base for whole numbers.")</f>
        <v>Construct a visual representation that illustrates how the law of quotient of power simplifies the division of powers with the same base for whole numbers.</v>
      </c>
      <c r="V79" s="16">
        <f ca="1">IFERROR(__xludf.dummyfunction("ArrayFormula(VLOOKUP(G79, IMPORTRANGE(""https://docs.google.com/spreadsheets/d/1p7R4vtkWt5VOBim4ltsDG9KTzSjrtKXsMtQGXPHyND0/edit#gid=795171502"", ""'Filter 30_05_2024'!A1:M2000""), {2, 3, 4, 5,6,7,8,9,10,11,12,13}, 0))"),4)</f>
        <v>4</v>
      </c>
      <c r="W79" s="16">
        <f ca="1">IFERROR(__xludf.dummyfunction("""COMPUTED_VALUE"""),5)</f>
        <v>5</v>
      </c>
      <c r="X79" s="16">
        <f ca="1">IFERROR(__xludf.dummyfunction("""COMPUTED_VALUE"""),2)</f>
        <v>2</v>
      </c>
      <c r="Y79" s="16">
        <f ca="1">IFERROR(__xludf.dummyfunction("""COMPUTED_VALUE"""),11)</f>
        <v>11</v>
      </c>
      <c r="Z79" s="16">
        <f ca="1">IFERROR(__xludf.dummyfunction("""COMPUTED_VALUE"""),4)</f>
        <v>4</v>
      </c>
      <c r="AA79" s="30">
        <f ca="1">IFERROR(__xludf.dummyfunction("""COMPUTED_VALUE"""),4)</f>
        <v>4</v>
      </c>
      <c r="AB79" s="30">
        <f ca="1">IFERROR(__xludf.dummyfunction("""COMPUTED_VALUE"""),1)</f>
        <v>1</v>
      </c>
      <c r="AC79" s="30">
        <f ca="1">IFERROR(__xludf.dummyfunction("""COMPUTED_VALUE"""),9)</f>
        <v>9</v>
      </c>
      <c r="AD79" s="16"/>
      <c r="AE79" s="30"/>
      <c r="AF79" s="30"/>
      <c r="AG79" s="30"/>
    </row>
    <row r="80" spans="1:33" ht="13.8">
      <c r="A80" s="25"/>
      <c r="B80" s="25" t="s">
        <v>29</v>
      </c>
      <c r="C80" s="25" t="s">
        <v>310</v>
      </c>
      <c r="D80" s="25">
        <v>7</v>
      </c>
      <c r="E80" s="64" t="s">
        <v>856</v>
      </c>
      <c r="F80" s="64"/>
      <c r="G80" s="71" t="s">
        <v>873</v>
      </c>
      <c r="H80" s="72" t="str">
        <f ca="1">IFERROR(__xludf.dummyfunction("IFERROR(
  VLOOKUP(G80, IMPORTRANGE(""https://docs.google.com/spreadsheets/d/14deopnvwcrKtEGCKuYXdUHJbeLDZlkiSSWWT0g7x2pM/edit#gid=849066331"", ""LU List Maths (Filter)!A:B""), 2, FALSE),
  IFERROR(
    VLOOKUP(G80, IMPORTRANGE(""https://docs.google.com/s"&amp;"preadsheets/d/14deopnvwcrKtEGCKuYXdUHJbeLDZlkiSSWWT0g7x2pM/edit#gid=849066331"", ""LU List Science (Filter)!A:B""), 2, FALSE),
    ""Not Found""
  )
)
"),"Law of quotient of power with the same base for integers")</f>
        <v>Law of quotient of power with the same base for integers</v>
      </c>
      <c r="I80" s="64"/>
      <c r="J80" s="29" t="str">
        <f t="shared" si="12"/>
        <v>LU000524.001</v>
      </c>
      <c r="K80" s="29" t="str">
        <f ca="1">IFERROR(__xludf.dummyfunction("VLOOKUP(J80, IMPORTRANGE(""https://docs.google.com/spreadsheets/d/1yDAaXNsi4Mr5FtRQL4tbmSdIzhx6_m4wkOD7IG-k_eo/edit#gid=0"", ""Maths!M:N""), 2, FALSE)"),"State that the quotient of powers with the same base for integers states ""a^m / a^n = a^(m - n),"" where ""a"" is the base, and ""m"" and ""n"" are exponents.")</f>
        <v>State that the quotient of powers with the same base for integers states "a^m / a^n = a^(m - n)," where "a" is the base, and "m" and "n" are exponents.</v>
      </c>
      <c r="L80" s="29" t="str">
        <f t="shared" si="13"/>
        <v>LU000524.002</v>
      </c>
      <c r="M80" s="29" t="str">
        <f ca="1">IFERROR(__xludf.dummyfunction("VLOOKUP(L80, IMPORTRANGE(""https://docs.google.com/spreadsheets/d/1yDAaXNsi4Mr5FtRQL4tbmSdIzhx6_m4wkOD7IG-k_eo/edit#gid=0"", ""Maths!M:N""), 2, FALSE)"),"Describe how the law of quotient of powers with the same base for integers enables to subtract the exponents of the same base when dividing powers.")</f>
        <v>Describe how the law of quotient of powers with the same base for integers enables to subtract the exponents of the same base when dividing powers.</v>
      </c>
      <c r="N80" s="29" t="str">
        <f t="shared" si="14"/>
        <v>LU000524.003</v>
      </c>
      <c r="O80" s="29" t="str">
        <f ca="1">IFERROR(__xludf.dummyfunction("VLOOKUP(N80, IMPORTRANGE(""https://docs.google.com/spreadsheets/d/1yDAaXNsi4Mr5FtRQL4tbmSdIzhx6_m4wkOD7IG-k_eo/edit#gid=0"", ""Maths!M:N""), 2, FALSE)"),"Apply the law of quotient of powers with the same base to simplify expressions involving integers.")</f>
        <v>Apply the law of quotient of powers with the same base to simplify expressions involving integers.</v>
      </c>
      <c r="P80" s="29" t="str">
        <f t="shared" si="15"/>
        <v>LU000524.004</v>
      </c>
      <c r="Q80" s="29" t="str">
        <f ca="1">IFERROR(__xludf.dummyfunction("VLOOKUP(P80, IMPORTRANGE(""https://docs.google.com/spreadsheets/d/1yDAaXNsi4Mr5FtRQL4tbmSdIzhx6_m4wkOD7IG-k_eo/edit#gid=0"", ""Maths!M:N""), 2, FALSE)"),"Deduce the law of quotient of power with same base for integers, breaking down the components.")</f>
        <v>Deduce the law of quotient of power with same base for integers, breaking down the components.</v>
      </c>
      <c r="R80" s="29" t="str">
        <f t="shared" si="16"/>
        <v>LU000524.005</v>
      </c>
      <c r="S80" s="29" t="str">
        <f ca="1">IFERROR(__xludf.dummyfunction("VLOOKUP(R80, IMPORTRANGE(""https://docs.google.com/spreadsheets/d/1yDAaXNsi4Mr5FtRQL4tbmSdIzhx6_m4wkOD7IG-k_eo/edit#gid=0"", ""Maths!M:N""), 2, FALSE)"),"#N/A")</f>
        <v>#N/A</v>
      </c>
      <c r="T80" s="29" t="str">
        <f t="shared" si="17"/>
        <v>LU000524.006</v>
      </c>
      <c r="U80" s="29" t="str">
        <f ca="1">IFERROR(__xludf.dummyfunction("VLOOKUP(T80, IMPORTRANGE(""https://docs.google.com/spreadsheets/d/1yDAaXNsi4Mr5FtRQL4tbmSdIzhx6_m4wkOD7IG-k_eo/edit#gid=0"", ""Maths!M:N""), 2, FALSE)"),"Construct a visual representation that illustrates how the law of quotient of power simplifies the division of powers with the same base for integers.")</f>
        <v>Construct a visual representation that illustrates how the law of quotient of power simplifies the division of powers with the same base for integers.</v>
      </c>
      <c r="V80" s="16">
        <f ca="1">IFERROR(__xludf.dummyfunction("ArrayFormula(VLOOKUP(G80, IMPORTRANGE(""https://docs.google.com/spreadsheets/d/1p7R4vtkWt5VOBim4ltsDG9KTzSjrtKXsMtQGXPHyND0/edit#gid=795171502"", ""'Filter 30_05_2024'!A1:M2000""), {2, 3, 4, 5,6,7,8,9,10,11,12,13}, 0))"),4)</f>
        <v>4</v>
      </c>
      <c r="W80" s="16">
        <f ca="1">IFERROR(__xludf.dummyfunction("""COMPUTED_VALUE"""),4)</f>
        <v>4</v>
      </c>
      <c r="X80" s="16">
        <f ca="1">IFERROR(__xludf.dummyfunction("""COMPUTED_VALUE"""),2)</f>
        <v>2</v>
      </c>
      <c r="Y80" s="16">
        <f ca="1">IFERROR(__xludf.dummyfunction("""COMPUTED_VALUE"""),10)</f>
        <v>10</v>
      </c>
      <c r="Z80" s="16">
        <f ca="1">IFERROR(__xludf.dummyfunction("""COMPUTED_VALUE"""),4)</f>
        <v>4</v>
      </c>
      <c r="AA80" s="30">
        <f ca="1">IFERROR(__xludf.dummyfunction("""COMPUTED_VALUE"""),5)</f>
        <v>5</v>
      </c>
      <c r="AB80" s="30">
        <f ca="1">IFERROR(__xludf.dummyfunction("""COMPUTED_VALUE"""),1)</f>
        <v>1</v>
      </c>
      <c r="AC80" s="30">
        <f ca="1">IFERROR(__xludf.dummyfunction("""COMPUTED_VALUE"""),10)</f>
        <v>10</v>
      </c>
      <c r="AD80" s="16"/>
      <c r="AE80" s="30"/>
      <c r="AF80" s="30"/>
      <c r="AG80" s="30"/>
    </row>
    <row r="81" spans="1:33" ht="13.8">
      <c r="A81" s="25"/>
      <c r="B81" s="25" t="s">
        <v>29</v>
      </c>
      <c r="C81" s="25" t="s">
        <v>310</v>
      </c>
      <c r="D81" s="25">
        <v>7</v>
      </c>
      <c r="E81" s="64" t="s">
        <v>856</v>
      </c>
      <c r="F81" s="64" t="s">
        <v>874</v>
      </c>
      <c r="G81" s="71" t="s">
        <v>875</v>
      </c>
      <c r="H81" s="72" t="str">
        <f ca="1">IFERROR(__xludf.dummyfunction("IFERROR(
  VLOOKUP(G81, IMPORTRANGE(""https://docs.google.com/spreadsheets/d/14deopnvwcrKtEGCKuYXdUHJbeLDZlkiSSWWT0g7x2pM/edit#gid=849066331"", ""LU List Maths (Filter)!A:B""), 2, FALSE),
  IFERROR(
    VLOOKUP(G81, IMPORTRANGE(""https://docs.google.com/s"&amp;"preadsheets/d/14deopnvwcrKtEGCKuYXdUHJbeLDZlkiSSWWT0g7x2pM/edit#gid=849066331"", ""LU List Science (Filter)!A:B""), 2, FALSE),
    ""Not Found""
  )
)
"),"Law of product of power with the same exponent for whole numbers")</f>
        <v>Law of product of power with the same exponent for whole numbers</v>
      </c>
      <c r="I81" s="64"/>
      <c r="J81" s="29" t="str">
        <f t="shared" si="12"/>
        <v>LU000529.001</v>
      </c>
      <c r="K81" s="29" t="str">
        <f ca="1">IFERROR(__xludf.dummyfunction("VLOOKUP(J81, IMPORTRANGE(""https://docs.google.com/spreadsheets/d/1yDAaXNsi4Mr5FtRQL4tbmSdIzhx6_m4wkOD7IG-k_eo/edit#gid=0"", ""Maths!M:N""), 2, FALSE)"),"State the law of product of power with the same exponent for whole numbers.")</f>
        <v>State the law of product of power with the same exponent for whole numbers.</v>
      </c>
      <c r="L81" s="29" t="str">
        <f t="shared" si="13"/>
        <v>LU000529.002</v>
      </c>
      <c r="M81" s="29" t="str">
        <f ca="1">IFERROR(__xludf.dummyfunction("VLOOKUP(L81, IMPORTRANGE(""https://docs.google.com/spreadsheets/d/1yDAaXNsi4Mr5FtRQL4tbmSdIzhx6_m4wkOD7IG-k_eo/edit#gid=0"", ""Maths!M:N""), 2, FALSE)"),"Describe how the law of product of power with the same exponent for whole numbers allows you to simplify expressions.")</f>
        <v>Describe how the law of product of power with the same exponent for whole numbers allows you to simplify expressions.</v>
      </c>
      <c r="N81" s="29" t="str">
        <f t="shared" si="14"/>
        <v>LU000529.003</v>
      </c>
      <c r="O81" s="29" t="str">
        <f ca="1">IFERROR(__xludf.dummyfunction("VLOOKUP(N81, IMPORTRANGE(""https://docs.google.com/spreadsheets/d/1yDAaXNsi4Mr5FtRQL4tbmSdIzhx6_m4wkOD7IG-k_eo/edit#gid=0"", ""Maths!M:N""), 2, FALSE)"),"Apply the law of product of power with the same exponent to simplify expressions involving whole numbers.")</f>
        <v>Apply the law of product of power with the same exponent to simplify expressions involving whole numbers.</v>
      </c>
      <c r="P81" s="29" t="str">
        <f t="shared" si="15"/>
        <v>LU000529.004</v>
      </c>
      <c r="Q81" s="29" t="str">
        <f ca="1">IFERROR(__xludf.dummyfunction("VLOOKUP(P81, IMPORTRANGE(""https://docs.google.com/spreadsheets/d/1yDAaXNsi4Mr5FtRQL4tbmSdIzhx6_m4wkOD7IG-k_eo/edit#gid=0"", ""Maths!M:N""), 2, FALSE)"),"Deduce the law of product of power with the same exponent for whole numbers.")</f>
        <v>Deduce the law of product of power with the same exponent for whole numbers.</v>
      </c>
      <c r="R81" s="29" t="str">
        <f t="shared" si="16"/>
        <v>LU000529.005</v>
      </c>
      <c r="S81" s="29" t="str">
        <f ca="1">IFERROR(__xludf.dummyfunction("VLOOKUP(R81, IMPORTRANGE(""https://docs.google.com/spreadsheets/d/1yDAaXNsi4Mr5FtRQL4tbmSdIzhx6_m4wkOD7IG-k_eo/edit#gid=0"", ""Maths!M:N""), 2, FALSE)"),"#N/A")</f>
        <v>#N/A</v>
      </c>
      <c r="T81" s="29" t="str">
        <f t="shared" si="17"/>
        <v>LU000529.006</v>
      </c>
      <c r="U81" s="29" t="str">
        <f ca="1">IFERROR(__xludf.dummyfunction("VLOOKUP(T81, IMPORTRANGE(""https://docs.google.com/spreadsheets/d/1yDAaXNsi4Mr5FtRQL4tbmSdIzhx6_m4wkOD7IG-k_eo/edit#gid=0"", ""Maths!M:N""), 2, FALSE)"),"Design a set of practice problems that require applying the law of product of power with the same exponent for whole numbers to simplify and solve.")</f>
        <v>Design a set of practice problems that require applying the law of product of power with the same exponent for whole numbers to simplify and solve.</v>
      </c>
      <c r="V81" s="16">
        <f ca="1">IFERROR(__xludf.dummyfunction("ArrayFormula(VLOOKUP(G81, IMPORTRANGE(""https://docs.google.com/spreadsheets/d/1p7R4vtkWt5VOBim4ltsDG9KTzSjrtKXsMtQGXPHyND0/edit#gid=795171502"", ""'Filter 30_05_2024'!A1:M2000""), {2, 3, 4, 5,6,7,8,9,10,11,12,13}, 0))"),4)</f>
        <v>4</v>
      </c>
      <c r="W81" s="16">
        <f ca="1">IFERROR(__xludf.dummyfunction("""COMPUTED_VALUE"""),10)</f>
        <v>10</v>
      </c>
      <c r="X81" s="16">
        <f ca="1">IFERROR(__xludf.dummyfunction("""COMPUTED_VALUE"""),2)</f>
        <v>2</v>
      </c>
      <c r="Y81" s="16">
        <f ca="1">IFERROR(__xludf.dummyfunction("""COMPUTED_VALUE"""),16)</f>
        <v>16</v>
      </c>
      <c r="Z81" s="16">
        <f ca="1">IFERROR(__xludf.dummyfunction("""COMPUTED_VALUE"""),4)</f>
        <v>4</v>
      </c>
      <c r="AA81" s="30">
        <f ca="1">IFERROR(__xludf.dummyfunction("""COMPUTED_VALUE"""),4)</f>
        <v>4</v>
      </c>
      <c r="AB81" s="30">
        <f ca="1">IFERROR(__xludf.dummyfunction("""COMPUTED_VALUE"""),1)</f>
        <v>1</v>
      </c>
      <c r="AC81" s="30">
        <f ca="1">IFERROR(__xludf.dummyfunction("""COMPUTED_VALUE"""),9)</f>
        <v>9</v>
      </c>
      <c r="AD81" s="16"/>
      <c r="AE81" s="30"/>
      <c r="AF81" s="30"/>
      <c r="AG81" s="30"/>
    </row>
    <row r="82" spans="1:33" ht="13.8">
      <c r="A82" s="25"/>
      <c r="B82" s="25" t="s">
        <v>29</v>
      </c>
      <c r="C82" s="25" t="s">
        <v>310</v>
      </c>
      <c r="D82" s="25">
        <v>7</v>
      </c>
      <c r="E82" s="64" t="s">
        <v>856</v>
      </c>
      <c r="F82" s="64"/>
      <c r="G82" s="71" t="s">
        <v>876</v>
      </c>
      <c r="H82" s="72" t="str">
        <f ca="1">IFERROR(__xludf.dummyfunction("IFERROR(
  VLOOKUP(G82, IMPORTRANGE(""https://docs.google.com/spreadsheets/d/14deopnvwcrKtEGCKuYXdUHJbeLDZlkiSSWWT0g7x2pM/edit#gid=849066331"", ""LU List Maths (Filter)!A:B""), 2, FALSE),
  IFERROR(
    VLOOKUP(G82, IMPORTRANGE(""https://docs.google.com/s"&amp;"preadsheets/d/14deopnvwcrKtEGCKuYXdUHJbeLDZlkiSSWWT0g7x2pM/edit#gid=849066331"", ""LU List Science (Filter)!A:B""), 2, FALSE),
    ""Not Found""
  )
)
"),"Law of product of power with the same exponent for integers")</f>
        <v>Law of product of power with the same exponent for integers</v>
      </c>
      <c r="I82" s="64"/>
      <c r="J82" s="29" t="str">
        <f t="shared" si="12"/>
        <v>LU000530.001</v>
      </c>
      <c r="K82" s="29" t="str">
        <f ca="1">IFERROR(__xludf.dummyfunction("VLOOKUP(J82, IMPORTRANGE(""https://docs.google.com/spreadsheets/d/1yDAaXNsi4Mr5FtRQL4tbmSdIzhx6_m4wkOD7IG-k_eo/edit#gid=0"", ""Maths!M:N""), 2, FALSE)"),"State the law of product of power with the same exponent for integers.")</f>
        <v>State the law of product of power with the same exponent for integers.</v>
      </c>
      <c r="L82" s="29" t="str">
        <f t="shared" si="13"/>
        <v>LU000530.002</v>
      </c>
      <c r="M82" s="29" t="str">
        <f ca="1">IFERROR(__xludf.dummyfunction("VLOOKUP(L82, IMPORTRANGE(""https://docs.google.com/spreadsheets/d/1yDAaXNsi4Mr5FtRQL4tbmSdIzhx6_m4wkOD7IG-k_eo/edit#gid=0"", ""Maths!M:N""), 2, FALSE)"),"Describe how the law of product of power with the same exponent for integers allows you to simplify expressions.")</f>
        <v>Describe how the law of product of power with the same exponent for integers allows you to simplify expressions.</v>
      </c>
      <c r="N82" s="29" t="str">
        <f t="shared" si="14"/>
        <v>LU000530.003</v>
      </c>
      <c r="O82" s="29" t="str">
        <f ca="1">IFERROR(__xludf.dummyfunction("VLOOKUP(N82, IMPORTRANGE(""https://docs.google.com/spreadsheets/d/1yDAaXNsi4Mr5FtRQL4tbmSdIzhx6_m4wkOD7IG-k_eo/edit#gid=0"", ""Maths!M:N""), 2, FALSE)"),"Apply the law of product of power with the same exponent to simplify expressions involving integers.")</f>
        <v>Apply the law of product of power with the same exponent to simplify expressions involving integers.</v>
      </c>
      <c r="P82" s="29" t="str">
        <f t="shared" si="15"/>
        <v>LU000530.004</v>
      </c>
      <c r="Q82" s="29" t="str">
        <f ca="1">IFERROR(__xludf.dummyfunction("VLOOKUP(P82, IMPORTRANGE(""https://docs.google.com/spreadsheets/d/1yDAaXNsi4Mr5FtRQL4tbmSdIzhx6_m4wkOD7IG-k_eo/edit#gid=0"", ""Maths!M:N""), 2, FALSE)"),"Deduce the law of product of power with the same exponent for integers.")</f>
        <v>Deduce the law of product of power with the same exponent for integers.</v>
      </c>
      <c r="R82" s="29" t="str">
        <f t="shared" si="16"/>
        <v>LU000530.005</v>
      </c>
      <c r="S82" s="29" t="str">
        <f ca="1">IFERROR(__xludf.dummyfunction("VLOOKUP(R82, IMPORTRANGE(""https://docs.google.com/spreadsheets/d/1yDAaXNsi4Mr5FtRQL4tbmSdIzhx6_m4wkOD7IG-k_eo/edit#gid=0"", ""Maths!M:N""), 2, FALSE)"),"#N/A")</f>
        <v>#N/A</v>
      </c>
      <c r="T82" s="29" t="str">
        <f t="shared" si="17"/>
        <v>LU000530.006</v>
      </c>
      <c r="U82" s="29" t="str">
        <f ca="1">IFERROR(__xludf.dummyfunction("VLOOKUP(T82, IMPORTRANGE(""https://docs.google.com/spreadsheets/d/1yDAaXNsi4Mr5FtRQL4tbmSdIzhx6_m4wkOD7IG-k_eo/edit#gid=0"", ""Maths!M:N""), 2, FALSE)"),"Design a set of practice problems that require applying the law of product of power with the same exponent for integers to simplify and solve.")</f>
        <v>Design a set of practice problems that require applying the law of product of power with the same exponent for integers to simplify and solve.</v>
      </c>
      <c r="V82" s="16">
        <f ca="1">IFERROR(__xludf.dummyfunction("ArrayFormula(VLOOKUP(G82, IMPORTRANGE(""https://docs.google.com/spreadsheets/d/1p7R4vtkWt5VOBim4ltsDG9KTzSjrtKXsMtQGXPHyND0/edit#gid=795171502"", ""'Filter 30_05_2024'!A1:M2000""), {2, 3, 4, 5,6,7,8,9,10,11,12,13}, 0))"),4)</f>
        <v>4</v>
      </c>
      <c r="W82" s="16">
        <f ca="1">IFERROR(__xludf.dummyfunction("""COMPUTED_VALUE"""),4)</f>
        <v>4</v>
      </c>
      <c r="X82" s="16">
        <f ca="1">IFERROR(__xludf.dummyfunction("""COMPUTED_VALUE"""),2)</f>
        <v>2</v>
      </c>
      <c r="Y82" s="16">
        <f ca="1">IFERROR(__xludf.dummyfunction("""COMPUTED_VALUE"""),10)</f>
        <v>10</v>
      </c>
      <c r="Z82" s="16">
        <f ca="1">IFERROR(__xludf.dummyfunction("""COMPUTED_VALUE"""),4)</f>
        <v>4</v>
      </c>
      <c r="AA82" s="30">
        <f ca="1">IFERROR(__xludf.dummyfunction("""COMPUTED_VALUE"""),3)</f>
        <v>3</v>
      </c>
      <c r="AB82" s="30">
        <f ca="1">IFERROR(__xludf.dummyfunction("""COMPUTED_VALUE"""),1)</f>
        <v>1</v>
      </c>
      <c r="AC82" s="30">
        <f ca="1">IFERROR(__xludf.dummyfunction("""COMPUTED_VALUE"""),8)</f>
        <v>8</v>
      </c>
      <c r="AD82" s="16"/>
      <c r="AE82" s="30"/>
      <c r="AF82" s="30"/>
      <c r="AG82" s="30"/>
    </row>
    <row r="83" spans="1:33" ht="13.8">
      <c r="A83" s="25"/>
      <c r="B83" s="25" t="s">
        <v>29</v>
      </c>
      <c r="C83" s="25" t="s">
        <v>310</v>
      </c>
      <c r="D83" s="25">
        <v>7</v>
      </c>
      <c r="E83" s="64" t="s">
        <v>856</v>
      </c>
      <c r="F83" s="64" t="s">
        <v>877</v>
      </c>
      <c r="G83" s="71" t="s">
        <v>878</v>
      </c>
      <c r="H83" s="72" t="str">
        <f ca="1">IFERROR(__xludf.dummyfunction("IFERROR(
  VLOOKUP(G83, IMPORTRANGE(""https://docs.google.com/spreadsheets/d/14deopnvwcrKtEGCKuYXdUHJbeLDZlkiSSWWT0g7x2pM/edit#gid=849066331"", ""LU List Maths (Filter)!A:B""), 2, FALSE),
  IFERROR(
    VLOOKUP(G83, IMPORTRANGE(""https://docs.google.com/s"&amp;"preadsheets/d/14deopnvwcrKtEGCKuYXdUHJbeLDZlkiSSWWT0g7x2pM/edit#gid=849066331"", ""LU List Science (Filter)!A:B""), 2, FALSE),
    ""Not Found""
  )
)
"),"Law of quotient of powers with the same exponent for whole numbers")</f>
        <v>Law of quotient of powers with the same exponent for whole numbers</v>
      </c>
      <c r="I83" s="64"/>
      <c r="J83" s="29" t="str">
        <f t="shared" si="12"/>
        <v>LU000532.001</v>
      </c>
      <c r="K83" s="29" t="str">
        <f ca="1">IFERROR(__xludf.dummyfunction("VLOOKUP(J83, IMPORTRANGE(""https://docs.google.com/spreadsheets/d/1yDAaXNsi4Mr5FtRQL4tbmSdIzhx6_m4wkOD7IG-k_eo/edit#gid=0"", ""Maths!M:N""), 2, FALSE)"),"State the law of quotient of powers with the same exponent for whole numbers.")</f>
        <v>State the law of quotient of powers with the same exponent for whole numbers.</v>
      </c>
      <c r="L83" s="29" t="str">
        <f t="shared" si="13"/>
        <v>LU000532.002</v>
      </c>
      <c r="M83" s="29" t="str">
        <f ca="1">IFERROR(__xludf.dummyfunction("VLOOKUP(L83, IMPORTRANGE(""https://docs.google.com/spreadsheets/d/1yDAaXNsi4Mr5FtRQL4tbmSdIzhx6_m4wkOD7IG-k_eo/edit#gid=0"", ""Maths!M:N""), 2, FALSE)"),"Describe how the law of quotient of powers with the same exponent for whole numbers allows you to simplify expressions.")</f>
        <v>Describe how the law of quotient of powers with the same exponent for whole numbers allows you to simplify expressions.</v>
      </c>
      <c r="N83" s="29" t="str">
        <f t="shared" si="14"/>
        <v>LU000532.003</v>
      </c>
      <c r="O83" s="29" t="str">
        <f ca="1">IFERROR(__xludf.dummyfunction("VLOOKUP(N83, IMPORTRANGE(""https://docs.google.com/spreadsheets/d/1yDAaXNsi4Mr5FtRQL4tbmSdIzhx6_m4wkOD7IG-k_eo/edit#gid=0"", ""Maths!M:N""), 2, FALSE)"),"Apply the law of quotient of powers with the same exponent to simplify expressions involving whole numbers.")</f>
        <v>Apply the law of quotient of powers with the same exponent to simplify expressions involving whole numbers.</v>
      </c>
      <c r="P83" s="29" t="str">
        <f t="shared" si="15"/>
        <v>LU000532.004</v>
      </c>
      <c r="Q83" s="29" t="str">
        <f ca="1">IFERROR(__xludf.dummyfunction("VLOOKUP(P83, IMPORTRANGE(""https://docs.google.com/spreadsheets/d/1yDAaXNsi4Mr5FtRQL4tbmSdIzhx6_m4wkOD7IG-k_eo/edit#gid=0"", ""Maths!M:N""), 2, FALSE)"),"Deduce the law of quotient of powers with the same exponent for whole numbers.")</f>
        <v>Deduce the law of quotient of powers with the same exponent for whole numbers.</v>
      </c>
      <c r="R83" s="29" t="str">
        <f t="shared" si="16"/>
        <v>LU000532.005</v>
      </c>
      <c r="S83" s="29" t="str">
        <f ca="1">IFERROR(__xludf.dummyfunction("VLOOKUP(R83, IMPORTRANGE(""https://docs.google.com/spreadsheets/d/1yDAaXNsi4Mr5FtRQL4tbmSdIzhx6_m4wkOD7IG-k_eo/edit#gid=0"", ""Maths!M:N""), 2, FALSE)"),"#N/A")</f>
        <v>#N/A</v>
      </c>
      <c r="T83" s="29" t="str">
        <f t="shared" si="17"/>
        <v>LU000532.006</v>
      </c>
      <c r="U83" s="29" t="str">
        <f ca="1">IFERROR(__xludf.dummyfunction("VLOOKUP(T83, IMPORTRANGE(""https://docs.google.com/spreadsheets/d/1yDAaXNsi4Mr5FtRQL4tbmSdIzhx6_m4wkOD7IG-k_eo/edit#gid=0"", ""Maths!M:N""), 2, FALSE)"),"Design a set of practice problems that require applying the law of quotient of powers with the same exponent for whole numbers to simplify and solve.")</f>
        <v>Design a set of practice problems that require applying the law of quotient of powers with the same exponent for whole numbers to simplify and solve.</v>
      </c>
      <c r="V83" s="16">
        <f ca="1">IFERROR(__xludf.dummyfunction("ArrayFormula(VLOOKUP(G83, IMPORTRANGE(""https://docs.google.com/spreadsheets/d/1p7R4vtkWt5VOBim4ltsDG9KTzSjrtKXsMtQGXPHyND0/edit#gid=795171502"", ""'Filter 30_05_2024'!A1:M2000""), {2, 3, 4, 5,6,7,8,9,10,11,12,13}, 0))"),4)</f>
        <v>4</v>
      </c>
      <c r="W83" s="16">
        <f ca="1">IFERROR(__xludf.dummyfunction("""COMPUTED_VALUE"""),8)</f>
        <v>8</v>
      </c>
      <c r="X83" s="16">
        <f ca="1">IFERROR(__xludf.dummyfunction("""COMPUTED_VALUE"""),2)</f>
        <v>2</v>
      </c>
      <c r="Y83" s="16">
        <f ca="1">IFERROR(__xludf.dummyfunction("""COMPUTED_VALUE"""),14)</f>
        <v>14</v>
      </c>
      <c r="Z83" s="16">
        <f ca="1">IFERROR(__xludf.dummyfunction("""COMPUTED_VALUE"""),4)</f>
        <v>4</v>
      </c>
      <c r="AA83" s="30">
        <f ca="1">IFERROR(__xludf.dummyfunction("""COMPUTED_VALUE"""),3)</f>
        <v>3</v>
      </c>
      <c r="AB83" s="30">
        <f ca="1">IFERROR(__xludf.dummyfunction("""COMPUTED_VALUE"""),1)</f>
        <v>1</v>
      </c>
      <c r="AC83" s="30">
        <f ca="1">IFERROR(__xludf.dummyfunction("""COMPUTED_VALUE"""),8)</f>
        <v>8</v>
      </c>
      <c r="AD83" s="16"/>
      <c r="AE83" s="30"/>
      <c r="AF83" s="30"/>
      <c r="AG83" s="30"/>
    </row>
    <row r="84" spans="1:33" ht="13.8">
      <c r="A84" s="25"/>
      <c r="B84" s="25" t="s">
        <v>29</v>
      </c>
      <c r="C84" s="25" t="s">
        <v>310</v>
      </c>
      <c r="D84" s="25">
        <v>7</v>
      </c>
      <c r="E84" s="64" t="s">
        <v>856</v>
      </c>
      <c r="F84" s="64"/>
      <c r="G84" s="71" t="s">
        <v>879</v>
      </c>
      <c r="H84" s="72" t="str">
        <f ca="1">IFERROR(__xludf.dummyfunction("IFERROR(
  VLOOKUP(G84, IMPORTRANGE(""https://docs.google.com/spreadsheets/d/14deopnvwcrKtEGCKuYXdUHJbeLDZlkiSSWWT0g7x2pM/edit#gid=849066331"", ""LU List Maths (Filter)!A:B""), 2, FALSE),
  IFERROR(
    VLOOKUP(G84, IMPORTRANGE(""https://docs.google.com/s"&amp;"preadsheets/d/14deopnvwcrKtEGCKuYXdUHJbeLDZlkiSSWWT0g7x2pM/edit#gid=849066331"", ""LU List Science (Filter)!A:B""), 2, FALSE),
    ""Not Found""
  )
)
"),"Law of quotient of power with the same exponent for integers")</f>
        <v>Law of quotient of power with the same exponent for integers</v>
      </c>
      <c r="I84" s="64"/>
      <c r="J84" s="29" t="str">
        <f t="shared" si="12"/>
        <v>LU000533.001</v>
      </c>
      <c r="K84" s="29" t="str">
        <f ca="1">IFERROR(__xludf.dummyfunction("VLOOKUP(J84, IMPORTRANGE(""https://docs.google.com/spreadsheets/d/1yDAaXNsi4Mr5FtRQL4tbmSdIzhx6_m4wkOD7IG-k_eo/edit#gid=0"", ""Maths!M:N""), 2, FALSE)"),"State the law of quotient of powers with the same exponent for integers.")</f>
        <v>State the law of quotient of powers with the same exponent for integers.</v>
      </c>
      <c r="L84" s="29" t="str">
        <f t="shared" si="13"/>
        <v>LU000533.002</v>
      </c>
      <c r="M84" s="29" t="str">
        <f ca="1">IFERROR(__xludf.dummyfunction("VLOOKUP(L84, IMPORTRANGE(""https://docs.google.com/spreadsheets/d/1yDAaXNsi4Mr5FtRQL4tbmSdIzhx6_m4wkOD7IG-k_eo/edit#gid=0"", ""Maths!M:N""), 2, FALSE)"),"Describe how the law of quotient of powers with the same exponent for integers allows you to simplify expressions.")</f>
        <v>Describe how the law of quotient of powers with the same exponent for integers allows you to simplify expressions.</v>
      </c>
      <c r="N84" s="29" t="str">
        <f t="shared" si="14"/>
        <v>LU000533.003</v>
      </c>
      <c r="O84" s="29" t="str">
        <f ca="1">IFERROR(__xludf.dummyfunction("VLOOKUP(N84, IMPORTRANGE(""https://docs.google.com/spreadsheets/d/1yDAaXNsi4Mr5FtRQL4tbmSdIzhx6_m4wkOD7IG-k_eo/edit#gid=0"", ""Maths!M:N""), 2, FALSE)"),"Apply the law of quotient of powers with the same exponent to simplify expressions involving integers.")</f>
        <v>Apply the law of quotient of powers with the same exponent to simplify expressions involving integers.</v>
      </c>
      <c r="P84" s="29" t="str">
        <f t="shared" si="15"/>
        <v>LU000533.004</v>
      </c>
      <c r="Q84" s="29" t="str">
        <f ca="1">IFERROR(__xludf.dummyfunction("VLOOKUP(P84, IMPORTRANGE(""https://docs.google.com/spreadsheets/d/1yDAaXNsi4Mr5FtRQL4tbmSdIzhx6_m4wkOD7IG-k_eo/edit#gid=0"", ""Maths!M:N""), 2, FALSE)"),"Deduce the law of quotient of powers with the same exponent for integers.")</f>
        <v>Deduce the law of quotient of powers with the same exponent for integers.</v>
      </c>
      <c r="R84" s="29" t="str">
        <f t="shared" si="16"/>
        <v>LU000533.005</v>
      </c>
      <c r="S84" s="29" t="str">
        <f ca="1">IFERROR(__xludf.dummyfunction("VLOOKUP(R84, IMPORTRANGE(""https://docs.google.com/spreadsheets/d/1yDAaXNsi4Mr5FtRQL4tbmSdIzhx6_m4wkOD7IG-k_eo/edit#gid=0"", ""Maths!M:N""), 2, FALSE)"),"#N/A")</f>
        <v>#N/A</v>
      </c>
      <c r="T84" s="29" t="str">
        <f t="shared" si="17"/>
        <v>LU000533.006</v>
      </c>
      <c r="U84" s="29" t="str">
        <f ca="1">IFERROR(__xludf.dummyfunction("VLOOKUP(T84, IMPORTRANGE(""https://docs.google.com/spreadsheets/d/1yDAaXNsi4Mr5FtRQL4tbmSdIzhx6_m4wkOD7IG-k_eo/edit#gid=0"", ""Maths!M:N""), 2, FALSE)"),"Design a set of practice problems that require applying the law of quotient of powers with the same exponent for integers to simplify and solve.")</f>
        <v>Design a set of practice problems that require applying the law of quotient of powers with the same exponent for integers to simplify and solve.</v>
      </c>
      <c r="V84" s="16">
        <f ca="1">IFERROR(__xludf.dummyfunction("ArrayFormula(VLOOKUP(G84, IMPORTRANGE(""https://docs.google.com/spreadsheets/d/1p7R4vtkWt5VOBim4ltsDG9KTzSjrtKXsMtQGXPHyND0/edit#gid=795171502"", ""'Filter 30_05_2024'!A1:M2000""), {2, 3, 4, 5,6,7,8,9,10,11,12,13}, 0))"),4)</f>
        <v>4</v>
      </c>
      <c r="W84" s="16">
        <f ca="1">IFERROR(__xludf.dummyfunction("""COMPUTED_VALUE"""),6)</f>
        <v>6</v>
      </c>
      <c r="X84" s="16">
        <f ca="1">IFERROR(__xludf.dummyfunction("""COMPUTED_VALUE"""),2)</f>
        <v>2</v>
      </c>
      <c r="Y84" s="16">
        <f ca="1">IFERROR(__xludf.dummyfunction("""COMPUTED_VALUE"""),12)</f>
        <v>12</v>
      </c>
      <c r="Z84" s="16">
        <f ca="1">IFERROR(__xludf.dummyfunction("""COMPUTED_VALUE"""),4)</f>
        <v>4</v>
      </c>
      <c r="AA84" s="30">
        <f ca="1">IFERROR(__xludf.dummyfunction("""COMPUTED_VALUE"""),3)</f>
        <v>3</v>
      </c>
      <c r="AB84" s="30">
        <f ca="1">IFERROR(__xludf.dummyfunction("""COMPUTED_VALUE"""),1)</f>
        <v>1</v>
      </c>
      <c r="AC84" s="30">
        <f ca="1">IFERROR(__xludf.dummyfunction("""COMPUTED_VALUE"""),8)</f>
        <v>8</v>
      </c>
      <c r="AD84" s="16"/>
      <c r="AE84" s="30"/>
      <c r="AF84" s="30"/>
      <c r="AG84" s="30"/>
    </row>
    <row r="85" spans="1:33" ht="13.8">
      <c r="A85" s="25"/>
      <c r="B85" s="25" t="s">
        <v>29</v>
      </c>
      <c r="C85" s="25" t="s">
        <v>310</v>
      </c>
      <c r="D85" s="25">
        <v>7</v>
      </c>
      <c r="E85" s="64" t="s">
        <v>856</v>
      </c>
      <c r="F85" s="64" t="s">
        <v>880</v>
      </c>
      <c r="G85" s="71" t="s">
        <v>881</v>
      </c>
      <c r="H85" s="72" t="str">
        <f ca="1">IFERROR(__xludf.dummyfunction("IFERROR(
  VLOOKUP(G85, IMPORTRANGE(""https://docs.google.com/spreadsheets/d/14deopnvwcrKtEGCKuYXdUHJbeLDZlkiSSWWT0g7x2pM/edit#gid=849066331"", ""LU List Maths (Filter)!A:B""), 2, FALSE),
  IFERROR(
    VLOOKUP(G85, IMPORTRANGE(""https://docs.google.com/s"&amp;"preadsheets/d/14deopnvwcrKtEGCKuYXdUHJbeLDZlkiSSWWT0g7x2pM/edit#gid=849066331"", ""LU List Science (Filter)!A:B""), 2, FALSE),
    ""Not Found""
  )
)
"),"Law of power of a power for whole numbers")</f>
        <v>Law of power of a power for whole numbers</v>
      </c>
      <c r="I85" s="64"/>
      <c r="J85" s="29" t="str">
        <f t="shared" si="12"/>
        <v>LU000526.001</v>
      </c>
      <c r="K85" s="29" t="str">
        <f ca="1">IFERROR(__xludf.dummyfunction("VLOOKUP(J85, IMPORTRANGE(""https://docs.google.com/spreadsheets/d/1yDAaXNsi4Mr5FtRQL4tbmSdIzhx6_m4wkOD7IG-k_eo/edit#gid=0"", ""Maths!M:N""), 2, FALSE)"),"State the law of power of a power for whole numbers.")</f>
        <v>State the law of power of a power for whole numbers.</v>
      </c>
      <c r="L85" s="29" t="str">
        <f t="shared" si="13"/>
        <v>LU000526.002</v>
      </c>
      <c r="M85" s="29" t="str">
        <f ca="1">IFERROR(__xludf.dummyfunction("VLOOKUP(L85, IMPORTRANGE(""https://docs.google.com/spreadsheets/d/1yDAaXNsi4Mr5FtRQL4tbmSdIzhx6_m4wkOD7IG-k_eo/edit#gid=0"", ""Maths!M:N""), 2, FALSE)"),"Explain the concept of the law of power of a power for whole numbers, emphasising how it simplifies raising a power to another power.")</f>
        <v>Explain the concept of the law of power of a power for whole numbers, emphasising how it simplifies raising a power to another power.</v>
      </c>
      <c r="N85" s="29" t="str">
        <f t="shared" si="14"/>
        <v>LU000526.003</v>
      </c>
      <c r="O85" s="29" t="str">
        <f ca="1">IFERROR(__xludf.dummyfunction("VLOOKUP(N85, IMPORTRANGE(""https://docs.google.com/spreadsheets/d/1yDAaXNsi4Mr5FtRQL4tbmSdIzhx6_m4wkOD7IG-k_eo/edit#gid=0"", ""Maths!M:N""), 2, FALSE)"),"Apply the law of power of a power to simplify expressions involving whole numbers.")</f>
        <v>Apply the law of power of a power to simplify expressions involving whole numbers.</v>
      </c>
      <c r="P85" s="29" t="str">
        <f t="shared" si="15"/>
        <v>LU000526.004</v>
      </c>
      <c r="Q85" s="29" t="str">
        <f ca="1">IFERROR(__xludf.dummyfunction("VLOOKUP(P85, IMPORTRANGE(""https://docs.google.com/spreadsheets/d/1yDAaXNsi4Mr5FtRQL4tbmSdIzhx6_m4wkOD7IG-k_eo/edit#gid=0"", ""Maths!M:N""), 2, FALSE)"),"Deduce the law of power of a power for whole numbers identifying the components and recognising how the exponents multiply.")</f>
        <v>Deduce the law of power of a power for whole numbers identifying the components and recognising how the exponents multiply.</v>
      </c>
      <c r="R85" s="29" t="str">
        <f t="shared" si="16"/>
        <v>LU000526.005</v>
      </c>
      <c r="S85" s="29" t="str">
        <f ca="1">IFERROR(__xludf.dummyfunction("VLOOKUP(R85, IMPORTRANGE(""https://docs.google.com/spreadsheets/d/1yDAaXNsi4Mr5FtRQL4tbmSdIzhx6_m4wkOD7IG-k_eo/edit#gid=0"", ""Maths!M:N""), 2, FALSE)"),"#N/A")</f>
        <v>#N/A</v>
      </c>
      <c r="T85" s="29" t="str">
        <f t="shared" si="17"/>
        <v>LU000526.006</v>
      </c>
      <c r="U85" s="29" t="str">
        <f ca="1">IFERROR(__xludf.dummyfunction("VLOOKUP(T85, IMPORTRANGE(""https://docs.google.com/spreadsheets/d/1yDAaXNsi4Mr5FtRQL4tbmSdIzhx6_m4wkOD7IG-k_eo/edit#gid=0"", ""Maths!M:N""), 2, FALSE)"),"Design a set of original mathematical expressions that involve the law of power of a power for whole numbers and simplify them.")</f>
        <v>Design a set of original mathematical expressions that involve the law of power of a power for whole numbers and simplify them.</v>
      </c>
      <c r="V85" s="16">
        <f ca="1">IFERROR(__xludf.dummyfunction("ArrayFormula(VLOOKUP(G85, IMPORTRANGE(""https://docs.google.com/spreadsheets/d/1p7R4vtkWt5VOBim4ltsDG9KTzSjrtKXsMtQGXPHyND0/edit#gid=795171502"", ""'Filter 30_05_2024'!A1:M2000""), {2, 3, 4, 5,6,7,8,9,10,11,12,13}, 0))"),4)</f>
        <v>4</v>
      </c>
      <c r="W85" s="16">
        <f ca="1">IFERROR(__xludf.dummyfunction("""COMPUTED_VALUE"""),2)</f>
        <v>2</v>
      </c>
      <c r="X85" s="16">
        <f ca="1">IFERROR(__xludf.dummyfunction("""COMPUTED_VALUE"""),2)</f>
        <v>2</v>
      </c>
      <c r="Y85" s="16">
        <f ca="1">IFERROR(__xludf.dummyfunction("""COMPUTED_VALUE"""),8)</f>
        <v>8</v>
      </c>
      <c r="Z85" s="16">
        <f ca="1">IFERROR(__xludf.dummyfunction("""COMPUTED_VALUE"""),4)</f>
        <v>4</v>
      </c>
      <c r="AA85" s="30">
        <f ca="1">IFERROR(__xludf.dummyfunction("""COMPUTED_VALUE"""),4)</f>
        <v>4</v>
      </c>
      <c r="AB85" s="30">
        <f ca="1">IFERROR(__xludf.dummyfunction("""COMPUTED_VALUE"""),1)</f>
        <v>1</v>
      </c>
      <c r="AC85" s="30">
        <f ca="1">IFERROR(__xludf.dummyfunction("""COMPUTED_VALUE"""),9)</f>
        <v>9</v>
      </c>
      <c r="AD85" s="16"/>
      <c r="AE85" s="30"/>
      <c r="AF85" s="30"/>
      <c r="AG85" s="30"/>
    </row>
    <row r="86" spans="1:33" ht="13.8">
      <c r="A86" s="25"/>
      <c r="B86" s="25" t="s">
        <v>29</v>
      </c>
      <c r="C86" s="25" t="s">
        <v>310</v>
      </c>
      <c r="D86" s="25">
        <v>7</v>
      </c>
      <c r="E86" s="64" t="s">
        <v>856</v>
      </c>
      <c r="F86" s="64"/>
      <c r="G86" s="71" t="s">
        <v>882</v>
      </c>
      <c r="H86" s="72" t="str">
        <f ca="1">IFERROR(__xludf.dummyfunction("IFERROR(
  VLOOKUP(G86, IMPORTRANGE(""https://docs.google.com/spreadsheets/d/14deopnvwcrKtEGCKuYXdUHJbeLDZlkiSSWWT0g7x2pM/edit#gid=849066331"", ""LU List Maths (Filter)!A:B""), 2, FALSE),
  IFERROR(
    VLOOKUP(G86, IMPORTRANGE(""https://docs.google.com/s"&amp;"preadsheets/d/14deopnvwcrKtEGCKuYXdUHJbeLDZlkiSSWWT0g7x2pM/edit#gid=849066331"", ""LU List Science (Filter)!A:B""), 2, FALSE),
    ""Not Found""
  )
)
"),"Law of power of a power for integers")</f>
        <v>Law of power of a power for integers</v>
      </c>
      <c r="I86" s="64"/>
      <c r="J86" s="29" t="str">
        <f t="shared" si="12"/>
        <v>LU000527.001</v>
      </c>
      <c r="K86" s="29" t="str">
        <f ca="1">IFERROR(__xludf.dummyfunction("VLOOKUP(J86, IMPORTRANGE(""https://docs.google.com/spreadsheets/d/1yDAaXNsi4Mr5FtRQL4tbmSdIzhx6_m4wkOD7IG-k_eo/edit#gid=0"", ""Maths!M:N""), 2, FALSE)"),"State the law of power of a power for integers.")</f>
        <v>State the law of power of a power for integers.</v>
      </c>
      <c r="L86" s="29" t="str">
        <f t="shared" si="13"/>
        <v>LU000527.002</v>
      </c>
      <c r="M86" s="29" t="str">
        <f ca="1">IFERROR(__xludf.dummyfunction("VLOOKUP(L86, IMPORTRANGE(""https://docs.google.com/spreadsheets/d/1yDAaXNsi4Mr5FtRQL4tbmSdIzhx6_m4wkOD7IG-k_eo/edit#gid=0"", ""Maths!M:N""), 2, FALSE)"),"Explain the concept of the law of power of a power for integers, emphasising how it simplifies raising a power to another power.")</f>
        <v>Explain the concept of the law of power of a power for integers, emphasising how it simplifies raising a power to another power.</v>
      </c>
      <c r="N86" s="29" t="str">
        <f t="shared" si="14"/>
        <v>LU000527.003</v>
      </c>
      <c r="O86" s="29" t="str">
        <f ca="1">IFERROR(__xludf.dummyfunction("VLOOKUP(N86, IMPORTRANGE(""https://docs.google.com/spreadsheets/d/1yDAaXNsi4Mr5FtRQL4tbmSdIzhx6_m4wkOD7IG-k_eo/edit#gid=0"", ""Maths!M:N""), 2, FALSE)"),"Apply the law of power of a power to simplify expressions involving integers.")</f>
        <v>Apply the law of power of a power to simplify expressions involving integers.</v>
      </c>
      <c r="P86" s="29" t="str">
        <f t="shared" si="15"/>
        <v>LU000527.004</v>
      </c>
      <c r="Q86" s="29" t="str">
        <f ca="1">IFERROR(__xludf.dummyfunction("VLOOKUP(P86, IMPORTRANGE(""https://docs.google.com/spreadsheets/d/1yDAaXNsi4Mr5FtRQL4tbmSdIzhx6_m4wkOD7IG-k_eo/edit#gid=0"", ""Maths!M:N""), 2, FALSE)"),"Deduce the law of power of a power for integers identifying the components and recognising how the exponents multiply.")</f>
        <v>Deduce the law of power of a power for integers identifying the components and recognising how the exponents multiply.</v>
      </c>
      <c r="R86" s="29" t="str">
        <f t="shared" si="16"/>
        <v>LU000527.005</v>
      </c>
      <c r="S86" s="29" t="str">
        <f ca="1">IFERROR(__xludf.dummyfunction("VLOOKUP(R86, IMPORTRANGE(""https://docs.google.com/spreadsheets/d/1yDAaXNsi4Mr5FtRQL4tbmSdIzhx6_m4wkOD7IG-k_eo/edit#gid=0"", ""Maths!M:N""), 2, FALSE)"),"#N/A")</f>
        <v>#N/A</v>
      </c>
      <c r="T86" s="29" t="str">
        <f t="shared" si="17"/>
        <v>LU000527.006</v>
      </c>
      <c r="U86" s="29" t="str">
        <f ca="1">IFERROR(__xludf.dummyfunction("VLOOKUP(T86, IMPORTRANGE(""https://docs.google.com/spreadsheets/d/1yDAaXNsi4Mr5FtRQL4tbmSdIzhx6_m4wkOD7IG-k_eo/edit#gid=0"", ""Maths!M:N""), 2, FALSE)"),"Design a set of original mathematical expressions that involve the law of power of a power for integers and simplify them.")</f>
        <v>Design a set of original mathematical expressions that involve the law of power of a power for integers and simplify them.</v>
      </c>
      <c r="V86" s="16">
        <f ca="1">IFERROR(__xludf.dummyfunction("ArrayFormula(VLOOKUP(G86, IMPORTRANGE(""https://docs.google.com/spreadsheets/d/1p7R4vtkWt5VOBim4ltsDG9KTzSjrtKXsMtQGXPHyND0/edit#gid=795171502"", ""'Filter 30_05_2024'!A1:M2000""), {2, 3, 4, 5,6,7,8,9,10,11,12,13}, 0))"),4)</f>
        <v>4</v>
      </c>
      <c r="W86" s="16">
        <f ca="1">IFERROR(__xludf.dummyfunction("""COMPUTED_VALUE"""),4)</f>
        <v>4</v>
      </c>
      <c r="X86" s="16">
        <f ca="1">IFERROR(__xludf.dummyfunction("""COMPUTED_VALUE"""),2)</f>
        <v>2</v>
      </c>
      <c r="Y86" s="16">
        <f ca="1">IFERROR(__xludf.dummyfunction("""COMPUTED_VALUE"""),10)</f>
        <v>10</v>
      </c>
      <c r="Z86" s="16">
        <f ca="1">IFERROR(__xludf.dummyfunction("""COMPUTED_VALUE"""),4)</f>
        <v>4</v>
      </c>
      <c r="AA86" s="30">
        <f ca="1">IFERROR(__xludf.dummyfunction("""COMPUTED_VALUE"""),5)</f>
        <v>5</v>
      </c>
      <c r="AB86" s="30">
        <f ca="1">IFERROR(__xludf.dummyfunction("""COMPUTED_VALUE"""),1)</f>
        <v>1</v>
      </c>
      <c r="AC86" s="30">
        <f ca="1">IFERROR(__xludf.dummyfunction("""COMPUTED_VALUE"""),10)</f>
        <v>10</v>
      </c>
      <c r="AD86" s="16"/>
      <c r="AE86" s="30"/>
      <c r="AF86" s="30"/>
      <c r="AG86" s="30"/>
    </row>
    <row r="87" spans="1:33" ht="13.8">
      <c r="A87" s="25"/>
      <c r="B87" s="25" t="s">
        <v>29</v>
      </c>
      <c r="C87" s="25" t="s">
        <v>310</v>
      </c>
      <c r="D87" s="25">
        <v>7</v>
      </c>
      <c r="E87" s="64" t="s">
        <v>856</v>
      </c>
      <c r="F87" s="64"/>
      <c r="G87" s="71" t="s">
        <v>883</v>
      </c>
      <c r="H87" s="72" t="str">
        <f ca="1">IFERROR(__xludf.dummyfunction("IFERROR(
  VLOOKUP(G87, IMPORTRANGE(""https://docs.google.com/spreadsheets/d/14deopnvwcrKtEGCKuYXdUHJbeLDZlkiSSWWT0g7x2pM/edit#gid=849066331"", ""LU List Maths (Filter)!A:B""), 2, FALSE),
  IFERROR(
    VLOOKUP(G87, IMPORTRANGE(""https://docs.google.com/s"&amp;"preadsheets/d/14deopnvwcrKtEGCKuYXdUHJbeLDZlkiSSWWT0g7x2pM/edit#gid=849066331"", ""LU List Science (Filter)!A:B""), 2, FALSE),
    ""Not Found""
  )
)
"),"Law of zero power for whole numbers")</f>
        <v>Law of zero power for whole numbers</v>
      </c>
      <c r="I87" s="64"/>
      <c r="J87" s="29" t="str">
        <f t="shared" si="12"/>
        <v>LU000538.001</v>
      </c>
      <c r="K87" s="29" t="str">
        <f ca="1">IFERROR(__xludf.dummyfunction("VLOOKUP(J87, IMPORTRANGE(""https://docs.google.com/spreadsheets/d/1yDAaXNsi4Mr5FtRQL4tbmSdIzhx6_m4wkOD7IG-k_eo/edit#gid=0"", ""Maths!M:N""), 2, FALSE)"),"State the law of zero power for whole numbers and its significance.")</f>
        <v>State the law of zero power for whole numbers and its significance.</v>
      </c>
      <c r="L87" s="29" t="str">
        <f t="shared" si="13"/>
        <v>LU000538.002</v>
      </c>
      <c r="M87" s="29" t="str">
        <f ca="1">IFERROR(__xludf.dummyfunction("VLOOKUP(L87, IMPORTRANGE(""https://docs.google.com/spreadsheets/d/1yDAaXNsi4Mr5FtRQL4tbmSdIzhx6_m4wkOD7IG-k_eo/edit#gid=0"", ""Maths!M:N""), 2, FALSE)"),"Describe the law of zero power for whole numbers, emphasizing how it relates to exponentiation.")</f>
        <v>Describe the law of zero power for whole numbers, emphasizing how it relates to exponentiation.</v>
      </c>
      <c r="N87" s="29" t="str">
        <f t="shared" si="14"/>
        <v>LU000538.003</v>
      </c>
      <c r="O87" s="29" t="str">
        <f ca="1">IFERROR(__xludf.dummyfunction("VLOOKUP(N87, IMPORTRANGE(""https://docs.google.com/spreadsheets/d/1yDAaXNsi4Mr5FtRQL4tbmSdIzhx6_m4wkOD7IG-k_eo/edit#gid=0"", ""Maths!M:N""), 2, FALSE)"),"Apply the law of zero power to simplify expressions involving whole numbers.")</f>
        <v>Apply the law of zero power to simplify expressions involving whole numbers.</v>
      </c>
      <c r="P87" s="29" t="str">
        <f t="shared" si="15"/>
        <v>LU000538.004</v>
      </c>
      <c r="Q87" s="29" t="str">
        <f ca="1">IFERROR(__xludf.dummyfunction("VLOOKUP(P87, IMPORTRANGE(""https://docs.google.com/spreadsheets/d/1yDAaXNsi4Mr5FtRQL4tbmSdIzhx6_m4wkOD7IG-k_eo/edit#gid=0"", ""Maths!M:N""), 2, FALSE)"),"Analyse expressions involving the law of zero power for whole numbers, recognising the consistent result of 1.")</f>
        <v>Analyse expressions involving the law of zero power for whole numbers, recognising the consistent result of 1.</v>
      </c>
      <c r="R87" s="29" t="str">
        <f t="shared" si="16"/>
        <v>LU000538.005</v>
      </c>
      <c r="S87" s="29" t="str">
        <f ca="1">IFERROR(__xludf.dummyfunction("VLOOKUP(R87, IMPORTRANGE(""https://docs.google.com/spreadsheets/d/1yDAaXNsi4Mr5FtRQL4tbmSdIzhx6_m4wkOD7IG-k_eo/edit#gid=0"", ""Maths!M:N""), 2, FALSE)"),"Evaluate the importance of the law of zero power for whole numbers in mathematical operations and simplifications.")</f>
        <v>Evaluate the importance of the law of zero power for whole numbers in mathematical operations and simplifications.</v>
      </c>
      <c r="T87" s="29" t="str">
        <f t="shared" si="17"/>
        <v>LU000538.006</v>
      </c>
      <c r="U87" s="29" t="str">
        <f ca="1">IFERROR(__xludf.dummyfunction("VLOOKUP(T87, IMPORTRANGE(""https://docs.google.com/spreadsheets/d/1yDAaXNsi4Mr5FtRQL4tbmSdIzhx6_m4wkOD7IG-k_eo/edit#gid=0"", ""Maths!M:N""), 2, FALSE)"),"Design a set of practice problems that require applying the law of zero power for whole numbers to simplify and solve.")</f>
        <v>Design a set of practice problems that require applying the law of zero power for whole numbers to simplify and solve.</v>
      </c>
      <c r="V87" s="16">
        <f ca="1">IFERROR(__xludf.dummyfunction("ArrayFormula(VLOOKUP(G87, IMPORTRANGE(""https://docs.google.com/spreadsheets/d/1p7R4vtkWt5VOBim4ltsDG9KTzSjrtKXsMtQGXPHyND0/edit#gid=795171502"", ""'Filter 30_05_2024'!A1:M2000""), {2, 3, 4, 5,6,7,8,9,10,11,12,13}, 0))"),4)</f>
        <v>4</v>
      </c>
      <c r="W87" s="16">
        <f ca="1">IFERROR(__xludf.dummyfunction("""COMPUTED_VALUE"""),8)</f>
        <v>8</v>
      </c>
      <c r="X87" s="16">
        <f ca="1">IFERROR(__xludf.dummyfunction("""COMPUTED_VALUE"""),2)</f>
        <v>2</v>
      </c>
      <c r="Y87" s="16">
        <f ca="1">IFERROR(__xludf.dummyfunction("""COMPUTED_VALUE"""),14)</f>
        <v>14</v>
      </c>
      <c r="Z87" s="16">
        <f ca="1">IFERROR(__xludf.dummyfunction("""COMPUTED_VALUE"""),4)</f>
        <v>4</v>
      </c>
      <c r="AA87" s="30">
        <f ca="1">IFERROR(__xludf.dummyfunction("""COMPUTED_VALUE"""),3)</f>
        <v>3</v>
      </c>
      <c r="AB87" s="30">
        <f ca="1">IFERROR(__xludf.dummyfunction("""COMPUTED_VALUE"""),1)</f>
        <v>1</v>
      </c>
      <c r="AC87" s="30">
        <f ca="1">IFERROR(__xludf.dummyfunction("""COMPUTED_VALUE"""),8)</f>
        <v>8</v>
      </c>
      <c r="AD87" s="16"/>
      <c r="AE87" s="30"/>
      <c r="AF87" s="30"/>
      <c r="AG87" s="30"/>
    </row>
    <row r="88" spans="1:33" ht="13.8">
      <c r="A88" s="25"/>
      <c r="B88" s="25" t="s">
        <v>29</v>
      </c>
      <c r="C88" s="25" t="s">
        <v>310</v>
      </c>
      <c r="D88" s="25">
        <v>7</v>
      </c>
      <c r="E88" s="64" t="s">
        <v>856</v>
      </c>
      <c r="F88" s="64"/>
      <c r="G88" s="71" t="s">
        <v>884</v>
      </c>
      <c r="H88" s="72" t="str">
        <f ca="1">IFERROR(__xludf.dummyfunction("IFERROR(
  VLOOKUP(G88, IMPORTRANGE(""https://docs.google.com/spreadsheets/d/14deopnvwcrKtEGCKuYXdUHJbeLDZlkiSSWWT0g7x2pM/edit#gid=849066331"", ""LU List Maths (Filter)!A:B""), 2, FALSE),
  IFERROR(
    VLOOKUP(G88, IMPORTRANGE(""https://docs.google.com/s"&amp;"preadsheets/d/14deopnvwcrKtEGCKuYXdUHJbeLDZlkiSSWWT0g7x2pM/edit#gid=849066331"", ""LU List Science (Filter)!A:B""), 2, FALSE),
    ""Not Found""
  )
)
"),"Law of zero power for integers")</f>
        <v>Law of zero power for integers</v>
      </c>
      <c r="I88" s="64"/>
      <c r="J88" s="29" t="str">
        <f t="shared" si="12"/>
        <v>LU000539.001</v>
      </c>
      <c r="K88" s="29" t="str">
        <f ca="1">IFERROR(__xludf.dummyfunction("VLOOKUP(J88, IMPORTRANGE(""https://docs.google.com/spreadsheets/d/1yDAaXNsi4Mr5FtRQL4tbmSdIzhx6_m4wkOD7IG-k_eo/edit#gid=0"", ""Maths!M:N""), 2, FALSE)"),"State the law of zero power for integers and its significance.")</f>
        <v>State the law of zero power for integers and its significance.</v>
      </c>
      <c r="L88" s="29" t="str">
        <f t="shared" si="13"/>
        <v>LU000539.002</v>
      </c>
      <c r="M88" s="29" t="str">
        <f ca="1">IFERROR(__xludf.dummyfunction("VLOOKUP(L88, IMPORTRANGE(""https://docs.google.com/spreadsheets/d/1yDAaXNsi4Mr5FtRQL4tbmSdIzhx6_m4wkOD7IG-k_eo/edit#gid=0"", ""Maths!M:N""), 2, FALSE)"),"Describe the law of zero power for integers, emphasizing how it relates to exponentiation.")</f>
        <v>Describe the law of zero power for integers, emphasizing how it relates to exponentiation.</v>
      </c>
      <c r="N88" s="29" t="str">
        <f t="shared" si="14"/>
        <v>LU000539.003</v>
      </c>
      <c r="O88" s="29" t="str">
        <f ca="1">IFERROR(__xludf.dummyfunction("VLOOKUP(N88, IMPORTRANGE(""https://docs.google.com/spreadsheets/d/1yDAaXNsi4Mr5FtRQL4tbmSdIzhx6_m4wkOD7IG-k_eo/edit#gid=0"", ""Maths!M:N""), 2, FALSE)"),"Apply the law of zero power to simplify expressions involving integers.")</f>
        <v>Apply the law of zero power to simplify expressions involving integers.</v>
      </c>
      <c r="P88" s="29" t="str">
        <f t="shared" si="15"/>
        <v>LU000539.004</v>
      </c>
      <c r="Q88" s="29" t="str">
        <f ca="1">IFERROR(__xludf.dummyfunction("VLOOKUP(P88, IMPORTRANGE(""https://docs.google.com/spreadsheets/d/1yDAaXNsi4Mr5FtRQL4tbmSdIzhx6_m4wkOD7IG-k_eo/edit#gid=0"", ""Maths!M:N""), 2, FALSE)"),"Analyse expressions involving the law of zero power for integers, recognising the consistent result of 1.")</f>
        <v>Analyse expressions involving the law of zero power for integers, recognising the consistent result of 1.</v>
      </c>
      <c r="R88" s="29" t="str">
        <f t="shared" si="16"/>
        <v>LU000539.005</v>
      </c>
      <c r="S88" s="29" t="str">
        <f ca="1">IFERROR(__xludf.dummyfunction("VLOOKUP(R88, IMPORTRANGE(""https://docs.google.com/spreadsheets/d/1yDAaXNsi4Mr5FtRQL4tbmSdIzhx6_m4wkOD7IG-k_eo/edit#gid=0"", ""Maths!M:N""), 2, FALSE)"),"Evaluate the importance of the law of zero power for integers in mathematical operations and simplifications.")</f>
        <v>Evaluate the importance of the law of zero power for integers in mathematical operations and simplifications.</v>
      </c>
      <c r="T88" s="29" t="str">
        <f t="shared" si="17"/>
        <v>LU000539.006</v>
      </c>
      <c r="U88" s="29" t="str">
        <f ca="1">IFERROR(__xludf.dummyfunction("VLOOKUP(T88, IMPORTRANGE(""https://docs.google.com/spreadsheets/d/1yDAaXNsi4Mr5FtRQL4tbmSdIzhx6_m4wkOD7IG-k_eo/edit#gid=0"", ""Maths!M:N""), 2, FALSE)"),"Design a set of practice problems that require applying the law of zero power for integers to simplify and solve.")</f>
        <v>Design a set of practice problems that require applying the law of zero power for integers to simplify and solve.</v>
      </c>
      <c r="V88" s="16">
        <f ca="1">IFERROR(__xludf.dummyfunction("ArrayFormula(VLOOKUP(G88, IMPORTRANGE(""https://docs.google.com/spreadsheets/d/1p7R4vtkWt5VOBim4ltsDG9KTzSjrtKXsMtQGXPHyND0/edit#gid=795171502"", ""'Filter 30_05_2024'!A1:M2000""), {2, 3, 4, 5,6,7,8,9,10,11,12,13}, 0))"),4)</f>
        <v>4</v>
      </c>
      <c r="W88" s="16">
        <f ca="1">IFERROR(__xludf.dummyfunction("""COMPUTED_VALUE"""),5)</f>
        <v>5</v>
      </c>
      <c r="X88" s="16">
        <f ca="1">IFERROR(__xludf.dummyfunction("""COMPUTED_VALUE"""),2)</f>
        <v>2</v>
      </c>
      <c r="Y88" s="16">
        <f ca="1">IFERROR(__xludf.dummyfunction("""COMPUTED_VALUE"""),11)</f>
        <v>11</v>
      </c>
      <c r="Z88" s="16">
        <f ca="1">IFERROR(__xludf.dummyfunction("""COMPUTED_VALUE"""),4)</f>
        <v>4</v>
      </c>
      <c r="AA88" s="30">
        <f ca="1">IFERROR(__xludf.dummyfunction("""COMPUTED_VALUE"""),4)</f>
        <v>4</v>
      </c>
      <c r="AB88" s="30">
        <f ca="1">IFERROR(__xludf.dummyfunction("""COMPUTED_VALUE"""),1)</f>
        <v>1</v>
      </c>
      <c r="AC88" s="30">
        <f ca="1">IFERROR(__xludf.dummyfunction("""COMPUTED_VALUE"""),9)</f>
        <v>9</v>
      </c>
      <c r="AD88" s="16"/>
      <c r="AE88" s="30"/>
      <c r="AF88" s="30"/>
      <c r="AG88" s="30"/>
    </row>
    <row r="89" spans="1:33" ht="13.8">
      <c r="A89" s="25"/>
      <c r="B89" s="25" t="s">
        <v>29</v>
      </c>
      <c r="C89" s="25" t="s">
        <v>310</v>
      </c>
      <c r="D89" s="25">
        <v>7</v>
      </c>
      <c r="E89" s="64" t="s">
        <v>856</v>
      </c>
      <c r="F89" s="64" t="s">
        <v>885</v>
      </c>
      <c r="G89" s="71" t="s">
        <v>886</v>
      </c>
      <c r="H89" s="72" t="str">
        <f ca="1">IFERROR(__xludf.dummyfunction("IFERROR(
  VLOOKUP(G89, IMPORTRANGE(""https://docs.google.com/spreadsheets/d/14deopnvwcrKtEGCKuYXdUHJbeLDZlkiSSWWT0g7x2pM/edit#gid=849066331"", ""LU List Maths (Filter)!A:B""), 2, FALSE),
  IFERROR(
    VLOOKUP(G89, IMPORTRANGE(""https://docs.google.com/s"&amp;"preadsheets/d/14deopnvwcrKtEGCKuYXdUHJbeLDZlkiSSWWT0g7x2pM/edit#gid=849066331"", ""LU List Science (Filter)!A:B""), 2, FALSE),
    ""Not Found""
  )
)
"),"Application of multiple laws of exponent (exponent is whole number)")</f>
        <v>Application of multiple laws of exponent (exponent is whole number)</v>
      </c>
      <c r="I89" s="64"/>
      <c r="J89" s="29" t="str">
        <f t="shared" si="12"/>
        <v>LU000541.001</v>
      </c>
      <c r="K89" s="29" t="str">
        <f ca="1">IFERROR(__xludf.dummyfunction("VLOOKUP(J89, IMPORTRANGE(""https://docs.google.com/spreadsheets/d/1yDAaXNsi4Mr5FtRQL4tbmSdIzhx6_m4wkOD7IG-k_eo/edit#gid=0"", ""Maths!M:N""), 2, FALSE)"),"List the fundamental laws of exponents, including the laws of multiplication, division, negative and zero power given whole number exponent.")</f>
        <v>List the fundamental laws of exponents, including the laws of multiplication, division, negative and zero power given whole number exponent.</v>
      </c>
      <c r="L89" s="29" t="str">
        <f t="shared" si="13"/>
        <v>LU000541.002</v>
      </c>
      <c r="M89" s="29" t="str">
        <f ca="1">IFERROR(__xludf.dummyfunction("VLOOKUP(L89, IMPORTRANGE(""https://docs.google.com/spreadsheets/d/1yDAaXNsi4Mr5FtRQL4tbmSdIzhx6_m4wkOD7IG-k_eo/edit#gid=0"", ""Maths!M:N""), 2, FALSE)"),"Compare various laws of exponent that can be applied to evaluate an expression.")</f>
        <v>Compare various laws of exponent that can be applied to evaluate an expression.</v>
      </c>
      <c r="N89" s="29" t="str">
        <f t="shared" si="14"/>
        <v>LU000541.003</v>
      </c>
      <c r="O89" s="29" t="str">
        <f ca="1">IFERROR(__xludf.dummyfunction("VLOOKUP(N89, IMPORTRANGE(""https://docs.google.com/spreadsheets/d/1yDAaXNsi4Mr5FtRQL4tbmSdIzhx6_m4wkOD7IG-k_eo/edit#gid=0"", ""Maths!M:N""), 2, FALSE)"),"Apply the different laws of exponents to solve numerical problems involving expressions with whole number exponent")</f>
        <v>Apply the different laws of exponents to solve numerical problems involving expressions with whole number exponent</v>
      </c>
      <c r="P89" s="29" t="str">
        <f t="shared" si="15"/>
        <v>LU000541.004</v>
      </c>
      <c r="Q89" s="29" t="str">
        <f ca="1">IFERROR(__xludf.dummyfunction("VLOOKUP(P89, IMPORTRANGE(""https://docs.google.com/spreadsheets/d/1yDAaXNsi4Mr5FtRQL4tbmSdIzhx6_m4wkOD7IG-k_eo/edit#gid=0"", ""Maths!M:N""), 2, FALSE)"),"Analyze expressions involving whole number exponents to identify the application of specific exponent laws.")</f>
        <v>Analyze expressions involving whole number exponents to identify the application of specific exponent laws.</v>
      </c>
      <c r="R89" s="29" t="str">
        <f t="shared" si="16"/>
        <v>LU000541.005</v>
      </c>
      <c r="S89" s="29" t="str">
        <f ca="1">IFERROR(__xludf.dummyfunction("VLOOKUP(R89, IMPORTRANGE(""https://docs.google.com/spreadsheets/d/1yDAaXNsi4Mr5FtRQL4tbmSdIzhx6_m4wkOD7IG-k_eo/edit#gid=0"", ""Maths!M:N""), 2, FALSE)"),"Evaluate the effectiveness of using the laws of exponents in solving real-world mathematical problems.")</f>
        <v>Evaluate the effectiveness of using the laws of exponents in solving real-world mathematical problems.</v>
      </c>
      <c r="T89" s="29" t="str">
        <f t="shared" si="17"/>
        <v>LU000541.006</v>
      </c>
      <c r="U89" s="29" t="str">
        <f ca="1">IFERROR(__xludf.dummyfunction("VLOOKUP(T89, IMPORTRANGE(""https://docs.google.com/spreadsheets/d/1yDAaXNsi4Mr5FtRQL4tbmSdIzhx6_m4wkOD7IG-k_eo/edit#gid=0"", ""Maths!M:N""), 2, FALSE)"),"Design problems that require the application of specific laws of exponents to solve with whole number exponents.")</f>
        <v>Design problems that require the application of specific laws of exponents to solve with whole number exponents.</v>
      </c>
      <c r="V89" s="16">
        <f ca="1">IFERROR(__xludf.dummyfunction("ArrayFormula(VLOOKUP(G89, IMPORTRANGE(""https://docs.google.com/spreadsheets/d/1p7R4vtkWt5VOBim4ltsDG9KTzSjrtKXsMtQGXPHyND0/edit#gid=795171502"", ""'Filter 30_05_2024'!A1:M2000""), {2, 3, 4, 5,6,7,8,9,10,11,12,13}, 0))"),4)</f>
        <v>4</v>
      </c>
      <c r="W89" s="16">
        <f ca="1">IFERROR(__xludf.dummyfunction("""COMPUTED_VALUE"""),11)</f>
        <v>11</v>
      </c>
      <c r="X89" s="16">
        <f ca="1">IFERROR(__xludf.dummyfunction("""COMPUTED_VALUE"""),2)</f>
        <v>2</v>
      </c>
      <c r="Y89" s="16">
        <f ca="1">IFERROR(__xludf.dummyfunction("""COMPUTED_VALUE"""),17)</f>
        <v>17</v>
      </c>
      <c r="Z89" s="16">
        <f ca="1">IFERROR(__xludf.dummyfunction("""COMPUTED_VALUE"""),4)</f>
        <v>4</v>
      </c>
      <c r="AA89" s="30">
        <f ca="1">IFERROR(__xludf.dummyfunction("""COMPUTED_VALUE"""),5)</f>
        <v>5</v>
      </c>
      <c r="AB89" s="30">
        <f ca="1">IFERROR(__xludf.dummyfunction("""COMPUTED_VALUE"""),1)</f>
        <v>1</v>
      </c>
      <c r="AC89" s="30">
        <f ca="1">IFERROR(__xludf.dummyfunction("""COMPUTED_VALUE"""),10)</f>
        <v>10</v>
      </c>
      <c r="AD89" s="16"/>
      <c r="AE89" s="30"/>
      <c r="AF89" s="30"/>
      <c r="AG89" s="30"/>
    </row>
    <row r="90" spans="1:33" ht="15.6">
      <c r="A90" s="25"/>
      <c r="B90" s="25" t="s">
        <v>29</v>
      </c>
      <c r="C90" s="25" t="s">
        <v>310</v>
      </c>
      <c r="D90" s="25">
        <v>7</v>
      </c>
      <c r="E90" s="87" t="s">
        <v>422</v>
      </c>
      <c r="F90" s="80" t="s">
        <v>887</v>
      </c>
      <c r="G90" s="79" t="s">
        <v>888</v>
      </c>
      <c r="H90" s="72" t="str">
        <f ca="1">IFERROR(__xludf.dummyfunction("IFERROR(
  VLOOKUP(G90, IMPORTRANGE(""https://docs.google.com/spreadsheets/d/14deopnvwcrKtEGCKuYXdUHJbeLDZlkiSSWWT0g7x2pM/edit#gid=849066331"", ""LU List Maths (Filter)!A:B""), 2, FALSE),
  IFERROR(
    VLOOKUP(G90, IMPORTRANGE(""https://docs.google.com/s"&amp;"preadsheets/d/14deopnvwcrKtEGCKuYXdUHJbeLDZlkiSSWWT0g7x2pM/edit#gid=849066331"", ""LU List Science (Filter)!A:B""), 2, FALSE),
    ""Not Found""
  )
)
"),"Types of sets : Equal Sets")</f>
        <v>Types of sets : Equal Sets</v>
      </c>
      <c r="I90" s="64"/>
      <c r="J90" s="29" t="str">
        <f t="shared" si="12"/>
        <v>LU001396.001</v>
      </c>
      <c r="K90" s="29" t="str">
        <f ca="1">IFERROR(__xludf.dummyfunction("VLOOKUP(J90, IMPORTRANGE(""https://docs.google.com/spreadsheets/d/1yDAaXNsi4Mr5FtRQL4tbmSdIzhx6_m4wkOD7IG-k_eo/edit#gid=0"", ""Maths!M:N""), 2, FALSE)"),"(LU001396.001); Default - Remember")</f>
        <v>(LU001396.001); Default - Remember</v>
      </c>
      <c r="L90" s="29" t="str">
        <f t="shared" si="13"/>
        <v>LU001396.002</v>
      </c>
      <c r="M90" s="29" t="str">
        <f ca="1">IFERROR(__xludf.dummyfunction("VLOOKUP(L90, IMPORTRANGE(""https://docs.google.com/spreadsheets/d/1yDAaXNsi4Mr5FtRQL4tbmSdIzhx6_m4wkOD7IG-k_eo/edit#gid=0"", ""Maths!M:N""), 2, FALSE)"),"(LU001396.002); Default - Understand")</f>
        <v>(LU001396.002); Default - Understand</v>
      </c>
      <c r="N90" s="29" t="str">
        <f t="shared" si="14"/>
        <v>LU001396.003</v>
      </c>
      <c r="O90" s="29" t="str">
        <f ca="1">IFERROR(__xludf.dummyfunction("VLOOKUP(N90, IMPORTRANGE(""https://docs.google.com/spreadsheets/d/1yDAaXNsi4Mr5FtRQL4tbmSdIzhx6_m4wkOD7IG-k_eo/edit#gid=0"", ""Maths!M:N""), 2, FALSE)"),"(LU001396.003); Default - Apply")</f>
        <v>(LU001396.003); Default - Apply</v>
      </c>
      <c r="P90" s="29" t="str">
        <f t="shared" si="15"/>
        <v>LU001396.004</v>
      </c>
      <c r="Q90" s="29" t="str">
        <f ca="1">IFERROR(__xludf.dummyfunction("VLOOKUP(P90, IMPORTRANGE(""https://docs.google.com/spreadsheets/d/1yDAaXNsi4Mr5FtRQL4tbmSdIzhx6_m4wkOD7IG-k_eo/edit#gid=0"", ""Maths!M:N""), 2, FALSE)"),"(LU001396.004); Default - Analyse")</f>
        <v>(LU001396.004); Default - Analyse</v>
      </c>
      <c r="R90" s="29" t="str">
        <f t="shared" si="16"/>
        <v>LU001396.005</v>
      </c>
      <c r="S90" s="29" t="str">
        <f ca="1">IFERROR(__xludf.dummyfunction("VLOOKUP(R90, IMPORTRANGE(""https://docs.google.com/spreadsheets/d/1yDAaXNsi4Mr5FtRQL4tbmSdIzhx6_m4wkOD7IG-k_eo/edit#gid=0"", ""Maths!M:N""), 2, FALSE)"),"(LU001396.005); Default - Evaluate")</f>
        <v>(LU001396.005); Default - Evaluate</v>
      </c>
      <c r="T90" s="29" t="str">
        <f t="shared" si="17"/>
        <v>LU001396.006</v>
      </c>
      <c r="U90" s="29" t="str">
        <f ca="1">IFERROR(__xludf.dummyfunction("VLOOKUP(T90, IMPORTRANGE(""https://docs.google.com/spreadsheets/d/1yDAaXNsi4Mr5FtRQL4tbmSdIzhx6_m4wkOD7IG-k_eo/edit#gid=0"", ""Maths!M:N""), 2, FALSE)"),"(LU001396.006); Default - Create")</f>
        <v>(LU001396.006); Default - Create</v>
      </c>
      <c r="V90" s="16" t="str">
        <f ca="1">IFERROR(__xludf.dummyfunction("ArrayFormula(VLOOKUP(G90, IMPORTRANGE(""https://docs.google.com/spreadsheets/d/1p7R4vtkWt5VOBim4ltsDG9KTzSjrtKXsMtQGXPHyND0/edit#gid=795171502"", ""'Filter 30_05_2024'!A1:M2000""), {2, 3, 4, 5,6,7,8,9,10,11,12,13}, 0))"),"#N/A")</f>
        <v>#N/A</v>
      </c>
      <c r="W90" s="16" t="str">
        <f ca="1">IFERROR(__xludf.dummyfunction("""COMPUTED_VALUE"""),"#N/A")</f>
        <v>#N/A</v>
      </c>
      <c r="X90" s="16" t="str">
        <f ca="1">IFERROR(__xludf.dummyfunction("""COMPUTED_VALUE"""),"#N/A")</f>
        <v>#N/A</v>
      </c>
      <c r="Y90" s="16" t="str">
        <f ca="1">IFERROR(__xludf.dummyfunction("""COMPUTED_VALUE"""),"#N/A")</f>
        <v>#N/A</v>
      </c>
      <c r="Z90" s="16" t="str">
        <f ca="1">IFERROR(__xludf.dummyfunction("""COMPUTED_VALUE"""),"#N/A")</f>
        <v>#N/A</v>
      </c>
      <c r="AA90" s="30" t="str">
        <f ca="1">IFERROR(__xludf.dummyfunction("""COMPUTED_VALUE"""),"#N/A")</f>
        <v>#N/A</v>
      </c>
      <c r="AB90" s="30" t="str">
        <f ca="1">IFERROR(__xludf.dummyfunction("""COMPUTED_VALUE"""),"#N/A")</f>
        <v>#N/A</v>
      </c>
      <c r="AC90" s="30" t="str">
        <f ca="1">IFERROR(__xludf.dummyfunction("""COMPUTED_VALUE"""),"#N/A")</f>
        <v>#N/A</v>
      </c>
      <c r="AD90" s="16" t="str">
        <f ca="1">IFERROR(__xludf.dummyfunction("""COMPUTED_VALUE"""),"#N/A")</f>
        <v>#N/A</v>
      </c>
      <c r="AE90" s="30" t="str">
        <f ca="1">IFERROR(__xludf.dummyfunction("""COMPUTED_VALUE"""),"#N/A")</f>
        <v>#N/A</v>
      </c>
      <c r="AF90" s="30" t="str">
        <f ca="1">IFERROR(__xludf.dummyfunction("""COMPUTED_VALUE"""),"#N/A")</f>
        <v>#N/A</v>
      </c>
      <c r="AG90" s="30" t="str">
        <f ca="1">IFERROR(__xludf.dummyfunction("""COMPUTED_VALUE"""),"#N/A")</f>
        <v>#N/A</v>
      </c>
    </row>
    <row r="91" spans="1:33" ht="15.6">
      <c r="A91" s="25"/>
      <c r="B91" s="25" t="s">
        <v>29</v>
      </c>
      <c r="C91" s="25" t="s">
        <v>310</v>
      </c>
      <c r="D91" s="25">
        <v>7</v>
      </c>
      <c r="E91" s="87" t="s">
        <v>422</v>
      </c>
      <c r="F91" s="80"/>
      <c r="G91" s="79" t="s">
        <v>889</v>
      </c>
      <c r="H91" s="72" t="str">
        <f ca="1">IFERROR(__xludf.dummyfunction("IFERROR(
  VLOOKUP(G91, IMPORTRANGE(""https://docs.google.com/spreadsheets/d/14deopnvwcrKtEGCKuYXdUHJbeLDZlkiSSWWT0g7x2pM/edit#gid=849066331"", ""LU List Maths (Filter)!A:B""), 2, FALSE),
  IFERROR(
    VLOOKUP(G91, IMPORTRANGE(""https://docs.google.com/s"&amp;"preadsheets/d/14deopnvwcrKtEGCKuYXdUHJbeLDZlkiSSWWT0g7x2pM/edit#gid=849066331"", ""LU List Science (Filter)!A:B""), 2, FALSE),
    ""Not Found""
  )
)
"),"Types of sets : Equivalent Sets")</f>
        <v>Types of sets : Equivalent Sets</v>
      </c>
      <c r="I91" s="64"/>
      <c r="J91" s="29" t="str">
        <f t="shared" si="12"/>
        <v>LU001397.001</v>
      </c>
      <c r="K91" s="29" t="str">
        <f ca="1">IFERROR(__xludf.dummyfunction("VLOOKUP(J91, IMPORTRANGE(""https://docs.google.com/spreadsheets/d/1yDAaXNsi4Mr5FtRQL4tbmSdIzhx6_m4wkOD7IG-k_eo/edit#gid=0"", ""Maths!M:N""), 2, FALSE)"),"(LU001397.001); Default - Remember")</f>
        <v>(LU001397.001); Default - Remember</v>
      </c>
      <c r="L91" s="29" t="str">
        <f t="shared" si="13"/>
        <v>LU001397.002</v>
      </c>
      <c r="M91" s="29" t="str">
        <f ca="1">IFERROR(__xludf.dummyfunction("VLOOKUP(L91, IMPORTRANGE(""https://docs.google.com/spreadsheets/d/1yDAaXNsi4Mr5FtRQL4tbmSdIzhx6_m4wkOD7IG-k_eo/edit#gid=0"", ""Maths!M:N""), 2, FALSE)"),"(LU001397.002); Default - Understand")</f>
        <v>(LU001397.002); Default - Understand</v>
      </c>
      <c r="N91" s="29" t="str">
        <f t="shared" si="14"/>
        <v>LU001397.003</v>
      </c>
      <c r="O91" s="29" t="str">
        <f ca="1">IFERROR(__xludf.dummyfunction("VLOOKUP(N91, IMPORTRANGE(""https://docs.google.com/spreadsheets/d/1yDAaXNsi4Mr5FtRQL4tbmSdIzhx6_m4wkOD7IG-k_eo/edit#gid=0"", ""Maths!M:N""), 2, FALSE)"),"(LU001397.003); Default - Apply")</f>
        <v>(LU001397.003); Default - Apply</v>
      </c>
      <c r="P91" s="29" t="str">
        <f t="shared" si="15"/>
        <v>LU001397.004</v>
      </c>
      <c r="Q91" s="29" t="str">
        <f ca="1">IFERROR(__xludf.dummyfunction("VLOOKUP(P91, IMPORTRANGE(""https://docs.google.com/spreadsheets/d/1yDAaXNsi4Mr5FtRQL4tbmSdIzhx6_m4wkOD7IG-k_eo/edit#gid=0"", ""Maths!M:N""), 2, FALSE)"),"(LU001397.004); Default - Analyse")</f>
        <v>(LU001397.004); Default - Analyse</v>
      </c>
      <c r="R91" s="29" t="str">
        <f t="shared" si="16"/>
        <v>LU001397.005</v>
      </c>
      <c r="S91" s="29" t="str">
        <f ca="1">IFERROR(__xludf.dummyfunction("VLOOKUP(R91, IMPORTRANGE(""https://docs.google.com/spreadsheets/d/1yDAaXNsi4Mr5FtRQL4tbmSdIzhx6_m4wkOD7IG-k_eo/edit#gid=0"", ""Maths!M:N""), 2, FALSE)"),"(LU001397.005); Default - Evaluate")</f>
        <v>(LU001397.005); Default - Evaluate</v>
      </c>
      <c r="T91" s="29" t="str">
        <f t="shared" si="17"/>
        <v>LU001397.006</v>
      </c>
      <c r="U91" s="29" t="str">
        <f ca="1">IFERROR(__xludf.dummyfunction("VLOOKUP(T91, IMPORTRANGE(""https://docs.google.com/spreadsheets/d/1yDAaXNsi4Mr5FtRQL4tbmSdIzhx6_m4wkOD7IG-k_eo/edit#gid=0"", ""Maths!M:N""), 2, FALSE)"),"(LU001397.006); Default - Create")</f>
        <v>(LU001397.006); Default - Create</v>
      </c>
      <c r="V91" s="16" t="str">
        <f ca="1">IFERROR(__xludf.dummyfunction("ArrayFormula(VLOOKUP(G91, IMPORTRANGE(""https://docs.google.com/spreadsheets/d/1p7R4vtkWt5VOBim4ltsDG9KTzSjrtKXsMtQGXPHyND0/edit#gid=795171502"", ""'Filter 30_05_2024'!A1:M2000""), {2, 3, 4, 5,6,7,8,9,10,11,12,13}, 0))"),"#N/A")</f>
        <v>#N/A</v>
      </c>
      <c r="W91" s="16" t="str">
        <f ca="1">IFERROR(__xludf.dummyfunction("""COMPUTED_VALUE"""),"#N/A")</f>
        <v>#N/A</v>
      </c>
      <c r="X91" s="16" t="str">
        <f ca="1">IFERROR(__xludf.dummyfunction("""COMPUTED_VALUE"""),"#N/A")</f>
        <v>#N/A</v>
      </c>
      <c r="Y91" s="16" t="str">
        <f ca="1">IFERROR(__xludf.dummyfunction("""COMPUTED_VALUE"""),"#N/A")</f>
        <v>#N/A</v>
      </c>
      <c r="Z91" s="16" t="str">
        <f ca="1">IFERROR(__xludf.dummyfunction("""COMPUTED_VALUE"""),"#N/A")</f>
        <v>#N/A</v>
      </c>
      <c r="AA91" s="30" t="str">
        <f ca="1">IFERROR(__xludf.dummyfunction("""COMPUTED_VALUE"""),"#N/A")</f>
        <v>#N/A</v>
      </c>
      <c r="AB91" s="30" t="str">
        <f ca="1">IFERROR(__xludf.dummyfunction("""COMPUTED_VALUE"""),"#N/A")</f>
        <v>#N/A</v>
      </c>
      <c r="AC91" s="30" t="str">
        <f ca="1">IFERROR(__xludf.dummyfunction("""COMPUTED_VALUE"""),"#N/A")</f>
        <v>#N/A</v>
      </c>
      <c r="AD91" s="16" t="str">
        <f ca="1">IFERROR(__xludf.dummyfunction("""COMPUTED_VALUE"""),"#N/A")</f>
        <v>#N/A</v>
      </c>
      <c r="AE91" s="30" t="str">
        <f ca="1">IFERROR(__xludf.dummyfunction("""COMPUTED_VALUE"""),"#N/A")</f>
        <v>#N/A</v>
      </c>
      <c r="AF91" s="30" t="str">
        <f ca="1">IFERROR(__xludf.dummyfunction("""COMPUTED_VALUE"""),"#N/A")</f>
        <v>#N/A</v>
      </c>
      <c r="AG91" s="30" t="str">
        <f ca="1">IFERROR(__xludf.dummyfunction("""COMPUTED_VALUE"""),"#N/A")</f>
        <v>#N/A</v>
      </c>
    </row>
    <row r="92" spans="1:33" ht="15.6">
      <c r="A92" s="25"/>
      <c r="B92" s="25" t="s">
        <v>29</v>
      </c>
      <c r="C92" s="25" t="s">
        <v>310</v>
      </c>
      <c r="D92" s="25">
        <v>7</v>
      </c>
      <c r="E92" s="87" t="s">
        <v>422</v>
      </c>
      <c r="F92" s="80" t="s">
        <v>890</v>
      </c>
      <c r="G92" s="79" t="s">
        <v>891</v>
      </c>
      <c r="H92" s="72" t="str">
        <f ca="1">IFERROR(__xludf.dummyfunction("IFERROR(
  VLOOKUP(G92, IMPORTRANGE(""https://docs.google.com/spreadsheets/d/14deopnvwcrKtEGCKuYXdUHJbeLDZlkiSSWWT0g7x2pM/edit#gid=849066331"", ""LU List Maths (Filter)!A:B""), 2, FALSE),
  IFERROR(
    VLOOKUP(G92, IMPORTRANGE(""https://docs.google.com/s"&amp;"preadsheets/d/14deopnvwcrKtEGCKuYXdUHJbeLDZlkiSSWWT0g7x2pM/edit#gid=849066331"", ""LU List Science (Filter)!A:B""), 2, FALSE),
    ""Not Found""
  )
)
"),"Definition of universal set and its notation")</f>
        <v>Definition of universal set and its notation</v>
      </c>
      <c r="I92" s="64"/>
      <c r="J92" s="29" t="str">
        <f t="shared" si="12"/>
        <v>LU001398.001</v>
      </c>
      <c r="K92" s="29" t="str">
        <f ca="1">IFERROR(__xludf.dummyfunction("VLOOKUP(J92, IMPORTRANGE(""https://docs.google.com/spreadsheets/d/1yDAaXNsi4Mr5FtRQL4tbmSdIzhx6_m4wkOD7IG-k_eo/edit#gid=0"", ""Maths!M:N""), 2, FALSE)"),"(LU001398.001); Default - Remember")</f>
        <v>(LU001398.001); Default - Remember</v>
      </c>
      <c r="L92" s="29" t="str">
        <f t="shared" si="13"/>
        <v>LU001398.002</v>
      </c>
      <c r="M92" s="29" t="str">
        <f ca="1">IFERROR(__xludf.dummyfunction("VLOOKUP(L92, IMPORTRANGE(""https://docs.google.com/spreadsheets/d/1yDAaXNsi4Mr5FtRQL4tbmSdIzhx6_m4wkOD7IG-k_eo/edit#gid=0"", ""Maths!M:N""), 2, FALSE)"),"(LU001398.002); Default - Understand")</f>
        <v>(LU001398.002); Default - Understand</v>
      </c>
      <c r="N92" s="29" t="str">
        <f t="shared" si="14"/>
        <v>LU001398.003</v>
      </c>
      <c r="O92" s="29" t="str">
        <f ca="1">IFERROR(__xludf.dummyfunction("VLOOKUP(N92, IMPORTRANGE(""https://docs.google.com/spreadsheets/d/1yDAaXNsi4Mr5FtRQL4tbmSdIzhx6_m4wkOD7IG-k_eo/edit#gid=0"", ""Maths!M:N""), 2, FALSE)"),"(LU001398.003); Default - Apply")</f>
        <v>(LU001398.003); Default - Apply</v>
      </c>
      <c r="P92" s="29" t="str">
        <f t="shared" si="15"/>
        <v>LU001398.004</v>
      </c>
      <c r="Q92" s="29" t="str">
        <f ca="1">IFERROR(__xludf.dummyfunction("VLOOKUP(P92, IMPORTRANGE(""https://docs.google.com/spreadsheets/d/1yDAaXNsi4Mr5FtRQL4tbmSdIzhx6_m4wkOD7IG-k_eo/edit#gid=0"", ""Maths!M:N""), 2, FALSE)"),"(LU001398.004); Default - Analyse")</f>
        <v>(LU001398.004); Default - Analyse</v>
      </c>
      <c r="R92" s="29" t="str">
        <f t="shared" si="16"/>
        <v>LU001398.005</v>
      </c>
      <c r="S92" s="29" t="str">
        <f ca="1">IFERROR(__xludf.dummyfunction("VLOOKUP(R92, IMPORTRANGE(""https://docs.google.com/spreadsheets/d/1yDAaXNsi4Mr5FtRQL4tbmSdIzhx6_m4wkOD7IG-k_eo/edit#gid=0"", ""Maths!M:N""), 2, FALSE)"),"(LU001398.005); Default - Evaluate")</f>
        <v>(LU001398.005); Default - Evaluate</v>
      </c>
      <c r="T92" s="29" t="str">
        <f t="shared" si="17"/>
        <v>LU001398.006</v>
      </c>
      <c r="U92" s="29" t="str">
        <f ca="1">IFERROR(__xludf.dummyfunction("VLOOKUP(T92, IMPORTRANGE(""https://docs.google.com/spreadsheets/d/1yDAaXNsi4Mr5FtRQL4tbmSdIzhx6_m4wkOD7IG-k_eo/edit#gid=0"", ""Maths!M:N""), 2, FALSE)"),"(LU001398.006); Default - Create")</f>
        <v>(LU001398.006); Default - Create</v>
      </c>
      <c r="V92" s="16" t="str">
        <f ca="1">IFERROR(__xludf.dummyfunction("ArrayFormula(VLOOKUP(G92, IMPORTRANGE(""https://docs.google.com/spreadsheets/d/1p7R4vtkWt5VOBim4ltsDG9KTzSjrtKXsMtQGXPHyND0/edit#gid=795171502"", ""'Filter 30_05_2024'!A1:M2000""), {2, 3, 4, 5,6,7,8,9,10,11,12,13}, 0))"),"#N/A")</f>
        <v>#N/A</v>
      </c>
      <c r="W92" s="16" t="str">
        <f ca="1">IFERROR(__xludf.dummyfunction("""COMPUTED_VALUE"""),"#N/A")</f>
        <v>#N/A</v>
      </c>
      <c r="X92" s="16" t="str">
        <f ca="1">IFERROR(__xludf.dummyfunction("""COMPUTED_VALUE"""),"#N/A")</f>
        <v>#N/A</v>
      </c>
      <c r="Y92" s="16" t="str">
        <f ca="1">IFERROR(__xludf.dummyfunction("""COMPUTED_VALUE"""),"#N/A")</f>
        <v>#N/A</v>
      </c>
      <c r="Z92" s="16" t="str">
        <f ca="1">IFERROR(__xludf.dummyfunction("""COMPUTED_VALUE"""),"#N/A")</f>
        <v>#N/A</v>
      </c>
      <c r="AA92" s="30" t="str">
        <f ca="1">IFERROR(__xludf.dummyfunction("""COMPUTED_VALUE"""),"#N/A")</f>
        <v>#N/A</v>
      </c>
      <c r="AB92" s="30" t="str">
        <f ca="1">IFERROR(__xludf.dummyfunction("""COMPUTED_VALUE"""),"#N/A")</f>
        <v>#N/A</v>
      </c>
      <c r="AC92" s="30" t="str">
        <f ca="1">IFERROR(__xludf.dummyfunction("""COMPUTED_VALUE"""),"#N/A")</f>
        <v>#N/A</v>
      </c>
      <c r="AD92" s="16" t="str">
        <f ca="1">IFERROR(__xludf.dummyfunction("""COMPUTED_VALUE"""),"#N/A")</f>
        <v>#N/A</v>
      </c>
      <c r="AE92" s="30" t="str">
        <f ca="1">IFERROR(__xludf.dummyfunction("""COMPUTED_VALUE"""),"#N/A")</f>
        <v>#N/A</v>
      </c>
      <c r="AF92" s="30" t="str">
        <f ca="1">IFERROR(__xludf.dummyfunction("""COMPUTED_VALUE"""),"#N/A")</f>
        <v>#N/A</v>
      </c>
      <c r="AG92" s="30" t="str">
        <f ca="1">IFERROR(__xludf.dummyfunction("""COMPUTED_VALUE"""),"#N/A")</f>
        <v>#N/A</v>
      </c>
    </row>
    <row r="93" spans="1:33" ht="15.6">
      <c r="A93" s="25"/>
      <c r="B93" s="25" t="s">
        <v>29</v>
      </c>
      <c r="C93" s="25" t="s">
        <v>310</v>
      </c>
      <c r="D93" s="25">
        <v>7</v>
      </c>
      <c r="E93" s="87" t="s">
        <v>422</v>
      </c>
      <c r="F93" s="88" t="s">
        <v>892</v>
      </c>
      <c r="G93" s="79" t="s">
        <v>893</v>
      </c>
      <c r="H93" s="72" t="str">
        <f ca="1">IFERROR(__xludf.dummyfunction("IFERROR(
  VLOOKUP(G93, IMPORTRANGE(""https://docs.google.com/spreadsheets/d/14deopnvwcrKtEGCKuYXdUHJbeLDZlkiSSWWT0g7x2pM/edit#gid=849066331"", ""LU List Maths (Filter)!A:B""), 2, FALSE),
  IFERROR(
    VLOOKUP(G93, IMPORTRANGE(""https://docs.google.com/s"&amp;"preadsheets/d/14deopnvwcrKtEGCKuYXdUHJbeLDZlkiSSWWT0g7x2pM/edit#gid=849066331"", ""LU List Science (Filter)!A:B""), 2, FALSE),
    ""Not Found""
  )
)
"),"Cardinal property of sets")</f>
        <v>Cardinal property of sets</v>
      </c>
      <c r="I93" s="64"/>
      <c r="J93" s="29" t="str">
        <f t="shared" si="12"/>
        <v>LU001399.001</v>
      </c>
      <c r="K93" s="29" t="str">
        <f ca="1">IFERROR(__xludf.dummyfunction("VLOOKUP(J93, IMPORTRANGE(""https://docs.google.com/spreadsheets/d/1yDAaXNsi4Mr5FtRQL4tbmSdIzhx6_m4wkOD7IG-k_eo/edit#gid=0"", ""Maths!M:N""), 2, FALSE)"),"(LU001399.001); Default - Remember")</f>
        <v>(LU001399.001); Default - Remember</v>
      </c>
      <c r="L93" s="29" t="str">
        <f t="shared" si="13"/>
        <v>LU001399.002</v>
      </c>
      <c r="M93" s="29" t="str">
        <f ca="1">IFERROR(__xludf.dummyfunction("VLOOKUP(L93, IMPORTRANGE(""https://docs.google.com/spreadsheets/d/1yDAaXNsi4Mr5FtRQL4tbmSdIzhx6_m4wkOD7IG-k_eo/edit#gid=0"", ""Maths!M:N""), 2, FALSE)"),"(LU001399.002); Default - Understand")</f>
        <v>(LU001399.002); Default - Understand</v>
      </c>
      <c r="N93" s="29" t="str">
        <f t="shared" si="14"/>
        <v>LU001399.003</v>
      </c>
      <c r="O93" s="29" t="str">
        <f ca="1">IFERROR(__xludf.dummyfunction("VLOOKUP(N93, IMPORTRANGE(""https://docs.google.com/spreadsheets/d/1yDAaXNsi4Mr5FtRQL4tbmSdIzhx6_m4wkOD7IG-k_eo/edit#gid=0"", ""Maths!M:N""), 2, FALSE)"),"(LU001399.003); Default - Apply")</f>
        <v>(LU001399.003); Default - Apply</v>
      </c>
      <c r="P93" s="29" t="str">
        <f t="shared" si="15"/>
        <v>LU001399.004</v>
      </c>
      <c r="Q93" s="29" t="str">
        <f ca="1">IFERROR(__xludf.dummyfunction("VLOOKUP(P93, IMPORTRANGE(""https://docs.google.com/spreadsheets/d/1yDAaXNsi4Mr5FtRQL4tbmSdIzhx6_m4wkOD7IG-k_eo/edit#gid=0"", ""Maths!M:N""), 2, FALSE)"),"(LU001399.004); Default - Analyse")</f>
        <v>(LU001399.004); Default - Analyse</v>
      </c>
      <c r="R93" s="29" t="str">
        <f t="shared" si="16"/>
        <v>LU001399.005</v>
      </c>
      <c r="S93" s="29" t="str">
        <f ca="1">IFERROR(__xludf.dummyfunction("VLOOKUP(R93, IMPORTRANGE(""https://docs.google.com/spreadsheets/d/1yDAaXNsi4Mr5FtRQL4tbmSdIzhx6_m4wkOD7IG-k_eo/edit#gid=0"", ""Maths!M:N""), 2, FALSE)"),"(LU001399.005); Default - Evaluate")</f>
        <v>(LU001399.005); Default - Evaluate</v>
      </c>
      <c r="T93" s="29" t="str">
        <f t="shared" si="17"/>
        <v>LU001399.006</v>
      </c>
      <c r="U93" s="29" t="str">
        <f ca="1">IFERROR(__xludf.dummyfunction("VLOOKUP(T93, IMPORTRANGE(""https://docs.google.com/spreadsheets/d/1yDAaXNsi4Mr5FtRQL4tbmSdIzhx6_m4wkOD7IG-k_eo/edit#gid=0"", ""Maths!M:N""), 2, FALSE)"),"(LU001399.006); Default - Create")</f>
        <v>(LU001399.006); Default - Create</v>
      </c>
      <c r="V93" s="16" t="str">
        <f ca="1">IFERROR(__xludf.dummyfunction("ArrayFormula(VLOOKUP(G93, IMPORTRANGE(""https://docs.google.com/spreadsheets/d/1p7R4vtkWt5VOBim4ltsDG9KTzSjrtKXsMtQGXPHyND0/edit#gid=795171502"", ""'Filter 30_05_2024'!A1:M2000""), {2, 3, 4, 5,6,7,8,9,10,11,12,13}, 0))"),"#N/A")</f>
        <v>#N/A</v>
      </c>
      <c r="W93" s="16" t="str">
        <f ca="1">IFERROR(__xludf.dummyfunction("""COMPUTED_VALUE"""),"#N/A")</f>
        <v>#N/A</v>
      </c>
      <c r="X93" s="16" t="str">
        <f ca="1">IFERROR(__xludf.dummyfunction("""COMPUTED_VALUE"""),"#N/A")</f>
        <v>#N/A</v>
      </c>
      <c r="Y93" s="16" t="str">
        <f ca="1">IFERROR(__xludf.dummyfunction("""COMPUTED_VALUE"""),"#N/A")</f>
        <v>#N/A</v>
      </c>
      <c r="Z93" s="16" t="str">
        <f ca="1">IFERROR(__xludf.dummyfunction("""COMPUTED_VALUE"""),"#N/A")</f>
        <v>#N/A</v>
      </c>
      <c r="AA93" s="30" t="str">
        <f ca="1">IFERROR(__xludf.dummyfunction("""COMPUTED_VALUE"""),"#N/A")</f>
        <v>#N/A</v>
      </c>
      <c r="AB93" s="30" t="str">
        <f ca="1">IFERROR(__xludf.dummyfunction("""COMPUTED_VALUE"""),"#N/A")</f>
        <v>#N/A</v>
      </c>
      <c r="AC93" s="30" t="str">
        <f ca="1">IFERROR(__xludf.dummyfunction("""COMPUTED_VALUE"""),"#N/A")</f>
        <v>#N/A</v>
      </c>
      <c r="AD93" s="16" t="str">
        <f ca="1">IFERROR(__xludf.dummyfunction("""COMPUTED_VALUE"""),"#N/A")</f>
        <v>#N/A</v>
      </c>
      <c r="AE93" s="30" t="str">
        <f ca="1">IFERROR(__xludf.dummyfunction("""COMPUTED_VALUE"""),"#N/A")</f>
        <v>#N/A</v>
      </c>
      <c r="AF93" s="30" t="str">
        <f ca="1">IFERROR(__xludf.dummyfunction("""COMPUTED_VALUE"""),"#N/A")</f>
        <v>#N/A</v>
      </c>
      <c r="AG93" s="30" t="str">
        <f ca="1">IFERROR(__xludf.dummyfunction("""COMPUTED_VALUE"""),"#N/A")</f>
        <v>#N/A</v>
      </c>
    </row>
    <row r="94" spans="1:33" ht="15.6">
      <c r="A94" s="25"/>
      <c r="B94" s="25" t="s">
        <v>29</v>
      </c>
      <c r="C94" s="25" t="s">
        <v>310</v>
      </c>
      <c r="D94" s="25">
        <v>7</v>
      </c>
      <c r="E94" s="64" t="s">
        <v>894</v>
      </c>
      <c r="F94" s="80"/>
      <c r="G94" s="79" t="s">
        <v>895</v>
      </c>
      <c r="H94" s="72" t="str">
        <f ca="1">IFERROR(__xludf.dummyfunction("IFERROR(
  VLOOKUP(G94, IMPORTRANGE(""https://docs.google.com/spreadsheets/d/14deopnvwcrKtEGCKuYXdUHJbeLDZlkiSSWWT0g7x2pM/edit#gid=849066331"", ""LU List Maths (Filter)!A:B""), 2, FALSE),
  IFERROR(
    VLOOKUP(G94, IMPORTRANGE(""https://docs.google.com/s"&amp;"preadsheets/d/14deopnvwcrKtEGCKuYXdUHJbeLDZlkiSSWWT0g7x2pM/edit#gid=849066331"", ""LU List Science (Filter)!A:B""), 2, FALSE),
    ""Not Found""
  )
)
"),"Conversion of a fractional ratio into a whole number ratio")</f>
        <v>Conversion of a fractional ratio into a whole number ratio</v>
      </c>
      <c r="I94" s="64"/>
      <c r="J94" s="29" t="str">
        <f t="shared" si="12"/>
        <v>LU001400.001</v>
      </c>
      <c r="K94" s="29" t="str">
        <f ca="1">IFERROR(__xludf.dummyfunction("VLOOKUP(J94, IMPORTRANGE(""https://docs.google.com/spreadsheets/d/1yDAaXNsi4Mr5FtRQL4tbmSdIzhx6_m4wkOD7IG-k_eo/edit#gid=0"", ""Maths!M:N""), 2, FALSE)"),"(LU001400.001); Default - Remember")</f>
        <v>(LU001400.001); Default - Remember</v>
      </c>
      <c r="L94" s="29" t="str">
        <f t="shared" si="13"/>
        <v>LU001400.002</v>
      </c>
      <c r="M94" s="29" t="str">
        <f ca="1">IFERROR(__xludf.dummyfunction("VLOOKUP(L94, IMPORTRANGE(""https://docs.google.com/spreadsheets/d/1yDAaXNsi4Mr5FtRQL4tbmSdIzhx6_m4wkOD7IG-k_eo/edit#gid=0"", ""Maths!M:N""), 2, FALSE)"),"(LU001400.002); Default - Understand")</f>
        <v>(LU001400.002); Default - Understand</v>
      </c>
      <c r="N94" s="29" t="str">
        <f t="shared" si="14"/>
        <v>LU001400.003</v>
      </c>
      <c r="O94" s="29" t="str">
        <f ca="1">IFERROR(__xludf.dummyfunction("VLOOKUP(N94, IMPORTRANGE(""https://docs.google.com/spreadsheets/d/1yDAaXNsi4Mr5FtRQL4tbmSdIzhx6_m4wkOD7IG-k_eo/edit#gid=0"", ""Maths!M:N""), 2, FALSE)"),"(LU001400.003); Default - Apply")</f>
        <v>(LU001400.003); Default - Apply</v>
      </c>
      <c r="P94" s="29" t="str">
        <f t="shared" si="15"/>
        <v>LU001400.004</v>
      </c>
      <c r="Q94" s="29" t="str">
        <f ca="1">IFERROR(__xludf.dummyfunction("VLOOKUP(P94, IMPORTRANGE(""https://docs.google.com/spreadsheets/d/1yDAaXNsi4Mr5FtRQL4tbmSdIzhx6_m4wkOD7IG-k_eo/edit#gid=0"", ""Maths!M:N""), 2, FALSE)"),"(LU001400.004); Default - Analyse")</f>
        <v>(LU001400.004); Default - Analyse</v>
      </c>
      <c r="R94" s="29" t="str">
        <f t="shared" si="16"/>
        <v>LU001400.005</v>
      </c>
      <c r="S94" s="29" t="str">
        <f ca="1">IFERROR(__xludf.dummyfunction("VLOOKUP(R94, IMPORTRANGE(""https://docs.google.com/spreadsheets/d/1yDAaXNsi4Mr5FtRQL4tbmSdIzhx6_m4wkOD7IG-k_eo/edit#gid=0"", ""Maths!M:N""), 2, FALSE)"),"(LU001400.005); Default - Evaluate")</f>
        <v>(LU001400.005); Default - Evaluate</v>
      </c>
      <c r="T94" s="29" t="str">
        <f t="shared" si="17"/>
        <v>LU001400.006</v>
      </c>
      <c r="U94" s="29" t="str">
        <f ca="1">IFERROR(__xludf.dummyfunction("VLOOKUP(T94, IMPORTRANGE(""https://docs.google.com/spreadsheets/d/1yDAaXNsi4Mr5FtRQL4tbmSdIzhx6_m4wkOD7IG-k_eo/edit#gid=0"", ""Maths!M:N""), 2, FALSE)"),"(LU001400.006); Default - Create")</f>
        <v>(LU001400.006); Default - Create</v>
      </c>
      <c r="V94" s="16" t="str">
        <f ca="1">IFERROR(__xludf.dummyfunction("ArrayFormula(VLOOKUP(G94, IMPORTRANGE(""https://docs.google.com/spreadsheets/d/1p7R4vtkWt5VOBim4ltsDG9KTzSjrtKXsMtQGXPHyND0/edit#gid=795171502"", ""'Filter 30_05_2024'!A1:M2000""), {2, 3, 4, 5,6,7,8,9,10,11,12,13}, 0))"),"#N/A")</f>
        <v>#N/A</v>
      </c>
      <c r="W94" s="16" t="str">
        <f ca="1">IFERROR(__xludf.dummyfunction("""COMPUTED_VALUE"""),"#N/A")</f>
        <v>#N/A</v>
      </c>
      <c r="X94" s="16" t="str">
        <f ca="1">IFERROR(__xludf.dummyfunction("""COMPUTED_VALUE"""),"#N/A")</f>
        <v>#N/A</v>
      </c>
      <c r="Y94" s="16" t="str">
        <f ca="1">IFERROR(__xludf.dummyfunction("""COMPUTED_VALUE"""),"#N/A")</f>
        <v>#N/A</v>
      </c>
      <c r="Z94" s="16" t="str">
        <f ca="1">IFERROR(__xludf.dummyfunction("""COMPUTED_VALUE"""),"#N/A")</f>
        <v>#N/A</v>
      </c>
      <c r="AA94" s="30" t="str">
        <f ca="1">IFERROR(__xludf.dummyfunction("""COMPUTED_VALUE"""),"#N/A")</f>
        <v>#N/A</v>
      </c>
      <c r="AB94" s="30" t="str">
        <f ca="1">IFERROR(__xludf.dummyfunction("""COMPUTED_VALUE"""),"#N/A")</f>
        <v>#N/A</v>
      </c>
      <c r="AC94" s="30" t="str">
        <f ca="1">IFERROR(__xludf.dummyfunction("""COMPUTED_VALUE"""),"#N/A")</f>
        <v>#N/A</v>
      </c>
      <c r="AD94" s="16" t="str">
        <f ca="1">IFERROR(__xludf.dummyfunction("""COMPUTED_VALUE"""),"#N/A")</f>
        <v>#N/A</v>
      </c>
      <c r="AE94" s="30" t="str">
        <f ca="1">IFERROR(__xludf.dummyfunction("""COMPUTED_VALUE"""),"#N/A")</f>
        <v>#N/A</v>
      </c>
      <c r="AF94" s="30" t="str">
        <f ca="1">IFERROR(__xludf.dummyfunction("""COMPUTED_VALUE"""),"#N/A")</f>
        <v>#N/A</v>
      </c>
      <c r="AG94" s="30" t="str">
        <f ca="1">IFERROR(__xludf.dummyfunction("""COMPUTED_VALUE"""),"#N/A")</f>
        <v>#N/A</v>
      </c>
    </row>
    <row r="95" spans="1:33" ht="40.200000000000003">
      <c r="A95" s="25"/>
      <c r="B95" s="25" t="s">
        <v>29</v>
      </c>
      <c r="C95" s="25" t="s">
        <v>310</v>
      </c>
      <c r="D95" s="25">
        <v>7</v>
      </c>
      <c r="E95" s="70" t="s">
        <v>896</v>
      </c>
      <c r="F95" s="80" t="s">
        <v>897</v>
      </c>
      <c r="G95" s="79" t="s">
        <v>898</v>
      </c>
      <c r="H95" s="72" t="str">
        <f ca="1">IFERROR(__xludf.dummyfunction("IFERROR(
  VLOOKUP(G95, IMPORTRANGE(""https://docs.google.com/spreadsheets/d/14deopnvwcrKtEGCKuYXdUHJbeLDZlkiSSWWT0g7x2pM/edit#gid=849066331"", ""LU List Maths (Filter)!A:B""), 2, FALSE),
  IFERROR(
    VLOOKUP(G95, IMPORTRANGE(""https://docs.google.com/s"&amp;"preadsheets/d/14deopnvwcrKtEGCKuYXdUHJbeLDZlkiSSWWT0g7x2pM/edit#gid=849066331"", ""LU List Science (Filter)!A:B""), 2, FALSE),
    ""Not Found""
  )
)
"),"Problems related to direct variation using arrow method")</f>
        <v>Problems related to direct variation using arrow method</v>
      </c>
      <c r="I95" s="64"/>
      <c r="J95" s="29" t="str">
        <f t="shared" si="12"/>
        <v>LU001401.001</v>
      </c>
      <c r="K95" s="29" t="str">
        <f ca="1">IFERROR(__xludf.dummyfunction("VLOOKUP(J95, IMPORTRANGE(""https://docs.google.com/spreadsheets/d/1yDAaXNsi4Mr5FtRQL4tbmSdIzhx6_m4wkOD7IG-k_eo/edit#gid=0"", ""Maths!M:N""), 2, FALSE)"),"(LU001401.001); Default - Remember")</f>
        <v>(LU001401.001); Default - Remember</v>
      </c>
      <c r="L95" s="29" t="str">
        <f t="shared" si="13"/>
        <v>LU001401.002</v>
      </c>
      <c r="M95" s="29" t="str">
        <f ca="1">IFERROR(__xludf.dummyfunction("VLOOKUP(L95, IMPORTRANGE(""https://docs.google.com/spreadsheets/d/1yDAaXNsi4Mr5FtRQL4tbmSdIzhx6_m4wkOD7IG-k_eo/edit#gid=0"", ""Maths!M:N""), 2, FALSE)"),"(LU001401.002); Default - Understand")</f>
        <v>(LU001401.002); Default - Understand</v>
      </c>
      <c r="N95" s="29" t="str">
        <f t="shared" si="14"/>
        <v>LU001401.003</v>
      </c>
      <c r="O95" s="29" t="str">
        <f ca="1">IFERROR(__xludf.dummyfunction("VLOOKUP(N95, IMPORTRANGE(""https://docs.google.com/spreadsheets/d/1yDAaXNsi4Mr5FtRQL4tbmSdIzhx6_m4wkOD7IG-k_eo/edit#gid=0"", ""Maths!M:N""), 2, FALSE)"),"(LU001401.003); Default - Apply")</f>
        <v>(LU001401.003); Default - Apply</v>
      </c>
      <c r="P95" s="29" t="str">
        <f t="shared" si="15"/>
        <v>LU001401.004</v>
      </c>
      <c r="Q95" s="29" t="str">
        <f ca="1">IFERROR(__xludf.dummyfunction("VLOOKUP(P95, IMPORTRANGE(""https://docs.google.com/spreadsheets/d/1yDAaXNsi4Mr5FtRQL4tbmSdIzhx6_m4wkOD7IG-k_eo/edit#gid=0"", ""Maths!M:N""), 2, FALSE)"),"(LU001401.004); Default - Analyse")</f>
        <v>(LU001401.004); Default - Analyse</v>
      </c>
      <c r="R95" s="29" t="str">
        <f t="shared" si="16"/>
        <v>LU001401.005</v>
      </c>
      <c r="S95" s="29" t="str">
        <f ca="1">IFERROR(__xludf.dummyfunction("VLOOKUP(R95, IMPORTRANGE(""https://docs.google.com/spreadsheets/d/1yDAaXNsi4Mr5FtRQL4tbmSdIzhx6_m4wkOD7IG-k_eo/edit#gid=0"", ""Maths!M:N""), 2, FALSE)"),"(LU001401.005); Default - Evaluate")</f>
        <v>(LU001401.005); Default - Evaluate</v>
      </c>
      <c r="T95" s="29" t="str">
        <f t="shared" si="17"/>
        <v>LU001401.006</v>
      </c>
      <c r="U95" s="29" t="str">
        <f ca="1">IFERROR(__xludf.dummyfunction("VLOOKUP(T95, IMPORTRANGE(""https://docs.google.com/spreadsheets/d/1yDAaXNsi4Mr5FtRQL4tbmSdIzhx6_m4wkOD7IG-k_eo/edit#gid=0"", ""Maths!M:N""), 2, FALSE)"),"(LU001401.006); Default - Create")</f>
        <v>(LU001401.006); Default - Create</v>
      </c>
      <c r="V95" s="16" t="str">
        <f ca="1">IFERROR(__xludf.dummyfunction("ArrayFormula(VLOOKUP(G95, IMPORTRANGE(""https://docs.google.com/spreadsheets/d/1p7R4vtkWt5VOBim4ltsDG9KTzSjrtKXsMtQGXPHyND0/edit#gid=795171502"", ""'Filter 30_05_2024'!A1:M2000""), {2, 3, 4, 5,6,7,8,9,10,11,12,13}, 0))"),"#N/A")</f>
        <v>#N/A</v>
      </c>
      <c r="W95" s="16" t="str">
        <f ca="1">IFERROR(__xludf.dummyfunction("""COMPUTED_VALUE"""),"#N/A")</f>
        <v>#N/A</v>
      </c>
      <c r="X95" s="16" t="str">
        <f ca="1">IFERROR(__xludf.dummyfunction("""COMPUTED_VALUE"""),"#N/A")</f>
        <v>#N/A</v>
      </c>
      <c r="Y95" s="16" t="str">
        <f ca="1">IFERROR(__xludf.dummyfunction("""COMPUTED_VALUE"""),"#N/A")</f>
        <v>#N/A</v>
      </c>
      <c r="Z95" s="16" t="str">
        <f ca="1">IFERROR(__xludf.dummyfunction("""COMPUTED_VALUE"""),"#N/A")</f>
        <v>#N/A</v>
      </c>
      <c r="AA95" s="30" t="str">
        <f ca="1">IFERROR(__xludf.dummyfunction("""COMPUTED_VALUE"""),"#N/A")</f>
        <v>#N/A</v>
      </c>
      <c r="AB95" s="30" t="str">
        <f ca="1">IFERROR(__xludf.dummyfunction("""COMPUTED_VALUE"""),"#N/A")</f>
        <v>#N/A</v>
      </c>
      <c r="AC95" s="30" t="str">
        <f ca="1">IFERROR(__xludf.dummyfunction("""COMPUTED_VALUE"""),"#N/A")</f>
        <v>#N/A</v>
      </c>
      <c r="AD95" s="16" t="str">
        <f ca="1">IFERROR(__xludf.dummyfunction("""COMPUTED_VALUE"""),"#N/A")</f>
        <v>#N/A</v>
      </c>
      <c r="AE95" s="30" t="str">
        <f ca="1">IFERROR(__xludf.dummyfunction("""COMPUTED_VALUE"""),"#N/A")</f>
        <v>#N/A</v>
      </c>
      <c r="AF95" s="30" t="str">
        <f ca="1">IFERROR(__xludf.dummyfunction("""COMPUTED_VALUE"""),"#N/A")</f>
        <v>#N/A</v>
      </c>
      <c r="AG95" s="30" t="str">
        <f ca="1">IFERROR(__xludf.dummyfunction("""COMPUTED_VALUE"""),"#N/A")</f>
        <v>#N/A</v>
      </c>
    </row>
    <row r="96" spans="1:33" ht="40.200000000000003">
      <c r="A96" s="25"/>
      <c r="B96" s="25" t="s">
        <v>29</v>
      </c>
      <c r="C96" s="25" t="s">
        <v>310</v>
      </c>
      <c r="D96" s="25">
        <v>7</v>
      </c>
      <c r="E96" s="70" t="s">
        <v>896</v>
      </c>
      <c r="F96" s="80"/>
      <c r="G96" s="79" t="s">
        <v>899</v>
      </c>
      <c r="H96" s="72" t="str">
        <f ca="1">IFERROR(__xludf.dummyfunction("IFERROR(
  VLOOKUP(G96, IMPORTRANGE(""https://docs.google.com/spreadsheets/d/14deopnvwcrKtEGCKuYXdUHJbeLDZlkiSSWWT0g7x2pM/edit#gid=849066331"", ""LU List Maths (Filter)!A:B""), 2, FALSE),
  IFERROR(
    VLOOKUP(G96, IMPORTRANGE(""https://docs.google.com/s"&amp;"preadsheets/d/14deopnvwcrKtEGCKuYXdUHJbeLDZlkiSSWWT0g7x2pM/edit#gid=849066331"", ""LU List Science (Filter)!A:B""), 2, FALSE),
    ""Not Found""
  )
)
"),"Problems related to inverse variation using arrow method")</f>
        <v>Problems related to inverse variation using arrow method</v>
      </c>
      <c r="I96" s="64"/>
      <c r="J96" s="29" t="str">
        <f t="shared" si="12"/>
        <v>LU001402.001</v>
      </c>
      <c r="K96" s="29" t="str">
        <f ca="1">IFERROR(__xludf.dummyfunction("VLOOKUP(J96, IMPORTRANGE(""https://docs.google.com/spreadsheets/d/1yDAaXNsi4Mr5FtRQL4tbmSdIzhx6_m4wkOD7IG-k_eo/edit#gid=0"", ""Maths!M:N""), 2, FALSE)"),"(LU001402.001); Default - Remember")</f>
        <v>(LU001402.001); Default - Remember</v>
      </c>
      <c r="L96" s="29" t="str">
        <f t="shared" si="13"/>
        <v>LU001402.002</v>
      </c>
      <c r="M96" s="29" t="str">
        <f ca="1">IFERROR(__xludf.dummyfunction("VLOOKUP(L96, IMPORTRANGE(""https://docs.google.com/spreadsheets/d/1yDAaXNsi4Mr5FtRQL4tbmSdIzhx6_m4wkOD7IG-k_eo/edit#gid=0"", ""Maths!M:N""), 2, FALSE)"),"(LU001402.002); Default - Understand")</f>
        <v>(LU001402.002); Default - Understand</v>
      </c>
      <c r="N96" s="29" t="str">
        <f t="shared" si="14"/>
        <v>LU001402.003</v>
      </c>
      <c r="O96" s="29" t="str">
        <f ca="1">IFERROR(__xludf.dummyfunction("VLOOKUP(N96, IMPORTRANGE(""https://docs.google.com/spreadsheets/d/1yDAaXNsi4Mr5FtRQL4tbmSdIzhx6_m4wkOD7IG-k_eo/edit#gid=0"", ""Maths!M:N""), 2, FALSE)"),"(LU001402.003); Default - Apply")</f>
        <v>(LU001402.003); Default - Apply</v>
      </c>
      <c r="P96" s="29" t="str">
        <f t="shared" si="15"/>
        <v>LU001402.004</v>
      </c>
      <c r="Q96" s="29" t="str">
        <f ca="1">IFERROR(__xludf.dummyfunction("VLOOKUP(P96, IMPORTRANGE(""https://docs.google.com/spreadsheets/d/1yDAaXNsi4Mr5FtRQL4tbmSdIzhx6_m4wkOD7IG-k_eo/edit#gid=0"", ""Maths!M:N""), 2, FALSE)"),"(LU001402.004); Default - Analyse")</f>
        <v>(LU001402.004); Default - Analyse</v>
      </c>
      <c r="R96" s="29" t="str">
        <f t="shared" si="16"/>
        <v>LU001402.005</v>
      </c>
      <c r="S96" s="29" t="str">
        <f ca="1">IFERROR(__xludf.dummyfunction("VLOOKUP(R96, IMPORTRANGE(""https://docs.google.com/spreadsheets/d/1yDAaXNsi4Mr5FtRQL4tbmSdIzhx6_m4wkOD7IG-k_eo/edit#gid=0"", ""Maths!M:N""), 2, FALSE)"),"(LU001402.005); Default - Evaluate")</f>
        <v>(LU001402.005); Default - Evaluate</v>
      </c>
      <c r="T96" s="29" t="str">
        <f t="shared" si="17"/>
        <v>LU001402.006</v>
      </c>
      <c r="U96" s="29" t="str">
        <f ca="1">IFERROR(__xludf.dummyfunction("VLOOKUP(T96, IMPORTRANGE(""https://docs.google.com/spreadsheets/d/1yDAaXNsi4Mr5FtRQL4tbmSdIzhx6_m4wkOD7IG-k_eo/edit#gid=0"", ""Maths!M:N""), 2, FALSE)"),"(LU001402.006); Default - Create")</f>
        <v>(LU001402.006); Default - Create</v>
      </c>
      <c r="V96" s="16" t="str">
        <f ca="1">IFERROR(__xludf.dummyfunction("ArrayFormula(VLOOKUP(G96, IMPORTRANGE(""https://docs.google.com/spreadsheets/d/1p7R4vtkWt5VOBim4ltsDG9KTzSjrtKXsMtQGXPHyND0/edit#gid=795171502"", ""'Filter 30_05_2024'!A1:M2000""), {2, 3, 4, 5,6,7,8,9,10,11,12,13}, 0))"),"#N/A")</f>
        <v>#N/A</v>
      </c>
      <c r="W96" s="16" t="str">
        <f ca="1">IFERROR(__xludf.dummyfunction("""COMPUTED_VALUE"""),"#N/A")</f>
        <v>#N/A</v>
      </c>
      <c r="X96" s="16" t="str">
        <f ca="1">IFERROR(__xludf.dummyfunction("""COMPUTED_VALUE"""),"#N/A")</f>
        <v>#N/A</v>
      </c>
      <c r="Y96" s="16" t="str">
        <f ca="1">IFERROR(__xludf.dummyfunction("""COMPUTED_VALUE"""),"#N/A")</f>
        <v>#N/A</v>
      </c>
      <c r="Z96" s="16" t="str">
        <f ca="1">IFERROR(__xludf.dummyfunction("""COMPUTED_VALUE"""),"#N/A")</f>
        <v>#N/A</v>
      </c>
      <c r="AA96" s="30" t="str">
        <f ca="1">IFERROR(__xludf.dummyfunction("""COMPUTED_VALUE"""),"#N/A")</f>
        <v>#N/A</v>
      </c>
      <c r="AB96" s="30" t="str">
        <f ca="1">IFERROR(__xludf.dummyfunction("""COMPUTED_VALUE"""),"#N/A")</f>
        <v>#N/A</v>
      </c>
      <c r="AC96" s="30" t="str">
        <f ca="1">IFERROR(__xludf.dummyfunction("""COMPUTED_VALUE"""),"#N/A")</f>
        <v>#N/A</v>
      </c>
      <c r="AD96" s="16" t="str">
        <f ca="1">IFERROR(__xludf.dummyfunction("""COMPUTED_VALUE"""),"#N/A")</f>
        <v>#N/A</v>
      </c>
      <c r="AE96" s="30" t="str">
        <f ca="1">IFERROR(__xludf.dummyfunction("""COMPUTED_VALUE"""),"#N/A")</f>
        <v>#N/A</v>
      </c>
      <c r="AF96" s="30" t="str">
        <f ca="1">IFERROR(__xludf.dummyfunction("""COMPUTED_VALUE"""),"#N/A")</f>
        <v>#N/A</v>
      </c>
      <c r="AG96" s="30" t="str">
        <f ca="1">IFERROR(__xludf.dummyfunction("""COMPUTED_VALUE"""),"#N/A")</f>
        <v>#N/A</v>
      </c>
    </row>
    <row r="97" spans="1:33" ht="26.4">
      <c r="A97" s="25"/>
      <c r="B97" s="25" t="s">
        <v>29</v>
      </c>
      <c r="C97" s="25" t="s">
        <v>310</v>
      </c>
      <c r="D97" s="25">
        <v>7</v>
      </c>
      <c r="E97" s="64" t="s">
        <v>900</v>
      </c>
      <c r="F97" s="89" t="s">
        <v>901</v>
      </c>
      <c r="G97" s="47" t="s">
        <v>902</v>
      </c>
      <c r="H97" s="90" t="str">
        <f ca="1">IFERROR(__xludf.dummyfunction("IFERROR(
  VLOOKUP(G97, IMPORTRANGE(""https://docs.google.com/spreadsheets/d/14deopnvwcrKtEGCKuYXdUHJbeLDZlkiSSWWT0g7x2pM/edit#gid=849066331"", ""LU List Maths (Filter)!A:B""), 2, FALSE),
  IFERROR(
    VLOOKUP(G97, IMPORTRANGE(""https://docs.google.com/s"&amp;"preadsheets/d/14deopnvwcrKtEGCKuYXdUHJbeLDZlkiSSWWT0g7x2pM/edit#gid=849066331"", ""LU List Science (Filter)!A:B""), 2, FALSE),
    ""Not Found""
  )
)
"),"Increase in a quantity as percentage
")</f>
        <v xml:space="preserve">Increase in a quantity as percentage
</v>
      </c>
      <c r="I97" s="64"/>
      <c r="J97" s="29" t="str">
        <f t="shared" si="12"/>
        <v>LU001027.001</v>
      </c>
      <c r="K97" s="29" t="str">
        <f ca="1">IFERROR(__xludf.dummyfunction("VLOOKUP(J97, IMPORTRANGE(""https://docs.google.com/spreadsheets/d/1yDAaXNsi4Mr5FtRQL4tbmSdIzhx6_m4wkOD7IG-k_eo/edit#gid=0"", ""Maths!M:N""), 2, FALSE)"),"Recall the method to calculate the percentage increase of a quantity.")</f>
        <v>Recall the method to calculate the percentage increase of a quantity.</v>
      </c>
      <c r="L97" s="29" t="str">
        <f t="shared" si="13"/>
        <v>LU001027.002</v>
      </c>
      <c r="M97" s="29" t="str">
        <f ca="1">IFERROR(__xludf.dummyfunction("VLOOKUP(L97, IMPORTRANGE(""https://docs.google.com/spreadsheets/d/1yDAaXNsi4Mr5FtRQL4tbmSdIzhx6_m4wkOD7IG-k_eo/edit#gid=0"", ""Maths!M:N""), 2, FALSE)"),"Explain the concept of percentage increase and its significance in comparing quantities.")</f>
        <v>Explain the concept of percentage increase and its significance in comparing quantities.</v>
      </c>
      <c r="N97" s="29" t="str">
        <f t="shared" si="14"/>
        <v>LU001027.003</v>
      </c>
      <c r="O97" s="29" t="str">
        <f ca="1">IFERROR(__xludf.dummyfunction("VLOOKUP(N97, IMPORTRANGE(""https://docs.google.com/spreadsheets/d/1yDAaXNsi4Mr5FtRQL4tbmSdIzhx6_m4wkOD7IG-k_eo/edit#gid=0"", ""Maths!M:N""), 2, FALSE)"),"Calculate the percentage increase of a quantity in real-world scenarios.")</f>
        <v>Calculate the percentage increase of a quantity in real-world scenarios.</v>
      </c>
      <c r="P97" s="29" t="str">
        <f t="shared" si="15"/>
        <v>LU001027.004</v>
      </c>
      <c r="Q97" s="29" t="str">
        <f ca="1">IFERROR(__xludf.dummyfunction("VLOOKUP(P97, IMPORTRANGE(""https://docs.google.com/spreadsheets/d/1yDAaXNsi4Mr5FtRQL4tbmSdIzhx6_m4wkOD7IG-k_eo/edit#gid=0"", ""Maths!M:N""), 2, FALSE)"),"Analyze data to identify and interpret percentage increases in various contexts.")</f>
        <v>Analyze data to identify and interpret percentage increases in various contexts.</v>
      </c>
      <c r="R97" s="29" t="str">
        <f t="shared" si="16"/>
        <v>LU001027.005</v>
      </c>
      <c r="S97" s="29" t="str">
        <f ca="1">IFERROR(__xludf.dummyfunction("VLOOKUP(R97, IMPORTRANGE(""https://docs.google.com/spreadsheets/d/1yDAaXNsi4Mr5FtRQL4tbmSdIzhx6_m4wkOD7IG-k_eo/edit#gid=0"", ""Maths!M:N""), 2, FALSE)"),"Evaluate the accuracy of percentage increase calculations and their relevance to decision-making.")</f>
        <v>Evaluate the accuracy of percentage increase calculations and their relevance to decision-making.</v>
      </c>
      <c r="T97" s="29" t="str">
        <f t="shared" si="17"/>
        <v>LU001027.006</v>
      </c>
      <c r="U97" s="29" t="str">
        <f ca="1">IFERROR(__xludf.dummyfunction("VLOOKUP(T97, IMPORTRANGE(""https://docs.google.com/spreadsheets/d/1yDAaXNsi4Mr5FtRQL4tbmSdIzhx6_m4wkOD7IG-k_eo/edit#gid=0"", ""Maths!M:N""), 2, FALSE)"),"#N/A")</f>
        <v>#N/A</v>
      </c>
      <c r="V97" s="16">
        <f ca="1">IFERROR(__xludf.dummyfunction("ArrayFormula(VLOOKUP(G97, IMPORTRANGE(""https://docs.google.com/spreadsheets/d/1p7R4vtkWt5VOBim4ltsDG9KTzSjrtKXsMtQGXPHyND0/edit#gid=795171502"", ""'Filter 30_05_2024'!A1:M2000""), {2, 3, 4, 5,6,7,8,9,10,11,12,13}, 0))"),8)</f>
        <v>8</v>
      </c>
      <c r="W97" s="16">
        <f ca="1">IFERROR(__xludf.dummyfunction("""COMPUTED_VALUE"""),9)</f>
        <v>9</v>
      </c>
      <c r="X97" s="16">
        <f ca="1">IFERROR(__xludf.dummyfunction("""COMPUTED_VALUE"""),1)</f>
        <v>1</v>
      </c>
      <c r="Y97" s="16">
        <f ca="1">IFERROR(__xludf.dummyfunction("""COMPUTED_VALUE"""),18)</f>
        <v>18</v>
      </c>
      <c r="Z97" s="16">
        <f ca="1">IFERROR(__xludf.dummyfunction("""COMPUTED_VALUE"""),6)</f>
        <v>6</v>
      </c>
      <c r="AA97" s="30">
        <f ca="1">IFERROR(__xludf.dummyfunction("""COMPUTED_VALUE"""),3)</f>
        <v>3</v>
      </c>
      <c r="AB97" s="30">
        <f ca="1">IFERROR(__xludf.dummyfunction("""COMPUTED_VALUE"""),1)</f>
        <v>1</v>
      </c>
      <c r="AC97" s="30">
        <f ca="1">IFERROR(__xludf.dummyfunction("""COMPUTED_VALUE"""),10)</f>
        <v>10</v>
      </c>
      <c r="AD97" s="16"/>
      <c r="AE97" s="30"/>
      <c r="AF97" s="30"/>
      <c r="AG97" s="30"/>
    </row>
    <row r="98" spans="1:33" ht="13.8">
      <c r="A98" s="25"/>
      <c r="B98" s="25" t="s">
        <v>29</v>
      </c>
      <c r="C98" s="25" t="s">
        <v>310</v>
      </c>
      <c r="D98" s="25">
        <v>7</v>
      </c>
      <c r="E98" s="64" t="s">
        <v>900</v>
      </c>
      <c r="F98" s="89"/>
      <c r="G98" s="47" t="s">
        <v>903</v>
      </c>
      <c r="H98" s="72" t="str">
        <f ca="1">IFERROR(__xludf.dummyfunction("IFERROR(
  VLOOKUP(G98, IMPORTRANGE(""https://docs.google.com/spreadsheets/d/14deopnvwcrKtEGCKuYXdUHJbeLDZlkiSSWWT0g7x2pM/edit#gid=849066331"", ""LU List Maths (Filter)!A:B""), 2, FALSE),
  IFERROR(
    VLOOKUP(G98, IMPORTRANGE(""https://docs.google.com/s"&amp;"preadsheets/d/14deopnvwcrKtEGCKuYXdUHJbeLDZlkiSSWWT0g7x2pM/edit#gid=849066331"", ""LU List Science (Filter)!A:B""), 2, FALSE),
    ""Not Found""
  )
)
"),"Decrease in a quantity as percentage")</f>
        <v>Decrease in a quantity as percentage</v>
      </c>
      <c r="I98" s="64"/>
      <c r="J98" s="29" t="str">
        <f t="shared" ref="J98:J129" si="18">G98 &amp; ".001"</f>
        <v>LU001028.001</v>
      </c>
      <c r="K98" s="29" t="str">
        <f ca="1">IFERROR(__xludf.dummyfunction("VLOOKUP(J98, IMPORTRANGE(""https://docs.google.com/spreadsheets/d/1yDAaXNsi4Mr5FtRQL4tbmSdIzhx6_m4wkOD7IG-k_eo/edit#gid=0"", ""Maths!M:N""), 2, FALSE)"),"Recall the method to calculate the percentage decrease of a quantity.")</f>
        <v>Recall the method to calculate the percentage decrease of a quantity.</v>
      </c>
      <c r="L98" s="29" t="str">
        <f t="shared" ref="L98:L129" si="19">G98 &amp; ".002"</f>
        <v>LU001028.002</v>
      </c>
      <c r="M98" s="29" t="str">
        <f ca="1">IFERROR(__xludf.dummyfunction("VLOOKUP(L98, IMPORTRANGE(""https://docs.google.com/spreadsheets/d/1yDAaXNsi4Mr5FtRQL4tbmSdIzhx6_m4wkOD7IG-k_eo/edit#gid=0"", ""Maths!M:N""), 2, FALSE)"),"Explain the concept of percentage decrease and its relevance when comparing quantities.")</f>
        <v>Explain the concept of percentage decrease and its relevance when comparing quantities.</v>
      </c>
      <c r="N98" s="29" t="str">
        <f t="shared" ref="N98:N129" si="20">G98 &amp; ".003"</f>
        <v>LU001028.003</v>
      </c>
      <c r="O98" s="29" t="str">
        <f ca="1">IFERROR(__xludf.dummyfunction("VLOOKUP(N98, IMPORTRANGE(""https://docs.google.com/spreadsheets/d/1yDAaXNsi4Mr5FtRQL4tbmSdIzhx6_m4wkOD7IG-k_eo/edit#gid=0"", ""Maths!M:N""), 2, FALSE)"),"Compute the percentage decrease of a quantity in practical situations.")</f>
        <v>Compute the percentage decrease of a quantity in practical situations.</v>
      </c>
      <c r="P98" s="29" t="str">
        <f t="shared" ref="P98:P129" si="21">G98 &amp; ".004"</f>
        <v>LU001028.004</v>
      </c>
      <c r="Q98" s="29" t="str">
        <f ca="1">IFERROR(__xludf.dummyfunction("VLOOKUP(P98, IMPORTRANGE(""https://docs.google.com/spreadsheets/d/1yDAaXNsi4Mr5FtRQL4tbmSdIzhx6_m4wkOD7IG-k_eo/edit#gid=0"", ""Maths!M:N""), 2, FALSE)"),"Analyze data to identify and interpret percentage decreases in various contexts.")</f>
        <v>Analyze data to identify and interpret percentage decreases in various contexts.</v>
      </c>
      <c r="R98" s="29" t="str">
        <f t="shared" ref="R98:R129" si="22">G98 &amp; ".005"</f>
        <v>LU001028.005</v>
      </c>
      <c r="S98" s="29" t="str">
        <f ca="1">IFERROR(__xludf.dummyfunction("VLOOKUP(R98, IMPORTRANGE(""https://docs.google.com/spreadsheets/d/1yDAaXNsi4Mr5FtRQL4tbmSdIzhx6_m4wkOD7IG-k_eo/edit#gid=0"", ""Maths!M:N""), 2, FALSE)"),"Assess the accuracy of percentage decrease calculations and their implications for decision-making.")</f>
        <v>Assess the accuracy of percentage decrease calculations and their implications for decision-making.</v>
      </c>
      <c r="T98" s="29" t="str">
        <f t="shared" ref="T98:T129" si="23">G98 &amp; ".006"</f>
        <v>LU001028.006</v>
      </c>
      <c r="U98" s="29" t="str">
        <f ca="1">IFERROR(__xludf.dummyfunction("VLOOKUP(T98, IMPORTRANGE(""https://docs.google.com/spreadsheets/d/1yDAaXNsi4Mr5FtRQL4tbmSdIzhx6_m4wkOD7IG-k_eo/edit#gid=0"", ""Maths!M:N""), 2, FALSE)"),"#N/A")</f>
        <v>#N/A</v>
      </c>
      <c r="V98" s="16">
        <f ca="1">IFERROR(__xludf.dummyfunction("ArrayFormula(VLOOKUP(G98, IMPORTRANGE(""https://docs.google.com/spreadsheets/d/1p7R4vtkWt5VOBim4ltsDG9KTzSjrtKXsMtQGXPHyND0/edit#gid=795171502"", ""'Filter 30_05_2024'!A1:M2000""), {2, 3, 4, 5,6,7,8,9,10,11,12,13}, 0))"),8)</f>
        <v>8</v>
      </c>
      <c r="W98" s="16">
        <f ca="1">IFERROR(__xludf.dummyfunction("""COMPUTED_VALUE"""),7)</f>
        <v>7</v>
      </c>
      <c r="X98" s="16">
        <f ca="1">IFERROR(__xludf.dummyfunction("""COMPUTED_VALUE"""),3)</f>
        <v>3</v>
      </c>
      <c r="Y98" s="16">
        <f ca="1">IFERROR(__xludf.dummyfunction("""COMPUTED_VALUE"""),18)</f>
        <v>18</v>
      </c>
      <c r="Z98" s="16">
        <f ca="1">IFERROR(__xludf.dummyfunction("""COMPUTED_VALUE"""),6)</f>
        <v>6</v>
      </c>
      <c r="AA98" s="30">
        <f ca="1">IFERROR(__xludf.dummyfunction("""COMPUTED_VALUE"""),3)</f>
        <v>3</v>
      </c>
      <c r="AB98" s="30">
        <f ca="1">IFERROR(__xludf.dummyfunction("""COMPUTED_VALUE"""),1)</f>
        <v>1</v>
      </c>
      <c r="AC98" s="30">
        <f ca="1">IFERROR(__xludf.dummyfunction("""COMPUTED_VALUE"""),10)</f>
        <v>10</v>
      </c>
      <c r="AD98" s="16"/>
      <c r="AE98" s="30"/>
      <c r="AF98" s="30"/>
      <c r="AG98" s="30"/>
    </row>
    <row r="99" spans="1:33" ht="13.8">
      <c r="A99" s="25"/>
      <c r="B99" s="25" t="s">
        <v>29</v>
      </c>
      <c r="C99" s="25" t="s">
        <v>310</v>
      </c>
      <c r="D99" s="25">
        <v>7</v>
      </c>
      <c r="E99" s="87" t="s">
        <v>904</v>
      </c>
      <c r="F99" s="87" t="s">
        <v>905</v>
      </c>
      <c r="G99" s="47" t="s">
        <v>906</v>
      </c>
      <c r="H99" s="72" t="str">
        <f ca="1">IFERROR(__xludf.dummyfunction("IFERROR(
  VLOOKUP(G99, IMPORTRANGE(""https://docs.google.com/spreadsheets/d/14deopnvwcrKtEGCKuYXdUHJbeLDZlkiSSWWT0g7x2pM/edit#gid=849066331"", ""LU List Maths (Filter)!A:B""), 2, FALSE),
  IFERROR(
    VLOOKUP(G99, IMPORTRANGE(""https://docs.google.com/s"&amp;"preadsheets/d/14deopnvwcrKtEGCKuYXdUHJbeLDZlkiSSWWT0g7x2pM/edit#gid=849066331"", ""LU List Science (Filter)!A:B""), 2, FALSE),
    ""Not Found""
  )
)
"),"Definition of cost price")</f>
        <v>Definition of cost price</v>
      </c>
      <c r="I99" s="64"/>
      <c r="J99" s="29" t="str">
        <f t="shared" si="18"/>
        <v>LU000454.001</v>
      </c>
      <c r="K99" s="29" t="str">
        <f ca="1">IFERROR(__xludf.dummyfunction("VLOOKUP(J99, IMPORTRANGE(""https://docs.google.com/spreadsheets/d/1yDAaXNsi4Mr5FtRQL4tbmSdIzhx6_m4wkOD7IG-k_eo/edit#gid=0"", ""Maths!M:N""), 2, FALSE)"),"State the definition of cost price.")</f>
        <v>State the definition of cost price.</v>
      </c>
      <c r="L99" s="29" t="str">
        <f t="shared" si="19"/>
        <v>LU000454.002</v>
      </c>
      <c r="M99" s="29" t="str">
        <f ca="1">IFERROR(__xludf.dummyfunction("VLOOKUP(L99, IMPORTRANGE(""https://docs.google.com/spreadsheets/d/1yDAaXNsi4Mr5FtRQL4tbmSdIzhx6_m4wkOD7IG-k_eo/edit#gid=0"", ""Maths!M:N""), 2, FALSE)"),"Explain the concept of cost price and its significance in business transactions.")</f>
        <v>Explain the concept of cost price and its significance in business transactions.</v>
      </c>
      <c r="N99" s="29" t="str">
        <f t="shared" si="20"/>
        <v>LU000454.003</v>
      </c>
      <c r="O99" s="29" t="str">
        <f ca="1">IFERROR(__xludf.dummyfunction("VLOOKUP(N99, IMPORTRANGE(""https://docs.google.com/spreadsheets/d/1yDAaXNsi4Mr5FtRQL4tbmSdIzhx6_m4wkOD7IG-k_eo/edit#gid=0"", ""Maths!M:N""), 2, FALSE)"),"Calculate the cost price of an item given its selling price and profit/loss percentage.")</f>
        <v>Calculate the cost price of an item given its selling price and profit/loss percentage.</v>
      </c>
      <c r="P99" s="29" t="str">
        <f t="shared" si="21"/>
        <v>LU000454.004</v>
      </c>
      <c r="Q99" s="29" t="str">
        <f ca="1">IFERROR(__xludf.dummyfunction("VLOOKUP(P99, IMPORTRANGE(""https://docs.google.com/spreadsheets/d/1yDAaXNsi4Mr5FtRQL4tbmSdIzhx6_m4wkOD7IG-k_eo/edit#gid=0"", ""Maths!M:N""), 2, FALSE)"),"Compare and contrast how changes in cost price and selling price impact the overall profit margin of a product.")</f>
        <v>Compare and contrast how changes in cost price and selling price impact the overall profit margin of a product.</v>
      </c>
      <c r="R99" s="29" t="str">
        <f t="shared" si="22"/>
        <v>LU000454.005</v>
      </c>
      <c r="S99" s="29" t="str">
        <f ca="1">IFERROR(__xludf.dummyfunction("VLOOKUP(R99, IMPORTRANGE(""https://docs.google.com/spreadsheets/d/1yDAaXNsi4Mr5FtRQL4tbmSdIzhx6_m4wkOD7IG-k_eo/edit#gid=0"", ""Maths!M:N""), 2, FALSE)"),"Evaluate the accuracy of cost price calculations in real-world scenarios and suggest improvements.")</f>
        <v>Evaluate the accuracy of cost price calculations in real-world scenarios and suggest improvements.</v>
      </c>
      <c r="T99" s="29" t="str">
        <f t="shared" si="23"/>
        <v>LU000454.006</v>
      </c>
      <c r="U99" s="29" t="str">
        <f ca="1">IFERROR(__xludf.dummyfunction("VLOOKUP(T99, IMPORTRANGE(""https://docs.google.com/spreadsheets/d/1yDAaXNsi4Mr5FtRQL4tbmSdIzhx6_m4wkOD7IG-k_eo/edit#gid=0"", ""Maths!M:N""), 2, FALSE)"),"Create a visual presentation explaining cost price, incorporating real-life examples and its implications for someone starting a business.")</f>
        <v>Create a visual presentation explaining cost price, incorporating real-life examples and its implications for someone starting a business.</v>
      </c>
      <c r="V99" s="16">
        <f ca="1">IFERROR(__xludf.dummyfunction("ArrayFormula(VLOOKUP(G99, IMPORTRANGE(""https://docs.google.com/spreadsheets/d/1p7R4vtkWt5VOBim4ltsDG9KTzSjrtKXsMtQGXPHyND0/edit#gid=795171502"", ""'Filter 30_05_2024'!A1:M2000""), {2, 3, 4, 5,6,7,8,9,10,11,12,13}, 0))"),4)</f>
        <v>4</v>
      </c>
      <c r="W99" s="16">
        <f ca="1">IFERROR(__xludf.dummyfunction("""COMPUTED_VALUE"""),6)</f>
        <v>6</v>
      </c>
      <c r="X99" s="16">
        <f ca="1">IFERROR(__xludf.dummyfunction("""COMPUTED_VALUE"""),2)</f>
        <v>2</v>
      </c>
      <c r="Y99" s="16">
        <f ca="1">IFERROR(__xludf.dummyfunction("""COMPUTED_VALUE"""),12)</f>
        <v>12</v>
      </c>
      <c r="Z99" s="16">
        <f ca="1">IFERROR(__xludf.dummyfunction("""COMPUTED_VALUE"""),4)</f>
        <v>4</v>
      </c>
      <c r="AA99" s="30">
        <f ca="1">IFERROR(__xludf.dummyfunction("""COMPUTED_VALUE"""),3)</f>
        <v>3</v>
      </c>
      <c r="AB99" s="30">
        <f ca="1">IFERROR(__xludf.dummyfunction("""COMPUTED_VALUE"""),1)</f>
        <v>1</v>
      </c>
      <c r="AC99" s="30">
        <f ca="1">IFERROR(__xludf.dummyfunction("""COMPUTED_VALUE"""),8)</f>
        <v>8</v>
      </c>
      <c r="AD99" s="16"/>
      <c r="AE99" s="30"/>
      <c r="AF99" s="30"/>
      <c r="AG99" s="30"/>
    </row>
    <row r="100" spans="1:33" ht="13.8">
      <c r="A100" s="25"/>
      <c r="B100" s="25" t="s">
        <v>29</v>
      </c>
      <c r="C100" s="25" t="s">
        <v>310</v>
      </c>
      <c r="D100" s="25">
        <v>7</v>
      </c>
      <c r="E100" s="87" t="s">
        <v>904</v>
      </c>
      <c r="F100" s="87"/>
      <c r="G100" s="47" t="s">
        <v>907</v>
      </c>
      <c r="H100" s="72" t="str">
        <f ca="1">IFERROR(__xludf.dummyfunction("IFERROR(
  VLOOKUP(G100, IMPORTRANGE(""https://docs.google.com/spreadsheets/d/14deopnvwcrKtEGCKuYXdUHJbeLDZlkiSSWWT0g7x2pM/edit#gid=849066331"", ""LU List Maths (Filter)!A:B""), 2, FALSE),
  IFERROR(
    VLOOKUP(G100, IMPORTRANGE(""https://docs.google.com"&amp;"/spreadsheets/d/14deopnvwcrKtEGCKuYXdUHJbeLDZlkiSSWWT0g7x2pM/edit#gid=849066331"", ""LU List Science (Filter)!A:B""), 2, FALSE),
    ""Not Found""
  )
)
"),"Definition of selling price")</f>
        <v>Definition of selling price</v>
      </c>
      <c r="I100" s="64"/>
      <c r="J100" s="29" t="str">
        <f t="shared" si="18"/>
        <v>LU000455.001</v>
      </c>
      <c r="K100" s="29" t="str">
        <f ca="1">IFERROR(__xludf.dummyfunction("VLOOKUP(J100, IMPORTRANGE(""https://docs.google.com/spreadsheets/d/1yDAaXNsi4Mr5FtRQL4tbmSdIzhx6_m4wkOD7IG-k_eo/edit#gid=0"", ""Maths!M:N""), 2, FALSE)"),"State the definition of selling price")</f>
        <v>State the definition of selling price</v>
      </c>
      <c r="L100" s="29" t="str">
        <f t="shared" si="19"/>
        <v>LU000455.002</v>
      </c>
      <c r="M100" s="29" t="str">
        <f ca="1">IFERROR(__xludf.dummyfunction("VLOOKUP(L100, IMPORTRANGE(""https://docs.google.com/spreadsheets/d/1yDAaXNsi4Mr5FtRQL4tbmSdIzhx6_m4wkOD7IG-k_eo/edit#gid=0"", ""Maths!M:N""), 2, FALSE)"),"Describe the significance of selling price in determining revenue and profit for a business.")</f>
        <v>Describe the significance of selling price in determining revenue and profit for a business.</v>
      </c>
      <c r="N100" s="29" t="str">
        <f t="shared" si="20"/>
        <v>LU000455.003</v>
      </c>
      <c r="O100" s="29" t="str">
        <f ca="1">IFERROR(__xludf.dummyfunction("VLOOKUP(N100, IMPORTRANGE(""https://docs.google.com/spreadsheets/d/1yDAaXNsi4Mr5FtRQL4tbmSdIzhx6_m4wkOD7IG-k_eo/edit#gid=0"", ""Maths!M:N""), 2, FALSE)"),"Calculate the selling price of an item given its selling price and profit/loss percentage.")</f>
        <v>Calculate the selling price of an item given its selling price and profit/loss percentage.</v>
      </c>
      <c r="P100" s="29" t="str">
        <f t="shared" si="21"/>
        <v>LU000455.004</v>
      </c>
      <c r="Q100" s="29" t="str">
        <f ca="1">IFERROR(__xludf.dummyfunction("VLOOKUP(P100, IMPORTRANGE(""https://docs.google.com/spreadsheets/d/1yDAaXNsi4Mr5FtRQL4tbmSdIzhx6_m4wkOD7IG-k_eo/edit#gid=0"", ""Maths!M:N""), 2, FALSE)"),"Compare how changes in selling price and cost price affect the overall profitability of a product.")</f>
        <v>Compare how changes in selling price and cost price affect the overall profitability of a product.</v>
      </c>
      <c r="R100" s="29" t="str">
        <f t="shared" si="22"/>
        <v>LU000455.005</v>
      </c>
      <c r="S100" s="29" t="str">
        <f ca="1">IFERROR(__xludf.dummyfunction("VLOOKUP(R100, IMPORTRANGE(""https://docs.google.com/spreadsheets/d/1yDAaXNsi4Mr5FtRQL4tbmSdIzhx6_m4wkOD7IG-k_eo/edit#gid=0"", ""Maths!M:N""), 2, FALSE)"),"Evaluate the appropriateness of selling prices for a range of products and suggest potential adjustments")</f>
        <v>Evaluate the appropriateness of selling prices for a range of products and suggest potential adjustments</v>
      </c>
      <c r="T100" s="29" t="str">
        <f t="shared" si="23"/>
        <v>LU000455.006</v>
      </c>
      <c r="U100" s="29" t="str">
        <f ca="1">IFERROR(__xludf.dummyfunction("VLOOKUP(T100, IMPORTRANGE(""https://docs.google.com/spreadsheets/d/1yDAaXNsi4Mr5FtRQL4tbmSdIzhx6_m4wkOD7IG-k_eo/edit#gid=0"", ""Maths!M:N""), 2, FALSE)"),"Create a business plan for a product launch, including a detailed strategy for determining selling prices that ensure profitability while staying competitive.")</f>
        <v>Create a business plan for a product launch, including a detailed strategy for determining selling prices that ensure profitability while staying competitive.</v>
      </c>
      <c r="V100" s="16">
        <f ca="1">IFERROR(__xludf.dummyfunction("ArrayFormula(VLOOKUP(G100, IMPORTRANGE(""https://docs.google.com/spreadsheets/d/1p7R4vtkWt5VOBim4ltsDG9KTzSjrtKXsMtQGXPHyND0/edit#gid=795171502"", ""'Filter 30_05_2024'!A1:M2000""), {2, 3, 4, 5,6,7,8,9,10,11,12,13}, 0))"),4)</f>
        <v>4</v>
      </c>
      <c r="W100" s="16">
        <f ca="1">IFERROR(__xludf.dummyfunction("""COMPUTED_VALUE"""),4)</f>
        <v>4</v>
      </c>
      <c r="X100" s="16">
        <f ca="1">IFERROR(__xludf.dummyfunction("""COMPUTED_VALUE"""),2)</f>
        <v>2</v>
      </c>
      <c r="Y100" s="16">
        <f ca="1">IFERROR(__xludf.dummyfunction("""COMPUTED_VALUE"""),10)</f>
        <v>10</v>
      </c>
      <c r="Z100" s="16">
        <f ca="1">IFERROR(__xludf.dummyfunction("""COMPUTED_VALUE"""),4)</f>
        <v>4</v>
      </c>
      <c r="AA100" s="30">
        <f ca="1">IFERROR(__xludf.dummyfunction("""COMPUTED_VALUE"""),5)</f>
        <v>5</v>
      </c>
      <c r="AB100" s="30">
        <f ca="1">IFERROR(__xludf.dummyfunction("""COMPUTED_VALUE"""),1)</f>
        <v>1</v>
      </c>
      <c r="AC100" s="30">
        <f ca="1">IFERROR(__xludf.dummyfunction("""COMPUTED_VALUE"""),10)</f>
        <v>10</v>
      </c>
      <c r="AD100" s="16"/>
      <c r="AE100" s="30"/>
      <c r="AF100" s="30"/>
      <c r="AG100" s="30"/>
    </row>
    <row r="101" spans="1:33" ht="13.8">
      <c r="A101" s="25"/>
      <c r="B101" s="25" t="s">
        <v>29</v>
      </c>
      <c r="C101" s="25" t="s">
        <v>310</v>
      </c>
      <c r="D101" s="25">
        <v>7</v>
      </c>
      <c r="E101" s="87" t="s">
        <v>904</v>
      </c>
      <c r="F101" s="87"/>
      <c r="G101" s="47" t="s">
        <v>908</v>
      </c>
      <c r="H101" s="72" t="str">
        <f ca="1">IFERROR(__xludf.dummyfunction("IFERROR(
  VLOOKUP(G101, IMPORTRANGE(""https://docs.google.com/spreadsheets/d/14deopnvwcrKtEGCKuYXdUHJbeLDZlkiSSWWT0g7x2pM/edit#gid=849066331"", ""LU List Maths (Filter)!A:B""), 2, FALSE),
  IFERROR(
    VLOOKUP(G101, IMPORTRANGE(""https://docs.google.com"&amp;"/spreadsheets/d/14deopnvwcrKtEGCKuYXdUHJbeLDZlkiSSWWT0g7x2pM/edit#gid=849066331"", ""LU List Science (Filter)!A:B""), 2, FALSE),
    ""Not Found""
  )
)
"),"Definition of profit")</f>
        <v>Definition of profit</v>
      </c>
      <c r="I101" s="64"/>
      <c r="J101" s="29" t="str">
        <f t="shared" si="18"/>
        <v>LU000456.001</v>
      </c>
      <c r="K101" s="29" t="str">
        <f ca="1">IFERROR(__xludf.dummyfunction("VLOOKUP(J101, IMPORTRANGE(""https://docs.google.com/spreadsheets/d/1yDAaXNsi4Mr5FtRQL4tbmSdIzhx6_m4wkOD7IG-k_eo/edit#gid=0"", ""Maths!M:N""), 2, FALSE)"),"State the definition of profit.")</f>
        <v>State the definition of profit.</v>
      </c>
      <c r="L101" s="29" t="str">
        <f t="shared" si="19"/>
        <v>LU000456.002</v>
      </c>
      <c r="M101" s="29" t="str">
        <f ca="1">IFERROR(__xludf.dummyfunction("VLOOKUP(L101, IMPORTRANGE(""https://docs.google.com/spreadsheets/d/1yDAaXNsi4Mr5FtRQL4tbmSdIzhx6_m4wkOD7IG-k_eo/edit#gid=0"", ""Maths!M:N""), 2, FALSE)"),"Describe the concept of profit as the positive difference between the selling price and cost price of an item.")</f>
        <v>Describe the concept of profit as the positive difference between the selling price and cost price of an item.</v>
      </c>
      <c r="N101" s="29" t="str">
        <f t="shared" si="20"/>
        <v>LU000456.003</v>
      </c>
      <c r="O101" s="29" t="str">
        <f ca="1">IFERROR(__xludf.dummyfunction("VLOOKUP(N101, IMPORTRANGE(""https://docs.google.com/spreadsheets/d/1yDAaXNsi4Mr5FtRQL4tbmSdIzhx6_m4wkOD7IG-k_eo/edit#gid=0"", ""Maths!M:N""), 2, FALSE)"),"Calculate the profit earned on an item given its cost price and selling price.")</f>
        <v>Calculate the profit earned on an item given its cost price and selling price.</v>
      </c>
      <c r="P101" s="29" t="str">
        <f t="shared" si="21"/>
        <v>LU000456.004</v>
      </c>
      <c r="Q101" s="29" t="str">
        <f ca="1">IFERROR(__xludf.dummyfunction("VLOOKUP(P101, IMPORTRANGE(""https://docs.google.com/spreadsheets/d/1yDAaXNsi4Mr5FtRQL4tbmSdIzhx6_m4wkOD7IG-k_eo/edit#gid=0"", ""Maths!M:N""), 2, FALSE)"),"Analyze scenarios where different levels of profit are earned and identify factors contributing to variations in profits.")</f>
        <v>Analyze scenarios where different levels of profit are earned and identify factors contributing to variations in profits.</v>
      </c>
      <c r="R101" s="29" t="str">
        <f t="shared" si="22"/>
        <v>LU000456.005</v>
      </c>
      <c r="S101" s="29" t="str">
        <f ca="1">IFERROR(__xludf.dummyfunction("VLOOKUP(R101, IMPORTRANGE(""https://docs.google.com/spreadsheets/d/1yDAaXNsi4Mr5FtRQL4tbmSdIzhx6_m4wkOD7IG-k_eo/edit#gid=0"", ""Maths!M:N""), 2, FALSE)"),"Evaluate the financial performance of two products with different profit margins and recommend which one is more favorable for the business.")</f>
        <v>Evaluate the financial performance of two products with different profit margins and recommend which one is more favorable for the business.</v>
      </c>
      <c r="T101" s="29" t="str">
        <f t="shared" si="23"/>
        <v>LU000456.006</v>
      </c>
      <c r="U101" s="29" t="str">
        <f ca="1">IFERROR(__xludf.dummyfunction("VLOOKUP(T101, IMPORTRANGE(""https://docs.google.com/spreadsheets/d/1yDAaXNsi4Mr5FtRQL4tbmSdIzhx6_m4wkOD7IG-k_eo/edit#gid=0"", ""Maths!M:N""), 2, FALSE)"),"Design a business plan that outlines strategies to maximise profits, considering pricing strategies, cost efficiency measures, and market demand.")</f>
        <v>Design a business plan that outlines strategies to maximise profits, considering pricing strategies, cost efficiency measures, and market demand.</v>
      </c>
      <c r="V101" s="16">
        <f ca="1">IFERROR(__xludf.dummyfunction("ArrayFormula(VLOOKUP(G101, IMPORTRANGE(""https://docs.google.com/spreadsheets/d/1p7R4vtkWt5VOBim4ltsDG9KTzSjrtKXsMtQGXPHyND0/edit#gid=795171502"", ""'Filter 30_05_2024'!A1:M2000""), {2, 3, 4, 5,6,7,8,9,10,11,12,13}, 0))"),4)</f>
        <v>4</v>
      </c>
      <c r="W101" s="16">
        <f ca="1">IFERROR(__xludf.dummyfunction("""COMPUTED_VALUE"""),6)</f>
        <v>6</v>
      </c>
      <c r="X101" s="16">
        <f ca="1">IFERROR(__xludf.dummyfunction("""COMPUTED_VALUE"""),2)</f>
        <v>2</v>
      </c>
      <c r="Y101" s="16">
        <f ca="1">IFERROR(__xludf.dummyfunction("""COMPUTED_VALUE"""),12)</f>
        <v>12</v>
      </c>
      <c r="Z101" s="16">
        <f ca="1">IFERROR(__xludf.dummyfunction("""COMPUTED_VALUE"""),4)</f>
        <v>4</v>
      </c>
      <c r="AA101" s="30">
        <f ca="1">IFERROR(__xludf.dummyfunction("""COMPUTED_VALUE"""),3)</f>
        <v>3</v>
      </c>
      <c r="AB101" s="30">
        <f ca="1">IFERROR(__xludf.dummyfunction("""COMPUTED_VALUE"""),1)</f>
        <v>1</v>
      </c>
      <c r="AC101" s="30">
        <f ca="1">IFERROR(__xludf.dummyfunction("""COMPUTED_VALUE"""),8)</f>
        <v>8</v>
      </c>
      <c r="AD101" s="16"/>
      <c r="AE101" s="30"/>
      <c r="AF101" s="30"/>
      <c r="AG101" s="30"/>
    </row>
    <row r="102" spans="1:33" ht="13.8">
      <c r="A102" s="25"/>
      <c r="B102" s="25" t="s">
        <v>29</v>
      </c>
      <c r="C102" s="25" t="s">
        <v>310</v>
      </c>
      <c r="D102" s="25">
        <v>7</v>
      </c>
      <c r="E102" s="87" t="s">
        <v>904</v>
      </c>
      <c r="F102" s="87"/>
      <c r="G102" s="47" t="s">
        <v>909</v>
      </c>
      <c r="H102" s="72" t="str">
        <f ca="1">IFERROR(__xludf.dummyfunction("IFERROR(
  VLOOKUP(G102, IMPORTRANGE(""https://docs.google.com/spreadsheets/d/14deopnvwcrKtEGCKuYXdUHJbeLDZlkiSSWWT0g7x2pM/edit#gid=849066331"", ""LU List Maths (Filter)!A:B""), 2, FALSE),
  IFERROR(
    VLOOKUP(G102, IMPORTRANGE(""https://docs.google.com"&amp;"/spreadsheets/d/14deopnvwcrKtEGCKuYXdUHJbeLDZlkiSSWWT0g7x2pM/edit#gid=849066331"", ""LU List Science (Filter)!A:B""), 2, FALSE),
    ""Not Found""
  )
)
"),"Definition of loss")</f>
        <v>Definition of loss</v>
      </c>
      <c r="I102" s="64"/>
      <c r="J102" s="29" t="str">
        <f t="shared" si="18"/>
        <v>LU000457.001</v>
      </c>
      <c r="K102" s="29" t="str">
        <f ca="1">IFERROR(__xludf.dummyfunction("VLOOKUP(J102, IMPORTRANGE(""https://docs.google.com/spreadsheets/d/1yDAaXNsi4Mr5FtRQL4tbmSdIzhx6_m4wkOD7IG-k_eo/edit#gid=0"", ""Maths!M:N""), 2, FALSE)"),"State the definition of loss.")</f>
        <v>State the definition of loss.</v>
      </c>
      <c r="L102" s="29" t="str">
        <f t="shared" si="19"/>
        <v>LU000457.002</v>
      </c>
      <c r="M102" s="29" t="str">
        <f ca="1">IFERROR(__xludf.dummyfunction("VLOOKUP(L102, IMPORTRANGE(""https://docs.google.com/spreadsheets/d/1yDAaXNsi4Mr5FtRQL4tbmSdIzhx6_m4wkOD7IG-k_eo/edit#gid=0"", ""Maths!M:N""), 2, FALSE)"),"Explain the concept of loss and how it is calculated in terms of selling price and cost price.")</f>
        <v>Explain the concept of loss and how it is calculated in terms of selling price and cost price.</v>
      </c>
      <c r="N102" s="29" t="str">
        <f t="shared" si="20"/>
        <v>LU000457.003</v>
      </c>
      <c r="O102" s="29" t="str">
        <f ca="1">IFERROR(__xludf.dummyfunction("VLOOKUP(N102, IMPORTRANGE(""https://docs.google.com/spreadsheets/d/1yDAaXNsi4Mr5FtRQL4tbmSdIzhx6_m4wkOD7IG-k_eo/edit#gid=0"", ""Maths!M:N""), 2, FALSE)"),"Calculate the loss incurred on an item given its cost price and selling price.")</f>
        <v>Calculate the loss incurred on an item given its cost price and selling price.</v>
      </c>
      <c r="P102" s="29" t="str">
        <f t="shared" si="21"/>
        <v>LU000457.004</v>
      </c>
      <c r="Q102" s="29" t="str">
        <f ca="1">IFERROR(__xludf.dummyfunction("VLOOKUP(P102, IMPORTRANGE(""https://docs.google.com/spreadsheets/d/1yDAaXNsi4Mr5FtRQL4tbmSdIzhx6_m4wkOD7IG-k_eo/edit#gid=0"", ""Maths!M:N""), 2, FALSE)"),"Analyse different scenarios where losses occur and identify factors contributing to those losses.")</f>
        <v>Analyse different scenarios where losses occur and identify factors contributing to those losses.</v>
      </c>
      <c r="R102" s="29" t="str">
        <f t="shared" si="22"/>
        <v>LU000457.005</v>
      </c>
      <c r="S102" s="29" t="str">
        <f ca="1">IFERROR(__xludf.dummyfunction("VLOOKUP(R102, IMPORTRANGE(""https://docs.google.com/spreadsheets/d/1yDAaXNsi4Mr5FtRQL4tbmSdIzhx6_m4wkOD7IG-k_eo/edit#gid=0"", ""Maths!M:N""), 2, FALSE)"),"Evaluate strategies to minimise losses in a business context and provide reasoning for their effectiveness.")</f>
        <v>Evaluate strategies to minimise losses in a business context and provide reasoning for their effectiveness.</v>
      </c>
      <c r="T102" s="29" t="str">
        <f t="shared" si="23"/>
        <v>LU000457.006</v>
      </c>
      <c r="U102" s="29" t="str">
        <f ca="1">IFERROR(__xludf.dummyfunction("VLOOKUP(T102, IMPORTRANGE(""https://docs.google.com/spreadsheets/d/1yDAaXNsi4Mr5FtRQL4tbmSdIzhx6_m4wkOD7IG-k_eo/edit#gid=0"", ""Maths!M:N""), 2, FALSE)"),"Devise a comprehensive business plan that minimizes losses by considering various pricing strategies, cost management techniques, and market dynamics.")</f>
        <v>Devise a comprehensive business plan that minimizes losses by considering various pricing strategies, cost management techniques, and market dynamics.</v>
      </c>
      <c r="V102" s="16">
        <f ca="1">IFERROR(__xludf.dummyfunction("ArrayFormula(VLOOKUP(G102, IMPORTRANGE(""https://docs.google.com/spreadsheets/d/1p7R4vtkWt5VOBim4ltsDG9KTzSjrtKXsMtQGXPHyND0/edit#gid=795171502"", ""'Filter 30_05_2024'!A1:M2000""), {2, 3, 4, 5,6,7,8,9,10,11,12,13}, 0))"),4)</f>
        <v>4</v>
      </c>
      <c r="W102" s="16">
        <f ca="1">IFERROR(__xludf.dummyfunction("""COMPUTED_VALUE"""),6)</f>
        <v>6</v>
      </c>
      <c r="X102" s="16">
        <f ca="1">IFERROR(__xludf.dummyfunction("""COMPUTED_VALUE"""),2)</f>
        <v>2</v>
      </c>
      <c r="Y102" s="16">
        <f ca="1">IFERROR(__xludf.dummyfunction("""COMPUTED_VALUE"""),12)</f>
        <v>12</v>
      </c>
      <c r="Z102" s="16">
        <f ca="1">IFERROR(__xludf.dummyfunction("""COMPUTED_VALUE"""),4)</f>
        <v>4</v>
      </c>
      <c r="AA102" s="30">
        <f ca="1">IFERROR(__xludf.dummyfunction("""COMPUTED_VALUE"""),3)</f>
        <v>3</v>
      </c>
      <c r="AB102" s="30">
        <f ca="1">IFERROR(__xludf.dummyfunction("""COMPUTED_VALUE"""),1)</f>
        <v>1</v>
      </c>
      <c r="AC102" s="30">
        <f ca="1">IFERROR(__xludf.dummyfunction("""COMPUTED_VALUE"""),8)</f>
        <v>8</v>
      </c>
      <c r="AD102" s="16"/>
      <c r="AE102" s="30"/>
      <c r="AF102" s="30"/>
      <c r="AG102" s="30"/>
    </row>
    <row r="103" spans="1:33" ht="13.8">
      <c r="A103" s="25"/>
      <c r="B103" s="25" t="s">
        <v>29</v>
      </c>
      <c r="C103" s="25" t="s">
        <v>310</v>
      </c>
      <c r="D103" s="25">
        <v>7</v>
      </c>
      <c r="E103" s="87" t="s">
        <v>904</v>
      </c>
      <c r="F103" s="87" t="s">
        <v>910</v>
      </c>
      <c r="G103" s="47" t="s">
        <v>911</v>
      </c>
      <c r="H103" s="72" t="str">
        <f ca="1">IFERROR(__xludf.dummyfunction("IFERROR(
  VLOOKUP(G103, IMPORTRANGE(""https://docs.google.com/spreadsheets/d/14deopnvwcrKtEGCKuYXdUHJbeLDZlkiSSWWT0g7x2pM/edit#gid=849066331"", ""LU List Maths (Filter)!A:B""), 2, FALSE),
  IFERROR(
    VLOOKUP(G103, IMPORTRANGE(""https://docs.google.com"&amp;"/spreadsheets/d/14deopnvwcrKtEGCKuYXdUHJbeLDZlkiSSWWT0g7x2pM/edit#gid=849066331"", ""LU List Science (Filter)!A:B""), 2, FALSE),
    ""Not Found""
  )
)
"),"Calculation of profit as percentage")</f>
        <v>Calculation of profit as percentage</v>
      </c>
      <c r="I103" s="64"/>
      <c r="J103" s="29" t="str">
        <f t="shared" si="18"/>
        <v>LU000458.001</v>
      </c>
      <c r="K103" s="29" t="str">
        <f ca="1">IFERROR(__xludf.dummyfunction("VLOOKUP(J103, IMPORTRANGE(""https://docs.google.com/spreadsheets/d/1yDAaXNsi4Mr5FtRQL4tbmSdIzhx6_m4wkOD7IG-k_eo/edit#gid=0"", ""Maths!M:N""), 2, FALSE)"),"State the formula used to calculate the profit as percentage.")</f>
        <v>State the formula used to calculate the profit as percentage.</v>
      </c>
      <c r="L103" s="29" t="str">
        <f t="shared" si="19"/>
        <v>LU000458.002</v>
      </c>
      <c r="M103" s="29" t="str">
        <f ca="1">IFERROR(__xludf.dummyfunction("VLOOKUP(L103, IMPORTRANGE(""https://docs.google.com/spreadsheets/d/1yDAaXNsi4Mr5FtRQL4tbmSdIzhx6_m4wkOD7IG-k_eo/edit#gid=0"", ""Maths!M:N""), 2, FALSE)"),"Explain the concept of calculating profit as a percentage and its relevance in analysing business performance.")</f>
        <v>Explain the concept of calculating profit as a percentage and its relevance in analysing business performance.</v>
      </c>
      <c r="N103" s="29" t="str">
        <f t="shared" si="20"/>
        <v>LU000458.003</v>
      </c>
      <c r="O103" s="29" t="str">
        <f ca="1">IFERROR(__xludf.dummyfunction("VLOOKUP(N103, IMPORTRANGE(""https://docs.google.com/spreadsheets/d/1yDAaXNsi4Mr5FtRQL4tbmSdIzhx6_m4wkOD7IG-k_eo/edit#gid=0"", ""Maths!M:N""), 2, FALSE)"),"Calculate the profit percentage earned on an item given its cost price and selling price.")</f>
        <v>Calculate the profit percentage earned on an item given its cost price and selling price.</v>
      </c>
      <c r="P103" s="29" t="str">
        <f t="shared" si="21"/>
        <v>LU000458.004</v>
      </c>
      <c r="Q103" s="29" t="str">
        <f ca="1">IFERROR(__xludf.dummyfunction("VLOOKUP(P103, IMPORTRANGE(""https://docs.google.com/spreadsheets/d/1yDAaXNsi4Mr5FtRQL4tbmSdIzhx6_m4wkOD7IG-k_eo/edit#gid=0"", ""Maths!M:N""), 2, FALSE)"),"Analyse how variations in cost price and selling price affect the resulting profit percentage.")</f>
        <v>Analyse how variations in cost price and selling price affect the resulting profit percentage.</v>
      </c>
      <c r="R103" s="29" t="str">
        <f t="shared" si="22"/>
        <v>LU000458.005</v>
      </c>
      <c r="S103" s="29" t="str">
        <f ca="1">IFERROR(__xludf.dummyfunction("VLOOKUP(R103, IMPORTRANGE(""https://docs.google.com/spreadsheets/d/1yDAaXNsi4Mr5FtRQL4tbmSdIzhx6_m4wkOD7IG-k_eo/edit#gid=0"", ""Maths!M:N""), 2, FALSE)"),"Evaluate the profitability of two products based on their profit percentages and recommend which one offers a better return.")</f>
        <v>Evaluate the profitability of two products based on their profit percentages and recommend which one offers a better return.</v>
      </c>
      <c r="T103" s="29" t="str">
        <f t="shared" si="23"/>
        <v>LU000458.006</v>
      </c>
      <c r="U103" s="29" t="str">
        <f ca="1">IFERROR(__xludf.dummyfunction("VLOOKUP(T103, IMPORTRANGE(""https://docs.google.com/spreadsheets/d/1yDAaXNsi4Mr5FtRQL4tbmSdIzhx6_m4wkOD7IG-k_eo/edit#gid=0"", ""Maths!M:N""), 2, FALSE)"),"Design a comparative analysis report that presents profit percentages for a range of products, highlighting strategies to improve profitability.")</f>
        <v>Design a comparative analysis report that presents profit percentages for a range of products, highlighting strategies to improve profitability.</v>
      </c>
      <c r="V103" s="16">
        <f ca="1">IFERROR(__xludf.dummyfunction("ArrayFormula(VLOOKUP(G103, IMPORTRANGE(""https://docs.google.com/spreadsheets/d/1p7R4vtkWt5VOBim4ltsDG9KTzSjrtKXsMtQGXPHyND0/edit#gid=795171502"", ""'Filter 30_05_2024'!A1:M2000""), {2, 3, 4, 5,6,7,8,9,10,11,12,13}, 0))"),4)</f>
        <v>4</v>
      </c>
      <c r="W103" s="16">
        <f ca="1">IFERROR(__xludf.dummyfunction("""COMPUTED_VALUE"""),6)</f>
        <v>6</v>
      </c>
      <c r="X103" s="16">
        <f ca="1">IFERROR(__xludf.dummyfunction("""COMPUTED_VALUE"""),2)</f>
        <v>2</v>
      </c>
      <c r="Y103" s="16">
        <f ca="1">IFERROR(__xludf.dummyfunction("""COMPUTED_VALUE"""),12)</f>
        <v>12</v>
      </c>
      <c r="Z103" s="16">
        <f ca="1">IFERROR(__xludf.dummyfunction("""COMPUTED_VALUE"""),4)</f>
        <v>4</v>
      </c>
      <c r="AA103" s="30">
        <f ca="1">IFERROR(__xludf.dummyfunction("""COMPUTED_VALUE"""),3)</f>
        <v>3</v>
      </c>
      <c r="AB103" s="30">
        <f ca="1">IFERROR(__xludf.dummyfunction("""COMPUTED_VALUE"""),1)</f>
        <v>1</v>
      </c>
      <c r="AC103" s="30">
        <f ca="1">IFERROR(__xludf.dummyfunction("""COMPUTED_VALUE"""),8)</f>
        <v>8</v>
      </c>
      <c r="AD103" s="16"/>
      <c r="AE103" s="30"/>
      <c r="AF103" s="30"/>
      <c r="AG103" s="30"/>
    </row>
    <row r="104" spans="1:33" ht="13.8">
      <c r="A104" s="25"/>
      <c r="B104" s="25" t="s">
        <v>29</v>
      </c>
      <c r="C104" s="25" t="s">
        <v>310</v>
      </c>
      <c r="D104" s="25">
        <v>7</v>
      </c>
      <c r="E104" s="87" t="s">
        <v>904</v>
      </c>
      <c r="F104" s="87"/>
      <c r="G104" s="47" t="s">
        <v>912</v>
      </c>
      <c r="H104" s="72" t="str">
        <f ca="1">IFERROR(__xludf.dummyfunction("IFERROR(
  VLOOKUP(G104, IMPORTRANGE(""https://docs.google.com/spreadsheets/d/14deopnvwcrKtEGCKuYXdUHJbeLDZlkiSSWWT0g7x2pM/edit#gid=849066331"", ""LU List Maths (Filter)!A:B""), 2, FALSE),
  IFERROR(
    VLOOKUP(G104, IMPORTRANGE(""https://docs.google.com"&amp;"/spreadsheets/d/14deopnvwcrKtEGCKuYXdUHJbeLDZlkiSSWWT0g7x2pM/edit#gid=849066331"", ""LU List Science (Filter)!A:B""), 2, FALSE),
    ""Not Found""
  )
)
"),"Calculation of loss as percentage")</f>
        <v>Calculation of loss as percentage</v>
      </c>
      <c r="I104" s="64"/>
      <c r="J104" s="29" t="str">
        <f t="shared" si="18"/>
        <v>LU000459.001</v>
      </c>
      <c r="K104" s="29" t="str">
        <f ca="1">IFERROR(__xludf.dummyfunction("VLOOKUP(J104, IMPORTRANGE(""https://docs.google.com/spreadsheets/d/1yDAaXNsi4Mr5FtRQL4tbmSdIzhx6_m4wkOD7IG-k_eo/edit#gid=0"", ""Maths!M:N""), 2, FALSE)"),"State the formula used to calculate the loss as percentage.")</f>
        <v>State the formula used to calculate the loss as percentage.</v>
      </c>
      <c r="L104" s="29" t="str">
        <f t="shared" si="19"/>
        <v>LU000459.002</v>
      </c>
      <c r="M104" s="29" t="str">
        <f ca="1">IFERROR(__xludf.dummyfunction("VLOOKUP(L104, IMPORTRANGE(""https://docs.google.com/spreadsheets/d/1yDAaXNsi4Mr5FtRQL4tbmSdIzhx6_m4wkOD7IG-k_eo/edit#gid=0"", ""Maths!M:N""), 2, FALSE)"),"Explain the concept of calculating loss as a percentage and its relevance in analysing business performance.")</f>
        <v>Explain the concept of calculating loss as a percentage and its relevance in analysing business performance.</v>
      </c>
      <c r="N104" s="29" t="str">
        <f t="shared" si="20"/>
        <v>LU000459.003</v>
      </c>
      <c r="O104" s="29" t="str">
        <f ca="1">IFERROR(__xludf.dummyfunction("VLOOKUP(N104, IMPORTRANGE(""https://docs.google.com/spreadsheets/d/1yDAaXNsi4Mr5FtRQL4tbmSdIzhx6_m4wkOD7IG-k_eo/edit#gid=0"", ""Maths!M:N""), 2, FALSE)"),"Calculate the loss percentage earned on an item given its cost price and selling price.")</f>
        <v>Calculate the loss percentage earned on an item given its cost price and selling price.</v>
      </c>
      <c r="P104" s="29" t="str">
        <f t="shared" si="21"/>
        <v>LU000459.004</v>
      </c>
      <c r="Q104" s="29" t="str">
        <f ca="1">IFERROR(__xludf.dummyfunction("VLOOKUP(P104, IMPORTRANGE(""https://docs.google.com/spreadsheets/d/1yDAaXNsi4Mr5FtRQL4tbmSdIzhx6_m4wkOD7IG-k_eo/edit#gid=0"", ""Maths!M:N""), 2, FALSE)"),"Analyse how variations in cost price and selling price affect the resulting loss percentage.")</f>
        <v>Analyse how variations in cost price and selling price affect the resulting loss percentage.</v>
      </c>
      <c r="R104" s="29" t="str">
        <f t="shared" si="22"/>
        <v>LU000459.005</v>
      </c>
      <c r="S104" s="29" t="str">
        <f ca="1">IFERROR(__xludf.dummyfunction("VLOOKUP(R104, IMPORTRANGE(""https://docs.google.com/spreadsheets/d/1yDAaXNsi4Mr5FtRQL4tbmSdIzhx6_m4wkOD7IG-k_eo/edit#gid=0"", ""Maths!M:N""), 2, FALSE)"),"Evaluate the financial implications of two transactions with different loss percentages and determine which one is more unfavorable.")</f>
        <v>Evaluate the financial implications of two transactions with different loss percentages and determine which one is more unfavorable.</v>
      </c>
      <c r="T104" s="29" t="str">
        <f t="shared" si="23"/>
        <v>LU000459.006</v>
      </c>
      <c r="U104" s="29" t="str">
        <f ca="1">IFERROR(__xludf.dummyfunction("VLOOKUP(T104, IMPORTRANGE(""https://docs.google.com/spreadsheets/d/1yDAaXNsi4Mr5FtRQL4tbmSdIzhx6_m4wkOD7IG-k_eo/edit#gid=0"", ""Maths!M:N""), 2, FALSE)"),"Design a presentation that illustrates the concept of loss percentage using real-world examples and offers strategies to mitigate losses.")</f>
        <v>Design a presentation that illustrates the concept of loss percentage using real-world examples and offers strategies to mitigate losses.</v>
      </c>
      <c r="V104" s="16">
        <f ca="1">IFERROR(__xludf.dummyfunction("ArrayFormula(VLOOKUP(G104, IMPORTRANGE(""https://docs.google.com/spreadsheets/d/1p7R4vtkWt5VOBim4ltsDG9KTzSjrtKXsMtQGXPHyND0/edit#gid=795171502"", ""'Filter 30_05_2024'!A1:M2000""), {2, 3, 4, 5,6,7,8,9,10,11,12,13}, 0))"),2)</f>
        <v>2</v>
      </c>
      <c r="W104" s="16">
        <f ca="1">IFERROR(__xludf.dummyfunction("""COMPUTED_VALUE"""),10)</f>
        <v>10</v>
      </c>
      <c r="X104" s="16">
        <f ca="1">IFERROR(__xludf.dummyfunction("""COMPUTED_VALUE"""),2)</f>
        <v>2</v>
      </c>
      <c r="Y104" s="16">
        <f ca="1">IFERROR(__xludf.dummyfunction("""COMPUTED_VALUE"""),14)</f>
        <v>14</v>
      </c>
      <c r="Z104" s="16">
        <f ca="1">IFERROR(__xludf.dummyfunction("""COMPUTED_VALUE"""),6)</f>
        <v>6</v>
      </c>
      <c r="AA104" s="30">
        <f ca="1">IFERROR(__xludf.dummyfunction("""COMPUTED_VALUE"""),3)</f>
        <v>3</v>
      </c>
      <c r="AB104" s="30">
        <f ca="1">IFERROR(__xludf.dummyfunction("""COMPUTED_VALUE"""),1)</f>
        <v>1</v>
      </c>
      <c r="AC104" s="30">
        <f ca="1">IFERROR(__xludf.dummyfunction("""COMPUTED_VALUE"""),10)</f>
        <v>10</v>
      </c>
      <c r="AD104" s="16"/>
      <c r="AE104" s="30"/>
      <c r="AF104" s="30"/>
      <c r="AG104" s="30"/>
    </row>
    <row r="105" spans="1:33" ht="13.8">
      <c r="A105" s="25"/>
      <c r="B105" s="25" t="s">
        <v>29</v>
      </c>
      <c r="C105" s="25" t="s">
        <v>310</v>
      </c>
      <c r="D105" s="25">
        <v>7</v>
      </c>
      <c r="E105" s="64" t="s">
        <v>913</v>
      </c>
      <c r="F105" s="64" t="s">
        <v>913</v>
      </c>
      <c r="G105" s="71" t="s">
        <v>914</v>
      </c>
      <c r="H105" s="72" t="str">
        <f ca="1">IFERROR(__xludf.dummyfunction("IFERROR(
  VLOOKUP(G105, IMPORTRANGE(""https://docs.google.com/spreadsheets/d/14deopnvwcrKtEGCKuYXdUHJbeLDZlkiSSWWT0g7x2pM/edit#gid=849066331"", ""LU List Maths (Filter)!A:B""), 2, FALSE),
  IFERROR(
    VLOOKUP(G105, IMPORTRANGE(""https://docs.google.com"&amp;"/spreadsheets/d/14deopnvwcrKtEGCKuYXdUHJbeLDZlkiSSWWT0g7x2pM/edit#gid=849066331"", ""LU List Science (Filter)!A:B""), 2, FALSE),
    ""Not Found""
  )
)
"),"Definition of simple interest")</f>
        <v>Definition of simple interest</v>
      </c>
      <c r="I105" s="64"/>
      <c r="J105" s="29" t="str">
        <f t="shared" si="18"/>
        <v>LU000460.001</v>
      </c>
      <c r="K105" s="29" t="str">
        <f ca="1">IFERROR(__xludf.dummyfunction("VLOOKUP(J105, IMPORTRANGE(""https://docs.google.com/spreadsheets/d/1yDAaXNsi4Mr5FtRQL4tbmSdIzhx6_m4wkOD7IG-k_eo/edit#gid=0"", ""Maths!M:N""), 2, FALSE)"),"State the definition of simple interest.")</f>
        <v>State the definition of simple interest.</v>
      </c>
      <c r="L105" s="29" t="str">
        <f t="shared" si="19"/>
        <v>LU000460.002</v>
      </c>
      <c r="M105" s="29" t="str">
        <f ca="1">IFERROR(__xludf.dummyfunction("VLOOKUP(L105, IMPORTRANGE(""https://docs.google.com/spreadsheets/d/1yDAaXNsi4Mr5FtRQL4tbmSdIzhx6_m4wkOD7IG-k_eo/edit#gid=0"", ""Maths!M:N""), 2, FALSE)"),"Explain the concept of simple interest and how it is calculated based on the principal amount, interest rate, and time period.")</f>
        <v>Explain the concept of simple interest and how it is calculated based on the principal amount, interest rate, and time period.</v>
      </c>
      <c r="N105" s="29" t="str">
        <f t="shared" si="20"/>
        <v>LU000460.003</v>
      </c>
      <c r="O105" s="29" t="str">
        <f ca="1">IFERROR(__xludf.dummyfunction("VLOOKUP(N105, IMPORTRANGE(""https://docs.google.com/spreadsheets/d/1yDAaXNsi4Mr5FtRQL4tbmSdIzhx6_m4wkOD7IG-k_eo/edit#gid=0"", ""Maths!M:N""), 2, FALSE)"),"Calculate the simple interest earned or paid on a given principal amount, interest rate and time period.")</f>
        <v>Calculate the simple interest earned or paid on a given principal amount, interest rate and time period.</v>
      </c>
      <c r="P105" s="29" t="str">
        <f t="shared" si="21"/>
        <v>LU000460.004</v>
      </c>
      <c r="Q105" s="29" t="str">
        <f ca="1">IFERROR(__xludf.dummyfunction("VLOOKUP(P105, IMPORTRANGE(""https://docs.google.com/spreadsheets/d/1yDAaXNsi4Mr5FtRQL4tbmSdIzhx6_m4wkOD7IG-k_eo/edit#gid=0"", ""Maths!M:N""), 2, FALSE)"),"Analyse the impact of changes in principal, interest rate and time on the calculated simple interest amount.")</f>
        <v>Analyse the impact of changes in principal, interest rate and time on the calculated simple interest amount.</v>
      </c>
      <c r="R105" s="29" t="str">
        <f t="shared" si="22"/>
        <v>LU000460.005</v>
      </c>
      <c r="S105" s="29" t="str">
        <f ca="1">IFERROR(__xludf.dummyfunction("VLOOKUP(R105, IMPORTRANGE(""https://docs.google.com/spreadsheets/d/1yDAaXNsi4Mr5FtRQL4tbmSdIzhx6_m4wkOD7IG-k_eo/edit#gid=0"", ""Maths!M:N""), 2, FALSE)"),"Evaluate the financial implications of two investment options with different interest rates and time periods and recommend the more favorable option.")</f>
        <v>Evaluate the financial implications of two investment options with different interest rates and time periods and recommend the more favorable option.</v>
      </c>
      <c r="T105" s="29" t="str">
        <f t="shared" si="23"/>
        <v>LU000460.006</v>
      </c>
      <c r="U105" s="29" t="str">
        <f ca="1">IFERROR(__xludf.dummyfunction("VLOOKUP(T105, IMPORTRANGE(""https://docs.google.com/spreadsheets/d/1yDAaXNsi4Mr5FtRQL4tbmSdIzhx6_m4wkOD7IG-k_eo/edit#gid=0"", ""Maths!M:N""), 2, FALSE)"),"Design a real-world scenario where simple interest is relevant, including initial investment, time frame, and rate to calculate the simple interest and interpret the results.")</f>
        <v>Design a real-world scenario where simple interest is relevant, including initial investment, time frame, and rate to calculate the simple interest and interpret the results.</v>
      </c>
      <c r="V105" s="16">
        <f ca="1">IFERROR(__xludf.dummyfunction("ArrayFormula(VLOOKUP(G105, IMPORTRANGE(""https://docs.google.com/spreadsheets/d/1p7R4vtkWt5VOBim4ltsDG9KTzSjrtKXsMtQGXPHyND0/edit#gid=795171502"", ""'Filter 30_05_2024'!A1:M2000""), {2, 3, 4, 5,6,7,8,9,10,11,12,13}, 0))"),4)</f>
        <v>4</v>
      </c>
      <c r="W105" s="16">
        <f ca="1">IFERROR(__xludf.dummyfunction("""COMPUTED_VALUE"""),5)</f>
        <v>5</v>
      </c>
      <c r="X105" s="16">
        <f ca="1">IFERROR(__xludf.dummyfunction("""COMPUTED_VALUE"""),2)</f>
        <v>2</v>
      </c>
      <c r="Y105" s="16">
        <f ca="1">IFERROR(__xludf.dummyfunction("""COMPUTED_VALUE"""),11)</f>
        <v>11</v>
      </c>
      <c r="Z105" s="16">
        <f ca="1">IFERROR(__xludf.dummyfunction("""COMPUTED_VALUE"""),4)</f>
        <v>4</v>
      </c>
      <c r="AA105" s="30">
        <f ca="1">IFERROR(__xludf.dummyfunction("""COMPUTED_VALUE"""),5)</f>
        <v>5</v>
      </c>
      <c r="AB105" s="30">
        <f ca="1">IFERROR(__xludf.dummyfunction("""COMPUTED_VALUE"""),1)</f>
        <v>1</v>
      </c>
      <c r="AC105" s="30">
        <f ca="1">IFERROR(__xludf.dummyfunction("""COMPUTED_VALUE"""),10)</f>
        <v>10</v>
      </c>
      <c r="AD105" s="16"/>
      <c r="AE105" s="30"/>
      <c r="AF105" s="30"/>
      <c r="AG105" s="30"/>
    </row>
    <row r="106" spans="1:33" ht="13.8">
      <c r="A106" s="25"/>
      <c r="B106" s="25" t="s">
        <v>29</v>
      </c>
      <c r="C106" s="25" t="s">
        <v>310</v>
      </c>
      <c r="D106" s="25">
        <v>7</v>
      </c>
      <c r="E106" s="64" t="s">
        <v>913</v>
      </c>
      <c r="F106" s="70"/>
      <c r="G106" s="71" t="s">
        <v>915</v>
      </c>
      <c r="H106" s="72" t="str">
        <f ca="1">IFERROR(__xludf.dummyfunction("IFERROR(
  VLOOKUP(G106, IMPORTRANGE(""https://docs.google.com/spreadsheets/d/14deopnvwcrKtEGCKuYXdUHJbeLDZlkiSSWWT0g7x2pM/edit#gid=849066331"", ""LU List Maths (Filter)!A:B""), 2, FALSE),
  IFERROR(
    VLOOKUP(G106, IMPORTRANGE(""https://docs.google.com"&amp;"/spreadsheets/d/14deopnvwcrKtEGCKuYXdUHJbeLDZlkiSSWWT0g7x2pM/edit#gid=849066331"", ""LU List Science (Filter)!A:B""), 2, FALSE),
    ""Not Found""
  )
)
"),"Definition of principal")</f>
        <v>Definition of principal</v>
      </c>
      <c r="I106" s="64"/>
      <c r="J106" s="29" t="str">
        <f t="shared" si="18"/>
        <v>LU000461.001</v>
      </c>
      <c r="K106" s="29" t="str">
        <f ca="1">IFERROR(__xludf.dummyfunction("VLOOKUP(J106, IMPORTRANGE(""https://docs.google.com/spreadsheets/d/1yDAaXNsi4Mr5FtRQL4tbmSdIzhx6_m4wkOD7IG-k_eo/edit#gid=0"", ""Maths!M:N""), 2, FALSE)"),"State the definition of principal.")</f>
        <v>State the definition of principal.</v>
      </c>
      <c r="L106" s="29" t="str">
        <f t="shared" si="19"/>
        <v>LU000461.002</v>
      </c>
      <c r="M106" s="29" t="str">
        <f ca="1">IFERROR(__xludf.dummyfunction("VLOOKUP(L106, IMPORTRANGE(""https://docs.google.com/spreadsheets/d/1yDAaXNsi4Mr5FtRQL4tbmSdIzhx6_m4wkOD7IG-k_eo/edit#gid=0"", ""Maths!M:N""), 2, FALSE)"),"Explain the significance of the term ""principal"" in financial calculations and its role in various mathematical contexts.")</f>
        <v>Explain the significance of the term "principal" in financial calculations and its role in various mathematical contexts.</v>
      </c>
      <c r="N106" s="29" t="str">
        <f t="shared" si="20"/>
        <v>LU000461.003</v>
      </c>
      <c r="O106" s="29" t="str">
        <f ca="1">IFERROR(__xludf.dummyfunction("VLOOKUP(N106, IMPORTRANGE(""https://docs.google.com/spreadsheets/d/1yDAaXNsi4Mr5FtRQL4tbmSdIzhx6_m4wkOD7IG-k_eo/edit#gid=0"", ""Maths!M:N""), 2, FALSE)"),"Identify the principal amount in a given financial scenario, along with other relevant details such as interest rate and time period.")</f>
        <v>Identify the principal amount in a given financial scenario, along with other relevant details such as interest rate and time period.</v>
      </c>
      <c r="P106" s="29" t="str">
        <f t="shared" si="21"/>
        <v>LU000461.004</v>
      </c>
      <c r="Q106" s="29" t="str">
        <f ca="1">IFERROR(__xludf.dummyfunction("VLOOKUP(P106, IMPORTRANGE(""https://docs.google.com/spreadsheets/d/1yDAaXNsi4Mr5FtRQL4tbmSdIzhx6_m4wkOD7IG-k_eo/edit#gid=0"", ""Maths!M:N""), 2, FALSE)"),"Analyse how variations in principal affect the resulting interest earned or paid in different financial situations.")</f>
        <v>Analyse how variations in principal affect the resulting interest earned or paid in different financial situations.</v>
      </c>
      <c r="R106" s="29" t="str">
        <f t="shared" si="22"/>
        <v>LU000461.005</v>
      </c>
      <c r="S106" s="29" t="str">
        <f ca="1">IFERROR(__xludf.dummyfunction("VLOOKUP(R106, IMPORTRANGE(""https://docs.google.com/spreadsheets/d/1yDAaXNsi4Mr5FtRQL4tbmSdIzhx6_m4wkOD7IG-k_eo/edit#gid=0"", ""Maths!M:N""), 2, FALSE)"),"Compare two investment choices, each with a distinct principal and interest rate, and provide reasoning for which option offers better returns.")</f>
        <v>Compare two investment choices, each with a distinct principal and interest rate, and provide reasoning for which option offers better returns.</v>
      </c>
      <c r="T106" s="29" t="str">
        <f t="shared" si="23"/>
        <v>LU000461.006</v>
      </c>
      <c r="U106" s="29" t="str">
        <f ca="1">IFERROR(__xludf.dummyfunction("VLOOKUP(T106, IMPORTRANGE(""https://docs.google.com/spreadsheets/d/1yDAaXNsi4Mr5FtRQL4tbmSdIzhx6_m4wkOD7IG-k_eo/edit#gid=0"", ""Maths!M:N""), 2, FALSE)"),"Create real-world scenarios where money is invested in a savings account with a specific principal, interest rate and time period to calculate the interest earned.")</f>
        <v>Create real-world scenarios where money is invested in a savings account with a specific principal, interest rate and time period to calculate the interest earned.</v>
      </c>
      <c r="V106" s="16">
        <f ca="1">IFERROR(__xludf.dummyfunction("ArrayFormula(VLOOKUP(G106, IMPORTRANGE(""https://docs.google.com/spreadsheets/d/1p7R4vtkWt5VOBim4ltsDG9KTzSjrtKXsMtQGXPHyND0/edit#gid=795171502"", ""'Filter 30_05_2024'!A1:M2000""), {2, 3, 4, 5,6,7,8,9,10,11,12,13}, 0))"),4)</f>
        <v>4</v>
      </c>
      <c r="W106" s="16">
        <f ca="1">IFERROR(__xludf.dummyfunction("""COMPUTED_VALUE"""),3)</f>
        <v>3</v>
      </c>
      <c r="X106" s="16">
        <f ca="1">IFERROR(__xludf.dummyfunction("""COMPUTED_VALUE"""),2)</f>
        <v>2</v>
      </c>
      <c r="Y106" s="16">
        <f ca="1">IFERROR(__xludf.dummyfunction("""COMPUTED_VALUE"""),9)</f>
        <v>9</v>
      </c>
      <c r="Z106" s="16">
        <f ca="1">IFERROR(__xludf.dummyfunction("""COMPUTED_VALUE"""),4)</f>
        <v>4</v>
      </c>
      <c r="AA106" s="30">
        <f ca="1">IFERROR(__xludf.dummyfunction("""COMPUTED_VALUE"""),6)</f>
        <v>6</v>
      </c>
      <c r="AB106" s="30">
        <f ca="1">IFERROR(__xludf.dummyfunction("""COMPUTED_VALUE"""),1)</f>
        <v>1</v>
      </c>
      <c r="AC106" s="30">
        <f ca="1">IFERROR(__xludf.dummyfunction("""COMPUTED_VALUE"""),11)</f>
        <v>11</v>
      </c>
      <c r="AD106" s="16"/>
      <c r="AE106" s="30"/>
      <c r="AF106" s="30"/>
      <c r="AG106" s="30"/>
    </row>
    <row r="107" spans="1:33" ht="13.8">
      <c r="A107" s="25"/>
      <c r="B107" s="25" t="s">
        <v>29</v>
      </c>
      <c r="C107" s="25" t="s">
        <v>310</v>
      </c>
      <c r="D107" s="25">
        <v>7</v>
      </c>
      <c r="E107" s="64" t="s">
        <v>913</v>
      </c>
      <c r="F107" s="64"/>
      <c r="G107" s="71" t="s">
        <v>916</v>
      </c>
      <c r="H107" s="72" t="str">
        <f ca="1">IFERROR(__xludf.dummyfunction("IFERROR(
  VLOOKUP(G107, IMPORTRANGE(""https://docs.google.com/spreadsheets/d/14deopnvwcrKtEGCKuYXdUHJbeLDZlkiSSWWT0g7x2pM/edit#gid=849066331"", ""LU List Maths (Filter)!A:B""), 2, FALSE),
  IFERROR(
    VLOOKUP(G107, IMPORTRANGE(""https://docs.google.com"&amp;"/spreadsheets/d/14deopnvwcrKtEGCKuYXdUHJbeLDZlkiSSWWT0g7x2pM/edit#gid=849066331"", ""LU List Science (Filter)!A:B""), 2, FALSE),
    ""Not Found""
  )
)
"),"Definition of amount in simple interest")</f>
        <v>Definition of amount in simple interest</v>
      </c>
      <c r="I107" s="64"/>
      <c r="J107" s="29" t="str">
        <f t="shared" si="18"/>
        <v>LU000462.001</v>
      </c>
      <c r="K107" s="29" t="str">
        <f ca="1">IFERROR(__xludf.dummyfunction("VLOOKUP(J107, IMPORTRANGE(""https://docs.google.com/spreadsheets/d/1yDAaXNsi4Mr5FtRQL4tbmSdIzhx6_m4wkOD7IG-k_eo/edit#gid=0"", ""Maths!M:N""), 2, FALSE)"),"State the meaning of the term ""amount"" as used in simple interest calculations.")</f>
        <v>State the meaning of the term "amount" as used in simple interest calculations.</v>
      </c>
      <c r="L107" s="29" t="str">
        <f t="shared" si="19"/>
        <v>LU000462.002</v>
      </c>
      <c r="M107" s="29" t="str">
        <f ca="1">IFERROR(__xludf.dummyfunction("VLOOKUP(L107, IMPORTRANGE(""https://docs.google.com/spreadsheets/d/1yDAaXNsi4Mr5FtRQL4tbmSdIzhx6_m4wkOD7IG-k_eo/edit#gid=0"", ""Maths!M:N""), 2, FALSE)"),"Explain the concept of ""amount"" in simple interest calculations and how it relates to the initial principal and earned interest.")</f>
        <v>Explain the concept of "amount" in simple interest calculations and how it relates to the initial principal and earned interest.</v>
      </c>
      <c r="N107" s="29" t="str">
        <f t="shared" si="20"/>
        <v>LU000462.003</v>
      </c>
      <c r="O107" s="29" t="str">
        <f ca="1">IFERROR(__xludf.dummyfunction("VLOOKUP(N107, IMPORTRANGE(""https://docs.google.com/spreadsheets/d/1yDAaXNsi4Mr5FtRQL4tbmSdIzhx6_m4wkOD7IG-k_eo/edit#gid=0"", ""Maths!M:N""), 2, FALSE)"),"Calculate the total amount accrued in a simple interest calculation based on a given principal, interest rate and time period.")</f>
        <v>Calculate the total amount accrued in a simple interest calculation based on a given principal, interest rate and time period.</v>
      </c>
      <c r="P107" s="29" t="str">
        <f t="shared" si="21"/>
        <v>LU000462.004</v>
      </c>
      <c r="Q107" s="29" t="str">
        <f ca="1">IFERROR(__xludf.dummyfunction("VLOOKUP(P107, IMPORTRANGE(""https://docs.google.com/spreadsheets/d/1yDAaXNsi4Mr5FtRQL4tbmSdIzhx6_m4wkOD7IG-k_eo/edit#gid=0"", ""Maths!M:N""), 2, FALSE)"),"Analyse how changes in principal, interest rate, and time period influence the final amount in simple interest calculations.")</f>
        <v>Analyse how changes in principal, interest rate, and time period influence the final amount in simple interest calculations.</v>
      </c>
      <c r="R107" s="29" t="str">
        <f t="shared" si="22"/>
        <v>LU000462.005</v>
      </c>
      <c r="S107" s="29" t="str">
        <f ca="1">IFERROR(__xludf.dummyfunction("VLOOKUP(R107, IMPORTRANGE(""https://docs.google.com/spreadsheets/d/1yDAaXNsi4Mr5FtRQL4tbmSdIzhx6_m4wkOD7IG-k_eo/edit#gid=0"", ""Maths!M:N""), 2, FALSE)"),"Evaluate the comparison between two investments with different principal amounts and interest rates, and determine which investment yields a higher total amount.")</f>
        <v>Evaluate the comparison between two investments with different principal amounts and interest rates, and determine which investment yields a higher total amount.</v>
      </c>
      <c r="T107" s="29" t="str">
        <f t="shared" si="23"/>
        <v>LU000462.006</v>
      </c>
      <c r="U107" s="29" t="str">
        <f ca="1">IFERROR(__xludf.dummyfunction("VLOOKUP(T107, IMPORTRANGE(""https://docs.google.com/spreadsheets/d/1yDAaXNsi4Mr5FtRQL4tbmSdIzhx6_m4wkOD7IG-k_eo/edit#gid=0"", ""Maths!M:N""), 2, FALSE)"),"#N/A")</f>
        <v>#N/A</v>
      </c>
      <c r="V107" s="16">
        <f ca="1">IFERROR(__xludf.dummyfunction("ArrayFormula(VLOOKUP(G107, IMPORTRANGE(""https://docs.google.com/spreadsheets/d/1p7R4vtkWt5VOBim4ltsDG9KTzSjrtKXsMtQGXPHyND0/edit#gid=795171502"", ""'Filter 30_05_2024'!A1:M2000""), {2, 3, 4, 5,6,7,8,9,10,11,12,13}, 0))"),2)</f>
        <v>2</v>
      </c>
      <c r="W107" s="16">
        <f ca="1">IFERROR(__xludf.dummyfunction("""COMPUTED_VALUE"""),6)</f>
        <v>6</v>
      </c>
      <c r="X107" s="16">
        <f ca="1">IFERROR(__xludf.dummyfunction("""COMPUTED_VALUE"""),2)</f>
        <v>2</v>
      </c>
      <c r="Y107" s="16">
        <f ca="1">IFERROR(__xludf.dummyfunction("""COMPUTED_VALUE"""),10)</f>
        <v>10</v>
      </c>
      <c r="Z107" s="16">
        <f ca="1">IFERROR(__xludf.dummyfunction("""COMPUTED_VALUE"""),6)</f>
        <v>6</v>
      </c>
      <c r="AA107" s="30">
        <f ca="1">IFERROR(__xludf.dummyfunction("""COMPUTED_VALUE"""),3)</f>
        <v>3</v>
      </c>
      <c r="AB107" s="30">
        <f ca="1">IFERROR(__xludf.dummyfunction("""COMPUTED_VALUE"""),1)</f>
        <v>1</v>
      </c>
      <c r="AC107" s="30">
        <f ca="1">IFERROR(__xludf.dummyfunction("""COMPUTED_VALUE"""),10)</f>
        <v>10</v>
      </c>
      <c r="AD107" s="16"/>
      <c r="AE107" s="30"/>
      <c r="AF107" s="30"/>
      <c r="AG107" s="30"/>
    </row>
    <row r="108" spans="1:33" ht="13.8">
      <c r="A108" s="25"/>
      <c r="B108" s="25" t="s">
        <v>29</v>
      </c>
      <c r="C108" s="25" t="s">
        <v>310</v>
      </c>
      <c r="D108" s="25">
        <v>7</v>
      </c>
      <c r="E108" s="64" t="s">
        <v>913</v>
      </c>
      <c r="F108" s="64"/>
      <c r="G108" s="71" t="s">
        <v>917</v>
      </c>
      <c r="H108" s="72" t="str">
        <f ca="1">IFERROR(__xludf.dummyfunction("IFERROR(
  VLOOKUP(G108, IMPORTRANGE(""https://docs.google.com/spreadsheets/d/14deopnvwcrKtEGCKuYXdUHJbeLDZlkiSSWWT0g7x2pM/edit#gid=849066331"", ""LU List Maths (Filter)!A:B""), 2, FALSE),
  IFERROR(
    VLOOKUP(G108, IMPORTRANGE(""https://docs.google.com"&amp;"/spreadsheets/d/14deopnvwcrKtEGCKuYXdUHJbeLDZlkiSSWWT0g7x2pM/edit#gid=849066331"", ""LU List Science (Filter)!A:B""), 2, FALSE),
    ""Not Found""
  )
)
"),"Definition of rate of interest")</f>
        <v>Definition of rate of interest</v>
      </c>
      <c r="I108" s="64"/>
      <c r="J108" s="29" t="str">
        <f t="shared" si="18"/>
        <v>LU000463.001</v>
      </c>
      <c r="K108" s="29" t="str">
        <f ca="1">IFERROR(__xludf.dummyfunction("VLOOKUP(J108, IMPORTRANGE(""https://docs.google.com/spreadsheets/d/1yDAaXNsi4Mr5FtRQL4tbmSdIzhx6_m4wkOD7IG-k_eo/edit#gid=0"", ""Maths!M:N""), 2, FALSE)"),"State the definition of the ""rate of interest"".")</f>
        <v>State the definition of the "rate of interest".</v>
      </c>
      <c r="L108" s="29" t="str">
        <f t="shared" si="19"/>
        <v>LU000463.002</v>
      </c>
      <c r="M108" s="29" t="str">
        <f ca="1">IFERROR(__xludf.dummyfunction("VLOOKUP(L108, IMPORTRANGE(""https://docs.google.com/spreadsheets/d/1yDAaXNsi4Mr5FtRQL4tbmSdIzhx6_m4wkOD7IG-k_eo/edit#gid=0"", ""Maths!M:N""), 2, FALSE)"),"Explain the concept of the ""rate of interest"" and its role in determining the interest earned or paid.")</f>
        <v>Explain the concept of the "rate of interest" and its role in determining the interest earned or paid.</v>
      </c>
      <c r="N108" s="29" t="str">
        <f t="shared" si="20"/>
        <v>LU000463.003</v>
      </c>
      <c r="O108" s="29" t="str">
        <f ca="1">IFERROR(__xludf.dummyfunction("VLOOKUP(N108, IMPORTRANGE(""https://docs.google.com/spreadsheets/d/1yDAaXNsi4Mr5FtRQL4tbmSdIzhx6_m4wkOD7IG-k_eo/edit#gid=0"", ""Maths!M:N""), 2, FALSE)"),"Calculate the rate of interest given principal, amount, and the time period using the simple interest formula.")</f>
        <v>Calculate the rate of interest given principal, amount, and the time period using the simple interest formula.</v>
      </c>
      <c r="P108" s="29" t="str">
        <f t="shared" si="21"/>
        <v>LU000463.004</v>
      </c>
      <c r="Q108" s="29" t="str">
        <f ca="1">IFERROR(__xludf.dummyfunction("VLOOKUP(P108, IMPORTRANGE(""https://docs.google.com/spreadsheets/d/1yDAaXNsi4Mr5FtRQL4tbmSdIzhx6_m4wkOD7IG-k_eo/edit#gid=0"", ""Maths!M:N""), 2, FALSE)"),"Analyze how variations in the rate of interest impact the resulting interest earned or paid in simple interest calculations.")</f>
        <v>Analyze how variations in the rate of interest impact the resulting interest earned or paid in simple interest calculations.</v>
      </c>
      <c r="R108" s="29" t="str">
        <f t="shared" si="22"/>
        <v>LU000463.005</v>
      </c>
      <c r="S108" s="29" t="str">
        <f ca="1">IFERROR(__xludf.dummyfunction("VLOOKUP(R108, IMPORTRANGE(""https://docs.google.com/spreadsheets/d/1yDAaXNsi4Mr5FtRQL4tbmSdIzhx6_m4wkOD7IG-k_eo/edit#gid=0"", ""Maths!M:N""), 2, FALSE)"),"Compare two investment options, each with distinct interest rates, and provide reasoning for which option generates higher interest earnings.")</f>
        <v>Compare two investment options, each with distinct interest rates, and provide reasoning for which option generates higher interest earnings.</v>
      </c>
      <c r="T108" s="29" t="str">
        <f t="shared" si="23"/>
        <v>LU000463.006</v>
      </c>
      <c r="U108" s="29" t="str">
        <f ca="1">IFERROR(__xludf.dummyfunction("VLOOKUP(T108, IMPORTRANGE(""https://docs.google.com/spreadsheets/d/1yDAaXNsi4Mr5FtRQL4tbmSdIzhx6_m4wkOD7IG-k_eo/edit#gid=0"", ""Maths!M:N""), 2, FALSE)"),"#N/A")</f>
        <v>#N/A</v>
      </c>
      <c r="V108" s="16">
        <f ca="1">IFERROR(__xludf.dummyfunction("ArrayFormula(VLOOKUP(G108, IMPORTRANGE(""https://docs.google.com/spreadsheets/d/1p7R4vtkWt5VOBim4ltsDG9KTzSjrtKXsMtQGXPHyND0/edit#gid=795171502"", ""'Filter 30_05_2024'!A1:M2000""), {2, 3, 4, 5,6,7,8,9,10,11,12,13}, 0))"),4)</f>
        <v>4</v>
      </c>
      <c r="W108" s="16">
        <f ca="1">IFERROR(__xludf.dummyfunction("""COMPUTED_VALUE"""),5)</f>
        <v>5</v>
      </c>
      <c r="X108" s="16">
        <f ca="1">IFERROR(__xludf.dummyfunction("""COMPUTED_VALUE"""),2)</f>
        <v>2</v>
      </c>
      <c r="Y108" s="16">
        <f ca="1">IFERROR(__xludf.dummyfunction("""COMPUTED_VALUE"""),11)</f>
        <v>11</v>
      </c>
      <c r="Z108" s="16">
        <f ca="1">IFERROR(__xludf.dummyfunction("""COMPUTED_VALUE"""),4)</f>
        <v>4</v>
      </c>
      <c r="AA108" s="30">
        <f ca="1">IFERROR(__xludf.dummyfunction("""COMPUTED_VALUE"""),4)</f>
        <v>4</v>
      </c>
      <c r="AB108" s="30">
        <f ca="1">IFERROR(__xludf.dummyfunction("""COMPUTED_VALUE"""),1)</f>
        <v>1</v>
      </c>
      <c r="AC108" s="30">
        <f ca="1">IFERROR(__xludf.dummyfunction("""COMPUTED_VALUE"""),9)</f>
        <v>9</v>
      </c>
      <c r="AD108" s="16"/>
      <c r="AE108" s="30"/>
      <c r="AF108" s="30"/>
      <c r="AG108" s="30"/>
    </row>
    <row r="109" spans="1:33" ht="15.6">
      <c r="A109" s="25"/>
      <c r="B109" s="25" t="s">
        <v>29</v>
      </c>
      <c r="C109" s="25" t="s">
        <v>310</v>
      </c>
      <c r="D109" s="25">
        <v>7</v>
      </c>
      <c r="E109" s="87" t="s">
        <v>918</v>
      </c>
      <c r="F109" s="87" t="s">
        <v>565</v>
      </c>
      <c r="G109" s="79" t="s">
        <v>919</v>
      </c>
      <c r="H109" s="72" t="str">
        <f ca="1">IFERROR(__xludf.dummyfunction("IFERROR(
  VLOOKUP(G109, IMPORTRANGE(""https://docs.google.com/spreadsheets/d/14deopnvwcrKtEGCKuYXdUHJbeLDZlkiSSWWT0g7x2pM/edit#gid=849066331"", ""LU List Maths (Filter)!A:B""), 2, FALSE),
  IFERROR(
    VLOOKUP(G109, IMPORTRANGE(""https://docs.google.com"&amp;"/spreadsheets/d/14deopnvwcrKtEGCKuYXdUHJbeLDZlkiSSWWT0g7x2pM/edit#gid=849066331"", ""LU List Science (Filter)!A:B""), 2, FALSE),
    ""Not Found""
  )
)
"),"Conversion of speed units")</f>
        <v>Conversion of speed units</v>
      </c>
      <c r="I109" s="64"/>
      <c r="J109" s="29" t="str">
        <f t="shared" si="18"/>
        <v>LU001403.001</v>
      </c>
      <c r="K109" s="29" t="str">
        <f ca="1">IFERROR(__xludf.dummyfunction("VLOOKUP(J109, IMPORTRANGE(""https://docs.google.com/spreadsheets/d/1yDAaXNsi4Mr5FtRQL4tbmSdIzhx6_m4wkOD7IG-k_eo/edit#gid=0"", ""Maths!M:N""), 2, FALSE)"),"(LU001403.001); Default - Remember")</f>
        <v>(LU001403.001); Default - Remember</v>
      </c>
      <c r="L109" s="29" t="str">
        <f t="shared" si="19"/>
        <v>LU001403.002</v>
      </c>
      <c r="M109" s="29" t="str">
        <f ca="1">IFERROR(__xludf.dummyfunction("VLOOKUP(L109, IMPORTRANGE(""https://docs.google.com/spreadsheets/d/1yDAaXNsi4Mr5FtRQL4tbmSdIzhx6_m4wkOD7IG-k_eo/edit#gid=0"", ""Maths!M:N""), 2, FALSE)"),"(LU001403.002); Default - Understand")</f>
        <v>(LU001403.002); Default - Understand</v>
      </c>
      <c r="N109" s="29" t="str">
        <f t="shared" si="20"/>
        <v>LU001403.003</v>
      </c>
      <c r="O109" s="29" t="str">
        <f ca="1">IFERROR(__xludf.dummyfunction("VLOOKUP(N109, IMPORTRANGE(""https://docs.google.com/spreadsheets/d/1yDAaXNsi4Mr5FtRQL4tbmSdIzhx6_m4wkOD7IG-k_eo/edit#gid=0"", ""Maths!M:N""), 2, FALSE)"),"(LU001403.003); Default - Apply")</f>
        <v>(LU001403.003); Default - Apply</v>
      </c>
      <c r="P109" s="29" t="str">
        <f t="shared" si="21"/>
        <v>LU001403.004</v>
      </c>
      <c r="Q109" s="29" t="str">
        <f ca="1">IFERROR(__xludf.dummyfunction("VLOOKUP(P109, IMPORTRANGE(""https://docs.google.com/spreadsheets/d/1yDAaXNsi4Mr5FtRQL4tbmSdIzhx6_m4wkOD7IG-k_eo/edit#gid=0"", ""Maths!M:N""), 2, FALSE)"),"(LU001403.004); Default - Analyse")</f>
        <v>(LU001403.004); Default - Analyse</v>
      </c>
      <c r="R109" s="29" t="str">
        <f t="shared" si="22"/>
        <v>LU001403.005</v>
      </c>
      <c r="S109" s="29" t="str">
        <f ca="1">IFERROR(__xludf.dummyfunction("VLOOKUP(R109, IMPORTRANGE(""https://docs.google.com/spreadsheets/d/1yDAaXNsi4Mr5FtRQL4tbmSdIzhx6_m4wkOD7IG-k_eo/edit#gid=0"", ""Maths!M:N""), 2, FALSE)"),"(LU001403.005); Default - Evaluate")</f>
        <v>(LU001403.005); Default - Evaluate</v>
      </c>
      <c r="T109" s="29" t="str">
        <f t="shared" si="23"/>
        <v>LU001403.006</v>
      </c>
      <c r="U109" s="29" t="str">
        <f ca="1">IFERROR(__xludf.dummyfunction("VLOOKUP(T109, IMPORTRANGE(""https://docs.google.com/spreadsheets/d/1yDAaXNsi4Mr5FtRQL4tbmSdIzhx6_m4wkOD7IG-k_eo/edit#gid=0"", ""Maths!M:N""), 2, FALSE)"),"(LU001403.006); Default - Create")</f>
        <v>(LU001403.006); Default - Create</v>
      </c>
      <c r="V109" s="16" t="str">
        <f ca="1">IFERROR(__xludf.dummyfunction("ArrayFormula(VLOOKUP(G109, IMPORTRANGE(""https://docs.google.com/spreadsheets/d/1p7R4vtkWt5VOBim4ltsDG9KTzSjrtKXsMtQGXPHyND0/edit#gid=795171502"", ""'Filter 30_05_2024'!A1:M2000""), {2, 3, 4, 5,6,7,8,9,10,11,12,13}, 0))"),"#N/A")</f>
        <v>#N/A</v>
      </c>
      <c r="W109" s="16" t="str">
        <f ca="1">IFERROR(__xludf.dummyfunction("""COMPUTED_VALUE"""),"#N/A")</f>
        <v>#N/A</v>
      </c>
      <c r="X109" s="16" t="str">
        <f ca="1">IFERROR(__xludf.dummyfunction("""COMPUTED_VALUE"""),"#N/A")</f>
        <v>#N/A</v>
      </c>
      <c r="Y109" s="16" t="str">
        <f ca="1">IFERROR(__xludf.dummyfunction("""COMPUTED_VALUE"""),"#N/A")</f>
        <v>#N/A</v>
      </c>
      <c r="Z109" s="16" t="str">
        <f ca="1">IFERROR(__xludf.dummyfunction("""COMPUTED_VALUE"""),"#N/A")</f>
        <v>#N/A</v>
      </c>
      <c r="AA109" s="30" t="str">
        <f ca="1">IFERROR(__xludf.dummyfunction("""COMPUTED_VALUE"""),"#N/A")</f>
        <v>#N/A</v>
      </c>
      <c r="AB109" s="30" t="str">
        <f ca="1">IFERROR(__xludf.dummyfunction("""COMPUTED_VALUE"""),"#N/A")</f>
        <v>#N/A</v>
      </c>
      <c r="AC109" s="30" t="str">
        <f ca="1">IFERROR(__xludf.dummyfunction("""COMPUTED_VALUE"""),"#N/A")</f>
        <v>#N/A</v>
      </c>
      <c r="AD109" s="16" t="str">
        <f ca="1">IFERROR(__xludf.dummyfunction("""COMPUTED_VALUE"""),"#N/A")</f>
        <v>#N/A</v>
      </c>
      <c r="AE109" s="30" t="str">
        <f ca="1">IFERROR(__xludf.dummyfunction("""COMPUTED_VALUE"""),"#N/A")</f>
        <v>#N/A</v>
      </c>
      <c r="AF109" s="30" t="str">
        <f ca="1">IFERROR(__xludf.dummyfunction("""COMPUTED_VALUE"""),"#N/A")</f>
        <v>#N/A</v>
      </c>
      <c r="AG109" s="30" t="str">
        <f ca="1">IFERROR(__xludf.dummyfunction("""COMPUTED_VALUE"""),"#N/A")</f>
        <v>#N/A</v>
      </c>
    </row>
    <row r="110" spans="1:33" ht="15.6">
      <c r="A110" s="25"/>
      <c r="B110" s="25" t="s">
        <v>29</v>
      </c>
      <c r="C110" s="25" t="s">
        <v>310</v>
      </c>
      <c r="D110" s="25">
        <v>7</v>
      </c>
      <c r="E110" s="87" t="s">
        <v>918</v>
      </c>
      <c r="F110" s="87"/>
      <c r="G110" s="79" t="s">
        <v>920</v>
      </c>
      <c r="H110" s="72" t="str">
        <f ca="1">IFERROR(__xludf.dummyfunction("IFERROR(
  VLOOKUP(G110, IMPORTRANGE(""https://docs.google.com/spreadsheets/d/14deopnvwcrKtEGCKuYXdUHJbeLDZlkiSSWWT0g7x2pM/edit#gid=849066331"", ""LU List Maths (Filter)!A:B""), 2, FALSE),
  IFERROR(
    VLOOKUP(G110, IMPORTRANGE(""https://docs.google.com"&amp;"/spreadsheets/d/14deopnvwcrKtEGCKuYXdUHJbeLDZlkiSSWWT0g7x2pM/edit#gid=849066331"", ""LU List Science (Filter)!A:B""), 2, FALSE),
    ""Not Found""
  )
)
"),"Problems based on average speed")</f>
        <v>Problems based on average speed</v>
      </c>
      <c r="I110" s="64"/>
      <c r="J110" s="29" t="str">
        <f t="shared" si="18"/>
        <v>LU001404.001</v>
      </c>
      <c r="K110" s="29" t="str">
        <f ca="1">IFERROR(__xludf.dummyfunction("VLOOKUP(J110, IMPORTRANGE(""https://docs.google.com/spreadsheets/d/1yDAaXNsi4Mr5FtRQL4tbmSdIzhx6_m4wkOD7IG-k_eo/edit#gid=0"", ""Maths!M:N""), 2, FALSE)"),"(LU001404.001); Default - Remember")</f>
        <v>(LU001404.001); Default - Remember</v>
      </c>
      <c r="L110" s="29" t="str">
        <f t="shared" si="19"/>
        <v>LU001404.002</v>
      </c>
      <c r="M110" s="29" t="str">
        <f ca="1">IFERROR(__xludf.dummyfunction("VLOOKUP(L110, IMPORTRANGE(""https://docs.google.com/spreadsheets/d/1yDAaXNsi4Mr5FtRQL4tbmSdIzhx6_m4wkOD7IG-k_eo/edit#gid=0"", ""Maths!M:N""), 2, FALSE)"),"(LU001404.002); Default - Understand")</f>
        <v>(LU001404.002); Default - Understand</v>
      </c>
      <c r="N110" s="29" t="str">
        <f t="shared" si="20"/>
        <v>LU001404.003</v>
      </c>
      <c r="O110" s="29" t="str">
        <f ca="1">IFERROR(__xludf.dummyfunction("VLOOKUP(N110, IMPORTRANGE(""https://docs.google.com/spreadsheets/d/1yDAaXNsi4Mr5FtRQL4tbmSdIzhx6_m4wkOD7IG-k_eo/edit#gid=0"", ""Maths!M:N""), 2, FALSE)"),"(LU001404.003); Default - Apply")</f>
        <v>(LU001404.003); Default - Apply</v>
      </c>
      <c r="P110" s="29" t="str">
        <f t="shared" si="21"/>
        <v>LU001404.004</v>
      </c>
      <c r="Q110" s="29" t="str">
        <f ca="1">IFERROR(__xludf.dummyfunction("VLOOKUP(P110, IMPORTRANGE(""https://docs.google.com/spreadsheets/d/1yDAaXNsi4Mr5FtRQL4tbmSdIzhx6_m4wkOD7IG-k_eo/edit#gid=0"", ""Maths!M:N""), 2, FALSE)"),"(LU001404.004); Default - Analyse")</f>
        <v>(LU001404.004); Default - Analyse</v>
      </c>
      <c r="R110" s="29" t="str">
        <f t="shared" si="22"/>
        <v>LU001404.005</v>
      </c>
      <c r="S110" s="29" t="str">
        <f ca="1">IFERROR(__xludf.dummyfunction("VLOOKUP(R110, IMPORTRANGE(""https://docs.google.com/spreadsheets/d/1yDAaXNsi4Mr5FtRQL4tbmSdIzhx6_m4wkOD7IG-k_eo/edit#gid=0"", ""Maths!M:N""), 2, FALSE)"),"(LU001404.005); Default - Evaluate")</f>
        <v>(LU001404.005); Default - Evaluate</v>
      </c>
      <c r="T110" s="29" t="str">
        <f t="shared" si="23"/>
        <v>LU001404.006</v>
      </c>
      <c r="U110" s="29" t="str">
        <f ca="1">IFERROR(__xludf.dummyfunction("VLOOKUP(T110, IMPORTRANGE(""https://docs.google.com/spreadsheets/d/1yDAaXNsi4Mr5FtRQL4tbmSdIzhx6_m4wkOD7IG-k_eo/edit#gid=0"", ""Maths!M:N""), 2, FALSE)"),"(LU001404.006); Default - Create")</f>
        <v>(LU001404.006); Default - Create</v>
      </c>
      <c r="V110" s="16" t="str">
        <f ca="1">IFERROR(__xludf.dummyfunction("ArrayFormula(VLOOKUP(G110, IMPORTRANGE(""https://docs.google.com/spreadsheets/d/1p7R4vtkWt5VOBim4ltsDG9KTzSjrtKXsMtQGXPHyND0/edit#gid=795171502"", ""'Filter 30_05_2024'!A1:M2000""), {2, 3, 4, 5,6,7,8,9,10,11,12,13}, 0))"),"#N/A")</f>
        <v>#N/A</v>
      </c>
      <c r="W110" s="16" t="str">
        <f ca="1">IFERROR(__xludf.dummyfunction("""COMPUTED_VALUE"""),"#N/A")</f>
        <v>#N/A</v>
      </c>
      <c r="X110" s="16" t="str">
        <f ca="1">IFERROR(__xludf.dummyfunction("""COMPUTED_VALUE"""),"#N/A")</f>
        <v>#N/A</v>
      </c>
      <c r="Y110" s="16" t="str">
        <f ca="1">IFERROR(__xludf.dummyfunction("""COMPUTED_VALUE"""),"#N/A")</f>
        <v>#N/A</v>
      </c>
      <c r="Z110" s="16" t="str">
        <f ca="1">IFERROR(__xludf.dummyfunction("""COMPUTED_VALUE"""),"#N/A")</f>
        <v>#N/A</v>
      </c>
      <c r="AA110" s="30" t="str">
        <f ca="1">IFERROR(__xludf.dummyfunction("""COMPUTED_VALUE"""),"#N/A")</f>
        <v>#N/A</v>
      </c>
      <c r="AB110" s="30" t="str">
        <f ca="1">IFERROR(__xludf.dummyfunction("""COMPUTED_VALUE"""),"#N/A")</f>
        <v>#N/A</v>
      </c>
      <c r="AC110" s="30" t="str">
        <f ca="1">IFERROR(__xludf.dummyfunction("""COMPUTED_VALUE"""),"#N/A")</f>
        <v>#N/A</v>
      </c>
      <c r="AD110" s="16" t="str">
        <f ca="1">IFERROR(__xludf.dummyfunction("""COMPUTED_VALUE"""),"#N/A")</f>
        <v>#N/A</v>
      </c>
      <c r="AE110" s="30" t="str">
        <f ca="1">IFERROR(__xludf.dummyfunction("""COMPUTED_VALUE"""),"#N/A")</f>
        <v>#N/A</v>
      </c>
      <c r="AF110" s="30" t="str">
        <f ca="1">IFERROR(__xludf.dummyfunction("""COMPUTED_VALUE"""),"#N/A")</f>
        <v>#N/A</v>
      </c>
      <c r="AG110" s="30" t="str">
        <f ca="1">IFERROR(__xludf.dummyfunction("""COMPUTED_VALUE"""),"#N/A")</f>
        <v>#N/A</v>
      </c>
    </row>
    <row r="111" spans="1:33" ht="15.6">
      <c r="A111" s="25"/>
      <c r="B111" s="25" t="s">
        <v>29</v>
      </c>
      <c r="C111" s="25" t="s">
        <v>310</v>
      </c>
      <c r="D111" s="25">
        <v>7</v>
      </c>
      <c r="E111" s="87" t="s">
        <v>918</v>
      </c>
      <c r="F111" s="64"/>
      <c r="G111" s="79" t="s">
        <v>921</v>
      </c>
      <c r="H111" s="72" t="str">
        <f ca="1">IFERROR(__xludf.dummyfunction("IFERROR(
  VLOOKUP(G111, IMPORTRANGE(""https://docs.google.com/spreadsheets/d/14deopnvwcrKtEGCKuYXdUHJbeLDZlkiSSWWT0g7x2pM/edit#gid=849066331"", ""LU List Maths (Filter)!A:B""), 2, FALSE),
  IFERROR(
    VLOOKUP(G111, IMPORTRANGE(""https://docs.google.com"&amp;"/spreadsheets/d/14deopnvwcrKtEGCKuYXdUHJbeLDZlkiSSWWT0g7x2pM/edit#gid=849066331"", ""LU List Science (Filter)!A:B""), 2, FALSE),
    ""Not Found""
  )
)
"),"Problems based on relative speed")</f>
        <v>Problems based on relative speed</v>
      </c>
      <c r="I111" s="64"/>
      <c r="J111" s="29" t="str">
        <f t="shared" si="18"/>
        <v>LU001405.001</v>
      </c>
      <c r="K111" s="29" t="str">
        <f ca="1">IFERROR(__xludf.dummyfunction("VLOOKUP(J111, IMPORTRANGE(""https://docs.google.com/spreadsheets/d/1yDAaXNsi4Mr5FtRQL4tbmSdIzhx6_m4wkOD7IG-k_eo/edit#gid=0"", ""Maths!M:N""), 2, FALSE)"),"(LU001405.001); Default - Remember")</f>
        <v>(LU001405.001); Default - Remember</v>
      </c>
      <c r="L111" s="29" t="str">
        <f t="shared" si="19"/>
        <v>LU001405.002</v>
      </c>
      <c r="M111" s="29" t="str">
        <f ca="1">IFERROR(__xludf.dummyfunction("VLOOKUP(L111, IMPORTRANGE(""https://docs.google.com/spreadsheets/d/1yDAaXNsi4Mr5FtRQL4tbmSdIzhx6_m4wkOD7IG-k_eo/edit#gid=0"", ""Maths!M:N""), 2, FALSE)"),"(LU001405.002); Default - Understand")</f>
        <v>(LU001405.002); Default - Understand</v>
      </c>
      <c r="N111" s="29" t="str">
        <f t="shared" si="20"/>
        <v>LU001405.003</v>
      </c>
      <c r="O111" s="29" t="str">
        <f ca="1">IFERROR(__xludf.dummyfunction("VLOOKUP(N111, IMPORTRANGE(""https://docs.google.com/spreadsheets/d/1yDAaXNsi4Mr5FtRQL4tbmSdIzhx6_m4wkOD7IG-k_eo/edit#gid=0"", ""Maths!M:N""), 2, FALSE)"),"(LU001405.003); Default - Apply")</f>
        <v>(LU001405.003); Default - Apply</v>
      </c>
      <c r="P111" s="29" t="str">
        <f t="shared" si="21"/>
        <v>LU001405.004</v>
      </c>
      <c r="Q111" s="29" t="str">
        <f ca="1">IFERROR(__xludf.dummyfunction("VLOOKUP(P111, IMPORTRANGE(""https://docs.google.com/spreadsheets/d/1yDAaXNsi4Mr5FtRQL4tbmSdIzhx6_m4wkOD7IG-k_eo/edit#gid=0"", ""Maths!M:N""), 2, FALSE)"),"(LU001405.004); Default - Analyse")</f>
        <v>(LU001405.004); Default - Analyse</v>
      </c>
      <c r="R111" s="29" t="str">
        <f t="shared" si="22"/>
        <v>LU001405.005</v>
      </c>
      <c r="S111" s="29" t="str">
        <f ca="1">IFERROR(__xludf.dummyfunction("VLOOKUP(R111, IMPORTRANGE(""https://docs.google.com/spreadsheets/d/1yDAaXNsi4Mr5FtRQL4tbmSdIzhx6_m4wkOD7IG-k_eo/edit#gid=0"", ""Maths!M:N""), 2, FALSE)"),"(LU001405.005); Default - Evaluate")</f>
        <v>(LU001405.005); Default - Evaluate</v>
      </c>
      <c r="T111" s="29" t="str">
        <f t="shared" si="23"/>
        <v>LU001405.006</v>
      </c>
      <c r="U111" s="29" t="str">
        <f ca="1">IFERROR(__xludf.dummyfunction("VLOOKUP(T111, IMPORTRANGE(""https://docs.google.com/spreadsheets/d/1yDAaXNsi4Mr5FtRQL4tbmSdIzhx6_m4wkOD7IG-k_eo/edit#gid=0"", ""Maths!M:N""), 2, FALSE)"),"(LU001405.006); Default - Create")</f>
        <v>(LU001405.006); Default - Create</v>
      </c>
      <c r="V111" s="16" t="str">
        <f ca="1">IFERROR(__xludf.dummyfunction("ArrayFormula(VLOOKUP(G111, IMPORTRANGE(""https://docs.google.com/spreadsheets/d/1p7R4vtkWt5VOBim4ltsDG9KTzSjrtKXsMtQGXPHyND0/edit#gid=795171502"", ""'Filter 30_05_2024'!A1:M2000""), {2, 3, 4, 5,6,7,8,9,10,11,12,13}, 0))"),"#N/A")</f>
        <v>#N/A</v>
      </c>
      <c r="W111" s="16" t="str">
        <f ca="1">IFERROR(__xludf.dummyfunction("""COMPUTED_VALUE"""),"#N/A")</f>
        <v>#N/A</v>
      </c>
      <c r="X111" s="16" t="str">
        <f ca="1">IFERROR(__xludf.dummyfunction("""COMPUTED_VALUE"""),"#N/A")</f>
        <v>#N/A</v>
      </c>
      <c r="Y111" s="16" t="str">
        <f ca="1">IFERROR(__xludf.dummyfunction("""COMPUTED_VALUE"""),"#N/A")</f>
        <v>#N/A</v>
      </c>
      <c r="Z111" s="16" t="str">
        <f ca="1">IFERROR(__xludf.dummyfunction("""COMPUTED_VALUE"""),"#N/A")</f>
        <v>#N/A</v>
      </c>
      <c r="AA111" s="30" t="str">
        <f ca="1">IFERROR(__xludf.dummyfunction("""COMPUTED_VALUE"""),"#N/A")</f>
        <v>#N/A</v>
      </c>
      <c r="AB111" s="30" t="str">
        <f ca="1">IFERROR(__xludf.dummyfunction("""COMPUTED_VALUE"""),"#N/A")</f>
        <v>#N/A</v>
      </c>
      <c r="AC111" s="30" t="str">
        <f ca="1">IFERROR(__xludf.dummyfunction("""COMPUTED_VALUE"""),"#N/A")</f>
        <v>#N/A</v>
      </c>
      <c r="AD111" s="16" t="str">
        <f ca="1">IFERROR(__xludf.dummyfunction("""COMPUTED_VALUE"""),"#N/A")</f>
        <v>#N/A</v>
      </c>
      <c r="AE111" s="30" t="str">
        <f ca="1">IFERROR(__xludf.dummyfunction("""COMPUTED_VALUE"""),"#N/A")</f>
        <v>#N/A</v>
      </c>
      <c r="AF111" s="30" t="str">
        <f ca="1">IFERROR(__xludf.dummyfunction("""COMPUTED_VALUE"""),"#N/A")</f>
        <v>#N/A</v>
      </c>
      <c r="AG111" s="30" t="str">
        <f ca="1">IFERROR(__xludf.dummyfunction("""COMPUTED_VALUE"""),"#N/A")</f>
        <v>#N/A</v>
      </c>
    </row>
    <row r="112" spans="1:33" ht="13.8">
      <c r="A112" s="25"/>
      <c r="B112" s="25" t="s">
        <v>29</v>
      </c>
      <c r="C112" s="25" t="s">
        <v>310</v>
      </c>
      <c r="D112" s="25">
        <v>7</v>
      </c>
      <c r="E112" s="64" t="s">
        <v>922</v>
      </c>
      <c r="F112" s="89" t="s">
        <v>923</v>
      </c>
      <c r="G112" s="47" t="s">
        <v>924</v>
      </c>
      <c r="H112" s="72" t="str">
        <f ca="1">IFERROR(__xludf.dummyfunction("IFERROR(
  VLOOKUP(G112, IMPORTRANGE(""https://docs.google.com/spreadsheets/d/14deopnvwcrKtEGCKuYXdUHJbeLDZlkiSSWWT0g7x2pM/edit#gid=849066331"", ""LU List Maths (Filter)!A:B""), 2, FALSE),
  IFERROR(
    VLOOKUP(G112, IMPORTRANGE(""https://docs.google.com"&amp;"/spreadsheets/d/14deopnvwcrKtEGCKuYXdUHJbeLDZlkiSSWWT0g7x2pM/edit#gid=849066331"", ""LU List Science (Filter)!A:B""), 2, FALSE),
    ""Not Found""
  )
)
"),"Addition of like terms")</f>
        <v>Addition of like terms</v>
      </c>
      <c r="I112" s="64"/>
      <c r="J112" s="29" t="str">
        <f t="shared" si="18"/>
        <v>LU000511.001</v>
      </c>
      <c r="K112" s="29" t="str">
        <f ca="1">IFERROR(__xludf.dummyfunction("VLOOKUP(J112, IMPORTRANGE(""https://docs.google.com/spreadsheets/d/1yDAaXNsi4Mr5FtRQL4tbmSdIzhx6_m4wkOD7IG-k_eo/edit#gid=0"", ""Maths!M:N""), 2, FALSE)"),"Recall the rules for adding like terms.")</f>
        <v>Recall the rules for adding like terms.</v>
      </c>
      <c r="L112" s="29" t="str">
        <f t="shared" si="19"/>
        <v>LU000511.002</v>
      </c>
      <c r="M112" s="29" t="str">
        <f ca="1">IFERROR(__xludf.dummyfunction("VLOOKUP(L112, IMPORTRANGE(""https://docs.google.com/spreadsheets/d/1yDAaXNsi4Mr5FtRQL4tbmSdIzhx6_m4wkOD7IG-k_eo/edit#gid=0"", ""Maths!M:N""), 2, FALSE)"),"Explain the rationale behind adding like terms, demonstrating comprehension of the rules.")</f>
        <v>Explain the rationale behind adding like terms, demonstrating comprehension of the rules.</v>
      </c>
      <c r="N112" s="29" t="str">
        <f t="shared" si="20"/>
        <v>LU000511.003</v>
      </c>
      <c r="O112" s="29" t="str">
        <f ca="1">IFERROR(__xludf.dummyfunction("VLOOKUP(N112, IMPORTRANGE(""https://docs.google.com/spreadsheets/d/1yDAaXNsi4Mr5FtRQL4tbmSdIzhx6_m4wkOD7IG-k_eo/edit#gid=0"", ""Maths!M:N""), 2, FALSE)"),"Apply the rules for adding like terms to find the sum of the like terms.")</f>
        <v>Apply the rules for adding like terms to find the sum of the like terms.</v>
      </c>
      <c r="P112" s="29" t="str">
        <f t="shared" si="21"/>
        <v>LU000511.004</v>
      </c>
      <c r="Q112" s="29" t="str">
        <f ca="1">IFERROR(__xludf.dummyfunction("VLOOKUP(P112, IMPORTRANGE(""https://docs.google.com/spreadsheets/d/1yDAaXNsi4Mr5FtRQL4tbmSdIzhx6_m4wkOD7IG-k_eo/edit#gid=0"", ""Maths!M:N""), 2, FALSE)"),"Analyse the steps to find the sum of the like terms.")</f>
        <v>Analyse the steps to find the sum of the like terms.</v>
      </c>
      <c r="R112" s="29" t="str">
        <f t="shared" si="22"/>
        <v>LU000511.005</v>
      </c>
      <c r="S112" s="29" t="str">
        <f ca="1">IFERROR(__xludf.dummyfunction("VLOOKUP(R112, IMPORTRANGE(""https://docs.google.com/spreadsheets/d/1yDAaXNsi4Mr5FtRQL4tbmSdIzhx6_m4wkOD7IG-k_eo/edit#gid=0"", ""Maths!M:N""), 2, FALSE)"),"Evaluate the correctness of solutions when adding like terms, and provide explanations for any discrepancies.")</f>
        <v>Evaluate the correctness of solutions when adding like terms, and provide explanations for any discrepancies.</v>
      </c>
      <c r="T112" s="29" t="str">
        <f t="shared" si="23"/>
        <v>LU000511.006</v>
      </c>
      <c r="U112" s="29" t="str">
        <f ca="1">IFERROR(__xludf.dummyfunction("VLOOKUP(T112, IMPORTRANGE(""https://docs.google.com/spreadsheets/d/1yDAaXNsi4Mr5FtRQL4tbmSdIzhx6_m4wkOD7IG-k_eo/edit#gid=0"", ""Maths!M:N""), 2, FALSE)"),"Create algebraic expressions involving like terms, and perform addition to simplify them.")</f>
        <v>Create algebraic expressions involving like terms, and perform addition to simplify them.</v>
      </c>
      <c r="V112" s="16">
        <f ca="1">IFERROR(__xludf.dummyfunction("ArrayFormula(VLOOKUP(G112, IMPORTRANGE(""https://docs.google.com/spreadsheets/d/1p7R4vtkWt5VOBim4ltsDG9KTzSjrtKXsMtQGXPHyND0/edit#gid=795171502"", ""'Filter 30_05_2024'!A1:M2000""), {2, 3, 4, 5,6,7,8,9,10,11,12,13}, 0))"),4)</f>
        <v>4</v>
      </c>
      <c r="W112" s="16">
        <f ca="1">IFERROR(__xludf.dummyfunction("""COMPUTED_VALUE"""),6)</f>
        <v>6</v>
      </c>
      <c r="X112" s="16">
        <f ca="1">IFERROR(__xludf.dummyfunction("""COMPUTED_VALUE"""),2)</f>
        <v>2</v>
      </c>
      <c r="Y112" s="16">
        <f ca="1">IFERROR(__xludf.dummyfunction("""COMPUTED_VALUE"""),12)</f>
        <v>12</v>
      </c>
      <c r="Z112" s="16">
        <f ca="1">IFERROR(__xludf.dummyfunction("""COMPUTED_VALUE"""),4)</f>
        <v>4</v>
      </c>
      <c r="AA112" s="30">
        <f ca="1">IFERROR(__xludf.dummyfunction("""COMPUTED_VALUE"""),3)</f>
        <v>3</v>
      </c>
      <c r="AB112" s="30">
        <f ca="1">IFERROR(__xludf.dummyfunction("""COMPUTED_VALUE"""),1)</f>
        <v>1</v>
      </c>
      <c r="AC112" s="30">
        <f ca="1">IFERROR(__xludf.dummyfunction("""COMPUTED_VALUE"""),8)</f>
        <v>8</v>
      </c>
      <c r="AD112" s="16"/>
      <c r="AE112" s="30"/>
      <c r="AF112" s="30"/>
      <c r="AG112" s="30"/>
    </row>
    <row r="113" spans="1:33" ht="13.8">
      <c r="A113" s="25"/>
      <c r="B113" s="25" t="s">
        <v>29</v>
      </c>
      <c r="C113" s="25" t="s">
        <v>310</v>
      </c>
      <c r="D113" s="25">
        <v>7</v>
      </c>
      <c r="E113" s="64" t="s">
        <v>922</v>
      </c>
      <c r="F113" s="89"/>
      <c r="G113" s="47" t="s">
        <v>925</v>
      </c>
      <c r="H113" s="72" t="str">
        <f ca="1">IFERROR(__xludf.dummyfunction("IFERROR(
  VLOOKUP(G113, IMPORTRANGE(""https://docs.google.com/spreadsheets/d/14deopnvwcrKtEGCKuYXdUHJbeLDZlkiSSWWT0g7x2pM/edit#gid=849066331"", ""LU List Maths (Filter)!A:B""), 2, FALSE),
  IFERROR(
    VLOOKUP(G113, IMPORTRANGE(""https://docs.google.com"&amp;"/spreadsheets/d/14deopnvwcrKtEGCKuYXdUHJbeLDZlkiSSWWT0g7x2pM/edit#gid=849066331"", ""LU List Science (Filter)!A:B""), 2, FALSE),
    ""Not Found""
  )
)
"),"Addition of algebraic expressions")</f>
        <v>Addition of algebraic expressions</v>
      </c>
      <c r="I113" s="64"/>
      <c r="J113" s="29" t="str">
        <f t="shared" si="18"/>
        <v>LU000512.001</v>
      </c>
      <c r="K113" s="29" t="str">
        <f ca="1">IFERROR(__xludf.dummyfunction("VLOOKUP(J113, IMPORTRANGE(""https://docs.google.com/spreadsheets/d/1yDAaXNsi4Mr5FtRQL4tbmSdIzhx6_m4wkOD7IG-k_eo/edit#gid=0"", ""Maths!M:N""), 2, FALSE)"),"Recall the steps to determine the sum of algebraic expressions.")</f>
        <v>Recall the steps to determine the sum of algebraic expressions.</v>
      </c>
      <c r="L113" s="29" t="str">
        <f t="shared" si="19"/>
        <v>LU000512.002</v>
      </c>
      <c r="M113" s="29" t="str">
        <f ca="1">IFERROR(__xludf.dummyfunction("VLOOKUP(L113, IMPORTRANGE(""https://docs.google.com/spreadsheets/d/1yDAaXNsi4Mr5FtRQL4tbmSdIzhx6_m4wkOD7IG-k_eo/edit#gid=0"", ""Maths!M:N""), 2, FALSE)"),"Explain the process of simplifying algebraic expressions by combining like terms.")</f>
        <v>Explain the process of simplifying algebraic expressions by combining like terms.</v>
      </c>
      <c r="N113" s="29" t="str">
        <f t="shared" si="20"/>
        <v>LU000512.003</v>
      </c>
      <c r="O113" s="29" t="str">
        <f ca="1">IFERROR(__xludf.dummyfunction("VLOOKUP(N113, IMPORTRANGE(""https://docs.google.com/spreadsheets/d/1yDAaXNsi4Mr5FtRQL4tbmSdIzhx6_m4wkOD7IG-k_eo/edit#gid=0"", ""Maths!M:N""), 2, FALSE)"),"Apply addition of algebraic expressions to simplify expressions.")</f>
        <v>Apply addition of algebraic expressions to simplify expressions.</v>
      </c>
      <c r="P113" s="29" t="str">
        <f t="shared" si="21"/>
        <v>LU000512.004</v>
      </c>
      <c r="Q113" s="29" t="str">
        <f ca="1">IFERROR(__xludf.dummyfunction("VLOOKUP(P113, IMPORTRANGE(""https://docs.google.com/spreadsheets/d/1yDAaXNsi4Mr5FtRQL4tbmSdIzhx6_m4wkOD7IG-k_eo/edit#gid=0"", ""Maths!M:N""), 2, FALSE)"),"Compare and contrast the methods of vertically adding expressions vs. horizontally adding expressions.")</f>
        <v>Compare and contrast the methods of vertically adding expressions vs. horizontally adding expressions.</v>
      </c>
      <c r="R113" s="29" t="str">
        <f t="shared" si="22"/>
        <v>LU000512.005</v>
      </c>
      <c r="S113" s="29" t="str">
        <f ca="1">IFERROR(__xludf.dummyfunction("VLOOKUP(R113, IMPORTRANGE(""https://docs.google.com/spreadsheets/d/1yDAaXNsi4Mr5FtRQL4tbmSdIzhx6_m4wkOD7IG-k_eo/edit#gid=0"", ""Maths!M:N""), 2, FALSE)"),"Assess the correctness of a student's solution to an algebraic addition problem.")</f>
        <v>Assess the correctness of a student's solution to an algebraic addition problem.</v>
      </c>
      <c r="T113" s="29" t="str">
        <f t="shared" si="23"/>
        <v>LU000512.006</v>
      </c>
      <c r="U113" s="29" t="str">
        <f ca="1">IFERROR(__xludf.dummyfunction("VLOOKUP(T113, IMPORTRANGE(""https://docs.google.com/spreadsheets/d/1yDAaXNsi4Mr5FtRQL4tbmSdIzhx6_m4wkOD7IG-k_eo/edit#gid=0"", ""Maths!M:N""), 2, FALSE)"),"Devise a set of algebraic expressions that sum up to a specific value.")</f>
        <v>Devise a set of algebraic expressions that sum up to a specific value.</v>
      </c>
      <c r="V113" s="16">
        <f ca="1">IFERROR(__xludf.dummyfunction("ArrayFormula(VLOOKUP(G113, IMPORTRANGE(""https://docs.google.com/spreadsheets/d/1p7R4vtkWt5VOBim4ltsDG9KTzSjrtKXsMtQGXPHyND0/edit#gid=795171502"", ""'Filter 30_05_2024'!A1:M2000""), {2, 3, 4, 5,6,7,8,9,10,11,12,13}, 0))"),4)</f>
        <v>4</v>
      </c>
      <c r="W113" s="16">
        <f ca="1">IFERROR(__xludf.dummyfunction("""COMPUTED_VALUE"""),6)</f>
        <v>6</v>
      </c>
      <c r="X113" s="16">
        <f ca="1">IFERROR(__xludf.dummyfunction("""COMPUTED_VALUE"""),2)</f>
        <v>2</v>
      </c>
      <c r="Y113" s="16">
        <f ca="1">IFERROR(__xludf.dummyfunction("""COMPUTED_VALUE"""),12)</f>
        <v>12</v>
      </c>
      <c r="Z113" s="16">
        <f ca="1">IFERROR(__xludf.dummyfunction("""COMPUTED_VALUE"""),8)</f>
        <v>8</v>
      </c>
      <c r="AA113" s="30">
        <f ca="1">IFERROR(__xludf.dummyfunction("""COMPUTED_VALUE"""),3)</f>
        <v>3</v>
      </c>
      <c r="AB113" s="30">
        <f ca="1">IFERROR(__xludf.dummyfunction("""COMPUTED_VALUE"""),1)</f>
        <v>1</v>
      </c>
      <c r="AC113" s="30">
        <f ca="1">IFERROR(__xludf.dummyfunction("""COMPUTED_VALUE"""),12)</f>
        <v>12</v>
      </c>
      <c r="AD113" s="16"/>
      <c r="AE113" s="30"/>
      <c r="AF113" s="30"/>
      <c r="AG113" s="30"/>
    </row>
    <row r="114" spans="1:33" ht="26.4">
      <c r="A114" s="25"/>
      <c r="B114" s="25" t="s">
        <v>29</v>
      </c>
      <c r="C114" s="25" t="s">
        <v>310</v>
      </c>
      <c r="D114" s="25">
        <v>7</v>
      </c>
      <c r="E114" s="64" t="s">
        <v>922</v>
      </c>
      <c r="F114" s="89" t="s">
        <v>926</v>
      </c>
      <c r="G114" s="47" t="s">
        <v>927</v>
      </c>
      <c r="H114" s="72" t="str">
        <f ca="1">IFERROR(__xludf.dummyfunction("IFERROR(
  VLOOKUP(G114, IMPORTRANGE(""https://docs.google.com/spreadsheets/d/14deopnvwcrKtEGCKuYXdUHJbeLDZlkiSSWWT0g7x2pM/edit#gid=849066331"", ""LU List Maths (Filter)!A:B""), 2, FALSE),
  IFERROR(
    VLOOKUP(G114, IMPORTRANGE(""https://docs.google.com"&amp;"/spreadsheets/d/14deopnvwcrKtEGCKuYXdUHJbeLDZlkiSSWWT0g7x2pM/edit#gid=849066331"", ""LU List Science (Filter)!A:B""), 2, FALSE),
    ""Not Found""
  )
)
"),"Subtraction of like terms")</f>
        <v>Subtraction of like terms</v>
      </c>
      <c r="I114" s="64"/>
      <c r="J114" s="29" t="str">
        <f t="shared" si="18"/>
        <v>LU000786.001</v>
      </c>
      <c r="K114" s="29" t="str">
        <f ca="1">IFERROR(__xludf.dummyfunction("VLOOKUP(J114, IMPORTRANGE(""https://docs.google.com/spreadsheets/d/1yDAaXNsi4Mr5FtRQL4tbmSdIzhx6_m4wkOD7IG-k_eo/edit#gid=0"", ""Maths!M:N""), 2, FALSE)"),"Recall the rules for subtracting like terms.")</f>
        <v>Recall the rules for subtracting like terms.</v>
      </c>
      <c r="L114" s="29" t="str">
        <f t="shared" si="19"/>
        <v>LU000786.002</v>
      </c>
      <c r="M114" s="29" t="str">
        <f ca="1">IFERROR(__xludf.dummyfunction("VLOOKUP(L114, IMPORTRANGE(""https://docs.google.com/spreadsheets/d/1yDAaXNsi4Mr5FtRQL4tbmSdIzhx6_m4wkOD7IG-k_eo/edit#gid=0"", ""Maths!M:N""), 2, FALSE)"),"Explain the rationale behind subtracting like terms, demonstrating comprehension of the rules.")</f>
        <v>Explain the rationale behind subtracting like terms, demonstrating comprehension of the rules.</v>
      </c>
      <c r="N114" s="29" t="str">
        <f t="shared" si="20"/>
        <v>LU000786.003</v>
      </c>
      <c r="O114" s="29" t="str">
        <f ca="1">IFERROR(__xludf.dummyfunction("VLOOKUP(N114, IMPORTRANGE(""https://docs.google.com/spreadsheets/d/1yDAaXNsi4Mr5FtRQL4tbmSdIzhx6_m4wkOD7IG-k_eo/edit#gid=0"", ""Maths!M:N""), 2, FALSE)"),"Apply the rules for subtracting like terms to find the difference between the like terms.")</f>
        <v>Apply the rules for subtracting like terms to find the difference between the like terms.</v>
      </c>
      <c r="P114" s="29" t="str">
        <f t="shared" si="21"/>
        <v>LU000786.004</v>
      </c>
      <c r="Q114" s="29" t="str">
        <f ca="1">IFERROR(__xludf.dummyfunction("VLOOKUP(P114, IMPORTRANGE(""https://docs.google.com/spreadsheets/d/1yDAaXNsi4Mr5FtRQL4tbmSdIzhx6_m4wkOD7IG-k_eo/edit#gid=0"", ""Maths!M:N""), 2, FALSE)"),"Analyse the steps to find the difference between the like terms.")</f>
        <v>Analyse the steps to find the difference between the like terms.</v>
      </c>
      <c r="R114" s="29" t="str">
        <f t="shared" si="22"/>
        <v>LU000786.005</v>
      </c>
      <c r="S114" s="29" t="str">
        <f ca="1">IFERROR(__xludf.dummyfunction("VLOOKUP(R114, IMPORTRANGE(""https://docs.google.com/spreadsheets/d/1yDAaXNsi4Mr5FtRQL4tbmSdIzhx6_m4wkOD7IG-k_eo/edit#gid=0"", ""Maths!M:N""), 2, FALSE)"),"Evaluate the correctness of solutions when subtracting like terms, and provide explanations for any discrepancies.")</f>
        <v>Evaluate the correctness of solutions when subtracting like terms, and provide explanations for any discrepancies.</v>
      </c>
      <c r="T114" s="29" t="str">
        <f t="shared" si="23"/>
        <v>LU000786.006</v>
      </c>
      <c r="U114" s="29" t="str">
        <f ca="1">IFERROR(__xludf.dummyfunction("VLOOKUP(T114, IMPORTRANGE(""https://docs.google.com/spreadsheets/d/1yDAaXNsi4Mr5FtRQL4tbmSdIzhx6_m4wkOD7IG-k_eo/edit#gid=0"", ""Maths!M:N""), 2, FALSE)"),"Create algebraic expressions involving like terms, and perform subtraction to simplify them.")</f>
        <v>Create algebraic expressions involving like terms, and perform subtraction to simplify them.</v>
      </c>
      <c r="V114" s="16" t="str">
        <f ca="1">IFERROR(__xludf.dummyfunction("ArrayFormula(VLOOKUP(G114, IMPORTRANGE(""https://docs.google.com/spreadsheets/d/1p7R4vtkWt5VOBim4ltsDG9KTzSjrtKXsMtQGXPHyND0/edit#gid=795171502"", ""'Filter 30_05_2024'!A1:M2000""), {2, 3, 4, 5,6,7,8,9,10,11,12,13}, 0))"),"#N/A")</f>
        <v>#N/A</v>
      </c>
      <c r="W114" s="16" t="str">
        <f ca="1">IFERROR(__xludf.dummyfunction("""COMPUTED_VALUE"""),"#N/A")</f>
        <v>#N/A</v>
      </c>
      <c r="X114" s="16" t="str">
        <f ca="1">IFERROR(__xludf.dummyfunction("""COMPUTED_VALUE"""),"#N/A")</f>
        <v>#N/A</v>
      </c>
      <c r="Y114" s="16" t="str">
        <f ca="1">IFERROR(__xludf.dummyfunction("""COMPUTED_VALUE"""),"#N/A")</f>
        <v>#N/A</v>
      </c>
      <c r="Z114" s="16" t="str">
        <f ca="1">IFERROR(__xludf.dummyfunction("""COMPUTED_VALUE"""),"#N/A")</f>
        <v>#N/A</v>
      </c>
      <c r="AA114" s="30" t="str">
        <f ca="1">IFERROR(__xludf.dummyfunction("""COMPUTED_VALUE"""),"#N/A")</f>
        <v>#N/A</v>
      </c>
      <c r="AB114" s="30" t="str">
        <f ca="1">IFERROR(__xludf.dummyfunction("""COMPUTED_VALUE"""),"#N/A")</f>
        <v>#N/A</v>
      </c>
      <c r="AC114" s="30" t="str">
        <f ca="1">IFERROR(__xludf.dummyfunction("""COMPUTED_VALUE"""),"#N/A")</f>
        <v>#N/A</v>
      </c>
      <c r="AD114" s="16" t="str">
        <f ca="1">IFERROR(__xludf.dummyfunction("""COMPUTED_VALUE"""),"#N/A")</f>
        <v>#N/A</v>
      </c>
      <c r="AE114" s="30" t="str">
        <f ca="1">IFERROR(__xludf.dummyfunction("""COMPUTED_VALUE"""),"#N/A")</f>
        <v>#N/A</v>
      </c>
      <c r="AF114" s="30" t="str">
        <f ca="1">IFERROR(__xludf.dummyfunction("""COMPUTED_VALUE"""),"#N/A")</f>
        <v>#N/A</v>
      </c>
      <c r="AG114" s="30" t="str">
        <f ca="1">IFERROR(__xludf.dummyfunction("""COMPUTED_VALUE"""),"#N/A")</f>
        <v>#N/A</v>
      </c>
    </row>
    <row r="115" spans="1:33" ht="13.8">
      <c r="A115" s="25"/>
      <c r="B115" s="25" t="s">
        <v>29</v>
      </c>
      <c r="C115" s="25" t="s">
        <v>310</v>
      </c>
      <c r="D115" s="25">
        <v>7</v>
      </c>
      <c r="E115" s="64" t="s">
        <v>922</v>
      </c>
      <c r="F115" s="89"/>
      <c r="G115" s="47" t="s">
        <v>928</v>
      </c>
      <c r="H115" s="72" t="str">
        <f ca="1">IFERROR(__xludf.dummyfunction("IFERROR(
  VLOOKUP(G115, IMPORTRANGE(""https://docs.google.com/spreadsheets/d/14deopnvwcrKtEGCKuYXdUHJbeLDZlkiSSWWT0g7x2pM/edit#gid=849066331"", ""LU List Maths (Filter)!A:B""), 2, FALSE),
  IFERROR(
    VLOOKUP(G115, IMPORTRANGE(""https://docs.google.com"&amp;"/spreadsheets/d/14deopnvwcrKtEGCKuYXdUHJbeLDZlkiSSWWT0g7x2pM/edit#gid=849066331"", ""LU List Science (Filter)!A:B""), 2, FALSE),
    ""Not Found""
  )
)
"),"Subtraction of algebraic expressions")</f>
        <v>Subtraction of algebraic expressions</v>
      </c>
      <c r="I115" s="64"/>
      <c r="J115" s="29" t="str">
        <f t="shared" si="18"/>
        <v>LU000513.001</v>
      </c>
      <c r="K115" s="29" t="str">
        <f ca="1">IFERROR(__xludf.dummyfunction("VLOOKUP(J115, IMPORTRANGE(""https://docs.google.com/spreadsheets/d/1yDAaXNsi4Mr5FtRQL4tbmSdIzhx6_m4wkOD7IG-k_eo/edit#gid=0"", ""Maths!M:N""), 2, FALSE)"),"Recall the rule for subtracting algebraic expressions.")</f>
        <v>Recall the rule for subtracting algebraic expressions.</v>
      </c>
      <c r="L115" s="29" t="str">
        <f t="shared" si="19"/>
        <v>LU000513.002</v>
      </c>
      <c r="M115" s="29" t="str">
        <f ca="1">IFERROR(__xludf.dummyfunction("VLOOKUP(L115, IMPORTRANGE(""https://docs.google.com/spreadsheets/d/1yDAaXNsi4Mr5FtRQL4tbmSdIzhx6_m4wkOD7IG-k_eo/edit#gid=0"", ""Maths!M:N""), 2, FALSE)"),"Explain the concept of subtracting algebraic expressions with attention to additive inverses.")</f>
        <v>Explain the concept of subtracting algebraic expressions with attention to additive inverses.</v>
      </c>
      <c r="N115" s="29" t="str">
        <f t="shared" si="20"/>
        <v>LU000513.003</v>
      </c>
      <c r="O115" s="29" t="str">
        <f ca="1">IFERROR(__xludf.dummyfunction("VLOOKUP(N115, IMPORTRANGE(""https://docs.google.com/spreadsheets/d/1yDAaXNsi4Mr5FtRQL4tbmSdIzhx6_m4wkOD7IG-k_eo/edit#gid=0"", ""Maths!M:N""), 2, FALSE)"),"Apply the concept of subtracting algebraic expressions to simplify practical situations.")</f>
        <v>Apply the concept of subtracting algebraic expressions to simplify practical situations.</v>
      </c>
      <c r="P115" s="29" t="str">
        <f t="shared" si="21"/>
        <v>LU000513.004</v>
      </c>
      <c r="Q115" s="29" t="str">
        <f ca="1">IFERROR(__xludf.dummyfunction("VLOOKUP(P115, IMPORTRANGE(""https://docs.google.com/spreadsheets/d/1yDAaXNsi4Mr5FtRQL4tbmSdIzhx6_m4wkOD7IG-k_eo/edit#gid=0"", ""Maths!M:N""), 2, FALSE)"),"Analyze the steps involved in subtracting algebraic expressions with negative terms.")</f>
        <v>Analyze the steps involved in subtracting algebraic expressions with negative terms.</v>
      </c>
      <c r="R115" s="29" t="str">
        <f t="shared" si="22"/>
        <v>LU000513.005</v>
      </c>
      <c r="S115" s="29" t="str">
        <f ca="1">IFERROR(__xludf.dummyfunction("VLOOKUP(R115, IMPORTRANGE(""https://docs.google.com/spreadsheets/d/1yDAaXNsi4Mr5FtRQL4tbmSdIzhx6_m4wkOD7IG-k_eo/edit#gid=0"", ""Maths!M:N""), 2, FALSE)"),"Assess the appropriateness of subtracting algebraic expressions to solve specific problems.")</f>
        <v>Assess the appropriateness of subtracting algebraic expressions to solve specific problems.</v>
      </c>
      <c r="T115" s="29" t="str">
        <f t="shared" si="23"/>
        <v>LU000513.006</v>
      </c>
      <c r="U115" s="29" t="str">
        <f ca="1">IFERROR(__xludf.dummyfunction("VLOOKUP(T115, IMPORTRANGE(""https://docs.google.com/spreadsheets/d/1yDAaXNsi4Mr5FtRQL4tbmSdIzhx6_m4wkOD7IG-k_eo/edit#gid=0"", ""Maths!M:N""), 2, FALSE)"),"Design a set of algebraic expressions that, when subtracted, result in a specified outcome.")</f>
        <v>Design a set of algebraic expressions that, when subtracted, result in a specified outcome.</v>
      </c>
      <c r="V115" s="16">
        <f ca="1">IFERROR(__xludf.dummyfunction("ArrayFormula(VLOOKUP(G115, IMPORTRANGE(""https://docs.google.com/spreadsheets/d/1p7R4vtkWt5VOBim4ltsDG9KTzSjrtKXsMtQGXPHyND0/edit#gid=795171502"", ""'Filter 30_05_2024'!A1:M2000""), {2, 3, 4, 5,6,7,8,9,10,11,12,13}, 0))"),4)</f>
        <v>4</v>
      </c>
      <c r="W115" s="16">
        <f ca="1">IFERROR(__xludf.dummyfunction("""COMPUTED_VALUE"""),6)</f>
        <v>6</v>
      </c>
      <c r="X115" s="16">
        <f ca="1">IFERROR(__xludf.dummyfunction("""COMPUTED_VALUE"""),2)</f>
        <v>2</v>
      </c>
      <c r="Y115" s="16">
        <f ca="1">IFERROR(__xludf.dummyfunction("""COMPUTED_VALUE"""),12)</f>
        <v>12</v>
      </c>
      <c r="Z115" s="16">
        <f ca="1">IFERROR(__xludf.dummyfunction("""COMPUTED_VALUE"""),4)</f>
        <v>4</v>
      </c>
      <c r="AA115" s="30">
        <f ca="1">IFERROR(__xludf.dummyfunction("""COMPUTED_VALUE"""),3)</f>
        <v>3</v>
      </c>
      <c r="AB115" s="30">
        <f ca="1">IFERROR(__xludf.dummyfunction("""COMPUTED_VALUE"""),1)</f>
        <v>1</v>
      </c>
      <c r="AC115" s="30">
        <f ca="1">IFERROR(__xludf.dummyfunction("""COMPUTED_VALUE"""),8)</f>
        <v>8</v>
      </c>
      <c r="AD115" s="16"/>
      <c r="AE115" s="30"/>
      <c r="AF115" s="30"/>
      <c r="AG115" s="30"/>
    </row>
    <row r="116" spans="1:33" ht="13.8">
      <c r="A116" s="25"/>
      <c r="B116" s="25" t="s">
        <v>29</v>
      </c>
      <c r="C116" s="25" t="s">
        <v>310</v>
      </c>
      <c r="D116" s="25">
        <v>7</v>
      </c>
      <c r="E116" s="87" t="s">
        <v>929</v>
      </c>
      <c r="F116" s="87" t="s">
        <v>930</v>
      </c>
      <c r="G116" s="47" t="s">
        <v>931</v>
      </c>
      <c r="H116" s="72" t="str">
        <f ca="1">IFERROR(__xludf.dummyfunction("IFERROR(
  VLOOKUP(G116, IMPORTRANGE(""https://docs.google.com/spreadsheets/d/14deopnvwcrKtEGCKuYXdUHJbeLDZlkiSSWWT0g7x2pM/edit#gid=849066331"", ""LU List Maths (Filter)!A:B""), 2, FALSE),
  IFERROR(
    VLOOKUP(G116, IMPORTRANGE(""https://docs.google.com"&amp;"/spreadsheets/d/14deopnvwcrKtEGCKuYXdUHJbeLDZlkiSSWWT0g7x2pM/edit#gid=849066331"", ""LU List Science (Filter)!A:B""), 2, FALSE),
    ""Not Found""
  )
)
"),"Definition of simple equation")</f>
        <v>Definition of simple equation</v>
      </c>
      <c r="I116" s="64"/>
      <c r="J116" s="29" t="str">
        <f t="shared" si="18"/>
        <v>LU000404.001</v>
      </c>
      <c r="K116" s="29" t="str">
        <f ca="1">IFERROR(__xludf.dummyfunction("VLOOKUP(J116, IMPORTRANGE(""https://docs.google.com/spreadsheets/d/1yDAaXNsi4Mr5FtRQL4tbmSdIzhx6_m4wkOD7IG-k_eo/edit#gid=0"", ""Maths!M:N""), 2, FALSE)"),"Define simple equation.")</f>
        <v>Define simple equation.</v>
      </c>
      <c r="L116" s="29" t="str">
        <f t="shared" si="19"/>
        <v>LU000404.002</v>
      </c>
      <c r="M116" s="29" t="str">
        <f ca="1">IFERROR(__xludf.dummyfunction("VLOOKUP(L116, IMPORTRANGE(""https://docs.google.com/spreadsheets/d/1yDAaXNsi4Mr5FtRQL4tbmSdIzhx6_m4wkOD7IG-k_eo/edit#gid=0"", ""Maths!M:N""), 2, FALSE)"),"Explain the concept of an simple equation by describing how it represents a mathematical statement with an equal sign, expressing a relationship between quantities.")</f>
        <v>Explain the concept of an simple equation by describing how it represents a mathematical statement with an equal sign, expressing a relationship between quantities.</v>
      </c>
      <c r="N116" s="29" t="str">
        <f t="shared" si="20"/>
        <v>LU000404.003</v>
      </c>
      <c r="O116" s="29" t="str">
        <f ca="1">IFERROR(__xludf.dummyfunction("VLOOKUP(N116, IMPORTRANGE(""https://docs.google.com/spreadsheets/d/1yDAaXNsi4Mr5FtRQL4tbmSdIzhx6_m4wkOD7IG-k_eo/edit#gid=0"", ""Maths!M:N""), 2, FALSE)"),"Apply the understanding of simple equations by formulating equations based on real-world scenarios.")</f>
        <v>Apply the understanding of simple equations by formulating equations based on real-world scenarios.</v>
      </c>
      <c r="P116" s="29" t="str">
        <f t="shared" si="21"/>
        <v>LU000404.004</v>
      </c>
      <c r="Q116" s="29" t="str">
        <f ca="1">IFERROR(__xludf.dummyfunction("VLOOKUP(P116, IMPORTRANGE(""https://docs.google.com/spreadsheets/d/1yDAaXNsi4Mr5FtRQL4tbmSdIzhx6_m4wkOD7IG-k_eo/edit#gid=0"", ""Maths!M:N""), 2, FALSE)"),"Analyse the components of simple equations, breaking down equations into variables, constants, and mathematical operations, to understand their structure.")</f>
        <v>Analyse the components of simple equations, breaking down equations into variables, constants, and mathematical operations, to understand their structure.</v>
      </c>
      <c r="R116" s="29" t="str">
        <f t="shared" si="22"/>
        <v>LU000404.005</v>
      </c>
      <c r="S116" s="29" t="str">
        <f ca="1">IFERROR(__xludf.dummyfunction("VLOOKUP(R116, IMPORTRANGE(""https://docs.google.com/spreadsheets/d/1yDAaXNsi4Mr5FtRQL4tbmSdIzhx6_m4wkOD7IG-k_eo/edit#gid=0"", ""Maths!M:N""), 2, FALSE)"),"Assess the accuracy of created a simple equations for given problems, providing feedback on the equation formulation.")</f>
        <v>Assess the accuracy of created a simple equations for given problems, providing feedback on the equation formulation.</v>
      </c>
      <c r="T116" s="29" t="str">
        <f t="shared" si="23"/>
        <v>LU000404.006</v>
      </c>
      <c r="U116" s="29" t="str">
        <f ca="1">IFERROR(__xludf.dummyfunction("VLOOKUP(T116, IMPORTRANGE(""https://docs.google.com/spreadsheets/d/1yDAaXNsi4Mr5FtRQL4tbmSdIzhx6_m4wkOD7IG-k_eo/edit#gid=0"", ""Maths!M:N""), 2, FALSE)"),"Create a set of word problems and formulate simple equations to represent the problems accurately.")</f>
        <v>Create a set of word problems and formulate simple equations to represent the problems accurately.</v>
      </c>
      <c r="V116" s="16">
        <f ca="1">IFERROR(__xludf.dummyfunction("ArrayFormula(VLOOKUP(G116, IMPORTRANGE(""https://docs.google.com/spreadsheets/d/1p7R4vtkWt5VOBim4ltsDG9KTzSjrtKXsMtQGXPHyND0/edit#gid=795171502"", ""'Filter 30_05_2024'!A1:M2000""), {2, 3, 4, 5,6,7,8,9,10,11,12,13}, 0))"),4)</f>
        <v>4</v>
      </c>
      <c r="W116" s="16">
        <f ca="1">IFERROR(__xludf.dummyfunction("""COMPUTED_VALUE"""),6)</f>
        <v>6</v>
      </c>
      <c r="X116" s="16">
        <f ca="1">IFERROR(__xludf.dummyfunction("""COMPUTED_VALUE"""),2)</f>
        <v>2</v>
      </c>
      <c r="Y116" s="16">
        <f ca="1">IFERROR(__xludf.dummyfunction("""COMPUTED_VALUE"""),12)</f>
        <v>12</v>
      </c>
      <c r="Z116" s="16">
        <f ca="1">IFERROR(__xludf.dummyfunction("""COMPUTED_VALUE"""),4)</f>
        <v>4</v>
      </c>
      <c r="AA116" s="30">
        <f ca="1">IFERROR(__xludf.dummyfunction("""COMPUTED_VALUE"""),3)</f>
        <v>3</v>
      </c>
      <c r="AB116" s="30">
        <f ca="1">IFERROR(__xludf.dummyfunction("""COMPUTED_VALUE"""),1)</f>
        <v>1</v>
      </c>
      <c r="AC116" s="30">
        <f ca="1">IFERROR(__xludf.dummyfunction("""COMPUTED_VALUE"""),8)</f>
        <v>8</v>
      </c>
      <c r="AD116" s="16"/>
      <c r="AE116" s="30"/>
      <c r="AF116" s="30"/>
      <c r="AG116" s="30"/>
    </row>
    <row r="117" spans="1:33" ht="13.8">
      <c r="A117" s="25"/>
      <c r="B117" s="25" t="s">
        <v>29</v>
      </c>
      <c r="C117" s="25" t="s">
        <v>310</v>
      </c>
      <c r="D117" s="25">
        <v>7</v>
      </c>
      <c r="E117" s="87" t="s">
        <v>929</v>
      </c>
      <c r="F117" s="87"/>
      <c r="G117" s="47" t="s">
        <v>932</v>
      </c>
      <c r="H117" s="72" t="str">
        <f ca="1">IFERROR(__xludf.dummyfunction("IFERROR(
  VLOOKUP(G117, IMPORTRANGE(""https://docs.google.com/spreadsheets/d/14deopnvwcrKtEGCKuYXdUHJbeLDZlkiSSWWT0g7x2pM/edit#gid=849066331"", ""LU List Maths (Filter)!A:B""), 2, FALSE),
  IFERROR(
    VLOOKUP(G117, IMPORTRANGE(""https://docs.google.com"&amp;"/spreadsheets/d/14deopnvwcrKtEGCKuYXdUHJbeLDZlkiSSWWT0g7x2pM/edit#gid=849066331"", ""LU List Science (Filter)!A:B""), 2, FALSE),
    ""Not Found""
  )
)
"),"Difference between equation and algebraic expression")</f>
        <v>Difference between equation and algebraic expression</v>
      </c>
      <c r="I117" s="64"/>
      <c r="J117" s="29" t="str">
        <f t="shared" si="18"/>
        <v>LU000338.001</v>
      </c>
      <c r="K117" s="29" t="str">
        <f ca="1">IFERROR(__xludf.dummyfunction("VLOOKUP(J117, IMPORTRANGE(""https://docs.google.com/spreadsheets/d/1yDAaXNsi4Mr5FtRQL4tbmSdIzhx6_m4wkOD7IG-k_eo/edit#gid=0"", ""Maths!M:N""), 2, FALSE)"),"Recall the fundamental distinctions between equations and expressions in mathematics.")</f>
        <v>Recall the fundamental distinctions between equations and expressions in mathematics.</v>
      </c>
      <c r="L117" s="29" t="str">
        <f t="shared" si="19"/>
        <v>LU000338.002</v>
      </c>
      <c r="M117" s="29" t="str">
        <f ca="1">IFERROR(__xludf.dummyfunction("VLOOKUP(L117, IMPORTRANGE(""https://docs.google.com/spreadsheets/d/1yDAaXNsi4Mr5FtRQL4tbmSdIzhx6_m4wkOD7IG-k_eo/edit#gid=0"", ""Maths!M:N""), 2, FALSE)"),"Explain the roles of equations and expressions in mathematical problem-solving and representation.")</f>
        <v>Explain the roles of equations and expressions in mathematical problem-solving and representation.</v>
      </c>
      <c r="N117" s="29" t="str">
        <f t="shared" si="20"/>
        <v>LU000338.003</v>
      </c>
      <c r="O117" s="29" t="str">
        <f ca="1">IFERROR(__xludf.dummyfunction("VLOOKUP(N117, IMPORTRANGE(""https://docs.google.com/spreadsheets/d/1yDAaXNsi4Mr5FtRQL4tbmSdIzhx6_m4wkOD7IG-k_eo/edit#gid=0"", ""Maths!M:N""), 2, FALSE)"),"Classify given mathematical statements as either equations or expressions with accuracy.")</f>
        <v>Classify given mathematical statements as either equations or expressions with accuracy.</v>
      </c>
      <c r="P117" s="29" t="str">
        <f t="shared" si="21"/>
        <v>LU000338.004</v>
      </c>
      <c r="Q117" s="29" t="str">
        <f ca="1">IFERROR(__xludf.dummyfunction("VLOOKUP(P117, IMPORTRANGE(""https://docs.google.com/spreadsheets/d/1yDAaXNsi4Mr5FtRQL4tbmSdIzhx6_m4wkOD7IG-k_eo/edit#gid=0"", ""Maths!M:N""), 2, FALSE)"),"Evaluate how algebraic expressions can be transformed into equations (and vice versa) in the context of problem-solving")</f>
        <v>Evaluate how algebraic expressions can be transformed into equations (and vice versa) in the context of problem-solving</v>
      </c>
      <c r="R117" s="29" t="str">
        <f t="shared" si="22"/>
        <v>LU000338.005</v>
      </c>
      <c r="S117" s="29" t="str">
        <f ca="1">IFERROR(__xludf.dummyfunction("VLOOKUP(R117, IMPORTRANGE(""https://docs.google.com/spreadsheets/d/1yDAaXNsi4Mr5FtRQL4tbmSdIzhx6_m4wkOD7IG-k_eo/edit#gid=0"", ""Maths!M:N""), 2, FALSE)"),"Assess the accuracy of statements labeled as ""equations"" or ""expressions"" and justify classification.")</f>
        <v>Assess the accuracy of statements labeled as "equations" or "expressions" and justify classification.</v>
      </c>
      <c r="T117" s="29" t="str">
        <f t="shared" si="23"/>
        <v>LU000338.006</v>
      </c>
      <c r="U117" s="29" t="str">
        <f ca="1">IFERROR(__xludf.dummyfunction("VLOOKUP(T117, IMPORTRANGE(""https://docs.google.com/spreadsheets/d/1yDAaXNsi4Mr5FtRQL4tbmSdIzhx6_m4wkOD7IG-k_eo/edit#gid=0"", ""Maths!M:N""), 2, FALSE)"),"#N/A")</f>
        <v>#N/A</v>
      </c>
      <c r="V117" s="16">
        <f ca="1">IFERROR(__xludf.dummyfunction("ArrayFormula(VLOOKUP(G117, IMPORTRANGE(""https://docs.google.com/spreadsheets/d/1p7R4vtkWt5VOBim4ltsDG9KTzSjrtKXsMtQGXPHyND0/edit#gid=795171502"", ""'Filter 30_05_2024'!A1:M2000""), {2, 3, 4, 5,6,7,8,9,10,11,12,13}, 0))"),4)</f>
        <v>4</v>
      </c>
      <c r="W117" s="16">
        <f ca="1">IFERROR(__xludf.dummyfunction("""COMPUTED_VALUE"""),7)</f>
        <v>7</v>
      </c>
      <c r="X117" s="16">
        <f ca="1">IFERROR(__xludf.dummyfunction("""COMPUTED_VALUE"""),2)</f>
        <v>2</v>
      </c>
      <c r="Y117" s="16">
        <f ca="1">IFERROR(__xludf.dummyfunction("""COMPUTED_VALUE"""),13)</f>
        <v>13</v>
      </c>
      <c r="Z117" s="16">
        <f ca="1">IFERROR(__xludf.dummyfunction("""COMPUTED_VALUE"""),4)</f>
        <v>4</v>
      </c>
      <c r="AA117" s="30">
        <f ca="1">IFERROR(__xludf.dummyfunction("""COMPUTED_VALUE"""),4)</f>
        <v>4</v>
      </c>
      <c r="AB117" s="30">
        <f ca="1">IFERROR(__xludf.dummyfunction("""COMPUTED_VALUE"""),1)</f>
        <v>1</v>
      </c>
      <c r="AC117" s="30">
        <f ca="1">IFERROR(__xludf.dummyfunction("""COMPUTED_VALUE"""),9)</f>
        <v>9</v>
      </c>
      <c r="AD117" s="16"/>
      <c r="AE117" s="30"/>
      <c r="AF117" s="30"/>
      <c r="AG117" s="30"/>
    </row>
    <row r="118" spans="1:33" ht="13.8">
      <c r="A118" s="25"/>
      <c r="B118" s="25" t="s">
        <v>29</v>
      </c>
      <c r="C118" s="25" t="s">
        <v>310</v>
      </c>
      <c r="D118" s="25">
        <v>7</v>
      </c>
      <c r="E118" s="87" t="s">
        <v>929</v>
      </c>
      <c r="F118" s="87"/>
      <c r="G118" s="47" t="s">
        <v>933</v>
      </c>
      <c r="H118" s="72" t="str">
        <f ca="1">IFERROR(__xludf.dummyfunction("IFERROR(
  VLOOKUP(G118, IMPORTRANGE(""https://docs.google.com/spreadsheets/d/14deopnvwcrKtEGCKuYXdUHJbeLDZlkiSSWWT0g7x2pM/edit#gid=849066331"", ""LU List Maths (Filter)!A:B""), 2, FALSE),
  IFERROR(
    VLOOKUP(G118, IMPORTRANGE(""https://docs.google.com"&amp;"/spreadsheets/d/14deopnvwcrKtEGCKuYXdUHJbeLDZlkiSSWWT0g7x2pM/edit#gid=849066331"", ""LU List Science (Filter)!A:B""), 2, FALSE),
    ""Not Found""
  )
)
"),"Conversion of statements into simple equations")</f>
        <v>Conversion of statements into simple equations</v>
      </c>
      <c r="I118" s="64"/>
      <c r="J118" s="29" t="str">
        <f t="shared" si="18"/>
        <v>LU000405.001</v>
      </c>
      <c r="K118" s="29" t="str">
        <f ca="1">IFERROR(__xludf.dummyfunction("VLOOKUP(J118, IMPORTRANGE(""https://docs.google.com/spreadsheets/d/1yDAaXNsi4Mr5FtRQL4tbmSdIzhx6_m4wkOD7IG-k_eo/edit#gid=0"", ""Maths!M:N""), 2, FALSE)"),"Recall process of converting statements into simple equations.")</f>
        <v>Recall process of converting statements into simple equations.</v>
      </c>
      <c r="L118" s="29" t="str">
        <f t="shared" si="19"/>
        <v>LU000405.002</v>
      </c>
      <c r="M118" s="29" t="str">
        <f ca="1">IFERROR(__xludf.dummyfunction("VLOOKUP(L118, IMPORTRANGE(""https://docs.google.com/spreadsheets/d/1yDAaXNsi4Mr5FtRQL4tbmSdIzhx6_m4wkOD7IG-k_eo/edit#gid=0"", ""Maths!M:N""), 2, FALSE)"),"Explain purpose of converting statements into simple equations.")</f>
        <v>Explain purpose of converting statements into simple equations.</v>
      </c>
      <c r="N118" s="29" t="str">
        <f t="shared" si="20"/>
        <v>LU000405.003</v>
      </c>
      <c r="O118" s="29" t="str">
        <f ca="1">IFERROR(__xludf.dummyfunction("VLOOKUP(N118, IMPORTRANGE(""https://docs.google.com/spreadsheets/d/1yDAaXNsi4Mr5FtRQL4tbmSdIzhx6_m4wkOD7IG-k_eo/edit#gid=0"", ""Maths!M:N""), 2, FALSE)"),"Express the given statements in simple equations.")</f>
        <v>Express the given statements in simple equations.</v>
      </c>
      <c r="P118" s="29" t="str">
        <f t="shared" si="21"/>
        <v>LU000405.004</v>
      </c>
      <c r="Q118" s="29" t="str">
        <f ca="1">IFERROR(__xludf.dummyfunction("VLOOKUP(P118, IMPORTRANGE(""https://docs.google.com/spreadsheets/d/1yDAaXNsi4Mr5FtRQL4tbmSdIzhx6_m4wkOD7IG-k_eo/edit#gid=0"", ""Maths!M:N""), 2, FALSE)"),"Analyse the relationship between statements and their corresponding equation form.")</f>
        <v>Analyse the relationship between statements and their corresponding equation form.</v>
      </c>
      <c r="R118" s="29" t="str">
        <f t="shared" si="22"/>
        <v>LU000405.005</v>
      </c>
      <c r="S118" s="29" t="str">
        <f ca="1">IFERROR(__xludf.dummyfunction("VLOOKUP(R118, IMPORTRANGE(""https://docs.google.com/spreadsheets/d/1yDAaXNsi4Mr5FtRQL4tbmSdIzhx6_m4wkOD7IG-k_eo/edit#gid=0"", ""Maths!M:N""), 2, FALSE)"),"Evaluate the accuracy and clarity of equations converted from statements.")</f>
        <v>Evaluate the accuracy and clarity of equations converted from statements.</v>
      </c>
      <c r="T118" s="29" t="str">
        <f t="shared" si="23"/>
        <v>LU000405.006</v>
      </c>
      <c r="U118" s="29" t="str">
        <f ca="1">IFERROR(__xludf.dummyfunction("VLOOKUP(T118, IMPORTRANGE(""https://docs.google.com/spreadsheets/d/1yDAaXNsi4Mr5FtRQL4tbmSdIzhx6_m4wkOD7IG-k_eo/edit#gid=0"", ""Maths!M:N""), 2, FALSE)"),"Create instances showcasing the conversion of statements into simple equations.")</f>
        <v>Create instances showcasing the conversion of statements into simple equations.</v>
      </c>
      <c r="V118" s="16">
        <f ca="1">IFERROR(__xludf.dummyfunction("ArrayFormula(VLOOKUP(G118, IMPORTRANGE(""https://docs.google.com/spreadsheets/d/1p7R4vtkWt5VOBim4ltsDG9KTzSjrtKXsMtQGXPHyND0/edit#gid=795171502"", ""'Filter 30_05_2024'!A1:M2000""), {2, 3, 4, 5,6,7,8,9,10,11,12,13}, 0))"),7)</f>
        <v>7</v>
      </c>
      <c r="W118" s="16">
        <f ca="1">IFERROR(__xludf.dummyfunction("""COMPUTED_VALUE"""),10)</f>
        <v>10</v>
      </c>
      <c r="X118" s="16">
        <f ca="1">IFERROR(__xludf.dummyfunction("""COMPUTED_VALUE"""),2)</f>
        <v>2</v>
      </c>
      <c r="Y118" s="16">
        <f ca="1">IFERROR(__xludf.dummyfunction("""COMPUTED_VALUE"""),19)</f>
        <v>19</v>
      </c>
      <c r="Z118" s="16">
        <f ca="1">IFERROR(__xludf.dummyfunction("""COMPUTED_VALUE"""),7)</f>
        <v>7</v>
      </c>
      <c r="AA118" s="30">
        <f ca="1">IFERROR(__xludf.dummyfunction("""COMPUTED_VALUE"""),6)</f>
        <v>6</v>
      </c>
      <c r="AB118" s="30">
        <f ca="1">IFERROR(__xludf.dummyfunction("""COMPUTED_VALUE"""),1)</f>
        <v>1</v>
      </c>
      <c r="AC118" s="30">
        <f ca="1">IFERROR(__xludf.dummyfunction("""COMPUTED_VALUE"""),14)</f>
        <v>14</v>
      </c>
      <c r="AD118" s="16"/>
      <c r="AE118" s="30"/>
      <c r="AF118" s="30"/>
      <c r="AG118" s="30"/>
    </row>
    <row r="119" spans="1:33" ht="13.8">
      <c r="A119" s="25"/>
      <c r="B119" s="25" t="s">
        <v>29</v>
      </c>
      <c r="C119" s="25" t="s">
        <v>310</v>
      </c>
      <c r="D119" s="25">
        <v>7</v>
      </c>
      <c r="E119" s="87" t="s">
        <v>929</v>
      </c>
      <c r="F119" s="87" t="s">
        <v>934</v>
      </c>
      <c r="G119" s="47" t="s">
        <v>935</v>
      </c>
      <c r="H119" s="72" t="str">
        <f ca="1">IFERROR(__xludf.dummyfunction("IFERROR(
  VLOOKUP(G119, IMPORTRANGE(""https://docs.google.com/spreadsheets/d/14deopnvwcrKtEGCKuYXdUHJbeLDZlkiSSWWT0g7x2pM/edit#gid=849066331"", ""LU List Maths (Filter)!A:B""), 2, FALSE),
  IFERROR(
    VLOOKUP(G119, IMPORTRANGE(""https://docs.google.com"&amp;"/spreadsheets/d/14deopnvwcrKtEGCKuYXdUHJbeLDZlkiSSWWT0g7x2pM/edit#gid=849066331"", ""LU List Science (Filter)!A:B""), 2, FALSE),
    ""Not Found""
  )
)
"),"Define a solution of an equation")</f>
        <v>Define a solution of an equation</v>
      </c>
      <c r="I119" s="64"/>
      <c r="J119" s="29" t="str">
        <f t="shared" si="18"/>
        <v>LU000336.001</v>
      </c>
      <c r="K119" s="29" t="str">
        <f ca="1">IFERROR(__xludf.dummyfunction("VLOOKUP(J119, IMPORTRANGE(""https://docs.google.com/spreadsheets/d/1yDAaXNsi4Mr5FtRQL4tbmSdIzhx6_m4wkOD7IG-k_eo/edit#gid=0"", ""Maths!M:N""), 2, FALSE)"),"Recall the definition of a solution to an equation.")</f>
        <v>Recall the definition of a solution to an equation.</v>
      </c>
      <c r="L119" s="29" t="str">
        <f t="shared" si="19"/>
        <v>LU000336.002</v>
      </c>
      <c r="M119" s="29" t="str">
        <f ca="1">IFERROR(__xludf.dummyfunction("VLOOKUP(L119, IMPORTRANGE(""https://docs.google.com/spreadsheets/d/1yDAaXNsi4Mr5FtRQL4tbmSdIzhx6_m4wkOD7IG-k_eo/edit#gid=0"", ""Maths!M:N""), 2, FALSE)"),"Explain how the LHS, RHS, and variable value relate in defining an equation's solution.")</f>
        <v>Explain how the LHS, RHS, and variable value relate in defining an equation's solution.</v>
      </c>
      <c r="N119" s="29" t="str">
        <f t="shared" si="20"/>
        <v>LU000336.003</v>
      </c>
      <c r="O119" s="29" t="str">
        <f ca="1">IFERROR(__xludf.dummyfunction("VLOOKUP(N119, IMPORTRANGE(""https://docs.google.com/spreadsheets/d/1yDAaXNsi4Mr5FtRQL4tbmSdIzhx6_m4wkOD7IG-k_eo/edit#gid=0"", ""Maths!M:N""), 2, FALSE)"),"Apply the concept of equation solutions to solve simple problems.")</f>
        <v>Apply the concept of equation solutions to solve simple problems.</v>
      </c>
      <c r="P119" s="29" t="str">
        <f t="shared" si="21"/>
        <v>LU000336.004</v>
      </c>
      <c r="Q119" s="29" t="str">
        <f ca="1">IFERROR(__xludf.dummyfunction("VLOOKUP(P119, IMPORTRANGE(""https://docs.google.com/spreadsheets/d/1yDAaXNsi4Mr5FtRQL4tbmSdIzhx6_m4wkOD7IG-k_eo/edit#gid=0"", ""Maths!M:N""), 2, FALSE)"),"Analyze different equations to determine the conditions for having a solution.")</f>
        <v>Analyze different equations to determine the conditions for having a solution.</v>
      </c>
      <c r="R119" s="29" t="str">
        <f t="shared" si="22"/>
        <v>LU000336.005</v>
      </c>
      <c r="S119" s="29" t="str">
        <f ca="1">IFERROR(__xludf.dummyfunction("VLOOKUP(R119, IMPORTRANGE(""https://docs.google.com/spreadsheets/d/1yDAaXNsi4Mr5FtRQL4tbmSdIzhx6_m4wkOD7IG-k_eo/edit#gid=0"", ""Maths!M:N""), 2, FALSE)"),"Judge the correctness of a proposed solution for an equation based on LHS and RHS equality.")</f>
        <v>Judge the correctness of a proposed solution for an equation based on LHS and RHS equality.</v>
      </c>
      <c r="T119" s="29" t="str">
        <f t="shared" si="23"/>
        <v>LU000336.006</v>
      </c>
      <c r="U119" s="29" t="str">
        <f ca="1">IFERROR(__xludf.dummyfunction("VLOOKUP(T119, IMPORTRANGE(""https://docs.google.com/spreadsheets/d/1yDAaXNsi4Mr5FtRQL4tbmSdIzhx6_m4wkOD7IG-k_eo/edit#gid=0"", ""Maths!M:N""), 2, FALSE)"),"#N/A")</f>
        <v>#N/A</v>
      </c>
      <c r="V119" s="16">
        <f ca="1">IFERROR(__xludf.dummyfunction("ArrayFormula(VLOOKUP(G119, IMPORTRANGE(""https://docs.google.com/spreadsheets/d/1p7R4vtkWt5VOBim4ltsDG9KTzSjrtKXsMtQGXPHyND0/edit#gid=795171502"", ""'Filter 30_05_2024'!A1:M2000""), {2, 3, 4, 5,6,7,8,9,10,11,12,13}, 0))"),3)</f>
        <v>3</v>
      </c>
      <c r="W119" s="16">
        <f ca="1">IFERROR(__xludf.dummyfunction("""COMPUTED_VALUE"""),12)</f>
        <v>12</v>
      </c>
      <c r="X119" s="16">
        <f ca="1">IFERROR(__xludf.dummyfunction("""COMPUTED_VALUE"""),2)</f>
        <v>2</v>
      </c>
      <c r="Y119" s="16">
        <f ca="1">IFERROR(__xludf.dummyfunction("""COMPUTED_VALUE"""),17)</f>
        <v>17</v>
      </c>
      <c r="Z119" s="16">
        <f ca="1">IFERROR(__xludf.dummyfunction("""COMPUTED_VALUE"""),5)</f>
        <v>5</v>
      </c>
      <c r="AA119" s="30">
        <f ca="1">IFERROR(__xludf.dummyfunction("""COMPUTED_VALUE"""),3)</f>
        <v>3</v>
      </c>
      <c r="AB119" s="30">
        <f ca="1">IFERROR(__xludf.dummyfunction("""COMPUTED_VALUE"""),1)</f>
        <v>1</v>
      </c>
      <c r="AC119" s="30">
        <f ca="1">IFERROR(__xludf.dummyfunction("""COMPUTED_VALUE"""),9)</f>
        <v>9</v>
      </c>
      <c r="AD119" s="16"/>
      <c r="AE119" s="30"/>
      <c r="AF119" s="30"/>
      <c r="AG119" s="30"/>
    </row>
    <row r="120" spans="1:33" ht="13.8">
      <c r="A120" s="25"/>
      <c r="B120" s="25" t="s">
        <v>29</v>
      </c>
      <c r="C120" s="25" t="s">
        <v>310</v>
      </c>
      <c r="D120" s="25">
        <v>7</v>
      </c>
      <c r="E120" s="87" t="s">
        <v>929</v>
      </c>
      <c r="F120" s="87" t="s">
        <v>936</v>
      </c>
      <c r="G120" s="47" t="s">
        <v>937</v>
      </c>
      <c r="H120" s="72" t="str">
        <f ca="1">IFERROR(__xludf.dummyfunction("IFERROR(
  VLOOKUP(G120, IMPORTRANGE(""https://docs.google.com/spreadsheets/d/14deopnvwcrKtEGCKuYXdUHJbeLDZlkiSSWWT0g7x2pM/edit#gid=849066331"", ""LU List Maths (Filter)!A:B""), 2, FALSE),
  IFERROR(
    VLOOKUP(G120, IMPORTRANGE(""https://docs.google.com"&amp;"/spreadsheets/d/14deopnvwcrKtEGCKuYXdUHJbeLDZlkiSSWWT0g7x2pM/edit#gid=849066331"", ""LU List Science (Filter)!A:B""), 2, FALSE),
    ""Not Found""
  )
)
"),"Introduction to balanced equations")</f>
        <v>Introduction to balanced equations</v>
      </c>
      <c r="I120" s="64"/>
      <c r="J120" s="29" t="str">
        <f t="shared" si="18"/>
        <v>LU000407.001</v>
      </c>
      <c r="K120" s="29" t="str">
        <f ca="1">IFERROR(__xludf.dummyfunction("VLOOKUP(J120, IMPORTRANGE(""https://docs.google.com/spreadsheets/d/1yDAaXNsi4Mr5FtRQL4tbmSdIzhx6_m4wkOD7IG-k_eo/edit#gid=0"", ""Maths!M:N""), 2, FALSE)"),"Describe balanced equation.")</f>
        <v>Describe balanced equation.</v>
      </c>
      <c r="L120" s="29" t="str">
        <f t="shared" si="19"/>
        <v>LU000407.002</v>
      </c>
      <c r="M120" s="29" t="str">
        <f ca="1">IFERROR(__xludf.dummyfunction("VLOOKUP(L120, IMPORTRANGE(""https://docs.google.com/spreadsheets/d/1yDAaXNsi4Mr5FtRQL4tbmSdIzhx6_m4wkOD7IG-k_eo/edit#gid=0"", ""Maths!M:N""), 2, FALSE)"),"Explain how same-number operations preserve equation balance.")</f>
        <v>Explain how same-number operations preserve equation balance.</v>
      </c>
      <c r="N120" s="29" t="str">
        <f t="shared" si="20"/>
        <v>LU000407.003</v>
      </c>
      <c r="O120" s="29" t="str">
        <f ca="1">IFERROR(__xludf.dummyfunction("VLOOKUP(N120, IMPORTRANGE(""https://docs.google.com/spreadsheets/d/1yDAaXNsi4Mr5FtRQL4tbmSdIzhx6_m4wkOD7IG-k_eo/edit#gid=0"", ""Maths!M:N""), 2, FALSE)"),"Apply the principle of same-number operations to maintain balance in equations.")</f>
        <v>Apply the principle of same-number operations to maintain balance in equations.</v>
      </c>
      <c r="P120" s="29" t="str">
        <f t="shared" si="21"/>
        <v>LU000407.004</v>
      </c>
      <c r="Q120" s="29" t="str">
        <f ca="1">IFERROR(__xludf.dummyfunction("VLOOKUP(P120, IMPORTRANGE(""https://docs.google.com/spreadsheets/d/1yDAaXNsi4Mr5FtRQL4tbmSdIzhx6_m4wkOD7IG-k_eo/edit#gid=0"", ""Maths!M:N""), 2, FALSE)"),"Analyse effects of different same-number operations on equation balance.")</f>
        <v>Analyse effects of different same-number operations on equation balance.</v>
      </c>
      <c r="R120" s="29" t="str">
        <f t="shared" si="22"/>
        <v>LU000407.005</v>
      </c>
      <c r="S120" s="29" t="str">
        <f ca="1">IFERROR(__xludf.dummyfunction("VLOOKUP(R120, IMPORTRANGE(""https://docs.google.com/spreadsheets/d/1yDAaXNsi4Mr5FtRQL4tbmSdIzhx6_m4wkOD7IG-k_eo/edit#gid=0"", ""Maths!M:N""), 2, FALSE)"),"Evaluate the effectiveness of same-number operations in sustaining equation balance.")</f>
        <v>Evaluate the effectiveness of same-number operations in sustaining equation balance.</v>
      </c>
      <c r="T120" s="29" t="str">
        <f t="shared" si="23"/>
        <v>LU000407.006</v>
      </c>
      <c r="U120" s="29" t="str">
        <f ca="1">IFERROR(__xludf.dummyfunction("VLOOKUP(T120, IMPORTRANGE(""https://docs.google.com/spreadsheets/d/1yDAaXNsi4Mr5FtRQL4tbmSdIzhx6_m4wkOD7IG-k_eo/edit#gid=0"", ""Maths!M:N""), 2, FALSE)"),"Design equations demonstrating the effect of same-number operations on balanced equation stability.")</f>
        <v>Design equations demonstrating the effect of same-number operations on balanced equation stability.</v>
      </c>
      <c r="V120" s="16">
        <f ca="1">IFERROR(__xludf.dummyfunction("ArrayFormula(VLOOKUP(G120, IMPORTRANGE(""https://docs.google.com/spreadsheets/d/1p7R4vtkWt5VOBim4ltsDG9KTzSjrtKXsMtQGXPHyND0/edit#gid=795171502"", ""'Filter 30_05_2024'!A1:M2000""), {2, 3, 4, 5,6,7,8,9,10,11,12,13}, 0))"),4)</f>
        <v>4</v>
      </c>
      <c r="W120" s="16">
        <f ca="1">IFERROR(__xludf.dummyfunction("""COMPUTED_VALUE"""),6)</f>
        <v>6</v>
      </c>
      <c r="X120" s="16">
        <f ca="1">IFERROR(__xludf.dummyfunction("""COMPUTED_VALUE"""),2)</f>
        <v>2</v>
      </c>
      <c r="Y120" s="16">
        <f ca="1">IFERROR(__xludf.dummyfunction("""COMPUTED_VALUE"""),12)</f>
        <v>12</v>
      </c>
      <c r="Z120" s="16">
        <f ca="1">IFERROR(__xludf.dummyfunction("""COMPUTED_VALUE"""),4)</f>
        <v>4</v>
      </c>
      <c r="AA120" s="30">
        <f ca="1">IFERROR(__xludf.dummyfunction("""COMPUTED_VALUE"""),3)</f>
        <v>3</v>
      </c>
      <c r="AB120" s="30">
        <f ca="1">IFERROR(__xludf.dummyfunction("""COMPUTED_VALUE"""),1)</f>
        <v>1</v>
      </c>
      <c r="AC120" s="30">
        <f ca="1">IFERROR(__xludf.dummyfunction("""COMPUTED_VALUE"""),8)</f>
        <v>8</v>
      </c>
      <c r="AD120" s="16"/>
      <c r="AE120" s="30"/>
      <c r="AF120" s="30"/>
      <c r="AG120" s="30"/>
    </row>
    <row r="121" spans="1:33" ht="13.8">
      <c r="A121" s="25"/>
      <c r="B121" s="25" t="s">
        <v>29</v>
      </c>
      <c r="C121" s="25" t="s">
        <v>310</v>
      </c>
      <c r="D121" s="25">
        <v>7</v>
      </c>
      <c r="E121" s="87" t="s">
        <v>929</v>
      </c>
      <c r="F121" s="87"/>
      <c r="G121" s="47" t="s">
        <v>938</v>
      </c>
      <c r="H121" s="72" t="str">
        <f ca="1">IFERROR(__xludf.dummyfunction("IFERROR(
  VLOOKUP(G121, IMPORTRANGE(""https://docs.google.com/spreadsheets/d/14deopnvwcrKtEGCKuYXdUHJbeLDZlkiSSWWT0g7x2pM/edit#gid=849066331"", ""LU List Maths (Filter)!A:B""), 2, FALSE),
  IFERROR(
    VLOOKUP(G121, IMPORTRANGE(""https://docs.google.com"&amp;"/spreadsheets/d/14deopnvwcrKtEGCKuYXdUHJbeLDZlkiSSWWT0g7x2pM/edit#gid=849066331"", ""LU List Science (Filter)!A:B""), 2, FALSE),
    ""Not Found""
  )
)
"),"Solution of a simple equation by balancing method")</f>
        <v>Solution of a simple equation by balancing method</v>
      </c>
      <c r="I121" s="64"/>
      <c r="J121" s="29" t="str">
        <f t="shared" si="18"/>
        <v>LU000409.001</v>
      </c>
      <c r="K121" s="29" t="str">
        <f ca="1">IFERROR(__xludf.dummyfunction("VLOOKUP(J121, IMPORTRANGE(""https://docs.google.com/spreadsheets/d/1yDAaXNsi4Mr5FtRQL4tbmSdIzhx6_m4wkOD7IG-k_eo/edit#gid=0"", ""Maths!M:N""), 2, FALSE)"),"Recall the steps of solving equations using the balancing method.")</f>
        <v>Recall the steps of solving equations using the balancing method.</v>
      </c>
      <c r="L121" s="29" t="str">
        <f t="shared" si="19"/>
        <v>LU000409.002</v>
      </c>
      <c r="M121" s="29" t="str">
        <f ca="1">IFERROR(__xludf.dummyfunction("VLOOKUP(L121, IMPORTRANGE(""https://docs.google.com/spreadsheets/d/1yDAaXNsi4Mr5FtRQL4tbmSdIzhx6_m4wkOD7IG-k_eo/edit#gid=0"", ""Maths!M:N""), 2, FALSE)"),"Deduce the four properties of equality. (addition, subtraction, multiplication or division)")</f>
        <v>Deduce the four properties of equality. (addition, subtraction, multiplication or division)</v>
      </c>
      <c r="N121" s="29" t="str">
        <f t="shared" si="20"/>
        <v>LU000409.003</v>
      </c>
      <c r="O121" s="29" t="str">
        <f ca="1">IFERROR(__xludf.dummyfunction("VLOOKUP(N121, IMPORTRANGE(""https://docs.google.com/spreadsheets/d/1yDAaXNsi4Mr5FtRQL4tbmSdIzhx6_m4wkOD7IG-k_eo/edit#gid=0"", ""Maths!M:N""), 2, FALSE)"),"Apply balancing method to simple equations.")</f>
        <v>Apply balancing method to simple equations.</v>
      </c>
      <c r="P121" s="29" t="str">
        <f t="shared" si="21"/>
        <v>LU000409.004</v>
      </c>
      <c r="Q121" s="29" t="str">
        <f ca="1">IFERROR(__xludf.dummyfunction("VLOOKUP(P121, IMPORTRANGE(""https://docs.google.com/spreadsheets/d/1yDAaXNsi4Mr5FtRQL4tbmSdIzhx6_m4wkOD7IG-k_eo/edit#gid=0"", ""Maths!M:N""), 2, FALSE)"),"Analyse the procedure of solving equations using balancing method.")</f>
        <v>Analyse the procedure of solving equations using balancing method.</v>
      </c>
      <c r="R121" s="29" t="str">
        <f t="shared" si="22"/>
        <v>LU000409.005</v>
      </c>
      <c r="S121" s="29" t="str">
        <f ca="1">IFERROR(__xludf.dummyfunction("VLOOKUP(R121, IMPORTRANGE(""https://docs.google.com/spreadsheets/d/1yDAaXNsi4Mr5FtRQL4tbmSdIzhx6_m4wkOD7IG-k_eo/edit#gid=0"", ""Maths!M:N""), 2, FALSE)"),"Evaluate the accuracy of solutions derived using the balancing method.")</f>
        <v>Evaluate the accuracy of solutions derived using the balancing method.</v>
      </c>
      <c r="T121" s="29" t="str">
        <f t="shared" si="23"/>
        <v>LU000409.006</v>
      </c>
      <c r="U121" s="29" t="str">
        <f ca="1">IFERROR(__xludf.dummyfunction("VLOOKUP(T121, IMPORTRANGE(""https://docs.google.com/spreadsheets/d/1yDAaXNsi4Mr5FtRQL4tbmSdIzhx6_m4wkOD7IG-k_eo/edit#gid=0"", ""Maths!M:N""), 2, FALSE)"),"Create problems illustrating equation solving using the balancing method.")</f>
        <v>Create problems illustrating equation solving using the balancing method.</v>
      </c>
      <c r="V121" s="16">
        <f ca="1">IFERROR(__xludf.dummyfunction("ArrayFormula(VLOOKUP(G121, IMPORTRANGE(""https://docs.google.com/spreadsheets/d/1p7R4vtkWt5VOBim4ltsDG9KTzSjrtKXsMtQGXPHyND0/edit#gid=795171502"", ""'Filter 30_05_2024'!A1:M2000""), {2, 3, 4, 5,6,7,8,9,10,11,12,13}, 0))"),1)</f>
        <v>1</v>
      </c>
      <c r="W121" s="16">
        <f ca="1">IFERROR(__xludf.dummyfunction("""COMPUTED_VALUE"""),1)</f>
        <v>1</v>
      </c>
      <c r="X121" s="16">
        <f ca="1">IFERROR(__xludf.dummyfunction("""COMPUTED_VALUE"""),1)</f>
        <v>1</v>
      </c>
      <c r="Y121" s="16">
        <f ca="1">IFERROR(__xludf.dummyfunction("""COMPUTED_VALUE"""),3)</f>
        <v>3</v>
      </c>
      <c r="Z121" s="16">
        <f ca="1">IFERROR(__xludf.dummyfunction("""COMPUTED_VALUE"""),7)</f>
        <v>7</v>
      </c>
      <c r="AA121" s="30">
        <f ca="1">IFERROR(__xludf.dummyfunction("""COMPUTED_VALUE"""),12)</f>
        <v>12</v>
      </c>
      <c r="AB121" s="30">
        <f ca="1">IFERROR(__xludf.dummyfunction("""COMPUTED_VALUE"""),2)</f>
        <v>2</v>
      </c>
      <c r="AC121" s="30">
        <f ca="1">IFERROR(__xludf.dummyfunction("""COMPUTED_VALUE"""),21)</f>
        <v>21</v>
      </c>
      <c r="AD121" s="16"/>
      <c r="AE121" s="30"/>
      <c r="AF121" s="30"/>
      <c r="AG121" s="30"/>
    </row>
    <row r="122" spans="1:33" ht="13.8">
      <c r="A122" s="25"/>
      <c r="B122" s="25" t="s">
        <v>29</v>
      </c>
      <c r="C122" s="25" t="s">
        <v>310</v>
      </c>
      <c r="D122" s="25">
        <v>7</v>
      </c>
      <c r="E122" s="87" t="s">
        <v>929</v>
      </c>
      <c r="F122" s="87" t="s">
        <v>939</v>
      </c>
      <c r="G122" s="47" t="s">
        <v>940</v>
      </c>
      <c r="H122" s="72" t="str">
        <f ca="1">IFERROR(__xludf.dummyfunction("IFERROR(
  VLOOKUP(G122, IMPORTRANGE(""https://docs.google.com/spreadsheets/d/14deopnvwcrKtEGCKuYXdUHJbeLDZlkiSSWWT0g7x2pM/edit#gid=849066331"", ""LU List Maths (Filter)!A:B""), 2, FALSE),
  IFERROR(
    VLOOKUP(G122, IMPORTRANGE(""https://docs.google.com"&amp;"/spreadsheets/d/14deopnvwcrKtEGCKuYXdUHJbeLDZlkiSSWWT0g7x2pM/edit#gid=849066331"", ""LU List Science (Filter)!A:B""), 2, FALSE),
    ""Not Found""
  )
)
"),"Solution of a simple equation by transpose method")</f>
        <v>Solution of a simple equation by transpose method</v>
      </c>
      <c r="I122" s="64"/>
      <c r="J122" s="29" t="str">
        <f t="shared" si="18"/>
        <v>LU000410.001</v>
      </c>
      <c r="K122" s="29" t="str">
        <f ca="1">IFERROR(__xludf.dummyfunction("VLOOKUP(J122, IMPORTRANGE(""https://docs.google.com/spreadsheets/d/1yDAaXNsi4Mr5FtRQL4tbmSdIzhx6_m4wkOD7IG-k_eo/edit#gid=0"", ""Maths!M:N""), 2, FALSE)"),"Recall steps for solving equations using transpose method.")</f>
        <v>Recall steps for solving equations using transpose method.</v>
      </c>
      <c r="L122" s="29" t="str">
        <f t="shared" si="19"/>
        <v>LU000410.002</v>
      </c>
      <c r="M122" s="29" t="str">
        <f ca="1">IFERROR(__xludf.dummyfunction("VLOOKUP(L122, IMPORTRANGE(""https://docs.google.com/spreadsheets/d/1yDAaXNsi4Mr5FtRQL4tbmSdIzhx6_m4wkOD7IG-k_eo/edit#gid=0"", ""Maths!M:N""), 2, FALSE)"),"Explain the concept of solving equations using transposition method.")</f>
        <v>Explain the concept of solving equations using transposition method.</v>
      </c>
      <c r="N122" s="29" t="str">
        <f t="shared" si="20"/>
        <v>LU000410.003</v>
      </c>
      <c r="O122" s="29" t="str">
        <f ca="1">IFERROR(__xludf.dummyfunction("VLOOKUP(N122, IMPORTRANGE(""https://docs.google.com/spreadsheets/d/1yDAaXNsi4Mr5FtRQL4tbmSdIzhx6_m4wkOD7IG-k_eo/edit#gid=0"", ""Maths!M:N""), 2, FALSE)"),"Solve an equation by transposing method.")</f>
        <v>Solve an equation by transposing method.</v>
      </c>
      <c r="P122" s="29" t="str">
        <f t="shared" si="21"/>
        <v>LU000410.004</v>
      </c>
      <c r="Q122" s="29" t="str">
        <f ca="1">IFERROR(__xludf.dummyfunction("VLOOKUP(P122, IMPORTRANGE(""https://docs.google.com/spreadsheets/d/1yDAaXNsi4Mr5FtRQL4tbmSdIzhx6_m4wkOD7IG-k_eo/edit#gid=0"", ""Maths!M:N""), 2, FALSE)"),"Compare the different methods of solving equations to determine the most efficient approach for a given problem.")</f>
        <v>Compare the different methods of solving equations to determine the most efficient approach for a given problem.</v>
      </c>
      <c r="R122" s="29" t="str">
        <f t="shared" si="22"/>
        <v>LU000410.005</v>
      </c>
      <c r="S122" s="29" t="str">
        <f ca="1">IFERROR(__xludf.dummyfunction("VLOOKUP(R122, IMPORTRANGE(""https://docs.google.com/spreadsheets/d/1yDAaXNsi4Mr5FtRQL4tbmSdIzhx6_m4wkOD7IG-k_eo/edit#gid=0"", ""Maths!M:N""), 2, FALSE)"),"Evaluate the accuracy and efficiency of solutions obtained using the transposition method.")</f>
        <v>Evaluate the accuracy and efficiency of solutions obtained using the transposition method.</v>
      </c>
      <c r="T122" s="29" t="str">
        <f t="shared" si="23"/>
        <v>LU000410.006</v>
      </c>
      <c r="U122" s="29" t="str">
        <f ca="1">IFERROR(__xludf.dummyfunction("VLOOKUP(T122, IMPORTRANGE(""https://docs.google.com/spreadsheets/d/1yDAaXNsi4Mr5FtRQL4tbmSdIzhx6_m4wkOD7IG-k_eo/edit#gid=0"", ""Maths!M:N""), 2, FALSE)"),"Design practice equations showcasing the transposition method for equation solving.")</f>
        <v>Design practice equations showcasing the transposition method for equation solving.</v>
      </c>
      <c r="V122" s="16">
        <f ca="1">IFERROR(__xludf.dummyfunction("ArrayFormula(VLOOKUP(G122, IMPORTRANGE(""https://docs.google.com/spreadsheets/d/1p7R4vtkWt5VOBim4ltsDG9KTzSjrtKXsMtQGXPHyND0/edit#gid=795171502"", ""'Filter 30_05_2024'!A1:M2000""), {2, 3, 4, 5,6,7,8,9,10,11,12,13}, 0))"),22)</f>
        <v>22</v>
      </c>
      <c r="W122" s="16">
        <f ca="1">IFERROR(__xludf.dummyfunction("""COMPUTED_VALUE"""),8)</f>
        <v>8</v>
      </c>
      <c r="X122" s="16">
        <f ca="1">IFERROR(__xludf.dummyfunction("""COMPUTED_VALUE"""),5)</f>
        <v>5</v>
      </c>
      <c r="Y122" s="16">
        <f ca="1">IFERROR(__xludf.dummyfunction("""COMPUTED_VALUE"""),35)</f>
        <v>35</v>
      </c>
      <c r="Z122" s="16">
        <f ca="1">IFERROR(__xludf.dummyfunction("""COMPUTED_VALUE"""),7)</f>
        <v>7</v>
      </c>
      <c r="AA122" s="30">
        <f ca="1">IFERROR(__xludf.dummyfunction("""COMPUTED_VALUE"""),4)</f>
        <v>4</v>
      </c>
      <c r="AB122" s="30">
        <f ca="1">IFERROR(__xludf.dummyfunction("""COMPUTED_VALUE"""),1)</f>
        <v>1</v>
      </c>
      <c r="AC122" s="30">
        <f ca="1">IFERROR(__xludf.dummyfunction("""COMPUTED_VALUE"""),12)</f>
        <v>12</v>
      </c>
      <c r="AD122" s="16"/>
      <c r="AE122" s="30"/>
      <c r="AF122" s="30"/>
      <c r="AG122" s="30"/>
    </row>
    <row r="123" spans="1:33" ht="13.8">
      <c r="A123" s="25"/>
      <c r="B123" s="25" t="s">
        <v>29</v>
      </c>
      <c r="C123" s="25" t="s">
        <v>310</v>
      </c>
      <c r="D123" s="25">
        <v>7</v>
      </c>
      <c r="E123" s="87" t="s">
        <v>929</v>
      </c>
      <c r="F123" s="87" t="s">
        <v>941</v>
      </c>
      <c r="G123" s="47" t="s">
        <v>942</v>
      </c>
      <c r="H123" s="72" t="str">
        <f ca="1">IFERROR(__xludf.dummyfunction("IFERROR(
  VLOOKUP(G123, IMPORTRANGE(""https://docs.google.com/spreadsheets/d/14deopnvwcrKtEGCKuYXdUHJbeLDZlkiSSWWT0g7x2pM/edit#gid=849066331"", ""LU List Maths (Filter)!A:B""), 2, FALSE),
  IFERROR(
    VLOOKUP(G123, IMPORTRANGE(""https://docs.google.com"&amp;"/spreadsheets/d/14deopnvwcrKtEGCKuYXdUHJbeLDZlkiSSWWT0g7x2pM/edit#gid=849066331"", ""LU List Science (Filter)!A:B""), 2, FALSE),
    ""Not Found""
  )
)
"),"Real life application of solving simple equations")</f>
        <v>Real life application of solving simple equations</v>
      </c>
      <c r="I123" s="64"/>
      <c r="J123" s="29" t="str">
        <f t="shared" si="18"/>
        <v>LU000413.001</v>
      </c>
      <c r="K123" s="29" t="str">
        <f ca="1">IFERROR(__xludf.dummyfunction("VLOOKUP(J123, IMPORTRANGE(""https://docs.google.com/spreadsheets/d/1yDAaXNsi4Mr5FtRQL4tbmSdIzhx6_m4wkOD7IG-k_eo/edit#gid=0"", ""Maths!M:N""), 2, FALSE)"),"Recall real-life scenarios where solving equations is applicable.")</f>
        <v>Recall real-life scenarios where solving equations is applicable.</v>
      </c>
      <c r="L123" s="29" t="str">
        <f t="shared" si="19"/>
        <v>LU000413.002</v>
      </c>
      <c r="M123" s="29" t="str">
        <f ca="1">IFERROR(__xludf.dummyfunction("VLOOKUP(L123, IMPORTRANGE(""https://docs.google.com/spreadsheets/d/1yDAaXNsi4Mr5FtRQL4tbmSdIzhx6_m4wkOD7IG-k_eo/edit#gid=0"", ""Maths!M:N""), 2, FALSE)"),"Explain importance of solving simple equations in real-life contexts.")</f>
        <v>Explain importance of solving simple equations in real-life contexts.</v>
      </c>
      <c r="N123" s="29" t="str">
        <f t="shared" si="20"/>
        <v>LU000413.003</v>
      </c>
      <c r="O123" s="29" t="str">
        <f ca="1">IFERROR(__xludf.dummyfunction("VLOOKUP(N123, IMPORTRANGE(""https://docs.google.com/spreadsheets/d/1yDAaXNsi4Mr5FtRQL4tbmSdIzhx6_m4wkOD7IG-k_eo/edit#gid=0"", ""Maths!M:N""), 2, FALSE)"),"Construct an equation for a given word problem (with a single variable).")</f>
        <v>Construct an equation for a given word problem (with a single variable).</v>
      </c>
      <c r="P123" s="29" t="str">
        <f t="shared" si="21"/>
        <v>LU000413.004</v>
      </c>
      <c r="Q123" s="29" t="str">
        <f ca="1">IFERROR(__xludf.dummyfunction("VLOOKUP(P123, IMPORTRANGE(""https://docs.google.com/spreadsheets/d/1yDAaXNsi4Mr5FtRQL4tbmSdIzhx6_m4wkOD7IG-k_eo/edit#gid=0"", ""Maths!M:N""), 2, FALSE)"),"Solve real life problems which requires solving equation with one variable (using trial and error, systematic or transpose method).")</f>
        <v>Solve real life problems which requires solving equation with one variable (using trial and error, systematic or transpose method).</v>
      </c>
      <c r="R123" s="29" t="str">
        <f t="shared" si="22"/>
        <v>LU000413.005</v>
      </c>
      <c r="S123" s="29" t="str">
        <f ca="1">IFERROR(__xludf.dummyfunction("VLOOKUP(R123, IMPORTRANGE(""https://docs.google.com/spreadsheets/d/1yDAaXNsi4Mr5FtRQL4tbmSdIzhx6_m4wkOD7IG-k_eo/edit#gid=0"", ""Maths!M:N""), 2, FALSE)"),"Relate a given equation to some appropriate practical situation and build a practical word problem/puzzle from the equation.")</f>
        <v>Relate a given equation to some appropriate practical situation and build a practical word problem/puzzle from the equation.</v>
      </c>
      <c r="T123" s="29" t="str">
        <f t="shared" si="23"/>
        <v>LU000413.006</v>
      </c>
      <c r="U123" s="29" t="str">
        <f ca="1">IFERROR(__xludf.dummyfunction("VLOOKUP(T123, IMPORTRANGE(""https://docs.google.com/spreadsheets/d/1yDAaXNsi4Mr5FtRQL4tbmSdIzhx6_m4wkOD7IG-k_eo/edit#gid=0"", ""Maths!M:N""), 2, FALSE)"),"Develop word problems simulating real-life scenarios that can be solved using equations.")</f>
        <v>Develop word problems simulating real-life scenarios that can be solved using equations.</v>
      </c>
      <c r="V123" s="16">
        <f ca="1">IFERROR(__xludf.dummyfunction("ArrayFormula(VLOOKUP(G123, IMPORTRANGE(""https://docs.google.com/spreadsheets/d/1p7R4vtkWt5VOBim4ltsDG9KTzSjrtKXsMtQGXPHyND0/edit#gid=795171502"", ""'Filter 30_05_2024'!A1:M2000""), {2, 3, 4, 5,6,7,8,9,10,11,12,13}, 0))"),7)</f>
        <v>7</v>
      </c>
      <c r="W123" s="16">
        <f ca="1">IFERROR(__xludf.dummyfunction("""COMPUTED_VALUE"""),6)</f>
        <v>6</v>
      </c>
      <c r="X123" s="16">
        <f ca="1">IFERROR(__xludf.dummyfunction("""COMPUTED_VALUE"""),2)</f>
        <v>2</v>
      </c>
      <c r="Y123" s="16">
        <f ca="1">IFERROR(__xludf.dummyfunction("""COMPUTED_VALUE"""),15)</f>
        <v>15</v>
      </c>
      <c r="Z123" s="16">
        <f ca="1">IFERROR(__xludf.dummyfunction("""COMPUTED_VALUE"""),12)</f>
        <v>12</v>
      </c>
      <c r="AA123" s="30">
        <f ca="1">IFERROR(__xludf.dummyfunction("""COMPUTED_VALUE"""),4)</f>
        <v>4</v>
      </c>
      <c r="AB123" s="30">
        <f ca="1">IFERROR(__xludf.dummyfunction("""COMPUTED_VALUE"""),1)</f>
        <v>1</v>
      </c>
      <c r="AC123" s="30">
        <f ca="1">IFERROR(__xludf.dummyfunction("""COMPUTED_VALUE"""),17)</f>
        <v>17</v>
      </c>
      <c r="AD123" s="16"/>
      <c r="AE123" s="30"/>
      <c r="AF123" s="30"/>
      <c r="AG123" s="30"/>
    </row>
    <row r="124" spans="1:33" ht="15.6">
      <c r="A124" s="25"/>
      <c r="B124" s="25" t="s">
        <v>29</v>
      </c>
      <c r="C124" s="25" t="s">
        <v>310</v>
      </c>
      <c r="D124" s="25">
        <v>7</v>
      </c>
      <c r="E124" s="87" t="s">
        <v>943</v>
      </c>
      <c r="F124" s="91" t="s">
        <v>944</v>
      </c>
      <c r="G124" s="79" t="s">
        <v>945</v>
      </c>
      <c r="H124" s="72" t="str">
        <f ca="1">IFERROR(__xludf.dummyfunction("IFERROR(
  VLOOKUP(G124, IMPORTRANGE(""https://docs.google.com/spreadsheets/d/14deopnvwcrKtEGCKuYXdUHJbeLDZlkiSSWWT0g7x2pM/edit#gid=849066331"", ""LU List Maths (Filter)!A:B""), 2, FALSE),
  IFERROR(
    VLOOKUP(G124, IMPORTRANGE(""https://docs.google.com"&amp;"/spreadsheets/d/14deopnvwcrKtEGCKuYXdUHJbeLDZlkiSSWWT0g7x2pM/edit#gid=849066331"", ""LU List Science (Filter)!A:B""), 2, FALSE),
    ""Not Found""
  )
)
"),"Define linear inequality")</f>
        <v>Define linear inequality</v>
      </c>
      <c r="I124" s="64"/>
      <c r="J124" s="29" t="str">
        <f t="shared" si="18"/>
        <v>LU001406.001</v>
      </c>
      <c r="K124" s="29" t="str">
        <f ca="1">IFERROR(__xludf.dummyfunction("VLOOKUP(J124, IMPORTRANGE(""https://docs.google.com/spreadsheets/d/1yDAaXNsi4Mr5FtRQL4tbmSdIzhx6_m4wkOD7IG-k_eo/edit#gid=0"", ""Maths!M:N""), 2, FALSE)"),"(LU001406.001); Default - Remember")</f>
        <v>(LU001406.001); Default - Remember</v>
      </c>
      <c r="L124" s="29" t="str">
        <f t="shared" si="19"/>
        <v>LU001406.002</v>
      </c>
      <c r="M124" s="29" t="str">
        <f ca="1">IFERROR(__xludf.dummyfunction("VLOOKUP(L124, IMPORTRANGE(""https://docs.google.com/spreadsheets/d/1yDAaXNsi4Mr5FtRQL4tbmSdIzhx6_m4wkOD7IG-k_eo/edit#gid=0"", ""Maths!M:N""), 2, FALSE)"),"(LU001406.002); Default - Understand")</f>
        <v>(LU001406.002); Default - Understand</v>
      </c>
      <c r="N124" s="29" t="str">
        <f t="shared" si="20"/>
        <v>LU001406.003</v>
      </c>
      <c r="O124" s="29" t="str">
        <f ca="1">IFERROR(__xludf.dummyfunction("VLOOKUP(N124, IMPORTRANGE(""https://docs.google.com/spreadsheets/d/1yDAaXNsi4Mr5FtRQL4tbmSdIzhx6_m4wkOD7IG-k_eo/edit#gid=0"", ""Maths!M:N""), 2, FALSE)"),"(LU001406.003); Default - Apply")</f>
        <v>(LU001406.003); Default - Apply</v>
      </c>
      <c r="P124" s="29" t="str">
        <f t="shared" si="21"/>
        <v>LU001406.004</v>
      </c>
      <c r="Q124" s="29" t="str">
        <f ca="1">IFERROR(__xludf.dummyfunction("VLOOKUP(P124, IMPORTRANGE(""https://docs.google.com/spreadsheets/d/1yDAaXNsi4Mr5FtRQL4tbmSdIzhx6_m4wkOD7IG-k_eo/edit#gid=0"", ""Maths!M:N""), 2, FALSE)"),"(LU001406.004); Default - Analyse")</f>
        <v>(LU001406.004); Default - Analyse</v>
      </c>
      <c r="R124" s="29" t="str">
        <f t="shared" si="22"/>
        <v>LU001406.005</v>
      </c>
      <c r="S124" s="29" t="str">
        <f ca="1">IFERROR(__xludf.dummyfunction("VLOOKUP(R124, IMPORTRANGE(""https://docs.google.com/spreadsheets/d/1yDAaXNsi4Mr5FtRQL4tbmSdIzhx6_m4wkOD7IG-k_eo/edit#gid=0"", ""Maths!M:N""), 2, FALSE)"),"(LU001406.005); Default - Evaluate")</f>
        <v>(LU001406.005); Default - Evaluate</v>
      </c>
      <c r="T124" s="29" t="str">
        <f t="shared" si="23"/>
        <v>LU001406.006</v>
      </c>
      <c r="U124" s="29" t="str">
        <f ca="1">IFERROR(__xludf.dummyfunction("VLOOKUP(T124, IMPORTRANGE(""https://docs.google.com/spreadsheets/d/1yDAaXNsi4Mr5FtRQL4tbmSdIzhx6_m4wkOD7IG-k_eo/edit#gid=0"", ""Maths!M:N""), 2, FALSE)"),"(LU001406.006); Default - Create")</f>
        <v>(LU001406.006); Default - Create</v>
      </c>
      <c r="V124" s="16" t="str">
        <f ca="1">IFERROR(__xludf.dummyfunction("ArrayFormula(VLOOKUP(G124, IMPORTRANGE(""https://docs.google.com/spreadsheets/d/1p7R4vtkWt5VOBim4ltsDG9KTzSjrtKXsMtQGXPHyND0/edit#gid=795171502"", ""'Filter 30_05_2024'!A1:M2000""), {2, 3, 4, 5,6,7,8,9,10,11,12,13}, 0))"),"#N/A")</f>
        <v>#N/A</v>
      </c>
      <c r="W124" s="16" t="str">
        <f ca="1">IFERROR(__xludf.dummyfunction("""COMPUTED_VALUE"""),"#N/A")</f>
        <v>#N/A</v>
      </c>
      <c r="X124" s="16" t="str">
        <f ca="1">IFERROR(__xludf.dummyfunction("""COMPUTED_VALUE"""),"#N/A")</f>
        <v>#N/A</v>
      </c>
      <c r="Y124" s="16" t="str">
        <f ca="1">IFERROR(__xludf.dummyfunction("""COMPUTED_VALUE"""),"#N/A")</f>
        <v>#N/A</v>
      </c>
      <c r="Z124" s="16" t="str">
        <f ca="1">IFERROR(__xludf.dummyfunction("""COMPUTED_VALUE"""),"#N/A")</f>
        <v>#N/A</v>
      </c>
      <c r="AA124" s="30" t="str">
        <f ca="1">IFERROR(__xludf.dummyfunction("""COMPUTED_VALUE"""),"#N/A")</f>
        <v>#N/A</v>
      </c>
      <c r="AB124" s="30" t="str">
        <f ca="1">IFERROR(__xludf.dummyfunction("""COMPUTED_VALUE"""),"#N/A")</f>
        <v>#N/A</v>
      </c>
      <c r="AC124" s="30" t="str">
        <f ca="1">IFERROR(__xludf.dummyfunction("""COMPUTED_VALUE"""),"#N/A")</f>
        <v>#N/A</v>
      </c>
      <c r="AD124" s="16" t="str">
        <f ca="1">IFERROR(__xludf.dummyfunction("""COMPUTED_VALUE"""),"#N/A")</f>
        <v>#N/A</v>
      </c>
      <c r="AE124" s="30" t="str">
        <f ca="1">IFERROR(__xludf.dummyfunction("""COMPUTED_VALUE"""),"#N/A")</f>
        <v>#N/A</v>
      </c>
      <c r="AF124" s="30" t="str">
        <f ca="1">IFERROR(__xludf.dummyfunction("""COMPUTED_VALUE"""),"#N/A")</f>
        <v>#N/A</v>
      </c>
      <c r="AG124" s="30" t="str">
        <f ca="1">IFERROR(__xludf.dummyfunction("""COMPUTED_VALUE"""),"#N/A")</f>
        <v>#N/A</v>
      </c>
    </row>
    <row r="125" spans="1:33" ht="15.6">
      <c r="A125" s="25"/>
      <c r="B125" s="25" t="s">
        <v>29</v>
      </c>
      <c r="C125" s="25" t="s">
        <v>310</v>
      </c>
      <c r="D125" s="25">
        <v>7</v>
      </c>
      <c r="E125" s="87" t="s">
        <v>943</v>
      </c>
      <c r="F125" s="91"/>
      <c r="G125" s="79" t="s">
        <v>946</v>
      </c>
      <c r="H125" s="72" t="str">
        <f ca="1">IFERROR(__xludf.dummyfunction("IFERROR(
  VLOOKUP(G125, IMPORTRANGE(""https://docs.google.com/spreadsheets/d/14deopnvwcrKtEGCKuYXdUHJbeLDZlkiSSWWT0g7x2pM/edit#gid=849066331"", ""LU List Maths (Filter)!A:B""), 2, FALSE),
  IFERROR(
    VLOOKUP(G125, IMPORTRANGE(""https://docs.google.com"&amp;"/spreadsheets/d/14deopnvwcrKtEGCKuYXdUHJbeLDZlkiSSWWT0g7x2pM/edit#gid=849066331"", ""LU List Science (Filter)!A:B""), 2, FALSE),
    ""Not Found""
  )
)
"),"Replacement set and solution set for linear inequality")</f>
        <v>Replacement set and solution set for linear inequality</v>
      </c>
      <c r="I125" s="64"/>
      <c r="J125" s="29" t="str">
        <f t="shared" si="18"/>
        <v>LU001407.001</v>
      </c>
      <c r="K125" s="29" t="str">
        <f ca="1">IFERROR(__xludf.dummyfunction("VLOOKUP(J125, IMPORTRANGE(""https://docs.google.com/spreadsheets/d/1yDAaXNsi4Mr5FtRQL4tbmSdIzhx6_m4wkOD7IG-k_eo/edit#gid=0"", ""Maths!M:N""), 2, FALSE)"),"(LU001407.001); Default - Remember")</f>
        <v>(LU001407.001); Default - Remember</v>
      </c>
      <c r="L125" s="29" t="str">
        <f t="shared" si="19"/>
        <v>LU001407.002</v>
      </c>
      <c r="M125" s="29" t="str">
        <f ca="1">IFERROR(__xludf.dummyfunction("VLOOKUP(L125, IMPORTRANGE(""https://docs.google.com/spreadsheets/d/1yDAaXNsi4Mr5FtRQL4tbmSdIzhx6_m4wkOD7IG-k_eo/edit#gid=0"", ""Maths!M:N""), 2, FALSE)"),"(LU001407.002); Default - Understand")</f>
        <v>(LU001407.002); Default - Understand</v>
      </c>
      <c r="N125" s="29" t="str">
        <f t="shared" si="20"/>
        <v>LU001407.003</v>
      </c>
      <c r="O125" s="29" t="str">
        <f ca="1">IFERROR(__xludf.dummyfunction("VLOOKUP(N125, IMPORTRANGE(""https://docs.google.com/spreadsheets/d/1yDAaXNsi4Mr5FtRQL4tbmSdIzhx6_m4wkOD7IG-k_eo/edit#gid=0"", ""Maths!M:N""), 2, FALSE)"),"(LU001407.003); Default - Apply")</f>
        <v>(LU001407.003); Default - Apply</v>
      </c>
      <c r="P125" s="29" t="str">
        <f t="shared" si="21"/>
        <v>LU001407.004</v>
      </c>
      <c r="Q125" s="29" t="str">
        <f ca="1">IFERROR(__xludf.dummyfunction("VLOOKUP(P125, IMPORTRANGE(""https://docs.google.com/spreadsheets/d/1yDAaXNsi4Mr5FtRQL4tbmSdIzhx6_m4wkOD7IG-k_eo/edit#gid=0"", ""Maths!M:N""), 2, FALSE)"),"(LU001407.004); Default - Analyse")</f>
        <v>(LU001407.004); Default - Analyse</v>
      </c>
      <c r="R125" s="29" t="str">
        <f t="shared" si="22"/>
        <v>LU001407.005</v>
      </c>
      <c r="S125" s="29" t="str">
        <f ca="1">IFERROR(__xludf.dummyfunction("VLOOKUP(R125, IMPORTRANGE(""https://docs.google.com/spreadsheets/d/1yDAaXNsi4Mr5FtRQL4tbmSdIzhx6_m4wkOD7IG-k_eo/edit#gid=0"", ""Maths!M:N""), 2, FALSE)"),"(LU001407.005); Default - Evaluate")</f>
        <v>(LU001407.005); Default - Evaluate</v>
      </c>
      <c r="T125" s="29" t="str">
        <f t="shared" si="23"/>
        <v>LU001407.006</v>
      </c>
      <c r="U125" s="29" t="str">
        <f ca="1">IFERROR(__xludf.dummyfunction("VLOOKUP(T125, IMPORTRANGE(""https://docs.google.com/spreadsheets/d/1yDAaXNsi4Mr5FtRQL4tbmSdIzhx6_m4wkOD7IG-k_eo/edit#gid=0"", ""Maths!M:N""), 2, FALSE)"),"(LU001407.006); Default - Create")</f>
        <v>(LU001407.006); Default - Create</v>
      </c>
      <c r="V125" s="16" t="str">
        <f ca="1">IFERROR(__xludf.dummyfunction("ArrayFormula(VLOOKUP(G125, IMPORTRANGE(""https://docs.google.com/spreadsheets/d/1p7R4vtkWt5VOBim4ltsDG9KTzSjrtKXsMtQGXPHyND0/edit#gid=795171502"", ""'Filter 30_05_2024'!A1:M2000""), {2, 3, 4, 5,6,7,8,9,10,11,12,13}, 0))"),"#N/A")</f>
        <v>#N/A</v>
      </c>
      <c r="W125" s="16" t="str">
        <f ca="1">IFERROR(__xludf.dummyfunction("""COMPUTED_VALUE"""),"#N/A")</f>
        <v>#N/A</v>
      </c>
      <c r="X125" s="16" t="str">
        <f ca="1">IFERROR(__xludf.dummyfunction("""COMPUTED_VALUE"""),"#N/A")</f>
        <v>#N/A</v>
      </c>
      <c r="Y125" s="16" t="str">
        <f ca="1">IFERROR(__xludf.dummyfunction("""COMPUTED_VALUE"""),"#N/A")</f>
        <v>#N/A</v>
      </c>
      <c r="Z125" s="16" t="str">
        <f ca="1">IFERROR(__xludf.dummyfunction("""COMPUTED_VALUE"""),"#N/A")</f>
        <v>#N/A</v>
      </c>
      <c r="AA125" s="30" t="str">
        <f ca="1">IFERROR(__xludf.dummyfunction("""COMPUTED_VALUE"""),"#N/A")</f>
        <v>#N/A</v>
      </c>
      <c r="AB125" s="30" t="str">
        <f ca="1">IFERROR(__xludf.dummyfunction("""COMPUTED_VALUE"""),"#N/A")</f>
        <v>#N/A</v>
      </c>
      <c r="AC125" s="30" t="str">
        <f ca="1">IFERROR(__xludf.dummyfunction("""COMPUTED_VALUE"""),"#N/A")</f>
        <v>#N/A</v>
      </c>
      <c r="AD125" s="16" t="str">
        <f ca="1">IFERROR(__xludf.dummyfunction("""COMPUTED_VALUE"""),"#N/A")</f>
        <v>#N/A</v>
      </c>
      <c r="AE125" s="30" t="str">
        <f ca="1">IFERROR(__xludf.dummyfunction("""COMPUTED_VALUE"""),"#N/A")</f>
        <v>#N/A</v>
      </c>
      <c r="AF125" s="30" t="str">
        <f ca="1">IFERROR(__xludf.dummyfunction("""COMPUTED_VALUE"""),"#N/A")</f>
        <v>#N/A</v>
      </c>
      <c r="AG125" s="30" t="str">
        <f ca="1">IFERROR(__xludf.dummyfunction("""COMPUTED_VALUE"""),"#N/A")</f>
        <v>#N/A</v>
      </c>
    </row>
    <row r="126" spans="1:33" ht="15.6">
      <c r="A126" s="25"/>
      <c r="B126" s="25" t="s">
        <v>29</v>
      </c>
      <c r="C126" s="25" t="s">
        <v>310</v>
      </c>
      <c r="D126" s="25">
        <v>7</v>
      </c>
      <c r="E126" s="87" t="s">
        <v>943</v>
      </c>
      <c r="F126" s="91" t="s">
        <v>947</v>
      </c>
      <c r="G126" s="79" t="s">
        <v>948</v>
      </c>
      <c r="H126" s="72" t="str">
        <f ca="1">IFERROR(__xludf.dummyfunction("IFERROR(
  VLOOKUP(G126, IMPORTRANGE(""https://docs.google.com/spreadsheets/d/14deopnvwcrKtEGCKuYXdUHJbeLDZlkiSSWWT0g7x2pM/edit#gid=849066331"", ""LU List Maths (Filter)!A:B""), 2, FALSE),
  IFERROR(
    VLOOKUP(G126, IMPORTRANGE(""https://docs.google.com"&amp;"/spreadsheets/d/14deopnvwcrKtEGCKuYXdUHJbeLDZlkiSSWWT0g7x2pM/edit#gid=849066331"", ""LU List Science (Filter)!A:B""), 2, FALSE),
    ""Not Found""
  )
)
"),"Rules for solving linear inequality in one variable")</f>
        <v>Rules for solving linear inequality in one variable</v>
      </c>
      <c r="I126" s="64"/>
      <c r="J126" s="29" t="str">
        <f t="shared" si="18"/>
        <v>LU001408.001</v>
      </c>
      <c r="K126" s="29" t="str">
        <f ca="1">IFERROR(__xludf.dummyfunction("VLOOKUP(J126, IMPORTRANGE(""https://docs.google.com/spreadsheets/d/1yDAaXNsi4Mr5FtRQL4tbmSdIzhx6_m4wkOD7IG-k_eo/edit#gid=0"", ""Maths!M:N""), 2, FALSE)"),"(LU001408.001); Default - Remember")</f>
        <v>(LU001408.001); Default - Remember</v>
      </c>
      <c r="L126" s="29" t="str">
        <f t="shared" si="19"/>
        <v>LU001408.002</v>
      </c>
      <c r="M126" s="29" t="str">
        <f ca="1">IFERROR(__xludf.dummyfunction("VLOOKUP(L126, IMPORTRANGE(""https://docs.google.com/spreadsheets/d/1yDAaXNsi4Mr5FtRQL4tbmSdIzhx6_m4wkOD7IG-k_eo/edit#gid=0"", ""Maths!M:N""), 2, FALSE)"),"(LU001408.002); Default - Understand")</f>
        <v>(LU001408.002); Default - Understand</v>
      </c>
      <c r="N126" s="29" t="str">
        <f t="shared" si="20"/>
        <v>LU001408.003</v>
      </c>
      <c r="O126" s="29" t="str">
        <f ca="1">IFERROR(__xludf.dummyfunction("VLOOKUP(N126, IMPORTRANGE(""https://docs.google.com/spreadsheets/d/1yDAaXNsi4Mr5FtRQL4tbmSdIzhx6_m4wkOD7IG-k_eo/edit#gid=0"", ""Maths!M:N""), 2, FALSE)"),"(LU001408.003); Default - Apply")</f>
        <v>(LU001408.003); Default - Apply</v>
      </c>
      <c r="P126" s="29" t="str">
        <f t="shared" si="21"/>
        <v>LU001408.004</v>
      </c>
      <c r="Q126" s="29" t="str">
        <f ca="1">IFERROR(__xludf.dummyfunction("VLOOKUP(P126, IMPORTRANGE(""https://docs.google.com/spreadsheets/d/1yDAaXNsi4Mr5FtRQL4tbmSdIzhx6_m4wkOD7IG-k_eo/edit#gid=0"", ""Maths!M:N""), 2, FALSE)"),"(LU001408.004); Default - Analyse")</f>
        <v>(LU001408.004); Default - Analyse</v>
      </c>
      <c r="R126" s="29" t="str">
        <f t="shared" si="22"/>
        <v>LU001408.005</v>
      </c>
      <c r="S126" s="29" t="str">
        <f ca="1">IFERROR(__xludf.dummyfunction("VLOOKUP(R126, IMPORTRANGE(""https://docs.google.com/spreadsheets/d/1yDAaXNsi4Mr5FtRQL4tbmSdIzhx6_m4wkOD7IG-k_eo/edit#gid=0"", ""Maths!M:N""), 2, FALSE)"),"(LU001408.005); Default - Evaluate")</f>
        <v>(LU001408.005); Default - Evaluate</v>
      </c>
      <c r="T126" s="29" t="str">
        <f t="shared" si="23"/>
        <v>LU001408.006</v>
      </c>
      <c r="U126" s="29" t="str">
        <f ca="1">IFERROR(__xludf.dummyfunction("VLOOKUP(T126, IMPORTRANGE(""https://docs.google.com/spreadsheets/d/1yDAaXNsi4Mr5FtRQL4tbmSdIzhx6_m4wkOD7IG-k_eo/edit#gid=0"", ""Maths!M:N""), 2, FALSE)"),"(LU001408.006); Default - Create")</f>
        <v>(LU001408.006); Default - Create</v>
      </c>
      <c r="V126" s="16" t="str">
        <f ca="1">IFERROR(__xludf.dummyfunction("ArrayFormula(VLOOKUP(G126, IMPORTRANGE(""https://docs.google.com/spreadsheets/d/1p7R4vtkWt5VOBim4ltsDG9KTzSjrtKXsMtQGXPHyND0/edit#gid=795171502"", ""'Filter 30_05_2024'!A1:M2000""), {2, 3, 4, 5,6,7,8,9,10,11,12,13}, 0))"),"#N/A")</f>
        <v>#N/A</v>
      </c>
      <c r="W126" s="16" t="str">
        <f ca="1">IFERROR(__xludf.dummyfunction("""COMPUTED_VALUE"""),"#N/A")</f>
        <v>#N/A</v>
      </c>
      <c r="X126" s="16" t="str">
        <f ca="1">IFERROR(__xludf.dummyfunction("""COMPUTED_VALUE"""),"#N/A")</f>
        <v>#N/A</v>
      </c>
      <c r="Y126" s="16" t="str">
        <f ca="1">IFERROR(__xludf.dummyfunction("""COMPUTED_VALUE"""),"#N/A")</f>
        <v>#N/A</v>
      </c>
      <c r="Z126" s="16" t="str">
        <f ca="1">IFERROR(__xludf.dummyfunction("""COMPUTED_VALUE"""),"#N/A")</f>
        <v>#N/A</v>
      </c>
      <c r="AA126" s="30" t="str">
        <f ca="1">IFERROR(__xludf.dummyfunction("""COMPUTED_VALUE"""),"#N/A")</f>
        <v>#N/A</v>
      </c>
      <c r="AB126" s="30" t="str">
        <f ca="1">IFERROR(__xludf.dummyfunction("""COMPUTED_VALUE"""),"#N/A")</f>
        <v>#N/A</v>
      </c>
      <c r="AC126" s="30" t="str">
        <f ca="1">IFERROR(__xludf.dummyfunction("""COMPUTED_VALUE"""),"#N/A")</f>
        <v>#N/A</v>
      </c>
      <c r="AD126" s="16" t="str">
        <f ca="1">IFERROR(__xludf.dummyfunction("""COMPUTED_VALUE"""),"#N/A")</f>
        <v>#N/A</v>
      </c>
      <c r="AE126" s="30" t="str">
        <f ca="1">IFERROR(__xludf.dummyfunction("""COMPUTED_VALUE"""),"#N/A")</f>
        <v>#N/A</v>
      </c>
      <c r="AF126" s="30" t="str">
        <f ca="1">IFERROR(__xludf.dummyfunction("""COMPUTED_VALUE"""),"#N/A")</f>
        <v>#N/A</v>
      </c>
      <c r="AG126" s="30" t="str">
        <f ca="1">IFERROR(__xludf.dummyfunction("""COMPUTED_VALUE"""),"#N/A")</f>
        <v>#N/A</v>
      </c>
    </row>
    <row r="127" spans="1:33" ht="15.6">
      <c r="A127" s="25"/>
      <c r="B127" s="25" t="s">
        <v>29</v>
      </c>
      <c r="C127" s="25" t="s">
        <v>310</v>
      </c>
      <c r="D127" s="25">
        <v>7</v>
      </c>
      <c r="E127" s="87" t="s">
        <v>943</v>
      </c>
      <c r="F127" s="91" t="s">
        <v>949</v>
      </c>
      <c r="G127" s="79" t="s">
        <v>950</v>
      </c>
      <c r="H127" s="72" t="str">
        <f ca="1">IFERROR(__xludf.dummyfunction("IFERROR(
  VLOOKUP(G127, IMPORTRANGE(""https://docs.google.com/spreadsheets/d/14deopnvwcrKtEGCKuYXdUHJbeLDZlkiSSWWT0g7x2pM/edit#gid=849066331"", ""LU List Maths (Filter)!A:B""), 2, FALSE),
  IFERROR(
    VLOOKUP(G127, IMPORTRANGE(""https://docs.google.com"&amp;"/spreadsheets/d/14deopnvwcrKtEGCKuYXdUHJbeLDZlkiSSWWT0g7x2pM/edit#gid=849066331"", ""LU List Science (Filter)!A:B""), 2, FALSE),
    ""Not Found""
  )
)
"),"Graphical representation of solution set of an inequality")</f>
        <v>Graphical representation of solution set of an inequality</v>
      </c>
      <c r="I127" s="64"/>
      <c r="J127" s="29" t="str">
        <f t="shared" si="18"/>
        <v>LU001409.001</v>
      </c>
      <c r="K127" s="29" t="str">
        <f ca="1">IFERROR(__xludf.dummyfunction("VLOOKUP(J127, IMPORTRANGE(""https://docs.google.com/spreadsheets/d/1yDAaXNsi4Mr5FtRQL4tbmSdIzhx6_m4wkOD7IG-k_eo/edit#gid=0"", ""Maths!M:N""), 2, FALSE)"),"(LU001409.001); Default - Remember")</f>
        <v>(LU001409.001); Default - Remember</v>
      </c>
      <c r="L127" s="29" t="str">
        <f t="shared" si="19"/>
        <v>LU001409.002</v>
      </c>
      <c r="M127" s="29" t="str">
        <f ca="1">IFERROR(__xludf.dummyfunction("VLOOKUP(L127, IMPORTRANGE(""https://docs.google.com/spreadsheets/d/1yDAaXNsi4Mr5FtRQL4tbmSdIzhx6_m4wkOD7IG-k_eo/edit#gid=0"", ""Maths!M:N""), 2, FALSE)"),"(LU001409.002); Default - Understand")</f>
        <v>(LU001409.002); Default - Understand</v>
      </c>
      <c r="N127" s="29" t="str">
        <f t="shared" si="20"/>
        <v>LU001409.003</v>
      </c>
      <c r="O127" s="29" t="str">
        <f ca="1">IFERROR(__xludf.dummyfunction("VLOOKUP(N127, IMPORTRANGE(""https://docs.google.com/spreadsheets/d/1yDAaXNsi4Mr5FtRQL4tbmSdIzhx6_m4wkOD7IG-k_eo/edit#gid=0"", ""Maths!M:N""), 2, FALSE)"),"(LU001409.003); Default - Apply")</f>
        <v>(LU001409.003); Default - Apply</v>
      </c>
      <c r="P127" s="29" t="str">
        <f t="shared" si="21"/>
        <v>LU001409.004</v>
      </c>
      <c r="Q127" s="29" t="str">
        <f ca="1">IFERROR(__xludf.dummyfunction("VLOOKUP(P127, IMPORTRANGE(""https://docs.google.com/spreadsheets/d/1yDAaXNsi4Mr5FtRQL4tbmSdIzhx6_m4wkOD7IG-k_eo/edit#gid=0"", ""Maths!M:N""), 2, FALSE)"),"(LU001409.004); Default - Analyse")</f>
        <v>(LU001409.004); Default - Analyse</v>
      </c>
      <c r="R127" s="29" t="str">
        <f t="shared" si="22"/>
        <v>LU001409.005</v>
      </c>
      <c r="S127" s="29" t="str">
        <f ca="1">IFERROR(__xludf.dummyfunction("VLOOKUP(R127, IMPORTRANGE(""https://docs.google.com/spreadsheets/d/1yDAaXNsi4Mr5FtRQL4tbmSdIzhx6_m4wkOD7IG-k_eo/edit#gid=0"", ""Maths!M:N""), 2, FALSE)"),"(LU001409.005); Default - Evaluate")</f>
        <v>(LU001409.005); Default - Evaluate</v>
      </c>
      <c r="T127" s="29" t="str">
        <f t="shared" si="23"/>
        <v>LU001409.006</v>
      </c>
      <c r="U127" s="29" t="str">
        <f ca="1">IFERROR(__xludf.dummyfunction("VLOOKUP(T127, IMPORTRANGE(""https://docs.google.com/spreadsheets/d/1yDAaXNsi4Mr5FtRQL4tbmSdIzhx6_m4wkOD7IG-k_eo/edit#gid=0"", ""Maths!M:N""), 2, FALSE)"),"(LU001409.006); Default - Create")</f>
        <v>(LU001409.006); Default - Create</v>
      </c>
      <c r="V127" s="16" t="str">
        <f ca="1">IFERROR(__xludf.dummyfunction("ArrayFormula(VLOOKUP(G127, IMPORTRANGE(""https://docs.google.com/spreadsheets/d/1p7R4vtkWt5VOBim4ltsDG9KTzSjrtKXsMtQGXPHyND0/edit#gid=795171502"", ""'Filter 30_05_2024'!A1:M2000""), {2, 3, 4, 5,6,7,8,9,10,11,12,13}, 0))"),"#N/A")</f>
        <v>#N/A</v>
      </c>
      <c r="W127" s="16" t="str">
        <f ca="1">IFERROR(__xludf.dummyfunction("""COMPUTED_VALUE"""),"#N/A")</f>
        <v>#N/A</v>
      </c>
      <c r="X127" s="16" t="str">
        <f ca="1">IFERROR(__xludf.dummyfunction("""COMPUTED_VALUE"""),"#N/A")</f>
        <v>#N/A</v>
      </c>
      <c r="Y127" s="16" t="str">
        <f ca="1">IFERROR(__xludf.dummyfunction("""COMPUTED_VALUE"""),"#N/A")</f>
        <v>#N/A</v>
      </c>
      <c r="Z127" s="16" t="str">
        <f ca="1">IFERROR(__xludf.dummyfunction("""COMPUTED_VALUE"""),"#N/A")</f>
        <v>#N/A</v>
      </c>
      <c r="AA127" s="30" t="str">
        <f ca="1">IFERROR(__xludf.dummyfunction("""COMPUTED_VALUE"""),"#N/A")</f>
        <v>#N/A</v>
      </c>
      <c r="AB127" s="30" t="str">
        <f ca="1">IFERROR(__xludf.dummyfunction("""COMPUTED_VALUE"""),"#N/A")</f>
        <v>#N/A</v>
      </c>
      <c r="AC127" s="30" t="str">
        <f ca="1">IFERROR(__xludf.dummyfunction("""COMPUTED_VALUE"""),"#N/A")</f>
        <v>#N/A</v>
      </c>
      <c r="AD127" s="16" t="str">
        <f ca="1">IFERROR(__xludf.dummyfunction("""COMPUTED_VALUE"""),"#N/A")</f>
        <v>#N/A</v>
      </c>
      <c r="AE127" s="30" t="str">
        <f ca="1">IFERROR(__xludf.dummyfunction("""COMPUTED_VALUE"""),"#N/A")</f>
        <v>#N/A</v>
      </c>
      <c r="AF127" s="30" t="str">
        <f ca="1">IFERROR(__xludf.dummyfunction("""COMPUTED_VALUE"""),"#N/A")</f>
        <v>#N/A</v>
      </c>
      <c r="AG127" s="30" t="str">
        <f ca="1">IFERROR(__xludf.dummyfunction("""COMPUTED_VALUE"""),"#N/A")</f>
        <v>#N/A</v>
      </c>
    </row>
    <row r="128" spans="1:33" ht="15.6">
      <c r="A128" s="25"/>
      <c r="B128" s="25" t="s">
        <v>29</v>
      </c>
      <c r="C128" s="25" t="s">
        <v>310</v>
      </c>
      <c r="D128" s="25">
        <v>7</v>
      </c>
      <c r="E128" s="87" t="s">
        <v>943</v>
      </c>
      <c r="F128" s="91" t="s">
        <v>951</v>
      </c>
      <c r="G128" s="79" t="s">
        <v>952</v>
      </c>
      <c r="H128" s="72" t="str">
        <f ca="1">IFERROR(__xludf.dummyfunction("IFERROR(
  VLOOKUP(G128, IMPORTRANGE(""https://docs.google.com/spreadsheets/d/14deopnvwcrKtEGCKuYXdUHJbeLDZlkiSSWWT0g7x2pM/edit#gid=849066331"", ""LU List Maths (Filter)!A:B""), 2, FALSE),
  IFERROR(
    VLOOKUP(G128, IMPORTRANGE(""https://docs.google.com"&amp;"/spreadsheets/d/14deopnvwcrKtEGCKuYXdUHJbeLDZlkiSSWWT0g7x2pM/edit#gid=849066331"", ""LU List Science (Filter)!A:B""), 2, FALSE),
    ""Not Found""
  )
)
"),"Solution of simple inequalities in one variable")</f>
        <v>Solution of simple inequalities in one variable</v>
      </c>
      <c r="I128" s="64"/>
      <c r="J128" s="29" t="str">
        <f t="shared" si="18"/>
        <v>LU001410.001</v>
      </c>
      <c r="K128" s="29" t="str">
        <f ca="1">IFERROR(__xludf.dummyfunction("VLOOKUP(J128, IMPORTRANGE(""https://docs.google.com/spreadsheets/d/1yDAaXNsi4Mr5FtRQL4tbmSdIzhx6_m4wkOD7IG-k_eo/edit#gid=0"", ""Maths!M:N""), 2, FALSE)"),"(LU001410.001); Default - Remember")</f>
        <v>(LU001410.001); Default - Remember</v>
      </c>
      <c r="L128" s="29" t="str">
        <f t="shared" si="19"/>
        <v>LU001410.002</v>
      </c>
      <c r="M128" s="29" t="str">
        <f ca="1">IFERROR(__xludf.dummyfunction("VLOOKUP(L128, IMPORTRANGE(""https://docs.google.com/spreadsheets/d/1yDAaXNsi4Mr5FtRQL4tbmSdIzhx6_m4wkOD7IG-k_eo/edit#gid=0"", ""Maths!M:N""), 2, FALSE)"),"(LU001410.002); Default - Understand")</f>
        <v>(LU001410.002); Default - Understand</v>
      </c>
      <c r="N128" s="29" t="str">
        <f t="shared" si="20"/>
        <v>LU001410.003</v>
      </c>
      <c r="O128" s="29" t="str">
        <f ca="1">IFERROR(__xludf.dummyfunction("VLOOKUP(N128, IMPORTRANGE(""https://docs.google.com/spreadsheets/d/1yDAaXNsi4Mr5FtRQL4tbmSdIzhx6_m4wkOD7IG-k_eo/edit#gid=0"", ""Maths!M:N""), 2, FALSE)"),"(LU001410.003); Default - Apply")</f>
        <v>(LU001410.003); Default - Apply</v>
      </c>
      <c r="P128" s="29" t="str">
        <f t="shared" si="21"/>
        <v>LU001410.004</v>
      </c>
      <c r="Q128" s="29" t="str">
        <f ca="1">IFERROR(__xludf.dummyfunction("VLOOKUP(P128, IMPORTRANGE(""https://docs.google.com/spreadsheets/d/1yDAaXNsi4Mr5FtRQL4tbmSdIzhx6_m4wkOD7IG-k_eo/edit#gid=0"", ""Maths!M:N""), 2, FALSE)"),"(LU001410.004); Default - Analyse")</f>
        <v>(LU001410.004); Default - Analyse</v>
      </c>
      <c r="R128" s="29" t="str">
        <f t="shared" si="22"/>
        <v>LU001410.005</v>
      </c>
      <c r="S128" s="29" t="str">
        <f ca="1">IFERROR(__xludf.dummyfunction("VLOOKUP(R128, IMPORTRANGE(""https://docs.google.com/spreadsheets/d/1yDAaXNsi4Mr5FtRQL4tbmSdIzhx6_m4wkOD7IG-k_eo/edit#gid=0"", ""Maths!M:N""), 2, FALSE)"),"(LU001410.005); Default - Evaluate")</f>
        <v>(LU001410.005); Default - Evaluate</v>
      </c>
      <c r="T128" s="29" t="str">
        <f t="shared" si="23"/>
        <v>LU001410.006</v>
      </c>
      <c r="U128" s="29" t="str">
        <f ca="1">IFERROR(__xludf.dummyfunction("VLOOKUP(T128, IMPORTRANGE(""https://docs.google.com/spreadsheets/d/1yDAaXNsi4Mr5FtRQL4tbmSdIzhx6_m4wkOD7IG-k_eo/edit#gid=0"", ""Maths!M:N""), 2, FALSE)"),"(LU001410.006); Default - Create")</f>
        <v>(LU001410.006); Default - Create</v>
      </c>
      <c r="V128" s="16" t="str">
        <f ca="1">IFERROR(__xludf.dummyfunction("ArrayFormula(VLOOKUP(G128, IMPORTRANGE(""https://docs.google.com/spreadsheets/d/1p7R4vtkWt5VOBim4ltsDG9KTzSjrtKXsMtQGXPHyND0/edit#gid=795171502"", ""'Filter 30_05_2024'!A1:M2000""), {2, 3, 4, 5,6,7,8,9,10,11,12,13}, 0))"),"#N/A")</f>
        <v>#N/A</v>
      </c>
      <c r="W128" s="16" t="str">
        <f ca="1">IFERROR(__xludf.dummyfunction("""COMPUTED_VALUE"""),"#N/A")</f>
        <v>#N/A</v>
      </c>
      <c r="X128" s="16" t="str">
        <f ca="1">IFERROR(__xludf.dummyfunction("""COMPUTED_VALUE"""),"#N/A")</f>
        <v>#N/A</v>
      </c>
      <c r="Y128" s="16" t="str">
        <f ca="1">IFERROR(__xludf.dummyfunction("""COMPUTED_VALUE"""),"#N/A")</f>
        <v>#N/A</v>
      </c>
      <c r="Z128" s="16" t="str">
        <f ca="1">IFERROR(__xludf.dummyfunction("""COMPUTED_VALUE"""),"#N/A")</f>
        <v>#N/A</v>
      </c>
      <c r="AA128" s="30" t="str">
        <f ca="1">IFERROR(__xludf.dummyfunction("""COMPUTED_VALUE"""),"#N/A")</f>
        <v>#N/A</v>
      </c>
      <c r="AB128" s="30" t="str">
        <f ca="1">IFERROR(__xludf.dummyfunction("""COMPUTED_VALUE"""),"#N/A")</f>
        <v>#N/A</v>
      </c>
      <c r="AC128" s="30" t="str">
        <f ca="1">IFERROR(__xludf.dummyfunction("""COMPUTED_VALUE"""),"#N/A")</f>
        <v>#N/A</v>
      </c>
      <c r="AD128" s="16" t="str">
        <f ca="1">IFERROR(__xludf.dummyfunction("""COMPUTED_VALUE"""),"#N/A")</f>
        <v>#N/A</v>
      </c>
      <c r="AE128" s="30" t="str">
        <f ca="1">IFERROR(__xludf.dummyfunction("""COMPUTED_VALUE"""),"#N/A")</f>
        <v>#N/A</v>
      </c>
      <c r="AF128" s="30" t="str">
        <f ca="1">IFERROR(__xludf.dummyfunction("""COMPUTED_VALUE"""),"#N/A")</f>
        <v>#N/A</v>
      </c>
      <c r="AG128" s="30" t="str">
        <f ca="1">IFERROR(__xludf.dummyfunction("""COMPUTED_VALUE"""),"#N/A")</f>
        <v>#N/A</v>
      </c>
    </row>
    <row r="129" spans="1:33" ht="13.8">
      <c r="A129" s="25"/>
      <c r="B129" s="25" t="s">
        <v>29</v>
      </c>
      <c r="C129" s="25" t="s">
        <v>310</v>
      </c>
      <c r="D129" s="25">
        <v>7</v>
      </c>
      <c r="E129" s="64" t="s">
        <v>953</v>
      </c>
      <c r="F129" s="64" t="s">
        <v>954</v>
      </c>
      <c r="G129" s="71" t="s">
        <v>955</v>
      </c>
      <c r="H129" s="72" t="str">
        <f ca="1">IFERROR(__xludf.dummyfunction("IFERROR(
  VLOOKUP(G129, IMPORTRANGE(""https://docs.google.com/spreadsheets/d/14deopnvwcrKtEGCKuYXdUHJbeLDZlkiSSWWT0g7x2pM/edit#gid=849066331"", ""LU List Maths (Filter)!A:B""), 2, FALSE),
  IFERROR(
    VLOOKUP(G129, IMPORTRANGE(""https://docs.google.com"&amp;"/spreadsheets/d/14deopnvwcrKtEGCKuYXdUHJbeLDZlkiSSWWT0g7x2pM/edit#gid=849066331"", ""LU List Science (Filter)!A:B""), 2, FALSE),
    ""Not Found""
  )
)
"),"Definition of complementary angles")</f>
        <v>Definition of complementary angles</v>
      </c>
      <c r="I129" s="64"/>
      <c r="J129" s="29" t="str">
        <f t="shared" si="18"/>
        <v>LU000414.001</v>
      </c>
      <c r="K129" s="29" t="str">
        <f ca="1">IFERROR(__xludf.dummyfunction("VLOOKUP(J129, IMPORTRANGE(""https://docs.google.com/spreadsheets/d/1yDAaXNsi4Mr5FtRQL4tbmSdIzhx6_m4wkOD7IG-k_eo/edit#gid=0"", ""Maths!M:N""), 2, FALSE)"),"Define complementary angles.")</f>
        <v>Define complementary angles.</v>
      </c>
      <c r="L129" s="29" t="str">
        <f t="shared" si="19"/>
        <v>LU000414.002</v>
      </c>
      <c r="M129" s="29" t="str">
        <f ca="1">IFERROR(__xludf.dummyfunction("VLOOKUP(L129, IMPORTRANGE(""https://docs.google.com/spreadsheets/d/1yDAaXNsi4Mr5FtRQL4tbmSdIzhx6_m4wkOD7IG-k_eo/edit#gid=0"", ""Maths!M:N""), 2, FALSE)"),"Find the complement of the given angle.")</f>
        <v>Find the complement of the given angle.</v>
      </c>
      <c r="N129" s="29" t="str">
        <f t="shared" si="20"/>
        <v>LU000414.003</v>
      </c>
      <c r="O129" s="29" t="str">
        <f ca="1">IFERROR(__xludf.dummyfunction("VLOOKUP(N129, IMPORTRANGE(""https://docs.google.com/spreadsheets/d/1yDAaXNsi4Mr5FtRQL4tbmSdIzhx6_m4wkOD7IG-k_eo/edit#gid=0"", ""Maths!M:N""), 2, FALSE)"),"Classify whether the given pair of angles are complementary.")</f>
        <v>Classify whether the given pair of angles are complementary.</v>
      </c>
      <c r="P129" s="29" t="str">
        <f t="shared" si="21"/>
        <v>LU000414.004</v>
      </c>
      <c r="Q129" s="29" t="str">
        <f ca="1">IFERROR(__xludf.dummyfunction("VLOOKUP(P129, IMPORTRANGE(""https://docs.google.com/spreadsheets/d/1yDAaXNsi4Mr5FtRQL4tbmSdIzhx6_m4wkOD7IG-k_eo/edit#gid=0"", ""Maths!M:N""), 2, FALSE)"),"Analyse geometric shapes to identify pairs of complementary angles.")</f>
        <v>Analyse geometric shapes to identify pairs of complementary angles.</v>
      </c>
      <c r="R129" s="29" t="str">
        <f t="shared" si="22"/>
        <v>LU000414.005</v>
      </c>
      <c r="S129" s="29" t="str">
        <f ca="1">IFERROR(__xludf.dummyfunction("VLOOKUP(R129, IMPORTRANGE(""https://docs.google.com/spreadsheets/d/1yDAaXNsi4Mr5FtRQL4tbmSdIzhx6_m4wkOD7IG-k_eo/edit#gid=0"", ""Maths!M:N""), 2, FALSE)"),"Assess the validity of statements involving complementary angles.")</f>
        <v>Assess the validity of statements involving complementary angles.</v>
      </c>
      <c r="T129" s="29" t="str">
        <f t="shared" si="23"/>
        <v>LU000414.006</v>
      </c>
      <c r="U129" s="29" t="str">
        <f ca="1">IFERROR(__xludf.dummyfunction("VLOOKUP(T129, IMPORTRANGE(""https://docs.google.com/spreadsheets/d/1yDAaXNsi4Mr5FtRQL4tbmSdIzhx6_m4wkOD7IG-k_eo/edit#gid=0"", ""Maths!M:N""), 2, FALSE)"),"Devise a visual presentation illustrating complementary angles and their real-world significance.")</f>
        <v>Devise a visual presentation illustrating complementary angles and their real-world significance.</v>
      </c>
      <c r="V129" s="16">
        <f ca="1">IFERROR(__xludf.dummyfunction("ArrayFormula(VLOOKUP(G129, IMPORTRANGE(""https://docs.google.com/spreadsheets/d/1p7R4vtkWt5VOBim4ltsDG9KTzSjrtKXsMtQGXPHyND0/edit#gid=795171502"", ""'Filter 30_05_2024'!A1:M2000""), {2, 3, 4, 5,6,7,8,9,10,11,12,13}, 0))"),6)</f>
        <v>6</v>
      </c>
      <c r="W129" s="16">
        <f ca="1">IFERROR(__xludf.dummyfunction("""COMPUTED_VALUE"""),6)</f>
        <v>6</v>
      </c>
      <c r="X129" s="16">
        <f ca="1">IFERROR(__xludf.dummyfunction("""COMPUTED_VALUE"""),5)</f>
        <v>5</v>
      </c>
      <c r="Y129" s="16">
        <f ca="1">IFERROR(__xludf.dummyfunction("""COMPUTED_VALUE"""),17)</f>
        <v>17</v>
      </c>
      <c r="Z129" s="16">
        <f ca="1">IFERROR(__xludf.dummyfunction("""COMPUTED_VALUE"""),4)</f>
        <v>4</v>
      </c>
      <c r="AA129" s="30">
        <f ca="1">IFERROR(__xludf.dummyfunction("""COMPUTED_VALUE"""),3)</f>
        <v>3</v>
      </c>
      <c r="AB129" s="30">
        <f ca="1">IFERROR(__xludf.dummyfunction("""COMPUTED_VALUE"""),2)</f>
        <v>2</v>
      </c>
      <c r="AC129" s="30">
        <f ca="1">IFERROR(__xludf.dummyfunction("""COMPUTED_VALUE"""),9)</f>
        <v>9</v>
      </c>
      <c r="AD129" s="16"/>
      <c r="AE129" s="30"/>
      <c r="AF129" s="30"/>
      <c r="AG129" s="30"/>
    </row>
    <row r="130" spans="1:33" ht="13.8">
      <c r="A130" s="25"/>
      <c r="B130" s="25" t="s">
        <v>29</v>
      </c>
      <c r="C130" s="25" t="s">
        <v>310</v>
      </c>
      <c r="D130" s="25">
        <v>7</v>
      </c>
      <c r="E130" s="64" t="s">
        <v>953</v>
      </c>
      <c r="F130" s="64"/>
      <c r="G130" s="71" t="s">
        <v>956</v>
      </c>
      <c r="H130" s="72" t="str">
        <f ca="1">IFERROR(__xludf.dummyfunction("IFERROR(
  VLOOKUP(G130, IMPORTRANGE(""https://docs.google.com/spreadsheets/d/14deopnvwcrKtEGCKuYXdUHJbeLDZlkiSSWWT0g7x2pM/edit#gid=849066331"", ""LU List Maths (Filter)!A:B""), 2, FALSE),
  IFERROR(
    VLOOKUP(G130, IMPORTRANGE(""https://docs.google.com"&amp;"/spreadsheets/d/14deopnvwcrKtEGCKuYXdUHJbeLDZlkiSSWWT0g7x2pM/edit#gid=849066331"", ""LU List Science (Filter)!A:B""), 2, FALSE),
    ""Not Found""
  )
)
"),"Definition of supplementary angles")</f>
        <v>Definition of supplementary angles</v>
      </c>
      <c r="I130" s="64"/>
      <c r="J130" s="29" t="str">
        <f t="shared" ref="J130:J161" si="24">G130 &amp; ".001"</f>
        <v>LU000415.001</v>
      </c>
      <c r="K130" s="29" t="str">
        <f ca="1">IFERROR(__xludf.dummyfunction("VLOOKUP(J130, IMPORTRANGE(""https://docs.google.com/spreadsheets/d/1yDAaXNsi4Mr5FtRQL4tbmSdIzhx6_m4wkOD7IG-k_eo/edit#gid=0"", ""Maths!M:N""), 2, FALSE)"),"Define supplementary angles.")</f>
        <v>Define supplementary angles.</v>
      </c>
      <c r="L130" s="29" t="str">
        <f t="shared" ref="L130:L161" si="25">G130 &amp; ".002"</f>
        <v>LU000415.002</v>
      </c>
      <c r="M130" s="29" t="str">
        <f ca="1">IFERROR(__xludf.dummyfunction("VLOOKUP(L130, IMPORTRANGE(""https://docs.google.com/spreadsheets/d/1yDAaXNsi4Mr5FtRQL4tbmSdIzhx6_m4wkOD7IG-k_eo/edit#gid=0"", ""Maths!M:N""), 2, FALSE)"),"Find the supplement of the given angle.")</f>
        <v>Find the supplement of the given angle.</v>
      </c>
      <c r="N130" s="29" t="str">
        <f t="shared" ref="N130:N161" si="26">G130 &amp; ".003"</f>
        <v>LU000415.003</v>
      </c>
      <c r="O130" s="29" t="str">
        <f ca="1">IFERROR(__xludf.dummyfunction("VLOOKUP(N130, IMPORTRANGE(""https://docs.google.com/spreadsheets/d/1yDAaXNsi4Mr5FtRQL4tbmSdIzhx6_m4wkOD7IG-k_eo/edit#gid=0"", ""Maths!M:N""), 2, FALSE)"),"Classify whether the given pair of angles are supplementary.")</f>
        <v>Classify whether the given pair of angles are supplementary.</v>
      </c>
      <c r="P130" s="29" t="str">
        <f t="shared" ref="P130:P161" si="27">G130 &amp; ".004"</f>
        <v>LU000415.004</v>
      </c>
      <c r="Q130" s="29" t="str">
        <f ca="1">IFERROR(__xludf.dummyfunction("VLOOKUP(P130, IMPORTRANGE(""https://docs.google.com/spreadsheets/d/1yDAaXNsi4Mr5FtRQL4tbmSdIzhx6_m4wkOD7IG-k_eo/edit#gid=0"", ""Maths!M:N""), 2, FALSE)"),"Analyse geometric shapes to identify pairs of supplementary angles.")</f>
        <v>Analyse geometric shapes to identify pairs of supplementary angles.</v>
      </c>
      <c r="R130" s="29" t="str">
        <f t="shared" ref="R130:R161" si="28">G130 &amp; ".005"</f>
        <v>LU000415.005</v>
      </c>
      <c r="S130" s="29" t="str">
        <f ca="1">IFERROR(__xludf.dummyfunction("VLOOKUP(R130, IMPORTRANGE(""https://docs.google.com/spreadsheets/d/1yDAaXNsi4Mr5FtRQL4tbmSdIzhx6_m4wkOD7IG-k_eo/edit#gid=0"", ""Maths!M:N""), 2, FALSE)"),"Assess the validity of statements involving supplementary angles.")</f>
        <v>Assess the validity of statements involving supplementary angles.</v>
      </c>
      <c r="T130" s="29" t="str">
        <f t="shared" ref="T130:T161" si="29">G130 &amp; ".006"</f>
        <v>LU000415.006</v>
      </c>
      <c r="U130" s="29" t="str">
        <f ca="1">IFERROR(__xludf.dummyfunction("VLOOKUP(T130, IMPORTRANGE(""https://docs.google.com/spreadsheets/d/1yDAaXNsi4Mr5FtRQL4tbmSdIzhx6_m4wkOD7IG-k_eo/edit#gid=0"", ""Maths!M:N""), 2, FALSE)"),"Devise a visual presentation illustrating supplementary angles and their real-world significance.")</f>
        <v>Devise a visual presentation illustrating supplementary angles and their real-world significance.</v>
      </c>
      <c r="V130" s="16">
        <f ca="1">IFERROR(__xludf.dummyfunction("ArrayFormula(VLOOKUP(G130, IMPORTRANGE(""https://docs.google.com/spreadsheets/d/1p7R4vtkWt5VOBim4ltsDG9KTzSjrtKXsMtQGXPHyND0/edit#gid=795171502"", ""'Filter 30_05_2024'!A1:M2000""), {2, 3, 4, 5,6,7,8,9,10,11,12,13}, 0))"),6)</f>
        <v>6</v>
      </c>
      <c r="W130" s="16">
        <f ca="1">IFERROR(__xludf.dummyfunction("""COMPUTED_VALUE"""),6)</f>
        <v>6</v>
      </c>
      <c r="X130" s="16">
        <f ca="1">IFERROR(__xludf.dummyfunction("""COMPUTED_VALUE"""),5)</f>
        <v>5</v>
      </c>
      <c r="Y130" s="16">
        <f ca="1">IFERROR(__xludf.dummyfunction("""COMPUTED_VALUE"""),17)</f>
        <v>17</v>
      </c>
      <c r="Z130" s="16">
        <f ca="1">IFERROR(__xludf.dummyfunction("""COMPUTED_VALUE"""),4)</f>
        <v>4</v>
      </c>
      <c r="AA130" s="30">
        <f ca="1">IFERROR(__xludf.dummyfunction("""COMPUTED_VALUE"""),3)</f>
        <v>3</v>
      </c>
      <c r="AB130" s="30">
        <f ca="1">IFERROR(__xludf.dummyfunction("""COMPUTED_VALUE"""),1)</f>
        <v>1</v>
      </c>
      <c r="AC130" s="30">
        <f ca="1">IFERROR(__xludf.dummyfunction("""COMPUTED_VALUE"""),8)</f>
        <v>8</v>
      </c>
      <c r="AD130" s="16"/>
      <c r="AE130" s="30"/>
      <c r="AF130" s="30"/>
      <c r="AG130" s="30"/>
    </row>
    <row r="131" spans="1:33" ht="13.8">
      <c r="A131" s="25"/>
      <c r="B131" s="25" t="s">
        <v>29</v>
      </c>
      <c r="C131" s="25" t="s">
        <v>310</v>
      </c>
      <c r="D131" s="25">
        <v>7</v>
      </c>
      <c r="E131" s="64" t="s">
        <v>953</v>
      </c>
      <c r="F131" s="64" t="s">
        <v>957</v>
      </c>
      <c r="G131" s="71" t="s">
        <v>958</v>
      </c>
      <c r="H131" s="72" t="str">
        <f ca="1">IFERROR(__xludf.dummyfunction("IFERROR(
  VLOOKUP(G131, IMPORTRANGE(""https://docs.google.com/spreadsheets/d/14deopnvwcrKtEGCKuYXdUHJbeLDZlkiSSWWT0g7x2pM/edit#gid=849066331"", ""LU List Maths (Filter)!A:B""), 2, FALSE),
  IFERROR(
    VLOOKUP(G131, IMPORTRANGE(""https://docs.google.com"&amp;"/spreadsheets/d/14deopnvwcrKtEGCKuYXdUHJbeLDZlkiSSWWT0g7x2pM/edit#gid=849066331"", ""LU List Science (Filter)!A:B""), 2, FALSE),
    ""Not Found""
  )
)
"),"Definition of adjacent angles")</f>
        <v>Definition of adjacent angles</v>
      </c>
      <c r="I131" s="64"/>
      <c r="J131" s="29" t="str">
        <f t="shared" si="24"/>
        <v>LU000416.001</v>
      </c>
      <c r="K131" s="29" t="str">
        <f ca="1">IFERROR(__xludf.dummyfunction("VLOOKUP(J131, IMPORTRANGE(""https://docs.google.com/spreadsheets/d/1yDAaXNsi4Mr5FtRQL4tbmSdIzhx6_m4wkOD7IG-k_eo/edit#gid=0"", ""Maths!M:N""), 2, FALSE)"),"Define adjacent angles.")</f>
        <v>Define adjacent angles.</v>
      </c>
      <c r="L131" s="29" t="str">
        <f t="shared" si="25"/>
        <v>LU000416.002</v>
      </c>
      <c r="M131" s="29" t="str">
        <f ca="1">IFERROR(__xludf.dummyfunction("VLOOKUP(L131, IMPORTRANGE(""https://docs.google.com/spreadsheets/d/1yDAaXNsi4Mr5FtRQL4tbmSdIzhx6_m4wkOD7IG-k_eo/edit#gid=0"", ""Maths!M:N""), 2, FALSE)"),"Identify adjacent angles in the figure.")</f>
        <v>Identify adjacent angles in the figure.</v>
      </c>
      <c r="N131" s="29" t="str">
        <f t="shared" si="26"/>
        <v>LU000416.003</v>
      </c>
      <c r="O131" s="29" t="str">
        <f ca="1">IFERROR(__xludf.dummyfunction("VLOOKUP(N131, IMPORTRANGE(""https://docs.google.com/spreadsheets/d/1yDAaXNsi4Mr5FtRQL4tbmSdIzhx6_m4wkOD7IG-k_eo/edit#gid=0"", ""Maths!M:N""), 2, FALSE)"),"Classify whether the given pair of angles are adjacent angles .")</f>
        <v>Classify whether the given pair of angles are adjacent angles .</v>
      </c>
      <c r="P131" s="29" t="str">
        <f t="shared" si="27"/>
        <v>LU000416.004</v>
      </c>
      <c r="Q131" s="29" t="str">
        <f ca="1">IFERROR(__xludf.dummyfunction("VLOOKUP(P131, IMPORTRANGE(""https://docs.google.com/spreadsheets/d/1yDAaXNsi4Mr5FtRQL4tbmSdIzhx6_m4wkOD7IG-k_eo/edit#gid=0"", ""Maths!M:N""), 2, FALSE)"),"Analyse the possibility of two acute, obtuse, right, or complete angles being adjacent.")</f>
        <v>Analyse the possibility of two acute, obtuse, right, or complete angles being adjacent.</v>
      </c>
      <c r="R131" s="29" t="str">
        <f t="shared" si="28"/>
        <v>LU000416.005</v>
      </c>
      <c r="S131" s="29" t="str">
        <f ca="1">IFERROR(__xludf.dummyfunction("VLOOKUP(R131, IMPORTRANGE(""https://docs.google.com/spreadsheets/d/1yDAaXNsi4Mr5FtRQL4tbmSdIzhx6_m4wkOD7IG-k_eo/edit#gid=0"", ""Maths!M:N""), 2, FALSE)"),"Assess the validity of claims about adjacent angles and provide reasoning.")</f>
        <v>Assess the validity of claims about adjacent angles and provide reasoning.</v>
      </c>
      <c r="T131" s="29" t="str">
        <f t="shared" si="29"/>
        <v>LU000416.006</v>
      </c>
      <c r="U131" s="29" t="str">
        <f ca="1">IFERROR(__xludf.dummyfunction("VLOOKUP(T131, IMPORTRANGE(""https://docs.google.com/spreadsheets/d/1yDAaXNsi4Mr5FtRQL4tbmSdIzhx6_m4wkOD7IG-k_eo/edit#gid=0"", ""Maths!M:N""), 2, FALSE)"),"Design a visual representation illustrating adjacent angles and their properties.")</f>
        <v>Design a visual representation illustrating adjacent angles and their properties.</v>
      </c>
      <c r="V131" s="16">
        <f ca="1">IFERROR(__xludf.dummyfunction("ArrayFormula(VLOOKUP(G131, IMPORTRANGE(""https://docs.google.com/spreadsheets/d/1p7R4vtkWt5VOBim4ltsDG9KTzSjrtKXsMtQGXPHyND0/edit#gid=795171502"", ""'Filter 30_05_2024'!A1:M2000""), {2, 3, 4, 5,6,7,8,9,10,11,12,13}, 0))"),8)</f>
        <v>8</v>
      </c>
      <c r="W131" s="16">
        <f ca="1">IFERROR(__xludf.dummyfunction("""COMPUTED_VALUE"""),10)</f>
        <v>10</v>
      </c>
      <c r="X131" s="16">
        <f ca="1">IFERROR(__xludf.dummyfunction("""COMPUTED_VALUE"""),2)</f>
        <v>2</v>
      </c>
      <c r="Y131" s="16">
        <f ca="1">IFERROR(__xludf.dummyfunction("""COMPUTED_VALUE"""),20)</f>
        <v>20</v>
      </c>
      <c r="Z131" s="16">
        <f ca="1">IFERROR(__xludf.dummyfunction("""COMPUTED_VALUE"""),4)</f>
        <v>4</v>
      </c>
      <c r="AA131" s="30">
        <f ca="1">IFERROR(__xludf.dummyfunction("""COMPUTED_VALUE"""),4)</f>
        <v>4</v>
      </c>
      <c r="AB131" s="30">
        <f ca="1">IFERROR(__xludf.dummyfunction("""COMPUTED_VALUE"""),1)</f>
        <v>1</v>
      </c>
      <c r="AC131" s="30">
        <f ca="1">IFERROR(__xludf.dummyfunction("""COMPUTED_VALUE"""),9)</f>
        <v>9</v>
      </c>
      <c r="AD131" s="16"/>
      <c r="AE131" s="30"/>
      <c r="AF131" s="30"/>
      <c r="AG131" s="30"/>
    </row>
    <row r="132" spans="1:33" ht="13.8">
      <c r="A132" s="25"/>
      <c r="B132" s="25" t="s">
        <v>29</v>
      </c>
      <c r="C132" s="25" t="s">
        <v>310</v>
      </c>
      <c r="D132" s="25">
        <v>7</v>
      </c>
      <c r="E132" s="64" t="s">
        <v>953</v>
      </c>
      <c r="F132" s="64"/>
      <c r="G132" s="71" t="s">
        <v>959</v>
      </c>
      <c r="H132" s="72" t="str">
        <f ca="1">IFERROR(__xludf.dummyfunction("IFERROR(
  VLOOKUP(G132, IMPORTRANGE(""https://docs.google.com/spreadsheets/d/14deopnvwcrKtEGCKuYXdUHJbeLDZlkiSSWWT0g7x2pM/edit#gid=849066331"", ""LU List Maths (Filter)!A:B""), 2, FALSE),
  IFERROR(
    VLOOKUP(G132, IMPORTRANGE(""https://docs.google.com"&amp;"/spreadsheets/d/14deopnvwcrKtEGCKuYXdUHJbeLDZlkiSSWWT0g7x2pM/edit#gid=849066331"", ""LU List Science (Filter)!A:B""), 2, FALSE),
    ""Not Found""
  )
)
"),"Definition of linear pair")</f>
        <v>Definition of linear pair</v>
      </c>
      <c r="I132" s="64"/>
      <c r="J132" s="29" t="str">
        <f t="shared" si="24"/>
        <v>LU000417.001</v>
      </c>
      <c r="K132" s="29" t="str">
        <f ca="1">IFERROR(__xludf.dummyfunction("VLOOKUP(J132, IMPORTRANGE(""https://docs.google.com/spreadsheets/d/1yDAaXNsi4Mr5FtRQL4tbmSdIzhx6_m4wkOD7IG-k_eo/edit#gid=0"", ""Maths!M:N""), 2, FALSE)"),"Define linear pair of angles.")</f>
        <v>Define linear pair of angles.</v>
      </c>
      <c r="L132" s="29" t="str">
        <f t="shared" si="25"/>
        <v>LU000417.002</v>
      </c>
      <c r="M132" s="29" t="str">
        <f ca="1">IFERROR(__xludf.dummyfunction("VLOOKUP(L132, IMPORTRANGE(""https://docs.google.com/spreadsheets/d/1yDAaXNsi4Mr5FtRQL4tbmSdIzhx6_m4wkOD7IG-k_eo/edit#gid=0"", ""Maths!M:N""), 2, FALSE)"),"Identify linear pairs of angles in the figure")</f>
        <v>Identify linear pairs of angles in the figure</v>
      </c>
      <c r="N132" s="29" t="str">
        <f t="shared" si="26"/>
        <v>LU000417.003</v>
      </c>
      <c r="O132" s="29" t="str">
        <f ca="1">IFERROR(__xludf.dummyfunction("VLOOKUP(N132, IMPORTRANGE(""https://docs.google.com/spreadsheets/d/1yDAaXNsi4Mr5FtRQL4tbmSdIzhx6_m4wkOD7IG-k_eo/edit#gid=0"", ""Maths!M:N""), 2, FALSE)"),"Use the knowlede of linear pair to find the measure of unknown angle.")</f>
        <v>Use the knowlede of linear pair to find the measure of unknown angle.</v>
      </c>
      <c r="P132" s="29" t="str">
        <f t="shared" si="27"/>
        <v>LU000417.004</v>
      </c>
      <c r="Q132" s="29" t="str">
        <f ca="1">IFERROR(__xludf.dummyfunction("VLOOKUP(P132, IMPORTRANGE(""https://docs.google.com/spreadsheets/d/1yDAaXNsi4Mr5FtRQL4tbmSdIzhx6_m4wkOD7IG-k_eo/edit#gid=0"", ""Maths!M:N""), 2, FALSE)"),"Analyze different geometric fugures to identify whether they represent linear pairs or not.")</f>
        <v>Analyze different geometric fugures to identify whether they represent linear pairs or not.</v>
      </c>
      <c r="R132" s="29" t="str">
        <f t="shared" si="28"/>
        <v>LU000417.005</v>
      </c>
      <c r="S132" s="29" t="str">
        <f ca="1">IFERROR(__xludf.dummyfunction("VLOOKUP(R132, IMPORTRANGE(""https://docs.google.com/spreadsheets/d/1yDAaXNsi4Mr5FtRQL4tbmSdIzhx6_m4wkOD7IG-k_eo/edit#gid=0"", ""Maths!M:N""), 2, FALSE)"),"Assess the validity of claims about linear pair of angles and provide reasoning.")</f>
        <v>Assess the validity of claims about linear pair of angles and provide reasoning.</v>
      </c>
      <c r="T132" s="29" t="str">
        <f t="shared" si="29"/>
        <v>LU000417.006</v>
      </c>
      <c r="U132" s="29" t="str">
        <f ca="1">IFERROR(__xludf.dummyfunction("VLOOKUP(T132, IMPORTRANGE(""https://docs.google.com/spreadsheets/d/1yDAaXNsi4Mr5FtRQL4tbmSdIzhx6_m4wkOD7IG-k_eo/edit#gid=0"", ""Maths!M:N""), 2, FALSE)"),"Design a visual representation illustrating linear pair of angles and their properties.")</f>
        <v>Design a visual representation illustrating linear pair of angles and their properties.</v>
      </c>
      <c r="V132" s="16">
        <f ca="1">IFERROR(__xludf.dummyfunction("ArrayFormula(VLOOKUP(G132, IMPORTRANGE(""https://docs.google.com/spreadsheets/d/1p7R4vtkWt5VOBim4ltsDG9KTzSjrtKXsMtQGXPHyND0/edit#gid=795171502"", ""'Filter 30_05_2024'!A1:M2000""), {2, 3, 4, 5,6,7,8,9,10,11,12,13}, 0))"),14)</f>
        <v>14</v>
      </c>
      <c r="W132" s="16">
        <f ca="1">IFERROR(__xludf.dummyfunction("""COMPUTED_VALUE"""),5)</f>
        <v>5</v>
      </c>
      <c r="X132" s="16">
        <f ca="1">IFERROR(__xludf.dummyfunction("""COMPUTED_VALUE"""),2)</f>
        <v>2</v>
      </c>
      <c r="Y132" s="16">
        <f ca="1">IFERROR(__xludf.dummyfunction("""COMPUTED_VALUE"""),21)</f>
        <v>21</v>
      </c>
      <c r="Z132" s="16">
        <f ca="1">IFERROR(__xludf.dummyfunction("""COMPUTED_VALUE"""),6)</f>
        <v>6</v>
      </c>
      <c r="AA132" s="30">
        <f ca="1">IFERROR(__xludf.dummyfunction("""COMPUTED_VALUE"""),6)</f>
        <v>6</v>
      </c>
      <c r="AB132" s="30">
        <f ca="1">IFERROR(__xludf.dummyfunction("""COMPUTED_VALUE"""),1)</f>
        <v>1</v>
      </c>
      <c r="AC132" s="30">
        <f ca="1">IFERROR(__xludf.dummyfunction("""COMPUTED_VALUE"""),13)</f>
        <v>13</v>
      </c>
      <c r="AD132" s="16"/>
      <c r="AE132" s="30"/>
      <c r="AF132" s="30"/>
      <c r="AG132" s="30"/>
    </row>
    <row r="133" spans="1:33" ht="13.8">
      <c r="A133" s="25"/>
      <c r="B133" s="25" t="s">
        <v>29</v>
      </c>
      <c r="C133" s="25" t="s">
        <v>310</v>
      </c>
      <c r="D133" s="25">
        <v>7</v>
      </c>
      <c r="E133" s="64" t="s">
        <v>953</v>
      </c>
      <c r="F133" s="64" t="s">
        <v>960</v>
      </c>
      <c r="G133" s="71" t="s">
        <v>961</v>
      </c>
      <c r="H133" s="72" t="str">
        <f ca="1">IFERROR(__xludf.dummyfunction("IFERROR(
  VLOOKUP(G133, IMPORTRANGE(""https://docs.google.com/spreadsheets/d/14deopnvwcrKtEGCKuYXdUHJbeLDZlkiSSWWT0g7x2pM/edit#gid=849066331"", ""LU List Maths (Filter)!A:B""), 2, FALSE),
  IFERROR(
    VLOOKUP(G133, IMPORTRANGE(""https://docs.google.com"&amp;"/spreadsheets/d/14deopnvwcrKtEGCKuYXdUHJbeLDZlkiSSWWT0g7x2pM/edit#gid=849066331"", ""LU List Science (Filter)!A:B""), 2, FALSE),
    ""Not Found""
  )
)
"),"Definition of vertically opposite angles")</f>
        <v>Definition of vertically opposite angles</v>
      </c>
      <c r="I133" s="64"/>
      <c r="J133" s="29" t="str">
        <f t="shared" si="24"/>
        <v>LU000418.001</v>
      </c>
      <c r="K133" s="29" t="str">
        <f ca="1">IFERROR(__xludf.dummyfunction("VLOOKUP(J133, IMPORTRANGE(""https://docs.google.com/spreadsheets/d/1yDAaXNsi4Mr5FtRQL4tbmSdIzhx6_m4wkOD7IG-k_eo/edit#gid=0"", ""Maths!M:N""), 2, FALSE)"),"Define vertically opposite angles.")</f>
        <v>Define vertically opposite angles.</v>
      </c>
      <c r="L133" s="29" t="str">
        <f t="shared" si="25"/>
        <v>LU000418.002</v>
      </c>
      <c r="M133" s="29" t="str">
        <f ca="1">IFERROR(__xludf.dummyfunction("VLOOKUP(L133, IMPORTRANGE(""https://docs.google.com/spreadsheets/d/1yDAaXNsi4Mr5FtRQL4tbmSdIzhx6_m4wkOD7IG-k_eo/edit#gid=0"", ""Maths!M:N""), 2, FALSE)"),"Identify vertically opposite angles in the figure.")</f>
        <v>Identify vertically opposite angles in the figure.</v>
      </c>
      <c r="N133" s="29" t="str">
        <f t="shared" si="26"/>
        <v>LU000418.003</v>
      </c>
      <c r="O133" s="29" t="str">
        <f ca="1">IFERROR(__xludf.dummyfunction("VLOOKUP(N133, IMPORTRANGE(""https://docs.google.com/spreadsheets/d/1yDAaXNsi4Mr5FtRQL4tbmSdIzhx6_m4wkOD7IG-k_eo/edit#gid=0"", ""Maths!M:N""), 2, FALSE)"),"Identify different types of angles in order to determine the measure of unknown angles in the given figure. (Vertically opposite angles)")</f>
        <v>Identify different types of angles in order to determine the measure of unknown angles in the given figure. (Vertically opposite angles)</v>
      </c>
      <c r="P133" s="29" t="str">
        <f t="shared" si="27"/>
        <v>LU000418.004</v>
      </c>
      <c r="Q133" s="29" t="str">
        <f ca="1">IFERROR(__xludf.dummyfunction("VLOOKUP(P133, IMPORTRANGE(""https://docs.google.com/spreadsheets/d/1yDAaXNsi4Mr5FtRQL4tbmSdIzhx6_m4wkOD7IG-k_eo/edit#gid=0"", ""Maths!M:N""), 2, FALSE)"),"Justify that the vertically opposite angles are equal.")</f>
        <v>Justify that the vertically opposite angles are equal.</v>
      </c>
      <c r="R133" s="29" t="str">
        <f t="shared" si="28"/>
        <v>LU000418.005</v>
      </c>
      <c r="S133" s="29" t="str">
        <f ca="1">IFERROR(__xludf.dummyfunction("VLOOKUP(R133, IMPORTRANGE(""https://docs.google.com/spreadsheets/d/1yDAaXNsi4Mr5FtRQL4tbmSdIzhx6_m4wkOD7IG-k_eo/edit#gid=0"", ""Maths!M:N""), 2, FALSE)"),"Assess the validity of claims about vertically opposite angles and provide reasoning.")</f>
        <v>Assess the validity of claims about vertically opposite angles and provide reasoning.</v>
      </c>
      <c r="T133" s="29" t="str">
        <f t="shared" si="29"/>
        <v>LU000418.006</v>
      </c>
      <c r="U133" s="29" t="str">
        <f ca="1">IFERROR(__xludf.dummyfunction("VLOOKUP(T133, IMPORTRANGE(""https://docs.google.com/spreadsheets/d/1yDAaXNsi4Mr5FtRQL4tbmSdIzhx6_m4wkOD7IG-k_eo/edit#gid=0"", ""Maths!M:N""), 2, FALSE)"),"Design a visual representation illustrating vertically opposite angles and their properties.")</f>
        <v>Design a visual representation illustrating vertically opposite angles and their properties.</v>
      </c>
      <c r="V133" s="16">
        <f ca="1">IFERROR(__xludf.dummyfunction("ArrayFormula(VLOOKUP(G133, IMPORTRANGE(""https://docs.google.com/spreadsheets/d/1p7R4vtkWt5VOBim4ltsDG9KTzSjrtKXsMtQGXPHyND0/edit#gid=795171502"", ""'Filter 30_05_2024'!A1:M2000""), {2, 3, 4, 5,6,7,8,9,10,11,12,13}, 0))"),4)</f>
        <v>4</v>
      </c>
      <c r="W133" s="16">
        <f ca="1">IFERROR(__xludf.dummyfunction("""COMPUTED_VALUE"""),12)</f>
        <v>12</v>
      </c>
      <c r="X133" s="16">
        <f ca="1">IFERROR(__xludf.dummyfunction("""COMPUTED_VALUE"""),2)</f>
        <v>2</v>
      </c>
      <c r="Y133" s="16">
        <f ca="1">IFERROR(__xludf.dummyfunction("""COMPUTED_VALUE"""),18)</f>
        <v>18</v>
      </c>
      <c r="Z133" s="16">
        <f ca="1">IFERROR(__xludf.dummyfunction("""COMPUTED_VALUE"""),4)</f>
        <v>4</v>
      </c>
      <c r="AA133" s="30">
        <f ca="1">IFERROR(__xludf.dummyfunction("""COMPUTED_VALUE"""),7)</f>
        <v>7</v>
      </c>
      <c r="AB133" s="30">
        <f ca="1">IFERROR(__xludf.dummyfunction("""COMPUTED_VALUE"""),1)</f>
        <v>1</v>
      </c>
      <c r="AC133" s="30">
        <f ca="1">IFERROR(__xludf.dummyfunction("""COMPUTED_VALUE"""),12)</f>
        <v>12</v>
      </c>
      <c r="AD133" s="16"/>
      <c r="AE133" s="30"/>
      <c r="AF133" s="30"/>
      <c r="AG133" s="30"/>
    </row>
    <row r="134" spans="1:33" ht="13.8">
      <c r="A134" s="25"/>
      <c r="B134" s="25" t="s">
        <v>29</v>
      </c>
      <c r="C134" s="25" t="s">
        <v>310</v>
      </c>
      <c r="D134" s="25">
        <v>7</v>
      </c>
      <c r="E134" s="64" t="s">
        <v>953</v>
      </c>
      <c r="F134" s="64" t="s">
        <v>962</v>
      </c>
      <c r="G134" s="71" t="s">
        <v>963</v>
      </c>
      <c r="H134" s="72" t="str">
        <f ca="1">IFERROR(__xludf.dummyfunction("IFERROR(
  VLOOKUP(G134, IMPORTRANGE(""https://docs.google.com/spreadsheets/d/14deopnvwcrKtEGCKuYXdUHJbeLDZlkiSSWWT0g7x2pM/edit#gid=849066331"", ""LU List Maths (Filter)!A:B""), 2, FALSE),
  IFERROR(
    VLOOKUP(G134, IMPORTRANGE(""https://docs.google.com"&amp;"/spreadsheets/d/14deopnvwcrKtEGCKuYXdUHJbeLDZlkiSSWWT0g7x2pM/edit#gid=849066331"", ""LU List Science (Filter)!A:B""), 2, FALSE),
    ""Not Found""
  )
)
"),"Definition of transversal")</f>
        <v>Definition of transversal</v>
      </c>
      <c r="I134" s="64"/>
      <c r="J134" s="29" t="str">
        <f t="shared" si="24"/>
        <v>LU000419.001</v>
      </c>
      <c r="K134" s="29" t="str">
        <f ca="1">IFERROR(__xludf.dummyfunction("VLOOKUP(J134, IMPORTRANGE(""https://docs.google.com/spreadsheets/d/1yDAaXNsi4Mr5FtRQL4tbmSdIzhx6_m4wkOD7IG-k_eo/edit#gid=0"", ""Maths!M:N""), 2, FALSE)"),"Define a transversal.")</f>
        <v>Define a transversal.</v>
      </c>
      <c r="L134" s="29" t="str">
        <f t="shared" si="25"/>
        <v>LU000419.002</v>
      </c>
      <c r="M134" s="29" t="str">
        <f ca="1">IFERROR(__xludf.dummyfunction("VLOOKUP(L134, IMPORTRANGE(""https://docs.google.com/spreadsheets/d/1yDAaXNsi4Mr5FtRQL4tbmSdIzhx6_m4wkOD7IG-k_eo/edit#gid=0"", ""Maths!M:N""), 2, FALSE)"),"List real-life examples of transversals of parallel and non-parallel lines.")</f>
        <v>List real-life examples of transversals of parallel and non-parallel lines.</v>
      </c>
      <c r="N134" s="29" t="str">
        <f t="shared" si="26"/>
        <v>LU000419.003</v>
      </c>
      <c r="O134" s="29" t="str">
        <f ca="1">IFERROR(__xludf.dummyfunction("VLOOKUP(N134, IMPORTRANGE(""https://docs.google.com/spreadsheets/d/1yDAaXNsi4Mr5FtRQL4tbmSdIzhx6_m4wkOD7IG-k_eo/edit#gid=0"", ""Maths!M:N""), 2, FALSE)"),"Identify the transversals of parallel and non-parallel lines.")</f>
        <v>Identify the transversals of parallel and non-parallel lines.</v>
      </c>
      <c r="P134" s="29" t="str">
        <f t="shared" si="27"/>
        <v>LU000419.004</v>
      </c>
      <c r="Q134" s="29" t="str">
        <f ca="1">IFERROR(__xludf.dummyfunction("VLOOKUP(P134, IMPORTRANGE(""https://docs.google.com/spreadsheets/d/1yDAaXNsi4Mr5FtRQL4tbmSdIzhx6_m4wkOD7IG-k_eo/edit#gid=0"", ""Maths!M:N""), 2, FALSE)"),"Find the number of angles made by a transversal of two lines.")</f>
        <v>Find the number of angles made by a transversal of two lines.</v>
      </c>
      <c r="R134" s="29" t="str">
        <f t="shared" si="28"/>
        <v>LU000419.005</v>
      </c>
      <c r="S134" s="29" t="str">
        <f ca="1">IFERROR(__xludf.dummyfunction("VLOOKUP(R134, IMPORTRANGE(""https://docs.google.com/spreadsheets/d/1yDAaXNsi4Mr5FtRQL4tbmSdIzhx6_m4wkOD7IG-k_eo/edit#gid=0"", ""Maths!M:N""), 2, FALSE)"),"Assess the validity of statements regarding transversals and their properties.")</f>
        <v>Assess the validity of statements regarding transversals and their properties.</v>
      </c>
      <c r="T134" s="29" t="str">
        <f t="shared" si="29"/>
        <v>LU000419.006</v>
      </c>
      <c r="U134" s="29" t="str">
        <f ca="1">IFERROR(__xludf.dummyfunction("VLOOKUP(T134, IMPORTRANGE(""https://docs.google.com/spreadsheets/d/1yDAaXNsi4Mr5FtRQL4tbmSdIzhx6_m4wkOD7IG-k_eo/edit#gid=0"", ""Maths!M:N""), 2, FALSE)"),"Design a diagram with parallel lines, a transversal, and labelled angles to demonstrate the concept of transversals.")</f>
        <v>Design a diagram with parallel lines, a transversal, and labelled angles to demonstrate the concept of transversals.</v>
      </c>
      <c r="V134" s="16">
        <f ca="1">IFERROR(__xludf.dummyfunction("ArrayFormula(VLOOKUP(G134, IMPORTRANGE(""https://docs.google.com/spreadsheets/d/1p7R4vtkWt5VOBim4ltsDG9KTzSjrtKXsMtQGXPHyND0/edit#gid=795171502"", ""'Filter 30_05_2024'!A1:M2000""), {2, 3, 4, 5,6,7,8,9,10,11,12,13}, 0))"),4)</f>
        <v>4</v>
      </c>
      <c r="W134" s="16">
        <f ca="1">IFERROR(__xludf.dummyfunction("""COMPUTED_VALUE"""),6)</f>
        <v>6</v>
      </c>
      <c r="X134" s="16">
        <f ca="1">IFERROR(__xludf.dummyfunction("""COMPUTED_VALUE"""),2)</f>
        <v>2</v>
      </c>
      <c r="Y134" s="16">
        <f ca="1">IFERROR(__xludf.dummyfunction("""COMPUTED_VALUE"""),12)</f>
        <v>12</v>
      </c>
      <c r="Z134" s="16">
        <f ca="1">IFERROR(__xludf.dummyfunction("""COMPUTED_VALUE"""),4)</f>
        <v>4</v>
      </c>
      <c r="AA134" s="30">
        <f ca="1">IFERROR(__xludf.dummyfunction("""COMPUTED_VALUE"""),3)</f>
        <v>3</v>
      </c>
      <c r="AB134" s="30">
        <f ca="1">IFERROR(__xludf.dummyfunction("""COMPUTED_VALUE"""),1)</f>
        <v>1</v>
      </c>
      <c r="AC134" s="30">
        <f ca="1">IFERROR(__xludf.dummyfunction("""COMPUTED_VALUE"""),8)</f>
        <v>8</v>
      </c>
      <c r="AD134" s="16"/>
      <c r="AE134" s="30"/>
      <c r="AF134" s="30"/>
      <c r="AG134" s="30"/>
    </row>
    <row r="135" spans="1:33" ht="26.4">
      <c r="A135" s="25"/>
      <c r="B135" s="25" t="s">
        <v>29</v>
      </c>
      <c r="C135" s="25" t="s">
        <v>310</v>
      </c>
      <c r="D135" s="25">
        <v>7</v>
      </c>
      <c r="E135" s="64" t="s">
        <v>953</v>
      </c>
      <c r="F135" s="64" t="s">
        <v>964</v>
      </c>
      <c r="G135" s="71" t="s">
        <v>965</v>
      </c>
      <c r="H135" s="90" t="str">
        <f ca="1">IFERROR(__xludf.dummyfunction("IFERROR(
  VLOOKUP(G135, IMPORTRANGE(""https://docs.google.com/spreadsheets/d/14deopnvwcrKtEGCKuYXdUHJbeLDZlkiSSWWT0g7x2pM/edit#gid=849066331"", ""LU List Maths (Filter)!A:B""), 2, FALSE),
  IFERROR(
    VLOOKUP(G135, IMPORTRANGE(""https://docs.google.com"&amp;"/spreadsheets/d/14deopnvwcrKtEGCKuYXdUHJbeLDZlkiSSWWT0g7x2pM/edit#gid=849066331"", ""LU List Science (Filter)!A:B""), 2, FALSE),
    ""Not Found""
  )
)
"),"Angles made by transversal - Interior angles
")</f>
        <v xml:space="preserve">Angles made by transversal - Interior angles
</v>
      </c>
      <c r="I135" s="64"/>
      <c r="J135" s="29" t="str">
        <f t="shared" si="24"/>
        <v>LU001020.001</v>
      </c>
      <c r="K135" s="29" t="str">
        <f ca="1">IFERROR(__xludf.dummyfunction("VLOOKUP(J135, IMPORTRANGE(""https://docs.google.com/spreadsheets/d/1yDAaXNsi4Mr5FtRQL4tbmSdIzhx6_m4wkOD7IG-k_eo/edit#gid=0"", ""Maths!M:N""), 2, FALSE)"),"Recall the definitions and properties of interior angles made by a transversal.")</f>
        <v>Recall the definitions and properties of interior angles made by a transversal.</v>
      </c>
      <c r="L135" s="29" t="str">
        <f t="shared" si="25"/>
        <v>LU001020.002</v>
      </c>
      <c r="M135" s="29" t="str">
        <f ca="1">IFERROR(__xludf.dummyfunction("VLOOKUP(L135, IMPORTRANGE(""https://docs.google.com/spreadsheets/d/1yDAaXNsi4Mr5FtRQL4tbmSdIzhx6_m4wkOD7IG-k_eo/edit#gid=0"", ""Maths!M:N""), 2, FALSE)"),"Explain the concept of interior angles formed by a transversal with parallel lines.")</f>
        <v>Explain the concept of interior angles formed by a transversal with parallel lines.</v>
      </c>
      <c r="N135" s="29" t="str">
        <f t="shared" si="26"/>
        <v>LU001020.003</v>
      </c>
      <c r="O135" s="29" t="str">
        <f ca="1">IFERROR(__xludf.dummyfunction("VLOOKUP(N135, IMPORTRANGE(""https://docs.google.com/spreadsheets/d/1yDAaXNsi4Mr5FtRQL4tbmSdIzhx6_m4wkOD7IG-k_eo/edit#gid=0"", ""Maths!M:N""), 2, FALSE)"),"Apply the properties of interior angles to solve problems involving transversals and parallel lines.")</f>
        <v>Apply the properties of interior angles to solve problems involving transversals and parallel lines.</v>
      </c>
      <c r="P135" s="29" t="str">
        <f t="shared" si="27"/>
        <v>LU001020.004</v>
      </c>
      <c r="Q135" s="29" t="str">
        <f ca="1">IFERROR(__xludf.dummyfunction("VLOOKUP(P135, IMPORTRANGE(""https://docs.google.com/spreadsheets/d/1yDAaXNsi4Mr5FtRQL4tbmSdIzhx6_m4wkOD7IG-k_eo/edit#gid=0"", ""Maths!M:N""), 2, FALSE)"),"Analyze geometric diagrams to identify and differentiate between various types of interior angles formed by transversals.")</f>
        <v>Analyze geometric diagrams to identify and differentiate between various types of interior angles formed by transversals.</v>
      </c>
      <c r="R135" s="29" t="str">
        <f t="shared" si="28"/>
        <v>LU001020.005</v>
      </c>
      <c r="S135" s="29" t="str">
        <f ca="1">IFERROR(__xludf.dummyfunction("VLOOKUP(R135, IMPORTRANGE(""https://docs.google.com/spreadsheets/d/1yDAaXNsi4Mr5FtRQL4tbmSdIzhx6_m4wkOD7IG-k_eo/edit#gid=0"", ""Maths!M:N""), 2, FALSE)"),"Evaluate geometric proofs involving interior angles made by a transversal, determining the validity of the reasoning used.")</f>
        <v>Evaluate geometric proofs involving interior angles made by a transversal, determining the validity of the reasoning used.</v>
      </c>
      <c r="T135" s="29" t="str">
        <f t="shared" si="29"/>
        <v>LU001020.006</v>
      </c>
      <c r="U135" s="29" t="str">
        <f ca="1">IFERROR(__xludf.dummyfunction("VLOOKUP(T135, IMPORTRANGE(""https://docs.google.com/spreadsheets/d/1yDAaXNsi4Mr5FtRQL4tbmSdIzhx6_m4wkOD7IG-k_eo/edit#gid=0"", ""Maths!M:N""), 2, FALSE)"),"#N/A")</f>
        <v>#N/A</v>
      </c>
      <c r="V135" s="16">
        <f ca="1">IFERROR(__xludf.dummyfunction("ArrayFormula(VLOOKUP(G135, IMPORTRANGE(""https://docs.google.com/spreadsheets/d/1p7R4vtkWt5VOBim4ltsDG9KTzSjrtKXsMtQGXPHyND0/edit#gid=795171502"", ""'Filter 30_05_2024'!A1:M2000""), {2, 3, 4, 5,6,7,8,9,10,11,12,13}, 0))"),4)</f>
        <v>4</v>
      </c>
      <c r="W135" s="16">
        <f ca="1">IFERROR(__xludf.dummyfunction("""COMPUTED_VALUE"""),4)</f>
        <v>4</v>
      </c>
      <c r="X135" s="16">
        <f ca="1">IFERROR(__xludf.dummyfunction("""COMPUTED_VALUE"""),2)</f>
        <v>2</v>
      </c>
      <c r="Y135" s="16">
        <f ca="1">IFERROR(__xludf.dummyfunction("""COMPUTED_VALUE"""),10)</f>
        <v>10</v>
      </c>
      <c r="Z135" s="16">
        <f ca="1">IFERROR(__xludf.dummyfunction("""COMPUTED_VALUE"""),4)</f>
        <v>4</v>
      </c>
      <c r="AA135" s="30">
        <f ca="1">IFERROR(__xludf.dummyfunction("""COMPUTED_VALUE"""),3)</f>
        <v>3</v>
      </c>
      <c r="AB135" s="30">
        <f ca="1">IFERROR(__xludf.dummyfunction("""COMPUTED_VALUE"""),1)</f>
        <v>1</v>
      </c>
      <c r="AC135" s="30">
        <f ca="1">IFERROR(__xludf.dummyfunction("""COMPUTED_VALUE"""),8)</f>
        <v>8</v>
      </c>
      <c r="AD135" s="16"/>
      <c r="AE135" s="30"/>
      <c r="AF135" s="30"/>
      <c r="AG135" s="30"/>
    </row>
    <row r="136" spans="1:33" ht="13.8">
      <c r="A136" s="25"/>
      <c r="B136" s="25" t="s">
        <v>29</v>
      </c>
      <c r="C136" s="25" t="s">
        <v>310</v>
      </c>
      <c r="D136" s="25">
        <v>7</v>
      </c>
      <c r="E136" s="64" t="s">
        <v>953</v>
      </c>
      <c r="F136" s="64"/>
      <c r="G136" s="71" t="s">
        <v>966</v>
      </c>
      <c r="H136" s="72" t="str">
        <f ca="1">IFERROR(__xludf.dummyfunction("IFERROR(
  VLOOKUP(G136, IMPORTRANGE(""https://docs.google.com/spreadsheets/d/14deopnvwcrKtEGCKuYXdUHJbeLDZlkiSSWWT0g7x2pM/edit#gid=849066331"", ""LU List Maths (Filter)!A:B""), 2, FALSE),
  IFERROR(
    VLOOKUP(G136, IMPORTRANGE(""https://docs.google.com"&amp;"/spreadsheets/d/14deopnvwcrKtEGCKuYXdUHJbeLDZlkiSSWWT0g7x2pM/edit#gid=849066331"", ""LU List Science (Filter)!A:B""), 2, FALSE),
    ""Not Found""
  )
)
"),"Angles made by transversal - Alternate interior angles")</f>
        <v>Angles made by transversal - Alternate interior angles</v>
      </c>
      <c r="I136" s="64"/>
      <c r="J136" s="29" t="str">
        <f t="shared" si="24"/>
        <v>LU001022.001</v>
      </c>
      <c r="K136" s="29" t="str">
        <f ca="1">IFERROR(__xludf.dummyfunction("VLOOKUP(J136, IMPORTRANGE(""https://docs.google.com/spreadsheets/d/1yDAaXNsi4Mr5FtRQL4tbmSdIzhx6_m4wkOD7IG-k_eo/edit#gid=0"", ""Maths!M:N""), 2, FALSE)"),"Recall the definition and properties of alternate interior angles made by a transversal.")</f>
        <v>Recall the definition and properties of alternate interior angles made by a transversal.</v>
      </c>
      <c r="L136" s="29" t="str">
        <f t="shared" si="25"/>
        <v>LU001022.002</v>
      </c>
      <c r="M136" s="29" t="str">
        <f ca="1">IFERROR(__xludf.dummyfunction("VLOOKUP(L136, IMPORTRANGE(""https://docs.google.com/spreadsheets/d/1yDAaXNsi4Mr5FtRQL4tbmSdIzhx6_m4wkOD7IG-k_eo/edit#gid=0"", ""Maths!M:N""), 2, FALSE)"),"Explain the concept and characteristics of alternate interior angles in transversal lines.")</f>
        <v>Explain the concept and characteristics of alternate interior angles in transversal lines.</v>
      </c>
      <c r="N136" s="29" t="str">
        <f t="shared" si="26"/>
        <v>LU001022.003</v>
      </c>
      <c r="O136" s="29" t="str">
        <f ca="1">IFERROR(__xludf.dummyfunction("VLOOKUP(N136, IMPORTRANGE(""https://docs.google.com/spreadsheets/d/1yDAaXNsi4Mr5FtRQL4tbmSdIzhx6_m4wkOD7IG-k_eo/edit#gid=0"", ""Maths!M:N""), 2, FALSE)"),"Apply the properties of alternate interior angles to solve geometric problems involving transversals.")</f>
        <v>Apply the properties of alternate interior angles to solve geometric problems involving transversals.</v>
      </c>
      <c r="P136" s="29" t="str">
        <f t="shared" si="27"/>
        <v>LU001022.004</v>
      </c>
      <c r="Q136" s="29" t="str">
        <f ca="1">IFERROR(__xludf.dummyfunction("VLOOKUP(P136, IMPORTRANGE(""https://docs.google.com/spreadsheets/d/1yDAaXNsi4Mr5FtRQL4tbmSdIzhx6_m4wkOD7IG-k_eo/edit#gid=0"", ""Maths!M:N""), 2, FALSE)"),"Examine geometric diagrams to identify and differentiate alternate interior angles formed by transversals.")</f>
        <v>Examine geometric diagrams to identify and differentiate alternate interior angles formed by transversals.</v>
      </c>
      <c r="R136" s="29" t="str">
        <f t="shared" si="28"/>
        <v>LU001022.005</v>
      </c>
      <c r="S136" s="29" t="str">
        <f ca="1">IFERROR(__xludf.dummyfunction("VLOOKUP(R136, IMPORTRANGE(""https://docs.google.com/spreadsheets/d/1yDAaXNsi4Mr5FtRQL4tbmSdIzhx6_m4wkOD7IG-k_eo/edit#gid=0"", ""Maths!M:N""), 2, FALSE)"),"Assess problems and solutions involving alternate interior angles, determining the validity and accuracy of the approaches used.")</f>
        <v>Assess problems and solutions involving alternate interior angles, determining the validity and accuracy of the approaches used.</v>
      </c>
      <c r="T136" s="29" t="str">
        <f t="shared" si="29"/>
        <v>LU001022.006</v>
      </c>
      <c r="U136" s="29" t="str">
        <f ca="1">IFERROR(__xludf.dummyfunction("VLOOKUP(T136, IMPORTRANGE(""https://docs.google.com/spreadsheets/d/1yDAaXNsi4Mr5FtRQL4tbmSdIzhx6_m4wkOD7IG-k_eo/edit#gid=0"", ""Maths!M:N""), 2, FALSE)"),"#N/A")</f>
        <v>#N/A</v>
      </c>
      <c r="V136" s="16">
        <f ca="1">IFERROR(__xludf.dummyfunction("ArrayFormula(VLOOKUP(G136, IMPORTRANGE(""https://docs.google.com/spreadsheets/d/1p7R4vtkWt5VOBim4ltsDG9KTzSjrtKXsMtQGXPHyND0/edit#gid=795171502"", ""'Filter 30_05_2024'!A1:M2000""), {2, 3, 4, 5,6,7,8,9,10,11,12,13}, 0))"),12)</f>
        <v>12</v>
      </c>
      <c r="W136" s="16">
        <f ca="1">IFERROR(__xludf.dummyfunction("""COMPUTED_VALUE"""),12)</f>
        <v>12</v>
      </c>
      <c r="X136" s="16">
        <f ca="1">IFERROR(__xludf.dummyfunction("""COMPUTED_VALUE"""),2)</f>
        <v>2</v>
      </c>
      <c r="Y136" s="16">
        <f ca="1">IFERROR(__xludf.dummyfunction("""COMPUTED_VALUE"""),26)</f>
        <v>26</v>
      </c>
      <c r="Z136" s="16">
        <f ca="1">IFERROR(__xludf.dummyfunction("""COMPUTED_VALUE"""),5)</f>
        <v>5</v>
      </c>
      <c r="AA136" s="30">
        <f ca="1">IFERROR(__xludf.dummyfunction("""COMPUTED_VALUE"""),3)</f>
        <v>3</v>
      </c>
      <c r="AB136" s="30">
        <f ca="1">IFERROR(__xludf.dummyfunction("""COMPUTED_VALUE"""),1)</f>
        <v>1</v>
      </c>
      <c r="AC136" s="30">
        <f ca="1">IFERROR(__xludf.dummyfunction("""COMPUTED_VALUE"""),9)</f>
        <v>9</v>
      </c>
      <c r="AD136" s="16"/>
      <c r="AE136" s="30"/>
      <c r="AF136" s="30"/>
      <c r="AG136" s="30"/>
    </row>
    <row r="137" spans="1:33" ht="13.8">
      <c r="A137" s="25"/>
      <c r="B137" s="25" t="s">
        <v>29</v>
      </c>
      <c r="C137" s="25" t="s">
        <v>310</v>
      </c>
      <c r="D137" s="25">
        <v>7</v>
      </c>
      <c r="E137" s="64" t="s">
        <v>953</v>
      </c>
      <c r="F137" s="64"/>
      <c r="G137" s="71" t="s">
        <v>967</v>
      </c>
      <c r="H137" s="72" t="str">
        <f ca="1">IFERROR(__xludf.dummyfunction("IFERROR(
  VLOOKUP(G137, IMPORTRANGE(""https://docs.google.com/spreadsheets/d/14deopnvwcrKtEGCKuYXdUHJbeLDZlkiSSWWT0g7x2pM/edit#gid=849066331"", ""LU List Maths (Filter)!A:B""), 2, FALSE),
  IFERROR(
    VLOOKUP(G137, IMPORTRANGE(""https://docs.google.com"&amp;"/spreadsheets/d/14deopnvwcrKtEGCKuYXdUHJbeLDZlkiSSWWT0g7x2pM/edit#gid=849066331"", ""LU List Science (Filter)!A:B""), 2, FALSE),
    ""Not Found""
  )
)
"),"Angles made by transversal - Interior angles on the same side of the transversal")</f>
        <v>Angles made by transversal - Interior angles on the same side of the transversal</v>
      </c>
      <c r="I137" s="64"/>
      <c r="J137" s="29" t="str">
        <f t="shared" si="24"/>
        <v>LU001025.001</v>
      </c>
      <c r="K137" s="29" t="str">
        <f ca="1">IFERROR(__xludf.dummyfunction("VLOOKUP(J137, IMPORTRANGE(""https://docs.google.com/spreadsheets/d/1yDAaXNsi4Mr5FtRQL4tbmSdIzhx6_m4wkOD7IG-k_eo/edit#gid=0"", ""Maths!M:N""), 2, FALSE)"),"Recall the definition of interior angles on the same side of a transversal.")</f>
        <v>Recall the definition of interior angles on the same side of a transversal.</v>
      </c>
      <c r="L137" s="29" t="str">
        <f t="shared" si="25"/>
        <v>LU001025.002</v>
      </c>
      <c r="M137" s="29" t="str">
        <f ca="1">IFERROR(__xludf.dummyfunction("VLOOKUP(L137, IMPORTRANGE(""https://docs.google.com/spreadsheets/d/1yDAaXNsi4Mr5FtRQL4tbmSdIzhx6_m4wkOD7IG-k_eo/edit#gid=0"", ""Maths!M:N""), 2, FALSE)"),"Explain the concept and properties of interior angles on the same side of the transversal in the context of transversal lines.")</f>
        <v>Explain the concept and properties of interior angles on the same side of the transversal in the context of transversal lines.</v>
      </c>
      <c r="N137" s="29" t="str">
        <f t="shared" si="26"/>
        <v>LU001025.003</v>
      </c>
      <c r="O137" s="29" t="str">
        <f ca="1">IFERROR(__xludf.dummyfunction("VLOOKUP(N137, IMPORTRANGE(""https://docs.google.com/spreadsheets/d/1yDAaXNsi4Mr5FtRQL4tbmSdIzhx6_m4wkOD7IG-k_eo/edit#gid=0"", ""Maths!M:N""), 2, FALSE)"),"Use the properties of interior angles on the same side of the transversal to solve geometric problems with transversals.")</f>
        <v>Use the properties of interior angles on the same side of the transversal to solve geometric problems with transversals.</v>
      </c>
      <c r="P137" s="29" t="str">
        <f t="shared" si="27"/>
        <v>LU001025.004</v>
      </c>
      <c r="Q137" s="29" t="str">
        <f ca="1">IFERROR(__xludf.dummyfunction("VLOOKUP(P137, IMPORTRANGE(""https://docs.google.com/spreadsheets/d/1yDAaXNsi4Mr5FtRQL4tbmSdIzhx6_m4wkOD7IG-k_eo/edit#gid=0"", ""Maths!M:N""), 2, FALSE)"),"Analyze geometric diagrams to identify and differentiate interior angles on the same side of the transversal.")</f>
        <v>Analyze geometric diagrams to identify and differentiate interior angles on the same side of the transversal.</v>
      </c>
      <c r="R137" s="29" t="str">
        <f t="shared" si="28"/>
        <v>LU001025.005</v>
      </c>
      <c r="S137" s="29" t="str">
        <f ca="1">IFERROR(__xludf.dummyfunction("VLOOKUP(R137, IMPORTRANGE(""https://docs.google.com/spreadsheets/d/1yDAaXNsi4Mr5FtRQL4tbmSdIzhx6_m4wkOD7IG-k_eo/edit#gid=0"", ""Maths!M:N""), 2, FALSE)"),"Evaluate the correctness and accuracy of solutions in problems related to interior angles on the same side of the transversal.")</f>
        <v>Evaluate the correctness and accuracy of solutions in problems related to interior angles on the same side of the transversal.</v>
      </c>
      <c r="T137" s="29" t="str">
        <f t="shared" si="29"/>
        <v>LU001025.006</v>
      </c>
      <c r="U137" s="29" t="str">
        <f ca="1">IFERROR(__xludf.dummyfunction("VLOOKUP(T137, IMPORTRANGE(""https://docs.google.com/spreadsheets/d/1yDAaXNsi4Mr5FtRQL4tbmSdIzhx6_m4wkOD7IG-k_eo/edit#gid=0"", ""Maths!M:N""), 2, FALSE)"),"#N/A")</f>
        <v>#N/A</v>
      </c>
      <c r="V137" s="16">
        <f ca="1">IFERROR(__xludf.dummyfunction("ArrayFormula(VLOOKUP(G137, IMPORTRANGE(""https://docs.google.com/spreadsheets/d/1p7R4vtkWt5VOBim4ltsDG9KTzSjrtKXsMtQGXPHyND0/edit#gid=795171502"", ""'Filter 30_05_2024'!A1:M2000""), {2, 3, 4, 5,6,7,8,9,10,11,12,13}, 0))"),4)</f>
        <v>4</v>
      </c>
      <c r="W137" s="16">
        <f ca="1">IFERROR(__xludf.dummyfunction("""COMPUTED_VALUE"""),6)</f>
        <v>6</v>
      </c>
      <c r="X137" s="16">
        <f ca="1">IFERROR(__xludf.dummyfunction("""COMPUTED_VALUE"""),2)</f>
        <v>2</v>
      </c>
      <c r="Y137" s="16">
        <f ca="1">IFERROR(__xludf.dummyfunction("""COMPUTED_VALUE"""),12)</f>
        <v>12</v>
      </c>
      <c r="Z137" s="16">
        <f ca="1">IFERROR(__xludf.dummyfunction("""COMPUTED_VALUE"""),5)</f>
        <v>5</v>
      </c>
      <c r="AA137" s="30">
        <f ca="1">IFERROR(__xludf.dummyfunction("""COMPUTED_VALUE"""),3)</f>
        <v>3</v>
      </c>
      <c r="AB137" s="30">
        <f ca="1">IFERROR(__xludf.dummyfunction("""COMPUTED_VALUE"""),1)</f>
        <v>1</v>
      </c>
      <c r="AC137" s="30">
        <f ca="1">IFERROR(__xludf.dummyfunction("""COMPUTED_VALUE"""),9)</f>
        <v>9</v>
      </c>
      <c r="AD137" s="16"/>
      <c r="AE137" s="30"/>
      <c r="AF137" s="30"/>
      <c r="AG137" s="30"/>
    </row>
    <row r="138" spans="1:33" ht="13.8">
      <c r="A138" s="25"/>
      <c r="B138" s="25" t="s">
        <v>29</v>
      </c>
      <c r="C138" s="25" t="s">
        <v>310</v>
      </c>
      <c r="D138" s="25">
        <v>7</v>
      </c>
      <c r="E138" s="64" t="s">
        <v>953</v>
      </c>
      <c r="F138" s="64" t="s">
        <v>968</v>
      </c>
      <c r="G138" s="71" t="s">
        <v>969</v>
      </c>
      <c r="H138" s="72" t="str">
        <f ca="1">IFERROR(__xludf.dummyfunction("IFERROR(
  VLOOKUP(G138, IMPORTRANGE(""https://docs.google.com/spreadsheets/d/14deopnvwcrKtEGCKuYXdUHJbeLDZlkiSSWWT0g7x2pM/edit#gid=849066331"", ""LU List Maths (Filter)!A:B""), 2, FALSE),
  IFERROR(
    VLOOKUP(G138, IMPORTRANGE(""https://docs.google.com"&amp;"/spreadsheets/d/14deopnvwcrKtEGCKuYXdUHJbeLDZlkiSSWWT0g7x2pM/edit#gid=849066331"", ""LU List Science (Filter)!A:B""), 2, FALSE),
    ""Not Found""
  )
)
"),"Angles made by transversal - Exterior angles")</f>
        <v>Angles made by transversal - Exterior angles</v>
      </c>
      <c r="I138" s="64"/>
      <c r="J138" s="29" t="str">
        <f t="shared" si="24"/>
        <v>LU001021.001</v>
      </c>
      <c r="K138" s="29" t="str">
        <f ca="1">IFERROR(__xludf.dummyfunction("VLOOKUP(J138, IMPORTRANGE(""https://docs.google.com/spreadsheets/d/1yDAaXNsi4Mr5FtRQL4tbmSdIzhx6_m4wkOD7IG-k_eo/edit#gid=0"", ""Maths!M:N""), 2, FALSE)"),"Identify the properties of exterior angles formed by a transversal.")</f>
        <v>Identify the properties of exterior angles formed by a transversal.</v>
      </c>
      <c r="L138" s="29" t="str">
        <f t="shared" si="25"/>
        <v>LU001021.002</v>
      </c>
      <c r="M138" s="29" t="str">
        <f ca="1">IFERROR(__xludf.dummyfunction("VLOOKUP(L138, IMPORTRANGE(""https://docs.google.com/spreadsheets/d/1yDAaXNsi4Mr5FtRQL4tbmSdIzhx6_m4wkOD7IG-k_eo/edit#gid=0"", ""Maths!M:N""), 2, FALSE)"),"Describe how exterior angles are formed by a transversal with parallel lines.")</f>
        <v>Describe how exterior angles are formed by a transversal with parallel lines.</v>
      </c>
      <c r="N138" s="29" t="str">
        <f t="shared" si="26"/>
        <v>LU001021.003</v>
      </c>
      <c r="O138" s="29" t="str">
        <f ca="1">IFERROR(__xludf.dummyfunction("VLOOKUP(N138, IMPORTRANGE(""https://docs.google.com/spreadsheets/d/1yDAaXNsi4Mr5FtRQL4tbmSdIzhx6_m4wkOD7IG-k_eo/edit#gid=0"", ""Maths!M:N""), 2, FALSE)"),"Solve problems involving the calculation of exterior angles made by a transversal.")</f>
        <v>Solve problems involving the calculation of exterior angles made by a transversal.</v>
      </c>
      <c r="P138" s="29" t="str">
        <f t="shared" si="27"/>
        <v>LU001021.004</v>
      </c>
      <c r="Q138" s="29" t="str">
        <f ca="1">IFERROR(__xludf.dummyfunction("VLOOKUP(P138, IMPORTRANGE(""https://docs.google.com/spreadsheets/d/1yDAaXNsi4Mr5FtRQL4tbmSdIzhx6_m4wkOD7IG-k_eo/edit#gid=0"", ""Maths!M:N""), 2, FALSE)"),"Distinguish between different types of exterior angles in geometric diagrams involving transversals.")</f>
        <v>Distinguish between different types of exterior angles in geometric diagrams involving transversals.</v>
      </c>
      <c r="R138" s="29" t="str">
        <f t="shared" si="28"/>
        <v>LU001021.005</v>
      </c>
      <c r="S138" s="29" t="str">
        <f ca="1">IFERROR(__xludf.dummyfunction("VLOOKUP(R138, IMPORTRANGE(""https://docs.google.com/spreadsheets/d/1yDAaXNsi4Mr5FtRQL4tbmSdIzhx6_m4wkOD7IG-k_eo/edit#gid=0"", ""Maths!M:N""), 2, FALSE)"),"Critique solutions to problems involving exterior angles made by a transversal, assessing the methods used.")</f>
        <v>Critique solutions to problems involving exterior angles made by a transversal, assessing the methods used.</v>
      </c>
      <c r="T138" s="29" t="str">
        <f t="shared" si="29"/>
        <v>LU001021.006</v>
      </c>
      <c r="U138" s="29" t="str">
        <f ca="1">IFERROR(__xludf.dummyfunction("VLOOKUP(T138, IMPORTRANGE(""https://docs.google.com/spreadsheets/d/1yDAaXNsi4Mr5FtRQL4tbmSdIzhx6_m4wkOD7IG-k_eo/edit#gid=0"", ""Maths!M:N""), 2, FALSE)"),"Develop unique geometric problems that involve exterior angles formed by transversals, including detailed solutions and justifications.")</f>
        <v>Develop unique geometric problems that involve exterior angles formed by transversals, including detailed solutions and justifications.</v>
      </c>
      <c r="V138" s="16">
        <f ca="1">IFERROR(__xludf.dummyfunction("ArrayFormula(VLOOKUP(G138, IMPORTRANGE(""https://docs.google.com/spreadsheets/d/1p7R4vtkWt5VOBim4ltsDG9KTzSjrtKXsMtQGXPHyND0/edit#gid=795171502"", ""'Filter 30_05_2024'!A1:M2000""), {2, 3, 4, 5,6,7,8,9,10,11,12,13}, 0))"),4)</f>
        <v>4</v>
      </c>
      <c r="W138" s="16">
        <f ca="1">IFERROR(__xludf.dummyfunction("""COMPUTED_VALUE"""),4)</f>
        <v>4</v>
      </c>
      <c r="X138" s="16">
        <f ca="1">IFERROR(__xludf.dummyfunction("""COMPUTED_VALUE"""),2)</f>
        <v>2</v>
      </c>
      <c r="Y138" s="16">
        <f ca="1">IFERROR(__xludf.dummyfunction("""COMPUTED_VALUE"""),10)</f>
        <v>10</v>
      </c>
      <c r="Z138" s="16">
        <f ca="1">IFERROR(__xludf.dummyfunction("""COMPUTED_VALUE"""),4)</f>
        <v>4</v>
      </c>
      <c r="AA138" s="30">
        <f ca="1">IFERROR(__xludf.dummyfunction("""COMPUTED_VALUE"""),4)</f>
        <v>4</v>
      </c>
      <c r="AB138" s="30">
        <f ca="1">IFERROR(__xludf.dummyfunction("""COMPUTED_VALUE"""),1)</f>
        <v>1</v>
      </c>
      <c r="AC138" s="30">
        <f ca="1">IFERROR(__xludf.dummyfunction("""COMPUTED_VALUE"""),9)</f>
        <v>9</v>
      </c>
      <c r="AD138" s="16"/>
      <c r="AE138" s="30"/>
      <c r="AF138" s="30"/>
      <c r="AG138" s="30"/>
    </row>
    <row r="139" spans="1:33" ht="13.8">
      <c r="A139" s="25"/>
      <c r="B139" s="25" t="s">
        <v>29</v>
      </c>
      <c r="C139" s="25" t="s">
        <v>310</v>
      </c>
      <c r="D139" s="25">
        <v>7</v>
      </c>
      <c r="E139" s="64" t="s">
        <v>953</v>
      </c>
      <c r="F139" s="64"/>
      <c r="G139" s="71" t="s">
        <v>970</v>
      </c>
      <c r="H139" s="72" t="str">
        <f ca="1">IFERROR(__xludf.dummyfunction("IFERROR(
  VLOOKUP(G139, IMPORTRANGE(""https://docs.google.com/spreadsheets/d/14deopnvwcrKtEGCKuYXdUHJbeLDZlkiSSWWT0g7x2pM/edit#gid=849066331"", ""LU List Maths (Filter)!A:B""), 2, FALSE),
  IFERROR(
    VLOOKUP(G139, IMPORTRANGE(""https://docs.google.com"&amp;"/spreadsheets/d/14deopnvwcrKtEGCKuYXdUHJbeLDZlkiSSWWT0g7x2pM/edit#gid=849066331"", ""LU List Science (Filter)!A:B""), 2, FALSE),
    ""Not Found""
  )
)
"),"Angles made by transversal - Alternate exterior angles")</f>
        <v>Angles made by transversal - Alternate exterior angles</v>
      </c>
      <c r="I139" s="64"/>
      <c r="J139" s="29" t="str">
        <f t="shared" si="24"/>
        <v>LU001023.001</v>
      </c>
      <c r="K139" s="29" t="str">
        <f ca="1">IFERROR(__xludf.dummyfunction("VLOOKUP(J139, IMPORTRANGE(""https://docs.google.com/spreadsheets/d/1yDAaXNsi4Mr5FtRQL4tbmSdIzhx6_m4wkOD7IG-k_eo/edit#gid=0"", ""Maths!M:N""), 2, FALSE)"),"Identify the characteristics of alternate exterior angles formed by a transversal.")</f>
        <v>Identify the characteristics of alternate exterior angles formed by a transversal.</v>
      </c>
      <c r="L139" s="29" t="str">
        <f t="shared" si="25"/>
        <v>LU001023.002</v>
      </c>
      <c r="M139" s="29" t="str">
        <f ca="1">IFERROR(__xludf.dummyfunction("VLOOKUP(L139, IMPORTRANGE(""https://docs.google.com/spreadsheets/d/1yDAaXNsi4Mr5FtRQL4tbmSdIzhx6_m4wkOD7IG-k_eo/edit#gid=0"", ""Maths!M:N""), 2, FALSE)"),"Describe the formation and properties of alternate exterior angles in transversal lines.")</f>
        <v>Describe the formation and properties of alternate exterior angles in transversal lines.</v>
      </c>
      <c r="N139" s="29" t="str">
        <f t="shared" si="26"/>
        <v>LU001023.003</v>
      </c>
      <c r="O139" s="29" t="str">
        <f ca="1">IFERROR(__xludf.dummyfunction("VLOOKUP(N139, IMPORTRANGE(""https://docs.google.com/spreadsheets/d/1yDAaXNsi4Mr5FtRQL4tbmSdIzhx6_m4wkOD7IG-k_eo/edit#gid=0"", ""Maths!M:N""), 2, FALSE)"),"Use the properties of alternate exterior angles to solve geometric problems with transversals.")</f>
        <v>Use the properties of alternate exterior angles to solve geometric problems with transversals.</v>
      </c>
      <c r="P139" s="29" t="str">
        <f t="shared" si="27"/>
        <v>LU001023.004</v>
      </c>
      <c r="Q139" s="29" t="str">
        <f ca="1">IFERROR(__xludf.dummyfunction("VLOOKUP(P139, IMPORTRANGE(""https://docs.google.com/spreadsheets/d/1yDAaXNsi4Mr5FtRQL4tbmSdIzhx6_m4wkOD7IG-k_eo/edit#gid=0"", ""Maths!M:N""), 2, FALSE)"),"Analyze geometric diagrams to distinguish alternate exterior angles created by transversals.")</f>
        <v>Analyze geometric diagrams to distinguish alternate exterior angles created by transversals.</v>
      </c>
      <c r="R139" s="29" t="str">
        <f t="shared" si="28"/>
        <v>LU001023.005</v>
      </c>
      <c r="S139" s="29" t="str">
        <f ca="1">IFERROR(__xludf.dummyfunction("VLOOKUP(R139, IMPORTRANGE(""https://docs.google.com/spreadsheets/d/1yDAaXNsi4Mr5FtRQL4tbmSdIzhx6_m4wkOD7IG-k_eo/edit#gid=0"", ""Maths!M:N""), 2, FALSE)"),"Evaluate the methods and solutions in problems involving alternate exterior angles and transversals.")</f>
        <v>Evaluate the methods and solutions in problems involving alternate exterior angles and transversals.</v>
      </c>
      <c r="T139" s="29" t="str">
        <f t="shared" si="29"/>
        <v>LU001023.006</v>
      </c>
      <c r="U139" s="29" t="str">
        <f ca="1">IFERROR(__xludf.dummyfunction("VLOOKUP(T139, IMPORTRANGE(""https://docs.google.com/spreadsheets/d/1yDAaXNsi4Mr5FtRQL4tbmSdIzhx6_m4wkOD7IG-k_eo/edit#gid=0"", ""Maths!M:N""), 2, FALSE)"),"#N/A")</f>
        <v>#N/A</v>
      </c>
      <c r="V139" s="16">
        <f ca="1">IFERROR(__xludf.dummyfunction("ArrayFormula(VLOOKUP(G139, IMPORTRANGE(""https://docs.google.com/spreadsheets/d/1p7R4vtkWt5VOBim4ltsDG9KTzSjrtKXsMtQGXPHyND0/edit#gid=795171502"", ""'Filter 30_05_2024'!A1:M2000""), {2, 3, 4, 5,6,7,8,9,10,11,12,13}, 0))"),5)</f>
        <v>5</v>
      </c>
      <c r="W139" s="16">
        <f ca="1">IFERROR(__xludf.dummyfunction("""COMPUTED_VALUE"""),7)</f>
        <v>7</v>
      </c>
      <c r="X139" s="16">
        <f ca="1">IFERROR(__xludf.dummyfunction("""COMPUTED_VALUE"""),2)</f>
        <v>2</v>
      </c>
      <c r="Y139" s="16">
        <f ca="1">IFERROR(__xludf.dummyfunction("""COMPUTED_VALUE"""),14)</f>
        <v>14</v>
      </c>
      <c r="Z139" s="16">
        <f ca="1">IFERROR(__xludf.dummyfunction("""COMPUTED_VALUE"""),3)</f>
        <v>3</v>
      </c>
      <c r="AA139" s="30">
        <f ca="1">IFERROR(__xludf.dummyfunction("""COMPUTED_VALUE"""),4)</f>
        <v>4</v>
      </c>
      <c r="AB139" s="30">
        <f ca="1">IFERROR(__xludf.dummyfunction("""COMPUTED_VALUE"""),1)</f>
        <v>1</v>
      </c>
      <c r="AC139" s="30">
        <f ca="1">IFERROR(__xludf.dummyfunction("""COMPUTED_VALUE"""),8)</f>
        <v>8</v>
      </c>
      <c r="AD139" s="16"/>
      <c r="AE139" s="30"/>
      <c r="AF139" s="30"/>
      <c r="AG139" s="30"/>
    </row>
    <row r="140" spans="1:33" ht="13.8">
      <c r="A140" s="25"/>
      <c r="B140" s="25" t="s">
        <v>29</v>
      </c>
      <c r="C140" s="25" t="s">
        <v>310</v>
      </c>
      <c r="D140" s="25">
        <v>7</v>
      </c>
      <c r="E140" s="64" t="s">
        <v>953</v>
      </c>
      <c r="F140" s="64"/>
      <c r="G140" s="71" t="s">
        <v>971</v>
      </c>
      <c r="H140" s="72" t="str">
        <f ca="1">IFERROR(__xludf.dummyfunction("IFERROR(
  VLOOKUP(G140, IMPORTRANGE(""https://docs.google.com/spreadsheets/d/14deopnvwcrKtEGCKuYXdUHJbeLDZlkiSSWWT0g7x2pM/edit#gid=849066331"", ""LU List Maths (Filter)!A:B""), 2, FALSE),
  IFERROR(
    VLOOKUP(G140, IMPORTRANGE(""https://docs.google.com"&amp;"/spreadsheets/d/14deopnvwcrKtEGCKuYXdUHJbeLDZlkiSSWWT0g7x2pM/edit#gid=849066331"", ""LU List Science (Filter)!A:B""), 2, FALSE),
    ""Not Found""
  )
)
"),"Angles made by transversal - Exterior angles on the same side of the transversal")</f>
        <v>Angles made by transversal - Exterior angles on the same side of the transversal</v>
      </c>
      <c r="I140" s="64"/>
      <c r="J140" s="29" t="str">
        <f t="shared" si="24"/>
        <v>LU001026.001</v>
      </c>
      <c r="K140" s="29" t="str">
        <f ca="1">IFERROR(__xludf.dummyfunction("VLOOKUP(J140, IMPORTRANGE(""https://docs.google.com/spreadsheets/d/1yDAaXNsi4Mr5FtRQL4tbmSdIzhx6_m4wkOD7IG-k_eo/edit#gid=0"", ""Maths!M:N""), 2, FALSE)"),"Recall the definition and properties of exterior angles on the same side of a transversal.")</f>
        <v>Recall the definition and properties of exterior angles on the same side of a transversal.</v>
      </c>
      <c r="L140" s="29" t="str">
        <f t="shared" si="25"/>
        <v>LU001026.002</v>
      </c>
      <c r="M140" s="29" t="str">
        <f ca="1">IFERROR(__xludf.dummyfunction("VLOOKUP(L140, IMPORTRANGE(""https://docs.google.com/spreadsheets/d/1yDAaXNsi4Mr5FtRQL4tbmSdIzhx6_m4wkOD7IG-k_eo/edit#gid=0"", ""Maths!M:N""), 2, FALSE)"),"Explain the concept and characteristics of exterior angles on the same side of the transversal in the context of transversal lines.")</f>
        <v>Explain the concept and characteristics of exterior angles on the same side of the transversal in the context of transversal lines.</v>
      </c>
      <c r="N140" s="29" t="str">
        <f t="shared" si="26"/>
        <v>LU001026.003</v>
      </c>
      <c r="O140" s="29" t="str">
        <f ca="1">IFERROR(__xludf.dummyfunction("VLOOKUP(N140, IMPORTRANGE(""https://docs.google.com/spreadsheets/d/1yDAaXNsi4Mr5FtRQL4tbmSdIzhx6_m4wkOD7IG-k_eo/edit#gid=0"", ""Maths!M:N""), 2, FALSE)"),"Apply the properties of exterior angles on the same side of the transversal to solve geometric problems involving transversals.")</f>
        <v>Apply the properties of exterior angles on the same side of the transversal to solve geometric problems involving transversals.</v>
      </c>
      <c r="P140" s="29" t="str">
        <f t="shared" si="27"/>
        <v>LU001026.004</v>
      </c>
      <c r="Q140" s="29" t="str">
        <f ca="1">IFERROR(__xludf.dummyfunction("VLOOKUP(P140, IMPORTRANGE(""https://docs.google.com/spreadsheets/d/1yDAaXNsi4Mr5FtRQL4tbmSdIzhx6_m4wkOD7IG-k_eo/edit#gid=0"", ""Maths!M:N""), 2, FALSE)"),"Analyze geometric diagrams to identify and distinguish exterior angles on the same side of the transversal.")</f>
        <v>Analyze geometric diagrams to identify and distinguish exterior angles on the same side of the transversal.</v>
      </c>
      <c r="R140" s="29" t="str">
        <f t="shared" si="28"/>
        <v>LU001026.005</v>
      </c>
      <c r="S140" s="29" t="str">
        <f ca="1">IFERROR(__xludf.dummyfunction("VLOOKUP(R140, IMPORTRANGE(""https://docs.google.com/spreadsheets/d/1yDAaXNsi4Mr5FtRQL4tbmSdIzhx6_m4wkOD7IG-k_eo/edit#gid=0"", ""Maths!M:N""), 2, FALSE)"),"Evaluate the validity and accuracy of solutions in problems related to exterior angles on the same side of the transversal.")</f>
        <v>Evaluate the validity and accuracy of solutions in problems related to exterior angles on the same side of the transversal.</v>
      </c>
      <c r="T140" s="29" t="str">
        <f t="shared" si="29"/>
        <v>LU001026.006</v>
      </c>
      <c r="U140" s="29" t="str">
        <f ca="1">IFERROR(__xludf.dummyfunction("VLOOKUP(T140, IMPORTRANGE(""https://docs.google.com/spreadsheets/d/1yDAaXNsi4Mr5FtRQL4tbmSdIzhx6_m4wkOD7IG-k_eo/edit#gid=0"", ""Maths!M:N""), 2, FALSE)"),"#N/A")</f>
        <v>#N/A</v>
      </c>
      <c r="V140" s="16">
        <f ca="1">IFERROR(__xludf.dummyfunction("ArrayFormula(VLOOKUP(G140, IMPORTRANGE(""https://docs.google.com/spreadsheets/d/1p7R4vtkWt5VOBim4ltsDG9KTzSjrtKXsMtQGXPHyND0/edit#gid=795171502"", ""'Filter 30_05_2024'!A1:M2000""), {2, 3, 4, 5,6,7,8,9,10,11,12,13}, 0))"),4)</f>
        <v>4</v>
      </c>
      <c r="W140" s="16">
        <f ca="1">IFERROR(__xludf.dummyfunction("""COMPUTED_VALUE"""),6)</f>
        <v>6</v>
      </c>
      <c r="X140" s="16">
        <f ca="1">IFERROR(__xludf.dummyfunction("""COMPUTED_VALUE"""),2)</f>
        <v>2</v>
      </c>
      <c r="Y140" s="16">
        <f ca="1">IFERROR(__xludf.dummyfunction("""COMPUTED_VALUE"""),12)</f>
        <v>12</v>
      </c>
      <c r="Z140" s="16">
        <f ca="1">IFERROR(__xludf.dummyfunction("""COMPUTED_VALUE"""),4)</f>
        <v>4</v>
      </c>
      <c r="AA140" s="30">
        <f ca="1">IFERROR(__xludf.dummyfunction("""COMPUTED_VALUE"""),3)</f>
        <v>3</v>
      </c>
      <c r="AB140" s="30">
        <f ca="1">IFERROR(__xludf.dummyfunction("""COMPUTED_VALUE"""),1)</f>
        <v>1</v>
      </c>
      <c r="AC140" s="30">
        <f ca="1">IFERROR(__xludf.dummyfunction("""COMPUTED_VALUE"""),8)</f>
        <v>8</v>
      </c>
      <c r="AD140" s="16"/>
      <c r="AE140" s="30"/>
      <c r="AF140" s="30"/>
      <c r="AG140" s="30"/>
    </row>
    <row r="141" spans="1:33" ht="13.8">
      <c r="A141" s="25"/>
      <c r="B141" s="25" t="s">
        <v>29</v>
      </c>
      <c r="C141" s="25" t="s">
        <v>310</v>
      </c>
      <c r="D141" s="25">
        <v>7</v>
      </c>
      <c r="E141" s="64" t="s">
        <v>953</v>
      </c>
      <c r="F141" s="64" t="s">
        <v>972</v>
      </c>
      <c r="G141" s="71" t="s">
        <v>973</v>
      </c>
      <c r="H141" s="72" t="str">
        <f ca="1">IFERROR(__xludf.dummyfunction("IFERROR(
  VLOOKUP(G141, IMPORTRANGE(""https://docs.google.com/spreadsheets/d/14deopnvwcrKtEGCKuYXdUHJbeLDZlkiSSWWT0g7x2pM/edit#gid=849066331"", ""LU List Maths (Filter)!A:B""), 2, FALSE),
  IFERROR(
    VLOOKUP(G141, IMPORTRANGE(""https://docs.google.com"&amp;"/spreadsheets/d/14deopnvwcrKtEGCKuYXdUHJbeLDZlkiSSWWT0g7x2pM/edit#gid=849066331"", ""LU List Science (Filter)!A:B""), 2, FALSE),
    ""Not Found""
  )
)
"),"Angles made by transversal - Corresponding angles")</f>
        <v>Angles made by transversal - Corresponding angles</v>
      </c>
      <c r="I141" s="64"/>
      <c r="J141" s="29" t="str">
        <f t="shared" si="24"/>
        <v>LU001024.001</v>
      </c>
      <c r="K141" s="29" t="str">
        <f ca="1">IFERROR(__xludf.dummyfunction("VLOOKUP(J141, IMPORTRANGE(""https://docs.google.com/spreadsheets/d/1yDAaXNsi4Mr5FtRQL4tbmSdIzhx6_m4wkOD7IG-k_eo/edit#gid=0"", ""Maths!M:N""), 2, FALSE)"),"Recall the definition and characteristics of corresponding angles formed by a transversal.")</f>
        <v>Recall the definition and characteristics of corresponding angles formed by a transversal.</v>
      </c>
      <c r="L141" s="29" t="str">
        <f t="shared" si="25"/>
        <v>LU001024.002</v>
      </c>
      <c r="M141" s="29" t="str">
        <f ca="1">IFERROR(__xludf.dummyfunction("VLOOKUP(L141, IMPORTRANGE(""https://docs.google.com/spreadsheets/d/1yDAaXNsi4Mr5FtRQL4tbmSdIzhx6_m4wkOD7IG-k_eo/edit#gid=0"", ""Maths!M:N""), 2, FALSE)"),"Explain the concept and properties of corresponding angles in the context of transversal lines.")</f>
        <v>Explain the concept and properties of corresponding angles in the context of transversal lines.</v>
      </c>
      <c r="N141" s="29" t="str">
        <f t="shared" si="26"/>
        <v>LU001024.003</v>
      </c>
      <c r="O141" s="29" t="str">
        <f ca="1">IFERROR(__xludf.dummyfunction("VLOOKUP(N141, IMPORTRANGE(""https://docs.google.com/spreadsheets/d/1yDAaXNsi4Mr5FtRQL4tbmSdIzhx6_m4wkOD7IG-k_eo/edit#gid=0"", ""Maths!M:N""), 2, FALSE)"),"Utilize the properties of corresponding angles to solve geometric problems involving transversals.")</f>
        <v>Utilize the properties of corresponding angles to solve geometric problems involving transversals.</v>
      </c>
      <c r="P141" s="29" t="str">
        <f t="shared" si="27"/>
        <v>LU001024.004</v>
      </c>
      <c r="Q141" s="29" t="str">
        <f ca="1">IFERROR(__xludf.dummyfunction("VLOOKUP(P141, IMPORTRANGE(""https://docs.google.com/spreadsheets/d/1yDAaXNsi4Mr5FtRQL4tbmSdIzhx6_m4wkOD7IG-k_eo/edit#gid=0"", ""Maths!M:N""), 2, FALSE)"),"Analyze geometric diagrams to identify and differentiate corresponding angles created by transversals.")</f>
        <v>Analyze geometric diagrams to identify and differentiate corresponding angles created by transversals.</v>
      </c>
      <c r="R141" s="29" t="str">
        <f t="shared" si="28"/>
        <v>LU001024.005</v>
      </c>
      <c r="S141" s="29" t="str">
        <f ca="1">IFERROR(__xludf.dummyfunction("VLOOKUP(R141, IMPORTRANGE(""https://docs.google.com/spreadsheets/d/1yDAaXNsi4Mr5FtRQL4tbmSdIzhx6_m4wkOD7IG-k_eo/edit#gid=0"", ""Maths!M:N""), 2, FALSE)"),"Evaluate the validity and accuracy of solutions in problems related to corresponding angles and transversals.")</f>
        <v>Evaluate the validity and accuracy of solutions in problems related to corresponding angles and transversals.</v>
      </c>
      <c r="T141" s="29" t="str">
        <f t="shared" si="29"/>
        <v>LU001024.006</v>
      </c>
      <c r="U141" s="29" t="str">
        <f ca="1">IFERROR(__xludf.dummyfunction("VLOOKUP(T141, IMPORTRANGE(""https://docs.google.com/spreadsheets/d/1yDAaXNsi4Mr5FtRQL4tbmSdIzhx6_m4wkOD7IG-k_eo/edit#gid=0"", ""Maths!M:N""), 2, FALSE)"),"#N/A")</f>
        <v>#N/A</v>
      </c>
      <c r="V141" s="16">
        <f ca="1">IFERROR(__xludf.dummyfunction("ArrayFormula(VLOOKUP(G141, IMPORTRANGE(""https://docs.google.com/spreadsheets/d/1p7R4vtkWt5VOBim4ltsDG9KTzSjrtKXsMtQGXPHyND0/edit#gid=795171502"", ""'Filter 30_05_2024'!A1:M2000""), {2, 3, 4, 5,6,7,8,9,10,11,12,13}, 0))"),8)</f>
        <v>8</v>
      </c>
      <c r="W141" s="16">
        <f ca="1">IFERROR(__xludf.dummyfunction("""COMPUTED_VALUE"""),8)</f>
        <v>8</v>
      </c>
      <c r="X141" s="16">
        <f ca="1">IFERROR(__xludf.dummyfunction("""COMPUTED_VALUE"""),1)</f>
        <v>1</v>
      </c>
      <c r="Y141" s="16">
        <f ca="1">IFERROR(__xludf.dummyfunction("""COMPUTED_VALUE"""),17)</f>
        <v>17</v>
      </c>
      <c r="Z141" s="16">
        <f ca="1">IFERROR(__xludf.dummyfunction("""COMPUTED_VALUE"""),4)</f>
        <v>4</v>
      </c>
      <c r="AA141" s="30">
        <f ca="1">IFERROR(__xludf.dummyfunction("""COMPUTED_VALUE"""),4)</f>
        <v>4</v>
      </c>
      <c r="AB141" s="30">
        <f ca="1">IFERROR(__xludf.dummyfunction("""COMPUTED_VALUE"""),1)</f>
        <v>1</v>
      </c>
      <c r="AC141" s="30">
        <f ca="1">IFERROR(__xludf.dummyfunction("""COMPUTED_VALUE"""),9)</f>
        <v>9</v>
      </c>
      <c r="AD141" s="16"/>
      <c r="AE141" s="30"/>
      <c r="AF141" s="30"/>
      <c r="AG141" s="30"/>
    </row>
    <row r="142" spans="1:33" ht="13.8">
      <c r="A142" s="25"/>
      <c r="B142" s="25" t="s">
        <v>29</v>
      </c>
      <c r="C142" s="25" t="s">
        <v>310</v>
      </c>
      <c r="D142" s="25">
        <v>7</v>
      </c>
      <c r="E142" s="64" t="s">
        <v>953</v>
      </c>
      <c r="F142" s="64" t="s">
        <v>974</v>
      </c>
      <c r="G142" s="71" t="s">
        <v>975</v>
      </c>
      <c r="H142" s="72" t="str">
        <f ca="1">IFERROR(__xludf.dummyfunction("IFERROR(
  VLOOKUP(G142, IMPORTRANGE(""https://docs.google.com/spreadsheets/d/14deopnvwcrKtEGCKuYXdUHJbeLDZlkiSSWWT0g7x2pM/edit#gid=849066331"", ""LU List Maths (Filter)!A:B""), 2, FALSE),
  IFERROR(
    VLOOKUP(G142, IMPORTRANGE(""https://docs.google.com"&amp;"/spreadsheets/d/14deopnvwcrKtEGCKuYXdUHJbeLDZlkiSSWWT0g7x2pM/edit#gid=849066331"", ""LU List Science (Filter)!A:B""), 2, FALSE),
    ""Not Found""
  )
)
"),"Check for lines parallel to a given line")</f>
        <v>Check for lines parallel to a given line</v>
      </c>
      <c r="I142" s="64"/>
      <c r="J142" s="29" t="str">
        <f t="shared" si="24"/>
        <v>LU000422.001</v>
      </c>
      <c r="K142" s="29" t="str">
        <f ca="1">IFERROR(__xludf.dummyfunction("VLOOKUP(J142, IMPORTRANGE(""https://docs.google.com/spreadsheets/d/1yDAaXNsi4Mr5FtRQL4tbmSdIzhx6_m4wkOD7IG-k_eo/edit#gid=0"", ""Maths!M:N""), 2, FALSE)"),"Recall the conditions for angles formed by a transversal on parallel lines.")</f>
        <v>Recall the conditions for angles formed by a transversal on parallel lines.</v>
      </c>
      <c r="L142" s="29" t="str">
        <f t="shared" si="25"/>
        <v>LU000422.002</v>
      </c>
      <c r="M142" s="29" t="str">
        <f ca="1">IFERROR(__xludf.dummyfunction("VLOOKUP(L142, IMPORTRANGE(""https://docs.google.com/spreadsheets/d/1yDAaXNsi4Mr5FtRQL4tbmSdIzhx6_m4wkOD7IG-k_eo/edit#gid=0"", ""Maths!M:N""), 2, FALSE)"),"Explain why equal corresponding and alternate interior angles imply parallel lines.")</f>
        <v>Explain why equal corresponding and alternate interior angles imply parallel lines.</v>
      </c>
      <c r="N142" s="29" t="str">
        <f t="shared" si="26"/>
        <v>LU000422.003</v>
      </c>
      <c r="O142" s="29" t="str">
        <f ca="1">IFERROR(__xludf.dummyfunction("VLOOKUP(N142, IMPORTRANGE(""https://docs.google.com/spreadsheets/d/1yDAaXNsi4Mr5FtRQL4tbmSdIzhx6_m4wkOD7IG-k_eo/edit#gid=0"", ""Maths!M:N""), 2, FALSE)"),"Apply knowledge of angle relationships to identify whether lines are parallel.")</f>
        <v>Apply knowledge of angle relationships to identify whether lines are parallel.</v>
      </c>
      <c r="P142" s="29" t="str">
        <f t="shared" si="27"/>
        <v>LU000422.004</v>
      </c>
      <c r="Q142" s="29" t="str">
        <f ca="1">IFERROR(__xludf.dummyfunction("VLOOKUP(P142, IMPORTRANGE(""https://docs.google.com/spreadsheets/d/1yDAaXNsi4Mr5FtRQL4tbmSdIzhx6_m4wkOD7IG-k_eo/edit#gid=0"", ""Maths!M:N""), 2, FALSE)"),"Analyse given angle measures to determine the parallel nature of lines.")</f>
        <v>Analyse given angle measures to determine the parallel nature of lines.</v>
      </c>
      <c r="R142" s="29" t="str">
        <f t="shared" si="28"/>
        <v>LU000422.005</v>
      </c>
      <c r="S142" s="29" t="str">
        <f ca="1">IFERROR(__xludf.dummyfunction("VLOOKUP(R142, IMPORTRANGE(""https://docs.google.com/spreadsheets/d/1yDAaXNsi4Mr5FtRQL4tbmSdIzhx6_m4wkOD7IG-k_eo/edit#gid=0"", ""Maths!M:N""), 2, FALSE)"),"Evaluate the validity of statements about angle relationships and parallel lines.")</f>
        <v>Evaluate the validity of statements about angle relationships and parallel lines.</v>
      </c>
      <c r="T142" s="29" t="str">
        <f t="shared" si="29"/>
        <v>LU000422.006</v>
      </c>
      <c r="U142" s="29" t="str">
        <f ca="1">IFERROR(__xludf.dummyfunction("VLOOKUP(T142, IMPORTRANGE(""https://docs.google.com/spreadsheets/d/1yDAaXNsi4Mr5FtRQL4tbmSdIzhx6_m4wkOD7IG-k_eo/edit#gid=0"", ""Maths!M:N""), 2, FALSE)"),"Create a set of examples to demonstrate how angle relationships on a transversal can prove lines to be parallel.")</f>
        <v>Create a set of examples to demonstrate how angle relationships on a transversal can prove lines to be parallel.</v>
      </c>
      <c r="V142" s="16">
        <f ca="1">IFERROR(__xludf.dummyfunction("ArrayFormula(VLOOKUP(G142, IMPORTRANGE(""https://docs.google.com/spreadsheets/d/1p7R4vtkWt5VOBim4ltsDG9KTzSjrtKXsMtQGXPHyND0/edit#gid=795171502"", ""'Filter 30_05_2024'!A1:M2000""), {2, 3, 4, 5,6,7,8,9,10,11,12,13}, 0))"),5)</f>
        <v>5</v>
      </c>
      <c r="W142" s="16">
        <f ca="1">IFERROR(__xludf.dummyfunction("""COMPUTED_VALUE"""),5)</f>
        <v>5</v>
      </c>
      <c r="X142" s="16">
        <f ca="1">IFERROR(__xludf.dummyfunction("""COMPUTED_VALUE"""),2)</f>
        <v>2</v>
      </c>
      <c r="Y142" s="16">
        <f ca="1">IFERROR(__xludf.dummyfunction("""COMPUTED_VALUE"""),12)</f>
        <v>12</v>
      </c>
      <c r="Z142" s="16">
        <f ca="1">IFERROR(__xludf.dummyfunction("""COMPUTED_VALUE"""),5)</f>
        <v>5</v>
      </c>
      <c r="AA142" s="30">
        <f ca="1">IFERROR(__xludf.dummyfunction("""COMPUTED_VALUE"""),4)</f>
        <v>4</v>
      </c>
      <c r="AB142" s="30">
        <f ca="1">IFERROR(__xludf.dummyfunction("""COMPUTED_VALUE"""),1)</f>
        <v>1</v>
      </c>
      <c r="AC142" s="30">
        <f ca="1">IFERROR(__xludf.dummyfunction("""COMPUTED_VALUE"""),10)</f>
        <v>10</v>
      </c>
      <c r="AD142" s="16"/>
      <c r="AE142" s="30"/>
      <c r="AF142" s="30"/>
      <c r="AG142" s="30"/>
    </row>
    <row r="143" spans="1:33" ht="13.8">
      <c r="A143" s="25"/>
      <c r="B143" s="25" t="s">
        <v>29</v>
      </c>
      <c r="C143" s="25" t="s">
        <v>310</v>
      </c>
      <c r="D143" s="25">
        <v>7</v>
      </c>
      <c r="E143" s="64" t="s">
        <v>976</v>
      </c>
      <c r="F143" s="64" t="s">
        <v>977</v>
      </c>
      <c r="G143" s="71" t="s">
        <v>978</v>
      </c>
      <c r="H143" s="72" t="str">
        <f ca="1">IFERROR(__xludf.dummyfunction("IFERROR(
  VLOOKUP(G143, IMPORTRANGE(""https://docs.google.com/spreadsheets/d/14deopnvwcrKtEGCKuYXdUHJbeLDZlkiSSWWT0g7x2pM/edit#gid=849066331"", ""LU List Maths (Filter)!A:B""), 2, FALSE),
  IFERROR(
    VLOOKUP(G143, IMPORTRANGE(""https://docs.google.com"&amp;"/spreadsheets/d/14deopnvwcrKtEGCKuYXdUHJbeLDZlkiSSWWT0g7x2pM/edit#gid=849066331"", ""LU List Science (Filter)!A:B""), 2, FALSE),
    ""Not Found""
  )
)
"),"Exterior and interior angles of a polygon")</f>
        <v>Exterior and interior angles of a polygon</v>
      </c>
      <c r="I143" s="64"/>
      <c r="J143" s="29" t="str">
        <f t="shared" si="24"/>
        <v>LU000425.001</v>
      </c>
      <c r="K143" s="29" t="str">
        <f ca="1">IFERROR(__xludf.dummyfunction("VLOOKUP(J143, IMPORTRANGE(""https://docs.google.com/spreadsheets/d/1yDAaXNsi4Mr5FtRQL4tbmSdIzhx6_m4wkOD7IG-k_eo/edit#gid=0"", ""Maths!M:N""), 2, FALSE)"),"Recall the definitions of interior and exterior angles in a polygon.")</f>
        <v>Recall the definitions of interior and exterior angles in a polygon.</v>
      </c>
      <c r="L143" s="29" t="str">
        <f t="shared" si="25"/>
        <v>LU000425.002</v>
      </c>
      <c r="M143" s="29" t="str">
        <f ca="1">IFERROR(__xludf.dummyfunction("VLOOKUP(L143, IMPORTRANGE(""https://docs.google.com/spreadsheets/d/1yDAaXNsi4Mr5FtRQL4tbmSdIzhx6_m4wkOD7IG-k_eo/edit#gid=0"", ""Maths!M:N""), 2, FALSE)"),"Identify interior and exterior angles in a given polygon.")</f>
        <v>Identify interior and exterior angles in a given polygon.</v>
      </c>
      <c r="N143" s="29" t="str">
        <f t="shared" si="26"/>
        <v>LU000425.003</v>
      </c>
      <c r="O143" s="29" t="str">
        <f ca="1">IFERROR(__xludf.dummyfunction("VLOOKUP(N143, IMPORTRANGE(""https://docs.google.com/spreadsheets/d/1yDAaXNsi4Mr5FtRQL4tbmSdIzhx6_m4wkOD7IG-k_eo/edit#gid=0"", ""Maths!M:N""), 2, FALSE)"),"Find the number of interior and exterior angles in a given triangle or quadrilateral.")</f>
        <v>Find the number of interior and exterior angles in a given triangle or quadrilateral.</v>
      </c>
      <c r="P143" s="29" t="str">
        <f t="shared" si="27"/>
        <v>LU000425.004</v>
      </c>
      <c r="Q143" s="29" t="str">
        <f ca="1">IFERROR(__xludf.dummyfunction("VLOOKUP(P143, IMPORTRANGE(""https://docs.google.com/spreadsheets/d/1yDAaXNsi4Mr5FtRQL4tbmSdIzhx6_m4wkOD7IG-k_eo/edit#gid=0"", ""Maths!M:N""), 2, FALSE)"),"Find the number of interior and exterior angles in specific polygons.")</f>
        <v>Find the number of interior and exterior angles in specific polygons.</v>
      </c>
      <c r="R143" s="29" t="str">
        <f t="shared" si="28"/>
        <v>LU000425.005</v>
      </c>
      <c r="S143" s="29" t="str">
        <f ca="1">IFERROR(__xludf.dummyfunction("VLOOKUP(R143, IMPORTRANGE(""https://docs.google.com/spreadsheets/d/1yDAaXNsi4Mr5FtRQL4tbmSdIzhx6_m4wkOD7IG-k_eo/edit#gid=0"", ""Maths!M:N""), 2, FALSE)"),"Evaluate the validity of a statement about the relationship between interior and exterior angles in polygons.")</f>
        <v>Evaluate the validity of a statement about the relationship between interior and exterior angles in polygons.</v>
      </c>
      <c r="T143" s="29" t="str">
        <f t="shared" si="29"/>
        <v>LU000425.006</v>
      </c>
      <c r="U143" s="29" t="str">
        <f ca="1">IFERROR(__xludf.dummyfunction("VLOOKUP(T143, IMPORTRANGE(""https://docs.google.com/spreadsheets/d/1yDAaXNsi4Mr5FtRQL4tbmSdIzhx6_m4wkOD7IG-k_eo/edit#gid=0"", ""Maths!M:N""), 2, FALSE)"),"Create a diagram of a polygon, labeling its interior and exterior angles.")</f>
        <v>Create a diagram of a polygon, labeling its interior and exterior angles.</v>
      </c>
      <c r="V143" s="16">
        <f ca="1">IFERROR(__xludf.dummyfunction("ArrayFormula(VLOOKUP(G143, IMPORTRANGE(""https://docs.google.com/spreadsheets/d/1p7R4vtkWt5VOBim4ltsDG9KTzSjrtKXsMtQGXPHyND0/edit#gid=795171502"", ""'Filter 30_05_2024'!A1:M2000""), {2, 3, 4, 5,6,7,8,9,10,11,12,13}, 0))"),8)</f>
        <v>8</v>
      </c>
      <c r="W143" s="16">
        <f ca="1">IFERROR(__xludf.dummyfunction("""COMPUTED_VALUE"""),5)</f>
        <v>5</v>
      </c>
      <c r="X143" s="16">
        <f ca="1">IFERROR(__xludf.dummyfunction("""COMPUTED_VALUE"""),2)</f>
        <v>2</v>
      </c>
      <c r="Y143" s="16">
        <f ca="1">IFERROR(__xludf.dummyfunction("""COMPUTED_VALUE"""),15)</f>
        <v>15</v>
      </c>
      <c r="Z143" s="16">
        <f ca="1">IFERROR(__xludf.dummyfunction("""COMPUTED_VALUE"""),4)</f>
        <v>4</v>
      </c>
      <c r="AA143" s="30">
        <f ca="1">IFERROR(__xludf.dummyfunction("""COMPUTED_VALUE"""),4)</f>
        <v>4</v>
      </c>
      <c r="AB143" s="30">
        <f ca="1">IFERROR(__xludf.dummyfunction("""COMPUTED_VALUE"""),1)</f>
        <v>1</v>
      </c>
      <c r="AC143" s="30">
        <f ca="1">IFERROR(__xludf.dummyfunction("""COMPUTED_VALUE"""),9)</f>
        <v>9</v>
      </c>
      <c r="AD143" s="16"/>
      <c r="AE143" s="30"/>
      <c r="AF143" s="30"/>
      <c r="AG143" s="30"/>
    </row>
    <row r="144" spans="1:33" ht="13.8">
      <c r="A144" s="25"/>
      <c r="B144" s="25" t="s">
        <v>29</v>
      </c>
      <c r="C144" s="25" t="s">
        <v>310</v>
      </c>
      <c r="D144" s="25">
        <v>7</v>
      </c>
      <c r="E144" s="64" t="s">
        <v>976</v>
      </c>
      <c r="F144" s="64"/>
      <c r="G144" s="71" t="s">
        <v>979</v>
      </c>
      <c r="H144" s="72" t="str">
        <f ca="1">IFERROR(__xludf.dummyfunction("IFERROR(
  VLOOKUP(G144, IMPORTRANGE(""https://docs.google.com/spreadsheets/d/14deopnvwcrKtEGCKuYXdUHJbeLDZlkiSSWWT0g7x2pM/edit#gid=849066331"", ""LU List Maths (Filter)!A:B""), 2, FALSE),
  IFERROR(
    VLOOKUP(G144, IMPORTRANGE(""https://docs.google.com"&amp;"/spreadsheets/d/14deopnvwcrKtEGCKuYXdUHJbeLDZlkiSSWWT0g7x2pM/edit#gid=849066331"", ""LU List Science (Filter)!A:B""), 2, FALSE),
    ""Not Found""
  )
)
"),"Interior opposite angles corresponding to any exterior angle of a triangle")</f>
        <v>Interior opposite angles corresponding to any exterior angle of a triangle</v>
      </c>
      <c r="I144" s="64"/>
      <c r="J144" s="29" t="str">
        <f t="shared" si="24"/>
        <v>LU000426.001</v>
      </c>
      <c r="K144" s="29" t="str">
        <f ca="1">IFERROR(__xludf.dummyfunction("VLOOKUP(J144, IMPORTRANGE(""https://docs.google.com/spreadsheets/d/1yDAaXNsi4Mr5FtRQL4tbmSdIzhx6_m4wkOD7IG-k_eo/edit#gid=0"", ""Maths!M:N""), 2, FALSE)"),"#N/A")</f>
        <v>#N/A</v>
      </c>
      <c r="L144" s="29" t="str">
        <f t="shared" si="25"/>
        <v>LU000426.002</v>
      </c>
      <c r="M144" s="29" t="str">
        <f ca="1">IFERROR(__xludf.dummyfunction("VLOOKUP(L144, IMPORTRANGE(""https://docs.google.com/spreadsheets/d/1yDAaXNsi4Mr5FtRQL4tbmSdIzhx6_m4wkOD7IG-k_eo/edit#gid=0"", ""Maths!M:N""), 2, FALSE)"),"Explain the concept of interior opposite angles of a triangle with respect to a given exterior angle.")</f>
        <v>Explain the concept of interior opposite angles of a triangle with respect to a given exterior angle.</v>
      </c>
      <c r="N144" s="29" t="str">
        <f t="shared" si="26"/>
        <v>LU000426.003</v>
      </c>
      <c r="O144" s="29" t="str">
        <f ca="1">IFERROR(__xludf.dummyfunction("VLOOKUP(N144, IMPORTRANGE(""https://docs.google.com/spreadsheets/d/1yDAaXNsi4Mr5FtRQL4tbmSdIzhx6_m4wkOD7IG-k_eo/edit#gid=0"", ""Maths!M:N""), 2, FALSE)"),"Identify the interior opposite angles of a triangle with respect to a given exterior angle")</f>
        <v>Identify the interior opposite angles of a triangle with respect to a given exterior angle</v>
      </c>
      <c r="P144" s="29" t="str">
        <f t="shared" si="27"/>
        <v>LU000426.004</v>
      </c>
      <c r="Q144" s="29" t="str">
        <f ca="1">IFERROR(__xludf.dummyfunction("VLOOKUP(P144, IMPORTRANGE(""https://docs.google.com/spreadsheets/d/1yDAaXNsi4Mr5FtRQL4tbmSdIzhx6_m4wkOD7IG-k_eo/edit#gid=0"", ""Maths!M:N""), 2, FALSE)"),"Analyse the positioning of interior opposite angles with respect to a given exterior angle in a triangle.")</f>
        <v>Analyse the positioning of interior opposite angles with respect to a given exterior angle in a triangle.</v>
      </c>
      <c r="R144" s="29" t="str">
        <f t="shared" si="28"/>
        <v>LU000426.005</v>
      </c>
      <c r="S144" s="29" t="str">
        <f ca="1">IFERROR(__xludf.dummyfunction("VLOOKUP(R144, IMPORTRANGE(""https://docs.google.com/spreadsheets/d/1yDAaXNsi4Mr5FtRQL4tbmSdIzhx6_m4wkOD7IG-k_eo/edit#gid=0"", ""Maths!M:N""), 2, FALSE)"),"Evaluate the accuracy of identifying interior opposite angles in various triangles with given exterior angles.")</f>
        <v>Evaluate the accuracy of identifying interior opposite angles in various triangles with given exterior angles.</v>
      </c>
      <c r="T144" s="29" t="str">
        <f t="shared" si="29"/>
        <v>LU000426.006</v>
      </c>
      <c r="U144" s="29" t="str">
        <f ca="1">IFERROR(__xludf.dummyfunction("VLOOKUP(T144, IMPORTRANGE(""https://docs.google.com/spreadsheets/d/1yDAaXNsi4Mr5FtRQL4tbmSdIzhx6_m4wkOD7IG-k_eo/edit#gid=0"", ""Maths!M:N""), 2, FALSE)"),"Create a visual representation illustrating interior opposite angles corresponding to a chosen exterior angle.")</f>
        <v>Create a visual representation illustrating interior opposite angles corresponding to a chosen exterior angle.</v>
      </c>
      <c r="V144" s="16">
        <f ca="1">IFERROR(__xludf.dummyfunction("ArrayFormula(VLOOKUP(G144, IMPORTRANGE(""https://docs.google.com/spreadsheets/d/1p7R4vtkWt5VOBim4ltsDG9KTzSjrtKXsMtQGXPHyND0/edit#gid=795171502"", ""'Filter 30_05_2024'!A1:M2000""), {2, 3, 4, 5,6,7,8,9,10,11,12,13}, 0))"),4)</f>
        <v>4</v>
      </c>
      <c r="W144" s="16">
        <f ca="1">IFERROR(__xludf.dummyfunction("""COMPUTED_VALUE"""),7)</f>
        <v>7</v>
      </c>
      <c r="X144" s="16">
        <f ca="1">IFERROR(__xludf.dummyfunction("""COMPUTED_VALUE"""),2)</f>
        <v>2</v>
      </c>
      <c r="Y144" s="16">
        <f ca="1">IFERROR(__xludf.dummyfunction("""COMPUTED_VALUE"""),13)</f>
        <v>13</v>
      </c>
      <c r="Z144" s="16">
        <f ca="1">IFERROR(__xludf.dummyfunction("""COMPUTED_VALUE"""),4)</f>
        <v>4</v>
      </c>
      <c r="AA144" s="30">
        <f ca="1">IFERROR(__xludf.dummyfunction("""COMPUTED_VALUE"""),3)</f>
        <v>3</v>
      </c>
      <c r="AB144" s="30">
        <f ca="1">IFERROR(__xludf.dummyfunction("""COMPUTED_VALUE"""),1)</f>
        <v>1</v>
      </c>
      <c r="AC144" s="30">
        <f ca="1">IFERROR(__xludf.dummyfunction("""COMPUTED_VALUE"""),8)</f>
        <v>8</v>
      </c>
      <c r="AD144" s="16"/>
      <c r="AE144" s="30"/>
      <c r="AF144" s="30"/>
      <c r="AG144" s="30"/>
    </row>
    <row r="145" spans="1:33" ht="13.8">
      <c r="A145" s="25"/>
      <c r="B145" s="25" t="s">
        <v>29</v>
      </c>
      <c r="C145" s="25" t="s">
        <v>310</v>
      </c>
      <c r="D145" s="25">
        <v>7</v>
      </c>
      <c r="E145" s="64" t="s">
        <v>976</v>
      </c>
      <c r="F145" s="64"/>
      <c r="G145" s="71" t="s">
        <v>980</v>
      </c>
      <c r="H145" s="72" t="str">
        <f ca="1">IFERROR(__xludf.dummyfunction("IFERROR(
  VLOOKUP(G145, IMPORTRANGE(""https://docs.google.com/spreadsheets/d/14deopnvwcrKtEGCKuYXdUHJbeLDZlkiSSWWT0g7x2pM/edit#gid=849066331"", ""LU List Maths (Filter)!A:B""), 2, FALSE),
  IFERROR(
    VLOOKUP(G145, IMPORTRANGE(""https://docs.google.com"&amp;"/spreadsheets/d/14deopnvwcrKtEGCKuYXdUHJbeLDZlkiSSWWT0g7x2pM/edit#gid=849066331"", ""LU List Science (Filter)!A:B""), 2, FALSE),
    ""Not Found""
  )
)
"),"Exterior angle property of a triangle")</f>
        <v>Exterior angle property of a triangle</v>
      </c>
      <c r="I145" s="64"/>
      <c r="J145" s="29" t="str">
        <f t="shared" si="24"/>
        <v>LU000429.001</v>
      </c>
      <c r="K145" s="29" t="str">
        <f ca="1">IFERROR(__xludf.dummyfunction("VLOOKUP(J145, IMPORTRANGE(""https://docs.google.com/spreadsheets/d/1yDAaXNsi4Mr5FtRQL4tbmSdIzhx6_m4wkOD7IG-k_eo/edit#gid=0"", ""Maths!M:N""), 2, FALSE)"),"Describe the exterior angle property of a triangle.")</f>
        <v>Describe the exterior angle property of a triangle.</v>
      </c>
      <c r="L145" s="29" t="str">
        <f t="shared" si="25"/>
        <v>LU000429.002</v>
      </c>
      <c r="M145" s="29" t="str">
        <f ca="1">IFERROR(__xludf.dummyfunction("VLOOKUP(L145, IMPORTRANGE(""https://docs.google.com/spreadsheets/d/1yDAaXNsi4Mr5FtRQL4tbmSdIzhx6_m4wkOD7IG-k_eo/edit#gid=0"", ""Maths!M:N""), 2, FALSE)"),"Establish the relation between exterior angle and sum of opposite interior angles of a triangle")</f>
        <v>Establish the relation between exterior angle and sum of opposite interior angles of a triangle</v>
      </c>
      <c r="N145" s="29" t="str">
        <f t="shared" si="26"/>
        <v>LU000429.003</v>
      </c>
      <c r="O145" s="29" t="str">
        <f ca="1">IFERROR(__xludf.dummyfunction("VLOOKUP(N145, IMPORTRANGE(""https://docs.google.com/spreadsheets/d/1yDAaXNsi4Mr5FtRQL4tbmSdIzhx6_m4wkOD7IG-k_eo/edit#gid=0"", ""Maths!M:N""), 2, FALSE)"),"Find unknown angles of a triangle using exterior angle property for various types of triangles.")</f>
        <v>Find unknown angles of a triangle using exterior angle property for various types of triangles.</v>
      </c>
      <c r="P145" s="29" t="str">
        <f t="shared" si="27"/>
        <v>LU000429.004</v>
      </c>
      <c r="Q145" s="29" t="str">
        <f ca="1">IFERROR(__xludf.dummyfunction("VLOOKUP(P145, IMPORTRANGE(""https://docs.google.com/spreadsheets/d/1yDAaXNsi4Mr5FtRQL4tbmSdIzhx6_m4wkOD7IG-k_eo/edit#gid=0"", ""Maths!M:N""), 2, FALSE)"),"Justify that an exterior angle of a triangle is equal to the sum of its interior opposite angles.")</f>
        <v>Justify that an exterior angle of a triangle is equal to the sum of its interior opposite angles.</v>
      </c>
      <c r="R145" s="29" t="str">
        <f t="shared" si="28"/>
        <v>LU000429.005</v>
      </c>
      <c r="S145" s="29" t="str">
        <f ca="1">IFERROR(__xludf.dummyfunction("VLOOKUP(R145, IMPORTRANGE(""https://docs.google.com/spreadsheets/d/1yDAaXNsi4Mr5FtRQL4tbmSdIzhx6_m4wkOD7IG-k_eo/edit#gid=0"", ""Maths!M:N""), 2, FALSE)"),"Evaluate the validity of the given statements based on the exterior angle property of a triangle.")</f>
        <v>Evaluate the validity of the given statements based on the exterior angle property of a triangle.</v>
      </c>
      <c r="T145" s="29" t="str">
        <f t="shared" si="29"/>
        <v>LU000429.006</v>
      </c>
      <c r="U145" s="29" t="str">
        <f ca="1">IFERROR(__xludf.dummyfunction("VLOOKUP(T145, IMPORTRANGE(""https://docs.google.com/spreadsheets/d/1yDAaXNsi4Mr5FtRQL4tbmSdIzhx6_m4wkOD7IG-k_eo/edit#gid=0"", ""Maths!M:N""), 2, FALSE)"),"Create an illustration demonstrating the exterior angle property of a triangle using labeled angles.")</f>
        <v>Create an illustration demonstrating the exterior angle property of a triangle using labeled angles.</v>
      </c>
      <c r="V145" s="16">
        <f ca="1">IFERROR(__xludf.dummyfunction("ArrayFormula(VLOOKUP(G145, IMPORTRANGE(""https://docs.google.com/spreadsheets/d/1p7R4vtkWt5VOBim4ltsDG9KTzSjrtKXsMtQGXPHyND0/edit#gid=795171502"", ""'Filter 30_05_2024'!A1:M2000""), {2, 3, 4, 5,6,7,8,9,10,11,12,13}, 0))"),5)</f>
        <v>5</v>
      </c>
      <c r="W145" s="16">
        <f ca="1">IFERROR(__xludf.dummyfunction("""COMPUTED_VALUE"""),12)</f>
        <v>12</v>
      </c>
      <c r="X145" s="16">
        <f ca="1">IFERROR(__xludf.dummyfunction("""COMPUTED_VALUE"""),2)</f>
        <v>2</v>
      </c>
      <c r="Y145" s="16">
        <f ca="1">IFERROR(__xludf.dummyfunction("""COMPUTED_VALUE"""),19)</f>
        <v>19</v>
      </c>
      <c r="Z145" s="16">
        <f ca="1">IFERROR(__xludf.dummyfunction("""COMPUTED_VALUE"""),4)</f>
        <v>4</v>
      </c>
      <c r="AA145" s="30">
        <f ca="1">IFERROR(__xludf.dummyfunction("""COMPUTED_VALUE"""),4)</f>
        <v>4</v>
      </c>
      <c r="AB145" s="30">
        <f ca="1">IFERROR(__xludf.dummyfunction("""COMPUTED_VALUE"""),1)</f>
        <v>1</v>
      </c>
      <c r="AC145" s="30">
        <f ca="1">IFERROR(__xludf.dummyfunction("""COMPUTED_VALUE"""),9)</f>
        <v>9</v>
      </c>
      <c r="AD145" s="16"/>
      <c r="AE145" s="30"/>
      <c r="AF145" s="30"/>
      <c r="AG145" s="30"/>
    </row>
    <row r="146" spans="1:33" ht="13.8">
      <c r="A146" s="25"/>
      <c r="B146" s="25" t="s">
        <v>29</v>
      </c>
      <c r="C146" s="25" t="s">
        <v>310</v>
      </c>
      <c r="D146" s="25">
        <v>7</v>
      </c>
      <c r="E146" s="64" t="s">
        <v>976</v>
      </c>
      <c r="F146" s="64" t="s">
        <v>981</v>
      </c>
      <c r="G146" s="71" t="s">
        <v>982</v>
      </c>
      <c r="H146" s="72" t="str">
        <f ca="1">IFERROR(__xludf.dummyfunction("IFERROR(
  VLOOKUP(G146, IMPORTRANGE(""https://docs.google.com/spreadsheets/d/14deopnvwcrKtEGCKuYXdUHJbeLDZlkiSSWWT0g7x2pM/edit#gid=849066331"", ""LU List Maths (Filter)!A:B""), 2, FALSE),
  IFERROR(
    VLOOKUP(G146, IMPORTRANGE(""https://docs.google.com"&amp;"/spreadsheets/d/14deopnvwcrKtEGCKuYXdUHJbeLDZlkiSSWWT0g7x2pM/edit#gid=849066331"", ""LU List Science (Filter)!A:B""), 2, FALSE),
    ""Not Found""
  )
)
"),"Angle sum property of a triangle")</f>
        <v>Angle sum property of a triangle</v>
      </c>
      <c r="I146" s="64"/>
      <c r="J146" s="29" t="str">
        <f t="shared" si="24"/>
        <v>LU000430.001</v>
      </c>
      <c r="K146" s="29" t="str">
        <f ca="1">IFERROR(__xludf.dummyfunction("VLOOKUP(J146, IMPORTRANGE(""https://docs.google.com/spreadsheets/d/1yDAaXNsi4Mr5FtRQL4tbmSdIzhx6_m4wkOD7IG-k_eo/edit#gid=0"", ""Maths!M:N""), 2, FALSE)"),"Describe the angle sum property of a triangle.")</f>
        <v>Describe the angle sum property of a triangle.</v>
      </c>
      <c r="L146" s="29" t="str">
        <f t="shared" si="25"/>
        <v>LU000430.002</v>
      </c>
      <c r="M146" s="29" t="str">
        <f ca="1">IFERROR(__xludf.dummyfunction("VLOOKUP(L146, IMPORTRANGE(""https://docs.google.com/spreadsheets/d/1yDAaXNsi4Mr5FtRQL4tbmSdIzhx6_m4wkOD7IG-k_eo/edit#gid=0"", ""Maths!M:N""), 2, FALSE)"),"Explain how the angles in a triangle add up to 180 degrees.")</f>
        <v>Explain how the angles in a triangle add up to 180 degrees.</v>
      </c>
      <c r="N146" s="29" t="str">
        <f t="shared" si="26"/>
        <v>LU000430.003</v>
      </c>
      <c r="O146" s="29" t="str">
        <f ca="1">IFERROR(__xludf.dummyfunction("VLOOKUP(N146, IMPORTRANGE(""https://docs.google.com/spreadsheets/d/1yDAaXNsi4Mr5FtRQL4tbmSdIzhx6_m4wkOD7IG-k_eo/edit#gid=0"", ""Maths!M:N""), 2, FALSE)"),"Find unknown angles of a triangle using angle sum property of a triangle for various types of triangles.")</f>
        <v>Find unknown angles of a triangle using angle sum property of a triangle for various types of triangles.</v>
      </c>
      <c r="P146" s="29" t="str">
        <f t="shared" si="27"/>
        <v>LU000430.004</v>
      </c>
      <c r="Q146" s="29" t="str">
        <f ca="1">IFERROR(__xludf.dummyfunction("VLOOKUP(P146, IMPORTRANGE(""https://docs.google.com/spreadsheets/d/1yDAaXNsi4Mr5FtRQL4tbmSdIzhx6_m4wkOD7IG-k_eo/edit#gid=0"", ""Maths!M:N""), 2, FALSE)"),"Justify that the total measure of the three angles of a triangle is 180 degree.")</f>
        <v>Justify that the total measure of the three angles of a triangle is 180 degree.</v>
      </c>
      <c r="R146" s="29" t="str">
        <f t="shared" si="28"/>
        <v>LU000430.005</v>
      </c>
      <c r="S146" s="29" t="str">
        <f ca="1">IFERROR(__xludf.dummyfunction("VLOOKUP(R146, IMPORTRANGE(""https://docs.google.com/spreadsheets/d/1yDAaXNsi4Mr5FtRQL4tbmSdIzhx6_m4wkOD7IG-k_eo/edit#gid=0"", ""Maths!M:N""), 2, FALSE)"),"Evaluate the validity of the given statements based on the angle sum property of a triangle.")</f>
        <v>Evaluate the validity of the given statements based on the angle sum property of a triangle.</v>
      </c>
      <c r="T146" s="29" t="str">
        <f t="shared" si="29"/>
        <v>LU000430.006</v>
      </c>
      <c r="U146" s="29" t="str">
        <f ca="1">IFERROR(__xludf.dummyfunction("VLOOKUP(T146, IMPORTRANGE(""https://docs.google.com/spreadsheets/d/1yDAaXNsi4Mr5FtRQL4tbmSdIzhx6_m4wkOD7IG-k_eo/edit#gid=0"", ""Maths!M:N""), 2, FALSE)"),"Create an illustration demonstrating the angle sum property of a triangle")</f>
        <v>Create an illustration demonstrating the angle sum property of a triangle</v>
      </c>
      <c r="V146" s="16">
        <f ca="1">IFERROR(__xludf.dummyfunction("ArrayFormula(VLOOKUP(G146, IMPORTRANGE(""https://docs.google.com/spreadsheets/d/1p7R4vtkWt5VOBim4ltsDG9KTzSjrtKXsMtQGXPHyND0/edit#gid=795171502"", ""'Filter 30_05_2024'!A1:M2000""), {2, 3, 4, 5,6,7,8,9,10,11,12,13}, 0))"),5)</f>
        <v>5</v>
      </c>
      <c r="W146" s="16">
        <f ca="1">IFERROR(__xludf.dummyfunction("""COMPUTED_VALUE"""),26)</f>
        <v>26</v>
      </c>
      <c r="X146" s="16">
        <f ca="1">IFERROR(__xludf.dummyfunction("""COMPUTED_VALUE"""),5)</f>
        <v>5</v>
      </c>
      <c r="Y146" s="16">
        <f ca="1">IFERROR(__xludf.dummyfunction("""COMPUTED_VALUE"""),36)</f>
        <v>36</v>
      </c>
      <c r="Z146" s="16">
        <f ca="1">IFERROR(__xludf.dummyfunction("""COMPUTED_VALUE"""),4)</f>
        <v>4</v>
      </c>
      <c r="AA146" s="30">
        <f ca="1">IFERROR(__xludf.dummyfunction("""COMPUTED_VALUE"""),3)</f>
        <v>3</v>
      </c>
      <c r="AB146" s="30">
        <f ca="1">IFERROR(__xludf.dummyfunction("""COMPUTED_VALUE"""),2)</f>
        <v>2</v>
      </c>
      <c r="AC146" s="30">
        <f ca="1">IFERROR(__xludf.dummyfunction("""COMPUTED_VALUE"""),9)</f>
        <v>9</v>
      </c>
      <c r="AD146" s="16"/>
      <c r="AE146" s="30"/>
      <c r="AF146" s="30"/>
      <c r="AG146" s="30"/>
    </row>
    <row r="147" spans="1:33" ht="13.8">
      <c r="A147" s="25"/>
      <c r="B147" s="25" t="s">
        <v>29</v>
      </c>
      <c r="C147" s="25" t="s">
        <v>310</v>
      </c>
      <c r="D147" s="25">
        <v>7</v>
      </c>
      <c r="E147" s="64" t="s">
        <v>976</v>
      </c>
      <c r="F147" s="64" t="s">
        <v>983</v>
      </c>
      <c r="G147" s="71" t="s">
        <v>984</v>
      </c>
      <c r="H147" s="72" t="str">
        <f ca="1">IFERROR(__xludf.dummyfunction("IFERROR(
  VLOOKUP(G147, IMPORTRANGE(""https://docs.google.com/spreadsheets/d/14deopnvwcrKtEGCKuYXdUHJbeLDZlkiSSWWT0g7x2pM/edit#gid=849066331"", ""LU List Maths (Filter)!A:B""), 2, FALSE),
  IFERROR(
    VLOOKUP(G147, IMPORTRANGE(""https://docs.google.com"&amp;"/spreadsheets/d/14deopnvwcrKtEGCKuYXdUHJbeLDZlkiSSWWT0g7x2pM/edit#gid=849066331"", ""LU List Science (Filter)!A:B""), 2, FALSE),
    ""Not Found""
  )
)
"),"Properties of an isosceles triangle")</f>
        <v>Properties of an isosceles triangle</v>
      </c>
      <c r="I147" s="64"/>
      <c r="J147" s="29" t="str">
        <f t="shared" si="24"/>
        <v>LU000427.001</v>
      </c>
      <c r="K147" s="29" t="str">
        <f ca="1">IFERROR(__xludf.dummyfunction("VLOOKUP(J147, IMPORTRANGE(""https://docs.google.com/spreadsheets/d/1yDAaXNsi4Mr5FtRQL4tbmSdIzhx6_m4wkOD7IG-k_eo/edit#gid=0"", ""Maths!M:N""), 2, FALSE)"),"State the properties of an isosceles triangle.")</f>
        <v>State the properties of an isosceles triangle.</v>
      </c>
      <c r="L147" s="29" t="str">
        <f t="shared" si="25"/>
        <v>LU000427.002</v>
      </c>
      <c r="M147" s="29" t="str">
        <f ca="1">IFERROR(__xludf.dummyfunction("VLOOKUP(L147, IMPORTRANGE(""https://docs.google.com/spreadsheets/d/1yDAaXNsi4Mr5FtRQL4tbmSdIzhx6_m4wkOD7IG-k_eo/edit#gid=0"", ""Maths!M:N""), 2, FALSE)"),"Explain the concept of an isosceles triangle.")</f>
        <v>Explain the concept of an isosceles triangle.</v>
      </c>
      <c r="N147" s="29" t="str">
        <f t="shared" si="26"/>
        <v>LU000427.003</v>
      </c>
      <c r="O147" s="29" t="str">
        <f ca="1">IFERROR(__xludf.dummyfunction("VLOOKUP(N147, IMPORTRANGE(""https://docs.google.com/spreadsheets/d/1yDAaXNsi4Mr5FtRQL4tbmSdIzhx6_m4wkOD7IG-k_eo/edit#gid=0"", ""Maths!M:N""), 2, FALSE)"),"Use the properties of an isosceles triangle to find the unknown angle(s)")</f>
        <v>Use the properties of an isosceles triangle to find the unknown angle(s)</v>
      </c>
      <c r="P147" s="29" t="str">
        <f t="shared" si="27"/>
        <v>LU000427.004</v>
      </c>
      <c r="Q147" s="29" t="str">
        <f ca="1">IFERROR(__xludf.dummyfunction("VLOOKUP(P147, IMPORTRANGE(""https://docs.google.com/spreadsheets/d/1yDAaXNsi4Mr5FtRQL4tbmSdIzhx6_m4wkOD7IG-k_eo/edit#gid=0"", ""Maths!M:N""), 2, FALSE)"),"Analyse the relationship between the equal sides and the base angles of an isosceles triangle.")</f>
        <v>Analyse the relationship between the equal sides and the base angles of an isosceles triangle.</v>
      </c>
      <c r="R147" s="29" t="str">
        <f t="shared" si="28"/>
        <v>LU000427.005</v>
      </c>
      <c r="S147" s="29" t="str">
        <f ca="1">IFERROR(__xludf.dummyfunction("VLOOKUP(R147, IMPORTRANGE(""https://docs.google.com/spreadsheets/d/1yDAaXNsi4Mr5FtRQL4tbmSdIzhx6_m4wkOD7IG-k_eo/edit#gid=0"", ""Maths!M:N""), 2, FALSE)"),"Evaluate whether a given triangle satisfies the properties of an isosceles triangle.")</f>
        <v>Evaluate whether a given triangle satisfies the properties of an isosceles triangle.</v>
      </c>
      <c r="T147" s="29" t="str">
        <f t="shared" si="29"/>
        <v>LU000427.006</v>
      </c>
      <c r="U147" s="29" t="str">
        <f ca="1">IFERROR(__xludf.dummyfunction("VLOOKUP(T147, IMPORTRANGE(""https://docs.google.com/spreadsheets/d/1yDAaXNsi4Mr5FtRQL4tbmSdIzhx6_m4wkOD7IG-k_eo/edit#gid=0"", ""Maths!M:N""), 2, FALSE)"),"Create an example of an isosceles triangle, labeling its base, base angles, and vertical angles, equal sides and equal angles.")</f>
        <v>Create an example of an isosceles triangle, labeling its base, base angles, and vertical angles, equal sides and equal angles.</v>
      </c>
      <c r="V147" s="16">
        <f ca="1">IFERROR(__xludf.dummyfunction("ArrayFormula(VLOOKUP(G147, IMPORTRANGE(""https://docs.google.com/spreadsheets/d/1p7R4vtkWt5VOBim4ltsDG9KTzSjrtKXsMtQGXPHyND0/edit#gid=795171502"", ""'Filter 30_05_2024'!A1:M2000""), {2, 3, 4, 5,6,7,8,9,10,11,12,13}, 0))"),5)</f>
        <v>5</v>
      </c>
      <c r="W147" s="16">
        <f ca="1">IFERROR(__xludf.dummyfunction("""COMPUTED_VALUE"""),6)</f>
        <v>6</v>
      </c>
      <c r="X147" s="16">
        <f ca="1">IFERROR(__xludf.dummyfunction("""COMPUTED_VALUE"""),2)</f>
        <v>2</v>
      </c>
      <c r="Y147" s="16">
        <f ca="1">IFERROR(__xludf.dummyfunction("""COMPUTED_VALUE"""),13)</f>
        <v>13</v>
      </c>
      <c r="Z147" s="16">
        <f ca="1">IFERROR(__xludf.dummyfunction("""COMPUTED_VALUE"""),6)</f>
        <v>6</v>
      </c>
      <c r="AA147" s="30">
        <f ca="1">IFERROR(__xludf.dummyfunction("""COMPUTED_VALUE"""),4)</f>
        <v>4</v>
      </c>
      <c r="AB147" s="30">
        <f ca="1">IFERROR(__xludf.dummyfunction("""COMPUTED_VALUE"""),1)</f>
        <v>1</v>
      </c>
      <c r="AC147" s="30">
        <f ca="1">IFERROR(__xludf.dummyfunction("""COMPUTED_VALUE"""),11)</f>
        <v>11</v>
      </c>
      <c r="AD147" s="16"/>
      <c r="AE147" s="30"/>
      <c r="AF147" s="30"/>
      <c r="AG147" s="30"/>
    </row>
    <row r="148" spans="1:33" ht="13.8">
      <c r="A148" s="25"/>
      <c r="B148" s="25" t="s">
        <v>29</v>
      </c>
      <c r="C148" s="25" t="s">
        <v>310</v>
      </c>
      <c r="D148" s="25">
        <v>7</v>
      </c>
      <c r="E148" s="64" t="s">
        <v>976</v>
      </c>
      <c r="F148" s="64"/>
      <c r="G148" s="71" t="s">
        <v>985</v>
      </c>
      <c r="H148" s="72" t="str">
        <f ca="1">IFERROR(__xludf.dummyfunction("IFERROR(
  VLOOKUP(G148, IMPORTRANGE(""https://docs.google.com/spreadsheets/d/14deopnvwcrKtEGCKuYXdUHJbeLDZlkiSSWWT0g7x2pM/edit#gid=849066331"", ""LU List Maths (Filter)!A:B""), 2, FALSE),
  IFERROR(
    VLOOKUP(G148, IMPORTRANGE(""https://docs.google.com"&amp;"/spreadsheets/d/14deopnvwcrKtEGCKuYXdUHJbeLDZlkiSSWWT0g7x2pM/edit#gid=849066331"", ""LU List Science (Filter)!A:B""), 2, FALSE),
    ""Not Found""
  )
)
"),"Properties of an equilateral triangle")</f>
        <v>Properties of an equilateral triangle</v>
      </c>
      <c r="I148" s="64"/>
      <c r="J148" s="29" t="str">
        <f t="shared" si="24"/>
        <v>LU000428.001</v>
      </c>
      <c r="K148" s="29" t="str">
        <f ca="1">IFERROR(__xludf.dummyfunction("VLOOKUP(J148, IMPORTRANGE(""https://docs.google.com/spreadsheets/d/1yDAaXNsi4Mr5FtRQL4tbmSdIzhx6_m4wkOD7IG-k_eo/edit#gid=0"", ""Maths!M:N""), 2, FALSE)"),"Recall the definition of an equilateral triangle.")</f>
        <v>Recall the definition of an equilateral triangle.</v>
      </c>
      <c r="L148" s="29" t="str">
        <f t="shared" si="25"/>
        <v>LU000428.002</v>
      </c>
      <c r="M148" s="29" t="str">
        <f ca="1">IFERROR(__xludf.dummyfunction("VLOOKUP(L148, IMPORTRANGE(""https://docs.google.com/spreadsheets/d/1yDAaXNsi4Mr5FtRQL4tbmSdIzhx6_m4wkOD7IG-k_eo/edit#gid=0"", ""Maths!M:N""), 2, FALSE)"),"Explain the concept of an equilateral triangle, including its three equal side lengths.")</f>
        <v>Explain the concept of an equilateral triangle, including its three equal side lengths.</v>
      </c>
      <c r="N148" s="29" t="str">
        <f t="shared" si="26"/>
        <v>LU000428.003</v>
      </c>
      <c r="O148" s="29" t="str">
        <f ca="1">IFERROR(__xludf.dummyfunction("VLOOKUP(N148, IMPORTRANGE(""https://docs.google.com/spreadsheets/d/1yDAaXNsi4Mr5FtRQL4tbmSdIzhx6_m4wkOD7IG-k_eo/edit#gid=0"", ""Maths!M:N""), 2, FALSE)"),"Use the properties of an equilateral triangle to find the unknown angle(s)")</f>
        <v>Use the properties of an equilateral triangle to find the unknown angle(s)</v>
      </c>
      <c r="P148" s="29" t="str">
        <f t="shared" si="27"/>
        <v>LU000428.004</v>
      </c>
      <c r="Q148" s="29" t="str">
        <f ca="1">IFERROR(__xludf.dummyfunction("VLOOKUP(P148, IMPORTRANGE(""https://docs.google.com/spreadsheets/d/1yDAaXNsi4Mr5FtRQL4tbmSdIzhx6_m4wkOD7IG-k_eo/edit#gid=0"", ""Maths!M:N""), 2, FALSE)"),"Analyse the relationship between the equal side lengths and angles in an equilateral triangle.")</f>
        <v>Analyse the relationship between the equal side lengths and angles in an equilateral triangle.</v>
      </c>
      <c r="R148" s="29" t="str">
        <f t="shared" si="28"/>
        <v>LU000428.005</v>
      </c>
      <c r="S148" s="29" t="str">
        <f ca="1">IFERROR(__xludf.dummyfunction("VLOOKUP(R148, IMPORTRANGE(""https://docs.google.com/spreadsheets/d/1yDAaXNsi4Mr5FtRQL4tbmSdIzhx6_m4wkOD7IG-k_eo/edit#gid=0"", ""Maths!M:N""), 2, FALSE)"),"Evaluate whether a given triangle satisfies the properties of an equilateral triangle.")</f>
        <v>Evaluate whether a given triangle satisfies the properties of an equilateral triangle.</v>
      </c>
      <c r="T148" s="29" t="str">
        <f t="shared" si="29"/>
        <v>LU000428.006</v>
      </c>
      <c r="U148" s="29" t="str">
        <f ca="1">IFERROR(__xludf.dummyfunction("VLOOKUP(T148, IMPORTRANGE(""https://docs.google.com/spreadsheets/d/1yDAaXNsi4Mr5FtRQL4tbmSdIzhx6_m4wkOD7IG-k_eo/edit#gid=0"", ""Maths!M:N""), 2, FALSE)"),"Create an example of an equilateral triangle, labeling its equal sides and angles accurately.")</f>
        <v>Create an example of an equilateral triangle, labeling its equal sides and angles accurately.</v>
      </c>
      <c r="V148" s="16">
        <f ca="1">IFERROR(__xludf.dummyfunction("ArrayFormula(VLOOKUP(G148, IMPORTRANGE(""https://docs.google.com/spreadsheets/d/1p7R4vtkWt5VOBim4ltsDG9KTzSjrtKXsMtQGXPHyND0/edit#gid=795171502"", ""'Filter 30_05_2024'!A1:M2000""), {2, 3, 4, 5,6,7,8,9,10,11,12,13}, 0))"),2)</f>
        <v>2</v>
      </c>
      <c r="W148" s="16">
        <f ca="1">IFERROR(__xludf.dummyfunction("""COMPUTED_VALUE"""),6)</f>
        <v>6</v>
      </c>
      <c r="X148" s="16">
        <f ca="1">IFERROR(__xludf.dummyfunction("""COMPUTED_VALUE"""),2)</f>
        <v>2</v>
      </c>
      <c r="Y148" s="16">
        <f ca="1">IFERROR(__xludf.dummyfunction("""COMPUTED_VALUE"""),10)</f>
        <v>10</v>
      </c>
      <c r="Z148" s="16">
        <f ca="1">IFERROR(__xludf.dummyfunction("""COMPUTED_VALUE"""),6)</f>
        <v>6</v>
      </c>
      <c r="AA148" s="30">
        <f ca="1">IFERROR(__xludf.dummyfunction("""COMPUTED_VALUE"""),3)</f>
        <v>3</v>
      </c>
      <c r="AB148" s="30">
        <f ca="1">IFERROR(__xludf.dummyfunction("""COMPUTED_VALUE"""),1)</f>
        <v>1</v>
      </c>
      <c r="AC148" s="30">
        <f ca="1">IFERROR(__xludf.dummyfunction("""COMPUTED_VALUE"""),10)</f>
        <v>10</v>
      </c>
      <c r="AD148" s="16"/>
      <c r="AE148" s="30"/>
      <c r="AF148" s="30"/>
      <c r="AG148" s="30"/>
    </row>
    <row r="149" spans="1:33" ht="13.8">
      <c r="A149" s="25"/>
      <c r="B149" s="25" t="s">
        <v>29</v>
      </c>
      <c r="C149" s="25" t="s">
        <v>310</v>
      </c>
      <c r="D149" s="25">
        <v>7</v>
      </c>
      <c r="E149" s="64" t="s">
        <v>976</v>
      </c>
      <c r="F149" s="64" t="s">
        <v>986</v>
      </c>
      <c r="G149" s="71" t="s">
        <v>987</v>
      </c>
      <c r="H149" s="72" t="str">
        <f ca="1">IFERROR(__xludf.dummyfunction("IFERROR(
  VLOOKUP(G149, IMPORTRANGE(""https://docs.google.com/spreadsheets/d/14deopnvwcrKtEGCKuYXdUHJbeLDZlkiSSWWT0g7x2pM/edit#gid=849066331"", ""LU List Maths (Filter)!A:B""), 2, FALSE),
  IFERROR(
    VLOOKUP(G149, IMPORTRANGE(""https://docs.google.com"&amp;"/spreadsheets/d/14deopnvwcrKtEGCKuYXdUHJbeLDZlkiSSWWT0g7x2pM/edit#gid=849066331"", ""LU List Science (Filter)!A:B""), 2, FALSE),
    ""Not Found""
  )
)
"),"Triangle inequality (Relationship between sides of a triangle)")</f>
        <v>Triangle inequality (Relationship between sides of a triangle)</v>
      </c>
      <c r="I149" s="64"/>
      <c r="J149" s="29" t="str">
        <f t="shared" si="24"/>
        <v>LU000431.001</v>
      </c>
      <c r="K149" s="29" t="str">
        <f ca="1">IFERROR(__xludf.dummyfunction("VLOOKUP(J149, IMPORTRANGE(""https://docs.google.com/spreadsheets/d/1yDAaXNsi4Mr5FtRQL4tbmSdIzhx6_m4wkOD7IG-k_eo/edit#gid=0"", ""Maths!M:N""), 2, FALSE)"),"Recall the definition of the triangle inequality theorem.")</f>
        <v>Recall the definition of the triangle inequality theorem.</v>
      </c>
      <c r="L149" s="29" t="str">
        <f t="shared" si="25"/>
        <v>LU000431.002</v>
      </c>
      <c r="M149" s="29" t="str">
        <f ca="1">IFERROR(__xludf.dummyfunction("VLOOKUP(L149, IMPORTRANGE(""https://docs.google.com/spreadsheets/d/1yDAaXNsi4Mr5FtRQL4tbmSdIzhx6_m4wkOD7IG-k_eo/edit#gid=0"", ""Maths!M:N""), 2, FALSE)"),"Explain how the sum of the lengths of any two sides of a triangle must be greater than the length of the third side.")</f>
        <v>Explain how the sum of the lengths of any two sides of a triangle must be greater than the length of the third side.</v>
      </c>
      <c r="N149" s="29" t="str">
        <f t="shared" si="26"/>
        <v>LU000431.003</v>
      </c>
      <c r="O149" s="29" t="str">
        <f ca="1">IFERROR(__xludf.dummyfunction("VLOOKUP(N149, IMPORTRANGE(""https://docs.google.com/spreadsheets/d/1yDAaXNsi4Mr5FtRQL4tbmSdIzhx6_m4wkOD7IG-k_eo/edit#gid=0"", ""Maths!M:N""), 2, FALSE)"),"Apply the relation between the lengths of sides of a triangle to determine the possible length of the third side of the triangle, given its two side lengths.(triangle inequality theorem)")</f>
        <v>Apply the relation between the lengths of sides of a triangle to determine the possible length of the third side of the triangle, given its two side lengths.(triangle inequality theorem)</v>
      </c>
      <c r="P149" s="29" t="str">
        <f t="shared" si="27"/>
        <v>LU000431.004</v>
      </c>
      <c r="Q149" s="29" t="str">
        <f ca="1">IFERROR(__xludf.dummyfunction("VLOOKUP(P149, IMPORTRANGE(""https://docs.google.com/spreadsheets/d/1yDAaXNsi4Mr5FtRQL4tbmSdIzhx6_m4wkOD7IG-k_eo/edit#gid=0"", ""Maths!M:N""), 2, FALSE)"),"Apply the relation between the lengths of sides of a triangle to check the possibility of a triangle, given its three side lengths.(triangle inequality theorem)")</f>
        <v>Apply the relation between the lengths of sides of a triangle to check the possibility of a triangle, given its three side lengths.(triangle inequality theorem)</v>
      </c>
      <c r="R149" s="29" t="str">
        <f t="shared" si="28"/>
        <v>LU000431.005</v>
      </c>
      <c r="S149" s="29" t="str">
        <f ca="1">IFERROR(__xludf.dummyfunction("VLOOKUP(R149, IMPORTRANGE(""https://docs.google.com/spreadsheets/d/1yDAaXNsi4Mr5FtRQL4tbmSdIzhx6_m4wkOD7IG-k_eo/edit#gid=0"", ""Maths!M:N""), 2, FALSE)"),"Deduce that the sum of the lengths of any two sides of a triangle is greater than the third side and the difference between the lengths of any two sides is smaller than the length of the third side.")</f>
        <v>Deduce that the sum of the lengths of any two sides of a triangle is greater than the third side and the difference between the lengths of any two sides is smaller than the length of the third side.</v>
      </c>
      <c r="T149" s="29" t="str">
        <f t="shared" si="29"/>
        <v>LU000431.006</v>
      </c>
      <c r="U149" s="29" t="str">
        <f ca="1">IFERROR(__xludf.dummyfunction("VLOOKUP(T149, IMPORTRANGE(""https://docs.google.com/spreadsheets/d/1yDAaXNsi4Mr5FtRQL4tbmSdIzhx6_m4wkOD7IG-k_eo/edit#gid=0"", ""Maths!M:N""), 2, FALSE)"),"Create a set of three line segments, showcasing their lengths in accordance with the triangle inequality theorem to form a triangle.")</f>
        <v>Create a set of three line segments, showcasing their lengths in accordance with the triangle inequality theorem to form a triangle.</v>
      </c>
      <c r="V149" s="16">
        <f ca="1">IFERROR(__xludf.dummyfunction("ArrayFormula(VLOOKUP(G149, IMPORTRANGE(""https://docs.google.com/spreadsheets/d/1p7R4vtkWt5VOBim4ltsDG9KTzSjrtKXsMtQGXPHyND0/edit#gid=795171502"", ""'Filter 30_05_2024'!A1:M2000""), {2, 3, 4, 5,6,7,8,9,10,11,12,13}, 0))"),10)</f>
        <v>10</v>
      </c>
      <c r="W149" s="16">
        <f ca="1">IFERROR(__xludf.dummyfunction("""COMPUTED_VALUE"""),6)</f>
        <v>6</v>
      </c>
      <c r="X149" s="16">
        <f ca="1">IFERROR(__xludf.dummyfunction("""COMPUTED_VALUE"""),16)</f>
        <v>16</v>
      </c>
      <c r="Y149" s="16">
        <f ca="1">IFERROR(__xludf.dummyfunction("""COMPUTED_VALUE"""),32)</f>
        <v>32</v>
      </c>
      <c r="Z149" s="16">
        <f ca="1">IFERROR(__xludf.dummyfunction("""COMPUTED_VALUE"""),4)</f>
        <v>4</v>
      </c>
      <c r="AA149" s="30">
        <f ca="1">IFERROR(__xludf.dummyfunction("""COMPUTED_VALUE"""),6)</f>
        <v>6</v>
      </c>
      <c r="AB149" s="30">
        <f ca="1">IFERROR(__xludf.dummyfunction("""COMPUTED_VALUE"""),5)</f>
        <v>5</v>
      </c>
      <c r="AC149" s="30">
        <f ca="1">IFERROR(__xludf.dummyfunction("""COMPUTED_VALUE"""),15)</f>
        <v>15</v>
      </c>
      <c r="AD149" s="16"/>
      <c r="AE149" s="30"/>
      <c r="AF149" s="30"/>
      <c r="AG149" s="30"/>
    </row>
    <row r="150" spans="1:33" ht="13.8">
      <c r="A150" s="43"/>
      <c r="B150" s="43" t="s">
        <v>29</v>
      </c>
      <c r="C150" s="43" t="s">
        <v>310</v>
      </c>
      <c r="D150" s="43">
        <v>7</v>
      </c>
      <c r="E150" s="73" t="s">
        <v>976</v>
      </c>
      <c r="F150" s="73" t="s">
        <v>988</v>
      </c>
      <c r="G150" s="77" t="s">
        <v>989</v>
      </c>
      <c r="H150" s="76" t="str">
        <f ca="1">IFERROR(__xludf.dummyfunction("IFERROR(
  VLOOKUP(G150, IMPORTRANGE(""https://docs.google.com/spreadsheets/d/14deopnvwcrKtEGCKuYXdUHJbeLDZlkiSSWWT0g7x2pM/edit#gid=849066331"", ""LU List Maths (Filter)!A:B""), 2, FALSE),
  IFERROR(
    VLOOKUP(G150, IMPORTRANGE(""https://docs.google.com"&amp;"/spreadsheets/d/14deopnvwcrKtEGCKuYXdUHJbeLDZlkiSSWWT0g7x2pM/edit#gid=849066331"", ""LU List Science (Filter)!A:B""), 2, FALSE),
    ""Not Found""
  )
)
"),"Pythagorean triplets")</f>
        <v>Pythagorean triplets</v>
      </c>
      <c r="I150" s="73"/>
      <c r="J150" s="29" t="str">
        <f t="shared" si="24"/>
        <v>LU000432.001</v>
      </c>
      <c r="K150" s="29" t="str">
        <f ca="1">IFERROR(__xludf.dummyfunction("VLOOKUP(J150, IMPORTRANGE(""https://docs.google.com/spreadsheets/d/1yDAaXNsi4Mr5FtRQL4tbmSdIzhx6_m4wkOD7IG-k_eo/edit#gid=0"", ""Maths!M:N""), 2, FALSE)"),"Recall the definition of Pythagorean triplets.")</f>
        <v>Recall the definition of Pythagorean triplets.</v>
      </c>
      <c r="L150" s="29" t="str">
        <f t="shared" si="25"/>
        <v>LU000432.002</v>
      </c>
      <c r="M150" s="29" t="str">
        <f ca="1">IFERROR(__xludf.dummyfunction("VLOOKUP(L150, IMPORTRANGE(""https://docs.google.com/spreadsheets/d/1yDAaXNsi4Mr5FtRQL4tbmSdIzhx6_m4wkOD7IG-k_eo/edit#gid=0"", ""Maths!M:N""), 2, FALSE)"),"Explain the relationship between the sides of a right triangle in a Pythagorean triplet.")</f>
        <v>Explain the relationship between the sides of a right triangle in a Pythagorean triplet.</v>
      </c>
      <c r="N150" s="29" t="str">
        <f t="shared" si="26"/>
        <v>LU000432.003</v>
      </c>
      <c r="O150" s="29" t="str">
        <f ca="1">IFERROR(__xludf.dummyfunction("VLOOKUP(N150, IMPORTRANGE(""https://docs.google.com/spreadsheets/d/1yDAaXNsi4Mr5FtRQL4tbmSdIzhx6_m4wkOD7IG-k_eo/edit#gid=0"", ""Maths!M:N""), 2, FALSE)"),"Apply knowledge to identify Pythagorean triplets and verify their validity.")</f>
        <v>Apply knowledge to identify Pythagorean triplets and verify their validity.</v>
      </c>
      <c r="P150" s="29" t="str">
        <f t="shared" si="27"/>
        <v>LU000432.004</v>
      </c>
      <c r="Q150" s="29" t="str">
        <f ca="1">IFERROR(__xludf.dummyfunction("VLOOKUP(P150, IMPORTRANGE(""https://docs.google.com/spreadsheets/d/1yDAaXNsi4Mr5FtRQL4tbmSdIzhx6_m4wkOD7IG-k_eo/edit#gid=0"", ""Maths!M:N""), 2, FALSE)"),"Analyse the characteristics of different Pythagorean triplets and their implications for triangle sides.")</f>
        <v>Analyse the characteristics of different Pythagorean triplets and their implications for triangle sides.</v>
      </c>
      <c r="R150" s="29" t="str">
        <f t="shared" si="28"/>
        <v>LU000432.005</v>
      </c>
      <c r="S150" s="29" t="str">
        <f ca="1">IFERROR(__xludf.dummyfunction("VLOOKUP(R150, IMPORTRANGE(""https://docs.google.com/spreadsheets/d/1yDAaXNsi4Mr5FtRQL4tbmSdIzhx6_m4wkOD7IG-k_eo/edit#gid=0"", ""Maths!M:N""), 2, FALSE)"),"Evaluate whether a given set of numbers forms a Pythagorean triplet.")</f>
        <v>Evaluate whether a given set of numbers forms a Pythagorean triplet.</v>
      </c>
      <c r="T150" s="29" t="str">
        <f t="shared" si="29"/>
        <v>LU000432.006</v>
      </c>
      <c r="U150" s="29" t="str">
        <f ca="1">IFERROR(__xludf.dummyfunction("VLOOKUP(T150, IMPORTRANGE(""https://docs.google.com/spreadsheets/d/1yDAaXNsi4Mr5FtRQL4tbmSdIzhx6_m4wkOD7IG-k_eo/edit#gid=0"", ""Maths!M:N""), 2, FALSE)"),"Create a list of Pythagorean triplets, showcasing their unique properties and relationships.")</f>
        <v>Create a list of Pythagorean triplets, showcasing their unique properties and relationships.</v>
      </c>
      <c r="V150" s="16">
        <f ca="1">IFERROR(__xludf.dummyfunction("ArrayFormula(VLOOKUP(G150, IMPORTRANGE(""https://docs.google.com/spreadsheets/d/1p7R4vtkWt5VOBim4ltsDG9KTzSjrtKXsMtQGXPHyND0/edit#gid=795171502"", ""'Filter 30_05_2024'!A1:M2000""), {2, 3, 4, 5,6,7,8,9,10,11,12,13}, 0))"),4)</f>
        <v>4</v>
      </c>
      <c r="W150" s="16">
        <f ca="1">IFERROR(__xludf.dummyfunction("""COMPUTED_VALUE"""),6)</f>
        <v>6</v>
      </c>
      <c r="X150" s="16">
        <f ca="1">IFERROR(__xludf.dummyfunction("""COMPUTED_VALUE"""),2)</f>
        <v>2</v>
      </c>
      <c r="Y150" s="16">
        <f ca="1">IFERROR(__xludf.dummyfunction("""COMPUTED_VALUE"""),12)</f>
        <v>12</v>
      </c>
      <c r="Z150" s="16">
        <f ca="1">IFERROR(__xludf.dummyfunction("""COMPUTED_VALUE"""),4)</f>
        <v>4</v>
      </c>
      <c r="AA150" s="30">
        <f ca="1">IFERROR(__xludf.dummyfunction("""COMPUTED_VALUE"""),3)</f>
        <v>3</v>
      </c>
      <c r="AB150" s="30">
        <f ca="1">IFERROR(__xludf.dummyfunction("""COMPUTED_VALUE"""),1)</f>
        <v>1</v>
      </c>
      <c r="AC150" s="30">
        <f ca="1">IFERROR(__xludf.dummyfunction("""COMPUTED_VALUE"""),8)</f>
        <v>8</v>
      </c>
      <c r="AD150" s="16"/>
      <c r="AE150" s="30"/>
      <c r="AF150" s="30"/>
      <c r="AG150" s="30"/>
    </row>
    <row r="151" spans="1:33" ht="13.8">
      <c r="A151" s="25"/>
      <c r="B151" s="25" t="s">
        <v>29</v>
      </c>
      <c r="C151" s="25" t="s">
        <v>310</v>
      </c>
      <c r="D151" s="25">
        <v>7</v>
      </c>
      <c r="E151" s="64" t="s">
        <v>976</v>
      </c>
      <c r="F151" s="64"/>
      <c r="G151" s="71" t="s">
        <v>990</v>
      </c>
      <c r="H151" s="72" t="str">
        <f ca="1">IFERROR(__xludf.dummyfunction("IFERROR(
  VLOOKUP(G151, IMPORTRANGE(""https://docs.google.com/spreadsheets/d/14deopnvwcrKtEGCKuYXdUHJbeLDZlkiSSWWT0g7x2pM/edit#gid=849066331"", ""LU List Maths (Filter)!A:B""), 2, FALSE),
  IFERROR(
    VLOOKUP(G151, IMPORTRANGE(""https://docs.google.com"&amp;"/spreadsheets/d/14deopnvwcrKtEGCKuYXdUHJbeLDZlkiSSWWT0g7x2pM/edit#gid=849066331"", ""LU List Science (Filter)!A:B""), 2, FALSE),
    ""Not Found""
  )
)
"),"Parts of a right-angled triangle")</f>
        <v>Parts of a right-angled triangle</v>
      </c>
      <c r="I151" s="64"/>
      <c r="J151" s="29" t="str">
        <f t="shared" si="24"/>
        <v>LU000433.001</v>
      </c>
      <c r="K151" s="29" t="str">
        <f ca="1">IFERROR(__xludf.dummyfunction("VLOOKUP(J151, IMPORTRANGE(""https://docs.google.com/spreadsheets/d/1yDAaXNsi4Mr5FtRQL4tbmSdIzhx6_m4wkOD7IG-k_eo/edit#gid=0"", ""Maths!M:N""), 2, FALSE)"),"Definition of the hypotenuse in a right angled triangle.")</f>
        <v>Definition of the hypotenuse in a right angled triangle.</v>
      </c>
      <c r="L151" s="29" t="str">
        <f t="shared" si="25"/>
        <v>LU000433.002</v>
      </c>
      <c r="M151" s="29" t="str">
        <f ca="1">IFERROR(__xludf.dummyfunction("VLOOKUP(L151, IMPORTRANGE(""https://docs.google.com/spreadsheets/d/1yDAaXNsi4Mr5FtRQL4tbmSdIzhx6_m4wkOD7IG-k_eo/edit#gid=0"", ""Maths!M:N""), 2, FALSE)"),"Explain the roles of the hypotenuse as both the longest side and opposite to the right angle.")</f>
        <v>Explain the roles of the hypotenuse as both the longest side and opposite to the right angle.</v>
      </c>
      <c r="N151" s="29" t="str">
        <f t="shared" si="26"/>
        <v>LU000433.003</v>
      </c>
      <c r="O151" s="29" t="str">
        <f ca="1">IFERROR(__xludf.dummyfunction("VLOOKUP(N151, IMPORTRANGE(""https://docs.google.com/spreadsheets/d/1yDAaXNsi4Mr5FtRQL4tbmSdIzhx6_m4wkOD7IG-k_eo/edit#gid=0"", ""Maths!M:N""), 2, FALSE)"),"Apply knowledge to correctly identify and label the hypotenuse in different right-angled triangles.")</f>
        <v>Apply knowledge to correctly identify and label the hypotenuse in different right-angled triangles.</v>
      </c>
      <c r="P151" s="29" t="str">
        <f t="shared" si="27"/>
        <v>LU000433.004</v>
      </c>
      <c r="Q151" s="29" t="str">
        <f ca="1">IFERROR(__xludf.dummyfunction("VLOOKUP(P151, IMPORTRANGE(""https://docs.google.com/spreadsheets/d/1yDAaXNsi4Mr5FtRQL4tbmSdIzhx6_m4wkOD7IG-k_eo/edit#gid=0"", ""Maths!M:N""), 2, FALSE)"),"Analyse the relationship between the base, height, and hypotenuse in a right-angled triangle, considering their positions with respect to the given angle.")</f>
        <v>Analyse the relationship between the base, height, and hypotenuse in a right-angled triangle, considering their positions with respect to the given angle.</v>
      </c>
      <c r="R151" s="29" t="str">
        <f t="shared" si="28"/>
        <v>LU000433.005</v>
      </c>
      <c r="S151" s="29" t="str">
        <f ca="1">IFERROR(__xludf.dummyfunction("VLOOKUP(R151, IMPORTRANGE(""https://docs.google.com/spreadsheets/d/1yDAaXNsi4Mr5FtRQL4tbmSdIzhx6_m4wkOD7IG-k_eo/edit#gid=0"", ""Maths!M:N""), 2, FALSE)"),"Evaluate the accuracy of identifying the base and height of a right-angled triangle with respect to a specified angle.")</f>
        <v>Evaluate the accuracy of identifying the base and height of a right-angled triangle with respect to a specified angle.</v>
      </c>
      <c r="T151" s="29" t="str">
        <f t="shared" si="29"/>
        <v>LU000433.006</v>
      </c>
      <c r="U151" s="29" t="str">
        <f ca="1">IFERROR(__xludf.dummyfunction("VLOOKUP(T151, IMPORTRANGE(""https://docs.google.com/spreadsheets/d/1yDAaXNsi4Mr5FtRQL4tbmSdIzhx6_m4wkOD7IG-k_eo/edit#gid=0"", ""Maths!M:N""), 2, FALSE)"),"Create a visual representation of a right-angled triangle, accurately labeling the base, height, and hypotenuse with respect to the given angle.")</f>
        <v>Create a visual representation of a right-angled triangle, accurately labeling the base, height, and hypotenuse with respect to the given angle.</v>
      </c>
      <c r="V151" s="16">
        <f ca="1">IFERROR(__xludf.dummyfunction("ArrayFormula(VLOOKUP(G151, IMPORTRANGE(""https://docs.google.com/spreadsheets/d/1p7R4vtkWt5VOBim4ltsDG9KTzSjrtKXsMtQGXPHyND0/edit#gid=795171502"", ""'Filter 30_05_2024'!A1:M2000""), {2, 3, 4, 5,6,7,8,9,10,11,12,13}, 0))"),4)</f>
        <v>4</v>
      </c>
      <c r="W151" s="16">
        <f ca="1">IFERROR(__xludf.dummyfunction("""COMPUTED_VALUE"""),4)</f>
        <v>4</v>
      </c>
      <c r="X151" s="16">
        <f ca="1">IFERROR(__xludf.dummyfunction("""COMPUTED_VALUE"""),2)</f>
        <v>2</v>
      </c>
      <c r="Y151" s="16">
        <f ca="1">IFERROR(__xludf.dummyfunction("""COMPUTED_VALUE"""),10)</f>
        <v>10</v>
      </c>
      <c r="Z151" s="16">
        <f ca="1">IFERROR(__xludf.dummyfunction("""COMPUTED_VALUE"""),4)</f>
        <v>4</v>
      </c>
      <c r="AA151" s="30">
        <f ca="1">IFERROR(__xludf.dummyfunction("""COMPUTED_VALUE"""),5)</f>
        <v>5</v>
      </c>
      <c r="AB151" s="30">
        <f ca="1">IFERROR(__xludf.dummyfunction("""COMPUTED_VALUE"""),1)</f>
        <v>1</v>
      </c>
      <c r="AC151" s="30">
        <f ca="1">IFERROR(__xludf.dummyfunction("""COMPUTED_VALUE"""),10)</f>
        <v>10</v>
      </c>
      <c r="AD151" s="16"/>
      <c r="AE151" s="30"/>
      <c r="AF151" s="30"/>
      <c r="AG151" s="30"/>
    </row>
    <row r="152" spans="1:33" ht="13.8">
      <c r="A152" s="25"/>
      <c r="B152" s="25" t="s">
        <v>29</v>
      </c>
      <c r="C152" s="25" t="s">
        <v>310</v>
      </c>
      <c r="D152" s="25">
        <v>7</v>
      </c>
      <c r="E152" s="64" t="s">
        <v>976</v>
      </c>
      <c r="F152" s="64"/>
      <c r="G152" s="71" t="s">
        <v>991</v>
      </c>
      <c r="H152" s="72" t="str">
        <f ca="1">IFERROR(__xludf.dummyfunction("IFERROR(
  VLOOKUP(G152, IMPORTRANGE(""https://docs.google.com/spreadsheets/d/14deopnvwcrKtEGCKuYXdUHJbeLDZlkiSSWWT0g7x2pM/edit#gid=849066331"", ""LU List Maths (Filter)!A:B""), 2, FALSE),
  IFERROR(
    VLOOKUP(G152, IMPORTRANGE(""https://docs.google.com"&amp;"/spreadsheets/d/14deopnvwcrKtEGCKuYXdUHJbeLDZlkiSSWWT0g7x2pM/edit#gid=849066331"", ""LU List Science (Filter)!A:B""), 2, FALSE),
    ""Not Found""
  )
)
"),"Pythagoras property")</f>
        <v>Pythagoras property</v>
      </c>
      <c r="I152" s="64"/>
      <c r="J152" s="29" t="str">
        <f t="shared" si="24"/>
        <v>LU000434.001</v>
      </c>
      <c r="K152" s="29" t="str">
        <f ca="1">IFERROR(__xludf.dummyfunction("VLOOKUP(J152, IMPORTRANGE(""https://docs.google.com/spreadsheets/d/1yDAaXNsi4Mr5FtRQL4tbmSdIzhx6_m4wkOD7IG-k_eo/edit#gid=0"", ""Maths!M:N""), 2, FALSE)"),"Describe the relationship between the sides of a right-angled triangle (Pythagoras theorem)")</f>
        <v>Describe the relationship between the sides of a right-angled triangle (Pythagoras theorem)</v>
      </c>
      <c r="L152" s="29" t="str">
        <f t="shared" si="25"/>
        <v>LU000434.002</v>
      </c>
      <c r="M152" s="29" t="str">
        <f ca="1">IFERROR(__xludf.dummyfunction("VLOOKUP(L152, IMPORTRANGE(""https://docs.google.com/spreadsheets/d/1yDAaXNsi4Mr5FtRQL4tbmSdIzhx6_m4wkOD7IG-k_eo/edit#gid=0"", ""Maths!M:N""), 2, FALSE)"),"Explain how the Pythagoras theorem relates the sides of a right-angled triangle.")</f>
        <v>Explain how the Pythagoras theorem relates the sides of a right-angled triangle.</v>
      </c>
      <c r="N152" s="29" t="str">
        <f t="shared" si="26"/>
        <v>LU000434.003</v>
      </c>
      <c r="O152" s="29" t="str">
        <f ca="1">IFERROR(__xludf.dummyfunction("VLOOKUP(N152, IMPORTRANGE(""https://docs.google.com/spreadsheets/d/1yDAaXNsi4Mr5FtRQL4tbmSdIzhx6_m4wkOD7IG-k_eo/edit#gid=0"", ""Maths!M:N""), 2, FALSE)"),"Apply Pythagoras property to verify whether the triangle for the given side lengths will be right angled triangle or not.")</f>
        <v>Apply Pythagoras property to verify whether the triangle for the given side lengths will be right angled triangle or not.</v>
      </c>
      <c r="P152" s="29" t="str">
        <f t="shared" si="27"/>
        <v>LU000434.004</v>
      </c>
      <c r="Q152" s="29" t="str">
        <f ca="1">IFERROR(__xludf.dummyfunction("VLOOKUP(P152, IMPORTRANGE(""https://docs.google.com/spreadsheets/d/1yDAaXNsi4Mr5FtRQL4tbmSdIzhx6_m4wkOD7IG-k_eo/edit#gid=0"", ""Maths!M:N""), 2, FALSE)"),"Use Pythagoras property to find the length of an unknown side of a right triangle.")</f>
        <v>Use Pythagoras property to find the length of an unknown side of a right triangle.</v>
      </c>
      <c r="R152" s="29" t="str">
        <f t="shared" si="28"/>
        <v>LU000434.005</v>
      </c>
      <c r="S152" s="29" t="str">
        <f ca="1">IFERROR(__xludf.dummyfunction("VLOOKUP(R152, IMPORTRANGE(""https://docs.google.com/spreadsheets/d/1yDAaXNsi4Mr5FtRQL4tbmSdIzhx6_m4wkOD7IG-k_eo/edit#gid=0"", ""Maths!M:N""), 2, FALSE)"),"Evaluate the theorem's validity by comparing the areas of squares constructed on triangle sides.")</f>
        <v>Evaluate the theorem's validity by comparing the areas of squares constructed on triangle sides.</v>
      </c>
      <c r="T152" s="29" t="str">
        <f t="shared" si="29"/>
        <v>LU000434.006</v>
      </c>
      <c r="U152" s="29" t="str">
        <f ca="1">IFERROR(__xludf.dummyfunction("VLOOKUP(T152, IMPORTRANGE(""https://docs.google.com/spreadsheets/d/1yDAaXNsi4Mr5FtRQL4tbmSdIzhx6_m4wkOD7IG-k_eo/edit#gid=0"", ""Maths!M:N""), 2, FALSE)"),"Construct geometric diagrams that illustrate the application of Pythagoras' Theorem in different contexts.")</f>
        <v>Construct geometric diagrams that illustrate the application of Pythagoras' Theorem in different contexts.</v>
      </c>
      <c r="V152" s="16">
        <f ca="1">IFERROR(__xludf.dummyfunction("ArrayFormula(VLOOKUP(G152, IMPORTRANGE(""https://docs.google.com/spreadsheets/d/1p7R4vtkWt5VOBim4ltsDG9KTzSjrtKXsMtQGXPHyND0/edit#gid=795171502"", ""'Filter 30_05_2024'!A1:M2000""), {2, 3, 4, 5,6,7,8,9,10,11,12,13}, 0))"),6)</f>
        <v>6</v>
      </c>
      <c r="W152" s="16">
        <f ca="1">IFERROR(__xludf.dummyfunction("""COMPUTED_VALUE"""),13)</f>
        <v>13</v>
      </c>
      <c r="X152" s="16">
        <f ca="1">IFERROR(__xludf.dummyfunction("""COMPUTED_VALUE"""),5)</f>
        <v>5</v>
      </c>
      <c r="Y152" s="16">
        <f ca="1">IFERROR(__xludf.dummyfunction("""COMPUTED_VALUE"""),24)</f>
        <v>24</v>
      </c>
      <c r="Z152" s="16">
        <f ca="1">IFERROR(__xludf.dummyfunction("""COMPUTED_VALUE"""),4)</f>
        <v>4</v>
      </c>
      <c r="AA152" s="30">
        <f ca="1">IFERROR(__xludf.dummyfunction("""COMPUTED_VALUE"""),1)</f>
        <v>1</v>
      </c>
      <c r="AB152" s="30">
        <f ca="1">IFERROR(__xludf.dummyfunction("""COMPUTED_VALUE"""),10)</f>
        <v>10</v>
      </c>
      <c r="AC152" s="30">
        <f ca="1">IFERROR(__xludf.dummyfunction("""COMPUTED_VALUE"""),15)</f>
        <v>15</v>
      </c>
      <c r="AD152" s="16"/>
      <c r="AE152" s="30"/>
      <c r="AF152" s="30"/>
      <c r="AG152" s="30"/>
    </row>
    <row r="153" spans="1:33" ht="13.8">
      <c r="A153" s="25"/>
      <c r="B153" s="25" t="s">
        <v>29</v>
      </c>
      <c r="C153" s="25" t="s">
        <v>310</v>
      </c>
      <c r="D153" s="25">
        <v>7</v>
      </c>
      <c r="E153" s="64" t="s">
        <v>976</v>
      </c>
      <c r="F153" s="64"/>
      <c r="G153" s="71" t="s">
        <v>992</v>
      </c>
      <c r="H153" s="72" t="str">
        <f ca="1">IFERROR(__xludf.dummyfunction("IFERROR(
  VLOOKUP(G153, IMPORTRANGE(""https://docs.google.com/spreadsheets/d/14deopnvwcrKtEGCKuYXdUHJbeLDZlkiSSWWT0g7x2pM/edit#gid=849066331"", ""LU List Maths (Filter)!A:B""), 2, FALSE),
  IFERROR(
    VLOOKUP(G153, IMPORTRANGE(""https://docs.google.com"&amp;"/spreadsheets/d/14deopnvwcrKtEGCKuYXdUHJbeLDZlkiSSWWT0g7x2pM/edit#gid=849066331"", ""LU List Science (Filter)!A:B""), 2, FALSE),
    ""Not Found""
  )
)
"),"Converse of Pythagoras property")</f>
        <v>Converse of Pythagoras property</v>
      </c>
      <c r="I153" s="64"/>
      <c r="J153" s="29" t="str">
        <f t="shared" si="24"/>
        <v>LU000435.001</v>
      </c>
      <c r="K153" s="29" t="str">
        <f ca="1">IFERROR(__xludf.dummyfunction("VLOOKUP(J153, IMPORTRANGE(""https://docs.google.com/spreadsheets/d/1yDAaXNsi4Mr5FtRQL4tbmSdIzhx6_m4wkOD7IG-k_eo/edit#gid=0"", ""Maths!M:N""), 2, FALSE)"),"Recall the statement of the converse of the Pythagoras property.")</f>
        <v>Recall the statement of the converse of the Pythagoras property.</v>
      </c>
      <c r="L153" s="29" t="str">
        <f t="shared" si="25"/>
        <v>LU000435.002</v>
      </c>
      <c r="M153" s="29" t="str">
        <f ca="1">IFERROR(__xludf.dummyfunction("VLOOKUP(L153, IMPORTRANGE(""https://docs.google.com/spreadsheets/d/1yDAaXNsi4Mr5FtRQL4tbmSdIzhx6_m4wkOD7IG-k_eo/edit#gid=0"", ""Maths!M:N""), 2, FALSE)"),"Explain the significance of the converse of the Pythagoras property in identifying right-angled triangles.")</f>
        <v>Explain the significance of the converse of the Pythagoras property in identifying right-angled triangles.</v>
      </c>
      <c r="N153" s="29" t="str">
        <f t="shared" si="26"/>
        <v>LU000435.003</v>
      </c>
      <c r="O153" s="29" t="str">
        <f ca="1">IFERROR(__xludf.dummyfunction("VLOOKUP(N153, IMPORTRANGE(""https://docs.google.com/spreadsheets/d/1yDAaXNsi4Mr5FtRQL4tbmSdIzhx6_m4wkOD7IG-k_eo/edit#gid=0"", ""Maths!M:N""), 2, FALSE)"),"Apply the converse of the Pythagoras property to determine whether a given triangle is right-angled.")</f>
        <v>Apply the converse of the Pythagoras property to determine whether a given triangle is right-angled.</v>
      </c>
      <c r="P153" s="29" t="str">
        <f t="shared" si="27"/>
        <v>LU000435.004</v>
      </c>
      <c r="Q153" s="29" t="str">
        <f ca="1">IFERROR(__xludf.dummyfunction("VLOOKUP(P153, IMPORTRANGE(""https://docs.google.com/spreadsheets/d/1yDAaXNsi4Mr5FtRQL4tbmSdIzhx6_m4wkOD7IG-k_eo/edit#gid=0"", ""Maths!M:N""), 2, FALSE)"),"Analyse the logical reasoning behind why the Pythagoras property's converse indicates a right-angled triangle.")</f>
        <v>Analyse the logical reasoning behind why the Pythagoras property's converse indicates a right-angled triangle.</v>
      </c>
      <c r="R153" s="29" t="str">
        <f t="shared" si="28"/>
        <v>LU000435.005</v>
      </c>
      <c r="S153" s="29" t="str">
        <f ca="1">IFERROR(__xludf.dummyfunction("VLOOKUP(R153, IMPORTRANGE(""https://docs.google.com/spreadsheets/d/1yDAaXNsi4Mr5FtRQL4tbmSdIzhx6_m4wkOD7IG-k_eo/edit#gid=0"", ""Maths!M:N""), 2, FALSE)"),"Evaluate whether a given set of side lengths satisfying the converse property guarantees a right-angled triangle.")</f>
        <v>Evaluate whether a given set of side lengths satisfying the converse property guarantees a right-angled triangle.</v>
      </c>
      <c r="T153" s="29" t="str">
        <f t="shared" si="29"/>
        <v>LU000435.006</v>
      </c>
      <c r="U153" s="29" t="str">
        <f ca="1">IFERROR(__xludf.dummyfunction("VLOOKUP(T153, IMPORTRANGE(""https://docs.google.com/spreadsheets/d/1yDAaXNsi4Mr5FtRQL4tbmSdIzhx6_m4wkOD7IG-k_eo/edit#gid=0"", ""Maths!M:N""), 2, FALSE)"),"Create a scenario or problem where the application of the converse of the Pythagoras property leads to proving a triangle as right-angled.")</f>
        <v>Create a scenario or problem where the application of the converse of the Pythagoras property leads to proving a triangle as right-angled.</v>
      </c>
      <c r="V153" s="16">
        <f ca="1">IFERROR(__xludf.dummyfunction("ArrayFormula(VLOOKUP(G153, IMPORTRANGE(""https://docs.google.com/spreadsheets/d/1p7R4vtkWt5VOBim4ltsDG9KTzSjrtKXsMtQGXPHyND0/edit#gid=795171502"", ""'Filter 30_05_2024'!A1:M2000""), {2, 3, 4, 5,6,7,8,9,10,11,12,13}, 0))"),3)</f>
        <v>3</v>
      </c>
      <c r="W153" s="16">
        <f ca="1">IFERROR(__xludf.dummyfunction("""COMPUTED_VALUE"""),8)</f>
        <v>8</v>
      </c>
      <c r="X153" s="16">
        <f ca="1">IFERROR(__xludf.dummyfunction("""COMPUTED_VALUE"""),2)</f>
        <v>2</v>
      </c>
      <c r="Y153" s="16">
        <f ca="1">IFERROR(__xludf.dummyfunction("""COMPUTED_VALUE"""),13)</f>
        <v>13</v>
      </c>
      <c r="Z153" s="16">
        <f ca="1">IFERROR(__xludf.dummyfunction("""COMPUTED_VALUE"""),5)</f>
        <v>5</v>
      </c>
      <c r="AA153" s="30">
        <f ca="1">IFERROR(__xludf.dummyfunction("""COMPUTED_VALUE"""),3)</f>
        <v>3</v>
      </c>
      <c r="AB153" s="30">
        <f ca="1">IFERROR(__xludf.dummyfunction("""COMPUTED_VALUE"""),1)</f>
        <v>1</v>
      </c>
      <c r="AC153" s="30">
        <f ca="1">IFERROR(__xludf.dummyfunction("""COMPUTED_VALUE"""),9)</f>
        <v>9</v>
      </c>
      <c r="AD153" s="16"/>
      <c r="AE153" s="30"/>
      <c r="AF153" s="30"/>
      <c r="AG153" s="30"/>
    </row>
    <row r="154" spans="1:33" ht="13.8">
      <c r="A154" s="25"/>
      <c r="B154" s="25" t="s">
        <v>29</v>
      </c>
      <c r="C154" s="25" t="s">
        <v>310</v>
      </c>
      <c r="D154" s="25">
        <v>7</v>
      </c>
      <c r="E154" s="87" t="s">
        <v>687</v>
      </c>
      <c r="F154" s="87" t="s">
        <v>993</v>
      </c>
      <c r="G154" s="47" t="s">
        <v>994</v>
      </c>
      <c r="H154" s="72" t="str">
        <f ca="1">IFERROR(__xludf.dummyfunction("IFERROR(
  VLOOKUP(G154, IMPORTRANGE(""https://docs.google.com/spreadsheets/d/14deopnvwcrKtEGCKuYXdUHJbeLDZlkiSSWWT0g7x2pM/edit#gid=849066331"", ""LU List Maths (Filter)!A:B""), 2, FALSE),
  IFERROR(
    VLOOKUP(G154, IMPORTRANGE(""https://docs.google.com"&amp;"/spreadsheets/d/14deopnvwcrKtEGCKuYXdUHJbeLDZlkiSSWWT0g7x2pM/edit#gid=849066331"", ""LU List Science (Filter)!A:B""), 2, FALSE),
    ""Not Found""
  )
)
"),"Definition of rotational symmetry")</f>
        <v>Definition of rotational symmetry</v>
      </c>
      <c r="I154" s="64"/>
      <c r="J154" s="29" t="str">
        <f t="shared" si="24"/>
        <v>LU000792.001</v>
      </c>
      <c r="K154" s="29" t="str">
        <f ca="1">IFERROR(__xludf.dummyfunction("VLOOKUP(J154, IMPORTRANGE(""https://docs.google.com/spreadsheets/d/1yDAaXNsi4Mr5FtRQL4tbmSdIzhx6_m4wkOD7IG-k_eo/edit#gid=0"", ""Maths!M:N""), 2, FALSE)"),"State that rotational symmetry is a property where an object looks the same after it's rotated by a certain angle around a central point.")</f>
        <v>State that rotational symmetry is a property where an object looks the same after it's rotated by a certain angle around a central point.</v>
      </c>
      <c r="L154" s="29" t="str">
        <f t="shared" si="25"/>
        <v>LU000792.002</v>
      </c>
      <c r="M154" s="29" t="str">
        <f ca="1">IFERROR(__xludf.dummyfunction("VLOOKUP(L154, IMPORTRANGE(""https://docs.google.com/spreadsheets/d/1yDAaXNsi4Mr5FtRQL4tbmSdIzhx6_m4wkOD7IG-k_eo/edit#gid=0"", ""Maths!M:N""), 2, FALSE)"),"Explain the significance of rotational symmetry in various fields.")</f>
        <v>Explain the significance of rotational symmetry in various fields.</v>
      </c>
      <c r="N154" s="29" t="str">
        <f t="shared" si="26"/>
        <v>LU000792.003</v>
      </c>
      <c r="O154" s="29" t="str">
        <f ca="1">IFERROR(__xludf.dummyfunction("VLOOKUP(N154, IMPORTRANGE(""https://docs.google.com/spreadsheets/d/1yDAaXNsi4Mr5FtRQL4tbmSdIzhx6_m4wkOD7IG-k_eo/edit#gid=0"", ""Maths!M:N""), 2, FALSE)"),"Determine whether a given shape exhibits rotational symmetry")</f>
        <v>Determine whether a given shape exhibits rotational symmetry</v>
      </c>
      <c r="P154" s="29" t="str">
        <f t="shared" si="27"/>
        <v>LU000792.004</v>
      </c>
      <c r="Q154" s="29" t="str">
        <f ca="1">IFERROR(__xludf.dummyfunction("VLOOKUP(P154, IMPORTRANGE(""https://docs.google.com/spreadsheets/d/1yDAaXNsi4Mr5FtRQL4tbmSdIzhx6_m4wkOD7IG-k_eo/edit#gid=0"", ""Maths!M:N""), 2, FALSE)"),"Examine patterns and identify if they possess rotational symmetry.")</f>
        <v>Examine patterns and identify if they possess rotational symmetry.</v>
      </c>
      <c r="R154" s="29" t="str">
        <f t="shared" si="28"/>
        <v>LU000792.005</v>
      </c>
      <c r="S154" s="29" t="str">
        <f ca="1">IFERROR(__xludf.dummyfunction("VLOOKUP(R154, IMPORTRANGE(""https://docs.google.com/spreadsheets/d/1yDAaXNsi4Mr5FtRQL4tbmSdIzhx6_m4wkOD7IG-k_eo/edit#gid=0"", ""Maths!M:N""), 2, FALSE)"),"Evaluate how the presence of rotational symmetry impacts the visual appeal of real-world objects.")</f>
        <v>Evaluate how the presence of rotational symmetry impacts the visual appeal of real-world objects.</v>
      </c>
      <c r="T154" s="29" t="str">
        <f t="shared" si="29"/>
        <v>LU000792.006</v>
      </c>
      <c r="U154" s="29" t="str">
        <f ca="1">IFERROR(__xludf.dummyfunction("VLOOKUP(T154, IMPORTRANGE(""https://docs.google.com/spreadsheets/d/1yDAaXNsi4Mr5FtRQL4tbmSdIzhx6_m4wkOD7IG-k_eo/edit#gid=0"", ""Maths!M:N""), 2, FALSE)"),"Generate original artwork or patterns that incorporate rotational symmetry.")</f>
        <v>Generate original artwork or patterns that incorporate rotational symmetry.</v>
      </c>
      <c r="V154" s="16">
        <f ca="1">IFERROR(__xludf.dummyfunction("ArrayFormula(VLOOKUP(G154, IMPORTRANGE(""https://docs.google.com/spreadsheets/d/1p7R4vtkWt5VOBim4ltsDG9KTzSjrtKXsMtQGXPHyND0/edit#gid=795171502"", ""'Filter 30_05_2024'!A1:M2000""), {2, 3, 4, 5,6,7,8,9,10,11,12,13}, 0))"),4)</f>
        <v>4</v>
      </c>
      <c r="W154" s="16">
        <f ca="1">IFERROR(__xludf.dummyfunction("""COMPUTED_VALUE"""),6)</f>
        <v>6</v>
      </c>
      <c r="X154" s="16">
        <f ca="1">IFERROR(__xludf.dummyfunction("""COMPUTED_VALUE"""),2)</f>
        <v>2</v>
      </c>
      <c r="Y154" s="16">
        <f ca="1">IFERROR(__xludf.dummyfunction("""COMPUTED_VALUE"""),12)</f>
        <v>12</v>
      </c>
      <c r="Z154" s="16">
        <f ca="1">IFERROR(__xludf.dummyfunction("""COMPUTED_VALUE"""),5)</f>
        <v>5</v>
      </c>
      <c r="AA154" s="30">
        <f ca="1">IFERROR(__xludf.dummyfunction("""COMPUTED_VALUE"""),3)</f>
        <v>3</v>
      </c>
      <c r="AB154" s="30">
        <f ca="1">IFERROR(__xludf.dummyfunction("""COMPUTED_VALUE"""),1)</f>
        <v>1</v>
      </c>
      <c r="AC154" s="30">
        <f ca="1">IFERROR(__xludf.dummyfunction("""COMPUTED_VALUE"""),9)</f>
        <v>9</v>
      </c>
      <c r="AD154" s="16"/>
      <c r="AE154" s="30"/>
      <c r="AF154" s="30"/>
      <c r="AG154" s="30"/>
    </row>
    <row r="155" spans="1:33" ht="13.8">
      <c r="A155" s="25"/>
      <c r="B155" s="25" t="s">
        <v>29</v>
      </c>
      <c r="C155" s="25" t="s">
        <v>310</v>
      </c>
      <c r="D155" s="25">
        <v>7</v>
      </c>
      <c r="E155" s="87" t="s">
        <v>687</v>
      </c>
      <c r="F155" s="87"/>
      <c r="G155" s="47" t="s">
        <v>995</v>
      </c>
      <c r="H155" s="72" t="str">
        <f ca="1">IFERROR(__xludf.dummyfunction("IFERROR(
  VLOOKUP(G155, IMPORTRANGE(""https://docs.google.com/spreadsheets/d/14deopnvwcrKtEGCKuYXdUHJbeLDZlkiSSWWT0g7x2pM/edit#gid=849066331"", ""LU List Maths (Filter)!A:B""), 2, FALSE),
  IFERROR(
    VLOOKUP(G155, IMPORTRANGE(""https://docs.google.com"&amp;"/spreadsheets/d/14deopnvwcrKtEGCKuYXdUHJbeLDZlkiSSWWT0g7x2pM/edit#gid=849066331"", ""LU List Science (Filter)!A:B""), 2, FALSE),
    ""Not Found""
  )
)
"),"Definition of centre of rotation")</f>
        <v>Definition of centre of rotation</v>
      </c>
      <c r="I155" s="64"/>
      <c r="J155" s="29" t="str">
        <f t="shared" si="24"/>
        <v>LU000793.001</v>
      </c>
      <c r="K155" s="29" t="str">
        <f ca="1">IFERROR(__xludf.dummyfunction("VLOOKUP(J155, IMPORTRANGE(""https://docs.google.com/spreadsheets/d/1yDAaXNsi4Mr5FtRQL4tbmSdIzhx6_m4wkOD7IG-k_eo/edit#gid=0"", ""Maths!M:N""), 2, FALSE)"),"State that the center of rotation is a fixed point around which an object is rotated to create symmetry.")</f>
        <v>State that the center of rotation is a fixed point around which an object is rotated to create symmetry.</v>
      </c>
      <c r="L155" s="29" t="str">
        <f t="shared" si="25"/>
        <v>LU000793.002</v>
      </c>
      <c r="M155" s="29" t="str">
        <f ca="1">IFERROR(__xludf.dummyfunction("VLOOKUP(L155, IMPORTRANGE(""https://docs.google.com/spreadsheets/d/1yDAaXNsi4Mr5FtRQL4tbmSdIzhx6_m4wkOD7IG-k_eo/edit#gid=0"", ""Maths!M:N""), 2, FALSE)"),"Describe how the center of rotation is fundamental in understanding how objects can be transformed to exhibit symmetry.")</f>
        <v>Describe how the center of rotation is fundamental in understanding how objects can be transformed to exhibit symmetry.</v>
      </c>
      <c r="N155" s="29" t="str">
        <f t="shared" si="26"/>
        <v>LU000793.003</v>
      </c>
      <c r="O155" s="29" t="str">
        <f ca="1">IFERROR(__xludf.dummyfunction("VLOOKUP(N155, IMPORTRANGE(""https://docs.google.com/spreadsheets/d/1yDAaXNsi4Mr5FtRQL4tbmSdIzhx6_m4wkOD7IG-k_eo/edit#gid=0"", ""Maths!M:N""), 2, FALSE)"),"Determine the center of rotation in figures/objects.")</f>
        <v>Determine the center of rotation in figures/objects.</v>
      </c>
      <c r="P155" s="29" t="str">
        <f t="shared" si="27"/>
        <v>LU000793.004</v>
      </c>
      <c r="Q155" s="29" t="str">
        <f ca="1">IFERROR(__xludf.dummyfunction("VLOOKUP(P155, IMPORTRANGE(""https://docs.google.com/spreadsheets/d/1yDAaXNsi4Mr5FtRQL4tbmSdIzhx6_m4wkOD7IG-k_eo/edit#gid=0"", ""Maths!M:N""), 2, FALSE)"),"Analyse and compare the centres of rotation in different shapes or objects")</f>
        <v>Analyse and compare the centres of rotation in different shapes or objects</v>
      </c>
      <c r="R155" s="29" t="str">
        <f t="shared" si="28"/>
        <v>LU000793.005</v>
      </c>
      <c r="S155" s="29" t="str">
        <f ca="1">IFERROR(__xludf.dummyfunction("VLOOKUP(R155, IMPORTRANGE(""https://docs.google.com/spreadsheets/d/1yDAaXNsi4Mr5FtRQL4tbmSdIzhx6_m4wkOD7IG-k_eo/edit#gid=0"", ""Maths!M:N""), 2, FALSE)"),"Evaluate the impact of the center of rotation on the overall symmetry and aesthetics of real-world objects.")</f>
        <v>Evaluate the impact of the center of rotation on the overall symmetry and aesthetics of real-world objects.</v>
      </c>
      <c r="T155" s="29" t="str">
        <f t="shared" si="29"/>
        <v>LU000793.006</v>
      </c>
      <c r="U155" s="29" t="str">
        <f ca="1">IFERROR(__xludf.dummyfunction("VLOOKUP(T155, IMPORTRANGE(""https://docs.google.com/spreadsheets/d/1yDAaXNsi4Mr5FtRQL4tbmSdIzhx6_m4wkOD7IG-k_eo/edit#gid=0"", ""Maths!M:N""), 2, FALSE)"),"Generate original designs that incorporate the concept of the center of rotation.")</f>
        <v>Generate original designs that incorporate the concept of the center of rotation.</v>
      </c>
      <c r="V155" s="16">
        <f ca="1">IFERROR(__xludf.dummyfunction("ArrayFormula(VLOOKUP(G155, IMPORTRANGE(""https://docs.google.com/spreadsheets/d/1p7R4vtkWt5VOBim4ltsDG9KTzSjrtKXsMtQGXPHyND0/edit#gid=795171502"", ""'Filter 30_05_2024'!A1:M2000""), {2, 3, 4, 5,6,7,8,9,10,11,12,13}, 0))"),4)</f>
        <v>4</v>
      </c>
      <c r="W155" s="16">
        <f ca="1">IFERROR(__xludf.dummyfunction("""COMPUTED_VALUE"""),4)</f>
        <v>4</v>
      </c>
      <c r="X155" s="16">
        <f ca="1">IFERROR(__xludf.dummyfunction("""COMPUTED_VALUE"""),2)</f>
        <v>2</v>
      </c>
      <c r="Y155" s="16">
        <f ca="1">IFERROR(__xludf.dummyfunction("""COMPUTED_VALUE"""),10)</f>
        <v>10</v>
      </c>
      <c r="Z155" s="16">
        <f ca="1">IFERROR(__xludf.dummyfunction("""COMPUTED_VALUE"""),4)</f>
        <v>4</v>
      </c>
      <c r="AA155" s="30">
        <f ca="1">IFERROR(__xludf.dummyfunction("""COMPUTED_VALUE"""),5)</f>
        <v>5</v>
      </c>
      <c r="AB155" s="30">
        <f ca="1">IFERROR(__xludf.dummyfunction("""COMPUTED_VALUE"""),1)</f>
        <v>1</v>
      </c>
      <c r="AC155" s="30">
        <f ca="1">IFERROR(__xludf.dummyfunction("""COMPUTED_VALUE"""),10)</f>
        <v>10</v>
      </c>
      <c r="AD155" s="16"/>
      <c r="AE155" s="30"/>
      <c r="AF155" s="30"/>
      <c r="AG155" s="30"/>
    </row>
    <row r="156" spans="1:33" ht="13.8">
      <c r="A156" s="25"/>
      <c r="B156" s="25" t="s">
        <v>29</v>
      </c>
      <c r="C156" s="25" t="s">
        <v>310</v>
      </c>
      <c r="D156" s="25">
        <v>7</v>
      </c>
      <c r="E156" s="87" t="s">
        <v>687</v>
      </c>
      <c r="F156" s="87"/>
      <c r="G156" s="47" t="s">
        <v>996</v>
      </c>
      <c r="H156" s="72" t="str">
        <f ca="1">IFERROR(__xludf.dummyfunction("IFERROR(
  VLOOKUP(G156, IMPORTRANGE(""https://docs.google.com/spreadsheets/d/14deopnvwcrKtEGCKuYXdUHJbeLDZlkiSSWWT0g7x2pM/edit#gid=849066331"", ""LU List Maths (Filter)!A:B""), 2, FALSE),
  IFERROR(
    VLOOKUP(G156, IMPORTRANGE(""https://docs.google.com"&amp;"/spreadsheets/d/14deopnvwcrKtEGCKuYXdUHJbeLDZlkiSSWWT0g7x2pM/edit#gid=849066331"", ""LU List Science (Filter)!A:B""), 2, FALSE),
    ""Not Found""
  )
)
"),"Definition of angle of rotation")</f>
        <v>Definition of angle of rotation</v>
      </c>
      <c r="I156" s="64"/>
      <c r="J156" s="29" t="str">
        <f t="shared" si="24"/>
        <v>LU000794.001</v>
      </c>
      <c r="K156" s="29" t="str">
        <f ca="1">IFERROR(__xludf.dummyfunction("VLOOKUP(J156, IMPORTRANGE(""https://docs.google.com/spreadsheets/d/1yDAaXNsi4Mr5FtRQL4tbmSdIzhx6_m4wkOD7IG-k_eo/edit#gid=0"", ""Maths!M:N""), 2, FALSE)"),"State that the angle of rotation is the amount by which an object is turned around a central point to achieve symmetry.")</f>
        <v>State that the angle of rotation is the amount by which an object is turned around a central point to achieve symmetry.</v>
      </c>
      <c r="L156" s="29" t="str">
        <f t="shared" si="25"/>
        <v>LU000794.002</v>
      </c>
      <c r="M156" s="29" t="str">
        <f ca="1">IFERROR(__xludf.dummyfunction("VLOOKUP(L156, IMPORTRANGE(""https://docs.google.com/spreadsheets/d/1yDAaXNsi4Mr5FtRQL4tbmSdIzhx6_m4wkOD7IG-k_eo/edit#gid=0"", ""Maths!M:N""), 2, FALSE)"),"Explain why the angle of rotation is a fundamental concept in understanding symmetry.")</f>
        <v>Explain why the angle of rotation is a fundamental concept in understanding symmetry.</v>
      </c>
      <c r="N156" s="29" t="str">
        <f t="shared" si="26"/>
        <v>LU000794.003</v>
      </c>
      <c r="O156" s="29" t="str">
        <f ca="1">IFERROR(__xludf.dummyfunction("VLOOKUP(N156, IMPORTRANGE(""https://docs.google.com/spreadsheets/d/1yDAaXNsi4Mr5FtRQL4tbmSdIzhx6_m4wkOD7IG-k_eo/edit#gid=0"", ""Maths!M:N""), 2, FALSE)"),"Apply the concept of the angle of rotation to determine it in various symmetrical objects.")</f>
        <v>Apply the concept of the angle of rotation to determine it in various symmetrical objects.</v>
      </c>
      <c r="P156" s="29" t="str">
        <f t="shared" si="27"/>
        <v>LU000794.004</v>
      </c>
      <c r="Q156" s="29" t="str">
        <f ca="1">IFERROR(__xludf.dummyfunction("VLOOKUP(P156, IMPORTRANGE(""https://docs.google.com/spreadsheets/d/1yDAaXNsi4Mr5FtRQL4tbmSdIzhx6_m4wkOD7IG-k_eo/edit#gid=0"", ""Maths!M:N""), 2, FALSE)"),"Analyse complex designs to determine the specific angle of rotation employed.")</f>
        <v>Analyse complex designs to determine the specific angle of rotation employed.</v>
      </c>
      <c r="R156" s="29" t="str">
        <f t="shared" si="28"/>
        <v>LU000794.005</v>
      </c>
      <c r="S156" s="29" t="str">
        <f ca="1">IFERROR(__xludf.dummyfunction("VLOOKUP(R156, IMPORTRANGE(""https://docs.google.com/spreadsheets/d/1yDAaXNsi4Mr5FtRQL4tbmSdIzhx6_m4wkOD7IG-k_eo/edit#gid=0"", ""Maths!M:N""), 2, FALSE)"),"Evaluate the impact of the angle of rotation on the overall symmetry and aesthetics of real-world objects.")</f>
        <v>Evaluate the impact of the angle of rotation on the overall symmetry and aesthetics of real-world objects.</v>
      </c>
      <c r="T156" s="29" t="str">
        <f t="shared" si="29"/>
        <v>LU000794.006</v>
      </c>
      <c r="U156" s="29" t="str">
        <f ca="1">IFERROR(__xludf.dummyfunction("VLOOKUP(T156, IMPORTRANGE(""https://docs.google.com/spreadsheets/d/1yDAaXNsi4Mr5FtRQL4tbmSdIzhx6_m4wkOD7IG-k_eo/edit#gid=0"", ""Maths!M:N""), 2, FALSE)"),"Generate original artwork or patterns that incorporate the concept of the angle of rotation.")</f>
        <v>Generate original artwork or patterns that incorporate the concept of the angle of rotation.</v>
      </c>
      <c r="V156" s="16">
        <f ca="1">IFERROR(__xludf.dummyfunction("ArrayFormula(VLOOKUP(G156, IMPORTRANGE(""https://docs.google.com/spreadsheets/d/1p7R4vtkWt5VOBim4ltsDG9KTzSjrtKXsMtQGXPHyND0/edit#gid=795171502"", ""'Filter 30_05_2024'!A1:M2000""), {2, 3, 4, 5,6,7,8,9,10,11,12,13}, 0))"),5)</f>
        <v>5</v>
      </c>
      <c r="W156" s="16">
        <f ca="1">IFERROR(__xludf.dummyfunction("""COMPUTED_VALUE"""),6)</f>
        <v>6</v>
      </c>
      <c r="X156" s="16">
        <f ca="1">IFERROR(__xludf.dummyfunction("""COMPUTED_VALUE"""),2)</f>
        <v>2</v>
      </c>
      <c r="Y156" s="16">
        <f ca="1">IFERROR(__xludf.dummyfunction("""COMPUTED_VALUE"""),13)</f>
        <v>13</v>
      </c>
      <c r="Z156" s="16">
        <f ca="1">IFERROR(__xludf.dummyfunction("""COMPUTED_VALUE"""),5)</f>
        <v>5</v>
      </c>
      <c r="AA156" s="30">
        <f ca="1">IFERROR(__xludf.dummyfunction("""COMPUTED_VALUE"""),3)</f>
        <v>3</v>
      </c>
      <c r="AB156" s="30">
        <f ca="1">IFERROR(__xludf.dummyfunction("""COMPUTED_VALUE"""),1)</f>
        <v>1</v>
      </c>
      <c r="AC156" s="30">
        <f ca="1">IFERROR(__xludf.dummyfunction("""COMPUTED_VALUE"""),9)</f>
        <v>9</v>
      </c>
      <c r="AD156" s="16"/>
      <c r="AE156" s="30"/>
      <c r="AF156" s="30"/>
      <c r="AG156" s="30"/>
    </row>
    <row r="157" spans="1:33" ht="13.8">
      <c r="A157" s="25"/>
      <c r="B157" s="25" t="s">
        <v>29</v>
      </c>
      <c r="C157" s="25" t="s">
        <v>310</v>
      </c>
      <c r="D157" s="25">
        <v>7</v>
      </c>
      <c r="E157" s="87" t="s">
        <v>687</v>
      </c>
      <c r="F157" s="87"/>
      <c r="G157" s="47" t="s">
        <v>997</v>
      </c>
      <c r="H157" s="72" t="str">
        <f ca="1">IFERROR(__xludf.dummyfunction("IFERROR(
  VLOOKUP(G157, IMPORTRANGE(""https://docs.google.com/spreadsheets/d/14deopnvwcrKtEGCKuYXdUHJbeLDZlkiSSWWT0g7x2pM/edit#gid=849066331"", ""LU List Maths (Filter)!A:B""), 2, FALSE),
  IFERROR(
    VLOOKUP(G157, IMPORTRANGE(""https://docs.google.com"&amp;"/spreadsheets/d/14deopnvwcrKtEGCKuYXdUHJbeLDZlkiSSWWT0g7x2pM/edit#gid=849066331"", ""LU List Science (Filter)!A:B""), 2, FALSE),
    ""Not Found""
  )
)
"),"Definition of order of rotational symmetry")</f>
        <v>Definition of order of rotational symmetry</v>
      </c>
      <c r="I157" s="64"/>
      <c r="J157" s="29" t="str">
        <f t="shared" si="24"/>
        <v>LU000795.001</v>
      </c>
      <c r="K157" s="29" t="str">
        <f ca="1">IFERROR(__xludf.dummyfunction("VLOOKUP(J157, IMPORTRANGE(""https://docs.google.com/spreadsheets/d/1yDAaXNsi4Mr5FtRQL4tbmSdIzhx6_m4wkOD7IG-k_eo/edit#gid=0"", ""Maths!M:N""), 2, FALSE)"),"State that the order of rotational symmetry is the number of times an object can be rotated around its center point to coincide with its original position.")</f>
        <v>State that the order of rotational symmetry is the number of times an object can be rotated around its center point to coincide with its original position.</v>
      </c>
      <c r="L157" s="29" t="str">
        <f t="shared" si="25"/>
        <v>LU000795.002</v>
      </c>
      <c r="M157" s="29" t="str">
        <f ca="1">IFERROR(__xludf.dummyfunction("VLOOKUP(L157, IMPORTRANGE(""https://docs.google.com/spreadsheets/d/1yDAaXNsi4Mr5FtRQL4tbmSdIzhx6_m4wkOD7IG-k_eo/edit#gid=0"", ""Maths!M:N""), 2, FALSE)"),"Describe how the order of rotational symmetry helps determine the number of identical positions in which an object can be arranged through rotation.")</f>
        <v>Describe how the order of rotational symmetry helps determine the number of identical positions in which an object can be arranged through rotation.</v>
      </c>
      <c r="N157" s="29" t="str">
        <f t="shared" si="26"/>
        <v>LU000795.003</v>
      </c>
      <c r="O157" s="29" t="str">
        <f ca="1">IFERROR(__xludf.dummyfunction("VLOOKUP(N157, IMPORTRANGE(""https://docs.google.com/spreadsheets/d/1yDAaXNsi4Mr5FtRQL4tbmSdIzhx6_m4wkOD7IG-k_eo/edit#gid=0"", ""Maths!M:N""), 2, FALSE)"),"Determine the order of rotational symmetry for shapes.")</f>
        <v>Determine the order of rotational symmetry for shapes.</v>
      </c>
      <c r="P157" s="29" t="str">
        <f t="shared" si="27"/>
        <v>LU000795.004</v>
      </c>
      <c r="Q157" s="29" t="str">
        <f ca="1">IFERROR(__xludf.dummyfunction("VLOOKUP(P157, IMPORTRANGE(""https://docs.google.com/spreadsheets/d/1yDAaXNsi4Mr5FtRQL4tbmSdIzhx6_m4wkOD7IG-k_eo/edit#gid=0"", ""Maths!M:N""), 2, FALSE)"),"Analyse complex designs to calculate the order of rotational symmetry.")</f>
        <v>Analyse complex designs to calculate the order of rotational symmetry.</v>
      </c>
      <c r="R157" s="29" t="str">
        <f t="shared" si="28"/>
        <v>LU000795.005</v>
      </c>
      <c r="S157" s="29" t="str">
        <f ca="1">IFERROR(__xludf.dummyfunction("VLOOKUP(R157, IMPORTRANGE(""https://docs.google.com/spreadsheets/d/1yDAaXNsi4Mr5FtRQL4tbmSdIzhx6_m4wkOD7IG-k_eo/edit#gid=0"", ""Maths!M:N""), 2, FALSE)"),"Evaluate how the order of rotational symmetry impacts the visual aesthetics of real-world objects.")</f>
        <v>Evaluate how the order of rotational symmetry impacts the visual aesthetics of real-world objects.</v>
      </c>
      <c r="T157" s="29" t="str">
        <f t="shared" si="29"/>
        <v>LU000795.006</v>
      </c>
      <c r="U157" s="29" t="str">
        <f ca="1">IFERROR(__xludf.dummyfunction("VLOOKUP(T157, IMPORTRANGE(""https://docs.google.com/spreadsheets/d/1yDAaXNsi4Mr5FtRQL4tbmSdIzhx6_m4wkOD7IG-k_eo/edit#gid=0"", ""Maths!M:N""), 2, FALSE)"),"Generate original artwork or patterns that incorporate a specific order of rotational symmetry.")</f>
        <v>Generate original artwork or patterns that incorporate a specific order of rotational symmetry.</v>
      </c>
      <c r="V157" s="16">
        <f ca="1">IFERROR(__xludf.dummyfunction("ArrayFormula(VLOOKUP(G157, IMPORTRANGE(""https://docs.google.com/spreadsheets/d/1p7R4vtkWt5VOBim4ltsDG9KTzSjrtKXsMtQGXPHyND0/edit#gid=795171502"", ""'Filter 30_05_2024'!A1:M2000""), {2, 3, 4, 5,6,7,8,9,10,11,12,13}, 0))"),6)</f>
        <v>6</v>
      </c>
      <c r="W157" s="16">
        <f ca="1">IFERROR(__xludf.dummyfunction("""COMPUTED_VALUE"""),7)</f>
        <v>7</v>
      </c>
      <c r="X157" s="16">
        <f ca="1">IFERROR(__xludf.dummyfunction("""COMPUTED_VALUE"""),2)</f>
        <v>2</v>
      </c>
      <c r="Y157" s="16">
        <f ca="1">IFERROR(__xludf.dummyfunction("""COMPUTED_VALUE"""),15)</f>
        <v>15</v>
      </c>
      <c r="Z157" s="16">
        <f ca="1">IFERROR(__xludf.dummyfunction("""COMPUTED_VALUE"""),7)</f>
        <v>7</v>
      </c>
      <c r="AA157" s="30">
        <f ca="1">IFERROR(__xludf.dummyfunction("""COMPUTED_VALUE"""),3)</f>
        <v>3</v>
      </c>
      <c r="AB157" s="30">
        <f ca="1">IFERROR(__xludf.dummyfunction("""COMPUTED_VALUE"""),1)</f>
        <v>1</v>
      </c>
      <c r="AC157" s="30">
        <f ca="1">IFERROR(__xludf.dummyfunction("""COMPUTED_VALUE"""),11)</f>
        <v>11</v>
      </c>
      <c r="AD157" s="16"/>
      <c r="AE157" s="30"/>
      <c r="AF157" s="30"/>
      <c r="AG157" s="30"/>
    </row>
    <row r="158" spans="1:33" ht="13.8">
      <c r="A158" s="25"/>
      <c r="B158" s="25" t="s">
        <v>29</v>
      </c>
      <c r="C158" s="25" t="s">
        <v>310</v>
      </c>
      <c r="D158" s="25">
        <v>7</v>
      </c>
      <c r="E158" s="87" t="s">
        <v>687</v>
      </c>
      <c r="F158" s="87"/>
      <c r="G158" s="47" t="s">
        <v>998</v>
      </c>
      <c r="H158" s="72" t="str">
        <f ca="1">IFERROR(__xludf.dummyfunction("IFERROR(
  VLOOKUP(G158, IMPORTRANGE(""https://docs.google.com/spreadsheets/d/14deopnvwcrKtEGCKuYXdUHJbeLDZlkiSSWWT0g7x2pM/edit#gid=849066331"", ""LU List Maths (Filter)!A:B""), 2, FALSE),
  IFERROR(
    VLOOKUP(G158, IMPORTRANGE(""https://docs.google.com"&amp;"/spreadsheets/d/14deopnvwcrKtEGCKuYXdUHJbeLDZlkiSSWWT0g7x2pM/edit#gid=849066331"", ""LU List Science (Filter)!A:B""), 2, FALSE),
    ""Not Found""
  )
)
"),"Direction of rotation")</f>
        <v>Direction of rotation</v>
      </c>
      <c r="I158" s="64"/>
      <c r="J158" s="29" t="str">
        <f t="shared" si="24"/>
        <v>LU000797.001</v>
      </c>
      <c r="K158" s="29" t="str">
        <f ca="1">IFERROR(__xludf.dummyfunction("VLOOKUP(J158, IMPORTRANGE(""https://docs.google.com/spreadsheets/d/1yDAaXNsi4Mr5FtRQL4tbmSdIzhx6_m4wkOD7IG-k_eo/edit#gid=0"", ""Maths!M:N""), 2, FALSE)"),"State that the direction of rotation refers to whether an object is rotated clockwise or counterclockwise.")</f>
        <v>State that the direction of rotation refers to whether an object is rotated clockwise or counterclockwise.</v>
      </c>
      <c r="L158" s="29" t="str">
        <f t="shared" si="25"/>
        <v>LU000797.002</v>
      </c>
      <c r="M158" s="29" t="str">
        <f ca="1">IFERROR(__xludf.dummyfunction("VLOOKUP(L158, IMPORTRANGE(""https://docs.google.com/spreadsheets/d/1yDAaXNsi4Mr5FtRQL4tbmSdIzhx6_m4wkOD7IG-k_eo/edit#gid=0"", ""Maths!M:N""), 2, FALSE)"),"Describe how knowing the direction of rotation helps determine the type of symmetry exhibited by an object.")</f>
        <v>Describe how knowing the direction of rotation helps determine the type of symmetry exhibited by an object.</v>
      </c>
      <c r="N158" s="29" t="str">
        <f t="shared" si="26"/>
        <v>LU000797.003</v>
      </c>
      <c r="O158" s="29" t="str">
        <f ca="1">IFERROR(__xludf.dummyfunction("VLOOKUP(N158, IMPORTRANGE(""https://docs.google.com/spreadsheets/d/1yDAaXNsi4Mr5FtRQL4tbmSdIzhx6_m4wkOD7IG-k_eo/edit#gid=0"", ""Maths!M:N""), 2, FALSE)"),"Determine whether a given shape exhibits clockwise or counterclockwise rotation as part of its symmetry properties.")</f>
        <v>Determine whether a given shape exhibits clockwise or counterclockwise rotation as part of its symmetry properties.</v>
      </c>
      <c r="P158" s="29" t="str">
        <f t="shared" si="27"/>
        <v>LU000797.004</v>
      </c>
      <c r="Q158" s="29" t="str">
        <f ca="1">IFERROR(__xludf.dummyfunction("VLOOKUP(P158, IMPORTRANGE(""https://docs.google.com/spreadsheets/d/1yDAaXNsi4Mr5FtRQL4tbmSdIzhx6_m4wkOD7IG-k_eo/edit#gid=0"", ""Maths!M:N""), 2, FALSE)"),"Analyse complex designs to determine how the direction of rotation contributes to the overall symmetry.")</f>
        <v>Analyse complex designs to determine how the direction of rotation contributes to the overall symmetry.</v>
      </c>
      <c r="R158" s="29" t="str">
        <f t="shared" si="28"/>
        <v>LU000797.005</v>
      </c>
      <c r="S158" s="29" t="str">
        <f ca="1">IFERROR(__xludf.dummyfunction("VLOOKUP(R158, IMPORTRANGE(""https://docs.google.com/spreadsheets/d/1yDAaXNsi4Mr5FtRQL4tbmSdIzhx6_m4wkOD7IG-k_eo/edit#gid=0"", ""Maths!M:N""), 2, FALSE)"),"Evaluate the impact of the direction of rotation on the visual aesthetics of real-world objects.")</f>
        <v>Evaluate the impact of the direction of rotation on the visual aesthetics of real-world objects.</v>
      </c>
      <c r="T158" s="29" t="str">
        <f t="shared" si="29"/>
        <v>LU000797.006</v>
      </c>
      <c r="U158" s="29" t="str">
        <f ca="1">IFERROR(__xludf.dummyfunction("VLOOKUP(T158, IMPORTRANGE(""https://docs.google.com/spreadsheets/d/1yDAaXNsi4Mr5FtRQL4tbmSdIzhx6_m4wkOD7IG-k_eo/edit#gid=0"", ""Maths!M:N""), 2, FALSE)"),"Collaborate with peers to develop a multimedia presentation exploring the cultural significance of direction of rotation in various art forms worldwide.")</f>
        <v>Collaborate with peers to develop a multimedia presentation exploring the cultural significance of direction of rotation in various art forms worldwide.</v>
      </c>
      <c r="V158" s="16">
        <f ca="1">IFERROR(__xludf.dummyfunction("ArrayFormula(VLOOKUP(G158, IMPORTRANGE(""https://docs.google.com/spreadsheets/d/1p7R4vtkWt5VOBim4ltsDG9KTzSjrtKXsMtQGXPHyND0/edit#gid=795171502"", ""'Filter 30_05_2024'!A1:M2000""), {2, 3, 4, 5,6,7,8,9,10,11,12,13}, 0))"),4)</f>
        <v>4</v>
      </c>
      <c r="W158" s="16">
        <f ca="1">IFERROR(__xludf.dummyfunction("""COMPUTED_VALUE"""),6)</f>
        <v>6</v>
      </c>
      <c r="X158" s="16">
        <f ca="1">IFERROR(__xludf.dummyfunction("""COMPUTED_VALUE"""),2)</f>
        <v>2</v>
      </c>
      <c r="Y158" s="16">
        <f ca="1">IFERROR(__xludf.dummyfunction("""COMPUTED_VALUE"""),12)</f>
        <v>12</v>
      </c>
      <c r="Z158" s="16">
        <f ca="1">IFERROR(__xludf.dummyfunction("""COMPUTED_VALUE"""),4)</f>
        <v>4</v>
      </c>
      <c r="AA158" s="30">
        <f ca="1">IFERROR(__xludf.dummyfunction("""COMPUTED_VALUE"""),3)</f>
        <v>3</v>
      </c>
      <c r="AB158" s="30">
        <f ca="1">IFERROR(__xludf.dummyfunction("""COMPUTED_VALUE"""),1)</f>
        <v>1</v>
      </c>
      <c r="AC158" s="30">
        <f ca="1">IFERROR(__xludf.dummyfunction("""COMPUTED_VALUE"""),8)</f>
        <v>8</v>
      </c>
      <c r="AD158" s="16"/>
      <c r="AE158" s="30"/>
      <c r="AF158" s="30"/>
      <c r="AG158" s="30"/>
    </row>
    <row r="159" spans="1:33" ht="13.8">
      <c r="A159" s="25"/>
      <c r="B159" s="25" t="s">
        <v>29</v>
      </c>
      <c r="C159" s="25" t="s">
        <v>310</v>
      </c>
      <c r="D159" s="25">
        <v>7</v>
      </c>
      <c r="E159" s="87" t="s">
        <v>687</v>
      </c>
      <c r="F159" s="87" t="s">
        <v>999</v>
      </c>
      <c r="G159" s="47" t="s">
        <v>1000</v>
      </c>
      <c r="H159" s="72" t="str">
        <f ca="1">IFERROR(__xludf.dummyfunction("IFERROR(
  VLOOKUP(G159, IMPORTRANGE(""https://docs.google.com/spreadsheets/d/14deopnvwcrKtEGCKuYXdUHJbeLDZlkiSSWWT0g7x2pM/edit#gid=849066331"", ""LU List Maths (Filter)!A:B""), 2, FALSE),
  IFERROR(
    VLOOKUP(G159, IMPORTRANGE(""https://docs.google.com"&amp;"/spreadsheets/d/14deopnvwcrKtEGCKuYXdUHJbeLDZlkiSSWWT0g7x2pM/edit#gid=849066331"", ""LU List Science (Filter)!A:B""), 2, FALSE),
    ""Not Found""
  )
)
"),"Figures with line and rotational symmetry")</f>
        <v>Figures with line and rotational symmetry</v>
      </c>
      <c r="I159" s="64"/>
      <c r="J159" s="29" t="str">
        <f t="shared" si="24"/>
        <v>LU000799.001</v>
      </c>
      <c r="K159" s="29" t="str">
        <f ca="1">IFERROR(__xludf.dummyfunction("VLOOKUP(J159, IMPORTRANGE(""https://docs.google.com/spreadsheets/d/1yDAaXNsi4Mr5FtRQL4tbmSdIzhx6_m4wkOD7IG-k_eo/edit#gid=0"", ""Maths!M:N""), 2, FALSE)"),"State the definitions of line and rotational symmetry.")</f>
        <v>State the definitions of line and rotational symmetry.</v>
      </c>
      <c r="L159" s="29" t="str">
        <f t="shared" si="25"/>
        <v>LU000799.002</v>
      </c>
      <c r="M159" s="29" t="str">
        <f ca="1">IFERROR(__xludf.dummyfunction("VLOOKUP(L159, IMPORTRANGE(""https://docs.google.com/spreadsheets/d/1yDAaXNsi4Mr5FtRQL4tbmSdIzhx6_m4wkOD7IG-k_eo/edit#gid=0"", ""Maths!M:N""), 2, FALSE)"),"Explain the differences and similarities between line and rotational symmetry.")</f>
        <v>Explain the differences and similarities between line and rotational symmetry.</v>
      </c>
      <c r="N159" s="29" t="str">
        <f t="shared" si="26"/>
        <v>LU000799.003</v>
      </c>
      <c r="O159" s="29" t="str">
        <f ca="1">IFERROR(__xludf.dummyfunction("VLOOKUP(N159, IMPORTRANGE(""https://docs.google.com/spreadsheets/d/1yDAaXNsi4Mr5FtRQL4tbmSdIzhx6_m4wkOD7IG-k_eo/edit#gid=0"", ""Maths!M:N""), 2, FALSE)"),"Determine if a given figure exhibits both line and rotational symmetry.")</f>
        <v>Determine if a given figure exhibits both line and rotational symmetry.</v>
      </c>
      <c r="P159" s="29" t="str">
        <f t="shared" si="27"/>
        <v>LU000799.004</v>
      </c>
      <c r="Q159" s="29" t="str">
        <f ca="1">IFERROR(__xludf.dummyfunction("VLOOKUP(P159, IMPORTRANGE(""https://docs.google.com/spreadsheets/d/1yDAaXNsi4Mr5FtRQL4tbmSdIzhx6_m4wkOD7IG-k_eo/edit#gid=0"", ""Maths!M:N""), 2, FALSE)"),"Analyse complex designs to identify lines of symmetry and rotational positions.")</f>
        <v>Analyse complex designs to identify lines of symmetry and rotational positions.</v>
      </c>
      <c r="R159" s="29" t="str">
        <f t="shared" si="28"/>
        <v>LU000799.005</v>
      </c>
      <c r="S159" s="29" t="str">
        <f ca="1">IFERROR(__xludf.dummyfunction("VLOOKUP(R159, IMPORTRANGE(""https://docs.google.com/spreadsheets/d/1yDAaXNsi4Mr5FtRQL4tbmSdIzhx6_m4wkOD7IG-k_eo/edit#gid=0"", ""Maths!M:N""), 2, FALSE)"),"Evaluate how the presence of both line and rotational symmetry impacts the visual aesthetics of real-world figures.")</f>
        <v>Evaluate how the presence of both line and rotational symmetry impacts the visual aesthetics of real-world figures.</v>
      </c>
      <c r="T159" s="29" t="str">
        <f t="shared" si="29"/>
        <v>LU000799.006</v>
      </c>
      <c r="U159" s="29" t="str">
        <f ca="1">IFERROR(__xludf.dummyfunction("VLOOKUP(T159, IMPORTRANGE(""https://docs.google.com/spreadsheets/d/1yDAaXNsi4Mr5FtRQL4tbmSdIzhx6_m4wkOD7IG-k_eo/edit#gid=0"", ""Maths!M:N""), 2, FALSE)"),"Generate original artwork or designs that incorporate both line and rotational symmetry.")</f>
        <v>Generate original artwork or designs that incorporate both line and rotational symmetry.</v>
      </c>
      <c r="V159" s="16">
        <f ca="1">IFERROR(__xludf.dummyfunction("ArrayFormula(VLOOKUP(G159, IMPORTRANGE(""https://docs.google.com/spreadsheets/d/1p7R4vtkWt5VOBim4ltsDG9KTzSjrtKXsMtQGXPHyND0/edit#gid=795171502"", ""'Filter 30_05_2024'!A1:M2000""), {2, 3, 4, 5,6,7,8,9,10,11,12,13}, 0))"),4)</f>
        <v>4</v>
      </c>
      <c r="W159" s="16">
        <f ca="1">IFERROR(__xludf.dummyfunction("""COMPUTED_VALUE"""),13)</f>
        <v>13</v>
      </c>
      <c r="X159" s="16">
        <f ca="1">IFERROR(__xludf.dummyfunction("""COMPUTED_VALUE"""),16)</f>
        <v>16</v>
      </c>
      <c r="Y159" s="16">
        <f ca="1">IFERROR(__xludf.dummyfunction("""COMPUTED_VALUE"""),33)</f>
        <v>33</v>
      </c>
      <c r="Z159" s="16">
        <f ca="1">IFERROR(__xludf.dummyfunction("""COMPUTED_VALUE"""),4)</f>
        <v>4</v>
      </c>
      <c r="AA159" s="30">
        <f ca="1">IFERROR(__xludf.dummyfunction("""COMPUTED_VALUE"""),5)</f>
        <v>5</v>
      </c>
      <c r="AB159" s="30">
        <f ca="1">IFERROR(__xludf.dummyfunction("""COMPUTED_VALUE"""),2)</f>
        <v>2</v>
      </c>
      <c r="AC159" s="30">
        <f ca="1">IFERROR(__xludf.dummyfunction("""COMPUTED_VALUE"""),11)</f>
        <v>11</v>
      </c>
      <c r="AD159" s="16"/>
      <c r="AE159" s="30"/>
      <c r="AF159" s="30"/>
      <c r="AG159" s="30"/>
    </row>
    <row r="160" spans="1:33" ht="13.8">
      <c r="A160" s="25"/>
      <c r="B160" s="25" t="s">
        <v>29</v>
      </c>
      <c r="C160" s="25" t="s">
        <v>310</v>
      </c>
      <c r="D160" s="25">
        <v>7</v>
      </c>
      <c r="E160" s="64" t="s">
        <v>1001</v>
      </c>
      <c r="F160" s="89" t="s">
        <v>1002</v>
      </c>
      <c r="G160" s="86" t="s">
        <v>1003</v>
      </c>
      <c r="H160" s="72" t="str">
        <f ca="1">IFERROR(__xludf.dummyfunction("IFERROR(
  VLOOKUP(G160, IMPORTRANGE(""https://docs.google.com/spreadsheets/d/14deopnvwcrKtEGCKuYXdUHJbeLDZlkiSSWWT0g7x2pM/edit#gid=849066331"", ""LU List Maths (Filter)!A:B""), 2, FALSE),
  IFERROR(
    VLOOKUP(G160, IMPORTRANGE(""https://docs.google.com"&amp;"/spreadsheets/d/14deopnvwcrKtEGCKuYXdUHJbeLDZlkiSSWWT0g7x2pM/edit#gid=849066331"", ""LU List Science (Filter)!A:B""), 2, FALSE),
    ""Not Found""
  )
)
"),"Map of a space")</f>
        <v>Map of a space</v>
      </c>
      <c r="I160" s="64"/>
      <c r="J160" s="29" t="str">
        <f t="shared" si="24"/>
        <v>LU000867.001</v>
      </c>
      <c r="K160" s="29" t="str">
        <f ca="1">IFERROR(__xludf.dummyfunction("VLOOKUP(J160, IMPORTRANGE(""https://docs.google.com/spreadsheets/d/1yDAaXNsi4Mr5FtRQL4tbmSdIzhx6_m4wkOD7IG-k_eo/edit#gid=0"", ""Maths!M:N""), 2, FALSE)"),"State the definition of a map and identify its key components")</f>
        <v>State the definition of a map and identify its key components</v>
      </c>
      <c r="L160" s="29" t="str">
        <f t="shared" si="25"/>
        <v>LU000867.002</v>
      </c>
      <c r="M160" s="29" t="str">
        <f ca="1">IFERROR(__xludf.dummyfunction("VLOOKUP(L160, IMPORTRANGE(""https://docs.google.com/spreadsheets/d/1yDAaXNsi4Mr5FtRQL4tbmSdIzhx6_m4wkOD7IG-k_eo/edit#gid=0"", ""Maths!M:N""), 2, FALSE)"),"Explain the purpose of a map in representing a physical space")</f>
        <v>Explain the purpose of a map in representing a physical space</v>
      </c>
      <c r="N160" s="29" t="str">
        <f t="shared" si="26"/>
        <v>LU000867.003</v>
      </c>
      <c r="O160" s="29" t="str">
        <f ca="1">IFERROR(__xludf.dummyfunction("VLOOKUP(N160, IMPORTRANGE(""https://docs.google.com/spreadsheets/d/1yDAaXNsi4Mr5FtRQL4tbmSdIzhx6_m4wkOD7IG-k_eo/edit#gid=0"", ""Maths!M:N""), 2, FALSE)"),"Use a map to locate specific points or areas within a given space and navigate from one point to another.")</f>
        <v>Use a map to locate specific points or areas within a given space and navigate from one point to another.</v>
      </c>
      <c r="P160" s="29" t="str">
        <f t="shared" si="27"/>
        <v>LU000867.004</v>
      </c>
      <c r="Q160" s="29" t="str">
        <f ca="1">IFERROR(__xludf.dummyfunction("VLOOKUP(P160, IMPORTRANGE(""https://docs.google.com/spreadsheets/d/1yDAaXNsi4Mr5FtRQL4tbmSdIzhx6_m4wkOD7IG-k_eo/edit#gid=0"", ""Maths!M:N""), 2, FALSE)"),"Analyze different types of maps (e.g., topographic maps, road maps) and describe how they represent spatial information differently.")</f>
        <v>Analyze different types of maps (e.g., topographic maps, road maps) and describe how they represent spatial information differently.</v>
      </c>
      <c r="R160" s="29" t="str">
        <f t="shared" si="28"/>
        <v>LU000867.005</v>
      </c>
      <c r="S160" s="29" t="str">
        <f ca="1">IFERROR(__xludf.dummyfunction("VLOOKUP(R160, IMPORTRANGE(""https://docs.google.com/spreadsheets/d/1yDAaXNsi4Mr5FtRQL4tbmSdIzhx6_m4wkOD7IG-k_eo/edit#gid=0"", ""Maths!M:N""), 2, FALSE)"),"Evaluate the effectiveness of a map in conveying information about a space")</f>
        <v>Evaluate the effectiveness of a map in conveying information about a space</v>
      </c>
      <c r="T160" s="29" t="str">
        <f t="shared" si="29"/>
        <v>LU000867.006</v>
      </c>
      <c r="U160" s="29" t="str">
        <f ca="1">IFERROR(__xludf.dummyfunction("VLOOKUP(T160, IMPORTRANGE(""https://docs.google.com/spreadsheets/d/1yDAaXNsi4Mr5FtRQL4tbmSdIzhx6_m4wkOD7IG-k_eo/edit#gid=0"", ""Maths!M:N""), 2, FALSE)"),"Create a simple map of a familiar space including key features and landmarks, to demonstrate the ability to represent a space visually.")</f>
        <v>Create a simple map of a familiar space including key features and landmarks, to demonstrate the ability to represent a space visually.</v>
      </c>
      <c r="V160" s="16" t="str">
        <f ca="1">IFERROR(__xludf.dummyfunction("ArrayFormula(VLOOKUP(G160, IMPORTRANGE(""https://docs.google.com/spreadsheets/d/1p7R4vtkWt5VOBim4ltsDG9KTzSjrtKXsMtQGXPHyND0/edit#gid=795171502"", ""'Filter 30_05_2024'!A1:M2000""), {2, 3, 4, 5,6,7,8,9,10,11,12,13}, 0))"),"#N/A")</f>
        <v>#N/A</v>
      </c>
      <c r="W160" s="16" t="str">
        <f ca="1">IFERROR(__xludf.dummyfunction("""COMPUTED_VALUE"""),"#N/A")</f>
        <v>#N/A</v>
      </c>
      <c r="X160" s="16" t="str">
        <f ca="1">IFERROR(__xludf.dummyfunction("""COMPUTED_VALUE"""),"#N/A")</f>
        <v>#N/A</v>
      </c>
      <c r="Y160" s="16" t="str">
        <f ca="1">IFERROR(__xludf.dummyfunction("""COMPUTED_VALUE"""),"#N/A")</f>
        <v>#N/A</v>
      </c>
      <c r="Z160" s="16" t="str">
        <f ca="1">IFERROR(__xludf.dummyfunction("""COMPUTED_VALUE"""),"#N/A")</f>
        <v>#N/A</v>
      </c>
      <c r="AA160" s="30" t="str">
        <f ca="1">IFERROR(__xludf.dummyfunction("""COMPUTED_VALUE"""),"#N/A")</f>
        <v>#N/A</v>
      </c>
      <c r="AB160" s="30" t="str">
        <f ca="1">IFERROR(__xludf.dummyfunction("""COMPUTED_VALUE"""),"#N/A")</f>
        <v>#N/A</v>
      </c>
      <c r="AC160" s="30" t="str">
        <f ca="1">IFERROR(__xludf.dummyfunction("""COMPUTED_VALUE"""),"#N/A")</f>
        <v>#N/A</v>
      </c>
      <c r="AD160" s="16" t="str">
        <f ca="1">IFERROR(__xludf.dummyfunction("""COMPUTED_VALUE"""),"#N/A")</f>
        <v>#N/A</v>
      </c>
      <c r="AE160" s="30" t="str">
        <f ca="1">IFERROR(__xludf.dummyfunction("""COMPUTED_VALUE"""),"#N/A")</f>
        <v>#N/A</v>
      </c>
      <c r="AF160" s="30" t="str">
        <f ca="1">IFERROR(__xludf.dummyfunction("""COMPUTED_VALUE"""),"#N/A")</f>
        <v>#N/A</v>
      </c>
      <c r="AG160" s="30" t="str">
        <f ca="1">IFERROR(__xludf.dummyfunction("""COMPUTED_VALUE"""),"#N/A")</f>
        <v>#N/A</v>
      </c>
    </row>
    <row r="161" spans="1:33" ht="13.8">
      <c r="A161" s="25"/>
      <c r="B161" s="25" t="s">
        <v>29</v>
      </c>
      <c r="C161" s="25" t="s">
        <v>310</v>
      </c>
      <c r="D161" s="25">
        <v>7</v>
      </c>
      <c r="E161" s="64" t="s">
        <v>1001</v>
      </c>
      <c r="F161" s="70"/>
      <c r="G161" s="86" t="s">
        <v>1004</v>
      </c>
      <c r="H161" s="72" t="str">
        <f ca="1">IFERROR(__xludf.dummyfunction("IFERROR(
  VLOOKUP(G161, IMPORTRANGE(""https://docs.google.com/spreadsheets/d/14deopnvwcrKtEGCKuYXdUHJbeLDZlkiSSWWT0g7x2pM/edit#gid=849066331"", ""LU List Maths (Filter)!A:B""), 2, FALSE),
  IFERROR(
    VLOOKUP(G161, IMPORTRANGE(""https://docs.google.com"&amp;"/spreadsheets/d/14deopnvwcrKtEGCKuYXdUHJbeLDZlkiSSWWT0g7x2pM/edit#gid=849066331"", ""LU List Science (Filter)!A:B""), 2, FALSE),
    ""Not Found""
  )
)
"),"Scale of a map")</f>
        <v>Scale of a map</v>
      </c>
      <c r="I161" s="64"/>
      <c r="J161" s="29" t="str">
        <f t="shared" si="24"/>
        <v>LU000868.001</v>
      </c>
      <c r="K161" s="29" t="str">
        <f ca="1">IFERROR(__xludf.dummyfunction("VLOOKUP(J161, IMPORTRANGE(""https://docs.google.com/spreadsheets/d/1yDAaXNsi4Mr5FtRQL4tbmSdIzhx6_m4wkOD7IG-k_eo/edit#gid=0"", ""Maths!M:N""), 2, FALSE)"),"State the definition of a map scale and its purpose in representing distances on a map.")</f>
        <v>State the definition of a map scale and its purpose in representing distances on a map.</v>
      </c>
      <c r="L161" s="29" t="str">
        <f t="shared" si="25"/>
        <v>LU000868.002</v>
      </c>
      <c r="M161" s="29" t="str">
        <f ca="1">IFERROR(__xludf.dummyfunction("VLOOKUP(L161, IMPORTRANGE(""https://docs.google.com/spreadsheets/d/1yDAaXNsi4Mr5FtRQL4tbmSdIzhx6_m4wkOD7IG-k_eo/edit#gid=0"", ""Maths!M:N""), 2, FALSE)"),"Explain how the scale of a map works, including the relationship between map distances and actual distances on the ground.")</f>
        <v>Explain how the scale of a map works, including the relationship between map distances and actual distances on the ground.</v>
      </c>
      <c r="N161" s="29" t="str">
        <f t="shared" si="26"/>
        <v>LU000868.003</v>
      </c>
      <c r="O161" s="29" t="str">
        <f ca="1">IFERROR(__xludf.dummyfunction("VLOOKUP(N161, IMPORTRANGE(""https://docs.google.com/spreadsheets/d/1yDAaXNsi4Mr5FtRQL4tbmSdIzhx6_m4wkOD7IG-k_eo/edit#gid=0"", ""Maths!M:N""), 2, FALSE)"),"Use a given map scale to measure distances on a map and convert them to real-world distances accurately.")</f>
        <v>Use a given map scale to measure distances on a map and convert them to real-world distances accurately.</v>
      </c>
      <c r="P161" s="29" t="str">
        <f t="shared" si="27"/>
        <v>LU000868.004</v>
      </c>
      <c r="Q161" s="29" t="str">
        <f ca="1">IFERROR(__xludf.dummyfunction("VLOOKUP(P161, IMPORTRANGE(""https://docs.google.com/spreadsheets/d/1yDAaXNsi4Mr5FtRQL4tbmSdIzhx6_m4wkOD7IG-k_eo/edit#gid=0"", ""Maths!M:N""), 2, FALSE)"),"Analyze the impact of different map scales on the level of detail and accuracy in map representation")</f>
        <v>Analyze the impact of different map scales on the level of detail and accuracy in map representation</v>
      </c>
      <c r="R161" s="29" t="str">
        <f t="shared" si="28"/>
        <v>LU000868.005</v>
      </c>
      <c r="S161" s="29" t="str">
        <f ca="1">IFERROR(__xludf.dummyfunction("VLOOKUP(R161, IMPORTRANGE(""https://docs.google.com/spreadsheets/d/1yDAaXNsi4Mr5FtRQL4tbmSdIzhx6_m4wkOD7IG-k_eo/edit#gid=0"", ""Maths!M:N""), 2, FALSE)"),"Evaluate the appropriateness of a specific map scale for a given mapping task")</f>
        <v>Evaluate the appropriateness of a specific map scale for a given mapping task</v>
      </c>
      <c r="T161" s="29" t="str">
        <f t="shared" si="29"/>
        <v>LU000868.006</v>
      </c>
      <c r="U161" s="29" t="str">
        <f ca="1">IFERROR(__xludf.dummyfunction("VLOOKUP(T161, IMPORTRANGE(""https://docs.google.com/spreadsheets/d/1yDAaXNsi4Mr5FtRQL4tbmSdIzhx6_m4wkOD7IG-k_eo/edit#gid=0"", ""Maths!M:N""), 2, FALSE)"),"Create a simple map with a chosen scale, demonstrating the ability to represent distances accurately")</f>
        <v>Create a simple map with a chosen scale, demonstrating the ability to represent distances accurately</v>
      </c>
      <c r="V161" s="16" t="str">
        <f ca="1">IFERROR(__xludf.dummyfunction("ArrayFormula(VLOOKUP(G161, IMPORTRANGE(""https://docs.google.com/spreadsheets/d/1p7R4vtkWt5VOBim4ltsDG9KTzSjrtKXsMtQGXPHyND0/edit#gid=795171502"", ""'Filter 30_05_2024'!A1:M2000""), {2, 3, 4, 5,6,7,8,9,10,11,12,13}, 0))"),"#N/A")</f>
        <v>#N/A</v>
      </c>
      <c r="W161" s="16" t="str">
        <f ca="1">IFERROR(__xludf.dummyfunction("""COMPUTED_VALUE"""),"#N/A")</f>
        <v>#N/A</v>
      </c>
      <c r="X161" s="16" t="str">
        <f ca="1">IFERROR(__xludf.dummyfunction("""COMPUTED_VALUE"""),"#N/A")</f>
        <v>#N/A</v>
      </c>
      <c r="Y161" s="16" t="str">
        <f ca="1">IFERROR(__xludf.dummyfunction("""COMPUTED_VALUE"""),"#N/A")</f>
        <v>#N/A</v>
      </c>
      <c r="Z161" s="16" t="str">
        <f ca="1">IFERROR(__xludf.dummyfunction("""COMPUTED_VALUE"""),"#N/A")</f>
        <v>#N/A</v>
      </c>
      <c r="AA161" s="30" t="str">
        <f ca="1">IFERROR(__xludf.dummyfunction("""COMPUTED_VALUE"""),"#N/A")</f>
        <v>#N/A</v>
      </c>
      <c r="AB161" s="30" t="str">
        <f ca="1">IFERROR(__xludf.dummyfunction("""COMPUTED_VALUE"""),"#N/A")</f>
        <v>#N/A</v>
      </c>
      <c r="AC161" s="30" t="str">
        <f ca="1">IFERROR(__xludf.dummyfunction("""COMPUTED_VALUE"""),"#N/A")</f>
        <v>#N/A</v>
      </c>
      <c r="AD161" s="16" t="str">
        <f ca="1">IFERROR(__xludf.dummyfunction("""COMPUTED_VALUE"""),"#N/A")</f>
        <v>#N/A</v>
      </c>
      <c r="AE161" s="30" t="str">
        <f ca="1">IFERROR(__xludf.dummyfunction("""COMPUTED_VALUE"""),"#N/A")</f>
        <v>#N/A</v>
      </c>
      <c r="AF161" s="30" t="str">
        <f ca="1">IFERROR(__xludf.dummyfunction("""COMPUTED_VALUE"""),"#N/A")</f>
        <v>#N/A</v>
      </c>
      <c r="AG161" s="30" t="str">
        <f ca="1">IFERROR(__xludf.dummyfunction("""COMPUTED_VALUE"""),"#N/A")</f>
        <v>#N/A</v>
      </c>
    </row>
    <row r="162" spans="1:33" ht="13.8">
      <c r="A162" s="25"/>
      <c r="B162" s="25" t="s">
        <v>29</v>
      </c>
      <c r="C162" s="25" t="s">
        <v>310</v>
      </c>
      <c r="D162" s="25">
        <v>7</v>
      </c>
      <c r="E162" s="64" t="s">
        <v>1001</v>
      </c>
      <c r="F162" s="70"/>
      <c r="G162" s="86" t="s">
        <v>1005</v>
      </c>
      <c r="H162" s="72" t="str">
        <f ca="1">IFERROR(__xludf.dummyfunction("IFERROR(
  VLOOKUP(G162, IMPORTRANGE(""https://docs.google.com/spreadsheets/d/14deopnvwcrKtEGCKuYXdUHJbeLDZlkiSSWWT0g7x2pM/edit#gid=849066331"", ""LU List Maths (Filter)!A:B""), 2, FALSE),
  IFERROR(
    VLOOKUP(G162, IMPORTRANGE(""https://docs.google.com"&amp;"/spreadsheets/d/14deopnvwcrKtEGCKuYXdUHJbeLDZlkiSSWWT0g7x2pM/edit#gid=849066331"", ""LU List Science (Filter)!A:B""), 2, FALSE),
    ""Not Found""
  )
)
"),"Legends used on a map")</f>
        <v>Legends used on a map</v>
      </c>
      <c r="I162" s="64"/>
      <c r="J162" s="29" t="str">
        <f t="shared" ref="J162:J189" si="30">G162 &amp; ".001"</f>
        <v>LU000869.001</v>
      </c>
      <c r="K162" s="29" t="str">
        <f ca="1">IFERROR(__xludf.dummyfunction("VLOOKUP(J162, IMPORTRANGE(""https://docs.google.com/spreadsheets/d/1yDAaXNsi4Mr5FtRQL4tbmSdIzhx6_m4wkOD7IG-k_eo/edit#gid=0"", ""Maths!M:N""), 2, FALSE)"),"List common map symbols and their meanings as found in a legend.")</f>
        <v>List common map symbols and their meanings as found in a legend.</v>
      </c>
      <c r="L162" s="29" t="str">
        <f t="shared" ref="L162:L189" si="31">G162 &amp; ".002"</f>
        <v>LU000869.002</v>
      </c>
      <c r="M162" s="29" t="str">
        <f ca="1">IFERROR(__xludf.dummyfunction("VLOOKUP(L162, IMPORTRANGE(""https://docs.google.com/spreadsheets/d/1yDAaXNsi4Mr5FtRQL4tbmSdIzhx6_m4wkOD7IG-k_eo/edit#gid=0"", ""Maths!M:N""), 2, FALSE)"),"Explain the purpose of a legend on a map and how it aids map reading and interpretation.")</f>
        <v>Explain the purpose of a legend on a map and how it aids map reading and interpretation.</v>
      </c>
      <c r="N162" s="29" t="str">
        <f t="shared" ref="N162:N189" si="32">G162 &amp; ".003"</f>
        <v>LU000869.003</v>
      </c>
      <c r="O162" s="29" t="str">
        <f ca="1">IFERROR(__xludf.dummyfunction("VLOOKUP(N162, IMPORTRANGE(""https://docs.google.com/spreadsheets/d/1yDAaXNsi4Mr5FtRQL4tbmSdIzhx6_m4wkOD7IG-k_eo/edit#gid=0"", ""Maths!M:N""), 2, FALSE)"),"Apply knowledge of map symbols and legends to interpret a given map, identifying features and their meanings.")</f>
        <v>Apply knowledge of map symbols and legends to interpret a given map, identifying features and their meanings.</v>
      </c>
      <c r="P162" s="29" t="str">
        <f t="shared" ref="P162:P189" si="33">G162 &amp; ".004"</f>
        <v>LU000869.004</v>
      </c>
      <c r="Q162" s="29" t="str">
        <f ca="1">IFERROR(__xludf.dummyfunction("VLOOKUP(P162, IMPORTRANGE(""https://docs.google.com/spreadsheets/d/1yDAaXNsi4Mr5FtRQL4tbmSdIzhx6_m4wkOD7IG-k_eo/edit#gid=0"", ""Maths!M:N""), 2, FALSE)"),"Analyze the use of different map symbols within legends, considering how variations in symbols can represent different features or characteristics.")</f>
        <v>Analyze the use of different map symbols within legends, considering how variations in symbols can represent different features or characteristics.</v>
      </c>
      <c r="R162" s="29" t="str">
        <f t="shared" ref="R162:R189" si="34">G162 &amp; ".005"</f>
        <v>LU000869.005</v>
      </c>
      <c r="S162" s="29" t="str">
        <f ca="1">IFERROR(__xludf.dummyfunction("VLOOKUP(R162, IMPORTRANGE(""https://docs.google.com/spreadsheets/d/1yDAaXNsi4Mr5FtRQL4tbmSdIzhx6_m4wkOD7IG-k_eo/edit#gid=0"", ""Maths!M:N""), 2, FALSE)"),"Evaluate the effectiveness of a map's legend in conveying information")</f>
        <v>Evaluate the effectiveness of a map's legend in conveying information</v>
      </c>
      <c r="T162" s="29" t="str">
        <f t="shared" ref="T162:T189" si="35">G162 &amp; ".006"</f>
        <v>LU000869.006</v>
      </c>
      <c r="U162" s="29" t="str">
        <f ca="1">IFERROR(__xludf.dummyfunction("VLOOKUP(T162, IMPORTRANGE(""https://docs.google.com/spreadsheets/d/1yDAaXNsi4Mr5FtRQL4tbmSdIzhx6_m4wkOD7IG-k_eo/edit#gid=0"", ""Maths!M:N""), 2, FALSE)"),"Create a map legend for a custom map, selecting appropriate symbols and providing clear explanations for each symbol's meaning.")</f>
        <v>Create a map legend for a custom map, selecting appropriate symbols and providing clear explanations for each symbol's meaning.</v>
      </c>
      <c r="V162" s="16" t="str">
        <f ca="1">IFERROR(__xludf.dummyfunction("ArrayFormula(VLOOKUP(G162, IMPORTRANGE(""https://docs.google.com/spreadsheets/d/1p7R4vtkWt5VOBim4ltsDG9KTzSjrtKXsMtQGXPHyND0/edit#gid=795171502"", ""'Filter 30_05_2024'!A1:M2000""), {2, 3, 4, 5,6,7,8,9,10,11,12,13}, 0))"),"#N/A")</f>
        <v>#N/A</v>
      </c>
      <c r="W162" s="16" t="str">
        <f ca="1">IFERROR(__xludf.dummyfunction("""COMPUTED_VALUE"""),"#N/A")</f>
        <v>#N/A</v>
      </c>
      <c r="X162" s="16" t="str">
        <f ca="1">IFERROR(__xludf.dummyfunction("""COMPUTED_VALUE"""),"#N/A")</f>
        <v>#N/A</v>
      </c>
      <c r="Y162" s="16" t="str">
        <f ca="1">IFERROR(__xludf.dummyfunction("""COMPUTED_VALUE"""),"#N/A")</f>
        <v>#N/A</v>
      </c>
      <c r="Z162" s="16" t="str">
        <f ca="1">IFERROR(__xludf.dummyfunction("""COMPUTED_VALUE"""),"#N/A")</f>
        <v>#N/A</v>
      </c>
      <c r="AA162" s="30" t="str">
        <f ca="1">IFERROR(__xludf.dummyfunction("""COMPUTED_VALUE"""),"#N/A")</f>
        <v>#N/A</v>
      </c>
      <c r="AB162" s="30" t="str">
        <f ca="1">IFERROR(__xludf.dummyfunction("""COMPUTED_VALUE"""),"#N/A")</f>
        <v>#N/A</v>
      </c>
      <c r="AC162" s="30" t="str">
        <f ca="1">IFERROR(__xludf.dummyfunction("""COMPUTED_VALUE"""),"#N/A")</f>
        <v>#N/A</v>
      </c>
      <c r="AD162" s="16" t="str">
        <f ca="1">IFERROR(__xludf.dummyfunction("""COMPUTED_VALUE"""),"#N/A")</f>
        <v>#N/A</v>
      </c>
      <c r="AE162" s="30" t="str">
        <f ca="1">IFERROR(__xludf.dummyfunction("""COMPUTED_VALUE"""),"#N/A")</f>
        <v>#N/A</v>
      </c>
      <c r="AF162" s="30" t="str">
        <f ca="1">IFERROR(__xludf.dummyfunction("""COMPUTED_VALUE"""),"#N/A")</f>
        <v>#N/A</v>
      </c>
      <c r="AG162" s="30" t="str">
        <f ca="1">IFERROR(__xludf.dummyfunction("""COMPUTED_VALUE"""),"#N/A")</f>
        <v>#N/A</v>
      </c>
    </row>
    <row r="163" spans="1:33" ht="13.8">
      <c r="A163" s="50"/>
      <c r="B163" s="50" t="s">
        <v>29</v>
      </c>
      <c r="C163" s="50" t="s">
        <v>310</v>
      </c>
      <c r="D163" s="50">
        <v>7</v>
      </c>
      <c r="E163" s="85" t="s">
        <v>1006</v>
      </c>
      <c r="F163" s="85" t="s">
        <v>1007</v>
      </c>
      <c r="G163" s="83" t="s">
        <v>1008</v>
      </c>
      <c r="H163" s="84" t="str">
        <f ca="1">IFERROR(__xludf.dummyfunction("IFERROR(
  VLOOKUP(G163, IMPORTRANGE(""https://docs.google.com/spreadsheets/d/14deopnvwcrKtEGCKuYXdUHJbeLDZlkiSSWWT0g7x2pM/edit#gid=849066331"", ""LU List Maths (Filter)!A:B""), 2, FALSE),
  IFERROR(
    VLOOKUP(G163, IMPORTRANGE(""https://docs.google.com"&amp;"/spreadsheets/d/14deopnvwcrKtEGCKuYXdUHJbeLDZlkiSSWWT0g7x2pM/edit#gid=849066331"", ""LU List Science (Filter)!A:B""), 2, FALSE),
    ""Not Found""
  )
)
"),"Definition of congruence")</f>
        <v>Definition of congruence</v>
      </c>
      <c r="I163" s="85"/>
      <c r="J163" s="29" t="str">
        <f t="shared" si="30"/>
        <v>LU000831.001</v>
      </c>
      <c r="K163" s="29" t="str">
        <f ca="1">IFERROR(__xludf.dummyfunction("VLOOKUP(J163, IMPORTRANGE(""https://docs.google.com/spreadsheets/d/1yDAaXNsi4Mr5FtRQL4tbmSdIzhx6_m4wkOD7IG-k_eo/edit#gid=0"", ""Maths!M:N""), 2, FALSE)"),"Recall the definition of congruence in geometry.")</f>
        <v>Recall the definition of congruence in geometry.</v>
      </c>
      <c r="L163" s="29" t="str">
        <f t="shared" si="31"/>
        <v>LU000831.002</v>
      </c>
      <c r="M163" s="29" t="str">
        <f ca="1">IFERROR(__xludf.dummyfunction("VLOOKUP(L163, IMPORTRANGE(""https://docs.google.com/spreadsheets/d/1yDAaXNsi4Mr5FtRQL4tbmSdIzhx6_m4wkOD7IG-k_eo/edit#gid=0"", ""Maths!M:N""), 2, FALSE)"),"Comprehend the concept of congruence in geometric figures.")</f>
        <v>Comprehend the concept of congruence in geometric figures.</v>
      </c>
      <c r="N163" s="29" t="str">
        <f t="shared" si="32"/>
        <v>LU000831.003</v>
      </c>
      <c r="O163" s="29" t="str">
        <f ca="1">IFERROR(__xludf.dummyfunction("VLOOKUP(N163, IMPORTRANGE(""https://docs.google.com/spreadsheets/d/1yDAaXNsi4Mr5FtRQL4tbmSdIzhx6_m4wkOD7IG-k_eo/edit#gid=0"", ""Maths!M:N""), 2, FALSE)"),"Apply the definition of congruence to identify congruent shapes in different geometric contexts.")</f>
        <v>Apply the definition of congruence to identify congruent shapes in different geometric contexts.</v>
      </c>
      <c r="P163" s="29" t="str">
        <f t="shared" si="33"/>
        <v>LU000831.004</v>
      </c>
      <c r="Q163" s="29" t="str">
        <f ca="1">IFERROR(__xludf.dummyfunction("VLOOKUP(P163, IMPORTRANGE(""https://docs.google.com/spreadsheets/d/1yDAaXNsi4Mr5FtRQL4tbmSdIzhx6_m4wkOD7IG-k_eo/edit#gid=0"", ""Maths!M:N""), 2, FALSE)"),"Analyse various geometric shapes to determine if they exhibit congruence based on the defined criteria.")</f>
        <v>Analyse various geometric shapes to determine if they exhibit congruence based on the defined criteria.</v>
      </c>
      <c r="R163" s="29" t="str">
        <f t="shared" si="34"/>
        <v>LU000831.005</v>
      </c>
      <c r="S163" s="29" t="str">
        <f ca="1">IFERROR(__xludf.dummyfunction("VLOOKUP(R163, IMPORTRANGE(""https://docs.google.com/spreadsheets/d/1yDAaXNsi4Mr5FtRQL4tbmSdIzhx6_m4wkOD7IG-k_eo/edit#gid=0"", ""Maths!M:N""), 2, FALSE)"),"Evaluate given geometric configurations to ascertain if they meet the conditions for congruence.")</f>
        <v>Evaluate given geometric configurations to ascertain if they meet the conditions for congruence.</v>
      </c>
      <c r="T163" s="29" t="str">
        <f t="shared" si="35"/>
        <v>LU000831.006</v>
      </c>
      <c r="U163" s="29" t="str">
        <f ca="1">IFERROR(__xludf.dummyfunction("VLOOKUP(T163, IMPORTRANGE(""https://docs.google.com/spreadsheets/d/1yDAaXNsi4Mr5FtRQL4tbmSdIzhx6_m4wkOD7IG-k_eo/edit#gid=0"", ""Maths!M:N""), 2, FALSE)"),"Create visual representations or diagrams that illustrate congruence in geometric figures.")</f>
        <v>Create visual representations or diagrams that illustrate congruence in geometric figures.</v>
      </c>
      <c r="V163" s="16" t="str">
        <f ca="1">IFERROR(__xludf.dummyfunction("ArrayFormula(VLOOKUP(G163, IMPORTRANGE(""https://docs.google.com/spreadsheets/d/1p7R4vtkWt5VOBim4ltsDG9KTzSjrtKXsMtQGXPHyND0/edit#gid=795171502"", ""'Filter 30_05_2024'!A1:M2000""), {2, 3, 4, 5,6,7,8,9,10,11,12,13}, 0))"),"#N/A")</f>
        <v>#N/A</v>
      </c>
      <c r="W163" s="16" t="str">
        <f ca="1">IFERROR(__xludf.dummyfunction("""COMPUTED_VALUE"""),"#N/A")</f>
        <v>#N/A</v>
      </c>
      <c r="X163" s="16" t="str">
        <f ca="1">IFERROR(__xludf.dummyfunction("""COMPUTED_VALUE"""),"#N/A")</f>
        <v>#N/A</v>
      </c>
      <c r="Y163" s="16" t="str">
        <f ca="1">IFERROR(__xludf.dummyfunction("""COMPUTED_VALUE"""),"#N/A")</f>
        <v>#N/A</v>
      </c>
      <c r="Z163" s="16" t="str">
        <f ca="1">IFERROR(__xludf.dummyfunction("""COMPUTED_VALUE"""),"#N/A")</f>
        <v>#N/A</v>
      </c>
      <c r="AA163" s="30" t="str">
        <f ca="1">IFERROR(__xludf.dummyfunction("""COMPUTED_VALUE"""),"#N/A")</f>
        <v>#N/A</v>
      </c>
      <c r="AB163" s="30" t="str">
        <f ca="1">IFERROR(__xludf.dummyfunction("""COMPUTED_VALUE"""),"#N/A")</f>
        <v>#N/A</v>
      </c>
      <c r="AC163" s="30" t="str">
        <f ca="1">IFERROR(__xludf.dummyfunction("""COMPUTED_VALUE"""),"#N/A")</f>
        <v>#N/A</v>
      </c>
      <c r="AD163" s="16" t="str">
        <f ca="1">IFERROR(__xludf.dummyfunction("""COMPUTED_VALUE"""),"#N/A")</f>
        <v>#N/A</v>
      </c>
      <c r="AE163" s="30" t="str">
        <f ca="1">IFERROR(__xludf.dummyfunction("""COMPUTED_VALUE"""),"#N/A")</f>
        <v>#N/A</v>
      </c>
      <c r="AF163" s="30" t="str">
        <f ca="1">IFERROR(__xludf.dummyfunction("""COMPUTED_VALUE"""),"#N/A")</f>
        <v>#N/A</v>
      </c>
      <c r="AG163" s="30" t="str">
        <f ca="1">IFERROR(__xludf.dummyfunction("""COMPUTED_VALUE"""),"#N/A")</f>
        <v>#N/A</v>
      </c>
    </row>
    <row r="164" spans="1:33" ht="13.8">
      <c r="A164" s="50"/>
      <c r="B164" s="50" t="s">
        <v>29</v>
      </c>
      <c r="C164" s="50" t="s">
        <v>310</v>
      </c>
      <c r="D164" s="50">
        <v>7</v>
      </c>
      <c r="E164" s="85" t="s">
        <v>1006</v>
      </c>
      <c r="F164" s="85"/>
      <c r="G164" s="83" t="s">
        <v>1009</v>
      </c>
      <c r="H164" s="84" t="str">
        <f ca="1">IFERROR(__xludf.dummyfunction("IFERROR(
  VLOOKUP(G164, IMPORTRANGE(""https://docs.google.com/spreadsheets/d/14deopnvwcrKtEGCKuYXdUHJbeLDZlkiSSWWT0g7x2pM/edit#gid=849066331"", ""LU List Maths (Filter)!A:B""), 2, FALSE),
  IFERROR(
    VLOOKUP(G164, IMPORTRANGE(""https://docs.google.com"&amp;"/spreadsheets/d/14deopnvwcrKtEGCKuYXdUHJbeLDZlkiSSWWT0g7x2pM/edit#gid=849066331"", ""LU List Science (Filter)!A:B""), 2, FALSE),
    ""Not Found""
  )
)
"),"Congruence of plane figures by the method of superposition")</f>
        <v>Congruence of plane figures by the method of superposition</v>
      </c>
      <c r="I164" s="85"/>
      <c r="J164" s="29" t="str">
        <f t="shared" si="30"/>
        <v>LU000832.001</v>
      </c>
      <c r="K164" s="29" t="str">
        <f ca="1">IFERROR(__xludf.dummyfunction("VLOOKUP(J164, IMPORTRANGE(""https://docs.google.com/spreadsheets/d/1yDAaXNsi4Mr5FtRQL4tbmSdIzhx6_m4wkOD7IG-k_eo/edit#gid=0"", ""Maths!M:N""), 2, FALSE)"),"Recall the definition and key steps of the method of superposition for congruence.")</f>
        <v>Recall the definition and key steps of the method of superposition for congruence.</v>
      </c>
      <c r="L164" s="29" t="str">
        <f t="shared" si="31"/>
        <v>LU000832.002</v>
      </c>
      <c r="M164" s="29" t="str">
        <f ca="1">IFERROR(__xludf.dummyfunction("VLOOKUP(L164, IMPORTRANGE(""https://docs.google.com/spreadsheets/d/1yDAaXNsi4Mr5FtRQL4tbmSdIzhx6_m4wkOD7IG-k_eo/edit#gid=0"", ""Maths!M:N""), 2, FALSE)"),"Explain how the method of superposition is used to determine congruence in plane figures.")</f>
        <v>Explain how the method of superposition is used to determine congruence in plane figures.</v>
      </c>
      <c r="N164" s="29" t="str">
        <f t="shared" si="32"/>
        <v>LU000832.003</v>
      </c>
      <c r="O164" s="29" t="str">
        <f ca="1">IFERROR(__xludf.dummyfunction("VLOOKUP(N164, IMPORTRANGE(""https://docs.google.com/spreadsheets/d/1yDAaXNsi4Mr5FtRQL4tbmSdIzhx6_m4wkOD7IG-k_eo/edit#gid=0"", ""Maths!M:N""), 2, FALSE)"),"Apply the method of superposition to verify congruence in different pairs of plane figures.")</f>
        <v>Apply the method of superposition to verify congruence in different pairs of plane figures.</v>
      </c>
      <c r="P164" s="29" t="str">
        <f t="shared" si="33"/>
        <v>LU000832.004</v>
      </c>
      <c r="Q164" s="29" t="str">
        <f ca="1">IFERROR(__xludf.dummyfunction("VLOOKUP(P164, IMPORTRANGE(""https://docs.google.com/spreadsheets/d/1yDAaXNsi4Mr5FtRQL4tbmSdIzhx6_m4wkOD7IG-k_eo/edit#gid=0"", ""Maths!M:N""), 2, FALSE)"),"Analyse given plane figures to determine if they are congruent using the method of superposition.")</f>
        <v>Analyse given plane figures to determine if they are congruent using the method of superposition.</v>
      </c>
      <c r="R164" s="29" t="str">
        <f t="shared" si="34"/>
        <v>LU000832.005</v>
      </c>
      <c r="S164" s="29" t="str">
        <f ca="1">IFERROR(__xludf.dummyfunction("VLOOKUP(R164, IMPORTRANGE(""https://docs.google.com/spreadsheets/d/1yDAaXNsi4Mr5FtRQL4tbmSdIzhx6_m4wkOD7IG-k_eo/edit#gid=0"", ""Maths!M:N""), 2, FALSE)"),"Evaluate the effectiveness of the method of superposition in establishing congruence between plane figures.")</f>
        <v>Evaluate the effectiveness of the method of superposition in establishing congruence between plane figures.</v>
      </c>
      <c r="T164" s="29" t="str">
        <f t="shared" si="35"/>
        <v>LU000832.006</v>
      </c>
      <c r="U164" s="29" t="str">
        <f ca="1">IFERROR(__xludf.dummyfunction("VLOOKUP(T164, IMPORTRANGE(""https://docs.google.com/spreadsheets/d/1yDAaXNsi4Mr5FtRQL4tbmSdIzhx6_m4wkOD7IG-k_eo/edit#gid=0"", ""Maths!M:N""), 2, FALSE)"),"Create visual representations or diagrams illustrating the process of superposition for congruence.")</f>
        <v>Create visual representations or diagrams illustrating the process of superposition for congruence.</v>
      </c>
      <c r="V164" s="16" t="str">
        <f ca="1">IFERROR(__xludf.dummyfunction("ArrayFormula(VLOOKUP(G164, IMPORTRANGE(""https://docs.google.com/spreadsheets/d/1p7R4vtkWt5VOBim4ltsDG9KTzSjrtKXsMtQGXPHyND0/edit#gid=795171502"", ""'Filter 30_05_2024'!A1:M2000""), {2, 3, 4, 5,6,7,8,9,10,11,12,13}, 0))"),"#N/A")</f>
        <v>#N/A</v>
      </c>
      <c r="W164" s="16" t="str">
        <f ca="1">IFERROR(__xludf.dummyfunction("""COMPUTED_VALUE"""),"#N/A")</f>
        <v>#N/A</v>
      </c>
      <c r="X164" s="16" t="str">
        <f ca="1">IFERROR(__xludf.dummyfunction("""COMPUTED_VALUE"""),"#N/A")</f>
        <v>#N/A</v>
      </c>
      <c r="Y164" s="16" t="str">
        <f ca="1">IFERROR(__xludf.dummyfunction("""COMPUTED_VALUE"""),"#N/A")</f>
        <v>#N/A</v>
      </c>
      <c r="Z164" s="16" t="str">
        <f ca="1">IFERROR(__xludf.dummyfunction("""COMPUTED_VALUE"""),"#N/A")</f>
        <v>#N/A</v>
      </c>
      <c r="AA164" s="30" t="str">
        <f ca="1">IFERROR(__xludf.dummyfunction("""COMPUTED_VALUE"""),"#N/A")</f>
        <v>#N/A</v>
      </c>
      <c r="AB164" s="30" t="str">
        <f ca="1">IFERROR(__xludf.dummyfunction("""COMPUTED_VALUE"""),"#N/A")</f>
        <v>#N/A</v>
      </c>
      <c r="AC164" s="30" t="str">
        <f ca="1">IFERROR(__xludf.dummyfunction("""COMPUTED_VALUE"""),"#N/A")</f>
        <v>#N/A</v>
      </c>
      <c r="AD164" s="16" t="str">
        <f ca="1">IFERROR(__xludf.dummyfunction("""COMPUTED_VALUE"""),"#N/A")</f>
        <v>#N/A</v>
      </c>
      <c r="AE164" s="30" t="str">
        <f ca="1">IFERROR(__xludf.dummyfunction("""COMPUTED_VALUE"""),"#N/A")</f>
        <v>#N/A</v>
      </c>
      <c r="AF164" s="30" t="str">
        <f ca="1">IFERROR(__xludf.dummyfunction("""COMPUTED_VALUE"""),"#N/A")</f>
        <v>#N/A</v>
      </c>
      <c r="AG164" s="30" t="str">
        <f ca="1">IFERROR(__xludf.dummyfunction("""COMPUTED_VALUE"""),"#N/A")</f>
        <v>#N/A</v>
      </c>
    </row>
    <row r="165" spans="1:33" ht="13.8">
      <c r="A165" s="50"/>
      <c r="B165" s="50" t="s">
        <v>29</v>
      </c>
      <c r="C165" s="50" t="s">
        <v>310</v>
      </c>
      <c r="D165" s="50">
        <v>7</v>
      </c>
      <c r="E165" s="85" t="s">
        <v>1006</v>
      </c>
      <c r="F165" s="85"/>
      <c r="G165" s="83" t="s">
        <v>1010</v>
      </c>
      <c r="H165" s="84" t="str">
        <f ca="1">IFERROR(__xludf.dummyfunction("IFERROR(
  VLOOKUP(G165, IMPORTRANGE(""https://docs.google.com/spreadsheets/d/14deopnvwcrKtEGCKuYXdUHJbeLDZlkiSSWWT0g7x2pM/edit#gid=849066331"", ""LU List Maths (Filter)!A:B""), 2, FALSE),
  IFERROR(
    VLOOKUP(G165, IMPORTRANGE(""https://docs.google.com"&amp;"/spreadsheets/d/14deopnvwcrKtEGCKuYXdUHJbeLDZlkiSSWWT0g7x2pM/edit#gid=849066331"", ""LU List Science (Filter)!A:B""), 2, FALSE),
    ""Not Found""
  )
)
"),"Corresponding parts (sides, angles, vertices) of congruent triangles")</f>
        <v>Corresponding parts (sides, angles, vertices) of congruent triangles</v>
      </c>
      <c r="I165" s="85"/>
      <c r="J165" s="29" t="str">
        <f t="shared" si="30"/>
        <v>LU001234.001</v>
      </c>
      <c r="K165" s="29" t="str">
        <f ca="1">IFERROR(__xludf.dummyfunction("VLOOKUP(J165, IMPORTRANGE(""https://docs.google.com/spreadsheets/d/1yDAaXNsi4Mr5FtRQL4tbmSdIzhx6_m4wkOD7IG-k_eo/edit#gid=0"", ""Maths!M:N""), 2, FALSE)"),"Identify the corresponding parts of congruent triangles (sides, angles, vertices).")</f>
        <v>Identify the corresponding parts of congruent triangles (sides, angles, vertices).</v>
      </c>
      <c r="L165" s="29" t="str">
        <f t="shared" si="31"/>
        <v>LU001234.002</v>
      </c>
      <c r="M165" s="29" t="str">
        <f ca="1">IFERROR(__xludf.dummyfunction("VLOOKUP(L165, IMPORTRANGE(""https://docs.google.com/spreadsheets/d/1yDAaXNsi4Mr5FtRQL4tbmSdIzhx6_m4wkOD7IG-k_eo/edit#gid=0"", ""Maths!M:N""), 2, FALSE)"),"Describe how corresponding parts of congruent triangles are equal.")</f>
        <v>Describe how corresponding parts of congruent triangles are equal.</v>
      </c>
      <c r="N165" s="29" t="str">
        <f t="shared" si="32"/>
        <v>LU001234.003</v>
      </c>
      <c r="O165" s="29" t="str">
        <f ca="1">IFERROR(__xludf.dummyfunction("VLOOKUP(N165, IMPORTRANGE(""https://docs.google.com/spreadsheets/d/1yDAaXNsi4Mr5FtRQL4tbmSdIzhx6_m4wkOD7IG-k_eo/edit#gid=0"", ""Maths!M:N""), 2, FALSE)"),"Use the concept of corresponding parts to solve geometric problems involving congruent triangles.")</f>
        <v>Use the concept of corresponding parts to solve geometric problems involving congruent triangles.</v>
      </c>
      <c r="P165" s="29" t="str">
        <f t="shared" si="33"/>
        <v>LU001234.004</v>
      </c>
      <c r="Q165" s="29" t="str">
        <f ca="1">IFERROR(__xludf.dummyfunction("VLOOKUP(P165, IMPORTRANGE(""https://docs.google.com/spreadsheets/d/1yDAaXNsi4Mr5FtRQL4tbmSdIzhx6_m4wkOD7IG-k_eo/edit#gid=0"", ""Maths!M:N""), 2, FALSE)"),"Distinguish between congruent and non-congruent triangles based on their corresponding parts.")</f>
        <v>Distinguish between congruent and non-congruent triangles based on their corresponding parts.</v>
      </c>
      <c r="R165" s="29" t="str">
        <f t="shared" si="34"/>
        <v>LU001234.005</v>
      </c>
      <c r="S165" s="29" t="str">
        <f ca="1">IFERROR(__xludf.dummyfunction("VLOOKUP(R165, IMPORTRANGE(""https://docs.google.com/spreadsheets/d/1yDAaXNsi4Mr5FtRQL4tbmSdIzhx6_m4wkOD7IG-k_eo/edit#gid=0"", ""Maths!M:N""), 2, FALSE)"),"Assess the validity of statements about congruent triangles using the concept of corresponding parts.")</f>
        <v>Assess the validity of statements about congruent triangles using the concept of corresponding parts.</v>
      </c>
      <c r="T165" s="29" t="str">
        <f t="shared" si="35"/>
        <v>LU001234.006</v>
      </c>
      <c r="U165" s="29" t="str">
        <f ca="1">IFERROR(__xludf.dummyfunction("VLOOKUP(T165, IMPORTRANGE(""https://docs.google.com/spreadsheets/d/1yDAaXNsi4Mr5FtRQL4tbmSdIzhx6_m4wkOD7IG-k_eo/edit#gid=0"", ""Maths!M:N""), 2, FALSE)"),"Design a geometric proof that uses the equality of corresponding parts to show triangle congruence.")</f>
        <v>Design a geometric proof that uses the equality of corresponding parts to show triangle congruence.</v>
      </c>
      <c r="V165" s="16" t="str">
        <f ca="1">IFERROR(__xludf.dummyfunction("ArrayFormula(VLOOKUP(G165, IMPORTRANGE(""https://docs.google.com/spreadsheets/d/1p7R4vtkWt5VOBim4ltsDG9KTzSjrtKXsMtQGXPHyND0/edit#gid=795171502"", ""'Filter 30_05_2024'!A1:M2000""), {2, 3, 4, 5,6,7,8,9,10,11,12,13}, 0))"),"#N/A")</f>
        <v>#N/A</v>
      </c>
      <c r="W165" s="16" t="str">
        <f ca="1">IFERROR(__xludf.dummyfunction("""COMPUTED_VALUE"""),"#N/A")</f>
        <v>#N/A</v>
      </c>
      <c r="X165" s="16" t="str">
        <f ca="1">IFERROR(__xludf.dummyfunction("""COMPUTED_VALUE"""),"#N/A")</f>
        <v>#N/A</v>
      </c>
      <c r="Y165" s="16" t="str">
        <f ca="1">IFERROR(__xludf.dummyfunction("""COMPUTED_VALUE"""),"#N/A")</f>
        <v>#N/A</v>
      </c>
      <c r="Z165" s="16" t="str">
        <f ca="1">IFERROR(__xludf.dummyfunction("""COMPUTED_VALUE"""),"#N/A")</f>
        <v>#N/A</v>
      </c>
      <c r="AA165" s="30" t="str">
        <f ca="1">IFERROR(__xludf.dummyfunction("""COMPUTED_VALUE"""),"#N/A")</f>
        <v>#N/A</v>
      </c>
      <c r="AB165" s="30" t="str">
        <f ca="1">IFERROR(__xludf.dummyfunction("""COMPUTED_VALUE"""),"#N/A")</f>
        <v>#N/A</v>
      </c>
      <c r="AC165" s="30" t="str">
        <f ca="1">IFERROR(__xludf.dummyfunction("""COMPUTED_VALUE"""),"#N/A")</f>
        <v>#N/A</v>
      </c>
      <c r="AD165" s="16" t="str">
        <f ca="1">IFERROR(__xludf.dummyfunction("""COMPUTED_VALUE"""),"#N/A")</f>
        <v>#N/A</v>
      </c>
      <c r="AE165" s="30" t="str">
        <f ca="1">IFERROR(__xludf.dummyfunction("""COMPUTED_VALUE"""),"#N/A")</f>
        <v>#N/A</v>
      </c>
      <c r="AF165" s="30" t="str">
        <f ca="1">IFERROR(__xludf.dummyfunction("""COMPUTED_VALUE"""),"#N/A")</f>
        <v>#N/A</v>
      </c>
      <c r="AG165" s="30" t="str">
        <f ca="1">IFERROR(__xludf.dummyfunction("""COMPUTED_VALUE"""),"#N/A")</f>
        <v>#N/A</v>
      </c>
    </row>
    <row r="166" spans="1:33" ht="13.8">
      <c r="A166" s="25"/>
      <c r="B166" s="25" t="s">
        <v>29</v>
      </c>
      <c r="C166" s="25" t="s">
        <v>310</v>
      </c>
      <c r="D166" s="25">
        <v>7</v>
      </c>
      <c r="E166" s="64" t="s">
        <v>1006</v>
      </c>
      <c r="F166" s="64"/>
      <c r="G166" s="86" t="s">
        <v>1011</v>
      </c>
      <c r="H166" s="72" t="str">
        <f ca="1">IFERROR(__xludf.dummyfunction("IFERROR(
  VLOOKUP(G166, IMPORTRANGE(""https://docs.google.com/spreadsheets/d/14deopnvwcrKtEGCKuYXdUHJbeLDZlkiSSWWT0g7x2pM/edit#gid=849066331"", ""LU List Maths (Filter)!A:B""), 2, FALSE),
  IFERROR(
    VLOOKUP(G166, IMPORTRANGE(""https://docs.google.com"&amp;"/spreadsheets/d/14deopnvwcrKtEGCKuYXdUHJbeLDZlkiSSWWT0g7x2pM/edit#gid=849066331"", ""LU List Science (Filter)!A:B""), 2, FALSE),
    ""Not Found""
  )
)
"),"Congruence of triangles by SSS criteria")</f>
        <v>Congruence of triangles by SSS criteria</v>
      </c>
      <c r="I166" s="64"/>
      <c r="J166" s="29" t="str">
        <f t="shared" si="30"/>
        <v>LU000835.001</v>
      </c>
      <c r="K166" s="29" t="str">
        <f ca="1">IFERROR(__xludf.dummyfunction("VLOOKUP(J166, IMPORTRANGE(""https://docs.google.com/spreadsheets/d/1yDAaXNsi4Mr5FtRQL4tbmSdIzhx6_m4wkOD7IG-k_eo/edit#gid=0"", ""Maths!M:N""), 2, FALSE)"),"Recall the SSS criteria for triangle congruence.")</f>
        <v>Recall the SSS criteria for triangle congruence.</v>
      </c>
      <c r="L166" s="29" t="str">
        <f t="shared" si="31"/>
        <v>LU000835.002</v>
      </c>
      <c r="M166" s="29" t="str">
        <f ca="1">IFERROR(__xludf.dummyfunction("VLOOKUP(L166, IMPORTRANGE(""https://docs.google.com/spreadsheets/d/1yDAaXNsi4Mr5FtRQL4tbmSdIzhx6_m4wkOD7IG-k_eo/edit#gid=0"", ""Maths!M:N""), 2, FALSE)"),"Explain the meaning and significance of the SSS (Side-Side-Side) criteria for triangle congruence.")</f>
        <v>Explain the meaning and significance of the SSS (Side-Side-Side) criteria for triangle congruence.</v>
      </c>
      <c r="N166" s="29" t="str">
        <f t="shared" si="32"/>
        <v>LU000835.003</v>
      </c>
      <c r="O166" s="29" t="str">
        <f ca="1">IFERROR(__xludf.dummyfunction("VLOOKUP(N166, IMPORTRANGE(""https://docs.google.com/spreadsheets/d/1yDAaXNsi4Mr5FtRQL4tbmSdIzhx6_m4wkOD7IG-k_eo/edit#gid=0"", ""Maths!M:N""), 2, FALSE)"),"Apply the SSS criteria to determine whether two given triangles are congruent.")</f>
        <v>Apply the SSS criteria to determine whether two given triangles are congruent.</v>
      </c>
      <c r="P166" s="29" t="str">
        <f t="shared" si="33"/>
        <v>LU000835.004</v>
      </c>
      <c r="Q166" s="29" t="str">
        <f ca="1">IFERROR(__xludf.dummyfunction("VLOOKUP(P166, IMPORTRANGE(""https://docs.google.com/spreadsheets/d/1yDAaXNsi4Mr5FtRQL4tbmSdIzhx6_m4wkOD7IG-k_eo/edit#gid=0"", ""Maths!M:N""), 2, FALSE)"),"Use the SSS criteria to find the unknown side or angle of a triangle when the corresponding side or angle of another congruent triangle is given..")</f>
        <v>Use the SSS criteria to find the unknown side or angle of a triangle when the corresponding side or angle of another congruent triangle is given..</v>
      </c>
      <c r="R166" s="29" t="str">
        <f t="shared" si="34"/>
        <v>LU000835.005</v>
      </c>
      <c r="S166" s="29" t="str">
        <f ca="1">IFERROR(__xludf.dummyfunction("VLOOKUP(R166, IMPORTRANGE(""https://docs.google.com/spreadsheets/d/1yDAaXNsi4Mr5FtRQL4tbmSdIzhx6_m4wkOD7IG-k_eo/edit#gid=0"", ""Maths!M:N""), 2, FALSE)"),"Evaluate the effectiveness of the SSS criteria as a method for establishing triangle congruence.")</f>
        <v>Evaluate the effectiveness of the SSS criteria as a method for establishing triangle congruence.</v>
      </c>
      <c r="T166" s="29" t="str">
        <f t="shared" si="35"/>
        <v>LU000835.006</v>
      </c>
      <c r="U166" s="29" t="str">
        <f ca="1">IFERROR(__xludf.dummyfunction("VLOOKUP(T166, IMPORTRANGE(""https://docs.google.com/spreadsheets/d/1yDAaXNsi4Mr5FtRQL4tbmSdIzhx6_m4wkOD7IG-k_eo/edit#gid=0"", ""Maths!M:N""), 2, FALSE)"),"Create geometric diagrams or illustrations that demonstrate the application of SSS criteria for triangle congruence.")</f>
        <v>Create geometric diagrams or illustrations that demonstrate the application of SSS criteria for triangle congruence.</v>
      </c>
      <c r="V166" s="16" t="str">
        <f ca="1">IFERROR(__xludf.dummyfunction("ArrayFormula(VLOOKUP(G166, IMPORTRANGE(""https://docs.google.com/spreadsheets/d/1p7R4vtkWt5VOBim4ltsDG9KTzSjrtKXsMtQGXPHyND0/edit#gid=795171502"", ""'Filter 30_05_2024'!A1:M2000""), {2, 3, 4, 5,6,7,8,9,10,11,12,13}, 0))"),"#N/A")</f>
        <v>#N/A</v>
      </c>
      <c r="W166" s="16" t="str">
        <f ca="1">IFERROR(__xludf.dummyfunction("""COMPUTED_VALUE"""),"#N/A")</f>
        <v>#N/A</v>
      </c>
      <c r="X166" s="16" t="str">
        <f ca="1">IFERROR(__xludf.dummyfunction("""COMPUTED_VALUE"""),"#N/A")</f>
        <v>#N/A</v>
      </c>
      <c r="Y166" s="16" t="str">
        <f ca="1">IFERROR(__xludf.dummyfunction("""COMPUTED_VALUE"""),"#N/A")</f>
        <v>#N/A</v>
      </c>
      <c r="Z166" s="16" t="str">
        <f ca="1">IFERROR(__xludf.dummyfunction("""COMPUTED_VALUE"""),"#N/A")</f>
        <v>#N/A</v>
      </c>
      <c r="AA166" s="30" t="str">
        <f ca="1">IFERROR(__xludf.dummyfunction("""COMPUTED_VALUE"""),"#N/A")</f>
        <v>#N/A</v>
      </c>
      <c r="AB166" s="30" t="str">
        <f ca="1">IFERROR(__xludf.dummyfunction("""COMPUTED_VALUE"""),"#N/A")</f>
        <v>#N/A</v>
      </c>
      <c r="AC166" s="30" t="str">
        <f ca="1">IFERROR(__xludf.dummyfunction("""COMPUTED_VALUE"""),"#N/A")</f>
        <v>#N/A</v>
      </c>
      <c r="AD166" s="16" t="str">
        <f ca="1">IFERROR(__xludf.dummyfunction("""COMPUTED_VALUE"""),"#N/A")</f>
        <v>#N/A</v>
      </c>
      <c r="AE166" s="30" t="str">
        <f ca="1">IFERROR(__xludf.dummyfunction("""COMPUTED_VALUE"""),"#N/A")</f>
        <v>#N/A</v>
      </c>
      <c r="AF166" s="30" t="str">
        <f ca="1">IFERROR(__xludf.dummyfunction("""COMPUTED_VALUE"""),"#N/A")</f>
        <v>#N/A</v>
      </c>
      <c r="AG166" s="30" t="str">
        <f ca="1">IFERROR(__xludf.dummyfunction("""COMPUTED_VALUE"""),"#N/A")</f>
        <v>#N/A</v>
      </c>
    </row>
    <row r="167" spans="1:33" ht="13.8">
      <c r="A167" s="25"/>
      <c r="B167" s="25" t="s">
        <v>29</v>
      </c>
      <c r="C167" s="25" t="s">
        <v>310</v>
      </c>
      <c r="D167" s="25">
        <v>7</v>
      </c>
      <c r="E167" s="64" t="s">
        <v>1006</v>
      </c>
      <c r="F167" s="64"/>
      <c r="G167" s="86" t="s">
        <v>1012</v>
      </c>
      <c r="H167" s="72" t="str">
        <f ca="1">IFERROR(__xludf.dummyfunction("IFERROR(
  VLOOKUP(G167, IMPORTRANGE(""https://docs.google.com/spreadsheets/d/14deopnvwcrKtEGCKuYXdUHJbeLDZlkiSSWWT0g7x2pM/edit#gid=849066331"", ""LU List Maths (Filter)!A:B""), 2, FALSE),
  IFERROR(
    VLOOKUP(G167, IMPORTRANGE(""https://docs.google.com"&amp;"/spreadsheets/d/14deopnvwcrKtEGCKuYXdUHJbeLDZlkiSSWWT0g7x2pM/edit#gid=849066331"", ""LU List Science (Filter)!A:B""), 2, FALSE),
    ""Not Found""
  )
)
"),"Congruence of triangles by SAS criteria")</f>
        <v>Congruence of triangles by SAS criteria</v>
      </c>
      <c r="I167" s="64"/>
      <c r="J167" s="29" t="str">
        <f t="shared" si="30"/>
        <v>LU000839.001</v>
      </c>
      <c r="K167" s="29" t="str">
        <f ca="1">IFERROR(__xludf.dummyfunction("VLOOKUP(J167, IMPORTRANGE(""https://docs.google.com/spreadsheets/d/1yDAaXNsi4Mr5FtRQL4tbmSdIzhx6_m4wkOD7IG-k_eo/edit#gid=0"", ""Maths!M:N""), 2, FALSE)"),"Recall the SAS criteria for triangle congruence.")</f>
        <v>Recall the SAS criteria for triangle congruence.</v>
      </c>
      <c r="L167" s="29" t="str">
        <f t="shared" si="31"/>
        <v>LU000839.002</v>
      </c>
      <c r="M167" s="29" t="str">
        <f ca="1">IFERROR(__xludf.dummyfunction("VLOOKUP(L167, IMPORTRANGE(""https://docs.google.com/spreadsheets/d/1yDAaXNsi4Mr5FtRQL4tbmSdIzhx6_m4wkOD7IG-k_eo/edit#gid=0"", ""Maths!M:N""), 2, FALSE)"),"Explain the meaning and significance of the SAS (Side-Angle-Side) criteria for triangle congruence.")</f>
        <v>Explain the meaning and significance of the SAS (Side-Angle-Side) criteria for triangle congruence.</v>
      </c>
      <c r="N167" s="29" t="str">
        <f t="shared" si="32"/>
        <v>LU000839.003</v>
      </c>
      <c r="O167" s="29" t="str">
        <f ca="1">IFERROR(__xludf.dummyfunction("VLOOKUP(N167, IMPORTRANGE(""https://docs.google.com/spreadsheets/d/1yDAaXNsi4Mr5FtRQL4tbmSdIzhx6_m4wkOD7IG-k_eo/edit#gid=0"", ""Maths!M:N""), 2, FALSE)"),"Apply the SAS criteria to determine whether two given triangles are congruent.")</f>
        <v>Apply the SAS criteria to determine whether two given triangles are congruent.</v>
      </c>
      <c r="P167" s="29" t="str">
        <f t="shared" si="33"/>
        <v>LU000839.004</v>
      </c>
      <c r="Q167" s="29" t="str">
        <f ca="1">IFERROR(__xludf.dummyfunction("VLOOKUP(P167, IMPORTRANGE(""https://docs.google.com/spreadsheets/d/1yDAaXNsi4Mr5FtRQL4tbmSdIzhx6_m4wkOD7IG-k_eo/edit#gid=0"", ""Maths!M:N""), 2, FALSE)"),"Use the SAS criteria to find the unknown side or angle of a triangle when the corresponding side or angle of another congruent triangle is given.")</f>
        <v>Use the SAS criteria to find the unknown side or angle of a triangle when the corresponding side or angle of another congruent triangle is given.</v>
      </c>
      <c r="R167" s="29" t="str">
        <f t="shared" si="34"/>
        <v>LU000839.005</v>
      </c>
      <c r="S167" s="29" t="str">
        <f ca="1">IFERROR(__xludf.dummyfunction("VLOOKUP(R167, IMPORTRANGE(""https://docs.google.com/spreadsheets/d/1yDAaXNsi4Mr5FtRQL4tbmSdIzhx6_m4wkOD7IG-k_eo/edit#gid=0"", ""Maths!M:N""), 2, FALSE)"),"Evaluate the effectiveness of the SAS criteria as a method for establishing triangle congruence.")</f>
        <v>Evaluate the effectiveness of the SAS criteria as a method for establishing triangle congruence.</v>
      </c>
      <c r="T167" s="29" t="str">
        <f t="shared" si="35"/>
        <v>LU000839.006</v>
      </c>
      <c r="U167" s="29" t="str">
        <f ca="1">IFERROR(__xludf.dummyfunction("VLOOKUP(T167, IMPORTRANGE(""https://docs.google.com/spreadsheets/d/1yDAaXNsi4Mr5FtRQL4tbmSdIzhx6_m4wkOD7IG-k_eo/edit#gid=0"", ""Maths!M:N""), 2, FALSE)"),"Create geometric diagrams or illustrations that demonstrate the application of SAS criteria for triangle congruence.")</f>
        <v>Create geometric diagrams or illustrations that demonstrate the application of SAS criteria for triangle congruence.</v>
      </c>
      <c r="V167" s="16" t="str">
        <f ca="1">IFERROR(__xludf.dummyfunction("ArrayFormula(VLOOKUP(G167, IMPORTRANGE(""https://docs.google.com/spreadsheets/d/1p7R4vtkWt5VOBim4ltsDG9KTzSjrtKXsMtQGXPHyND0/edit#gid=795171502"", ""'Filter 30_05_2024'!A1:M2000""), {2, 3, 4, 5,6,7,8,9,10,11,12,13}, 0))"),"#N/A")</f>
        <v>#N/A</v>
      </c>
      <c r="W167" s="16" t="str">
        <f ca="1">IFERROR(__xludf.dummyfunction("""COMPUTED_VALUE"""),"#N/A")</f>
        <v>#N/A</v>
      </c>
      <c r="X167" s="16" t="str">
        <f ca="1">IFERROR(__xludf.dummyfunction("""COMPUTED_VALUE"""),"#N/A")</f>
        <v>#N/A</v>
      </c>
      <c r="Y167" s="16" t="str">
        <f ca="1">IFERROR(__xludf.dummyfunction("""COMPUTED_VALUE"""),"#N/A")</f>
        <v>#N/A</v>
      </c>
      <c r="Z167" s="16" t="str">
        <f ca="1">IFERROR(__xludf.dummyfunction("""COMPUTED_VALUE"""),"#N/A")</f>
        <v>#N/A</v>
      </c>
      <c r="AA167" s="30" t="str">
        <f ca="1">IFERROR(__xludf.dummyfunction("""COMPUTED_VALUE"""),"#N/A")</f>
        <v>#N/A</v>
      </c>
      <c r="AB167" s="30" t="str">
        <f ca="1">IFERROR(__xludf.dummyfunction("""COMPUTED_VALUE"""),"#N/A")</f>
        <v>#N/A</v>
      </c>
      <c r="AC167" s="30" t="str">
        <f ca="1">IFERROR(__xludf.dummyfunction("""COMPUTED_VALUE"""),"#N/A")</f>
        <v>#N/A</v>
      </c>
      <c r="AD167" s="16" t="str">
        <f ca="1">IFERROR(__xludf.dummyfunction("""COMPUTED_VALUE"""),"#N/A")</f>
        <v>#N/A</v>
      </c>
      <c r="AE167" s="30" t="str">
        <f ca="1">IFERROR(__xludf.dummyfunction("""COMPUTED_VALUE"""),"#N/A")</f>
        <v>#N/A</v>
      </c>
      <c r="AF167" s="30" t="str">
        <f ca="1">IFERROR(__xludf.dummyfunction("""COMPUTED_VALUE"""),"#N/A")</f>
        <v>#N/A</v>
      </c>
      <c r="AG167" s="30" t="str">
        <f ca="1">IFERROR(__xludf.dummyfunction("""COMPUTED_VALUE"""),"#N/A")</f>
        <v>#N/A</v>
      </c>
    </row>
    <row r="168" spans="1:33" ht="13.8">
      <c r="A168" s="25"/>
      <c r="B168" s="25" t="s">
        <v>29</v>
      </c>
      <c r="C168" s="25" t="s">
        <v>310</v>
      </c>
      <c r="D168" s="25">
        <v>7</v>
      </c>
      <c r="E168" s="64" t="s">
        <v>1006</v>
      </c>
      <c r="F168" s="64"/>
      <c r="G168" s="86" t="s">
        <v>1013</v>
      </c>
      <c r="H168" s="72" t="str">
        <f ca="1">IFERROR(__xludf.dummyfunction("IFERROR(
  VLOOKUP(G168, IMPORTRANGE(""https://docs.google.com/spreadsheets/d/14deopnvwcrKtEGCKuYXdUHJbeLDZlkiSSWWT0g7x2pM/edit#gid=849066331"", ""LU List Maths (Filter)!A:B""), 2, FALSE),
  IFERROR(
    VLOOKUP(G168, IMPORTRANGE(""https://docs.google.com"&amp;"/spreadsheets/d/14deopnvwcrKtEGCKuYXdUHJbeLDZlkiSSWWT0g7x2pM/edit#gid=849066331"", ""LU List Science (Filter)!A:B""), 2, FALSE),
    ""Not Found""
  )
)
"),"Congruence of triangles by ASA criteria")</f>
        <v>Congruence of triangles by ASA criteria</v>
      </c>
      <c r="I168" s="64"/>
      <c r="J168" s="29" t="str">
        <f t="shared" si="30"/>
        <v>LU000840.001</v>
      </c>
      <c r="K168" s="29" t="str">
        <f ca="1">IFERROR(__xludf.dummyfunction("VLOOKUP(J168, IMPORTRANGE(""https://docs.google.com/spreadsheets/d/1yDAaXNsi4Mr5FtRQL4tbmSdIzhx6_m4wkOD7IG-k_eo/edit#gid=0"", ""Maths!M:N""), 2, FALSE)"),"Recall the ASA criteria for triangle congruence.")</f>
        <v>Recall the ASA criteria for triangle congruence.</v>
      </c>
      <c r="L168" s="29" t="str">
        <f t="shared" si="31"/>
        <v>LU000840.002</v>
      </c>
      <c r="M168" s="29" t="str">
        <f ca="1">IFERROR(__xludf.dummyfunction("VLOOKUP(L168, IMPORTRANGE(""https://docs.google.com/spreadsheets/d/1yDAaXNsi4Mr5FtRQL4tbmSdIzhx6_m4wkOD7IG-k_eo/edit#gid=0"", ""Maths!M:N""), 2, FALSE)"),"Explain the meaning and significance of the ASA Angle-Side-Angle) criteria for triangle congruence.")</f>
        <v>Explain the meaning and significance of the ASA Angle-Side-Angle) criteria for triangle congruence.</v>
      </c>
      <c r="N168" s="29" t="str">
        <f t="shared" si="32"/>
        <v>LU000840.003</v>
      </c>
      <c r="O168" s="29" t="str">
        <f ca="1">IFERROR(__xludf.dummyfunction("VLOOKUP(N168, IMPORTRANGE(""https://docs.google.com/spreadsheets/d/1yDAaXNsi4Mr5FtRQL4tbmSdIzhx6_m4wkOD7IG-k_eo/edit#gid=0"", ""Maths!M:N""), 2, FALSE)"),"Apply the ASA criteria to determine whether two given triangles are congruent.")</f>
        <v>Apply the ASA criteria to determine whether two given triangles are congruent.</v>
      </c>
      <c r="P168" s="29" t="str">
        <f t="shared" si="33"/>
        <v>LU000840.004</v>
      </c>
      <c r="Q168" s="29" t="str">
        <f ca="1">IFERROR(__xludf.dummyfunction("VLOOKUP(P168, IMPORTRANGE(""https://docs.google.com/spreadsheets/d/1yDAaXNsi4Mr5FtRQL4tbmSdIzhx6_m4wkOD7IG-k_eo/edit#gid=0"", ""Maths!M:N""), 2, FALSE)"),"Use the ASA criteria to find the unknown side or angle of a triangle when the corresponding side or angle of another congruent triangle is given.")</f>
        <v>Use the ASA criteria to find the unknown side or angle of a triangle when the corresponding side or angle of another congruent triangle is given.</v>
      </c>
      <c r="R168" s="29" t="str">
        <f t="shared" si="34"/>
        <v>LU000840.005</v>
      </c>
      <c r="S168" s="29" t="str">
        <f ca="1">IFERROR(__xludf.dummyfunction("VLOOKUP(R168, IMPORTRANGE(""https://docs.google.com/spreadsheets/d/1yDAaXNsi4Mr5FtRQL4tbmSdIzhx6_m4wkOD7IG-k_eo/edit#gid=0"", ""Maths!M:N""), 2, FALSE)"),"Evaluate the effectiveness of the ASA criteria as a method for establishing triangle congruence.")</f>
        <v>Evaluate the effectiveness of the ASA criteria as a method for establishing triangle congruence.</v>
      </c>
      <c r="T168" s="29" t="str">
        <f t="shared" si="35"/>
        <v>LU000840.006</v>
      </c>
      <c r="U168" s="29" t="str">
        <f ca="1">IFERROR(__xludf.dummyfunction("VLOOKUP(T168, IMPORTRANGE(""https://docs.google.com/spreadsheets/d/1yDAaXNsi4Mr5FtRQL4tbmSdIzhx6_m4wkOD7IG-k_eo/edit#gid=0"", ""Maths!M:N""), 2, FALSE)"),"Create geometric diagrams or illustrations that demonstrate the application of ASA criteria for triangle congruence.")</f>
        <v>Create geometric diagrams or illustrations that demonstrate the application of ASA criteria for triangle congruence.</v>
      </c>
      <c r="V168" s="16" t="str">
        <f ca="1">IFERROR(__xludf.dummyfunction("ArrayFormula(VLOOKUP(G168, IMPORTRANGE(""https://docs.google.com/spreadsheets/d/1p7R4vtkWt5VOBim4ltsDG9KTzSjrtKXsMtQGXPHyND0/edit#gid=795171502"", ""'Filter 30_05_2024'!A1:M2000""), {2, 3, 4, 5,6,7,8,9,10,11,12,13}, 0))"),"#N/A")</f>
        <v>#N/A</v>
      </c>
      <c r="W168" s="16" t="str">
        <f ca="1">IFERROR(__xludf.dummyfunction("""COMPUTED_VALUE"""),"#N/A")</f>
        <v>#N/A</v>
      </c>
      <c r="X168" s="16" t="str">
        <f ca="1">IFERROR(__xludf.dummyfunction("""COMPUTED_VALUE"""),"#N/A")</f>
        <v>#N/A</v>
      </c>
      <c r="Y168" s="16" t="str">
        <f ca="1">IFERROR(__xludf.dummyfunction("""COMPUTED_VALUE"""),"#N/A")</f>
        <v>#N/A</v>
      </c>
      <c r="Z168" s="16" t="str">
        <f ca="1">IFERROR(__xludf.dummyfunction("""COMPUTED_VALUE"""),"#N/A")</f>
        <v>#N/A</v>
      </c>
      <c r="AA168" s="30" t="str">
        <f ca="1">IFERROR(__xludf.dummyfunction("""COMPUTED_VALUE"""),"#N/A")</f>
        <v>#N/A</v>
      </c>
      <c r="AB168" s="30" t="str">
        <f ca="1">IFERROR(__xludf.dummyfunction("""COMPUTED_VALUE"""),"#N/A")</f>
        <v>#N/A</v>
      </c>
      <c r="AC168" s="30" t="str">
        <f ca="1">IFERROR(__xludf.dummyfunction("""COMPUTED_VALUE"""),"#N/A")</f>
        <v>#N/A</v>
      </c>
      <c r="AD168" s="16" t="str">
        <f ca="1">IFERROR(__xludf.dummyfunction("""COMPUTED_VALUE"""),"#N/A")</f>
        <v>#N/A</v>
      </c>
      <c r="AE168" s="30" t="str">
        <f ca="1">IFERROR(__xludf.dummyfunction("""COMPUTED_VALUE"""),"#N/A")</f>
        <v>#N/A</v>
      </c>
      <c r="AF168" s="30" t="str">
        <f ca="1">IFERROR(__xludf.dummyfunction("""COMPUTED_VALUE"""),"#N/A")</f>
        <v>#N/A</v>
      </c>
      <c r="AG168" s="30" t="str">
        <f ca="1">IFERROR(__xludf.dummyfunction("""COMPUTED_VALUE"""),"#N/A")</f>
        <v>#N/A</v>
      </c>
    </row>
    <row r="169" spans="1:33" ht="13.8">
      <c r="A169" s="25"/>
      <c r="B169" s="25" t="s">
        <v>29</v>
      </c>
      <c r="C169" s="25" t="s">
        <v>310</v>
      </c>
      <c r="D169" s="25">
        <v>7</v>
      </c>
      <c r="E169" s="64" t="s">
        <v>1006</v>
      </c>
      <c r="F169" s="64"/>
      <c r="G169" s="86" t="s">
        <v>1014</v>
      </c>
      <c r="H169" s="72" t="str">
        <f ca="1">IFERROR(__xludf.dummyfunction("IFERROR(
  VLOOKUP(G169, IMPORTRANGE(""https://docs.google.com/spreadsheets/d/14deopnvwcrKtEGCKuYXdUHJbeLDZlkiSSWWT0g7x2pM/edit#gid=849066331"", ""LU List Maths (Filter)!A:B""), 2, FALSE),
  IFERROR(
    VLOOKUP(G169, IMPORTRANGE(""https://docs.google.com"&amp;"/spreadsheets/d/14deopnvwcrKtEGCKuYXdUHJbeLDZlkiSSWWT0g7x2pM/edit#gid=849066331"", ""LU List Science (Filter)!A:B""), 2, FALSE),
    ""Not Found""
  )
)
"),"Congruence of triangles by RHS criteria")</f>
        <v>Congruence of triangles by RHS criteria</v>
      </c>
      <c r="I169" s="64"/>
      <c r="J169" s="29" t="str">
        <f t="shared" si="30"/>
        <v>LU000841.001</v>
      </c>
      <c r="K169" s="29" t="str">
        <f ca="1">IFERROR(__xludf.dummyfunction("VLOOKUP(J169, IMPORTRANGE(""https://docs.google.com/spreadsheets/d/1yDAaXNsi4Mr5FtRQL4tbmSdIzhx6_m4wkOD7IG-k_eo/edit#gid=0"", ""Maths!M:N""), 2, FALSE)"),"Recall the RHS criteria for triangle congruence.")</f>
        <v>Recall the RHS criteria for triangle congruence.</v>
      </c>
      <c r="L169" s="29" t="str">
        <f t="shared" si="31"/>
        <v>LU000841.002</v>
      </c>
      <c r="M169" s="29" t="str">
        <f ca="1">IFERROR(__xludf.dummyfunction("VLOOKUP(L169, IMPORTRANGE(""https://docs.google.com/spreadsheets/d/1yDAaXNsi4Mr5FtRQL4tbmSdIzhx6_m4wkOD7IG-k_eo/edit#gid=0"", ""Maths!M:N""), 2, FALSE)"),"Explain the meaning and significance of the RHS criteria for triangle congruence.")</f>
        <v>Explain the meaning and significance of the RHS criteria for triangle congruence.</v>
      </c>
      <c r="N169" s="29" t="str">
        <f t="shared" si="32"/>
        <v>LU000841.003</v>
      </c>
      <c r="O169" s="29" t="str">
        <f ca="1">IFERROR(__xludf.dummyfunction("VLOOKUP(N169, IMPORTRANGE(""https://docs.google.com/spreadsheets/d/1yDAaXNsi4Mr5FtRQL4tbmSdIzhx6_m4wkOD7IG-k_eo/edit#gid=0"", ""Maths!M:N""), 2, FALSE)"),"Apply the RHS criteria to determine whether two given triangles are congruent.")</f>
        <v>Apply the RHS criteria to determine whether two given triangles are congruent.</v>
      </c>
      <c r="P169" s="29" t="str">
        <f t="shared" si="33"/>
        <v>LU000841.004</v>
      </c>
      <c r="Q169" s="29" t="str">
        <f ca="1">IFERROR(__xludf.dummyfunction("VLOOKUP(P169, IMPORTRANGE(""https://docs.google.com/spreadsheets/d/1yDAaXNsi4Mr5FtRQL4tbmSdIzhx6_m4wkOD7IG-k_eo/edit#gid=0"", ""Maths!M:N""), 2, FALSE)"),"Use the RHS criteria to find the unknown side or angle of a triangle when the corresponding side or angle of another congruent triangle is given.")</f>
        <v>Use the RHS criteria to find the unknown side or angle of a triangle when the corresponding side or angle of another congruent triangle is given.</v>
      </c>
      <c r="R169" s="29" t="str">
        <f t="shared" si="34"/>
        <v>LU000841.005</v>
      </c>
      <c r="S169" s="29" t="str">
        <f ca="1">IFERROR(__xludf.dummyfunction("VLOOKUP(R169, IMPORTRANGE(""https://docs.google.com/spreadsheets/d/1yDAaXNsi4Mr5FtRQL4tbmSdIzhx6_m4wkOD7IG-k_eo/edit#gid=0"", ""Maths!M:N""), 2, FALSE)"),"Evaluate the effectiveness of the RHS criteria as a method for establishing triangle congruence.")</f>
        <v>Evaluate the effectiveness of the RHS criteria as a method for establishing triangle congruence.</v>
      </c>
      <c r="T169" s="29" t="str">
        <f t="shared" si="35"/>
        <v>LU000841.006</v>
      </c>
      <c r="U169" s="29" t="str">
        <f ca="1">IFERROR(__xludf.dummyfunction("VLOOKUP(T169, IMPORTRANGE(""https://docs.google.com/spreadsheets/d/1yDAaXNsi4Mr5FtRQL4tbmSdIzhx6_m4wkOD7IG-k_eo/edit#gid=0"", ""Maths!M:N""), 2, FALSE)"),"Create geometric diagrams or illustrations that demonstrate the application of RHS criteria for triangle congruence.")</f>
        <v>Create geometric diagrams or illustrations that demonstrate the application of RHS criteria for triangle congruence.</v>
      </c>
      <c r="V169" s="16" t="str">
        <f ca="1">IFERROR(__xludf.dummyfunction("ArrayFormula(VLOOKUP(G169, IMPORTRANGE(""https://docs.google.com/spreadsheets/d/1p7R4vtkWt5VOBim4ltsDG9KTzSjrtKXsMtQGXPHyND0/edit#gid=795171502"", ""'Filter 30_05_2024'!A1:M2000""), {2, 3, 4, 5,6,7,8,9,10,11,12,13}, 0))"),"#N/A")</f>
        <v>#N/A</v>
      </c>
      <c r="W169" s="16" t="str">
        <f ca="1">IFERROR(__xludf.dummyfunction("""COMPUTED_VALUE"""),"#N/A")</f>
        <v>#N/A</v>
      </c>
      <c r="X169" s="16" t="str">
        <f ca="1">IFERROR(__xludf.dummyfunction("""COMPUTED_VALUE"""),"#N/A")</f>
        <v>#N/A</v>
      </c>
      <c r="Y169" s="16" t="str">
        <f ca="1">IFERROR(__xludf.dummyfunction("""COMPUTED_VALUE"""),"#N/A")</f>
        <v>#N/A</v>
      </c>
      <c r="Z169" s="16" t="str">
        <f ca="1">IFERROR(__xludf.dummyfunction("""COMPUTED_VALUE"""),"#N/A")</f>
        <v>#N/A</v>
      </c>
      <c r="AA169" s="30" t="str">
        <f ca="1">IFERROR(__xludf.dummyfunction("""COMPUTED_VALUE"""),"#N/A")</f>
        <v>#N/A</v>
      </c>
      <c r="AB169" s="30" t="str">
        <f ca="1">IFERROR(__xludf.dummyfunction("""COMPUTED_VALUE"""),"#N/A")</f>
        <v>#N/A</v>
      </c>
      <c r="AC169" s="30" t="str">
        <f ca="1">IFERROR(__xludf.dummyfunction("""COMPUTED_VALUE"""),"#N/A")</f>
        <v>#N/A</v>
      </c>
      <c r="AD169" s="16" t="str">
        <f ca="1">IFERROR(__xludf.dummyfunction("""COMPUTED_VALUE"""),"#N/A")</f>
        <v>#N/A</v>
      </c>
      <c r="AE169" s="30" t="str">
        <f ca="1">IFERROR(__xludf.dummyfunction("""COMPUTED_VALUE"""),"#N/A")</f>
        <v>#N/A</v>
      </c>
      <c r="AF169" s="30" t="str">
        <f ca="1">IFERROR(__xludf.dummyfunction("""COMPUTED_VALUE"""),"#N/A")</f>
        <v>#N/A</v>
      </c>
      <c r="AG169" s="30" t="str">
        <f ca="1">IFERROR(__xludf.dummyfunction("""COMPUTED_VALUE"""),"#N/A")</f>
        <v>#N/A</v>
      </c>
    </row>
    <row r="170" spans="1:33" ht="26.4">
      <c r="A170" s="25"/>
      <c r="B170" s="25" t="s">
        <v>29</v>
      </c>
      <c r="C170" s="25" t="s">
        <v>310</v>
      </c>
      <c r="D170" s="25">
        <v>7</v>
      </c>
      <c r="E170" s="87" t="s">
        <v>701</v>
      </c>
      <c r="F170" s="89" t="s">
        <v>1015</v>
      </c>
      <c r="G170" s="86" t="s">
        <v>1016</v>
      </c>
      <c r="H170" s="72" t="str">
        <f ca="1">IFERROR(__xludf.dummyfunction("IFERROR(
  VLOOKUP(G170, IMPORTRANGE(""https://docs.google.com/spreadsheets/d/14deopnvwcrKtEGCKuYXdUHJbeLDZlkiSSWWT0g7x2pM/edit#gid=849066331"", ""LU List Maths (Filter)!A:B""), 2, FALSE),
  IFERROR(
    VLOOKUP(G170, IMPORTRANGE(""https://docs.google.com"&amp;"/spreadsheets/d/14deopnvwcrKtEGCKuYXdUHJbeLDZlkiSSWWT0g7x2pM/edit#gid=849066331"", ""LU List Science (Filter)!A:B""), 2, FALSE),
    ""Not Found""
  )
)
"),"Construction of a line parallel to a given line, through a point not on the line using ruler and compass")</f>
        <v>Construction of a line parallel to a given line, through a point not on the line using ruler and compass</v>
      </c>
      <c r="I170" s="64"/>
      <c r="J170" s="29" t="str">
        <f t="shared" si="30"/>
        <v>LU000846.001</v>
      </c>
      <c r="K170" s="29" t="str">
        <f ca="1">IFERROR(__xludf.dummyfunction("VLOOKUP(J170, IMPORTRANGE(""https://docs.google.com/spreadsheets/d/1yDAaXNsi4Mr5FtRQL4tbmSdIzhx6_m4wkOD7IG-k_eo/edit#gid=0"", ""Maths!M:N""), 2, FALSE)"),"Memorize the steps involved in constructing a line parallel to a given line through a point not on the line using ruler and compasses.")</f>
        <v>Memorize the steps involved in constructing a line parallel to a given line through a point not on the line using ruler and compasses.</v>
      </c>
      <c r="L170" s="29" t="str">
        <f t="shared" si="31"/>
        <v>LU000846.002</v>
      </c>
      <c r="M170" s="29" t="str">
        <f ca="1">IFERROR(__xludf.dummyfunction("VLOOKUP(L170, IMPORTRANGE(""https://docs.google.com/spreadsheets/d/1yDAaXNsi4Mr5FtRQL4tbmSdIzhx6_m4wkOD7IG-k_eo/edit#gid=0"", ""Maths!M:N""), 2, FALSE)"),"Describe the significance of maintaining a fixed distance between the constructed line and the reference line.")</f>
        <v>Describe the significance of maintaining a fixed distance between the constructed line and the reference line.</v>
      </c>
      <c r="N170" s="29" t="str">
        <f t="shared" si="32"/>
        <v>LU000846.003</v>
      </c>
      <c r="O170" s="29" t="str">
        <f ca="1">IFERROR(__xludf.dummyfunction("VLOOKUP(N170, IMPORTRANGE(""https://docs.google.com/spreadsheets/d/1yDAaXNsi4Mr5FtRQL4tbmSdIzhx6_m4wkOD7IG-k_eo/edit#gid=0"", ""Maths!M:N""), 2, FALSE)"),"Apply the construction method to accurately draw a line parallel to a given line through a specified point not on the line.")</f>
        <v>Apply the construction method to accurately draw a line parallel to a given line through a specified point not on the line.</v>
      </c>
      <c r="P170" s="29" t="str">
        <f t="shared" si="33"/>
        <v>LU000846.004</v>
      </c>
      <c r="Q170" s="29" t="str">
        <f ca="1">IFERROR(__xludf.dummyfunction("VLOOKUP(P170, IMPORTRANGE(""https://docs.google.com/spreadsheets/d/1yDAaXNsi4Mr5FtRQL4tbmSdIzhx6_m4wkOD7IG-k_eo/edit#gid=0"", ""Maths!M:N""), 2, FALSE)"),"Analyze the construction steps involved in drawing a parallel line and identify critical points where accuracy is essential.")</f>
        <v>Analyze the construction steps involved in drawing a parallel line and identify critical points where accuracy is essential.</v>
      </c>
      <c r="R170" s="29" t="str">
        <f t="shared" si="34"/>
        <v>LU000846.005</v>
      </c>
      <c r="S170" s="29" t="str">
        <f ca="1">IFERROR(__xludf.dummyfunction("VLOOKUP(R170, IMPORTRANGE(""https://docs.google.com/spreadsheets/d/1yDAaXNsi4Mr5FtRQL4tbmSdIzhx6_m4wkOD7IG-k_eo/edit#gid=0"", ""Maths!M:N""), 2, FALSE)"),"Assess the accuracy of the constructed parallel line by verifying its parallelism with the reference line.")</f>
        <v>Assess the accuracy of the constructed parallel line by verifying its parallelism with the reference line.</v>
      </c>
      <c r="T170" s="29" t="str">
        <f t="shared" si="35"/>
        <v>LU000846.006</v>
      </c>
      <c r="U170" s="29" t="str">
        <f ca="1">IFERROR(__xludf.dummyfunction("VLOOKUP(T170, IMPORTRANGE(""https://docs.google.com/spreadsheets/d/1yDAaXNsi4Mr5FtRQL4tbmSdIzhx6_m4wkOD7IG-k_eo/edit#gid=0"", ""Maths!M:N""), 2, FALSE)"),"Invent a real-world scenario where the ability to construct parallel lines through points not on the line is essential, and create a step-by-step construction plan for solving the problem.")</f>
        <v>Invent a real-world scenario where the ability to construct parallel lines through points not on the line is essential, and create a step-by-step construction plan for solving the problem.</v>
      </c>
      <c r="V170" s="16" t="str">
        <f ca="1">IFERROR(__xludf.dummyfunction("ArrayFormula(VLOOKUP(G170, IMPORTRANGE(""https://docs.google.com/spreadsheets/d/1p7R4vtkWt5VOBim4ltsDG9KTzSjrtKXsMtQGXPHyND0/edit#gid=795171502"", ""'Filter 30_05_2024'!A1:M2000""), {2, 3, 4, 5,6,7,8,9,10,11,12,13}, 0))"),"#N/A")</f>
        <v>#N/A</v>
      </c>
      <c r="W170" s="16" t="str">
        <f ca="1">IFERROR(__xludf.dummyfunction("""COMPUTED_VALUE"""),"#N/A")</f>
        <v>#N/A</v>
      </c>
      <c r="X170" s="16" t="str">
        <f ca="1">IFERROR(__xludf.dummyfunction("""COMPUTED_VALUE"""),"#N/A")</f>
        <v>#N/A</v>
      </c>
      <c r="Y170" s="16" t="str">
        <f ca="1">IFERROR(__xludf.dummyfunction("""COMPUTED_VALUE"""),"#N/A")</f>
        <v>#N/A</v>
      </c>
      <c r="Z170" s="16" t="str">
        <f ca="1">IFERROR(__xludf.dummyfunction("""COMPUTED_VALUE"""),"#N/A")</f>
        <v>#N/A</v>
      </c>
      <c r="AA170" s="30" t="str">
        <f ca="1">IFERROR(__xludf.dummyfunction("""COMPUTED_VALUE"""),"#N/A")</f>
        <v>#N/A</v>
      </c>
      <c r="AB170" s="30" t="str">
        <f ca="1">IFERROR(__xludf.dummyfunction("""COMPUTED_VALUE"""),"#N/A")</f>
        <v>#N/A</v>
      </c>
      <c r="AC170" s="30" t="str">
        <f ca="1">IFERROR(__xludf.dummyfunction("""COMPUTED_VALUE"""),"#N/A")</f>
        <v>#N/A</v>
      </c>
      <c r="AD170" s="16" t="str">
        <f ca="1">IFERROR(__xludf.dummyfunction("""COMPUTED_VALUE"""),"#N/A")</f>
        <v>#N/A</v>
      </c>
      <c r="AE170" s="30" t="str">
        <f ca="1">IFERROR(__xludf.dummyfunction("""COMPUTED_VALUE"""),"#N/A")</f>
        <v>#N/A</v>
      </c>
      <c r="AF170" s="30" t="str">
        <f ca="1">IFERROR(__xludf.dummyfunction("""COMPUTED_VALUE"""),"#N/A")</f>
        <v>#N/A</v>
      </c>
      <c r="AG170" s="30" t="str">
        <f ca="1">IFERROR(__xludf.dummyfunction("""COMPUTED_VALUE"""),"#N/A")</f>
        <v>#N/A</v>
      </c>
    </row>
    <row r="171" spans="1:33" ht="13.8">
      <c r="A171" s="25"/>
      <c r="B171" s="25" t="s">
        <v>29</v>
      </c>
      <c r="C171" s="25" t="s">
        <v>310</v>
      </c>
      <c r="D171" s="25">
        <v>7</v>
      </c>
      <c r="E171" s="87" t="s">
        <v>701</v>
      </c>
      <c r="F171" s="89" t="s">
        <v>1017</v>
      </c>
      <c r="G171" s="86" t="s">
        <v>1018</v>
      </c>
      <c r="H171" s="72" t="str">
        <f ca="1">IFERROR(__xludf.dummyfunction("IFERROR(
  VLOOKUP(G171, IMPORTRANGE(""https://docs.google.com/spreadsheets/d/14deopnvwcrKtEGCKuYXdUHJbeLDZlkiSSWWT0g7x2pM/edit#gid=849066331"", ""LU List Maths (Filter)!A:B""), 2, FALSE),
  IFERROR(
    VLOOKUP(G171, IMPORTRANGE(""https://docs.google.com"&amp;"/spreadsheets/d/14deopnvwcrKtEGCKuYXdUHJbeLDZlkiSSWWT0g7x2pM/edit#gid=849066331"", ""LU List Science (Filter)!A:B""), 2, FALSE),
    ""Not Found""
  )
)
"),"Set of measurements required for constructing a triangle")</f>
        <v>Set of measurements required for constructing a triangle</v>
      </c>
      <c r="I171" s="64"/>
      <c r="J171" s="29" t="str">
        <f t="shared" si="30"/>
        <v>LU000847.001</v>
      </c>
      <c r="K171" s="29" t="str">
        <f ca="1">IFERROR(__xludf.dummyfunction("VLOOKUP(J171, IMPORTRANGE(""https://docs.google.com/spreadsheets/d/1yDAaXNsi4Mr5FtRQL4tbmSdIzhx6_m4wkOD7IG-k_eo/edit#gid=0"", ""Maths!M:N""), 2, FALSE)"),"#N/A")</f>
        <v>#N/A</v>
      </c>
      <c r="L171" s="29" t="str">
        <f t="shared" si="31"/>
        <v>LU000847.002</v>
      </c>
      <c r="M171" s="29" t="str">
        <f ca="1">IFERROR(__xludf.dummyfunction("VLOOKUP(L171, IMPORTRANGE(""https://docs.google.com/spreadsheets/d/1yDAaXNsi4Mr5FtRQL4tbmSdIzhx6_m4wkOD7IG-k_eo/edit#gid=0"", ""Maths!M:N""), 2, FALSE)"),"Explain the importance of having a proper set of measurements to construct a triangle.")</f>
        <v>Explain the importance of having a proper set of measurements to construct a triangle.</v>
      </c>
      <c r="N171" s="29" t="str">
        <f t="shared" si="32"/>
        <v>LU000847.003</v>
      </c>
      <c r="O171" s="29" t="str">
        <f ca="1">IFERROR(__xludf.dummyfunction("VLOOKUP(N171, IMPORTRANGE(""https://docs.google.com/spreadsheets/d/1yDAaXNsi4Mr5FtRQL4tbmSdIzhx6_m4wkOD7IG-k_eo/edit#gid=0"", ""Maths!M:N""), 2, FALSE)"),"Apply the knowledge of triangle construction criteria to verify if a given set of measurements can form a valid triangle.")</f>
        <v>Apply the knowledge of triangle construction criteria to verify if a given set of measurements can form a valid triangle.</v>
      </c>
      <c r="P171" s="29" t="str">
        <f t="shared" si="33"/>
        <v>LU000847.004</v>
      </c>
      <c r="Q171" s="29" t="str">
        <f ca="1">IFERROR(__xludf.dummyfunction("VLOOKUP(P171, IMPORTRANGE(""https://docs.google.com/spreadsheets/d/1yDAaXNsi4Mr5FtRQL4tbmSdIzhx6_m4wkOD7IG-k_eo/edit#gid=0"", ""Maths!M:N""), 2, FALSE)"),"Analyze different scenarios involving sets of measurements for triangle construction and identify when a triangle is possible or impossible to construct.")</f>
        <v>Analyze different scenarios involving sets of measurements for triangle construction and identify when a triangle is possible or impossible to construct.</v>
      </c>
      <c r="R171" s="29" t="str">
        <f t="shared" si="34"/>
        <v>LU000847.005</v>
      </c>
      <c r="S171" s="29" t="str">
        <f ca="1">IFERROR(__xludf.dummyfunction("VLOOKUP(R171, IMPORTRANGE(""https://docs.google.com/spreadsheets/d/1yDAaXNsi4Mr5FtRQL4tbmSdIzhx6_m4wkOD7IG-k_eo/edit#gid=0"", ""Maths!M:N""), 2, FALSE)"),"Evaluate the feasibility and validity of measurement sets for constructing triangles, identifying instances where sets of measurements cannot form a triangle.")</f>
        <v>Evaluate the feasibility and validity of measurement sets for constructing triangles, identifying instances where sets of measurements cannot form a triangle.</v>
      </c>
      <c r="T171" s="29" t="str">
        <f t="shared" si="35"/>
        <v>LU000847.006</v>
      </c>
      <c r="U171" s="29" t="str">
        <f ca="1">IFERROR(__xludf.dummyfunction("VLOOKUP(T171, IMPORTRANGE(""https://docs.google.com/spreadsheets/d/1yDAaXNsi4Mr5FtRQL4tbmSdIzhx6_m4wkOD7IG-k_eo/edit#gid=0"", ""Maths!M:N""), 2, FALSE)"),"Design a geometric problem that requires students to choose and work with specific sets of measurements to construct triangles with particular properties.")</f>
        <v>Design a geometric problem that requires students to choose and work with specific sets of measurements to construct triangles with particular properties.</v>
      </c>
      <c r="V171" s="16" t="str">
        <f ca="1">IFERROR(__xludf.dummyfunction("ArrayFormula(VLOOKUP(G171, IMPORTRANGE(""https://docs.google.com/spreadsheets/d/1p7R4vtkWt5VOBim4ltsDG9KTzSjrtKXsMtQGXPHyND0/edit#gid=795171502"", ""'Filter 30_05_2024'!A1:M2000""), {2, 3, 4, 5,6,7,8,9,10,11,12,13}, 0))"),"#N/A")</f>
        <v>#N/A</v>
      </c>
      <c r="W171" s="16" t="str">
        <f ca="1">IFERROR(__xludf.dummyfunction("""COMPUTED_VALUE"""),"#N/A")</f>
        <v>#N/A</v>
      </c>
      <c r="X171" s="16" t="str">
        <f ca="1">IFERROR(__xludf.dummyfunction("""COMPUTED_VALUE"""),"#N/A")</f>
        <v>#N/A</v>
      </c>
      <c r="Y171" s="16" t="str">
        <f ca="1">IFERROR(__xludf.dummyfunction("""COMPUTED_VALUE"""),"#N/A")</f>
        <v>#N/A</v>
      </c>
      <c r="Z171" s="16" t="str">
        <f ca="1">IFERROR(__xludf.dummyfunction("""COMPUTED_VALUE"""),"#N/A")</f>
        <v>#N/A</v>
      </c>
      <c r="AA171" s="30" t="str">
        <f ca="1">IFERROR(__xludf.dummyfunction("""COMPUTED_VALUE"""),"#N/A")</f>
        <v>#N/A</v>
      </c>
      <c r="AB171" s="30" t="str">
        <f ca="1">IFERROR(__xludf.dummyfunction("""COMPUTED_VALUE"""),"#N/A")</f>
        <v>#N/A</v>
      </c>
      <c r="AC171" s="30" t="str">
        <f ca="1">IFERROR(__xludf.dummyfunction("""COMPUTED_VALUE"""),"#N/A")</f>
        <v>#N/A</v>
      </c>
      <c r="AD171" s="16" t="str">
        <f ca="1">IFERROR(__xludf.dummyfunction("""COMPUTED_VALUE"""),"#N/A")</f>
        <v>#N/A</v>
      </c>
      <c r="AE171" s="30" t="str">
        <f ca="1">IFERROR(__xludf.dummyfunction("""COMPUTED_VALUE"""),"#N/A")</f>
        <v>#N/A</v>
      </c>
      <c r="AF171" s="30" t="str">
        <f ca="1">IFERROR(__xludf.dummyfunction("""COMPUTED_VALUE"""),"#N/A")</f>
        <v>#N/A</v>
      </c>
      <c r="AG171" s="30" t="str">
        <f ca="1">IFERROR(__xludf.dummyfunction("""COMPUTED_VALUE"""),"#N/A")</f>
        <v>#N/A</v>
      </c>
    </row>
    <row r="172" spans="1:33" ht="13.8">
      <c r="A172" s="25"/>
      <c r="B172" s="25" t="s">
        <v>29</v>
      </c>
      <c r="C172" s="25" t="s">
        <v>310</v>
      </c>
      <c r="D172" s="25">
        <v>7</v>
      </c>
      <c r="E172" s="87" t="s">
        <v>701</v>
      </c>
      <c r="F172" s="89"/>
      <c r="G172" s="86" t="s">
        <v>1019</v>
      </c>
      <c r="H172" s="72" t="str">
        <f ca="1">IFERROR(__xludf.dummyfunction("IFERROR(
  VLOOKUP(G172, IMPORTRANGE(""https://docs.google.com/spreadsheets/d/14deopnvwcrKtEGCKuYXdUHJbeLDZlkiSSWWT0g7x2pM/edit#gid=849066331"", ""LU List Maths (Filter)!A:B""), 2, FALSE),
  IFERROR(
    VLOOKUP(G172, IMPORTRANGE(""https://docs.google.com"&amp;"/spreadsheets/d/14deopnvwcrKtEGCKuYXdUHJbeLDZlkiSSWWT0g7x2pM/edit#gid=849066331"", ""LU List Science (Filter)!A:B""), 2, FALSE),
    ""Not Found""
  )
)
"),"Construction of a triangle with SSS criterion")</f>
        <v>Construction of a triangle with SSS criterion</v>
      </c>
      <c r="I172" s="64"/>
      <c r="J172" s="29" t="str">
        <f t="shared" si="30"/>
        <v>LU000848.001</v>
      </c>
      <c r="K172" s="29" t="str">
        <f ca="1">IFERROR(__xludf.dummyfunction("VLOOKUP(J172, IMPORTRANGE(""https://docs.google.com/spreadsheets/d/1yDAaXNsi4Mr5FtRQL4tbmSdIzhx6_m4wkOD7IG-k_eo/edit#gid=0"", ""Maths!M:N""), 2, FALSE)"),"Memorize the specific measurements required for the SSS criterion to be satisfied.")</f>
        <v>Memorize the specific measurements required for the SSS criterion to be satisfied.</v>
      </c>
      <c r="L172" s="29" t="str">
        <f t="shared" si="31"/>
        <v>LU000848.002</v>
      </c>
      <c r="M172" s="29" t="str">
        <f ca="1">IFERROR(__xludf.dummyfunction("VLOOKUP(L172, IMPORTRANGE(""https://docs.google.com/spreadsheets/d/1yDAaXNsi4Mr5FtRQL4tbmSdIzhx6_m4wkOD7IG-k_eo/edit#gid=0"", ""Maths!M:N""), 2, FALSE)"),"Describe the relationship between the given side lengths and the ability to construct a triangle meeting the SSS criterion.")</f>
        <v>Describe the relationship between the given side lengths and the ability to construct a triangle meeting the SSS criterion.</v>
      </c>
      <c r="N172" s="29" t="str">
        <f t="shared" si="32"/>
        <v>LU000848.003</v>
      </c>
      <c r="O172" s="29" t="str">
        <f ca="1">IFERROR(__xludf.dummyfunction("VLOOKUP(N172, IMPORTRANGE(""https://docs.google.com/spreadsheets/d/1yDAaXNsi4Mr5FtRQL4tbmSdIzhx6_m4wkOD7IG-k_eo/edit#gid=0"", ""Maths!M:N""), 2, FALSE)"),"Apply the SSS criterion to construct a triangle with specific side lengths using a ruler and compass.")</f>
        <v>Apply the SSS criterion to construct a triangle with specific side lengths using a ruler and compass.</v>
      </c>
      <c r="P172" s="29" t="str">
        <f t="shared" si="33"/>
        <v>LU000848.004</v>
      </c>
      <c r="Q172" s="29" t="str">
        <f ca="1">IFERROR(__xludf.dummyfunction("VLOOKUP(P172, IMPORTRANGE(""https://docs.google.com/spreadsheets/d/1yDAaXNsi4Mr5FtRQL4tbmSdIzhx6_m4wkOD7IG-k_eo/edit#gid=0"", ""Maths!M:N""), 2, FALSE)"),"Analyse different sets of side lengths and assess whether they satisfy the SSS criterion for triangle construction.")</f>
        <v>Analyse different sets of side lengths and assess whether they satisfy the SSS criterion for triangle construction.</v>
      </c>
      <c r="R172" s="29" t="str">
        <f t="shared" si="34"/>
        <v>LU000848.005</v>
      </c>
      <c r="S172" s="29" t="str">
        <f ca="1">IFERROR(__xludf.dummyfunction("VLOOKUP(R172, IMPORTRANGE(""https://docs.google.com/spreadsheets/d/1yDAaXNsi4Mr5FtRQL4tbmSdIzhx6_m4wkOD7IG-k_eo/edit#gid=0"", ""Maths!M:N""), 2, FALSE)"),"Assess the reliability and accuracy of the SSS criterion for triangle construction in various scenarios.")</f>
        <v>Assess the reliability and accuracy of the SSS criterion for triangle construction in various scenarios.</v>
      </c>
      <c r="T172" s="29" t="str">
        <f t="shared" si="35"/>
        <v>LU000848.006</v>
      </c>
      <c r="U172" s="29" t="str">
        <f ca="1">IFERROR(__xludf.dummyfunction("VLOOKUP(T172, IMPORTRANGE(""https://docs.google.com/spreadsheets/d/1yDAaXNsi4Mr5FtRQL4tbmSdIzhx6_m4wkOD7IG-k_eo/edit#gid=0"", ""Maths!M:N""), 2, FALSE)"),"Design a geometric problem that requires students to construct a triangle using the SSS criterion, specifying the side lengths, and challenging their construction skills.")</f>
        <v>Design a geometric problem that requires students to construct a triangle using the SSS criterion, specifying the side lengths, and challenging their construction skills.</v>
      </c>
      <c r="V172" s="16" t="str">
        <f ca="1">IFERROR(__xludf.dummyfunction("ArrayFormula(VLOOKUP(G172, IMPORTRANGE(""https://docs.google.com/spreadsheets/d/1p7R4vtkWt5VOBim4ltsDG9KTzSjrtKXsMtQGXPHyND0/edit#gid=795171502"", ""'Filter 30_05_2024'!A1:M2000""), {2, 3, 4, 5,6,7,8,9,10,11,12,13}, 0))"),"#N/A")</f>
        <v>#N/A</v>
      </c>
      <c r="W172" s="16" t="str">
        <f ca="1">IFERROR(__xludf.dummyfunction("""COMPUTED_VALUE"""),"#N/A")</f>
        <v>#N/A</v>
      </c>
      <c r="X172" s="16" t="str">
        <f ca="1">IFERROR(__xludf.dummyfunction("""COMPUTED_VALUE"""),"#N/A")</f>
        <v>#N/A</v>
      </c>
      <c r="Y172" s="16" t="str">
        <f ca="1">IFERROR(__xludf.dummyfunction("""COMPUTED_VALUE"""),"#N/A")</f>
        <v>#N/A</v>
      </c>
      <c r="Z172" s="16" t="str">
        <f ca="1">IFERROR(__xludf.dummyfunction("""COMPUTED_VALUE"""),"#N/A")</f>
        <v>#N/A</v>
      </c>
      <c r="AA172" s="30" t="str">
        <f ca="1">IFERROR(__xludf.dummyfunction("""COMPUTED_VALUE"""),"#N/A")</f>
        <v>#N/A</v>
      </c>
      <c r="AB172" s="30" t="str">
        <f ca="1">IFERROR(__xludf.dummyfunction("""COMPUTED_VALUE"""),"#N/A")</f>
        <v>#N/A</v>
      </c>
      <c r="AC172" s="30" t="str">
        <f ca="1">IFERROR(__xludf.dummyfunction("""COMPUTED_VALUE"""),"#N/A")</f>
        <v>#N/A</v>
      </c>
      <c r="AD172" s="16" t="str">
        <f ca="1">IFERROR(__xludf.dummyfunction("""COMPUTED_VALUE"""),"#N/A")</f>
        <v>#N/A</v>
      </c>
      <c r="AE172" s="30" t="str">
        <f ca="1">IFERROR(__xludf.dummyfunction("""COMPUTED_VALUE"""),"#N/A")</f>
        <v>#N/A</v>
      </c>
      <c r="AF172" s="30" t="str">
        <f ca="1">IFERROR(__xludf.dummyfunction("""COMPUTED_VALUE"""),"#N/A")</f>
        <v>#N/A</v>
      </c>
      <c r="AG172" s="30" t="str">
        <f ca="1">IFERROR(__xludf.dummyfunction("""COMPUTED_VALUE"""),"#N/A")</f>
        <v>#N/A</v>
      </c>
    </row>
    <row r="173" spans="1:33" ht="13.8">
      <c r="A173" s="25"/>
      <c r="B173" s="25" t="s">
        <v>29</v>
      </c>
      <c r="C173" s="25" t="s">
        <v>310</v>
      </c>
      <c r="D173" s="25">
        <v>7</v>
      </c>
      <c r="E173" s="87" t="s">
        <v>701</v>
      </c>
      <c r="F173" s="89"/>
      <c r="G173" s="86" t="s">
        <v>1020</v>
      </c>
      <c r="H173" s="72" t="str">
        <f ca="1">IFERROR(__xludf.dummyfunction("IFERROR(
  VLOOKUP(G173, IMPORTRANGE(""https://docs.google.com/spreadsheets/d/14deopnvwcrKtEGCKuYXdUHJbeLDZlkiSSWWT0g7x2pM/edit#gid=849066331"", ""LU List Maths (Filter)!A:B""), 2, FALSE),
  IFERROR(
    VLOOKUP(G173, IMPORTRANGE(""https://docs.google.com"&amp;"/spreadsheets/d/14deopnvwcrKtEGCKuYXdUHJbeLDZlkiSSWWT0g7x2pM/edit#gid=849066331"", ""LU List Science (Filter)!A:B""), 2, FALSE),
    ""Not Found""
  )
)
"),"Construction of a triangle with SAS criterion")</f>
        <v>Construction of a triangle with SAS criterion</v>
      </c>
      <c r="I173" s="64"/>
      <c r="J173" s="29" t="str">
        <f t="shared" si="30"/>
        <v>LU000849.001</v>
      </c>
      <c r="K173" s="29" t="str">
        <f ca="1">IFERROR(__xludf.dummyfunction("VLOOKUP(J173, IMPORTRANGE(""https://docs.google.com/spreadsheets/d/1yDAaXNsi4Mr5FtRQL4tbmSdIzhx6_m4wkOD7IG-k_eo/edit#gid=0"", ""Maths!M:N""), 2, FALSE)"),"Memorize the specific measurements required for the SAS criterion to be satisfied.")</f>
        <v>Memorize the specific measurements required for the SAS criterion to be satisfied.</v>
      </c>
      <c r="L173" s="29" t="str">
        <f t="shared" si="31"/>
        <v>LU000849.002</v>
      </c>
      <c r="M173" s="29" t="str">
        <f ca="1">IFERROR(__xludf.dummyfunction("VLOOKUP(L173, IMPORTRANGE(""https://docs.google.com/spreadsheets/d/1yDAaXNsi4Mr5FtRQL4tbmSdIzhx6_m4wkOD7IG-k_eo/edit#gid=0"", ""Maths!M:N""), 2, FALSE)"),"Describe the relationship between the given side lengths, included angle measure, and the ability to construct a triangle meeting the SAS criterion.")</f>
        <v>Describe the relationship between the given side lengths, included angle measure, and the ability to construct a triangle meeting the SAS criterion.</v>
      </c>
      <c r="N173" s="29" t="str">
        <f t="shared" si="32"/>
        <v>LU000849.003</v>
      </c>
      <c r="O173" s="29" t="str">
        <f ca="1">IFERROR(__xludf.dummyfunction("VLOOKUP(N173, IMPORTRANGE(""https://docs.google.com/spreadsheets/d/1yDAaXNsi4Mr5FtRQL4tbmSdIzhx6_m4wkOD7IG-k_eo/edit#gid=0"", ""Maths!M:N""), 2, FALSE)"),"Apply the knowledge of the SAS criterion to accurately construct a triangle using ruler and compass when provided with the lengths of two sides and the measure of an included angle.")</f>
        <v>Apply the knowledge of the SAS criterion to accurately construct a triangle using ruler and compass when provided with the lengths of two sides and the measure of an included angle.</v>
      </c>
      <c r="P173" s="29" t="str">
        <f t="shared" si="33"/>
        <v>LU000849.004</v>
      </c>
      <c r="Q173" s="29" t="str">
        <f ca="1">IFERROR(__xludf.dummyfunction("VLOOKUP(P173, IMPORTRANGE(""https://docs.google.com/spreadsheets/d/1yDAaXNsi4Mr5FtRQL4tbmSdIzhx6_m4wkOD7IG-k_eo/edit#gid=0"", ""Maths!M:N""), 2, FALSE)"),"Break down the construction process into its constituent steps and identify the critical role of side lengths and the included angle in triangle congruence.")</f>
        <v>Break down the construction process into its constituent steps and identify the critical role of side lengths and the included angle in triangle congruence.</v>
      </c>
      <c r="R173" s="29" t="str">
        <f t="shared" si="34"/>
        <v>LU000849.005</v>
      </c>
      <c r="S173" s="29" t="str">
        <f ca="1">IFERROR(__xludf.dummyfunction("VLOOKUP(R173, IMPORTRANGE(""https://docs.google.com/spreadsheets/d/1yDAaXNsi4Mr5FtRQL4tbmSdIzhx6_m4wkOD7IG-k_eo/edit#gid=0"", ""Maths!M:N""), 2, FALSE)"),"Assess the reliability and accuracy of the SAS criterion for triangle construction in various scenarios.")</f>
        <v>Assess the reliability and accuracy of the SAS criterion for triangle construction in various scenarios.</v>
      </c>
      <c r="T173" s="29" t="str">
        <f t="shared" si="35"/>
        <v>LU000849.006</v>
      </c>
      <c r="U173" s="29" t="str">
        <f ca="1">IFERROR(__xludf.dummyfunction("VLOOKUP(T173, IMPORTRANGE(""https://docs.google.com/spreadsheets/d/1yDAaXNsi4Mr5FtRQL4tbmSdIzhx6_m4wkOD7IG-k_eo/edit#gid=0"", ""Maths!M:N""), 2, FALSE)"),"Invent a set of side lengths and an included angle measure and challenge students to create triangles that meet the SAS criterion for congruence, fostering creative problem-solving skills and understanding of congruence principles.")</f>
        <v>Invent a set of side lengths and an included angle measure and challenge students to create triangles that meet the SAS criterion for congruence, fostering creative problem-solving skills and understanding of congruence principles.</v>
      </c>
      <c r="V173" s="16" t="str">
        <f ca="1">IFERROR(__xludf.dummyfunction("ArrayFormula(VLOOKUP(G173, IMPORTRANGE(""https://docs.google.com/spreadsheets/d/1p7R4vtkWt5VOBim4ltsDG9KTzSjrtKXsMtQGXPHyND0/edit#gid=795171502"", ""'Filter 30_05_2024'!A1:M2000""), {2, 3, 4, 5,6,7,8,9,10,11,12,13}, 0))"),"#N/A")</f>
        <v>#N/A</v>
      </c>
      <c r="W173" s="16" t="str">
        <f ca="1">IFERROR(__xludf.dummyfunction("""COMPUTED_VALUE"""),"#N/A")</f>
        <v>#N/A</v>
      </c>
      <c r="X173" s="16" t="str">
        <f ca="1">IFERROR(__xludf.dummyfunction("""COMPUTED_VALUE"""),"#N/A")</f>
        <v>#N/A</v>
      </c>
      <c r="Y173" s="16" t="str">
        <f ca="1">IFERROR(__xludf.dummyfunction("""COMPUTED_VALUE"""),"#N/A")</f>
        <v>#N/A</v>
      </c>
      <c r="Z173" s="16" t="str">
        <f ca="1">IFERROR(__xludf.dummyfunction("""COMPUTED_VALUE"""),"#N/A")</f>
        <v>#N/A</v>
      </c>
      <c r="AA173" s="30" t="str">
        <f ca="1">IFERROR(__xludf.dummyfunction("""COMPUTED_VALUE"""),"#N/A")</f>
        <v>#N/A</v>
      </c>
      <c r="AB173" s="30" t="str">
        <f ca="1">IFERROR(__xludf.dummyfunction("""COMPUTED_VALUE"""),"#N/A")</f>
        <v>#N/A</v>
      </c>
      <c r="AC173" s="30" t="str">
        <f ca="1">IFERROR(__xludf.dummyfunction("""COMPUTED_VALUE"""),"#N/A")</f>
        <v>#N/A</v>
      </c>
      <c r="AD173" s="16" t="str">
        <f ca="1">IFERROR(__xludf.dummyfunction("""COMPUTED_VALUE"""),"#N/A")</f>
        <v>#N/A</v>
      </c>
      <c r="AE173" s="30" t="str">
        <f ca="1">IFERROR(__xludf.dummyfunction("""COMPUTED_VALUE"""),"#N/A")</f>
        <v>#N/A</v>
      </c>
      <c r="AF173" s="30" t="str">
        <f ca="1">IFERROR(__xludf.dummyfunction("""COMPUTED_VALUE"""),"#N/A")</f>
        <v>#N/A</v>
      </c>
      <c r="AG173" s="30" t="str">
        <f ca="1">IFERROR(__xludf.dummyfunction("""COMPUTED_VALUE"""),"#N/A")</f>
        <v>#N/A</v>
      </c>
    </row>
    <row r="174" spans="1:33" ht="13.8">
      <c r="A174" s="25"/>
      <c r="B174" s="25" t="s">
        <v>29</v>
      </c>
      <c r="C174" s="25" t="s">
        <v>310</v>
      </c>
      <c r="D174" s="25">
        <v>7</v>
      </c>
      <c r="E174" s="87" t="s">
        <v>701</v>
      </c>
      <c r="F174" s="89"/>
      <c r="G174" s="86" t="s">
        <v>1021</v>
      </c>
      <c r="H174" s="72" t="str">
        <f ca="1">IFERROR(__xludf.dummyfunction("IFERROR(
  VLOOKUP(G174, IMPORTRANGE(""https://docs.google.com/spreadsheets/d/14deopnvwcrKtEGCKuYXdUHJbeLDZlkiSSWWT0g7x2pM/edit#gid=849066331"", ""LU List Maths (Filter)!A:B""), 2, FALSE),
  IFERROR(
    VLOOKUP(G174, IMPORTRANGE(""https://docs.google.com"&amp;"/spreadsheets/d/14deopnvwcrKtEGCKuYXdUHJbeLDZlkiSSWWT0g7x2pM/edit#gid=849066331"", ""LU List Science (Filter)!A:B""), 2, FALSE),
    ""Not Found""
  )
)
"),"Construction of a triangle with ASA criterion")</f>
        <v>Construction of a triangle with ASA criterion</v>
      </c>
      <c r="I174" s="64"/>
      <c r="J174" s="29" t="str">
        <f t="shared" si="30"/>
        <v>LU000850.001</v>
      </c>
      <c r="K174" s="29" t="str">
        <f ca="1">IFERROR(__xludf.dummyfunction("VLOOKUP(J174, IMPORTRANGE(""https://docs.google.com/spreadsheets/d/1yDAaXNsi4Mr5FtRQL4tbmSdIzhx6_m4wkOD7IG-k_eo/edit#gid=0"", ""Maths!M:N""), 2, FALSE)"),"Memorize the specific measurements required for the ASA criterion to be satisfied.")</f>
        <v>Memorize the specific measurements required for the ASA criterion to be satisfied.</v>
      </c>
      <c r="L174" s="29" t="str">
        <f t="shared" si="31"/>
        <v>LU000850.002</v>
      </c>
      <c r="M174" s="29" t="str">
        <f ca="1">IFERROR(__xludf.dummyfunction("VLOOKUP(L174, IMPORTRANGE(""https://docs.google.com/spreadsheets/d/1yDAaXNsi4Mr5FtRQL4tbmSdIzhx6_m4wkOD7IG-k_eo/edit#gid=0"", ""Maths!M:N""), 2, FALSE)"),"Describe the relationship between the given angle measures, the included side length, and the ability to construct a triangle meeting the ASA criterion.")</f>
        <v>Describe the relationship between the given angle measures, the included side length, and the ability to construct a triangle meeting the ASA criterion.</v>
      </c>
      <c r="N174" s="29" t="str">
        <f t="shared" si="32"/>
        <v>LU000850.003</v>
      </c>
      <c r="O174" s="29" t="str">
        <f ca="1">IFERROR(__xludf.dummyfunction("VLOOKUP(N174, IMPORTRANGE(""https://docs.google.com/spreadsheets/d/1yDAaXNsi4Mr5FtRQL4tbmSdIzhx6_m4wkOD7IG-k_eo/edit#gid=0"", ""Maths!M:N""), 2, FALSE)"),"Apply the knowledge of the ASA criterion to accurately construct a triangle using ruler and compass when provided with the measures of two angles and the length of the included side.")</f>
        <v>Apply the knowledge of the ASA criterion to accurately construct a triangle using ruler and compass when provided with the measures of two angles and the length of the included side.</v>
      </c>
      <c r="P174" s="29" t="str">
        <f t="shared" si="33"/>
        <v>LU000850.004</v>
      </c>
      <c r="Q174" s="29" t="str">
        <f ca="1">IFERROR(__xludf.dummyfunction("VLOOKUP(P174, IMPORTRANGE(""https://docs.google.com/spreadsheets/d/1yDAaXNsi4Mr5FtRQL4tbmSdIzhx6_m4wkOD7IG-k_eo/edit#gid=0"", ""Maths!M:N""), 2, FALSE)"),"Break down the construction process into its constituent steps and identify the critical role of angle measures and the included side in triangle congruence.")</f>
        <v>Break down the construction process into its constituent steps and identify the critical role of angle measures and the included side in triangle congruence.</v>
      </c>
      <c r="R174" s="29" t="str">
        <f t="shared" si="34"/>
        <v>LU000850.005</v>
      </c>
      <c r="S174" s="29" t="str">
        <f ca="1">IFERROR(__xludf.dummyfunction("VLOOKUP(R174, IMPORTRANGE(""https://docs.google.com/spreadsheets/d/1yDAaXNsi4Mr5FtRQL4tbmSdIzhx6_m4wkOD7IG-k_eo/edit#gid=0"", ""Maths!M:N""), 2, FALSE)"),"Assess the reliability of the ASA criterion in determining congruence and its importance in geometry.")</f>
        <v>Assess the reliability of the ASA criterion in determining congruence and its importance in geometry.</v>
      </c>
      <c r="T174" s="29" t="str">
        <f t="shared" si="35"/>
        <v>LU000850.006</v>
      </c>
      <c r="U174" s="29" t="str">
        <f ca="1">IFERROR(__xludf.dummyfunction("VLOOKUP(T174, IMPORTRANGE(""https://docs.google.com/spreadsheets/d/1yDAaXNsi4Mr5FtRQL4tbmSdIzhx6_m4wkOD7IG-k_eo/edit#gid=0"", ""Maths!M:N""), 2, FALSE)"),"Invent a set of angle measures and an included side length, challenging students to create triangles that meet the ASA criterion for congruence, fostering creative problem-solving skills and a deeper understanding of congruence principles.")</f>
        <v>Invent a set of angle measures and an included side length, challenging students to create triangles that meet the ASA criterion for congruence, fostering creative problem-solving skills and a deeper understanding of congruence principles.</v>
      </c>
      <c r="V174" s="16" t="str">
        <f ca="1">IFERROR(__xludf.dummyfunction("ArrayFormula(VLOOKUP(G174, IMPORTRANGE(""https://docs.google.com/spreadsheets/d/1p7R4vtkWt5VOBim4ltsDG9KTzSjrtKXsMtQGXPHyND0/edit#gid=795171502"", ""'Filter 30_05_2024'!A1:M2000""), {2, 3, 4, 5,6,7,8,9,10,11,12,13}, 0))"),"#N/A")</f>
        <v>#N/A</v>
      </c>
      <c r="W174" s="16" t="str">
        <f ca="1">IFERROR(__xludf.dummyfunction("""COMPUTED_VALUE"""),"#N/A")</f>
        <v>#N/A</v>
      </c>
      <c r="X174" s="16" t="str">
        <f ca="1">IFERROR(__xludf.dummyfunction("""COMPUTED_VALUE"""),"#N/A")</f>
        <v>#N/A</v>
      </c>
      <c r="Y174" s="16" t="str">
        <f ca="1">IFERROR(__xludf.dummyfunction("""COMPUTED_VALUE"""),"#N/A")</f>
        <v>#N/A</v>
      </c>
      <c r="Z174" s="16" t="str">
        <f ca="1">IFERROR(__xludf.dummyfunction("""COMPUTED_VALUE"""),"#N/A")</f>
        <v>#N/A</v>
      </c>
      <c r="AA174" s="30" t="str">
        <f ca="1">IFERROR(__xludf.dummyfunction("""COMPUTED_VALUE"""),"#N/A")</f>
        <v>#N/A</v>
      </c>
      <c r="AB174" s="30" t="str">
        <f ca="1">IFERROR(__xludf.dummyfunction("""COMPUTED_VALUE"""),"#N/A")</f>
        <v>#N/A</v>
      </c>
      <c r="AC174" s="30" t="str">
        <f ca="1">IFERROR(__xludf.dummyfunction("""COMPUTED_VALUE"""),"#N/A")</f>
        <v>#N/A</v>
      </c>
      <c r="AD174" s="16" t="str">
        <f ca="1">IFERROR(__xludf.dummyfunction("""COMPUTED_VALUE"""),"#N/A")</f>
        <v>#N/A</v>
      </c>
      <c r="AE174" s="30" t="str">
        <f ca="1">IFERROR(__xludf.dummyfunction("""COMPUTED_VALUE"""),"#N/A")</f>
        <v>#N/A</v>
      </c>
      <c r="AF174" s="30" t="str">
        <f ca="1">IFERROR(__xludf.dummyfunction("""COMPUTED_VALUE"""),"#N/A")</f>
        <v>#N/A</v>
      </c>
      <c r="AG174" s="30" t="str">
        <f ca="1">IFERROR(__xludf.dummyfunction("""COMPUTED_VALUE"""),"#N/A")</f>
        <v>#N/A</v>
      </c>
    </row>
    <row r="175" spans="1:33" ht="13.8">
      <c r="A175" s="25"/>
      <c r="B175" s="25" t="s">
        <v>29</v>
      </c>
      <c r="C175" s="25" t="s">
        <v>310</v>
      </c>
      <c r="D175" s="25">
        <v>7</v>
      </c>
      <c r="E175" s="87" t="s">
        <v>701</v>
      </c>
      <c r="F175" s="89"/>
      <c r="G175" s="86" t="s">
        <v>1022</v>
      </c>
      <c r="H175" s="72" t="str">
        <f ca="1">IFERROR(__xludf.dummyfunction("IFERROR(
  VLOOKUP(G175, IMPORTRANGE(""https://docs.google.com/spreadsheets/d/14deopnvwcrKtEGCKuYXdUHJbeLDZlkiSSWWT0g7x2pM/edit#gid=849066331"", ""LU List Maths (Filter)!A:B""), 2, FALSE),
  IFERROR(
    VLOOKUP(G175, IMPORTRANGE(""https://docs.google.com"&amp;"/spreadsheets/d/14deopnvwcrKtEGCKuYXdUHJbeLDZlkiSSWWT0g7x2pM/edit#gid=849066331"", ""LU List Science (Filter)!A:B""), 2, FALSE),
    ""Not Found""
  )
)
"),"Construction of a triangle with RHS criterion")</f>
        <v>Construction of a triangle with RHS criterion</v>
      </c>
      <c r="I175" s="64"/>
      <c r="J175" s="29" t="str">
        <f t="shared" si="30"/>
        <v>LU000851.001</v>
      </c>
      <c r="K175" s="29" t="str">
        <f ca="1">IFERROR(__xludf.dummyfunction("VLOOKUP(J175, IMPORTRANGE(""https://docs.google.com/spreadsheets/d/1yDAaXNsi4Mr5FtRQL4tbmSdIzhx6_m4wkOD7IG-k_eo/edit#gid=0"", ""Maths!M:N""), 2, FALSE)"),"Memorize the specific measurements required for the RHS criterion to be satisfied.")</f>
        <v>Memorize the specific measurements required for the RHS criterion to be satisfied.</v>
      </c>
      <c r="L175" s="29" t="str">
        <f t="shared" si="31"/>
        <v>LU000851.002</v>
      </c>
      <c r="M175" s="29" t="str">
        <f ca="1">IFERROR(__xludf.dummyfunction("VLOOKUP(L175, IMPORTRANGE(""https://docs.google.com/spreadsheets/d/1yDAaXNsi4Mr5FtRQL4tbmSdIzhx6_m4wkOD7IG-k_eo/edit#gid=0"", ""Maths!M:N""), 2, FALSE)"),"Describe the relationship between the presence of a right angle, the length of the hypotenuse, the length of one side, and the ability to construct a triangle meeting the RHS criterion.")</f>
        <v>Describe the relationship between the presence of a right angle, the length of the hypotenuse, the length of one side, and the ability to construct a triangle meeting the RHS criterion.</v>
      </c>
      <c r="N175" s="29" t="str">
        <f t="shared" si="32"/>
        <v>LU000851.003</v>
      </c>
      <c r="O175" s="29" t="str">
        <f ca="1">IFERROR(__xludf.dummyfunction("VLOOKUP(N175, IMPORTRANGE(""https://docs.google.com/spreadsheets/d/1yDAaXNsi4Mr5FtRQL4tbmSdIzhx6_m4wkOD7IG-k_eo/edit#gid=0"", ""Maths!M:N""), 2, FALSE)"),"Apply the knowledge of the RHS criterion to accurately construct a triangle using ruler and compass when provided with a right angle, the hypotenuse, and one side.")</f>
        <v>Apply the knowledge of the RHS criterion to accurately construct a triangle using ruler and compass when provided with a right angle, the hypotenuse, and one side.</v>
      </c>
      <c r="P175" s="29" t="str">
        <f t="shared" si="33"/>
        <v>LU000851.004</v>
      </c>
      <c r="Q175" s="29" t="str">
        <f ca="1">IFERROR(__xludf.dummyfunction("VLOOKUP(P175, IMPORTRANGE(""https://docs.google.com/spreadsheets/d/1yDAaXNsi4Mr5FtRQL4tbmSdIzhx6_m4wkOD7IG-k_eo/edit#gid=0"", ""Maths!M:N""), 2, FALSE)"),"Break down the construction process into its constituent steps and identify the critical role of a right angle, the hypotenuse, and one side in triangle congruence.")</f>
        <v>Break down the construction process into its constituent steps and identify the critical role of a right angle, the hypotenuse, and one side in triangle congruence.</v>
      </c>
      <c r="R175" s="29" t="str">
        <f t="shared" si="34"/>
        <v>LU000851.005</v>
      </c>
      <c r="S175" s="29" t="str">
        <f ca="1">IFERROR(__xludf.dummyfunction("VLOOKUP(R175, IMPORTRANGE(""https://docs.google.com/spreadsheets/d/1yDAaXNsi4Mr5FtRQL4tbmSdIzhx6_m4wkOD7IG-k_eo/edit#gid=0"", ""Maths!M:N""), 2, FALSE)"),"Evaluate the constructed right-angled triangle to ensure it meets the RHS criterion for congruence.")</f>
        <v>Evaluate the constructed right-angled triangle to ensure it meets the RHS criterion for congruence.</v>
      </c>
      <c r="T175" s="29" t="str">
        <f t="shared" si="35"/>
        <v>LU000851.006</v>
      </c>
      <c r="U175" s="29" t="str">
        <f ca="1">IFERROR(__xludf.dummyfunction("VLOOKUP(T175, IMPORTRANGE(""https://docs.google.com/spreadsheets/d/1yDAaXNsi4Mr5FtRQL4tbmSdIzhx6_m4wkOD7IG-k_eo/edit#gid=0"", ""Maths!M:N""), 2, FALSE)"),"Invent a set of conditions (right angle, hypotenuse, and side) for the RHS criterion, challenging students to create triangles that meet these criteria, fostering creative problem-solving skills and a deeper understanding of congruence principles.")</f>
        <v>Invent a set of conditions (right angle, hypotenuse, and side) for the RHS criterion, challenging students to create triangles that meet these criteria, fostering creative problem-solving skills and a deeper understanding of congruence principles.</v>
      </c>
      <c r="V175" s="16" t="str">
        <f ca="1">IFERROR(__xludf.dummyfunction("ArrayFormula(VLOOKUP(G175, IMPORTRANGE(""https://docs.google.com/spreadsheets/d/1p7R4vtkWt5VOBim4ltsDG9KTzSjrtKXsMtQGXPHyND0/edit#gid=795171502"", ""'Filter 30_05_2024'!A1:M2000""), {2, 3, 4, 5,6,7,8,9,10,11,12,13}, 0))"),"#N/A")</f>
        <v>#N/A</v>
      </c>
      <c r="W175" s="16" t="str">
        <f ca="1">IFERROR(__xludf.dummyfunction("""COMPUTED_VALUE"""),"#N/A")</f>
        <v>#N/A</v>
      </c>
      <c r="X175" s="16" t="str">
        <f ca="1">IFERROR(__xludf.dummyfunction("""COMPUTED_VALUE"""),"#N/A")</f>
        <v>#N/A</v>
      </c>
      <c r="Y175" s="16" t="str">
        <f ca="1">IFERROR(__xludf.dummyfunction("""COMPUTED_VALUE"""),"#N/A")</f>
        <v>#N/A</v>
      </c>
      <c r="Z175" s="16" t="str">
        <f ca="1">IFERROR(__xludf.dummyfunction("""COMPUTED_VALUE"""),"#N/A")</f>
        <v>#N/A</v>
      </c>
      <c r="AA175" s="30" t="str">
        <f ca="1">IFERROR(__xludf.dummyfunction("""COMPUTED_VALUE"""),"#N/A")</f>
        <v>#N/A</v>
      </c>
      <c r="AB175" s="30" t="str">
        <f ca="1">IFERROR(__xludf.dummyfunction("""COMPUTED_VALUE"""),"#N/A")</f>
        <v>#N/A</v>
      </c>
      <c r="AC175" s="30" t="str">
        <f ca="1">IFERROR(__xludf.dummyfunction("""COMPUTED_VALUE"""),"#N/A")</f>
        <v>#N/A</v>
      </c>
      <c r="AD175" s="16" t="str">
        <f ca="1">IFERROR(__xludf.dummyfunction("""COMPUTED_VALUE"""),"#N/A")</f>
        <v>#N/A</v>
      </c>
      <c r="AE175" s="30" t="str">
        <f ca="1">IFERROR(__xludf.dummyfunction("""COMPUTED_VALUE"""),"#N/A")</f>
        <v>#N/A</v>
      </c>
      <c r="AF175" s="30" t="str">
        <f ca="1">IFERROR(__xludf.dummyfunction("""COMPUTED_VALUE"""),"#N/A")</f>
        <v>#N/A</v>
      </c>
      <c r="AG175" s="30" t="str">
        <f ca="1">IFERROR(__xludf.dummyfunction("""COMPUTED_VALUE"""),"#N/A")</f>
        <v>#N/A</v>
      </c>
    </row>
    <row r="176" spans="1:33" ht="13.8">
      <c r="A176" s="25"/>
      <c r="B176" s="25" t="s">
        <v>29</v>
      </c>
      <c r="C176" s="25" t="s">
        <v>310</v>
      </c>
      <c r="D176" s="25">
        <v>7</v>
      </c>
      <c r="E176" s="64" t="s">
        <v>723</v>
      </c>
      <c r="F176" s="87" t="s">
        <v>1023</v>
      </c>
      <c r="G176" s="92" t="s">
        <v>1024</v>
      </c>
      <c r="H176" s="72" t="str">
        <f ca="1">IFERROR(__xludf.dummyfunction("IFERROR(
  VLOOKUP(G176, IMPORTRANGE(""https://docs.google.com/spreadsheets/d/14deopnvwcrKtEGCKuYXdUHJbeLDZlkiSSWWT0g7x2pM/edit#gid=849066331"", ""LU List Maths (Filter)!A:B""), 2, FALSE),
  IFERROR(
    VLOOKUP(G176, IMPORTRANGE(""https://docs.google.com"&amp;"/spreadsheets/d/14deopnvwcrKtEGCKuYXdUHJbeLDZlkiSSWWT0g7x2pM/edit#gid=849066331"", ""LU List Science (Filter)!A:B""), 2, FALSE),
    ""Not Found""
  )
)
"),"Relationship between the diameter and the circumference of the circle")</f>
        <v>Relationship between the diameter and the circumference of the circle</v>
      </c>
      <c r="I176" s="87"/>
      <c r="J176" s="29" t="str">
        <f t="shared" si="30"/>
        <v>LU000493.001</v>
      </c>
      <c r="K176" s="29" t="str">
        <f ca="1">IFERROR(__xludf.dummyfunction("VLOOKUP(J176, IMPORTRANGE(""https://docs.google.com/spreadsheets/d/1yDAaXNsi4Mr5FtRQL4tbmSdIzhx6_m4wkOD7IG-k_eo/edit#gid=0"", ""Maths!M:N""), 2, FALSE)"),"Recall the relationship between a circle's circumference and diameter.")</f>
        <v>Recall the relationship between a circle's circumference and diameter.</v>
      </c>
      <c r="L176" s="29" t="str">
        <f t="shared" si="31"/>
        <v>LU000493.002</v>
      </c>
      <c r="M176" s="29" t="str">
        <f ca="1">IFERROR(__xludf.dummyfunction("VLOOKUP(L176, IMPORTRANGE(""https://docs.google.com/spreadsheets/d/1yDAaXNsi4Mr5FtRQL4tbmSdIzhx6_m4wkOD7IG-k_eo/edit#gid=0"", ""Maths!M:N""), 2, FALSE)"),"Explain the concept of the constant ratio π and its relation to the circumference and diameter of a circle.")</f>
        <v>Explain the concept of the constant ratio π and its relation to the circumference and diameter of a circle.</v>
      </c>
      <c r="N176" s="29" t="str">
        <f t="shared" si="32"/>
        <v>LU000493.003</v>
      </c>
      <c r="O176" s="29" t="str">
        <f ca="1">IFERROR(__xludf.dummyfunction("VLOOKUP(N176, IMPORTRANGE(""https://docs.google.com/spreadsheets/d/1yDAaXNsi4Mr5FtRQL4tbmSdIzhx6_m4wkOD7IG-k_eo/edit#gid=0"", ""Maths!M:N""), 2, FALSE)"),"Determine approximate value of π by using ratio of circumference and diameter of a circle.")</f>
        <v>Determine approximate value of π by using ratio of circumference and diameter of a circle.</v>
      </c>
      <c r="P176" s="29" t="str">
        <f t="shared" si="33"/>
        <v>LU000493.004</v>
      </c>
      <c r="Q176" s="29" t="str">
        <f ca="1">IFERROR(__xludf.dummyfunction("VLOOKUP(P176, IMPORTRANGE(""https://docs.google.com/spreadsheets/d/1yDAaXNsi4Mr5FtRQL4tbmSdIzhx6_m4wkOD7IG-k_eo/edit#gid=0"", ""Maths!M:N""), 2, FALSE)"),"Analyse the constant ratio C/d=π and its significance in the relationship between a circle's circumference and diameter.")</f>
        <v>Analyse the constant ratio C/d=π and its significance in the relationship between a circle's circumference and diameter.</v>
      </c>
      <c r="R176" s="29" t="str">
        <f t="shared" si="34"/>
        <v>LU000493.005</v>
      </c>
      <c r="S176" s="29" t="str">
        <f ca="1">IFERROR(__xludf.dummyfunction("VLOOKUP(R176, IMPORTRANGE(""https://docs.google.com/spreadsheets/d/1yDAaXNsi4Mr5FtRQL4tbmSdIzhx6_m4wkOD7IG-k_eo/edit#gid=0"", ""Maths!M:N""), 2, FALSE)"),"Examine the statement that the circumference of a circle is always greater than three times its diameter, and determine its validity.")</f>
        <v>Examine the statement that the circumference of a circle is always greater than three times its diameter, and determine its validity.</v>
      </c>
      <c r="T176" s="29" t="str">
        <f t="shared" si="35"/>
        <v>LU000493.006</v>
      </c>
      <c r="U176" s="29" t="str">
        <f ca="1">IFERROR(__xludf.dummyfunction("VLOOKUP(T176, IMPORTRANGE(""https://docs.google.com/spreadsheets/d/1yDAaXNsi4Mr5FtRQL4tbmSdIzhx6_m4wkOD7IG-k_eo/edit#gid=0"", ""Maths!M:N""), 2, FALSE)"),"Devise an experiment to empirically verify the relationship between the circumference and diameter of a circle.")</f>
        <v>Devise an experiment to empirically verify the relationship between the circumference and diameter of a circle.</v>
      </c>
      <c r="V176" s="16">
        <f ca="1">IFERROR(__xludf.dummyfunction("ArrayFormula(VLOOKUP(G176, IMPORTRANGE(""https://docs.google.com/spreadsheets/d/1p7R4vtkWt5VOBim4ltsDG9KTzSjrtKXsMtQGXPHyND0/edit#gid=795171502"", ""'Filter 30_05_2024'!A1:M2000""), {2, 3, 4, 5,6,7,8,9,10,11,12,13}, 0))"),4)</f>
        <v>4</v>
      </c>
      <c r="W176" s="16">
        <f ca="1">IFERROR(__xludf.dummyfunction("""COMPUTED_VALUE"""),6)</f>
        <v>6</v>
      </c>
      <c r="X176" s="16">
        <f ca="1">IFERROR(__xludf.dummyfunction("""COMPUTED_VALUE"""),2)</f>
        <v>2</v>
      </c>
      <c r="Y176" s="16">
        <f ca="1">IFERROR(__xludf.dummyfunction("""COMPUTED_VALUE"""),12)</f>
        <v>12</v>
      </c>
      <c r="Z176" s="16">
        <f ca="1">IFERROR(__xludf.dummyfunction("""COMPUTED_VALUE"""),4)</f>
        <v>4</v>
      </c>
      <c r="AA176" s="30">
        <f ca="1">IFERROR(__xludf.dummyfunction("""COMPUTED_VALUE"""),3)</f>
        <v>3</v>
      </c>
      <c r="AB176" s="30">
        <f ca="1">IFERROR(__xludf.dummyfunction("""COMPUTED_VALUE"""),1)</f>
        <v>1</v>
      </c>
      <c r="AC176" s="30">
        <f ca="1">IFERROR(__xludf.dummyfunction("""COMPUTED_VALUE"""),8)</f>
        <v>8</v>
      </c>
      <c r="AD176" s="16"/>
      <c r="AE176" s="30"/>
      <c r="AF176" s="30"/>
      <c r="AG176" s="30"/>
    </row>
    <row r="177" spans="1:33" ht="13.8">
      <c r="A177" s="25"/>
      <c r="B177" s="25" t="s">
        <v>29</v>
      </c>
      <c r="C177" s="25" t="s">
        <v>310</v>
      </c>
      <c r="D177" s="25">
        <v>7</v>
      </c>
      <c r="E177" s="64" t="s">
        <v>723</v>
      </c>
      <c r="F177" s="87"/>
      <c r="G177" s="92" t="s">
        <v>1025</v>
      </c>
      <c r="H177" s="72" t="str">
        <f ca="1">IFERROR(__xludf.dummyfunction("IFERROR(
  VLOOKUP(G177, IMPORTRANGE(""https://docs.google.com/spreadsheets/d/14deopnvwcrKtEGCKuYXdUHJbeLDZlkiSSWWT0g7x2pM/edit#gid=849066331"", ""LU List Maths (Filter)!A:B""), 2, FALSE),
  IFERROR(
    VLOOKUP(G177, IMPORTRANGE(""https://docs.google.com"&amp;"/spreadsheets/d/14deopnvwcrKtEGCKuYXdUHJbeLDZlkiSSWWT0g7x2pM/edit#gid=849066331"", ""LU List Science (Filter)!A:B""), 2, FALSE),
    ""Not Found""
  )
)
"),"Circumference of a circle")</f>
        <v>Circumference of a circle</v>
      </c>
      <c r="I177" s="87"/>
      <c r="J177" s="29" t="str">
        <f t="shared" si="30"/>
        <v>LU000494.001</v>
      </c>
      <c r="K177" s="29" t="str">
        <f ca="1">IFERROR(__xludf.dummyfunction("VLOOKUP(J177, IMPORTRANGE(""https://docs.google.com/spreadsheets/d/1yDAaXNsi4Mr5FtRQL4tbmSdIzhx6_m4wkOD7IG-k_eo/edit#gid=0"", ""Maths!M:N""), 2, FALSE)"),"Define circumference of a circle.")</f>
        <v>Define circumference of a circle.</v>
      </c>
      <c r="L177" s="29" t="str">
        <f t="shared" si="31"/>
        <v>LU000494.002</v>
      </c>
      <c r="M177" s="29" t="str">
        <f ca="1">IFERROR(__xludf.dummyfunction("VLOOKUP(L177, IMPORTRANGE(""https://docs.google.com/spreadsheets/d/1yDAaXNsi4Mr5FtRQL4tbmSdIzhx6_m4wkOD7IG-k_eo/edit#gid=0"", ""Maths!M:N""), 2, FALSE)"),"Deduce the formula for circumference of a circle using ∏.")</f>
        <v>Deduce the formula for circumference of a circle using ∏.</v>
      </c>
      <c r="N177" s="29" t="str">
        <f t="shared" si="32"/>
        <v>LU000494.003</v>
      </c>
      <c r="O177" s="29" t="str">
        <f ca="1">IFERROR(__xludf.dummyfunction("VLOOKUP(N177, IMPORTRANGE(""https://docs.google.com/spreadsheets/d/1yDAaXNsi4Mr5FtRQL4tbmSdIzhx6_m4wkOD7IG-k_eo/edit#gid=0"", ""Maths!M:N""), 2, FALSE)"),"Determine the circumference of a circle")</f>
        <v>Determine the circumference of a circle</v>
      </c>
      <c r="P177" s="29" t="str">
        <f t="shared" si="33"/>
        <v>LU000494.004</v>
      </c>
      <c r="Q177" s="29" t="str">
        <f ca="1">IFERROR(__xludf.dummyfunction("VLOOKUP(P177, IMPORTRANGE(""https://docs.google.com/spreadsheets/d/1yDAaXNsi4Mr5FtRQL4tbmSdIzhx6_m4wkOD7IG-k_eo/edit#gid=0"", ""Maths!M:N""), 2, FALSE)"),"Determine the radius or diameter of a circle given its circumference.")</f>
        <v>Determine the radius or diameter of a circle given its circumference.</v>
      </c>
      <c r="R177" s="29" t="str">
        <f t="shared" si="34"/>
        <v>LU000494.005</v>
      </c>
      <c r="S177" s="29" t="str">
        <f ca="1">IFERROR(__xludf.dummyfunction("VLOOKUP(R177, IMPORTRANGE(""https://docs.google.com/spreadsheets/d/1yDAaXNsi4Mr5FtRQL4tbmSdIzhx6_m4wkOD7IG-k_eo/edit#gid=0"", ""Maths!M:N""), 2, FALSE)"),"Evaluate the effectiveness of using the circumference formula in real-world scenarios.")</f>
        <v>Evaluate the effectiveness of using the circumference formula in real-world scenarios.</v>
      </c>
      <c r="T177" s="29" t="str">
        <f t="shared" si="35"/>
        <v>LU000494.006</v>
      </c>
      <c r="U177" s="29" t="str">
        <f ca="1">IFERROR(__xludf.dummyfunction("VLOOKUP(T177, IMPORTRANGE(""https://docs.google.com/spreadsheets/d/1yDAaXNsi4Mr5FtRQL4tbmSdIzhx6_m4wkOD7IG-k_eo/edit#gid=0"", ""Maths!M:N""), 2, FALSE)"),"Design an experiment to empirically validate the relationship between a circle's circumference and its diameter using everyday objects.")</f>
        <v>Design an experiment to empirically validate the relationship between a circle's circumference and its diameter using everyday objects.</v>
      </c>
      <c r="V177" s="16">
        <f ca="1">IFERROR(__xludf.dummyfunction("ArrayFormula(VLOOKUP(G177, IMPORTRANGE(""https://docs.google.com/spreadsheets/d/1p7R4vtkWt5VOBim4ltsDG9KTzSjrtKXsMtQGXPHyND0/edit#gid=795171502"", ""'Filter 30_05_2024'!A1:M2000""), {2, 3, 4, 5,6,7,8,9,10,11,12,13}, 0))"),5)</f>
        <v>5</v>
      </c>
      <c r="W177" s="16">
        <f ca="1">IFERROR(__xludf.dummyfunction("""COMPUTED_VALUE"""),6)</f>
        <v>6</v>
      </c>
      <c r="X177" s="16">
        <f ca="1">IFERROR(__xludf.dummyfunction("""COMPUTED_VALUE"""),2)</f>
        <v>2</v>
      </c>
      <c r="Y177" s="16">
        <f ca="1">IFERROR(__xludf.dummyfunction("""COMPUTED_VALUE"""),13)</f>
        <v>13</v>
      </c>
      <c r="Z177" s="16">
        <f ca="1">IFERROR(__xludf.dummyfunction("""COMPUTED_VALUE"""),6)</f>
        <v>6</v>
      </c>
      <c r="AA177" s="30">
        <f ca="1">IFERROR(__xludf.dummyfunction("""COMPUTED_VALUE"""),4)</f>
        <v>4</v>
      </c>
      <c r="AB177" s="30">
        <f ca="1">IFERROR(__xludf.dummyfunction("""COMPUTED_VALUE"""),1)</f>
        <v>1</v>
      </c>
      <c r="AC177" s="30">
        <f ca="1">IFERROR(__xludf.dummyfunction("""COMPUTED_VALUE"""),11)</f>
        <v>11</v>
      </c>
      <c r="AD177" s="16"/>
      <c r="AE177" s="30"/>
      <c r="AF177" s="30"/>
      <c r="AG177" s="30"/>
    </row>
    <row r="178" spans="1:33" ht="13.8">
      <c r="A178" s="25"/>
      <c r="B178" s="25" t="s">
        <v>29</v>
      </c>
      <c r="C178" s="25" t="s">
        <v>310</v>
      </c>
      <c r="D178" s="25">
        <v>7</v>
      </c>
      <c r="E178" s="64" t="s">
        <v>723</v>
      </c>
      <c r="F178" s="87"/>
      <c r="G178" s="92" t="s">
        <v>1026</v>
      </c>
      <c r="H178" s="72" t="str">
        <f ca="1">IFERROR(__xludf.dummyfunction("IFERROR(
  VLOOKUP(G178, IMPORTRANGE(""https://docs.google.com/spreadsheets/d/14deopnvwcrKtEGCKuYXdUHJbeLDZlkiSSWWT0g7x2pM/edit#gid=849066331"", ""LU List Maths (Filter)!A:B""), 2, FALSE),
  IFERROR(
    VLOOKUP(G178, IMPORTRANGE(""https://docs.google.com"&amp;"/spreadsheets/d/14deopnvwcrKtEGCKuYXdUHJbeLDZlkiSSWWT0g7x2pM/edit#gid=849066331"", ""LU List Science (Filter)!A:B""), 2, FALSE),
    ""Not Found""
  )
)
"),"Perimeter of a semicircle")</f>
        <v>Perimeter of a semicircle</v>
      </c>
      <c r="I178" s="87"/>
      <c r="J178" s="29" t="str">
        <f t="shared" si="30"/>
        <v>LU000496.001</v>
      </c>
      <c r="K178" s="29" t="str">
        <f ca="1">IFERROR(__xludf.dummyfunction("VLOOKUP(J178, IMPORTRANGE(""https://docs.google.com/spreadsheets/d/1yDAaXNsi4Mr5FtRQL4tbmSdIzhx6_m4wkOD7IG-k_eo/edit#gid=0"", ""Maths!M:N""), 2, FALSE)"),"Define perimeter of a semicircle.")</f>
        <v>Define perimeter of a semicircle.</v>
      </c>
      <c r="L178" s="29" t="str">
        <f t="shared" si="31"/>
        <v>LU000496.002</v>
      </c>
      <c r="M178" s="29" t="str">
        <f ca="1">IFERROR(__xludf.dummyfunction("VLOOKUP(L178, IMPORTRANGE(""https://docs.google.com/spreadsheets/d/1yDAaXNsi4Mr5FtRQL4tbmSdIzhx6_m4wkOD7IG-k_eo/edit#gid=0"", ""Maths!M:N""), 2, FALSE)"),"Determine the perimeter of a semicircle.")</f>
        <v>Determine the perimeter of a semicircle.</v>
      </c>
      <c r="N178" s="29" t="str">
        <f t="shared" si="32"/>
        <v>LU000496.003</v>
      </c>
      <c r="O178" s="29" t="str">
        <f ca="1">IFERROR(__xludf.dummyfunction("VLOOKUP(N178, IMPORTRANGE(""https://docs.google.com/spreadsheets/d/1yDAaXNsi4Mr5FtRQL4tbmSdIzhx6_m4wkOD7IG-k_eo/edit#gid=0"", ""Maths!M:N""), 2, FALSE)"),"Apply the perimeter formula to find the radius or diameter of a circle given its perimeter.")</f>
        <v>Apply the perimeter formula to find the radius or diameter of a circle given its perimeter.</v>
      </c>
      <c r="P178" s="29" t="str">
        <f t="shared" si="33"/>
        <v>LU000496.004</v>
      </c>
      <c r="Q178" s="29" t="str">
        <f ca="1">IFERROR(__xludf.dummyfunction("VLOOKUP(P178, IMPORTRANGE(""https://docs.google.com/spreadsheets/d/1yDAaXNsi4Mr5FtRQL4tbmSdIzhx6_m4wkOD7IG-k_eo/edit#gid=0"", ""Maths!M:N""), 2, FALSE)"),"Analyse the relationship between the semicircle's radius, diameter, and its perimeter.")</f>
        <v>Analyse the relationship between the semicircle's radius, diameter, and its perimeter.</v>
      </c>
      <c r="R178" s="29" t="str">
        <f t="shared" si="34"/>
        <v>LU000496.005</v>
      </c>
      <c r="S178" s="29" t="str">
        <f ca="1">IFERROR(__xludf.dummyfunction("VLOOKUP(R178, IMPORTRANGE(""https://docs.google.com/spreadsheets/d/1yDAaXNsi4Mr5FtRQL4tbmSdIzhx6_m4wkOD7IG-k_eo/edit#gid=0"", ""Maths!M:N""), 2, FALSE)"),"Evaluate the practicality of using the semicircle perimeter formula in real-world situations.")</f>
        <v>Evaluate the practicality of using the semicircle perimeter formula in real-world situations.</v>
      </c>
      <c r="T178" s="29" t="str">
        <f t="shared" si="35"/>
        <v>LU000496.006</v>
      </c>
      <c r="U178" s="29" t="str">
        <f ca="1">IFERROR(__xludf.dummyfunction("VLOOKUP(T178, IMPORTRANGE(""https://docs.google.com/spreadsheets/d/1yDAaXNsi4Mr5FtRQL4tbmSdIzhx6_m4wkOD7IG-k_eo/edit#gid=0"", ""Maths!M:N""), 2, FALSE)"),"Construct an experiment using various semicircular objects to explore how changing the radius affects the perimeter, and then create a hypothesis explaining the observed patterns.")</f>
        <v>Construct an experiment using various semicircular objects to explore how changing the radius affects the perimeter, and then create a hypothesis explaining the observed patterns.</v>
      </c>
      <c r="V178" s="16">
        <f ca="1">IFERROR(__xludf.dummyfunction("ArrayFormula(VLOOKUP(G178, IMPORTRANGE(""https://docs.google.com/spreadsheets/d/1p7R4vtkWt5VOBim4ltsDG9KTzSjrtKXsMtQGXPHyND0/edit#gid=795171502"", ""'Filter 30_05_2024'!A1:M2000""), {2, 3, 4, 5,6,7,8,9,10,11,12,13}, 0))"),5)</f>
        <v>5</v>
      </c>
      <c r="W178" s="16">
        <f ca="1">IFERROR(__xludf.dummyfunction("""COMPUTED_VALUE"""),6)</f>
        <v>6</v>
      </c>
      <c r="X178" s="16">
        <f ca="1">IFERROR(__xludf.dummyfunction("""COMPUTED_VALUE"""),2)</f>
        <v>2</v>
      </c>
      <c r="Y178" s="16">
        <f ca="1">IFERROR(__xludf.dummyfunction("""COMPUTED_VALUE"""),13)</f>
        <v>13</v>
      </c>
      <c r="Z178" s="16">
        <f ca="1">IFERROR(__xludf.dummyfunction("""COMPUTED_VALUE"""),4)</f>
        <v>4</v>
      </c>
      <c r="AA178" s="30">
        <f ca="1">IFERROR(__xludf.dummyfunction("""COMPUTED_VALUE"""),3)</f>
        <v>3</v>
      </c>
      <c r="AB178" s="30">
        <f ca="1">IFERROR(__xludf.dummyfunction("""COMPUTED_VALUE"""),1)</f>
        <v>1</v>
      </c>
      <c r="AC178" s="30">
        <f ca="1">IFERROR(__xludf.dummyfunction("""COMPUTED_VALUE"""),8)</f>
        <v>8</v>
      </c>
      <c r="AD178" s="16"/>
      <c r="AE178" s="30"/>
      <c r="AF178" s="30"/>
      <c r="AG178" s="30"/>
    </row>
    <row r="179" spans="1:33" ht="13.8">
      <c r="A179" s="25"/>
      <c r="B179" s="25" t="s">
        <v>29</v>
      </c>
      <c r="C179" s="25" t="s">
        <v>310</v>
      </c>
      <c r="D179" s="25">
        <v>7</v>
      </c>
      <c r="E179" s="64" t="s">
        <v>723</v>
      </c>
      <c r="F179" s="87" t="s">
        <v>1027</v>
      </c>
      <c r="G179" s="47" t="s">
        <v>1028</v>
      </c>
      <c r="H179" s="72" t="str">
        <f ca="1">IFERROR(__xludf.dummyfunction("IFERROR(
  VLOOKUP(G179, IMPORTRANGE(""https://docs.google.com/spreadsheets/d/14deopnvwcrKtEGCKuYXdUHJbeLDZlkiSSWWT0g7x2pM/edit#gid=849066331"", ""LU List Maths (Filter)!A:B""), 2, FALSE),
  IFERROR(
    VLOOKUP(G179, IMPORTRANGE(""https://docs.google.com"&amp;"/spreadsheets/d/14deopnvwcrKtEGCKuYXdUHJbeLDZlkiSSWWT0g7x2pM/edit#gid=849066331"", ""LU List Science (Filter)!A:B""), 2, FALSE),
    ""Not Found""
  )
)
"),"Area of a triangle using the formula")</f>
        <v>Area of a triangle using the formula</v>
      </c>
      <c r="I179" s="87"/>
      <c r="J179" s="29" t="str">
        <f t="shared" si="30"/>
        <v>LU000492.001</v>
      </c>
      <c r="K179" s="29" t="str">
        <f ca="1">IFERROR(__xludf.dummyfunction("VLOOKUP(J179, IMPORTRANGE(""https://docs.google.com/spreadsheets/d/1yDAaXNsi4Mr5FtRQL4tbmSdIzhx6_m4wkOD7IG-k_eo/edit#gid=0"", ""Maths!M:N""), 2, FALSE)"),"Recall the formula for the area of a triangle.")</f>
        <v>Recall the formula for the area of a triangle.</v>
      </c>
      <c r="L179" s="29" t="str">
        <f t="shared" si="31"/>
        <v>LU000492.002</v>
      </c>
      <c r="M179" s="29" t="str">
        <f ca="1">IFERROR(__xludf.dummyfunction("VLOOKUP(L179, IMPORTRANGE(""https://docs.google.com/spreadsheets/d/1yDAaXNsi4Mr5FtRQL4tbmSdIzhx6_m4wkOD7IG-k_eo/edit#gid=0"", ""Maths!M:N""), 2, FALSE)"),"Explain how to deduce the area of a triangle formula from the formula for the area of a parallelogram.")</f>
        <v>Explain how to deduce the area of a triangle formula from the formula for the area of a parallelogram.</v>
      </c>
      <c r="N179" s="29" t="str">
        <f t="shared" si="32"/>
        <v>LU000492.003</v>
      </c>
      <c r="O179" s="29" t="str">
        <f ca="1">IFERROR(__xludf.dummyfunction("VLOOKUP(N179, IMPORTRANGE(""https://docs.google.com/spreadsheets/d/1yDAaXNsi4Mr5FtRQL4tbmSdIzhx6_m4wkOD7IG-k_eo/edit#gid=0"", ""Maths!M:N""), 2, FALSE)"),"Apply the formula to find the area of a given triangle using its base and height.")</f>
        <v>Apply the formula to find the area of a given triangle using its base and height.</v>
      </c>
      <c r="P179" s="29" t="str">
        <f t="shared" si="33"/>
        <v>LU000492.004</v>
      </c>
      <c r="Q179" s="29" t="str">
        <f ca="1">IFERROR(__xludf.dummyfunction("VLOOKUP(P179, IMPORTRANGE(""https://docs.google.com/spreadsheets/d/1yDAaXNsi4Mr5FtRQL4tbmSdIzhx6_m4wkOD7IG-k_eo/edit#gid=0"", ""Maths!M:N""), 2, FALSE)"),"Determine the base or height of a triangle if the area is given.")</f>
        <v>Determine the base or height of a triangle if the area is given.</v>
      </c>
      <c r="R179" s="29" t="str">
        <f t="shared" si="34"/>
        <v>LU000492.005</v>
      </c>
      <c r="S179" s="29" t="str">
        <f ca="1">IFERROR(__xludf.dummyfunction("VLOOKUP(R179, IMPORTRANGE(""https://docs.google.com/spreadsheets/d/1yDAaXNsi4Mr5FtRQL4tbmSdIzhx6_m4wkOD7IG-k_eo/edit#gid=0"", ""Maths!M:N""), 2, FALSE)"),"Assess the accuracy of the claim that triangles with equal areas are not necessarily congruent.")</f>
        <v>Assess the accuracy of the claim that triangles with equal areas are not necessarily congruent.</v>
      </c>
      <c r="T179" s="29" t="str">
        <f t="shared" si="35"/>
        <v>LU000492.006</v>
      </c>
      <c r="U179" s="29" t="str">
        <f ca="1">IFERROR(__xludf.dummyfunction("VLOOKUP(T179, IMPORTRANGE(""https://docs.google.com/spreadsheets/d/1yDAaXNsi4Mr5FtRQL4tbmSdIzhx6_m4wkOD7IG-k_eo/edit#gid=0"", ""Maths!M:N""), 2, FALSE)"),"Devise an experiment to explore the relationship between a triangle's base, height, and area.")</f>
        <v>Devise an experiment to explore the relationship between a triangle's base, height, and area.</v>
      </c>
      <c r="V179" s="16">
        <f ca="1">IFERROR(__xludf.dummyfunction("ArrayFormula(VLOOKUP(G179, IMPORTRANGE(""https://docs.google.com/spreadsheets/d/1p7R4vtkWt5VOBim4ltsDG9KTzSjrtKXsMtQGXPHyND0/edit#gid=795171502"", ""'Filter 30_05_2024'!A1:M2000""), {2, 3, 4, 5,6,7,8,9,10,11,12,13}, 0))"),4)</f>
        <v>4</v>
      </c>
      <c r="W179" s="16">
        <f ca="1">IFERROR(__xludf.dummyfunction("""COMPUTED_VALUE"""),16)</f>
        <v>16</v>
      </c>
      <c r="X179" s="16">
        <f ca="1">IFERROR(__xludf.dummyfunction("""COMPUTED_VALUE"""),16)</f>
        <v>16</v>
      </c>
      <c r="Y179" s="16">
        <f ca="1">IFERROR(__xludf.dummyfunction("""COMPUTED_VALUE"""),36)</f>
        <v>36</v>
      </c>
      <c r="Z179" s="16">
        <f ca="1">IFERROR(__xludf.dummyfunction("""COMPUTED_VALUE"""),4)</f>
        <v>4</v>
      </c>
      <c r="AA179" s="30">
        <f ca="1">IFERROR(__xludf.dummyfunction("""COMPUTED_VALUE"""),6)</f>
        <v>6</v>
      </c>
      <c r="AB179" s="30">
        <f ca="1">IFERROR(__xludf.dummyfunction("""COMPUTED_VALUE"""),5)</f>
        <v>5</v>
      </c>
      <c r="AC179" s="30">
        <f ca="1">IFERROR(__xludf.dummyfunction("""COMPUTED_VALUE"""),15)</f>
        <v>15</v>
      </c>
      <c r="AD179" s="16"/>
      <c r="AE179" s="30"/>
      <c r="AF179" s="30"/>
      <c r="AG179" s="30"/>
    </row>
    <row r="180" spans="1:33" ht="13.8">
      <c r="A180" s="25"/>
      <c r="B180" s="25" t="s">
        <v>29</v>
      </c>
      <c r="C180" s="25" t="s">
        <v>310</v>
      </c>
      <c r="D180" s="25">
        <v>7</v>
      </c>
      <c r="E180" s="64" t="s">
        <v>723</v>
      </c>
      <c r="F180" s="87" t="s">
        <v>1029</v>
      </c>
      <c r="G180" s="47" t="s">
        <v>1030</v>
      </c>
      <c r="H180" s="72" t="str">
        <f ca="1">IFERROR(__xludf.dummyfunction("IFERROR(
  VLOOKUP(G180, IMPORTRANGE(""https://docs.google.com/spreadsheets/d/14deopnvwcrKtEGCKuYXdUHJbeLDZlkiSSWWT0g7x2pM/edit#gid=849066331"", ""LU List Maths (Filter)!A:B""), 2, FALSE),
  IFERROR(
    VLOOKUP(G180, IMPORTRANGE(""https://docs.google.com"&amp;"/spreadsheets/d/14deopnvwcrKtEGCKuYXdUHJbeLDZlkiSSWWT0g7x2pM/edit#gid=849066331"", ""LU List Science (Filter)!A:B""), 2, FALSE),
    ""Not Found""
  )
)
"),"Area of a parallelogram using the formula")</f>
        <v>Area of a parallelogram using the formula</v>
      </c>
      <c r="I180" s="87"/>
      <c r="J180" s="29" t="str">
        <f t="shared" si="30"/>
        <v>LU000490.001</v>
      </c>
      <c r="K180" s="29" t="str">
        <f ca="1">IFERROR(__xludf.dummyfunction("VLOOKUP(J180, IMPORTRANGE(""https://docs.google.com/spreadsheets/d/1yDAaXNsi4Mr5FtRQL4tbmSdIzhx6_m4wkOD7IG-k_eo/edit#gid=0"", ""Maths!M:N""), 2, FALSE)"),"Recall the formula for the area of a parallelogram.")</f>
        <v>Recall the formula for the area of a parallelogram.</v>
      </c>
      <c r="L180" s="29" t="str">
        <f t="shared" si="31"/>
        <v>LU000490.002</v>
      </c>
      <c r="M180" s="29" t="str">
        <f ca="1">IFERROR(__xludf.dummyfunction("VLOOKUP(L180, IMPORTRANGE(""https://docs.google.com/spreadsheets/d/1yDAaXNsi4Mr5FtRQL4tbmSdIzhx6_m4wkOD7IG-k_eo/edit#gid=0"", ""Maths!M:N""), 2, FALSE)"),"Describe the process of deriving the area formula for a parallelogram using the concept of a rectangle's area.")</f>
        <v>Describe the process of deriving the area formula for a parallelogram using the concept of a rectangle's area.</v>
      </c>
      <c r="N180" s="29" t="str">
        <f t="shared" si="32"/>
        <v>LU000490.003</v>
      </c>
      <c r="O180" s="29" t="str">
        <f ca="1">IFERROR(__xludf.dummyfunction("VLOOKUP(N180, IMPORTRANGE(""https://docs.google.com/spreadsheets/d/1yDAaXNsi4Mr5FtRQL4tbmSdIzhx6_m4wkOD7IG-k_eo/edit#gid=0"", ""Maths!M:N""), 2, FALSE)"),"Apply the formula to find the area of a given parallelogram using its base and height.")</f>
        <v>Apply the formula to find the area of a given parallelogram using its base and height.</v>
      </c>
      <c r="P180" s="29" t="str">
        <f t="shared" si="33"/>
        <v>LU000490.004</v>
      </c>
      <c r="Q180" s="29" t="str">
        <f ca="1">IFERROR(__xludf.dummyfunction("VLOOKUP(P180, IMPORTRANGE(""https://docs.google.com/spreadsheets/d/1yDAaXNsi4Mr5FtRQL4tbmSdIzhx6_m4wkOD7IG-k_eo/edit#gid=0"", ""Maths!M:N""), 2, FALSE)"),"Determine the base or height of a parallelogram if the area is given.")</f>
        <v>Determine the base or height of a parallelogram if the area is given.</v>
      </c>
      <c r="R180" s="29" t="str">
        <f t="shared" si="34"/>
        <v>LU000490.005</v>
      </c>
      <c r="S180" s="29" t="str">
        <f ca="1">IFERROR(__xludf.dummyfunction("VLOOKUP(R180, IMPORTRANGE(""https://docs.google.com/spreadsheets/d/1yDAaXNsi4Mr5FtRQL4tbmSdIzhx6_m4wkOD7IG-k_eo/edit#gid=0"", ""Maths!M:N""), 2, FALSE)"),"Assess the accuracy of the claim about the relationship between the area and perimeter of parallelograms.")</f>
        <v>Assess the accuracy of the claim about the relationship between the area and perimeter of parallelograms.</v>
      </c>
      <c r="T180" s="29" t="str">
        <f t="shared" si="35"/>
        <v>LU000490.006</v>
      </c>
      <c r="U180" s="29" t="str">
        <f ca="1">IFERROR(__xludf.dummyfunction("VLOOKUP(T180, IMPORTRANGE(""https://docs.google.com/spreadsheets/d/1yDAaXNsi4Mr5FtRQL4tbmSdIzhx6_m4wkOD7IG-k_eo/edit#gid=0"", ""Maths!M:N""), 2, FALSE)"),"Devise an experiment to demonstrate how altering the dimensions of a parallelogram affects its area while keeping the perimeter constant.")</f>
        <v>Devise an experiment to demonstrate how altering the dimensions of a parallelogram affects its area while keeping the perimeter constant.</v>
      </c>
      <c r="V180" s="16">
        <f ca="1">IFERROR(__xludf.dummyfunction("ArrayFormula(VLOOKUP(G180, IMPORTRANGE(""https://docs.google.com/spreadsheets/d/1p7R4vtkWt5VOBim4ltsDG9KTzSjrtKXsMtQGXPHyND0/edit#gid=795171502"", ""'Filter 30_05_2024'!A1:M2000""), {2, 3, 4, 5,6,7,8,9,10,11,12,13}, 0))"),4)</f>
        <v>4</v>
      </c>
      <c r="W180" s="16">
        <f ca="1">IFERROR(__xludf.dummyfunction("""COMPUTED_VALUE"""),11)</f>
        <v>11</v>
      </c>
      <c r="X180" s="16">
        <f ca="1">IFERROR(__xludf.dummyfunction("""COMPUTED_VALUE"""),17)</f>
        <v>17</v>
      </c>
      <c r="Y180" s="16">
        <f ca="1">IFERROR(__xludf.dummyfunction("""COMPUTED_VALUE"""),32)</f>
        <v>32</v>
      </c>
      <c r="Z180" s="16">
        <f ca="1">IFERROR(__xludf.dummyfunction("""COMPUTED_VALUE"""),4)</f>
        <v>4</v>
      </c>
      <c r="AA180" s="30">
        <f ca="1">IFERROR(__xludf.dummyfunction("""COMPUTED_VALUE"""),5)</f>
        <v>5</v>
      </c>
      <c r="AB180" s="30">
        <f ca="1">IFERROR(__xludf.dummyfunction("""COMPUTED_VALUE"""),5)</f>
        <v>5</v>
      </c>
      <c r="AC180" s="30">
        <f ca="1">IFERROR(__xludf.dummyfunction("""COMPUTED_VALUE"""),14)</f>
        <v>14</v>
      </c>
      <c r="AD180" s="16"/>
      <c r="AE180" s="30"/>
      <c r="AF180" s="30"/>
      <c r="AG180" s="30"/>
    </row>
    <row r="181" spans="1:33" ht="13.8">
      <c r="A181" s="25"/>
      <c r="B181" s="25" t="s">
        <v>29</v>
      </c>
      <c r="C181" s="25" t="s">
        <v>310</v>
      </c>
      <c r="D181" s="25">
        <v>7</v>
      </c>
      <c r="E181" s="64" t="s">
        <v>723</v>
      </c>
      <c r="F181" s="89" t="s">
        <v>1031</v>
      </c>
      <c r="G181" s="47" t="s">
        <v>1032</v>
      </c>
      <c r="H181" s="72" t="str">
        <f ca="1">IFERROR(__xludf.dummyfunction("IFERROR(
  VLOOKUP(G181, IMPORTRANGE(""https://docs.google.com/spreadsheets/d/14deopnvwcrKtEGCKuYXdUHJbeLDZlkiSSWWT0g7x2pM/edit#gid=849066331"", ""LU List Maths (Filter)!A:B""), 2, FALSE),
  IFERROR(
    VLOOKUP(G181, IMPORTRANGE(""https://docs.google.com"&amp;"/spreadsheets/d/14deopnvwcrKtEGCKuYXdUHJbeLDZlkiSSWWT0g7x2pM/edit#gid=849066331"", ""LU List Science (Filter)!A:B""), 2, FALSE),
    ""Not Found""
  )
)
"),"Area of a circle")</f>
        <v>Area of a circle</v>
      </c>
      <c r="I181" s="87"/>
      <c r="J181" s="29" t="str">
        <f t="shared" si="30"/>
        <v>LU000495.001</v>
      </c>
      <c r="K181" s="29" t="str">
        <f ca="1">IFERROR(__xludf.dummyfunction("VLOOKUP(J181, IMPORTRANGE(""https://docs.google.com/spreadsheets/d/1yDAaXNsi4Mr5FtRQL4tbmSdIzhx6_m4wkOD7IG-k_eo/edit#gid=0"", ""Maths!M:N""), 2, FALSE)"),"State the formula used to calculate the area of a circle using its radius.")</f>
        <v>State the formula used to calculate the area of a circle using its radius.</v>
      </c>
      <c r="L181" s="29" t="str">
        <f t="shared" si="31"/>
        <v>LU000495.002</v>
      </c>
      <c r="M181" s="29" t="str">
        <f ca="1">IFERROR(__xludf.dummyfunction("VLOOKUP(L181, IMPORTRANGE(""https://docs.google.com/spreadsheets/d/1yDAaXNsi4Mr5FtRQL4tbmSdIzhx6_m4wkOD7IG-k_eo/edit#gid=0"", ""Maths!M:N""), 2, FALSE)"),"Explain how the formula for the area of a circle is deduced from the concept of π and the radius (or diameter).")</f>
        <v>Explain how the formula for the area of a circle is deduced from the concept of π and the radius (or diameter).</v>
      </c>
      <c r="N181" s="29" t="str">
        <f t="shared" si="32"/>
        <v>LU000495.003</v>
      </c>
      <c r="O181" s="29" t="str">
        <f ca="1">IFERROR(__xludf.dummyfunction("VLOOKUP(N181, IMPORTRANGE(""https://docs.google.com/spreadsheets/d/1yDAaXNsi4Mr5FtRQL4tbmSdIzhx6_m4wkOD7IG-k_eo/edit#gid=0"", ""Maths!M:N""), 2, FALSE)"),"Apply the formula to determine the area of a given circle give its radius, diameter or circumference in arithmetic and practical situations.")</f>
        <v>Apply the formula to determine the area of a given circle give its radius, diameter or circumference in arithmetic and practical situations.</v>
      </c>
      <c r="P181" s="29" t="str">
        <f t="shared" si="33"/>
        <v>LU000495.004</v>
      </c>
      <c r="Q181" s="29" t="str">
        <f ca="1">IFERROR(__xludf.dummyfunction("VLOOKUP(P181, IMPORTRANGE(""https://docs.google.com/spreadsheets/d/1yDAaXNsi4Mr5FtRQL4tbmSdIzhx6_m4wkOD7IG-k_eo/edit#gid=0"", ""Maths!M:N""), 2, FALSE)"),"Analyse the relationship between the area of a circle and the area of a rectangle.")</f>
        <v>Analyse the relationship between the area of a circle and the area of a rectangle.</v>
      </c>
      <c r="R181" s="29" t="str">
        <f t="shared" si="34"/>
        <v>LU000495.005</v>
      </c>
      <c r="S181" s="29" t="str">
        <f ca="1">IFERROR(__xludf.dummyfunction("VLOOKUP(R181, IMPORTRANGE(""https://docs.google.com/spreadsheets/d/1yDAaXNsi4Mr5FtRQL4tbmSdIzhx6_m4wkOD7IG-k_eo/edit#gid=0"", ""Maths!M:N""), 2, FALSE)"),"Evaluate the effectiveness of using the circle area formula to solve practical word problems.")</f>
        <v>Evaluate the effectiveness of using the circle area formula to solve practical word problems.</v>
      </c>
      <c r="T181" s="29" t="str">
        <f t="shared" si="35"/>
        <v>LU000495.006</v>
      </c>
      <c r="U181" s="29" t="str">
        <f ca="1">IFERROR(__xludf.dummyfunction("VLOOKUP(T181, IMPORTRANGE(""https://docs.google.com/spreadsheets/d/1yDAaXNsi4Mr5FtRQL4tbmSdIzhx6_m4wkOD7IG-k_eo/edit#gid=0"", ""Maths!M:N""), 2, FALSE)"),"Design an experiment to empirically verify the formula for the area of a circle using real-world objects.")</f>
        <v>Design an experiment to empirically verify the formula for the area of a circle using real-world objects.</v>
      </c>
      <c r="V181" s="16">
        <f ca="1">IFERROR(__xludf.dummyfunction("ArrayFormula(VLOOKUP(G181, IMPORTRANGE(""https://docs.google.com/spreadsheets/d/1p7R4vtkWt5VOBim4ltsDG9KTzSjrtKXsMtQGXPHyND0/edit#gid=795171502"", ""'Filter 30_05_2024'!A1:M2000""), {2, 3, 4, 5,6,7,8,9,10,11,12,13}, 0))"),4)</f>
        <v>4</v>
      </c>
      <c r="W181" s="16">
        <f ca="1">IFERROR(__xludf.dummyfunction("""COMPUTED_VALUE"""),21)</f>
        <v>21</v>
      </c>
      <c r="X181" s="16">
        <f ca="1">IFERROR(__xludf.dummyfunction("""COMPUTED_VALUE"""),2)</f>
        <v>2</v>
      </c>
      <c r="Y181" s="16">
        <f ca="1">IFERROR(__xludf.dummyfunction("""COMPUTED_VALUE"""),27)</f>
        <v>27</v>
      </c>
      <c r="Z181" s="16">
        <f ca="1">IFERROR(__xludf.dummyfunction("""COMPUTED_VALUE"""),4)</f>
        <v>4</v>
      </c>
      <c r="AA181" s="30">
        <f ca="1">IFERROR(__xludf.dummyfunction("""COMPUTED_VALUE"""),8)</f>
        <v>8</v>
      </c>
      <c r="AB181" s="30">
        <f ca="1">IFERROR(__xludf.dummyfunction("""COMPUTED_VALUE"""),1)</f>
        <v>1</v>
      </c>
      <c r="AC181" s="30">
        <f ca="1">IFERROR(__xludf.dummyfunction("""COMPUTED_VALUE"""),13)</f>
        <v>13</v>
      </c>
      <c r="AD181" s="16"/>
      <c r="AE181" s="30"/>
      <c r="AF181" s="30"/>
      <c r="AG181" s="30"/>
    </row>
    <row r="182" spans="1:33" ht="13.8">
      <c r="A182" s="25"/>
      <c r="B182" s="25" t="s">
        <v>29</v>
      </c>
      <c r="C182" s="25" t="s">
        <v>310</v>
      </c>
      <c r="D182" s="25">
        <v>7</v>
      </c>
      <c r="E182" s="64" t="s">
        <v>723</v>
      </c>
      <c r="F182" s="89" t="s">
        <v>1033</v>
      </c>
      <c r="G182" s="92" t="s">
        <v>1034</v>
      </c>
      <c r="H182" s="72" t="str">
        <f ca="1">IFERROR(__xludf.dummyfunction("IFERROR(
  VLOOKUP(G182, IMPORTRANGE(""https://docs.google.com/spreadsheets/d/14deopnvwcrKtEGCKuYXdUHJbeLDZlkiSSWWT0g7x2pM/edit#gid=849066331"", ""LU List Maths (Filter)!A:B""), 2, FALSE),
  IFERROR(
    VLOOKUP(G182, IMPORTRANGE(""https://docs.google.com"&amp;"/spreadsheets/d/14deopnvwcrKtEGCKuYXdUHJbeLDZlkiSSWWT0g7x2pM/edit#gid=849066331"", ""LU List Science (Filter)!A:B""), 2, FALSE),
    ""Not Found""
  )
)
"),"Definition of concentric circles")</f>
        <v>Definition of concentric circles</v>
      </c>
      <c r="I182" s="87"/>
      <c r="J182" s="29" t="str">
        <f t="shared" si="30"/>
        <v>LU000498.001</v>
      </c>
      <c r="K182" s="29" t="str">
        <f ca="1">IFERROR(__xludf.dummyfunction("VLOOKUP(J182, IMPORTRANGE(""https://docs.google.com/spreadsheets/d/1yDAaXNsi4Mr5FtRQL4tbmSdIzhx6_m4wkOD7IG-k_eo/edit#gid=0"", ""Maths!M:N""), 2, FALSE)"),"Define concentric circles.")</f>
        <v>Define concentric circles.</v>
      </c>
      <c r="L182" s="29" t="str">
        <f t="shared" si="31"/>
        <v>LU000498.002</v>
      </c>
      <c r="M182" s="29" t="str">
        <f ca="1">IFERROR(__xludf.dummyfunction("VLOOKUP(L182, IMPORTRANGE(""https://docs.google.com/spreadsheets/d/1yDAaXNsi4Mr5FtRQL4tbmSdIzhx6_m4wkOD7IG-k_eo/edit#gid=0"", ""Maths!M:N""), 2, FALSE)"),"Describe how concentric circles are formed by placing circles with varying radii around a common point.")</f>
        <v>Describe how concentric circles are formed by placing circles with varying radii around a common point.</v>
      </c>
      <c r="N182" s="29" t="str">
        <f t="shared" si="32"/>
        <v>LU000498.003</v>
      </c>
      <c r="O182" s="29" t="str">
        <f ca="1">IFERROR(__xludf.dummyfunction("VLOOKUP(N182, IMPORTRANGE(""https://docs.google.com/spreadsheets/d/1yDAaXNsi4Mr5FtRQL4tbmSdIzhx6_m4wkOD7IG-k_eo/edit#gid=0"", ""Maths!M:N""), 2, FALSE)"),"Calculate the circumference of inner and/outer circle, given two concentric circles.")</f>
        <v>Calculate the circumference of inner and/outer circle, given two concentric circles.</v>
      </c>
      <c r="P182" s="29" t="str">
        <f t="shared" si="33"/>
        <v>LU000498.004</v>
      </c>
      <c r="Q182" s="29" t="str">
        <f ca="1">IFERROR(__xludf.dummyfunction("VLOOKUP(P182, IMPORTRANGE(""https://docs.google.com/spreadsheets/d/1yDAaXNsi4Mr5FtRQL4tbmSdIzhx6_m4wkOD7IG-k_eo/edit#gid=0"", ""Maths!M:N""), 2, FALSE)"),"Analyse the relationship between radii of concentric circles and their common center.")</f>
        <v>Analyse the relationship between radii of concentric circles and their common center.</v>
      </c>
      <c r="R182" s="29" t="str">
        <f t="shared" si="34"/>
        <v>LU000498.005</v>
      </c>
      <c r="S182" s="29" t="str">
        <f ca="1">IFERROR(__xludf.dummyfunction("VLOOKUP(R182, IMPORTRANGE(""https://docs.google.com/spreadsheets/d/1yDAaXNsi4Mr5FtRQL4tbmSdIzhx6_m4wkOD7IG-k_eo/edit#gid=0"", ""Maths!M:N""), 2, FALSE)"),"Assess the role of concentric circles in creating visually appealing decorations.")</f>
        <v>Assess the role of concentric circles in creating visually appealing decorations.</v>
      </c>
      <c r="T182" s="29" t="str">
        <f t="shared" si="35"/>
        <v>LU000498.006</v>
      </c>
      <c r="U182" s="29" t="str">
        <f ca="1">IFERROR(__xludf.dummyfunction("VLOOKUP(T182, IMPORTRANGE(""https://docs.google.com/spreadsheets/d/1yDAaXNsi4Mr5FtRQL4tbmSdIzhx6_m4wkOD7IG-k_eo/edit#gid=0"", ""Maths!M:N""), 2, FALSE)"),"Construct an artwork showcasing concentric circles with different radii, aiming to illustrate their concept visually.")</f>
        <v>Construct an artwork showcasing concentric circles with different radii, aiming to illustrate their concept visually.</v>
      </c>
      <c r="V182" s="16">
        <f ca="1">IFERROR(__xludf.dummyfunction("ArrayFormula(VLOOKUP(G182, IMPORTRANGE(""https://docs.google.com/spreadsheets/d/1p7R4vtkWt5VOBim4ltsDG9KTzSjrtKXsMtQGXPHyND0/edit#gid=795171502"", ""'Filter 30_05_2024'!A1:M2000""), {2, 3, 4, 5,6,7,8,9,10,11,12,13}, 0))"),4)</f>
        <v>4</v>
      </c>
      <c r="W182" s="16">
        <f ca="1">IFERROR(__xludf.dummyfunction("""COMPUTED_VALUE"""),4)</f>
        <v>4</v>
      </c>
      <c r="X182" s="16">
        <f ca="1">IFERROR(__xludf.dummyfunction("""COMPUTED_VALUE"""),2)</f>
        <v>2</v>
      </c>
      <c r="Y182" s="16">
        <f ca="1">IFERROR(__xludf.dummyfunction("""COMPUTED_VALUE"""),10)</f>
        <v>10</v>
      </c>
      <c r="Z182" s="16">
        <f ca="1">IFERROR(__xludf.dummyfunction("""COMPUTED_VALUE"""),4)</f>
        <v>4</v>
      </c>
      <c r="AA182" s="30">
        <f ca="1">IFERROR(__xludf.dummyfunction("""COMPUTED_VALUE"""),3)</f>
        <v>3</v>
      </c>
      <c r="AB182" s="30">
        <f ca="1">IFERROR(__xludf.dummyfunction("""COMPUTED_VALUE"""),1)</f>
        <v>1</v>
      </c>
      <c r="AC182" s="30">
        <f ca="1">IFERROR(__xludf.dummyfunction("""COMPUTED_VALUE"""),8)</f>
        <v>8</v>
      </c>
      <c r="AD182" s="16"/>
      <c r="AE182" s="30"/>
      <c r="AF182" s="30"/>
      <c r="AG182" s="30"/>
    </row>
    <row r="183" spans="1:33" ht="13.8">
      <c r="A183" s="25"/>
      <c r="B183" s="25" t="s">
        <v>29</v>
      </c>
      <c r="C183" s="25" t="s">
        <v>310</v>
      </c>
      <c r="D183" s="25">
        <v>7</v>
      </c>
      <c r="E183" s="64" t="s">
        <v>723</v>
      </c>
      <c r="F183" s="89"/>
      <c r="G183" s="92" t="s">
        <v>1035</v>
      </c>
      <c r="H183" s="72" t="str">
        <f ca="1">IFERROR(__xludf.dummyfunction("IFERROR(
  VLOOKUP(G183, IMPORTRANGE(""https://docs.google.com/spreadsheets/d/14deopnvwcrKtEGCKuYXdUHJbeLDZlkiSSWWT0g7x2pM/edit#gid=849066331"", ""LU List Maths (Filter)!A:B""), 2, FALSE),
  IFERROR(
    VLOOKUP(G183, IMPORTRANGE(""https://docs.google.com"&amp;"/spreadsheets/d/14deopnvwcrKtEGCKuYXdUHJbeLDZlkiSSWWT0g7x2pM/edit#gid=849066331"", ""LU List Science (Filter)!A:B""), 2, FALSE),
    ""Not Found""
  )
)
"),"Area between two concentric circles")</f>
        <v>Area between two concentric circles</v>
      </c>
      <c r="I183" s="87"/>
      <c r="J183" s="29" t="str">
        <f t="shared" si="30"/>
        <v>LU000499.001</v>
      </c>
      <c r="K183" s="29" t="str">
        <f ca="1">IFERROR(__xludf.dummyfunction("VLOOKUP(J183, IMPORTRANGE(""https://docs.google.com/spreadsheets/d/1yDAaXNsi4Mr5FtRQL4tbmSdIzhx6_m4wkOD7IG-k_eo/edit#gid=0"", ""Maths!M:N""), 2, FALSE)"),"Recall the formula for the area between two concentric circles.")</f>
        <v>Recall the formula for the area between two concentric circles.</v>
      </c>
      <c r="L183" s="29" t="str">
        <f t="shared" si="31"/>
        <v>LU000499.002</v>
      </c>
      <c r="M183" s="29" t="str">
        <f ca="1">IFERROR(__xludf.dummyfunction("VLOOKUP(L183, IMPORTRANGE(""https://docs.google.com/spreadsheets/d/1yDAaXNsi4Mr5FtRQL4tbmSdIzhx6_m4wkOD7IG-k_eo/edit#gid=0"", ""Maths!M:N""), 2, FALSE)"),"Describe the process of deducing the formula for the area between concentric circles based on their radii.")</f>
        <v>Describe the process of deducing the formula for the area between concentric circles based on their radii.</v>
      </c>
      <c r="N183" s="29" t="str">
        <f t="shared" si="32"/>
        <v>LU000499.003</v>
      </c>
      <c r="O183" s="29" t="str">
        <f ca="1">IFERROR(__xludf.dummyfunction("VLOOKUP(N183, IMPORTRANGE(""https://docs.google.com/spreadsheets/d/1yDAaXNsi4Mr5FtRQL4tbmSdIzhx6_m4wkOD7IG-k_eo/edit#gid=0"", ""Maths!M:N""), 2, FALSE)"),"Apply the area of circle formula to determine the area between given concentric circles.")</f>
        <v>Apply the area of circle formula to determine the area between given concentric circles.</v>
      </c>
      <c r="P183" s="29" t="str">
        <f t="shared" si="33"/>
        <v>LU000499.004</v>
      </c>
      <c r="Q183" s="29" t="str">
        <f ca="1">IFERROR(__xludf.dummyfunction("VLOOKUP(P183, IMPORTRANGE(""https://docs.google.com/spreadsheets/d/1yDAaXNsi4Mr5FtRQL4tbmSdIzhx6_m4wkOD7IG-k_eo/edit#gid=0"", ""Maths!M:N""), 2, FALSE)"),"Investigate how altering the radii of concentric circles affects the area between them.")</f>
        <v>Investigate how altering the radii of concentric circles affects the area between them.</v>
      </c>
      <c r="R183" s="29" t="str">
        <f t="shared" si="34"/>
        <v>LU000499.005</v>
      </c>
      <c r="S183" s="29" t="str">
        <f ca="1">IFERROR(__xludf.dummyfunction("VLOOKUP(R183, IMPORTRANGE(""https://docs.google.com/spreadsheets/d/1yDAaXNsi4Mr5FtRQL4tbmSdIzhx6_m4wkOD7IG-k_eo/edit#gid=0"", ""Maths!M:N""), 2, FALSE)"),"Evaluate whether the area between two concentric circles increases or decreases when the difference between their radii changes.")</f>
        <v>Evaluate whether the area between two concentric circles increases or decreases when the difference between their radii changes.</v>
      </c>
      <c r="T183" s="29" t="str">
        <f t="shared" si="35"/>
        <v>LU000499.006</v>
      </c>
      <c r="U183" s="29" t="str">
        <f ca="1">IFERROR(__xludf.dummyfunction("VLOOKUP(T183, IMPORTRANGE(""https://docs.google.com/spreadsheets/d/1yDAaXNsi4Mr5FtRQL4tbmSdIzhx6_m4wkOD7IG-k_eo/edit#gid=0"", ""Maths!M:N""), 2, FALSE)"),"Design an experiment to demonstrate the relationship between the radii and the area between concentric circles.")</f>
        <v>Design an experiment to demonstrate the relationship between the radii and the area between concentric circles.</v>
      </c>
      <c r="V183" s="16">
        <f ca="1">IFERROR(__xludf.dummyfunction("ArrayFormula(VLOOKUP(G183, IMPORTRANGE(""https://docs.google.com/spreadsheets/d/1p7R4vtkWt5VOBim4ltsDG9KTzSjrtKXsMtQGXPHyND0/edit#gid=795171502"", ""'Filter 30_05_2024'!A1:M2000""), {2, 3, 4, 5,6,7,8,9,10,11,12,13}, 0))"),4)</f>
        <v>4</v>
      </c>
      <c r="W183" s="16">
        <f ca="1">IFERROR(__xludf.dummyfunction("""COMPUTED_VALUE"""),6)</f>
        <v>6</v>
      </c>
      <c r="X183" s="16">
        <f ca="1">IFERROR(__xludf.dummyfunction("""COMPUTED_VALUE"""),2)</f>
        <v>2</v>
      </c>
      <c r="Y183" s="16">
        <f ca="1">IFERROR(__xludf.dummyfunction("""COMPUTED_VALUE"""),12)</f>
        <v>12</v>
      </c>
      <c r="Z183" s="16">
        <f ca="1">IFERROR(__xludf.dummyfunction("""COMPUTED_VALUE"""),4)</f>
        <v>4</v>
      </c>
      <c r="AA183" s="30">
        <f ca="1">IFERROR(__xludf.dummyfunction("""COMPUTED_VALUE"""),3)</f>
        <v>3</v>
      </c>
      <c r="AB183" s="30">
        <f ca="1">IFERROR(__xludf.dummyfunction("""COMPUTED_VALUE"""),1)</f>
        <v>1</v>
      </c>
      <c r="AC183" s="30">
        <f ca="1">IFERROR(__xludf.dummyfunction("""COMPUTED_VALUE"""),8)</f>
        <v>8</v>
      </c>
      <c r="AD183" s="16"/>
      <c r="AE183" s="30"/>
      <c r="AF183" s="30"/>
      <c r="AG183" s="30"/>
    </row>
    <row r="184" spans="1:33" ht="13.8">
      <c r="A184" s="25"/>
      <c r="B184" s="25" t="s">
        <v>29</v>
      </c>
      <c r="C184" s="25" t="s">
        <v>310</v>
      </c>
      <c r="D184" s="25">
        <v>7</v>
      </c>
      <c r="E184" s="64" t="s">
        <v>723</v>
      </c>
      <c r="F184" s="89"/>
      <c r="G184" s="92" t="s">
        <v>1036</v>
      </c>
      <c r="H184" s="72" t="str">
        <f ca="1">IFERROR(__xludf.dummyfunction("IFERROR(
  VLOOKUP(G184, IMPORTRANGE(""https://docs.google.com/spreadsheets/d/14deopnvwcrKtEGCKuYXdUHJbeLDZlkiSSWWT0g7x2pM/edit#gid=849066331"", ""LU List Maths (Filter)!A:B""), 2, FALSE),
  IFERROR(
    VLOOKUP(G184, IMPORTRANGE(""https://docs.google.com"&amp;"/spreadsheets/d/14deopnvwcrKtEGCKuYXdUHJbeLDZlkiSSWWT0g7x2pM/edit#gid=849066331"", ""LU List Science (Filter)!A:B""), 2, FALSE),
    ""Not Found""
  )
)
"),"Area of combination of 2D shapes (rectangle, square, triangle, parallelogram, circle, semicircle)")</f>
        <v>Area of combination of 2D shapes (rectangle, square, triangle, parallelogram, circle, semicircle)</v>
      </c>
      <c r="I184" s="64"/>
      <c r="J184" s="29" t="str">
        <f t="shared" si="30"/>
        <v>LU000501.001</v>
      </c>
      <c r="K184" s="29" t="str">
        <f ca="1">IFERROR(__xludf.dummyfunction("VLOOKUP(J184, IMPORTRANGE(""https://docs.google.com/spreadsheets/d/1yDAaXNsi4Mr5FtRQL4tbmSdIzhx6_m4wkOD7IG-k_eo/edit#gid=0"", ""Maths!M:N""), 2, FALSE)"),"Recall the formulas for the area of rectangle, square, triangle, parallelogram, circle, and semicircle.")</f>
        <v>Recall the formulas for the area of rectangle, square, triangle, parallelogram, circle, and semicircle.</v>
      </c>
      <c r="L184" s="29" t="str">
        <f t="shared" si="31"/>
        <v>LU000501.002</v>
      </c>
      <c r="M184" s="29" t="str">
        <f ca="1">IFERROR(__xludf.dummyfunction("VLOOKUP(L184, IMPORTRANGE(""https://docs.google.com/spreadsheets/d/1yDAaXNsi4Mr5FtRQL4tbmSdIzhx6_m4wkOD7IG-k_eo/edit#gid=0"", ""Maths!M:N""), 2, FALSE)"),"Explain how to break complex shapes into simpler ones for area calculation.")</f>
        <v>Explain how to break complex shapes into simpler ones for area calculation.</v>
      </c>
      <c r="N184" s="29" t="str">
        <f t="shared" si="32"/>
        <v>LU000501.003</v>
      </c>
      <c r="O184" s="29" t="str">
        <f ca="1">IFERROR(__xludf.dummyfunction("VLOOKUP(N184, IMPORTRANGE(""https://docs.google.com/spreadsheets/d/1yDAaXNsi4Mr5FtRQL4tbmSdIzhx6_m4wkOD7IG-k_eo/edit#gid=0"", ""Maths!M:N""), 2, FALSE)"),"Calculate the total area of a composite figure composed of given shapes.")</f>
        <v>Calculate the total area of a composite figure composed of given shapes.</v>
      </c>
      <c r="P184" s="29" t="str">
        <f t="shared" si="33"/>
        <v>LU000501.004</v>
      </c>
      <c r="Q184" s="29" t="str">
        <f ca="1">IFERROR(__xludf.dummyfunction("VLOOKUP(P184, IMPORTRANGE(""https://docs.google.com/spreadsheets/d/1yDAaXNsi4Mr5FtRQL4tbmSdIzhx6_m4wkOD7IG-k_eo/edit#gid=0"", ""Maths!M:N""), 2, FALSE)"),"Analyze the strategy of selecting shapes for efficient area computation.")</f>
        <v>Analyze the strategy of selecting shapes for efficient area computation.</v>
      </c>
      <c r="R184" s="29" t="str">
        <f t="shared" si="34"/>
        <v>LU000501.005</v>
      </c>
      <c r="S184" s="29" t="str">
        <f ca="1">IFERROR(__xludf.dummyfunction("VLOOKUP(R184, IMPORTRANGE(""https://docs.google.com/spreadsheets/d/1yDAaXNsi4Mr5FtRQL4tbmSdIzhx6_m4wkOD7IG-k_eo/edit#gid=0"", ""Maths!M:N""), 2, FALSE)"),"Evaluate the accuracy of area calculations for combined shapes.")</f>
        <v>Evaluate the accuracy of area calculations for combined shapes.</v>
      </c>
      <c r="T184" s="29" t="str">
        <f t="shared" si="35"/>
        <v>LU000501.006</v>
      </c>
      <c r="U184" s="29" t="str">
        <f ca="1">IFERROR(__xludf.dummyfunction("VLOOKUP(T184, IMPORTRANGE(""https://docs.google.com/spreadsheets/d/1yDAaXNsi4Mr5FtRQL4tbmSdIzhx6_m4wkOD7IG-k_eo/edit#gid=0"", ""Maths!M:N""), 2, FALSE)"),"Devise a composite 2D shape and develop a method to calculate its total area.")</f>
        <v>Devise a composite 2D shape and develop a method to calculate its total area.</v>
      </c>
      <c r="V184" s="16">
        <f ca="1">IFERROR(__xludf.dummyfunction("ArrayFormula(VLOOKUP(G184, IMPORTRANGE(""https://docs.google.com/spreadsheets/d/1p7R4vtkWt5VOBim4ltsDG9KTzSjrtKXsMtQGXPHyND0/edit#gid=795171502"", ""'Filter 30_05_2024'!A1:M2000""), {2, 3, 4, 5,6,7,8,9,10,11,12,13}, 0))"),4)</f>
        <v>4</v>
      </c>
      <c r="W184" s="16">
        <f ca="1">IFERROR(__xludf.dummyfunction("""COMPUTED_VALUE"""),11)</f>
        <v>11</v>
      </c>
      <c r="X184" s="16">
        <f ca="1">IFERROR(__xludf.dummyfunction("""COMPUTED_VALUE"""),2)</f>
        <v>2</v>
      </c>
      <c r="Y184" s="16">
        <f ca="1">IFERROR(__xludf.dummyfunction("""COMPUTED_VALUE"""),17)</f>
        <v>17</v>
      </c>
      <c r="Z184" s="16">
        <f ca="1">IFERROR(__xludf.dummyfunction("""COMPUTED_VALUE"""),4)</f>
        <v>4</v>
      </c>
      <c r="AA184" s="30">
        <f ca="1">IFERROR(__xludf.dummyfunction("""COMPUTED_VALUE"""),4)</f>
        <v>4</v>
      </c>
      <c r="AB184" s="30">
        <f ca="1">IFERROR(__xludf.dummyfunction("""COMPUTED_VALUE"""),1)</f>
        <v>1</v>
      </c>
      <c r="AC184" s="30">
        <f ca="1">IFERROR(__xludf.dummyfunction("""COMPUTED_VALUE"""),9)</f>
        <v>9</v>
      </c>
      <c r="AD184" s="16"/>
      <c r="AE184" s="30"/>
      <c r="AF184" s="30"/>
      <c r="AG184" s="30"/>
    </row>
    <row r="185" spans="1:33" ht="13.8">
      <c r="A185" s="25"/>
      <c r="B185" s="25" t="s">
        <v>29</v>
      </c>
      <c r="C185" s="25" t="s">
        <v>310</v>
      </c>
      <c r="D185" s="25">
        <v>7</v>
      </c>
      <c r="E185" s="64" t="s">
        <v>740</v>
      </c>
      <c r="F185" s="93"/>
      <c r="G185" s="47" t="s">
        <v>1037</v>
      </c>
      <c r="H185" s="72" t="str">
        <f ca="1">IFERROR(__xludf.dummyfunction("IFERROR(
  VLOOKUP(G185, IMPORTRANGE(""https://docs.google.com/spreadsheets/d/14deopnvwcrKtEGCKuYXdUHJbeLDZlkiSSWWT0g7x2pM/edit#gid=849066331"", ""LU List Maths (Filter)!A:B""), 2, FALSE),
  IFERROR(
    VLOOKUP(G185, IMPORTRANGE(""https://docs.google.com"&amp;"/spreadsheets/d/14deopnvwcrKtEGCKuYXdUHJbeLDZlkiSSWWT0g7x2pM/edit#gid=849066331"", ""LU List Science (Filter)!A:B""), 2, FALSE),
    ""Not Found""
  )
)
"),"Definition of mode of the data")</f>
        <v>Definition of mode of the data</v>
      </c>
      <c r="I185" s="87"/>
      <c r="J185" s="29" t="str">
        <f t="shared" si="30"/>
        <v>LU000388.001</v>
      </c>
      <c r="K185" s="29" t="str">
        <f ca="1">IFERROR(__xludf.dummyfunction("VLOOKUP(J185, IMPORTRANGE(""https://docs.google.com/spreadsheets/d/1yDAaXNsi4Mr5FtRQL4tbmSdIzhx6_m4wkOD7IG-k_eo/edit#gid=0"", ""Maths!M:N""), 2, FALSE)"),"State the definition of the mode of observations and explain why it identifies the most frequent value in a data set.")</f>
        <v>State the definition of the mode of observations and explain why it identifies the most frequent value in a data set.</v>
      </c>
      <c r="L185" s="29" t="str">
        <f t="shared" si="31"/>
        <v>LU000388.002</v>
      </c>
      <c r="M185" s="29" t="str">
        <f ca="1">IFERROR(__xludf.dummyfunction("VLOOKUP(L185, IMPORTRANGE(""https://docs.google.com/spreadsheets/d/1yDAaXNsi4Mr5FtRQL4tbmSdIzhx6_m4wkOD7IG-k_eo/edit#gid=0"", ""Maths!M:N""), 2, FALSE)"),"Explain the concept of mode of observations and how it relates to the frequency of values in a data set.")</f>
        <v>Explain the concept of mode of observations and how it relates to the frequency of values in a data set.</v>
      </c>
      <c r="N185" s="29" t="str">
        <f t="shared" si="32"/>
        <v>LU000388.003</v>
      </c>
      <c r="O185" s="29" t="str">
        <f ca="1">IFERROR(__xludf.dummyfunction("VLOOKUP(N185, IMPORTRANGE(""https://docs.google.com/spreadsheets/d/1yDAaXNsi4Mr5FtRQL4tbmSdIzhx6_m4wkOD7IG-k_eo/edit#gid=0"", ""Maths!M:N""), 2, FALSE)"),"Apply the concept of mode of observations to identify the mode in a given data set.")</f>
        <v>Apply the concept of mode of observations to identify the mode in a given data set.</v>
      </c>
      <c r="P185" s="29" t="str">
        <f t="shared" si="33"/>
        <v>LU000388.004</v>
      </c>
      <c r="Q185" s="29" t="str">
        <f ca="1">IFERROR(__xludf.dummyfunction("VLOOKUP(P185, IMPORTRANGE(""https://docs.google.com/spreadsheets/d/1yDAaXNsi4Mr5FtRQL4tbmSdIzhx6_m4wkOD7IG-k_eo/edit#gid=0"", ""Maths!M:N""), 2, FALSE)"),"Analyse different data sets and determine when using the mode of observations is appropriate for describing data.")</f>
        <v>Analyse different data sets and determine when using the mode of observations is appropriate for describing data.</v>
      </c>
      <c r="R185" s="29" t="str">
        <f t="shared" si="34"/>
        <v>LU000388.005</v>
      </c>
      <c r="S185" s="29" t="str">
        <f ca="1">IFERROR(__xludf.dummyfunction("VLOOKUP(R185, IMPORTRANGE(""https://docs.google.com/spreadsheets/d/1yDAaXNsi4Mr5FtRQL4tbmSdIzhx6_m4wkOD7IG-k_eo/edit#gid=0"", ""Maths!M:N""), 2, FALSE)"),"Evaluate whether the mode is a valuable measure for describing data when there are multiple values with similar frequencies.")</f>
        <v>Evaluate whether the mode is a valuable measure for describing data when there are multiple values with similar frequencies.</v>
      </c>
      <c r="T185" s="29" t="str">
        <f t="shared" si="35"/>
        <v>LU000388.006</v>
      </c>
      <c r="U185" s="29" t="str">
        <f ca="1">IFERROR(__xludf.dummyfunction("VLOOKUP(T185, IMPORTRANGE(""https://docs.google.com/spreadsheets/d/1yDAaXNsi4Mr5FtRQL4tbmSdIzhx6_m4wkOD7IG-k_eo/edit#gid=0"", ""Maths!M:N""), 2, FALSE)"),"Create scenarios involving various data sets and calculate and explain the mode in each case.")</f>
        <v>Create scenarios involving various data sets and calculate and explain the mode in each case.</v>
      </c>
      <c r="V185" s="16">
        <f ca="1">IFERROR(__xludf.dummyfunction("ArrayFormula(VLOOKUP(G185, IMPORTRANGE(""https://docs.google.com/spreadsheets/d/1p7R4vtkWt5VOBim4ltsDG9KTzSjrtKXsMtQGXPHyND0/edit#gid=795171502"", ""'Filter 30_05_2024'!A1:M2000""), {2, 3, 4, 5,6,7,8,9,10,11,12,13}, 0))"),4)</f>
        <v>4</v>
      </c>
      <c r="W185" s="16">
        <f ca="1">IFERROR(__xludf.dummyfunction("""COMPUTED_VALUE"""),5)</f>
        <v>5</v>
      </c>
      <c r="X185" s="16">
        <f ca="1">IFERROR(__xludf.dummyfunction("""COMPUTED_VALUE"""),2)</f>
        <v>2</v>
      </c>
      <c r="Y185" s="16">
        <f ca="1">IFERROR(__xludf.dummyfunction("""COMPUTED_VALUE"""),11)</f>
        <v>11</v>
      </c>
      <c r="Z185" s="16">
        <f ca="1">IFERROR(__xludf.dummyfunction("""COMPUTED_VALUE"""),5)</f>
        <v>5</v>
      </c>
      <c r="AA185" s="30">
        <f ca="1">IFERROR(__xludf.dummyfunction("""COMPUTED_VALUE"""),4)</f>
        <v>4</v>
      </c>
      <c r="AB185" s="30">
        <f ca="1">IFERROR(__xludf.dummyfunction("""COMPUTED_VALUE"""),1)</f>
        <v>1</v>
      </c>
      <c r="AC185" s="30">
        <f ca="1">IFERROR(__xludf.dummyfunction("""COMPUTED_VALUE"""),10)</f>
        <v>10</v>
      </c>
      <c r="AD185" s="16"/>
      <c r="AE185" s="30"/>
      <c r="AF185" s="30"/>
      <c r="AG185" s="30"/>
    </row>
    <row r="186" spans="1:33" ht="13.8">
      <c r="A186" s="25"/>
      <c r="B186" s="25" t="s">
        <v>29</v>
      </c>
      <c r="C186" s="25" t="s">
        <v>310</v>
      </c>
      <c r="D186" s="25">
        <v>7</v>
      </c>
      <c r="E186" s="64" t="s">
        <v>740</v>
      </c>
      <c r="F186" s="93"/>
      <c r="G186" s="47" t="s">
        <v>1038</v>
      </c>
      <c r="H186" s="72" t="str">
        <f ca="1">IFERROR(__xludf.dummyfunction("IFERROR(
  VLOOKUP(G186, IMPORTRANGE(""https://docs.google.com/spreadsheets/d/14deopnvwcrKtEGCKuYXdUHJbeLDZlkiSSWWT0g7x2pM/edit#gid=849066331"", ""LU List Maths (Filter)!A:B""), 2, FALSE),
  IFERROR(
    VLOOKUP(G186, IMPORTRANGE(""https://docs.google.com"&amp;"/spreadsheets/d/14deopnvwcrKtEGCKuYXdUHJbeLDZlkiSSWWT0g7x2pM/edit#gid=849066331"", ""LU List Science (Filter)!A:B""), 2, FALSE),
    ""Not Found""
  )
)
"),"Comparison of mean, median, and mode for a set of data")</f>
        <v>Comparison of mean, median, and mode for a set of data</v>
      </c>
      <c r="I186" s="64"/>
      <c r="J186" s="29" t="str">
        <f t="shared" si="30"/>
        <v>LU000920.001</v>
      </c>
      <c r="K186" s="29" t="str">
        <f ca="1">IFERROR(__xludf.dummyfunction("VLOOKUP(J186, IMPORTRANGE(""https://docs.google.com/spreadsheets/d/1yDAaXNsi4Mr5FtRQL4tbmSdIzhx6_m4wkOD7IG-k_eo/edit#gid=0"", ""Maths!M:N""), 2, FALSE)"),"Memorize the basic characteristics and differences of mean, median, and mode.")</f>
        <v>Memorize the basic characteristics and differences of mean, median, and mode.</v>
      </c>
      <c r="L186" s="29" t="str">
        <f t="shared" si="31"/>
        <v>LU000920.002</v>
      </c>
      <c r="M186" s="29" t="str">
        <f ca="1">IFERROR(__xludf.dummyfunction("VLOOKUP(L186, IMPORTRANGE(""https://docs.google.com/spreadsheets/d/1yDAaXNsi4Mr5FtRQL4tbmSdIzhx6_m4wkOD7IG-k_eo/edit#gid=0"", ""Maths!M:N""), 2, FALSE)"),"Explain the differences between mean, median, and mode, and describe when each measure is most appropriately used.")</f>
        <v>Explain the differences between mean, median, and mode, and describe when each measure is most appropriately used.</v>
      </c>
      <c r="N186" s="29" t="str">
        <f t="shared" si="32"/>
        <v>LU000920.003</v>
      </c>
      <c r="O186" s="29" t="str">
        <f ca="1">IFERROR(__xludf.dummyfunction("VLOOKUP(N186, IMPORTRANGE(""https://docs.google.com/spreadsheets/d/1yDAaXNsi4Mr5FtRQL4tbmSdIzhx6_m4wkOD7IG-k_eo/edit#gid=0"", ""Maths!M:N""), 2, FALSE)"),"Calculate the mean, median and mode of a set of data in order to verify whether all these three representative values are the same for the given data or not.")</f>
        <v>Calculate the mean, median and mode of a set of data in order to verify whether all these three representative values are the same for the given data or not.</v>
      </c>
      <c r="P186" s="29" t="str">
        <f t="shared" si="33"/>
        <v>LU000920.004</v>
      </c>
      <c r="Q186" s="29" t="str">
        <f ca="1">IFERROR(__xludf.dummyfunction("VLOOKUP(P186, IMPORTRANGE(""https://docs.google.com/spreadsheets/d/1yDAaXNsi4Mr5FtRQL4tbmSdIzhx6_m4wkOD7IG-k_eo/edit#gid=0"", ""Maths!M:N""), 2, FALSE)"),"Compare and contrast data sets by examining the differences in their mean, median, and mode.")</f>
        <v>Compare and contrast data sets by examining the differences in their mean, median, and mode.</v>
      </c>
      <c r="R186" s="29" t="str">
        <f t="shared" si="34"/>
        <v>LU000920.005</v>
      </c>
      <c r="S186" s="29" t="str">
        <f ca="1">IFERROR(__xludf.dummyfunction("VLOOKUP(R186, IMPORTRANGE(""https://docs.google.com/spreadsheets/d/1yDAaXNsi4Mr5FtRQL4tbmSdIzhx6_m4wkOD7IG-k_eo/edit#gid=0"", ""Maths!M:N""), 2, FALSE)"),"Evaluate the implications of using mean, median, or mode in various real-world contexts.")</f>
        <v>Evaluate the implications of using mean, median, or mode in various real-world contexts.</v>
      </c>
      <c r="T186" s="29" t="str">
        <f t="shared" si="35"/>
        <v>LU000920.006</v>
      </c>
      <c r="U186" s="29" t="str">
        <f ca="1">IFERROR(__xludf.dummyfunction("VLOOKUP(T186, IMPORTRANGE(""https://docs.google.com/spreadsheets/d/1yDAaXNsi4Mr5FtRQL4tbmSdIzhx6_m4wkOD7IG-k_eo/edit#gid=0"", ""Maths!M:N""), 2, FALSE)"),"#N/A")</f>
        <v>#N/A</v>
      </c>
      <c r="V186" s="16">
        <f ca="1">IFERROR(__xludf.dummyfunction("ArrayFormula(VLOOKUP(G186, IMPORTRANGE(""https://docs.google.com/spreadsheets/d/1p7R4vtkWt5VOBim4ltsDG9KTzSjrtKXsMtQGXPHyND0/edit#gid=795171502"", ""'Filter 30_05_2024'!A1:M2000""), {2, 3, 4, 5,6,7,8,9,10,11,12,13}, 0))"),3)</f>
        <v>3</v>
      </c>
      <c r="W186" s="16">
        <f ca="1">IFERROR(__xludf.dummyfunction("""COMPUTED_VALUE"""),7)</f>
        <v>7</v>
      </c>
      <c r="X186" s="16">
        <f ca="1">IFERROR(__xludf.dummyfunction("""COMPUTED_VALUE"""),2)</f>
        <v>2</v>
      </c>
      <c r="Y186" s="16">
        <f ca="1">IFERROR(__xludf.dummyfunction("""COMPUTED_VALUE"""),12)</f>
        <v>12</v>
      </c>
      <c r="Z186" s="16">
        <f ca="1">IFERROR(__xludf.dummyfunction("""COMPUTED_VALUE"""),5)</f>
        <v>5</v>
      </c>
      <c r="AA186" s="30">
        <f ca="1">IFERROR(__xludf.dummyfunction("""COMPUTED_VALUE"""),6)</f>
        <v>6</v>
      </c>
      <c r="AB186" s="30">
        <f ca="1">IFERROR(__xludf.dummyfunction("""COMPUTED_VALUE"""),1)</f>
        <v>1</v>
      </c>
      <c r="AC186" s="30">
        <f ca="1">IFERROR(__xludf.dummyfunction("""COMPUTED_VALUE"""),12)</f>
        <v>12</v>
      </c>
      <c r="AD186" s="16"/>
      <c r="AE186" s="30"/>
      <c r="AF186" s="30"/>
      <c r="AG186" s="30"/>
    </row>
    <row r="187" spans="1:33" ht="15.6">
      <c r="A187" s="25"/>
      <c r="B187" s="25" t="s">
        <v>29</v>
      </c>
      <c r="C187" s="25" t="s">
        <v>310</v>
      </c>
      <c r="D187" s="25">
        <v>7</v>
      </c>
      <c r="E187" s="64" t="s">
        <v>740</v>
      </c>
      <c r="F187" s="94" t="s">
        <v>1039</v>
      </c>
      <c r="G187" s="79" t="s">
        <v>1040</v>
      </c>
      <c r="H187" s="72" t="str">
        <f ca="1">IFERROR(__xludf.dummyfunction("IFERROR(
  VLOOKUP(G187, IMPORTRANGE(""https://docs.google.com/spreadsheets/d/14deopnvwcrKtEGCKuYXdUHJbeLDZlkiSSWWT0g7x2pM/edit#gid=849066331"", ""LU List Maths (Filter)!A:B""), 2, FALSE),
  IFERROR(
    VLOOKUP(G187, IMPORTRANGE(""https://docs.google.com"&amp;"/spreadsheets/d/14deopnvwcrKtEGCKuYXdUHJbeLDZlkiSSWWT0g7x2pM/edit#gid=849066331"", ""LU List Science (Filter)!A:B""), 2, FALSE),
    ""Not Found""
  )
)
"),"Construction and Interpretation of bar graphs (horizontal and vertical)")</f>
        <v>Construction and Interpretation of bar graphs (horizontal and vertical)</v>
      </c>
      <c r="I187" s="87"/>
      <c r="J187" s="29" t="str">
        <f t="shared" si="30"/>
        <v>LU001411.001</v>
      </c>
      <c r="K187" s="29" t="str">
        <f ca="1">IFERROR(__xludf.dummyfunction("VLOOKUP(J187, IMPORTRANGE(""https://docs.google.com/spreadsheets/d/1yDAaXNsi4Mr5FtRQL4tbmSdIzhx6_m4wkOD7IG-k_eo/edit#gid=0"", ""Maths!M:N""), 2, FALSE)"),"(LU001411.001); Default - Remember")</f>
        <v>(LU001411.001); Default - Remember</v>
      </c>
      <c r="L187" s="29" t="str">
        <f t="shared" si="31"/>
        <v>LU001411.002</v>
      </c>
      <c r="M187" s="29" t="str">
        <f ca="1">IFERROR(__xludf.dummyfunction("VLOOKUP(L187, IMPORTRANGE(""https://docs.google.com/spreadsheets/d/1yDAaXNsi4Mr5FtRQL4tbmSdIzhx6_m4wkOD7IG-k_eo/edit#gid=0"", ""Maths!M:N""), 2, FALSE)"),"(LU001411.002); Default - Understand")</f>
        <v>(LU001411.002); Default - Understand</v>
      </c>
      <c r="N187" s="29" t="str">
        <f t="shared" si="32"/>
        <v>LU001411.003</v>
      </c>
      <c r="O187" s="29" t="str">
        <f ca="1">IFERROR(__xludf.dummyfunction("VLOOKUP(N187, IMPORTRANGE(""https://docs.google.com/spreadsheets/d/1yDAaXNsi4Mr5FtRQL4tbmSdIzhx6_m4wkOD7IG-k_eo/edit#gid=0"", ""Maths!M:N""), 2, FALSE)"),"(LU001411.003); Default - Apply")</f>
        <v>(LU001411.003); Default - Apply</v>
      </c>
      <c r="P187" s="29" t="str">
        <f t="shared" si="33"/>
        <v>LU001411.004</v>
      </c>
      <c r="Q187" s="29" t="str">
        <f ca="1">IFERROR(__xludf.dummyfunction("VLOOKUP(P187, IMPORTRANGE(""https://docs.google.com/spreadsheets/d/1yDAaXNsi4Mr5FtRQL4tbmSdIzhx6_m4wkOD7IG-k_eo/edit#gid=0"", ""Maths!M:N""), 2, FALSE)"),"(LU001411.004); Default - Analyse")</f>
        <v>(LU001411.004); Default - Analyse</v>
      </c>
      <c r="R187" s="29" t="str">
        <f t="shared" si="34"/>
        <v>LU001411.005</v>
      </c>
      <c r="S187" s="29" t="str">
        <f ca="1">IFERROR(__xludf.dummyfunction("VLOOKUP(R187, IMPORTRANGE(""https://docs.google.com/spreadsheets/d/1yDAaXNsi4Mr5FtRQL4tbmSdIzhx6_m4wkOD7IG-k_eo/edit#gid=0"", ""Maths!M:N""), 2, FALSE)"),"(LU001411.005); Default - Evaluate")</f>
        <v>(LU001411.005); Default - Evaluate</v>
      </c>
      <c r="T187" s="29" t="str">
        <f t="shared" si="35"/>
        <v>LU001411.006</v>
      </c>
      <c r="U187" s="29" t="str">
        <f ca="1">IFERROR(__xludf.dummyfunction("VLOOKUP(T187, IMPORTRANGE(""https://docs.google.com/spreadsheets/d/1yDAaXNsi4Mr5FtRQL4tbmSdIzhx6_m4wkOD7IG-k_eo/edit#gid=0"", ""Maths!M:N""), 2, FALSE)"),"(LU001411.006); Default - Create")</f>
        <v>(LU001411.006); Default - Create</v>
      </c>
      <c r="V187" s="16" t="str">
        <f ca="1">IFERROR(__xludf.dummyfunction("ArrayFormula(VLOOKUP(G187, IMPORTRANGE(""https://docs.google.com/spreadsheets/d/1p7R4vtkWt5VOBim4ltsDG9KTzSjrtKXsMtQGXPHyND0/edit#gid=795171502"", ""'Filter 30_05_2024'!A1:M2000""), {2, 3, 4, 5,6,7,8,9,10,11,12,13}, 0))"),"#N/A")</f>
        <v>#N/A</v>
      </c>
      <c r="W187" s="16" t="str">
        <f ca="1">IFERROR(__xludf.dummyfunction("""COMPUTED_VALUE"""),"#N/A")</f>
        <v>#N/A</v>
      </c>
      <c r="X187" s="16" t="str">
        <f ca="1">IFERROR(__xludf.dummyfunction("""COMPUTED_VALUE"""),"#N/A")</f>
        <v>#N/A</v>
      </c>
      <c r="Y187" s="16" t="str">
        <f ca="1">IFERROR(__xludf.dummyfunction("""COMPUTED_VALUE"""),"#N/A")</f>
        <v>#N/A</v>
      </c>
      <c r="Z187" s="16" t="str">
        <f ca="1">IFERROR(__xludf.dummyfunction("""COMPUTED_VALUE"""),"#N/A")</f>
        <v>#N/A</v>
      </c>
      <c r="AA187" s="30" t="str">
        <f ca="1">IFERROR(__xludf.dummyfunction("""COMPUTED_VALUE"""),"#N/A")</f>
        <v>#N/A</v>
      </c>
      <c r="AB187" s="30" t="str">
        <f ca="1">IFERROR(__xludf.dummyfunction("""COMPUTED_VALUE"""),"#N/A")</f>
        <v>#N/A</v>
      </c>
      <c r="AC187" s="30" t="str">
        <f ca="1">IFERROR(__xludf.dummyfunction("""COMPUTED_VALUE"""),"#N/A")</f>
        <v>#N/A</v>
      </c>
      <c r="AD187" s="16" t="str">
        <f ca="1">IFERROR(__xludf.dummyfunction("""COMPUTED_VALUE"""),"#N/A")</f>
        <v>#N/A</v>
      </c>
      <c r="AE187" s="30" t="str">
        <f ca="1">IFERROR(__xludf.dummyfunction("""COMPUTED_VALUE"""),"#N/A")</f>
        <v>#N/A</v>
      </c>
      <c r="AF187" s="30" t="str">
        <f ca="1">IFERROR(__xludf.dummyfunction("""COMPUTED_VALUE"""),"#N/A")</f>
        <v>#N/A</v>
      </c>
      <c r="AG187" s="30" t="str">
        <f ca="1">IFERROR(__xludf.dummyfunction("""COMPUTED_VALUE"""),"#N/A")</f>
        <v>#N/A</v>
      </c>
    </row>
    <row r="188" spans="1:33" ht="13.8">
      <c r="A188" s="25"/>
      <c r="B188" s="25" t="s">
        <v>29</v>
      </c>
      <c r="C188" s="25" t="s">
        <v>310</v>
      </c>
      <c r="D188" s="25">
        <v>7</v>
      </c>
      <c r="E188" s="64" t="s">
        <v>740</v>
      </c>
      <c r="F188" s="93" t="s">
        <v>1041</v>
      </c>
      <c r="G188" s="95" t="s">
        <v>1042</v>
      </c>
      <c r="H188" s="72" t="str">
        <f ca="1">IFERROR(__xludf.dummyfunction("IFERROR(
  VLOOKUP(G188, IMPORTRANGE(""https://docs.google.com/spreadsheets/d/14deopnvwcrKtEGCKuYXdUHJbeLDZlkiSSWWT0g7x2pM/edit#gid=849066331"", ""LU List Maths (Filter)!A:B""), 2, FALSE),
  IFERROR(
    VLOOKUP(G188, IMPORTRANGE(""https://docs.google.com"&amp;"/spreadsheets/d/14deopnvwcrKtEGCKuYXdUHJbeLDZlkiSSWWT0g7x2pM/edit#gid=849066331"", ""LU List Science (Filter)!A:B""), 2, FALSE),
    ""Not Found""
  )
)
"),"Definition of random experiment")</f>
        <v>Definition of random experiment</v>
      </c>
      <c r="I188" s="87"/>
      <c r="J188" s="29" t="str">
        <f t="shared" si="30"/>
        <v>LU000624.001</v>
      </c>
      <c r="K188" s="29" t="str">
        <f ca="1">IFERROR(__xludf.dummyfunction("VLOOKUP(J188, IMPORTRANGE(""https://docs.google.com/spreadsheets/d/1yDAaXNsi4Mr5FtRQL4tbmSdIzhx6_m4wkOD7IG-k_eo/edit#gid=0"", ""Maths!M:N""), 2, FALSE)"),"Define a random experiment.")</f>
        <v>Define a random experiment.</v>
      </c>
      <c r="L188" s="29" t="str">
        <f t="shared" si="31"/>
        <v>LU000624.002</v>
      </c>
      <c r="M188" s="29" t="str">
        <f ca="1">IFERROR(__xludf.dummyfunction("VLOOKUP(L188, IMPORTRANGE(""https://docs.google.com/spreadsheets/d/1yDAaXNsi4Mr5FtRQL4tbmSdIzhx6_m4wkOD7IG-k_eo/edit#gid=0"", ""Maths!M:N""), 2, FALSE)"),"Explain the concept of a random experiment and how it relates to situations where outcomes are uncertain.")</f>
        <v>Explain the concept of a random experiment and how it relates to situations where outcomes are uncertain.</v>
      </c>
      <c r="N188" s="29" t="str">
        <f t="shared" si="32"/>
        <v>LU000624.003</v>
      </c>
      <c r="O188" s="29" t="str">
        <f ca="1">IFERROR(__xludf.dummyfunction("VLOOKUP(N188, IMPORTRANGE(""https://docs.google.com/spreadsheets/d/1yDAaXNsi4Mr5FtRQL4tbmSdIzhx6_m4wkOD7IG-k_eo/edit#gid=0"", ""Maths!M:N""), 2, FALSE)"),"Apply knowledge of random experiments to identify real-world situations or examples that fit the definition of a random experiment.")</f>
        <v>Apply knowledge of random experiments to identify real-world situations or examples that fit the definition of a random experiment.</v>
      </c>
      <c r="P188" s="29" t="str">
        <f t="shared" si="33"/>
        <v>LU000624.004</v>
      </c>
      <c r="Q188" s="29" t="str">
        <f ca="1">IFERROR(__xludf.dummyfunction("VLOOKUP(P188, IMPORTRANGE(""https://docs.google.com/spreadsheets/d/1yDAaXNsi4Mr5FtRQL4tbmSdIzhx6_m4wkOD7IG-k_eo/edit#gid=0"", ""Maths!M:N""), 2, FALSE)"),"Analyze different scenarios to determine whether they qualify as random experiments.")</f>
        <v>Analyze different scenarios to determine whether they qualify as random experiments.</v>
      </c>
      <c r="R188" s="29" t="str">
        <f t="shared" si="34"/>
        <v>LU000624.005</v>
      </c>
      <c r="S188" s="29" t="str">
        <f ca="1">IFERROR(__xludf.dummyfunction("VLOOKUP(R188, IMPORTRANGE(""https://docs.google.com/spreadsheets/d/1yDAaXNsi4Mr5FtRQL4tbmSdIzhx6_m4wkOD7IG-k_eo/edit#gid=0"", ""Maths!M:N""), 2, FALSE)"),"Evaluate the significance of understanding and recognizing random experiments in various fields.")</f>
        <v>Evaluate the significance of understanding and recognizing random experiments in various fields.</v>
      </c>
      <c r="T188" s="29" t="str">
        <f t="shared" si="35"/>
        <v>LU000624.006</v>
      </c>
      <c r="U188" s="29" t="str">
        <f ca="1">IFERROR(__xludf.dummyfunction("VLOOKUP(T188, IMPORTRANGE(""https://docs.google.com/spreadsheets/d/1yDAaXNsi4Mr5FtRQL4tbmSdIzhx6_m4wkOD7IG-k_eo/edit#gid=0"", ""Maths!M:N""), 2, FALSE)"),"Create examples of random experiments to illustrate the concept.")</f>
        <v>Create examples of random experiments to illustrate the concept.</v>
      </c>
      <c r="V188" s="16">
        <f ca="1">IFERROR(__xludf.dummyfunction("ArrayFormula(VLOOKUP(G188, IMPORTRANGE(""https://docs.google.com/spreadsheets/d/1p7R4vtkWt5VOBim4ltsDG9KTzSjrtKXsMtQGXPHyND0/edit#gid=795171502"", ""'Filter 30_05_2024'!A1:M2000""), {2, 3, 4, 5,6,7,8,9,10,11,12,13}, 0))"),4)</f>
        <v>4</v>
      </c>
      <c r="W188" s="16">
        <f ca="1">IFERROR(__xludf.dummyfunction("""COMPUTED_VALUE"""),6)</f>
        <v>6</v>
      </c>
      <c r="X188" s="16">
        <f ca="1">IFERROR(__xludf.dummyfunction("""COMPUTED_VALUE"""),2)</f>
        <v>2</v>
      </c>
      <c r="Y188" s="16">
        <f ca="1">IFERROR(__xludf.dummyfunction("""COMPUTED_VALUE"""),12)</f>
        <v>12</v>
      </c>
      <c r="Z188" s="16">
        <f ca="1">IFERROR(__xludf.dummyfunction("""COMPUTED_VALUE"""),4)</f>
        <v>4</v>
      </c>
      <c r="AA188" s="30">
        <f ca="1">IFERROR(__xludf.dummyfunction("""COMPUTED_VALUE"""),3)</f>
        <v>3</v>
      </c>
      <c r="AB188" s="30">
        <f ca="1">IFERROR(__xludf.dummyfunction("""COMPUTED_VALUE"""),1)</f>
        <v>1</v>
      </c>
      <c r="AC188" s="30">
        <f ca="1">IFERROR(__xludf.dummyfunction("""COMPUTED_VALUE"""),8)</f>
        <v>8</v>
      </c>
      <c r="AD188" s="16"/>
      <c r="AE188" s="30"/>
      <c r="AF188" s="30"/>
      <c r="AG188" s="30"/>
    </row>
    <row r="189" spans="1:33" ht="13.8">
      <c r="A189" s="25"/>
      <c r="B189" s="25" t="s">
        <v>29</v>
      </c>
      <c r="C189" s="25" t="s">
        <v>310</v>
      </c>
      <c r="D189" s="25">
        <v>7</v>
      </c>
      <c r="E189" s="64" t="s">
        <v>740</v>
      </c>
      <c r="F189" s="93" t="s">
        <v>1041</v>
      </c>
      <c r="G189" s="95" t="s">
        <v>1043</v>
      </c>
      <c r="H189" s="72" t="str">
        <f ca="1">IFERROR(__xludf.dummyfunction("IFERROR(
  VLOOKUP(G189, IMPORTRANGE(""https://docs.google.com/spreadsheets/d/14deopnvwcrKtEGCKuYXdUHJbeLDZlkiSSWWT0g7x2pM/edit#gid=849066331"", ""LU List Maths (Filter)!A:B""), 2, FALSE),
  IFERROR(
    VLOOKUP(G189, IMPORTRANGE(""https://docs.google.com"&amp;"/spreadsheets/d/14deopnvwcrKtEGCKuYXdUHJbeLDZlkiSSWWT0g7x2pM/edit#gid=849066331"", ""LU List Science (Filter)!A:B""), 2, FALSE),
    ""Not Found""
  )
)
"),"List of possible outcomes of an event")</f>
        <v>List of possible outcomes of an event</v>
      </c>
      <c r="I189" s="87"/>
      <c r="J189" s="29" t="str">
        <f t="shared" si="30"/>
        <v>LU000394.001</v>
      </c>
      <c r="K189" s="29" t="str">
        <f ca="1">IFERROR(__xludf.dummyfunction("VLOOKUP(J189, IMPORTRANGE(""https://docs.google.com/spreadsheets/d/1yDAaXNsi4Mr5FtRQL4tbmSdIzhx6_m4wkOD7IG-k_eo/edit#gid=0"", ""Maths!M:N""), 2, FALSE)"),"State the definition of possible outcomes and explain how it helps in visualising the different results of an event.")</f>
        <v>State the definition of possible outcomes and explain how it helps in visualising the different results of an event.</v>
      </c>
      <c r="L189" s="29" t="str">
        <f t="shared" si="31"/>
        <v>LU000394.002</v>
      </c>
      <c r="M189" s="29" t="str">
        <f ca="1">IFERROR(__xludf.dummyfunction("VLOOKUP(L189, IMPORTRANGE(""https://docs.google.com/spreadsheets/d/1yDAaXNsi4Mr5FtRQL4tbmSdIzhx6_m4wkOD7IG-k_eo/edit#gid=0"", ""Maths!M:N""), 2, FALSE)"),"Explain the how to find the list of possible outcomes.")</f>
        <v>Explain the how to find the list of possible outcomes.</v>
      </c>
      <c r="N189" s="29" t="str">
        <f t="shared" si="32"/>
        <v>LU000394.003</v>
      </c>
      <c r="O189" s="29" t="str">
        <f ca="1">IFERROR(__xludf.dummyfunction("VLOOKUP(N189, IMPORTRANGE(""https://docs.google.com/spreadsheets/d/1yDAaXNsi4Mr5FtRQL4tbmSdIzhx6_m4wkOD7IG-k_eo/edit#gid=0"", ""Maths!M:N""), 2, FALSE)"),"Find out the list of possible outcomes coin tosses, dice rolls, or card draws.")</f>
        <v>Find out the list of possible outcomes coin tosses, dice rolls, or card draws.</v>
      </c>
      <c r="P189" s="29" t="str">
        <f t="shared" si="33"/>
        <v>LU000394.004</v>
      </c>
      <c r="Q189" s="29" t="str">
        <f ca="1">IFERROR(__xludf.dummyfunction("VLOOKUP(P189, IMPORTRANGE(""https://docs.google.com/spreadsheets/d/1yDAaXNsi4Mr5FtRQL4tbmSdIzhx6_m4wkOD7IG-k_eo/edit#gid=0"", ""Maths!M:N""), 2, FALSE)"),"Analyse different situations and generate accurate lists of possible outcomes for events involving random processes.")</f>
        <v>Analyse different situations and generate accurate lists of possible outcomes for events involving random processes.</v>
      </c>
      <c r="R189" s="29" t="str">
        <f t="shared" si="34"/>
        <v>LU000394.005</v>
      </c>
      <c r="S189" s="29" t="str">
        <f ca="1">IFERROR(__xludf.dummyfunction("VLOOKUP(R189, IMPORTRANGE(""https://docs.google.com/spreadsheets/d/1yDAaXNsi4Mr5FtRQL4tbmSdIzhx6_m4wkOD7IG-k_eo/edit#gid=0"", ""Maths!M:N""), 2, FALSE)"),"Evaluate the correctness and completeness of a provided list of possible outcomes and identify any errors.")</f>
        <v>Evaluate the correctness and completeness of a provided list of possible outcomes and identify any errors.</v>
      </c>
      <c r="T189" s="29" t="str">
        <f t="shared" si="35"/>
        <v>LU000394.006</v>
      </c>
      <c r="U189" s="29" t="str">
        <f ca="1">IFERROR(__xludf.dummyfunction("VLOOKUP(T189, IMPORTRANGE(""https://docs.google.com/spreadsheets/d/1yDAaXNsi4Mr5FtRQL4tbmSdIzhx6_m4wkOD7IG-k_eo/edit#gid=0"", ""Maths!M:N""), 2, FALSE)"),"Design a set of scenarios involving different types of random experiments and construct comprehensive lists of possible outcomes for each experiment.")</f>
        <v>Design a set of scenarios involving different types of random experiments and construct comprehensive lists of possible outcomes for each experiment.</v>
      </c>
      <c r="V189" s="16">
        <f ca="1">IFERROR(__xludf.dummyfunction("ArrayFormula(VLOOKUP(G189, IMPORTRANGE(""https://docs.google.com/spreadsheets/d/1p7R4vtkWt5VOBim4ltsDG9KTzSjrtKXsMtQGXPHyND0/edit#gid=795171502"", ""'Filter 30_05_2024'!A1:M2000""), {2, 3, 4, 5,6,7,8,9,10,11,12,13}, 0))"),1)</f>
        <v>1</v>
      </c>
      <c r="W189" s="16">
        <f ca="1">IFERROR(__xludf.dummyfunction("""COMPUTED_VALUE"""),4)</f>
        <v>4</v>
      </c>
      <c r="X189" s="16">
        <f ca="1">IFERROR(__xludf.dummyfunction("""COMPUTED_VALUE"""),3)</f>
        <v>3</v>
      </c>
      <c r="Y189" s="16">
        <f ca="1">IFERROR(__xludf.dummyfunction("""COMPUTED_VALUE"""),8)</f>
        <v>8</v>
      </c>
      <c r="Z189" s="16">
        <f ca="1">IFERROR(__xludf.dummyfunction("""COMPUTED_VALUE"""),7)</f>
        <v>7</v>
      </c>
      <c r="AA189" s="30">
        <f ca="1">IFERROR(__xludf.dummyfunction("""COMPUTED_VALUE"""),5)</f>
        <v>5</v>
      </c>
      <c r="AB189" s="30">
        <f ca="1">IFERROR(__xludf.dummyfunction("""COMPUTED_VALUE"""),1)</f>
        <v>1</v>
      </c>
      <c r="AC189" s="30">
        <f ca="1">IFERROR(__xludf.dummyfunction("""COMPUTED_VALUE"""),13)</f>
        <v>13</v>
      </c>
      <c r="AD189" s="16"/>
      <c r="AE189" s="30"/>
      <c r="AF189" s="30"/>
      <c r="AG189" s="30"/>
    </row>
    <row r="190" spans="1:33">
      <c r="A190" s="25"/>
      <c r="B190" s="25"/>
      <c r="C190" s="25"/>
      <c r="D190" s="25"/>
      <c r="E190" s="64"/>
      <c r="F190" s="93"/>
      <c r="G190" s="95"/>
      <c r="H190" s="72"/>
      <c r="I190" s="87"/>
      <c r="J190" s="64"/>
      <c r="K190" s="64"/>
      <c r="L190" s="64"/>
      <c r="M190" s="64"/>
      <c r="N190" s="64"/>
      <c r="O190" s="64"/>
      <c r="P190" s="64"/>
      <c r="Q190" s="64"/>
      <c r="R190" s="64"/>
      <c r="S190" s="64"/>
      <c r="T190" s="64"/>
      <c r="U190" s="64"/>
      <c r="V190" s="64"/>
      <c r="W190" s="64"/>
      <c r="X190" s="64"/>
      <c r="Y190" s="64"/>
      <c r="Z190" s="64"/>
      <c r="AA190" s="64"/>
      <c r="AB190" s="64"/>
      <c r="AC190" s="64"/>
      <c r="AD190" s="64"/>
      <c r="AE190" s="64"/>
      <c r="AF190" s="64"/>
      <c r="AG190" s="64"/>
    </row>
    <row r="191" spans="1:33">
      <c r="A191" s="25"/>
      <c r="B191" s="25"/>
      <c r="C191" s="25"/>
      <c r="D191" s="25"/>
      <c r="E191" s="64"/>
      <c r="F191" s="93"/>
      <c r="G191" s="95"/>
      <c r="H191" s="72"/>
      <c r="I191" s="87"/>
      <c r="J191" s="64"/>
      <c r="K191" s="64"/>
      <c r="L191" s="64"/>
      <c r="M191" s="64"/>
      <c r="N191" s="64"/>
      <c r="O191" s="64"/>
      <c r="P191" s="64"/>
      <c r="Q191" s="64"/>
      <c r="R191" s="64"/>
      <c r="S191" s="64"/>
      <c r="T191" s="64"/>
      <c r="U191" s="64"/>
      <c r="V191" s="64"/>
      <c r="W191" s="64"/>
      <c r="X191" s="64"/>
      <c r="Y191" s="64"/>
      <c r="Z191" s="64"/>
      <c r="AA191" s="64"/>
      <c r="AB191" s="64"/>
      <c r="AC191" s="64"/>
      <c r="AD191" s="64"/>
      <c r="AE191" s="64"/>
      <c r="AF191" s="64"/>
      <c r="AG191" s="64"/>
    </row>
    <row r="192" spans="1:33">
      <c r="A192" s="25"/>
      <c r="B192" s="25"/>
      <c r="C192" s="25"/>
      <c r="D192" s="25"/>
      <c r="E192" s="64"/>
      <c r="F192" s="70"/>
      <c r="G192" s="71"/>
      <c r="H192" s="72"/>
      <c r="I192" s="64"/>
      <c r="J192" s="64"/>
      <c r="K192" s="64"/>
      <c r="L192" s="64"/>
      <c r="M192" s="64"/>
      <c r="N192" s="64"/>
      <c r="O192" s="64"/>
      <c r="P192" s="64"/>
      <c r="Q192" s="64"/>
      <c r="R192" s="64"/>
      <c r="S192" s="64"/>
      <c r="T192" s="64"/>
      <c r="U192" s="64"/>
      <c r="V192" s="64"/>
      <c r="W192" s="64"/>
      <c r="X192" s="64"/>
      <c r="Y192" s="64"/>
      <c r="Z192" s="64"/>
      <c r="AA192" s="64"/>
      <c r="AB192" s="64"/>
      <c r="AC192" s="64"/>
      <c r="AD192" s="64"/>
      <c r="AE192" s="64"/>
      <c r="AF192" s="64"/>
      <c r="AG192" s="64"/>
    </row>
    <row r="193" spans="1:33">
      <c r="A193" s="25"/>
      <c r="B193" s="25"/>
      <c r="C193" s="25"/>
      <c r="D193" s="25"/>
      <c r="E193" s="64"/>
      <c r="F193" s="64"/>
      <c r="G193" s="71"/>
      <c r="H193" s="72"/>
      <c r="I193" s="64"/>
      <c r="J193" s="64"/>
      <c r="K193" s="64"/>
      <c r="L193" s="64"/>
      <c r="M193" s="64"/>
      <c r="N193" s="64"/>
      <c r="O193" s="64"/>
      <c r="P193" s="64"/>
      <c r="Q193" s="64"/>
      <c r="R193" s="64"/>
      <c r="S193" s="64"/>
      <c r="T193" s="64"/>
      <c r="U193" s="64"/>
      <c r="V193" s="64"/>
      <c r="W193" s="64"/>
      <c r="X193" s="64"/>
      <c r="Y193" s="64"/>
      <c r="Z193" s="64"/>
      <c r="AA193" s="64"/>
      <c r="AB193" s="64"/>
      <c r="AC193" s="64"/>
      <c r="AD193" s="64"/>
      <c r="AE193" s="64"/>
      <c r="AF193" s="64"/>
      <c r="AG193" s="64"/>
    </row>
    <row r="194" spans="1:33">
      <c r="A194" s="25"/>
      <c r="B194" s="25"/>
      <c r="C194" s="25"/>
      <c r="D194" s="25"/>
      <c r="E194" s="64"/>
      <c r="F194" s="70"/>
      <c r="G194" s="71"/>
      <c r="H194" s="72"/>
      <c r="I194" s="64"/>
      <c r="J194" s="64"/>
      <c r="K194" s="64"/>
      <c r="L194" s="64"/>
      <c r="M194" s="64"/>
      <c r="N194" s="64"/>
      <c r="O194" s="64"/>
      <c r="P194" s="64"/>
      <c r="Q194" s="64"/>
      <c r="R194" s="64"/>
      <c r="S194" s="64"/>
      <c r="T194" s="64"/>
      <c r="U194" s="64"/>
      <c r="V194" s="64"/>
      <c r="W194" s="64"/>
      <c r="X194" s="64"/>
      <c r="Y194" s="64"/>
      <c r="Z194" s="64"/>
      <c r="AA194" s="64"/>
      <c r="AB194" s="64"/>
      <c r="AC194" s="64"/>
      <c r="AD194" s="64"/>
      <c r="AE194" s="64"/>
      <c r="AF194" s="64"/>
      <c r="AG194" s="64"/>
    </row>
    <row r="195" spans="1:33">
      <c r="A195" s="25"/>
      <c r="B195" s="25"/>
      <c r="C195" s="25"/>
      <c r="D195" s="25"/>
      <c r="E195" s="64"/>
      <c r="F195" s="70"/>
      <c r="G195" s="71"/>
      <c r="H195" s="72"/>
      <c r="I195" s="64"/>
      <c r="J195" s="64"/>
      <c r="K195" s="64"/>
      <c r="L195" s="64"/>
      <c r="M195" s="64"/>
      <c r="N195" s="64"/>
      <c r="O195" s="64"/>
      <c r="P195" s="64"/>
      <c r="Q195" s="64"/>
      <c r="R195" s="64"/>
      <c r="S195" s="64"/>
      <c r="T195" s="64"/>
      <c r="U195" s="64"/>
      <c r="V195" s="64"/>
      <c r="W195" s="64"/>
      <c r="X195" s="64"/>
      <c r="Y195" s="64"/>
      <c r="Z195" s="64"/>
      <c r="AA195" s="64"/>
      <c r="AB195" s="64"/>
      <c r="AC195" s="64"/>
      <c r="AD195" s="64"/>
      <c r="AE195" s="64"/>
      <c r="AF195" s="64"/>
      <c r="AG195" s="64"/>
    </row>
    <row r="196" spans="1:33">
      <c r="A196" s="25"/>
      <c r="B196" s="25"/>
      <c r="C196" s="25"/>
      <c r="D196" s="25"/>
      <c r="E196" s="64"/>
      <c r="F196" s="70"/>
      <c r="G196" s="71"/>
      <c r="H196" s="72"/>
      <c r="I196" s="64"/>
      <c r="J196" s="64"/>
      <c r="K196" s="64"/>
      <c r="L196" s="64"/>
      <c r="M196" s="64"/>
      <c r="N196" s="64"/>
      <c r="O196" s="64"/>
      <c r="P196" s="64"/>
      <c r="Q196" s="64"/>
      <c r="R196" s="64"/>
      <c r="S196" s="64"/>
      <c r="T196" s="64"/>
      <c r="U196" s="64"/>
      <c r="V196" s="64"/>
      <c r="W196" s="64"/>
      <c r="X196" s="64"/>
      <c r="Y196" s="64"/>
      <c r="Z196" s="64"/>
      <c r="AA196" s="64"/>
      <c r="AB196" s="64"/>
      <c r="AC196" s="64"/>
      <c r="AD196" s="64"/>
      <c r="AE196" s="64"/>
      <c r="AF196" s="64"/>
      <c r="AG196" s="64"/>
    </row>
    <row r="197" spans="1:33">
      <c r="A197" s="25"/>
      <c r="B197" s="25"/>
      <c r="C197" s="25"/>
      <c r="D197" s="25"/>
      <c r="E197" s="64"/>
      <c r="F197" s="70"/>
      <c r="G197" s="71"/>
      <c r="H197" s="72"/>
      <c r="I197" s="64"/>
      <c r="J197" s="64"/>
      <c r="K197" s="64"/>
      <c r="L197" s="64"/>
      <c r="M197" s="64"/>
      <c r="N197" s="64"/>
      <c r="O197" s="64"/>
      <c r="P197" s="64"/>
      <c r="Q197" s="64"/>
      <c r="R197" s="64"/>
      <c r="S197" s="64"/>
      <c r="T197" s="64"/>
      <c r="U197" s="64"/>
      <c r="V197" s="64"/>
      <c r="W197" s="64"/>
      <c r="X197" s="64"/>
      <c r="Y197" s="64"/>
      <c r="Z197" s="64"/>
      <c r="AA197" s="64"/>
      <c r="AB197" s="64"/>
      <c r="AC197" s="64"/>
      <c r="AD197" s="64"/>
      <c r="AE197" s="64"/>
      <c r="AF197" s="64"/>
      <c r="AG197" s="64"/>
    </row>
    <row r="198" spans="1:33">
      <c r="A198" s="25"/>
      <c r="B198" s="25"/>
      <c r="C198" s="25"/>
      <c r="D198" s="25"/>
      <c r="E198" s="64"/>
      <c r="F198" s="70"/>
      <c r="G198" s="71"/>
      <c r="H198" s="72"/>
      <c r="I198" s="64"/>
      <c r="J198" s="64"/>
      <c r="K198" s="64"/>
      <c r="L198" s="64"/>
      <c r="M198" s="64"/>
      <c r="N198" s="64"/>
      <c r="O198" s="64"/>
      <c r="P198" s="64"/>
      <c r="Q198" s="64"/>
      <c r="R198" s="64"/>
      <c r="S198" s="64"/>
      <c r="T198" s="64"/>
      <c r="U198" s="64"/>
      <c r="V198" s="64"/>
      <c r="W198" s="64"/>
      <c r="X198" s="64"/>
      <c r="Y198" s="64"/>
      <c r="Z198" s="64"/>
      <c r="AA198" s="64"/>
      <c r="AB198" s="64"/>
      <c r="AC198" s="64"/>
      <c r="AD198" s="64"/>
      <c r="AE198" s="64"/>
      <c r="AF198" s="64"/>
      <c r="AG198" s="64"/>
    </row>
    <row r="199" spans="1:33">
      <c r="A199" s="25"/>
      <c r="B199" s="25"/>
      <c r="C199" s="25"/>
      <c r="D199" s="25"/>
      <c r="E199" s="64"/>
      <c r="F199" s="70"/>
      <c r="G199" s="71"/>
      <c r="H199" s="72"/>
      <c r="I199" s="64"/>
      <c r="J199" s="64"/>
      <c r="K199" s="64"/>
      <c r="L199" s="64"/>
      <c r="M199" s="64"/>
      <c r="N199" s="64"/>
      <c r="O199" s="64"/>
      <c r="P199" s="64"/>
      <c r="Q199" s="64"/>
      <c r="R199" s="64"/>
      <c r="S199" s="64"/>
      <c r="T199" s="64"/>
      <c r="U199" s="64"/>
      <c r="V199" s="64"/>
      <c r="W199" s="64"/>
      <c r="X199" s="64"/>
      <c r="Y199" s="64"/>
      <c r="Z199" s="64"/>
      <c r="AA199" s="64"/>
      <c r="AB199" s="64"/>
      <c r="AC199" s="64"/>
      <c r="AD199" s="64"/>
      <c r="AE199" s="64"/>
      <c r="AF199" s="64"/>
      <c r="AG199" s="64"/>
    </row>
    <row r="200" spans="1:33">
      <c r="A200" s="25"/>
      <c r="B200" s="25"/>
      <c r="C200" s="25"/>
      <c r="D200" s="25"/>
      <c r="E200" s="64"/>
      <c r="F200" s="70"/>
      <c r="G200" s="71"/>
      <c r="H200" s="72"/>
      <c r="I200" s="64"/>
      <c r="J200" s="64"/>
      <c r="K200" s="64"/>
      <c r="L200" s="64"/>
      <c r="M200" s="64"/>
      <c r="N200" s="64"/>
      <c r="O200" s="64"/>
      <c r="P200" s="64"/>
      <c r="Q200" s="64"/>
      <c r="R200" s="64"/>
      <c r="S200" s="64"/>
      <c r="T200" s="64"/>
      <c r="U200" s="64"/>
      <c r="V200" s="64"/>
      <c r="W200" s="64"/>
      <c r="X200" s="64"/>
      <c r="Y200" s="64"/>
      <c r="Z200" s="64"/>
      <c r="AA200" s="64"/>
      <c r="AB200" s="64"/>
      <c r="AC200" s="64"/>
      <c r="AD200" s="64"/>
      <c r="AE200" s="64"/>
      <c r="AF200" s="64"/>
      <c r="AG200" s="64"/>
    </row>
    <row r="201" spans="1:33">
      <c r="A201" s="25"/>
      <c r="B201" s="25"/>
      <c r="C201" s="25"/>
      <c r="D201" s="25"/>
      <c r="E201" s="64"/>
      <c r="F201" s="70"/>
      <c r="G201" s="71"/>
      <c r="H201" s="72"/>
      <c r="I201" s="64"/>
      <c r="J201" s="64"/>
      <c r="K201" s="64"/>
      <c r="L201" s="64"/>
      <c r="M201" s="64"/>
      <c r="N201" s="64"/>
      <c r="O201" s="64"/>
      <c r="P201" s="64"/>
      <c r="Q201" s="64"/>
      <c r="R201" s="64"/>
      <c r="S201" s="64"/>
      <c r="T201" s="64"/>
      <c r="U201" s="64"/>
      <c r="V201" s="64"/>
      <c r="W201" s="64"/>
      <c r="X201" s="64"/>
      <c r="Y201" s="64"/>
      <c r="Z201" s="64"/>
      <c r="AA201" s="64"/>
      <c r="AB201" s="64"/>
      <c r="AC201" s="64"/>
      <c r="AD201" s="64"/>
      <c r="AE201" s="64"/>
      <c r="AF201" s="64"/>
      <c r="AG201" s="64"/>
    </row>
    <row r="202" spans="1:33">
      <c r="A202" s="25"/>
      <c r="B202" s="25"/>
      <c r="C202" s="25"/>
      <c r="D202" s="25"/>
      <c r="E202" s="64"/>
      <c r="F202" s="70"/>
      <c r="G202" s="71"/>
      <c r="H202" s="72"/>
      <c r="I202" s="64"/>
      <c r="J202" s="64"/>
      <c r="K202" s="64"/>
      <c r="L202" s="64"/>
      <c r="M202" s="64"/>
      <c r="N202" s="64"/>
      <c r="O202" s="64"/>
      <c r="P202" s="64"/>
      <c r="Q202" s="64"/>
      <c r="R202" s="64"/>
      <c r="S202" s="64"/>
      <c r="T202" s="64"/>
      <c r="U202" s="64"/>
      <c r="V202" s="64"/>
      <c r="W202" s="64"/>
      <c r="X202" s="64"/>
      <c r="Y202" s="64"/>
      <c r="Z202" s="64"/>
      <c r="AA202" s="64"/>
      <c r="AB202" s="64"/>
      <c r="AC202" s="64"/>
      <c r="AD202" s="64"/>
      <c r="AE202" s="64"/>
      <c r="AF202" s="64"/>
      <c r="AG202" s="64"/>
    </row>
    <row r="203" spans="1:33">
      <c r="A203" s="25"/>
      <c r="B203" s="25"/>
      <c r="C203" s="25"/>
      <c r="D203" s="25"/>
      <c r="E203" s="64"/>
      <c r="F203" s="70"/>
      <c r="G203" s="71"/>
      <c r="H203" s="72"/>
      <c r="I203" s="64"/>
      <c r="J203" s="64"/>
      <c r="K203" s="64"/>
      <c r="L203" s="64"/>
      <c r="M203" s="64"/>
      <c r="N203" s="64"/>
      <c r="O203" s="64"/>
      <c r="P203" s="64"/>
      <c r="Q203" s="64"/>
      <c r="R203" s="64"/>
      <c r="S203" s="64"/>
      <c r="T203" s="64"/>
      <c r="U203" s="64"/>
      <c r="V203" s="64"/>
      <c r="W203" s="64"/>
      <c r="X203" s="64"/>
      <c r="Y203" s="64"/>
      <c r="Z203" s="64"/>
      <c r="AA203" s="64"/>
      <c r="AB203" s="64"/>
      <c r="AC203" s="64"/>
      <c r="AD203" s="64"/>
      <c r="AE203" s="64"/>
      <c r="AF203" s="64"/>
      <c r="AG203" s="64"/>
    </row>
    <row r="204" spans="1:33">
      <c r="A204" s="25"/>
      <c r="B204" s="25"/>
      <c r="C204" s="25"/>
      <c r="D204" s="25"/>
      <c r="E204" s="64"/>
      <c r="F204" s="70"/>
      <c r="G204" s="71"/>
      <c r="H204" s="72"/>
      <c r="I204" s="64"/>
      <c r="J204" s="64"/>
      <c r="K204" s="64"/>
      <c r="L204" s="64"/>
      <c r="M204" s="64"/>
      <c r="N204" s="64"/>
      <c r="O204" s="64"/>
      <c r="P204" s="64"/>
      <c r="Q204" s="64"/>
      <c r="R204" s="64"/>
      <c r="S204" s="64"/>
      <c r="T204" s="64"/>
      <c r="U204" s="64"/>
      <c r="V204" s="64"/>
      <c r="W204" s="64"/>
      <c r="X204" s="64"/>
      <c r="Y204" s="64"/>
      <c r="Z204" s="64"/>
      <c r="AA204" s="64"/>
      <c r="AB204" s="64"/>
      <c r="AC204" s="64"/>
      <c r="AD204" s="64"/>
      <c r="AE204" s="64"/>
      <c r="AF204" s="64"/>
      <c r="AG204" s="64"/>
    </row>
    <row r="205" spans="1:33">
      <c r="A205" s="64"/>
      <c r="B205" s="64"/>
      <c r="C205" s="64"/>
      <c r="D205" s="64"/>
      <c r="E205" s="64"/>
      <c r="F205" s="70"/>
      <c r="G205" s="71"/>
      <c r="H205" s="72"/>
      <c r="I205" s="64"/>
      <c r="J205" s="64"/>
      <c r="K205" s="64"/>
      <c r="L205" s="64"/>
      <c r="M205" s="64"/>
      <c r="N205" s="64"/>
      <c r="O205" s="64"/>
      <c r="P205" s="64"/>
      <c r="Q205" s="64"/>
      <c r="R205" s="64"/>
      <c r="S205" s="64"/>
      <c r="T205" s="64"/>
      <c r="U205" s="64"/>
      <c r="V205" s="64"/>
      <c r="W205" s="64"/>
      <c r="X205" s="64"/>
      <c r="Y205" s="64"/>
      <c r="Z205" s="64"/>
      <c r="AA205" s="64"/>
      <c r="AB205" s="64"/>
      <c r="AC205" s="64"/>
      <c r="AD205" s="64"/>
      <c r="AE205" s="64"/>
      <c r="AF205" s="64"/>
      <c r="AG205" s="64"/>
    </row>
    <row r="206" spans="1:33">
      <c r="A206" s="64"/>
      <c r="B206" s="64"/>
      <c r="C206" s="64"/>
      <c r="D206" s="64"/>
      <c r="E206" s="64"/>
      <c r="F206" s="70"/>
      <c r="G206" s="71"/>
      <c r="H206" s="72"/>
      <c r="I206" s="64"/>
      <c r="J206" s="64"/>
      <c r="K206" s="64"/>
      <c r="L206" s="64"/>
      <c r="M206" s="64"/>
      <c r="N206" s="64"/>
      <c r="O206" s="64"/>
      <c r="P206" s="64"/>
      <c r="Q206" s="64"/>
      <c r="R206" s="64"/>
      <c r="S206" s="64"/>
      <c r="T206" s="64"/>
      <c r="U206" s="64"/>
      <c r="V206" s="64"/>
      <c r="W206" s="64"/>
      <c r="X206" s="64"/>
      <c r="Y206" s="64"/>
      <c r="Z206" s="64"/>
      <c r="AA206" s="64"/>
      <c r="AB206" s="64"/>
      <c r="AC206" s="64"/>
      <c r="AD206" s="64"/>
      <c r="AE206" s="64"/>
      <c r="AF206" s="64"/>
      <c r="AG206" s="64"/>
    </row>
    <row r="207" spans="1:33">
      <c r="A207" s="64"/>
      <c r="B207" s="64"/>
      <c r="C207" s="64"/>
      <c r="D207" s="64"/>
      <c r="E207" s="64"/>
      <c r="F207" s="70"/>
      <c r="G207" s="71"/>
      <c r="H207" s="72"/>
      <c r="I207" s="64"/>
      <c r="J207" s="64"/>
      <c r="K207" s="64"/>
      <c r="L207" s="64"/>
      <c r="M207" s="64"/>
      <c r="N207" s="64"/>
      <c r="O207" s="64"/>
      <c r="P207" s="64"/>
      <c r="Q207" s="64"/>
      <c r="R207" s="64"/>
      <c r="S207" s="64"/>
      <c r="T207" s="64"/>
      <c r="U207" s="64"/>
      <c r="V207" s="64"/>
      <c r="W207" s="64"/>
      <c r="X207" s="64"/>
      <c r="Y207" s="64"/>
      <c r="Z207" s="64"/>
      <c r="AA207" s="64"/>
      <c r="AB207" s="64"/>
      <c r="AC207" s="64"/>
      <c r="AD207" s="64"/>
      <c r="AE207" s="64"/>
      <c r="AF207" s="64"/>
      <c r="AG207" s="64"/>
    </row>
    <row r="208" spans="1:33">
      <c r="A208" s="64"/>
      <c r="B208" s="64"/>
      <c r="C208" s="64"/>
      <c r="D208" s="64"/>
      <c r="E208" s="64"/>
      <c r="F208" s="70"/>
      <c r="G208" s="71"/>
      <c r="H208" s="72"/>
      <c r="I208" s="64"/>
      <c r="J208" s="64"/>
      <c r="K208" s="64"/>
      <c r="L208" s="64"/>
      <c r="M208" s="64"/>
      <c r="N208" s="64"/>
      <c r="O208" s="64"/>
      <c r="P208" s="64"/>
      <c r="Q208" s="64"/>
      <c r="R208" s="64"/>
      <c r="S208" s="64"/>
      <c r="T208" s="64"/>
      <c r="U208" s="64"/>
      <c r="V208" s="64"/>
      <c r="W208" s="64"/>
      <c r="X208" s="64"/>
      <c r="Y208" s="64"/>
      <c r="Z208" s="64"/>
      <c r="AA208" s="64"/>
      <c r="AB208" s="64"/>
      <c r="AC208" s="64"/>
      <c r="AD208" s="64"/>
      <c r="AE208" s="64"/>
      <c r="AF208" s="64"/>
      <c r="AG208" s="64"/>
    </row>
    <row r="209" spans="1:33">
      <c r="A209" s="64"/>
      <c r="B209" s="64"/>
      <c r="C209" s="64"/>
      <c r="D209" s="64"/>
      <c r="E209" s="64"/>
      <c r="F209" s="70"/>
      <c r="G209" s="71"/>
      <c r="H209" s="72"/>
      <c r="I209" s="64"/>
      <c r="J209" s="64"/>
      <c r="K209" s="64"/>
      <c r="L209" s="64"/>
      <c r="M209" s="64"/>
      <c r="N209" s="64"/>
      <c r="O209" s="64"/>
      <c r="P209" s="64"/>
      <c r="Q209" s="64"/>
      <c r="R209" s="64"/>
      <c r="S209" s="64"/>
      <c r="T209" s="64"/>
      <c r="U209" s="64"/>
      <c r="V209" s="64"/>
      <c r="W209" s="64"/>
      <c r="X209" s="64"/>
      <c r="Y209" s="64"/>
      <c r="Z209" s="64"/>
      <c r="AA209" s="64"/>
      <c r="AB209" s="64"/>
      <c r="AC209" s="64"/>
      <c r="AD209" s="64"/>
      <c r="AE209" s="64"/>
      <c r="AF209" s="64"/>
      <c r="AG209" s="64"/>
    </row>
    <row r="210" spans="1:33">
      <c r="A210" s="64"/>
      <c r="B210" s="64"/>
      <c r="C210" s="64"/>
      <c r="D210" s="64"/>
      <c r="E210" s="64"/>
      <c r="F210" s="70"/>
      <c r="G210" s="71"/>
      <c r="H210" s="72"/>
      <c r="I210" s="64"/>
      <c r="J210" s="64"/>
      <c r="K210" s="64"/>
      <c r="L210" s="64"/>
      <c r="M210" s="64"/>
      <c r="N210" s="64"/>
      <c r="O210" s="64"/>
      <c r="P210" s="64"/>
      <c r="Q210" s="64"/>
      <c r="R210" s="64"/>
      <c r="S210" s="64"/>
      <c r="T210" s="64"/>
      <c r="U210" s="64"/>
      <c r="V210" s="64"/>
      <c r="W210" s="64"/>
      <c r="X210" s="64"/>
      <c r="Y210" s="64"/>
      <c r="Z210" s="64"/>
      <c r="AA210" s="64"/>
      <c r="AB210" s="64"/>
      <c r="AC210" s="64"/>
      <c r="AD210" s="64"/>
      <c r="AE210" s="64"/>
      <c r="AF210" s="64"/>
      <c r="AG210" s="64"/>
    </row>
    <row r="211" spans="1:33">
      <c r="A211" s="64"/>
      <c r="B211" s="64"/>
      <c r="C211" s="64"/>
      <c r="D211" s="64"/>
      <c r="E211" s="64"/>
      <c r="F211" s="70"/>
      <c r="G211" s="71"/>
      <c r="H211" s="72"/>
      <c r="I211" s="64"/>
      <c r="J211" s="64"/>
      <c r="K211" s="64"/>
      <c r="L211" s="64"/>
      <c r="M211" s="64"/>
      <c r="N211" s="64"/>
      <c r="O211" s="64"/>
      <c r="P211" s="64"/>
      <c r="Q211" s="64"/>
      <c r="R211" s="64"/>
      <c r="S211" s="64"/>
      <c r="T211" s="64"/>
      <c r="U211" s="64"/>
      <c r="V211" s="64"/>
      <c r="W211" s="64"/>
      <c r="X211" s="64"/>
      <c r="Y211" s="64"/>
      <c r="Z211" s="64"/>
      <c r="AA211" s="64"/>
      <c r="AB211" s="64"/>
      <c r="AC211" s="64"/>
      <c r="AD211" s="64"/>
      <c r="AE211" s="64"/>
      <c r="AF211" s="64"/>
      <c r="AG211" s="64"/>
    </row>
    <row r="212" spans="1:33">
      <c r="A212" s="64"/>
      <c r="B212" s="64"/>
      <c r="C212" s="64"/>
      <c r="D212" s="64"/>
      <c r="E212" s="64"/>
      <c r="F212" s="70"/>
      <c r="G212" s="71"/>
      <c r="H212" s="72"/>
      <c r="I212" s="64"/>
      <c r="J212" s="64"/>
      <c r="K212" s="64"/>
      <c r="L212" s="64"/>
      <c r="M212" s="64"/>
      <c r="N212" s="64"/>
      <c r="O212" s="64"/>
      <c r="P212" s="64"/>
      <c r="Q212" s="64"/>
      <c r="R212" s="64"/>
      <c r="S212" s="64"/>
      <c r="T212" s="64"/>
      <c r="U212" s="64"/>
      <c r="V212" s="64"/>
      <c r="W212" s="64"/>
      <c r="X212" s="64"/>
      <c r="Y212" s="64"/>
      <c r="Z212" s="64"/>
      <c r="AA212" s="64"/>
      <c r="AB212" s="64"/>
      <c r="AC212" s="64"/>
      <c r="AD212" s="64"/>
      <c r="AE212" s="64"/>
      <c r="AF212" s="64"/>
      <c r="AG212" s="64"/>
    </row>
    <row r="213" spans="1:33">
      <c r="A213" s="64"/>
      <c r="B213" s="64"/>
      <c r="C213" s="64"/>
      <c r="D213" s="64"/>
      <c r="E213" s="64"/>
      <c r="F213" s="70"/>
      <c r="G213" s="71"/>
      <c r="H213" s="72"/>
      <c r="I213" s="64"/>
      <c r="J213" s="64"/>
      <c r="K213" s="64"/>
      <c r="L213" s="64"/>
      <c r="M213" s="64"/>
      <c r="N213" s="64"/>
      <c r="O213" s="64"/>
      <c r="P213" s="64"/>
      <c r="Q213" s="64"/>
      <c r="R213" s="64"/>
      <c r="S213" s="64"/>
      <c r="T213" s="64"/>
      <c r="U213" s="64"/>
      <c r="V213" s="64"/>
      <c r="W213" s="64"/>
      <c r="X213" s="64"/>
      <c r="Y213" s="64"/>
      <c r="Z213" s="64"/>
      <c r="AA213" s="64"/>
      <c r="AB213" s="64"/>
      <c r="AC213" s="64"/>
      <c r="AD213" s="64"/>
      <c r="AE213" s="64"/>
      <c r="AF213" s="64"/>
      <c r="AG213" s="64"/>
    </row>
    <row r="214" spans="1:33">
      <c r="A214" s="64"/>
      <c r="B214" s="64"/>
      <c r="C214" s="64"/>
      <c r="D214" s="64"/>
      <c r="E214" s="64"/>
      <c r="F214" s="70"/>
      <c r="G214" s="71"/>
      <c r="H214" s="72"/>
      <c r="I214" s="64"/>
      <c r="J214" s="64"/>
      <c r="K214" s="64"/>
      <c r="L214" s="64"/>
      <c r="M214" s="64"/>
      <c r="N214" s="64"/>
      <c r="O214" s="64"/>
      <c r="P214" s="64"/>
      <c r="Q214" s="64"/>
      <c r="R214" s="64"/>
      <c r="S214" s="64"/>
      <c r="T214" s="64"/>
      <c r="U214" s="64"/>
      <c r="V214" s="64"/>
      <c r="W214" s="64"/>
      <c r="X214" s="64"/>
      <c r="Y214" s="64"/>
      <c r="Z214" s="64"/>
      <c r="AA214" s="64"/>
      <c r="AB214" s="64"/>
      <c r="AC214" s="64"/>
      <c r="AD214" s="64"/>
      <c r="AE214" s="64"/>
      <c r="AF214" s="64"/>
      <c r="AG214" s="64"/>
    </row>
    <row r="215" spans="1:33">
      <c r="A215" s="64"/>
      <c r="B215" s="64"/>
      <c r="C215" s="64"/>
      <c r="D215" s="64"/>
      <c r="E215" s="64"/>
      <c r="F215" s="70"/>
      <c r="G215" s="71"/>
      <c r="H215" s="72"/>
      <c r="I215" s="64"/>
      <c r="J215" s="64"/>
      <c r="K215" s="64"/>
      <c r="L215" s="64"/>
      <c r="M215" s="64"/>
      <c r="N215" s="64"/>
      <c r="O215" s="64"/>
      <c r="P215" s="64"/>
      <c r="Q215" s="64"/>
      <c r="R215" s="64"/>
      <c r="S215" s="64"/>
      <c r="T215" s="64"/>
      <c r="U215" s="64"/>
      <c r="V215" s="64"/>
      <c r="W215" s="64"/>
      <c r="X215" s="64"/>
      <c r="Y215" s="64"/>
      <c r="Z215" s="64"/>
      <c r="AA215" s="64"/>
      <c r="AB215" s="64"/>
      <c r="AC215" s="64"/>
      <c r="AD215" s="64"/>
      <c r="AE215" s="64"/>
      <c r="AF215" s="64"/>
      <c r="AG215" s="64"/>
    </row>
    <row r="216" spans="1:33">
      <c r="A216" s="64"/>
      <c r="B216" s="64"/>
      <c r="C216" s="64"/>
      <c r="D216" s="64"/>
      <c r="E216" s="64"/>
      <c r="F216" s="70"/>
      <c r="G216" s="71"/>
      <c r="H216" s="72"/>
      <c r="I216" s="64"/>
      <c r="J216" s="64"/>
      <c r="K216" s="64"/>
      <c r="L216" s="64"/>
      <c r="M216" s="64"/>
      <c r="N216" s="64"/>
      <c r="O216" s="64"/>
      <c r="P216" s="64"/>
      <c r="Q216" s="64"/>
      <c r="R216" s="64"/>
      <c r="S216" s="64"/>
      <c r="T216" s="64"/>
      <c r="U216" s="64"/>
      <c r="V216" s="64"/>
      <c r="W216" s="64"/>
      <c r="X216" s="64"/>
      <c r="Y216" s="64"/>
      <c r="Z216" s="64"/>
      <c r="AA216" s="64"/>
      <c r="AB216" s="64"/>
      <c r="AC216" s="64"/>
      <c r="AD216" s="64"/>
      <c r="AE216" s="64"/>
      <c r="AF216" s="64"/>
      <c r="AG216" s="64"/>
    </row>
    <row r="217" spans="1:33">
      <c r="A217" s="64"/>
      <c r="B217" s="64"/>
      <c r="C217" s="64"/>
      <c r="D217" s="64"/>
      <c r="E217" s="64"/>
      <c r="F217" s="70"/>
      <c r="G217" s="71"/>
      <c r="H217" s="72"/>
      <c r="I217" s="64"/>
      <c r="J217" s="64"/>
      <c r="K217" s="64"/>
      <c r="L217" s="64"/>
      <c r="M217" s="64"/>
      <c r="N217" s="64"/>
      <c r="O217" s="64"/>
      <c r="P217" s="64"/>
      <c r="Q217" s="64"/>
      <c r="R217" s="64"/>
      <c r="S217" s="64"/>
      <c r="T217" s="64"/>
      <c r="U217" s="64"/>
      <c r="V217" s="64"/>
      <c r="W217" s="64"/>
      <c r="X217" s="64"/>
      <c r="Y217" s="64"/>
      <c r="Z217" s="64"/>
      <c r="AA217" s="64"/>
      <c r="AB217" s="64"/>
      <c r="AC217" s="64"/>
      <c r="AD217" s="64"/>
      <c r="AE217" s="64"/>
      <c r="AF217" s="64"/>
      <c r="AG217" s="64"/>
    </row>
    <row r="218" spans="1:33">
      <c r="A218" s="64"/>
      <c r="B218" s="64"/>
      <c r="C218" s="64"/>
      <c r="D218" s="64"/>
      <c r="E218" s="64"/>
      <c r="F218" s="70"/>
      <c r="G218" s="71"/>
      <c r="H218" s="72"/>
      <c r="I218" s="64"/>
      <c r="J218" s="64"/>
      <c r="K218" s="64"/>
      <c r="L218" s="64"/>
      <c r="M218" s="64"/>
      <c r="N218" s="64"/>
      <c r="O218" s="64"/>
      <c r="P218" s="64"/>
      <c r="Q218" s="64"/>
      <c r="R218" s="64"/>
      <c r="S218" s="64"/>
      <c r="T218" s="64"/>
      <c r="U218" s="64"/>
      <c r="V218" s="64"/>
      <c r="W218" s="64"/>
      <c r="X218" s="64"/>
      <c r="Y218" s="64"/>
      <c r="Z218" s="64"/>
      <c r="AA218" s="64"/>
      <c r="AB218" s="64"/>
      <c r="AC218" s="64"/>
      <c r="AD218" s="64"/>
      <c r="AE218" s="64"/>
      <c r="AF218" s="64"/>
      <c r="AG218" s="64"/>
    </row>
    <row r="219" spans="1:33">
      <c r="A219" s="64"/>
      <c r="B219" s="64"/>
      <c r="C219" s="64"/>
      <c r="D219" s="64"/>
      <c r="E219" s="64"/>
      <c r="F219" s="70"/>
      <c r="G219" s="71"/>
      <c r="H219" s="72"/>
      <c r="I219" s="64"/>
      <c r="J219" s="64"/>
      <c r="K219" s="64"/>
      <c r="L219" s="64"/>
      <c r="M219" s="64"/>
      <c r="N219" s="64"/>
      <c r="O219" s="64"/>
      <c r="P219" s="64"/>
      <c r="Q219" s="64"/>
      <c r="R219" s="64"/>
      <c r="S219" s="64"/>
      <c r="T219" s="64"/>
      <c r="U219" s="64"/>
      <c r="V219" s="64"/>
      <c r="W219" s="64"/>
      <c r="X219" s="64"/>
      <c r="Y219" s="64"/>
      <c r="Z219" s="64"/>
      <c r="AA219" s="64"/>
      <c r="AB219" s="64"/>
      <c r="AC219" s="64"/>
      <c r="AD219" s="64"/>
      <c r="AE219" s="64"/>
      <c r="AF219" s="64"/>
      <c r="AG219" s="64"/>
    </row>
    <row r="220" spans="1:33">
      <c r="A220" s="64"/>
      <c r="B220" s="64"/>
      <c r="C220" s="64"/>
      <c r="D220" s="64"/>
      <c r="E220" s="64"/>
      <c r="F220" s="70"/>
      <c r="G220" s="71"/>
      <c r="H220" s="72"/>
      <c r="I220" s="64"/>
      <c r="J220" s="64"/>
      <c r="K220" s="64"/>
      <c r="L220" s="64"/>
      <c r="M220" s="64"/>
      <c r="N220" s="64"/>
      <c r="O220" s="64"/>
      <c r="P220" s="64"/>
      <c r="Q220" s="64"/>
      <c r="R220" s="64"/>
      <c r="S220" s="64"/>
      <c r="T220" s="64"/>
      <c r="U220" s="64"/>
      <c r="V220" s="64"/>
      <c r="W220" s="64"/>
      <c r="X220" s="64"/>
      <c r="Y220" s="64"/>
      <c r="Z220" s="64"/>
      <c r="AA220" s="64"/>
      <c r="AB220" s="64"/>
      <c r="AC220" s="64"/>
      <c r="AD220" s="64"/>
      <c r="AE220" s="64"/>
      <c r="AF220" s="64"/>
      <c r="AG220" s="64"/>
    </row>
    <row r="221" spans="1:33">
      <c r="A221" s="64"/>
      <c r="B221" s="64"/>
      <c r="C221" s="64"/>
      <c r="D221" s="64"/>
      <c r="E221" s="64"/>
      <c r="F221" s="70"/>
      <c r="G221" s="71"/>
      <c r="H221" s="72"/>
      <c r="I221" s="64"/>
      <c r="J221" s="64"/>
      <c r="K221" s="64"/>
      <c r="L221" s="64"/>
      <c r="M221" s="64"/>
      <c r="N221" s="64"/>
      <c r="O221" s="64"/>
      <c r="P221" s="64"/>
      <c r="Q221" s="64"/>
      <c r="R221" s="64"/>
      <c r="S221" s="64"/>
      <c r="T221" s="64"/>
      <c r="U221" s="64"/>
      <c r="V221" s="64"/>
      <c r="W221" s="64"/>
      <c r="X221" s="64"/>
      <c r="Y221" s="64"/>
      <c r="Z221" s="64"/>
      <c r="AA221" s="64"/>
      <c r="AB221" s="64"/>
      <c r="AC221" s="64"/>
      <c r="AD221" s="64"/>
      <c r="AE221" s="64"/>
      <c r="AF221" s="64"/>
      <c r="AG221" s="64"/>
    </row>
    <row r="222" spans="1:33">
      <c r="A222" s="64"/>
      <c r="B222" s="64"/>
      <c r="C222" s="64"/>
      <c r="D222" s="64"/>
      <c r="E222" s="64"/>
      <c r="F222" s="70"/>
      <c r="G222" s="71"/>
      <c r="H222" s="72"/>
      <c r="I222" s="64"/>
      <c r="J222" s="64"/>
      <c r="K222" s="64"/>
      <c r="L222" s="64"/>
      <c r="M222" s="64"/>
      <c r="N222" s="64"/>
      <c r="O222" s="64"/>
      <c r="P222" s="64"/>
      <c r="Q222" s="64"/>
      <c r="R222" s="64"/>
      <c r="S222" s="64"/>
      <c r="T222" s="64"/>
      <c r="U222" s="64"/>
      <c r="V222" s="64"/>
      <c r="W222" s="64"/>
      <c r="X222" s="64"/>
      <c r="Y222" s="64"/>
      <c r="Z222" s="64"/>
      <c r="AA222" s="64"/>
      <c r="AB222" s="64"/>
      <c r="AC222" s="64"/>
      <c r="AD222" s="64"/>
      <c r="AE222" s="64"/>
      <c r="AF222" s="64"/>
      <c r="AG222" s="64"/>
    </row>
    <row r="223" spans="1:33">
      <c r="A223" s="64"/>
      <c r="B223" s="64"/>
      <c r="C223" s="64"/>
      <c r="D223" s="64"/>
      <c r="E223" s="64"/>
      <c r="F223" s="70"/>
      <c r="G223" s="71"/>
      <c r="H223" s="72"/>
      <c r="I223" s="64"/>
      <c r="J223" s="64"/>
      <c r="K223" s="64"/>
      <c r="L223" s="64"/>
      <c r="M223" s="64"/>
      <c r="N223" s="64"/>
      <c r="O223" s="64"/>
      <c r="P223" s="64"/>
      <c r="Q223" s="64"/>
      <c r="R223" s="64"/>
      <c r="S223" s="64"/>
      <c r="T223" s="64"/>
      <c r="U223" s="64"/>
      <c r="V223" s="64"/>
      <c r="W223" s="64"/>
      <c r="X223" s="64"/>
      <c r="Y223" s="64"/>
      <c r="Z223" s="64"/>
      <c r="AA223" s="64"/>
      <c r="AB223" s="64"/>
      <c r="AC223" s="64"/>
      <c r="AD223" s="64"/>
      <c r="AE223" s="64"/>
      <c r="AF223" s="64"/>
      <c r="AG223" s="64"/>
    </row>
    <row r="224" spans="1:33">
      <c r="A224" s="64"/>
      <c r="B224" s="64"/>
      <c r="C224" s="64"/>
      <c r="D224" s="64"/>
      <c r="E224" s="64"/>
      <c r="F224" s="70"/>
      <c r="G224" s="71"/>
      <c r="H224" s="72"/>
      <c r="I224" s="64"/>
      <c r="J224" s="64"/>
      <c r="K224" s="64"/>
      <c r="L224" s="64"/>
      <c r="M224" s="64"/>
      <c r="N224" s="64"/>
      <c r="O224" s="64"/>
      <c r="P224" s="64"/>
      <c r="Q224" s="64"/>
      <c r="R224" s="64"/>
      <c r="S224" s="64"/>
      <c r="T224" s="64"/>
      <c r="U224" s="64"/>
      <c r="V224" s="64"/>
      <c r="W224" s="64"/>
      <c r="X224" s="64"/>
      <c r="Y224" s="64"/>
      <c r="Z224" s="64"/>
      <c r="AA224" s="64"/>
      <c r="AB224" s="64"/>
      <c r="AC224" s="64"/>
      <c r="AD224" s="64"/>
      <c r="AE224" s="64"/>
      <c r="AF224" s="64"/>
      <c r="AG224" s="64"/>
    </row>
    <row r="225" spans="1:33">
      <c r="A225" s="64"/>
      <c r="B225" s="64"/>
      <c r="C225" s="64"/>
      <c r="D225" s="64"/>
      <c r="E225" s="64"/>
      <c r="F225" s="70"/>
      <c r="G225" s="71"/>
      <c r="H225" s="72"/>
      <c r="I225" s="64"/>
      <c r="J225" s="64"/>
      <c r="K225" s="64"/>
      <c r="L225" s="64"/>
      <c r="M225" s="64"/>
      <c r="N225" s="64"/>
      <c r="O225" s="64"/>
      <c r="P225" s="64"/>
      <c r="Q225" s="64"/>
      <c r="R225" s="64"/>
      <c r="S225" s="64"/>
      <c r="T225" s="64"/>
      <c r="U225" s="64"/>
      <c r="V225" s="64"/>
      <c r="W225" s="64"/>
      <c r="X225" s="64"/>
      <c r="Y225" s="64"/>
      <c r="Z225" s="64"/>
      <c r="AA225" s="64"/>
      <c r="AB225" s="64"/>
      <c r="AC225" s="64"/>
      <c r="AD225" s="64"/>
      <c r="AE225" s="64"/>
      <c r="AF225" s="64"/>
      <c r="AG225" s="64"/>
    </row>
    <row r="226" spans="1:33">
      <c r="A226" s="64"/>
      <c r="B226" s="64"/>
      <c r="C226" s="64"/>
      <c r="D226" s="64"/>
      <c r="E226" s="64"/>
      <c r="F226" s="70"/>
      <c r="G226" s="71"/>
      <c r="H226" s="72"/>
      <c r="I226" s="64"/>
      <c r="J226" s="64"/>
      <c r="K226" s="64"/>
      <c r="L226" s="64"/>
      <c r="M226" s="64"/>
      <c r="N226" s="64"/>
      <c r="O226" s="64"/>
      <c r="P226" s="64"/>
      <c r="Q226" s="64"/>
      <c r="R226" s="64"/>
      <c r="S226" s="64"/>
      <c r="T226" s="64"/>
      <c r="U226" s="64"/>
      <c r="V226" s="64"/>
      <c r="W226" s="64"/>
      <c r="X226" s="64"/>
      <c r="Y226" s="64"/>
      <c r="Z226" s="64"/>
      <c r="AA226" s="64"/>
      <c r="AB226" s="64"/>
      <c r="AC226" s="64"/>
      <c r="AD226" s="64"/>
      <c r="AE226" s="64"/>
      <c r="AF226" s="64"/>
      <c r="AG226" s="64"/>
    </row>
    <row r="227" spans="1:33">
      <c r="A227" s="64"/>
      <c r="B227" s="64"/>
      <c r="C227" s="64"/>
      <c r="D227" s="64"/>
      <c r="E227" s="64"/>
      <c r="F227" s="70"/>
      <c r="G227" s="71"/>
      <c r="H227" s="72"/>
      <c r="I227" s="64"/>
      <c r="J227" s="64"/>
      <c r="K227" s="64"/>
      <c r="L227" s="64"/>
      <c r="M227" s="64"/>
      <c r="N227" s="64"/>
      <c r="O227" s="64"/>
      <c r="P227" s="64"/>
      <c r="Q227" s="64"/>
      <c r="R227" s="64"/>
      <c r="S227" s="64"/>
      <c r="T227" s="64"/>
      <c r="U227" s="64"/>
      <c r="V227" s="64"/>
      <c r="W227" s="64"/>
      <c r="X227" s="64"/>
      <c r="Y227" s="64"/>
      <c r="Z227" s="64"/>
      <c r="AA227" s="64"/>
      <c r="AB227" s="64"/>
      <c r="AC227" s="64"/>
      <c r="AD227" s="64"/>
      <c r="AE227" s="64"/>
      <c r="AF227" s="64"/>
      <c r="AG227" s="64"/>
    </row>
    <row r="228" spans="1:33">
      <c r="A228" s="64"/>
      <c r="B228" s="64"/>
      <c r="C228" s="64"/>
      <c r="D228" s="64"/>
      <c r="E228" s="64"/>
      <c r="F228" s="70"/>
      <c r="G228" s="71"/>
      <c r="H228" s="72"/>
      <c r="I228" s="64"/>
      <c r="J228" s="64"/>
      <c r="K228" s="64"/>
      <c r="L228" s="64"/>
      <c r="M228" s="64"/>
      <c r="N228" s="64"/>
      <c r="O228" s="64"/>
      <c r="P228" s="64"/>
      <c r="Q228" s="64"/>
      <c r="R228" s="64"/>
      <c r="S228" s="64"/>
      <c r="T228" s="64"/>
      <c r="U228" s="64"/>
      <c r="V228" s="64"/>
      <c r="W228" s="64"/>
      <c r="X228" s="64"/>
      <c r="Y228" s="64"/>
      <c r="Z228" s="64"/>
      <c r="AA228" s="64"/>
      <c r="AB228" s="64"/>
      <c r="AC228" s="64"/>
      <c r="AD228" s="64"/>
      <c r="AE228" s="64"/>
      <c r="AF228" s="64"/>
      <c r="AG228" s="64"/>
    </row>
    <row r="229" spans="1:33">
      <c r="A229" s="64"/>
      <c r="B229" s="64"/>
      <c r="C229" s="64"/>
      <c r="D229" s="64"/>
      <c r="E229" s="64"/>
      <c r="F229" s="70"/>
      <c r="G229" s="71"/>
      <c r="H229" s="72"/>
      <c r="I229" s="64"/>
      <c r="J229" s="64"/>
      <c r="K229" s="64"/>
      <c r="L229" s="64"/>
      <c r="M229" s="64"/>
      <c r="N229" s="64"/>
      <c r="O229" s="64"/>
      <c r="P229" s="64"/>
      <c r="Q229" s="64"/>
      <c r="R229" s="64"/>
      <c r="S229" s="64"/>
      <c r="T229" s="64"/>
      <c r="U229" s="64"/>
      <c r="V229" s="64"/>
      <c r="W229" s="64"/>
      <c r="X229" s="64"/>
      <c r="Y229" s="64"/>
      <c r="Z229" s="64"/>
      <c r="AA229" s="64"/>
      <c r="AB229" s="64"/>
      <c r="AC229" s="64"/>
      <c r="AD229" s="64"/>
      <c r="AE229" s="64"/>
      <c r="AF229" s="64"/>
      <c r="AG229" s="64"/>
    </row>
    <row r="230" spans="1:33">
      <c r="A230" s="64"/>
      <c r="B230" s="64"/>
      <c r="C230" s="64"/>
      <c r="D230" s="64"/>
      <c r="E230" s="64"/>
      <c r="F230" s="70"/>
      <c r="G230" s="71"/>
      <c r="H230" s="72"/>
      <c r="I230" s="64"/>
      <c r="J230" s="64"/>
      <c r="K230" s="64"/>
      <c r="L230" s="64"/>
      <c r="M230" s="64"/>
      <c r="N230" s="64"/>
      <c r="O230" s="64"/>
      <c r="P230" s="64"/>
      <c r="Q230" s="64"/>
      <c r="R230" s="64"/>
      <c r="S230" s="64"/>
      <c r="T230" s="64"/>
      <c r="U230" s="64"/>
      <c r="V230" s="64"/>
      <c r="W230" s="64"/>
      <c r="X230" s="64"/>
      <c r="Y230" s="64"/>
      <c r="Z230" s="64"/>
      <c r="AA230" s="64"/>
      <c r="AB230" s="64"/>
      <c r="AC230" s="64"/>
      <c r="AD230" s="64"/>
      <c r="AE230" s="64"/>
      <c r="AF230" s="64"/>
      <c r="AG230" s="64"/>
    </row>
    <row r="231" spans="1:33">
      <c r="A231" s="64"/>
      <c r="B231" s="64"/>
      <c r="C231" s="64"/>
      <c r="D231" s="64"/>
      <c r="E231" s="64"/>
      <c r="F231" s="70"/>
      <c r="G231" s="71"/>
      <c r="H231" s="72"/>
      <c r="I231" s="64"/>
      <c r="J231" s="64"/>
      <c r="K231" s="64"/>
      <c r="L231" s="64"/>
      <c r="M231" s="64"/>
      <c r="N231" s="64"/>
      <c r="O231" s="64"/>
      <c r="P231" s="64"/>
      <c r="Q231" s="64"/>
      <c r="R231" s="64"/>
      <c r="S231" s="64"/>
      <c r="T231" s="64"/>
      <c r="U231" s="64"/>
      <c r="V231" s="64"/>
      <c r="W231" s="64"/>
      <c r="X231" s="64"/>
      <c r="Y231" s="64"/>
      <c r="Z231" s="64"/>
      <c r="AA231" s="64"/>
      <c r="AB231" s="64"/>
      <c r="AC231" s="64"/>
      <c r="AD231" s="64"/>
      <c r="AE231" s="64"/>
      <c r="AF231" s="64"/>
      <c r="AG231" s="64"/>
    </row>
    <row r="232" spans="1:33">
      <c r="A232" s="64"/>
      <c r="B232" s="64"/>
      <c r="C232" s="64"/>
      <c r="D232" s="64"/>
      <c r="E232" s="64"/>
      <c r="F232" s="70"/>
      <c r="G232" s="71"/>
      <c r="H232" s="72"/>
      <c r="I232" s="64"/>
      <c r="J232" s="64"/>
      <c r="K232" s="64"/>
      <c r="L232" s="64"/>
      <c r="M232" s="64"/>
      <c r="N232" s="64"/>
      <c r="O232" s="64"/>
      <c r="P232" s="64"/>
      <c r="Q232" s="64"/>
      <c r="R232" s="64"/>
      <c r="S232" s="64"/>
      <c r="T232" s="64"/>
      <c r="U232" s="64"/>
      <c r="V232" s="64"/>
      <c r="W232" s="64"/>
      <c r="X232" s="64"/>
      <c r="Y232" s="64"/>
      <c r="Z232" s="64"/>
      <c r="AA232" s="64"/>
      <c r="AB232" s="64"/>
      <c r="AC232" s="64"/>
      <c r="AD232" s="64"/>
      <c r="AE232" s="64"/>
      <c r="AF232" s="64"/>
      <c r="AG232" s="64"/>
    </row>
    <row r="233" spans="1:33">
      <c r="A233" s="64"/>
      <c r="B233" s="64"/>
      <c r="C233" s="64"/>
      <c r="D233" s="64"/>
      <c r="E233" s="64"/>
      <c r="F233" s="70"/>
      <c r="G233" s="71"/>
      <c r="H233" s="72"/>
      <c r="I233" s="64"/>
      <c r="J233" s="64"/>
      <c r="K233" s="64"/>
      <c r="L233" s="64"/>
      <c r="M233" s="64"/>
      <c r="N233" s="64"/>
      <c r="O233" s="64"/>
      <c r="P233" s="64"/>
      <c r="Q233" s="64"/>
      <c r="R233" s="64"/>
      <c r="S233" s="64"/>
      <c r="T233" s="64"/>
      <c r="U233" s="64"/>
      <c r="V233" s="64"/>
      <c r="W233" s="64"/>
      <c r="X233" s="64"/>
      <c r="Y233" s="64"/>
      <c r="Z233" s="64"/>
      <c r="AA233" s="64"/>
      <c r="AB233" s="64"/>
      <c r="AC233" s="64"/>
      <c r="AD233" s="64"/>
      <c r="AE233" s="64"/>
      <c r="AF233" s="64"/>
      <c r="AG233" s="64"/>
    </row>
    <row r="234" spans="1:33">
      <c r="A234" s="64"/>
      <c r="B234" s="64"/>
      <c r="C234" s="64"/>
      <c r="D234" s="64"/>
      <c r="E234" s="64"/>
      <c r="F234" s="70"/>
      <c r="G234" s="71"/>
      <c r="H234" s="72"/>
      <c r="I234" s="64"/>
      <c r="J234" s="64"/>
      <c r="K234" s="64"/>
      <c r="L234" s="64"/>
      <c r="M234" s="64"/>
      <c r="N234" s="64"/>
      <c r="O234" s="64"/>
      <c r="P234" s="64"/>
      <c r="Q234" s="64"/>
      <c r="R234" s="64"/>
      <c r="S234" s="64"/>
      <c r="T234" s="64"/>
      <c r="U234" s="64"/>
      <c r="V234" s="64"/>
      <c r="W234" s="64"/>
      <c r="X234" s="64"/>
      <c r="Y234" s="64"/>
      <c r="Z234" s="64"/>
      <c r="AA234" s="64"/>
      <c r="AB234" s="64"/>
      <c r="AC234" s="64"/>
      <c r="AD234" s="64"/>
      <c r="AE234" s="64"/>
      <c r="AF234" s="64"/>
      <c r="AG234" s="64"/>
    </row>
    <row r="235" spans="1:33">
      <c r="A235" s="64"/>
      <c r="B235" s="64"/>
      <c r="C235" s="64"/>
      <c r="D235" s="64"/>
      <c r="E235" s="64"/>
      <c r="F235" s="70"/>
      <c r="G235" s="71"/>
      <c r="H235" s="72"/>
      <c r="I235" s="64"/>
      <c r="J235" s="64"/>
      <c r="K235" s="64"/>
      <c r="L235" s="64"/>
      <c r="M235" s="64"/>
      <c r="N235" s="64"/>
      <c r="O235" s="64"/>
      <c r="P235" s="64"/>
      <c r="Q235" s="64"/>
      <c r="R235" s="64"/>
      <c r="S235" s="64"/>
      <c r="T235" s="64"/>
      <c r="U235" s="64"/>
      <c r="V235" s="64"/>
      <c r="W235" s="64"/>
      <c r="X235" s="64"/>
      <c r="Y235" s="64"/>
      <c r="Z235" s="64"/>
      <c r="AA235" s="64"/>
      <c r="AB235" s="64"/>
      <c r="AC235" s="64"/>
      <c r="AD235" s="64"/>
      <c r="AE235" s="64"/>
      <c r="AF235" s="64"/>
      <c r="AG235" s="64"/>
    </row>
    <row r="236" spans="1:33">
      <c r="A236" s="64"/>
      <c r="B236" s="64"/>
      <c r="C236" s="64"/>
      <c r="D236" s="64"/>
      <c r="E236" s="64"/>
      <c r="F236" s="70"/>
      <c r="G236" s="71"/>
      <c r="H236" s="72"/>
      <c r="I236" s="64"/>
      <c r="J236" s="64"/>
      <c r="K236" s="64"/>
      <c r="L236" s="64"/>
      <c r="M236" s="64"/>
      <c r="N236" s="64"/>
      <c r="O236" s="64"/>
      <c r="P236" s="64"/>
      <c r="Q236" s="64"/>
      <c r="R236" s="64"/>
      <c r="S236" s="64"/>
      <c r="T236" s="64"/>
      <c r="U236" s="64"/>
      <c r="V236" s="64"/>
      <c r="W236" s="64"/>
      <c r="X236" s="64"/>
      <c r="Y236" s="64"/>
      <c r="Z236" s="64"/>
      <c r="AA236" s="64"/>
      <c r="AB236" s="64"/>
      <c r="AC236" s="64"/>
      <c r="AD236" s="64"/>
      <c r="AE236" s="64"/>
      <c r="AF236" s="64"/>
      <c r="AG236" s="64"/>
    </row>
    <row r="237" spans="1:33">
      <c r="A237" s="64"/>
      <c r="B237" s="64"/>
      <c r="C237" s="64"/>
      <c r="D237" s="64"/>
      <c r="E237" s="64"/>
      <c r="F237" s="70"/>
      <c r="G237" s="71"/>
      <c r="H237" s="72"/>
      <c r="I237" s="64"/>
      <c r="J237" s="64"/>
      <c r="K237" s="64"/>
      <c r="L237" s="64"/>
      <c r="M237" s="64"/>
      <c r="N237" s="64"/>
      <c r="O237" s="64"/>
      <c r="P237" s="64"/>
      <c r="Q237" s="64"/>
      <c r="R237" s="64"/>
      <c r="S237" s="64"/>
      <c r="T237" s="64"/>
      <c r="U237" s="64"/>
      <c r="V237" s="64"/>
      <c r="W237" s="64"/>
      <c r="X237" s="64"/>
      <c r="Y237" s="64"/>
      <c r="Z237" s="64"/>
      <c r="AA237" s="64"/>
      <c r="AB237" s="64"/>
      <c r="AC237" s="64"/>
      <c r="AD237" s="64"/>
      <c r="AE237" s="64"/>
      <c r="AF237" s="64"/>
      <c r="AG237" s="64"/>
    </row>
    <row r="238" spans="1:33">
      <c r="A238" s="64"/>
      <c r="B238" s="64"/>
      <c r="C238" s="64"/>
      <c r="D238" s="64"/>
      <c r="E238" s="64"/>
      <c r="F238" s="70"/>
      <c r="G238" s="71"/>
      <c r="H238" s="72"/>
      <c r="I238" s="64"/>
      <c r="J238" s="64"/>
      <c r="K238" s="64"/>
      <c r="L238" s="64"/>
      <c r="M238" s="64"/>
      <c r="N238" s="64"/>
      <c r="O238" s="64"/>
      <c r="P238" s="64"/>
      <c r="Q238" s="64"/>
      <c r="R238" s="64"/>
      <c r="S238" s="64"/>
      <c r="T238" s="64"/>
      <c r="U238" s="64"/>
      <c r="V238" s="64"/>
      <c r="W238" s="64"/>
      <c r="X238" s="64"/>
      <c r="Y238" s="64"/>
      <c r="Z238" s="64"/>
      <c r="AA238" s="64"/>
      <c r="AB238" s="64"/>
      <c r="AC238" s="64"/>
      <c r="AD238" s="64"/>
      <c r="AE238" s="64"/>
      <c r="AF238" s="64"/>
      <c r="AG238" s="64"/>
    </row>
    <row r="239" spans="1:33">
      <c r="A239" s="64"/>
      <c r="B239" s="64"/>
      <c r="C239" s="64"/>
      <c r="D239" s="64"/>
      <c r="E239" s="64"/>
      <c r="F239" s="70"/>
      <c r="G239" s="71"/>
      <c r="H239" s="72"/>
      <c r="I239" s="64"/>
      <c r="J239" s="64"/>
      <c r="K239" s="64"/>
      <c r="L239" s="64"/>
      <c r="M239" s="64"/>
      <c r="N239" s="64"/>
      <c r="O239" s="64"/>
      <c r="P239" s="64"/>
      <c r="Q239" s="64"/>
      <c r="R239" s="64"/>
      <c r="S239" s="64"/>
      <c r="T239" s="64"/>
      <c r="U239" s="64"/>
      <c r="V239" s="64"/>
      <c r="W239" s="64"/>
      <c r="X239" s="64"/>
      <c r="Y239" s="64"/>
      <c r="Z239" s="64"/>
      <c r="AA239" s="64"/>
      <c r="AB239" s="64"/>
      <c r="AC239" s="64"/>
      <c r="AD239" s="64"/>
      <c r="AE239" s="64"/>
      <c r="AF239" s="64"/>
      <c r="AG239" s="64"/>
    </row>
    <row r="240" spans="1:33">
      <c r="A240" s="64"/>
      <c r="B240" s="64"/>
      <c r="C240" s="64"/>
      <c r="D240" s="64"/>
      <c r="E240" s="64"/>
      <c r="F240" s="70"/>
      <c r="G240" s="71"/>
      <c r="H240" s="72"/>
      <c r="I240" s="64"/>
      <c r="J240" s="64"/>
      <c r="K240" s="64"/>
      <c r="L240" s="64"/>
      <c r="M240" s="64"/>
      <c r="N240" s="64"/>
      <c r="O240" s="64"/>
      <c r="P240" s="64"/>
      <c r="Q240" s="64"/>
      <c r="R240" s="64"/>
      <c r="S240" s="64"/>
      <c r="T240" s="64"/>
      <c r="U240" s="64"/>
      <c r="V240" s="64"/>
      <c r="W240" s="64"/>
      <c r="X240" s="64"/>
      <c r="Y240" s="64"/>
      <c r="Z240" s="64"/>
      <c r="AA240" s="64"/>
      <c r="AB240" s="64"/>
      <c r="AC240" s="64"/>
      <c r="AD240" s="64"/>
      <c r="AE240" s="64"/>
      <c r="AF240" s="64"/>
      <c r="AG240" s="64"/>
    </row>
    <row r="241" spans="1:33">
      <c r="A241" s="64"/>
      <c r="B241" s="64"/>
      <c r="C241" s="64"/>
      <c r="D241" s="64"/>
      <c r="E241" s="64"/>
      <c r="F241" s="70"/>
      <c r="G241" s="71"/>
      <c r="H241" s="72"/>
      <c r="I241" s="64"/>
      <c r="J241" s="64"/>
      <c r="K241" s="64"/>
      <c r="L241" s="64"/>
      <c r="M241" s="64"/>
      <c r="N241" s="64"/>
      <c r="O241" s="64"/>
      <c r="P241" s="64"/>
      <c r="Q241" s="64"/>
      <c r="R241" s="64"/>
      <c r="S241" s="64"/>
      <c r="T241" s="64"/>
      <c r="U241" s="64"/>
      <c r="V241" s="64"/>
      <c r="W241" s="64"/>
      <c r="X241" s="64"/>
      <c r="Y241" s="64"/>
      <c r="Z241" s="64"/>
      <c r="AA241" s="64"/>
      <c r="AB241" s="64"/>
      <c r="AC241" s="64"/>
      <c r="AD241" s="64"/>
      <c r="AE241" s="64"/>
      <c r="AF241" s="64"/>
      <c r="AG241" s="64"/>
    </row>
    <row r="242" spans="1:33">
      <c r="A242" s="64"/>
      <c r="B242" s="64"/>
      <c r="C242" s="64"/>
      <c r="D242" s="64"/>
      <c r="E242" s="64"/>
      <c r="F242" s="70"/>
      <c r="G242" s="71"/>
      <c r="H242" s="72"/>
      <c r="I242" s="64"/>
      <c r="J242" s="64"/>
      <c r="K242" s="64"/>
      <c r="L242" s="64"/>
      <c r="M242" s="64"/>
      <c r="N242" s="64"/>
      <c r="O242" s="64"/>
      <c r="P242" s="64"/>
      <c r="Q242" s="64"/>
      <c r="R242" s="64"/>
      <c r="S242" s="64"/>
      <c r="T242" s="64"/>
      <c r="U242" s="64"/>
      <c r="V242" s="64"/>
      <c r="W242" s="64"/>
      <c r="X242" s="64"/>
      <c r="Y242" s="64"/>
      <c r="Z242" s="64"/>
      <c r="AA242" s="64"/>
      <c r="AB242" s="64"/>
      <c r="AC242" s="64"/>
      <c r="AD242" s="64"/>
      <c r="AE242" s="64"/>
      <c r="AF242" s="64"/>
      <c r="AG242" s="64"/>
    </row>
    <row r="243" spans="1:33">
      <c r="A243" s="64"/>
      <c r="B243" s="64"/>
      <c r="C243" s="64"/>
      <c r="D243" s="64"/>
      <c r="E243" s="64"/>
      <c r="F243" s="70"/>
      <c r="G243" s="71"/>
      <c r="H243" s="72"/>
      <c r="I243" s="64"/>
      <c r="J243" s="64"/>
      <c r="K243" s="64"/>
      <c r="L243" s="64"/>
      <c r="M243" s="64"/>
      <c r="N243" s="64"/>
      <c r="O243" s="64"/>
      <c r="P243" s="64"/>
      <c r="Q243" s="64"/>
      <c r="R243" s="64"/>
      <c r="S243" s="64"/>
      <c r="T243" s="64"/>
      <c r="U243" s="64"/>
      <c r="V243" s="64"/>
      <c r="W243" s="64"/>
      <c r="X243" s="64"/>
      <c r="Y243" s="64"/>
      <c r="Z243" s="64"/>
      <c r="AA243" s="64"/>
      <c r="AB243" s="64"/>
      <c r="AC243" s="64"/>
      <c r="AD243" s="64"/>
      <c r="AE243" s="64"/>
      <c r="AF243" s="64"/>
      <c r="AG243" s="64"/>
    </row>
    <row r="244" spans="1:33">
      <c r="A244" s="64"/>
      <c r="B244" s="64"/>
      <c r="C244" s="64"/>
      <c r="D244" s="64"/>
      <c r="E244" s="64"/>
      <c r="F244" s="70"/>
      <c r="G244" s="71"/>
      <c r="H244" s="72"/>
      <c r="I244" s="64"/>
      <c r="J244" s="64"/>
      <c r="K244" s="64"/>
      <c r="L244" s="64"/>
      <c r="M244" s="64"/>
      <c r="N244" s="64"/>
      <c r="O244" s="64"/>
      <c r="P244" s="64"/>
      <c r="Q244" s="64"/>
      <c r="R244" s="64"/>
      <c r="S244" s="64"/>
      <c r="T244" s="64"/>
      <c r="U244" s="64"/>
      <c r="V244" s="64"/>
      <c r="W244" s="64"/>
      <c r="X244" s="64"/>
      <c r="Y244" s="64"/>
      <c r="Z244" s="64"/>
      <c r="AA244" s="64"/>
      <c r="AB244" s="64"/>
      <c r="AC244" s="64"/>
      <c r="AD244" s="64"/>
      <c r="AE244" s="64"/>
      <c r="AF244" s="64"/>
      <c r="AG244" s="64"/>
    </row>
    <row r="245" spans="1:33">
      <c r="A245" s="64"/>
      <c r="B245" s="64"/>
      <c r="C245" s="64"/>
      <c r="D245" s="64"/>
      <c r="E245" s="64"/>
      <c r="F245" s="70"/>
      <c r="G245" s="71"/>
      <c r="H245" s="72"/>
      <c r="I245" s="64"/>
      <c r="J245" s="64"/>
      <c r="K245" s="64"/>
      <c r="L245" s="64"/>
      <c r="M245" s="64"/>
      <c r="N245" s="64"/>
      <c r="O245" s="64"/>
      <c r="P245" s="64"/>
      <c r="Q245" s="64"/>
      <c r="R245" s="64"/>
      <c r="S245" s="64"/>
      <c r="T245" s="64"/>
      <c r="U245" s="64"/>
      <c r="V245" s="64"/>
      <c r="W245" s="64"/>
      <c r="X245" s="64"/>
      <c r="Y245" s="64"/>
      <c r="Z245" s="64"/>
      <c r="AA245" s="64"/>
      <c r="AB245" s="64"/>
      <c r="AC245" s="64"/>
      <c r="AD245" s="64"/>
      <c r="AE245" s="64"/>
      <c r="AF245" s="64"/>
      <c r="AG245" s="64"/>
    </row>
    <row r="246" spans="1:33">
      <c r="A246" s="64"/>
      <c r="B246" s="64"/>
      <c r="C246" s="64"/>
      <c r="D246" s="64"/>
      <c r="E246" s="64"/>
      <c r="F246" s="70"/>
      <c r="G246" s="71"/>
      <c r="H246" s="72"/>
      <c r="I246" s="64"/>
      <c r="J246" s="64"/>
      <c r="K246" s="64"/>
      <c r="L246" s="64"/>
      <c r="M246" s="64"/>
      <c r="N246" s="64"/>
      <c r="O246" s="64"/>
      <c r="P246" s="64"/>
      <c r="Q246" s="64"/>
      <c r="R246" s="64"/>
      <c r="S246" s="64"/>
      <c r="T246" s="64"/>
      <c r="U246" s="64"/>
      <c r="V246" s="64"/>
      <c r="W246" s="64"/>
      <c r="X246" s="64"/>
      <c r="Y246" s="64"/>
      <c r="Z246" s="64"/>
      <c r="AA246" s="64"/>
      <c r="AB246" s="64"/>
      <c r="AC246" s="64"/>
      <c r="AD246" s="64"/>
      <c r="AE246" s="64"/>
      <c r="AF246" s="64"/>
      <c r="AG246" s="64"/>
    </row>
    <row r="247" spans="1:33">
      <c r="A247" s="64"/>
      <c r="B247" s="64"/>
      <c r="C247" s="64"/>
      <c r="D247" s="64"/>
      <c r="E247" s="64"/>
      <c r="F247" s="70"/>
      <c r="G247" s="71"/>
      <c r="H247" s="72"/>
      <c r="I247" s="64"/>
      <c r="J247" s="64"/>
      <c r="K247" s="64"/>
      <c r="L247" s="64"/>
      <c r="M247" s="64"/>
      <c r="N247" s="64"/>
      <c r="O247" s="64"/>
      <c r="P247" s="64"/>
      <c r="Q247" s="64"/>
      <c r="R247" s="64"/>
      <c r="S247" s="64"/>
      <c r="T247" s="64"/>
      <c r="U247" s="64"/>
      <c r="V247" s="64"/>
      <c r="W247" s="64"/>
      <c r="X247" s="64"/>
      <c r="Y247" s="64"/>
      <c r="Z247" s="64"/>
      <c r="AA247" s="64"/>
      <c r="AB247" s="64"/>
      <c r="AC247" s="64"/>
      <c r="AD247" s="64"/>
      <c r="AE247" s="64"/>
      <c r="AF247" s="64"/>
      <c r="AG247" s="64"/>
    </row>
    <row r="248" spans="1:33">
      <c r="A248" s="64"/>
      <c r="B248" s="64"/>
      <c r="C248" s="64"/>
      <c r="D248" s="64"/>
      <c r="E248" s="64"/>
      <c r="F248" s="70"/>
      <c r="G248" s="71"/>
      <c r="H248" s="72"/>
      <c r="I248" s="64"/>
      <c r="J248" s="64"/>
      <c r="K248" s="64"/>
      <c r="L248" s="64"/>
      <c r="M248" s="64"/>
      <c r="N248" s="64"/>
      <c r="O248" s="64"/>
      <c r="P248" s="64"/>
      <c r="Q248" s="64"/>
      <c r="R248" s="64"/>
      <c r="S248" s="64"/>
      <c r="T248" s="64"/>
      <c r="U248" s="64"/>
      <c r="V248" s="64"/>
      <c r="W248" s="64"/>
      <c r="X248" s="64"/>
      <c r="Y248" s="64"/>
      <c r="Z248" s="64"/>
      <c r="AA248" s="64"/>
      <c r="AB248" s="64"/>
      <c r="AC248" s="64"/>
      <c r="AD248" s="64"/>
      <c r="AE248" s="64"/>
      <c r="AF248" s="64"/>
      <c r="AG248" s="64"/>
    </row>
    <row r="249" spans="1:33">
      <c r="A249" s="64"/>
      <c r="B249" s="64"/>
      <c r="C249" s="64"/>
      <c r="D249" s="64"/>
      <c r="E249" s="64"/>
      <c r="F249" s="70"/>
      <c r="G249" s="71"/>
      <c r="H249" s="72"/>
      <c r="I249" s="64"/>
      <c r="J249" s="64"/>
      <c r="K249" s="64"/>
      <c r="L249" s="64"/>
      <c r="M249" s="64"/>
      <c r="N249" s="64"/>
      <c r="O249" s="64"/>
      <c r="P249" s="64"/>
      <c r="Q249" s="64"/>
      <c r="R249" s="64"/>
      <c r="S249" s="64"/>
      <c r="T249" s="64"/>
      <c r="U249" s="64"/>
      <c r="V249" s="64"/>
      <c r="W249" s="64"/>
      <c r="X249" s="64"/>
      <c r="Y249" s="64"/>
      <c r="Z249" s="64"/>
      <c r="AA249" s="64"/>
      <c r="AB249" s="64"/>
      <c r="AC249" s="64"/>
      <c r="AD249" s="64"/>
      <c r="AE249" s="64"/>
      <c r="AF249" s="64"/>
      <c r="AG249" s="64"/>
    </row>
    <row r="250" spans="1:33">
      <c r="A250" s="64"/>
      <c r="B250" s="64"/>
      <c r="C250" s="64"/>
      <c r="D250" s="64"/>
      <c r="E250" s="64"/>
      <c r="F250" s="70"/>
      <c r="G250" s="71"/>
      <c r="H250" s="72"/>
      <c r="I250" s="64"/>
      <c r="J250" s="64"/>
      <c r="K250" s="64"/>
      <c r="L250" s="64"/>
      <c r="M250" s="64"/>
      <c r="N250" s="64"/>
      <c r="O250" s="64"/>
      <c r="P250" s="64"/>
      <c r="Q250" s="64"/>
      <c r="R250" s="64"/>
      <c r="S250" s="64"/>
      <c r="T250" s="64"/>
      <c r="U250" s="64"/>
      <c r="V250" s="64"/>
      <c r="W250" s="64"/>
      <c r="X250" s="64"/>
      <c r="Y250" s="64"/>
      <c r="Z250" s="64"/>
      <c r="AA250" s="64"/>
      <c r="AB250" s="64"/>
      <c r="AC250" s="64"/>
      <c r="AD250" s="64"/>
      <c r="AE250" s="64"/>
      <c r="AF250" s="64"/>
      <c r="AG250" s="64"/>
    </row>
    <row r="251" spans="1:33">
      <c r="A251" s="64"/>
      <c r="B251" s="64"/>
      <c r="C251" s="64"/>
      <c r="D251" s="64"/>
      <c r="E251" s="64"/>
      <c r="F251" s="70"/>
      <c r="G251" s="71"/>
      <c r="H251" s="72"/>
      <c r="I251" s="64"/>
      <c r="J251" s="64"/>
      <c r="K251" s="64"/>
      <c r="L251" s="64"/>
      <c r="M251" s="64"/>
      <c r="N251" s="64"/>
      <c r="O251" s="64"/>
      <c r="P251" s="64"/>
      <c r="Q251" s="64"/>
      <c r="R251" s="64"/>
      <c r="S251" s="64"/>
      <c r="T251" s="64"/>
      <c r="U251" s="64"/>
      <c r="V251" s="64"/>
      <c r="W251" s="64"/>
      <c r="X251" s="64"/>
      <c r="Y251" s="64"/>
      <c r="Z251" s="64"/>
      <c r="AA251" s="64"/>
      <c r="AB251" s="64"/>
      <c r="AC251" s="64"/>
      <c r="AD251" s="64"/>
      <c r="AE251" s="64"/>
      <c r="AF251" s="64"/>
      <c r="AG251" s="64"/>
    </row>
    <row r="252" spans="1:33">
      <c r="A252" s="64"/>
      <c r="B252" s="64"/>
      <c r="C252" s="64"/>
      <c r="D252" s="64"/>
      <c r="E252" s="64"/>
      <c r="F252" s="70"/>
      <c r="G252" s="71"/>
      <c r="H252" s="72"/>
      <c r="I252" s="64"/>
      <c r="J252" s="64"/>
      <c r="K252" s="64"/>
      <c r="L252" s="64"/>
      <c r="M252" s="64"/>
      <c r="N252" s="64"/>
      <c r="O252" s="64"/>
      <c r="P252" s="64"/>
      <c r="Q252" s="64"/>
      <c r="R252" s="64"/>
      <c r="S252" s="64"/>
      <c r="T252" s="64"/>
      <c r="U252" s="64"/>
      <c r="V252" s="64"/>
      <c r="W252" s="64"/>
      <c r="X252" s="64"/>
      <c r="Y252" s="64"/>
      <c r="Z252" s="64"/>
      <c r="AA252" s="64"/>
      <c r="AB252" s="64"/>
      <c r="AC252" s="64"/>
      <c r="AD252" s="64"/>
      <c r="AE252" s="64"/>
      <c r="AF252" s="64"/>
      <c r="AG252" s="64"/>
    </row>
    <row r="253" spans="1:33">
      <c r="A253" s="64"/>
      <c r="B253" s="64"/>
      <c r="C253" s="64"/>
      <c r="D253" s="64"/>
      <c r="E253" s="64"/>
      <c r="F253" s="70"/>
      <c r="G253" s="71"/>
      <c r="H253" s="72"/>
      <c r="I253" s="64"/>
      <c r="J253" s="64"/>
      <c r="K253" s="64"/>
      <c r="L253" s="64"/>
      <c r="M253" s="64"/>
      <c r="N253" s="64"/>
      <c r="O253" s="64"/>
      <c r="P253" s="64"/>
      <c r="Q253" s="64"/>
      <c r="R253" s="64"/>
      <c r="S253" s="64"/>
      <c r="T253" s="64"/>
      <c r="U253" s="64"/>
      <c r="V253" s="64"/>
      <c r="W253" s="64"/>
      <c r="X253" s="64"/>
      <c r="Y253" s="64"/>
      <c r="Z253" s="64"/>
      <c r="AA253" s="64"/>
      <c r="AB253" s="64"/>
      <c r="AC253" s="64"/>
      <c r="AD253" s="64"/>
      <c r="AE253" s="64"/>
      <c r="AF253" s="64"/>
      <c r="AG253" s="64"/>
    </row>
    <row r="254" spans="1:33">
      <c r="A254" s="64"/>
      <c r="B254" s="64"/>
      <c r="C254" s="64"/>
      <c r="D254" s="64"/>
      <c r="E254" s="64"/>
      <c r="F254" s="70"/>
      <c r="G254" s="71"/>
      <c r="H254" s="72"/>
      <c r="I254" s="64"/>
      <c r="J254" s="64"/>
      <c r="K254" s="64"/>
      <c r="L254" s="64"/>
      <c r="M254" s="64"/>
      <c r="N254" s="64"/>
      <c r="O254" s="64"/>
      <c r="P254" s="64"/>
      <c r="Q254" s="64"/>
      <c r="R254" s="64"/>
      <c r="S254" s="64"/>
      <c r="T254" s="64"/>
      <c r="U254" s="64"/>
      <c r="V254" s="64"/>
      <c r="W254" s="64"/>
      <c r="X254" s="64"/>
      <c r="Y254" s="64"/>
      <c r="Z254" s="64"/>
      <c r="AA254" s="64"/>
      <c r="AB254" s="64"/>
      <c r="AC254" s="64"/>
      <c r="AD254" s="64"/>
      <c r="AE254" s="64"/>
      <c r="AF254" s="64"/>
      <c r="AG254" s="64"/>
    </row>
    <row r="255" spans="1:33">
      <c r="A255" s="64"/>
      <c r="B255" s="64"/>
      <c r="C255" s="64"/>
      <c r="D255" s="64"/>
      <c r="E255" s="64"/>
      <c r="F255" s="70"/>
      <c r="G255" s="71"/>
      <c r="H255" s="72"/>
      <c r="I255" s="64"/>
      <c r="J255" s="64"/>
      <c r="K255" s="64"/>
      <c r="L255" s="64"/>
      <c r="M255" s="64"/>
      <c r="N255" s="64"/>
      <c r="O255" s="64"/>
      <c r="P255" s="64"/>
      <c r="Q255" s="64"/>
      <c r="R255" s="64"/>
      <c r="S255" s="64"/>
      <c r="T255" s="64"/>
      <c r="U255" s="64"/>
      <c r="V255" s="64"/>
      <c r="W255" s="64"/>
      <c r="X255" s="64"/>
      <c r="Y255" s="64"/>
      <c r="Z255" s="64"/>
      <c r="AA255" s="64"/>
      <c r="AB255" s="64"/>
      <c r="AC255" s="64"/>
      <c r="AD255" s="64"/>
      <c r="AE255" s="64"/>
      <c r="AF255" s="64"/>
      <c r="AG255" s="64"/>
    </row>
    <row r="256" spans="1:33">
      <c r="A256" s="64"/>
      <c r="B256" s="64"/>
      <c r="C256" s="64"/>
      <c r="D256" s="64"/>
      <c r="E256" s="64"/>
      <c r="F256" s="70"/>
      <c r="G256" s="71"/>
      <c r="H256" s="72"/>
      <c r="I256" s="64"/>
      <c r="J256" s="64"/>
      <c r="K256" s="64"/>
      <c r="L256" s="64"/>
      <c r="M256" s="64"/>
      <c r="N256" s="64"/>
      <c r="O256" s="64"/>
      <c r="P256" s="64"/>
      <c r="Q256" s="64"/>
      <c r="R256" s="64"/>
      <c r="S256" s="64"/>
      <c r="T256" s="64"/>
      <c r="U256" s="64"/>
      <c r="V256" s="64"/>
      <c r="W256" s="64"/>
      <c r="X256" s="64"/>
      <c r="Y256" s="64"/>
      <c r="Z256" s="64"/>
      <c r="AA256" s="64"/>
      <c r="AB256" s="64"/>
      <c r="AC256" s="64"/>
      <c r="AD256" s="64"/>
      <c r="AE256" s="64"/>
      <c r="AF256" s="64"/>
      <c r="AG256" s="64"/>
    </row>
    <row r="257" spans="1:33">
      <c r="A257" s="64"/>
      <c r="B257" s="64"/>
      <c r="C257" s="64"/>
      <c r="D257" s="64"/>
      <c r="E257" s="64"/>
      <c r="F257" s="70"/>
      <c r="G257" s="71"/>
      <c r="H257" s="72"/>
      <c r="I257" s="64"/>
      <c r="J257" s="64"/>
      <c r="K257" s="64"/>
      <c r="L257" s="64"/>
      <c r="M257" s="64"/>
      <c r="N257" s="64"/>
      <c r="O257" s="64"/>
      <c r="P257" s="64"/>
      <c r="Q257" s="64"/>
      <c r="R257" s="64"/>
      <c r="S257" s="64"/>
      <c r="T257" s="64"/>
      <c r="U257" s="64"/>
      <c r="V257" s="64"/>
      <c r="W257" s="64"/>
      <c r="X257" s="64"/>
      <c r="Y257" s="64"/>
      <c r="Z257" s="64"/>
      <c r="AA257" s="64"/>
      <c r="AB257" s="64"/>
      <c r="AC257" s="64"/>
      <c r="AD257" s="64"/>
      <c r="AE257" s="64"/>
      <c r="AF257" s="64"/>
      <c r="AG257" s="64"/>
    </row>
    <row r="258" spans="1:33">
      <c r="A258" s="64"/>
      <c r="B258" s="64"/>
      <c r="C258" s="64"/>
      <c r="D258" s="64"/>
      <c r="E258" s="64"/>
      <c r="F258" s="70"/>
      <c r="G258" s="71"/>
      <c r="H258" s="72"/>
      <c r="I258" s="64"/>
      <c r="J258" s="64"/>
      <c r="K258" s="64"/>
      <c r="L258" s="64"/>
      <c r="M258" s="64"/>
      <c r="N258" s="64"/>
      <c r="O258" s="64"/>
      <c r="P258" s="64"/>
      <c r="Q258" s="64"/>
      <c r="R258" s="64"/>
      <c r="S258" s="64"/>
      <c r="T258" s="64"/>
      <c r="U258" s="64"/>
      <c r="V258" s="64"/>
      <c r="W258" s="64"/>
      <c r="X258" s="64"/>
      <c r="Y258" s="64"/>
      <c r="Z258" s="64"/>
      <c r="AA258" s="64"/>
      <c r="AB258" s="64"/>
      <c r="AC258" s="64"/>
      <c r="AD258" s="64"/>
      <c r="AE258" s="64"/>
      <c r="AF258" s="64"/>
      <c r="AG258" s="64"/>
    </row>
    <row r="259" spans="1:33">
      <c r="A259" s="64"/>
      <c r="B259" s="64"/>
      <c r="C259" s="64"/>
      <c r="D259" s="64"/>
      <c r="E259" s="64"/>
      <c r="F259" s="70"/>
      <c r="G259" s="71"/>
      <c r="H259" s="72"/>
      <c r="I259" s="64"/>
      <c r="J259" s="64"/>
      <c r="K259" s="64"/>
      <c r="L259" s="64"/>
      <c r="M259" s="64"/>
      <c r="N259" s="64"/>
      <c r="O259" s="64"/>
      <c r="P259" s="64"/>
      <c r="Q259" s="64"/>
      <c r="R259" s="64"/>
      <c r="S259" s="64"/>
      <c r="T259" s="64"/>
      <c r="U259" s="64"/>
      <c r="V259" s="64"/>
      <c r="W259" s="64"/>
      <c r="X259" s="64"/>
      <c r="Y259" s="64"/>
      <c r="Z259" s="64"/>
      <c r="AA259" s="64"/>
      <c r="AB259" s="64"/>
      <c r="AC259" s="64"/>
      <c r="AD259" s="64"/>
      <c r="AE259" s="64"/>
      <c r="AF259" s="64"/>
      <c r="AG259" s="64"/>
    </row>
    <row r="260" spans="1:33">
      <c r="A260" s="64"/>
      <c r="B260" s="64"/>
      <c r="C260" s="64"/>
      <c r="D260" s="64"/>
      <c r="E260" s="64"/>
      <c r="F260" s="70"/>
      <c r="G260" s="71"/>
      <c r="H260" s="72"/>
      <c r="I260" s="64"/>
      <c r="J260" s="64"/>
      <c r="K260" s="64"/>
      <c r="L260" s="64"/>
      <c r="M260" s="64"/>
      <c r="N260" s="64"/>
      <c r="O260" s="64"/>
      <c r="P260" s="64"/>
      <c r="Q260" s="64"/>
      <c r="R260" s="64"/>
      <c r="S260" s="64"/>
      <c r="T260" s="64"/>
      <c r="U260" s="64"/>
      <c r="V260" s="64"/>
      <c r="W260" s="64"/>
      <c r="X260" s="64"/>
      <c r="Y260" s="64"/>
      <c r="Z260" s="64"/>
      <c r="AA260" s="64"/>
      <c r="AB260" s="64"/>
      <c r="AC260" s="64"/>
      <c r="AD260" s="64"/>
      <c r="AE260" s="64"/>
      <c r="AF260" s="64"/>
      <c r="AG260" s="64"/>
    </row>
    <row r="261" spans="1:33">
      <c r="A261" s="64"/>
      <c r="B261" s="64"/>
      <c r="C261" s="64"/>
      <c r="D261" s="64"/>
      <c r="E261" s="64"/>
      <c r="F261" s="70"/>
      <c r="G261" s="71"/>
      <c r="H261" s="72"/>
      <c r="I261" s="64"/>
      <c r="J261" s="64"/>
      <c r="K261" s="64"/>
      <c r="L261" s="64"/>
      <c r="M261" s="64"/>
      <c r="N261" s="64"/>
      <c r="O261" s="64"/>
      <c r="P261" s="64"/>
      <c r="Q261" s="64"/>
      <c r="R261" s="64"/>
      <c r="S261" s="64"/>
      <c r="T261" s="64"/>
      <c r="U261" s="64"/>
      <c r="V261" s="64"/>
      <c r="W261" s="64"/>
      <c r="X261" s="64"/>
      <c r="Y261" s="64"/>
      <c r="Z261" s="64"/>
      <c r="AA261" s="64"/>
      <c r="AB261" s="64"/>
      <c r="AC261" s="64"/>
      <c r="AD261" s="64"/>
      <c r="AE261" s="64"/>
      <c r="AF261" s="64"/>
      <c r="AG261" s="64"/>
    </row>
    <row r="262" spans="1:33">
      <c r="A262" s="64"/>
      <c r="B262" s="64"/>
      <c r="C262" s="64"/>
      <c r="D262" s="64"/>
      <c r="E262" s="64"/>
      <c r="F262" s="70"/>
      <c r="G262" s="71"/>
      <c r="H262" s="72"/>
      <c r="I262" s="64"/>
      <c r="J262" s="64"/>
      <c r="K262" s="64"/>
      <c r="L262" s="64"/>
      <c r="M262" s="64"/>
      <c r="N262" s="64"/>
      <c r="O262" s="64"/>
      <c r="P262" s="64"/>
      <c r="Q262" s="64"/>
      <c r="R262" s="64"/>
      <c r="S262" s="64"/>
      <c r="T262" s="64"/>
      <c r="U262" s="64"/>
      <c r="V262" s="64"/>
      <c r="W262" s="64"/>
      <c r="X262" s="64"/>
      <c r="Y262" s="64"/>
      <c r="Z262" s="64"/>
      <c r="AA262" s="64"/>
      <c r="AB262" s="64"/>
      <c r="AC262" s="64"/>
      <c r="AD262" s="64"/>
      <c r="AE262" s="64"/>
      <c r="AF262" s="64"/>
      <c r="AG262" s="64"/>
    </row>
    <row r="263" spans="1:33">
      <c r="A263" s="64"/>
      <c r="B263" s="64"/>
      <c r="C263" s="64"/>
      <c r="D263" s="64"/>
      <c r="E263" s="64"/>
      <c r="F263" s="70"/>
      <c r="G263" s="71"/>
      <c r="H263" s="72"/>
      <c r="I263" s="64"/>
      <c r="J263" s="64"/>
      <c r="K263" s="64"/>
      <c r="L263" s="64"/>
      <c r="M263" s="64"/>
      <c r="N263" s="64"/>
      <c r="O263" s="64"/>
      <c r="P263" s="64"/>
      <c r="Q263" s="64"/>
      <c r="R263" s="64"/>
      <c r="S263" s="64"/>
      <c r="T263" s="64"/>
      <c r="U263" s="64"/>
      <c r="V263" s="64"/>
      <c r="W263" s="64"/>
      <c r="X263" s="64"/>
      <c r="Y263" s="64"/>
      <c r="Z263" s="64"/>
      <c r="AA263" s="64"/>
      <c r="AB263" s="64"/>
      <c r="AC263" s="64"/>
      <c r="AD263" s="64"/>
      <c r="AE263" s="64"/>
      <c r="AF263" s="64"/>
      <c r="AG263" s="64"/>
    </row>
    <row r="264" spans="1:33">
      <c r="A264" s="64"/>
      <c r="B264" s="64"/>
      <c r="C264" s="64"/>
      <c r="D264" s="64"/>
      <c r="E264" s="64"/>
      <c r="F264" s="70"/>
      <c r="G264" s="71"/>
      <c r="H264" s="72"/>
      <c r="I264" s="64"/>
      <c r="J264" s="64"/>
      <c r="K264" s="64"/>
      <c r="L264" s="64"/>
      <c r="M264" s="64"/>
      <c r="N264" s="64"/>
      <c r="O264" s="64"/>
      <c r="P264" s="64"/>
      <c r="Q264" s="64"/>
      <c r="R264" s="64"/>
      <c r="S264" s="64"/>
      <c r="T264" s="64"/>
      <c r="U264" s="64"/>
      <c r="V264" s="64"/>
      <c r="W264" s="64"/>
      <c r="X264" s="64"/>
      <c r="Y264" s="64"/>
      <c r="Z264" s="64"/>
      <c r="AA264" s="64"/>
      <c r="AB264" s="64"/>
      <c r="AC264" s="64"/>
      <c r="AD264" s="64"/>
      <c r="AE264" s="64"/>
      <c r="AF264" s="64"/>
      <c r="AG264" s="64"/>
    </row>
    <row r="265" spans="1:33">
      <c r="A265" s="64"/>
      <c r="B265" s="64"/>
      <c r="C265" s="64"/>
      <c r="D265" s="64"/>
      <c r="E265" s="64"/>
      <c r="F265" s="70"/>
      <c r="G265" s="71"/>
      <c r="H265" s="72"/>
      <c r="I265" s="64"/>
      <c r="J265" s="64"/>
      <c r="K265" s="64"/>
      <c r="L265" s="64"/>
      <c r="M265" s="64"/>
      <c r="N265" s="64"/>
      <c r="O265" s="64"/>
      <c r="P265" s="64"/>
      <c r="Q265" s="64"/>
      <c r="R265" s="64"/>
      <c r="S265" s="64"/>
      <c r="T265" s="64"/>
      <c r="U265" s="64"/>
      <c r="V265" s="64"/>
      <c r="W265" s="64"/>
      <c r="X265" s="64"/>
      <c r="Y265" s="64"/>
      <c r="Z265" s="64"/>
      <c r="AA265" s="64"/>
      <c r="AB265" s="64"/>
      <c r="AC265" s="64"/>
      <c r="AD265" s="64"/>
      <c r="AE265" s="64"/>
      <c r="AF265" s="64"/>
      <c r="AG265" s="64"/>
    </row>
    <row r="266" spans="1:33">
      <c r="A266" s="64"/>
      <c r="B266" s="64"/>
      <c r="C266" s="64"/>
      <c r="D266" s="64"/>
      <c r="E266" s="64"/>
      <c r="F266" s="70"/>
      <c r="G266" s="71"/>
      <c r="H266" s="72"/>
      <c r="I266" s="64"/>
      <c r="J266" s="64"/>
      <c r="K266" s="64"/>
      <c r="L266" s="64"/>
      <c r="M266" s="64"/>
      <c r="N266" s="64"/>
      <c r="O266" s="64"/>
      <c r="P266" s="64"/>
      <c r="Q266" s="64"/>
      <c r="R266" s="64"/>
      <c r="S266" s="64"/>
      <c r="T266" s="64"/>
      <c r="U266" s="64"/>
      <c r="V266" s="64"/>
      <c r="W266" s="64"/>
      <c r="X266" s="64"/>
      <c r="Y266" s="64"/>
      <c r="Z266" s="64"/>
      <c r="AA266" s="64"/>
      <c r="AB266" s="64"/>
      <c r="AC266" s="64"/>
      <c r="AD266" s="64"/>
      <c r="AE266" s="64"/>
      <c r="AF266" s="64"/>
      <c r="AG266" s="64"/>
    </row>
    <row r="267" spans="1:33">
      <c r="A267" s="64"/>
      <c r="B267" s="64"/>
      <c r="C267" s="64"/>
      <c r="D267" s="64"/>
      <c r="E267" s="64"/>
      <c r="F267" s="70"/>
      <c r="G267" s="71"/>
      <c r="H267" s="72"/>
      <c r="I267" s="64"/>
      <c r="J267" s="64"/>
      <c r="K267" s="64"/>
      <c r="L267" s="64"/>
      <c r="M267" s="64"/>
      <c r="N267" s="64"/>
      <c r="O267" s="64"/>
      <c r="P267" s="64"/>
      <c r="Q267" s="64"/>
      <c r="R267" s="64"/>
      <c r="S267" s="64"/>
      <c r="T267" s="64"/>
      <c r="U267" s="64"/>
      <c r="V267" s="64"/>
      <c r="W267" s="64"/>
      <c r="X267" s="64"/>
      <c r="Y267" s="64"/>
      <c r="Z267" s="64"/>
      <c r="AA267" s="64"/>
      <c r="AB267" s="64"/>
      <c r="AC267" s="64"/>
      <c r="AD267" s="64"/>
      <c r="AE267" s="64"/>
      <c r="AF267" s="64"/>
      <c r="AG267" s="64"/>
    </row>
    <row r="268" spans="1:33">
      <c r="A268" s="64"/>
      <c r="B268" s="64"/>
      <c r="C268" s="64"/>
      <c r="D268" s="64"/>
      <c r="E268" s="64"/>
      <c r="F268" s="70"/>
      <c r="G268" s="71"/>
      <c r="H268" s="72"/>
      <c r="I268" s="64"/>
      <c r="J268" s="64"/>
      <c r="K268" s="64"/>
      <c r="L268" s="64"/>
      <c r="M268" s="64"/>
      <c r="N268" s="64"/>
      <c r="O268" s="64"/>
      <c r="P268" s="64"/>
      <c r="Q268" s="64"/>
      <c r="R268" s="64"/>
      <c r="S268" s="64"/>
      <c r="T268" s="64"/>
      <c r="U268" s="64"/>
      <c r="V268" s="64"/>
      <c r="W268" s="64"/>
      <c r="X268" s="64"/>
      <c r="Y268" s="64"/>
      <c r="Z268" s="64"/>
      <c r="AA268" s="64"/>
      <c r="AB268" s="64"/>
      <c r="AC268" s="64"/>
      <c r="AD268" s="64"/>
      <c r="AE268" s="64"/>
      <c r="AF268" s="64"/>
      <c r="AG268" s="64"/>
    </row>
    <row r="269" spans="1:33">
      <c r="A269" s="64"/>
      <c r="B269" s="64"/>
      <c r="C269" s="64"/>
      <c r="D269" s="64"/>
      <c r="E269" s="64"/>
      <c r="F269" s="70"/>
      <c r="G269" s="71"/>
      <c r="H269" s="72"/>
      <c r="I269" s="64"/>
      <c r="J269" s="64"/>
      <c r="K269" s="64"/>
      <c r="L269" s="64"/>
      <c r="M269" s="64"/>
      <c r="N269" s="64"/>
      <c r="O269" s="64"/>
      <c r="P269" s="64"/>
      <c r="Q269" s="64"/>
      <c r="R269" s="64"/>
      <c r="S269" s="64"/>
      <c r="T269" s="64"/>
      <c r="U269" s="64"/>
      <c r="V269" s="64"/>
      <c r="W269" s="64"/>
      <c r="X269" s="64"/>
      <c r="Y269" s="64"/>
      <c r="Z269" s="64"/>
      <c r="AA269" s="64"/>
      <c r="AB269" s="64"/>
      <c r="AC269" s="64"/>
      <c r="AD269" s="64"/>
      <c r="AE269" s="64"/>
      <c r="AF269" s="64"/>
      <c r="AG269" s="64"/>
    </row>
    <row r="270" spans="1:33">
      <c r="A270" s="64"/>
      <c r="B270" s="64"/>
      <c r="C270" s="64"/>
      <c r="D270" s="64"/>
      <c r="E270" s="64"/>
      <c r="F270" s="70"/>
      <c r="G270" s="71"/>
      <c r="H270" s="72"/>
      <c r="I270" s="64"/>
      <c r="J270" s="64"/>
      <c r="K270" s="64"/>
      <c r="L270" s="64"/>
      <c r="M270" s="64"/>
      <c r="N270" s="64"/>
      <c r="O270" s="64"/>
      <c r="P270" s="64"/>
      <c r="Q270" s="64"/>
      <c r="R270" s="64"/>
      <c r="S270" s="64"/>
      <c r="T270" s="64"/>
      <c r="U270" s="64"/>
      <c r="V270" s="64"/>
      <c r="W270" s="64"/>
      <c r="X270" s="64"/>
      <c r="Y270" s="64"/>
      <c r="Z270" s="64"/>
      <c r="AA270" s="64"/>
      <c r="AB270" s="64"/>
      <c r="AC270" s="64"/>
      <c r="AD270" s="64"/>
      <c r="AE270" s="64"/>
      <c r="AF270" s="64"/>
      <c r="AG270" s="64"/>
    </row>
    <row r="271" spans="1:33">
      <c r="A271" s="64"/>
      <c r="B271" s="64"/>
      <c r="C271" s="64"/>
      <c r="D271" s="64"/>
      <c r="E271" s="64"/>
      <c r="F271" s="70"/>
      <c r="G271" s="71"/>
      <c r="H271" s="72"/>
      <c r="I271" s="64"/>
      <c r="J271" s="64"/>
      <c r="K271" s="64"/>
      <c r="L271" s="64"/>
      <c r="M271" s="64"/>
      <c r="N271" s="64"/>
      <c r="O271" s="64"/>
      <c r="P271" s="64"/>
      <c r="Q271" s="64"/>
      <c r="R271" s="64"/>
      <c r="S271" s="64"/>
      <c r="T271" s="64"/>
      <c r="U271" s="64"/>
      <c r="V271" s="64"/>
      <c r="W271" s="64"/>
      <c r="X271" s="64"/>
      <c r="Y271" s="64"/>
      <c r="Z271" s="64"/>
      <c r="AA271" s="64"/>
      <c r="AB271" s="64"/>
      <c r="AC271" s="64"/>
      <c r="AD271" s="64"/>
      <c r="AE271" s="64"/>
      <c r="AF271" s="64"/>
      <c r="AG271" s="64"/>
    </row>
    <row r="272" spans="1:33">
      <c r="A272" s="64"/>
      <c r="B272" s="64"/>
      <c r="C272" s="64"/>
      <c r="D272" s="64"/>
      <c r="E272" s="64"/>
      <c r="F272" s="70"/>
      <c r="G272" s="71"/>
      <c r="H272" s="72"/>
      <c r="I272" s="64"/>
      <c r="J272" s="64"/>
      <c r="K272" s="64"/>
      <c r="L272" s="64"/>
      <c r="M272" s="64"/>
      <c r="N272" s="64"/>
      <c r="O272" s="64"/>
      <c r="P272" s="64"/>
      <c r="Q272" s="64"/>
      <c r="R272" s="64"/>
      <c r="S272" s="64"/>
      <c r="T272" s="64"/>
      <c r="U272" s="64"/>
      <c r="V272" s="64"/>
      <c r="W272" s="64"/>
      <c r="X272" s="64"/>
      <c r="Y272" s="64"/>
      <c r="Z272" s="64"/>
      <c r="AA272" s="64"/>
      <c r="AB272" s="64"/>
      <c r="AC272" s="64"/>
      <c r="AD272" s="64"/>
      <c r="AE272" s="64"/>
      <c r="AF272" s="64"/>
      <c r="AG272" s="64"/>
    </row>
    <row r="273" spans="1:33">
      <c r="A273" s="64"/>
      <c r="B273" s="64"/>
      <c r="C273" s="64"/>
      <c r="D273" s="64"/>
      <c r="E273" s="64"/>
      <c r="F273" s="70"/>
      <c r="G273" s="71"/>
      <c r="H273" s="72"/>
      <c r="I273" s="64"/>
      <c r="J273" s="64"/>
      <c r="K273" s="64"/>
      <c r="L273" s="64"/>
      <c r="M273" s="64"/>
      <c r="N273" s="64"/>
      <c r="O273" s="64"/>
      <c r="P273" s="64"/>
      <c r="Q273" s="64"/>
      <c r="R273" s="64"/>
      <c r="S273" s="64"/>
      <c r="T273" s="64"/>
      <c r="U273" s="64"/>
      <c r="V273" s="64"/>
      <c r="W273" s="64"/>
      <c r="X273" s="64"/>
      <c r="Y273" s="64"/>
      <c r="Z273" s="64"/>
      <c r="AA273" s="64"/>
      <c r="AB273" s="64"/>
      <c r="AC273" s="64"/>
      <c r="AD273" s="64"/>
      <c r="AE273" s="64"/>
      <c r="AF273" s="64"/>
      <c r="AG273" s="64"/>
    </row>
    <row r="274" spans="1:33">
      <c r="A274" s="64"/>
      <c r="B274" s="64"/>
      <c r="C274" s="64"/>
      <c r="D274" s="64"/>
      <c r="E274" s="64"/>
      <c r="F274" s="70"/>
      <c r="G274" s="71"/>
      <c r="H274" s="72"/>
      <c r="I274" s="64"/>
      <c r="J274" s="64"/>
      <c r="K274" s="64"/>
      <c r="L274" s="64"/>
      <c r="M274" s="64"/>
      <c r="N274" s="64"/>
      <c r="O274" s="64"/>
      <c r="P274" s="64"/>
      <c r="Q274" s="64"/>
      <c r="R274" s="64"/>
      <c r="S274" s="64"/>
      <c r="T274" s="64"/>
      <c r="U274" s="64"/>
      <c r="V274" s="64"/>
      <c r="W274" s="64"/>
      <c r="X274" s="64"/>
      <c r="Y274" s="64"/>
      <c r="Z274" s="64"/>
      <c r="AA274" s="64"/>
      <c r="AB274" s="64"/>
      <c r="AC274" s="64"/>
      <c r="AD274" s="64"/>
      <c r="AE274" s="64"/>
      <c r="AF274" s="64"/>
      <c r="AG274" s="64"/>
    </row>
    <row r="275" spans="1:33">
      <c r="A275" s="64"/>
      <c r="B275" s="64"/>
      <c r="C275" s="64"/>
      <c r="D275" s="64"/>
      <c r="E275" s="64"/>
      <c r="F275" s="70"/>
      <c r="G275" s="71"/>
      <c r="H275" s="72"/>
      <c r="I275" s="64"/>
      <c r="J275" s="64"/>
      <c r="K275" s="64"/>
      <c r="L275" s="64"/>
      <c r="M275" s="64"/>
      <c r="N275" s="64"/>
      <c r="O275" s="64"/>
      <c r="P275" s="64"/>
      <c r="Q275" s="64"/>
      <c r="R275" s="64"/>
      <c r="S275" s="64"/>
      <c r="T275" s="64"/>
      <c r="U275" s="64"/>
      <c r="V275" s="64"/>
      <c r="W275" s="64"/>
      <c r="X275" s="64"/>
      <c r="Y275" s="64"/>
      <c r="Z275" s="64"/>
      <c r="AA275" s="64"/>
      <c r="AB275" s="64"/>
      <c r="AC275" s="64"/>
      <c r="AD275" s="64"/>
      <c r="AE275" s="64"/>
      <c r="AF275" s="64"/>
      <c r="AG275" s="64"/>
    </row>
    <row r="276" spans="1:33">
      <c r="A276" s="64"/>
      <c r="B276" s="64"/>
      <c r="C276" s="64"/>
      <c r="D276" s="64"/>
      <c r="E276" s="64"/>
      <c r="F276" s="70"/>
      <c r="G276" s="71"/>
      <c r="H276" s="72"/>
      <c r="I276" s="64"/>
      <c r="J276" s="64"/>
      <c r="K276" s="64"/>
      <c r="L276" s="64"/>
      <c r="M276" s="64"/>
      <c r="N276" s="64"/>
      <c r="O276" s="64"/>
      <c r="P276" s="64"/>
      <c r="Q276" s="64"/>
      <c r="R276" s="64"/>
      <c r="S276" s="64"/>
      <c r="T276" s="64"/>
      <c r="U276" s="64"/>
      <c r="V276" s="64"/>
      <c r="W276" s="64"/>
      <c r="X276" s="64"/>
      <c r="Y276" s="64"/>
      <c r="Z276" s="64"/>
      <c r="AA276" s="64"/>
      <c r="AB276" s="64"/>
      <c r="AC276" s="64"/>
      <c r="AD276" s="64"/>
      <c r="AE276" s="64"/>
      <c r="AF276" s="64"/>
      <c r="AG276" s="64"/>
    </row>
    <row r="277" spans="1:33">
      <c r="A277" s="64"/>
      <c r="B277" s="64"/>
      <c r="C277" s="64"/>
      <c r="D277" s="64"/>
      <c r="E277" s="64"/>
      <c r="F277" s="70"/>
      <c r="G277" s="71"/>
      <c r="H277" s="72"/>
      <c r="I277" s="64"/>
      <c r="J277" s="64"/>
      <c r="K277" s="64"/>
      <c r="L277" s="64"/>
      <c r="M277" s="64"/>
      <c r="N277" s="64"/>
      <c r="O277" s="64"/>
      <c r="P277" s="64"/>
      <c r="Q277" s="64"/>
      <c r="R277" s="64"/>
      <c r="S277" s="64"/>
      <c r="T277" s="64"/>
      <c r="U277" s="64"/>
      <c r="V277" s="64"/>
      <c r="W277" s="64"/>
      <c r="X277" s="64"/>
      <c r="Y277" s="64"/>
      <c r="Z277" s="64"/>
      <c r="AA277" s="64"/>
      <c r="AB277" s="64"/>
      <c r="AC277" s="64"/>
      <c r="AD277" s="64"/>
      <c r="AE277" s="64"/>
      <c r="AF277" s="64"/>
      <c r="AG277" s="64"/>
    </row>
    <row r="278" spans="1:33">
      <c r="A278" s="64"/>
      <c r="B278" s="64"/>
      <c r="C278" s="64"/>
      <c r="D278" s="64"/>
      <c r="E278" s="64"/>
      <c r="F278" s="70"/>
      <c r="G278" s="71"/>
      <c r="H278" s="72"/>
      <c r="I278" s="64"/>
      <c r="J278" s="64"/>
      <c r="K278" s="64"/>
      <c r="L278" s="64"/>
      <c r="M278" s="64"/>
      <c r="N278" s="64"/>
      <c r="O278" s="64"/>
      <c r="P278" s="64"/>
      <c r="Q278" s="64"/>
      <c r="R278" s="64"/>
      <c r="S278" s="64"/>
      <c r="T278" s="64"/>
      <c r="U278" s="64"/>
      <c r="V278" s="64"/>
      <c r="W278" s="64"/>
      <c r="X278" s="64"/>
      <c r="Y278" s="64"/>
      <c r="Z278" s="64"/>
      <c r="AA278" s="64"/>
      <c r="AB278" s="64"/>
      <c r="AC278" s="64"/>
      <c r="AD278" s="64"/>
      <c r="AE278" s="64"/>
      <c r="AF278" s="64"/>
      <c r="AG278" s="64"/>
    </row>
    <row r="279" spans="1:33">
      <c r="A279" s="64"/>
      <c r="B279" s="64"/>
      <c r="C279" s="64"/>
      <c r="D279" s="64"/>
      <c r="E279" s="64"/>
      <c r="F279" s="70"/>
      <c r="G279" s="71"/>
      <c r="H279" s="72"/>
      <c r="I279" s="64"/>
      <c r="J279" s="64"/>
      <c r="K279" s="64"/>
      <c r="L279" s="64"/>
      <c r="M279" s="64"/>
      <c r="N279" s="64"/>
      <c r="O279" s="64"/>
      <c r="P279" s="64"/>
      <c r="Q279" s="64"/>
      <c r="R279" s="64"/>
      <c r="S279" s="64"/>
      <c r="T279" s="64"/>
      <c r="U279" s="64"/>
      <c r="V279" s="64"/>
      <c r="W279" s="64"/>
      <c r="X279" s="64"/>
      <c r="Y279" s="64"/>
      <c r="Z279" s="64"/>
      <c r="AA279" s="64"/>
      <c r="AB279" s="64"/>
      <c r="AC279" s="64"/>
      <c r="AD279" s="64"/>
      <c r="AE279" s="64"/>
      <c r="AF279" s="64"/>
      <c r="AG279" s="64"/>
    </row>
    <row r="280" spans="1:33">
      <c r="A280" s="64"/>
      <c r="B280" s="64"/>
      <c r="C280" s="64"/>
      <c r="D280" s="64"/>
      <c r="E280" s="64"/>
      <c r="F280" s="70"/>
      <c r="G280" s="71"/>
      <c r="H280" s="72"/>
      <c r="I280" s="64"/>
      <c r="J280" s="64"/>
      <c r="K280" s="64"/>
      <c r="L280" s="64"/>
      <c r="M280" s="64"/>
      <c r="N280" s="64"/>
      <c r="O280" s="64"/>
      <c r="P280" s="64"/>
      <c r="Q280" s="64"/>
      <c r="R280" s="64"/>
      <c r="S280" s="64"/>
      <c r="T280" s="64"/>
      <c r="U280" s="64"/>
      <c r="V280" s="64"/>
      <c r="W280" s="64"/>
      <c r="X280" s="64"/>
      <c r="Y280" s="64"/>
      <c r="Z280" s="64"/>
      <c r="AA280" s="64"/>
      <c r="AB280" s="64"/>
      <c r="AC280" s="64"/>
      <c r="AD280" s="64"/>
      <c r="AE280" s="64"/>
      <c r="AF280" s="64"/>
      <c r="AG280" s="64"/>
    </row>
    <row r="281" spans="1:33">
      <c r="A281" s="64"/>
      <c r="B281" s="64"/>
      <c r="C281" s="64"/>
      <c r="D281" s="64"/>
      <c r="E281" s="64"/>
      <c r="F281" s="70"/>
      <c r="G281" s="71"/>
      <c r="H281" s="72"/>
      <c r="I281" s="64"/>
      <c r="J281" s="64"/>
      <c r="K281" s="64"/>
      <c r="L281" s="64"/>
      <c r="M281" s="64"/>
      <c r="N281" s="64"/>
      <c r="O281" s="64"/>
      <c r="P281" s="64"/>
      <c r="Q281" s="64"/>
      <c r="R281" s="64"/>
      <c r="S281" s="64"/>
      <c r="T281" s="64"/>
      <c r="U281" s="64"/>
      <c r="V281" s="64"/>
      <c r="W281" s="64"/>
      <c r="X281" s="64"/>
      <c r="Y281" s="64"/>
      <c r="Z281" s="64"/>
      <c r="AA281" s="64"/>
      <c r="AB281" s="64"/>
      <c r="AC281" s="64"/>
      <c r="AD281" s="64"/>
      <c r="AE281" s="64"/>
      <c r="AF281" s="64"/>
      <c r="AG281" s="64"/>
    </row>
    <row r="282" spans="1:33">
      <c r="A282" s="64"/>
      <c r="B282" s="64"/>
      <c r="C282" s="64"/>
      <c r="D282" s="64"/>
      <c r="E282" s="64"/>
      <c r="F282" s="70"/>
      <c r="G282" s="71"/>
      <c r="H282" s="72"/>
      <c r="I282" s="64"/>
      <c r="J282" s="64"/>
      <c r="K282" s="64"/>
      <c r="L282" s="64"/>
      <c r="M282" s="64"/>
      <c r="N282" s="64"/>
      <c r="O282" s="64"/>
      <c r="P282" s="64"/>
      <c r="Q282" s="64"/>
      <c r="R282" s="64"/>
      <c r="S282" s="64"/>
      <c r="T282" s="64"/>
      <c r="U282" s="64"/>
      <c r="V282" s="64"/>
      <c r="W282" s="64"/>
      <c r="X282" s="64"/>
      <c r="Y282" s="64"/>
      <c r="Z282" s="64"/>
      <c r="AA282" s="64"/>
      <c r="AB282" s="64"/>
      <c r="AC282" s="64"/>
      <c r="AD282" s="64"/>
      <c r="AE282" s="64"/>
      <c r="AF282" s="64"/>
      <c r="AG282" s="64"/>
    </row>
    <row r="283" spans="1:33">
      <c r="A283" s="64"/>
      <c r="B283" s="64"/>
      <c r="C283" s="64"/>
      <c r="D283" s="64"/>
      <c r="E283" s="64"/>
      <c r="F283" s="70"/>
      <c r="G283" s="71"/>
      <c r="H283" s="72"/>
      <c r="I283" s="64"/>
      <c r="J283" s="64"/>
      <c r="K283" s="64"/>
      <c r="L283" s="64"/>
      <c r="M283" s="64"/>
      <c r="N283" s="64"/>
      <c r="O283" s="64"/>
      <c r="P283" s="64"/>
      <c r="Q283" s="64"/>
      <c r="R283" s="64"/>
      <c r="S283" s="64"/>
      <c r="T283" s="64"/>
      <c r="U283" s="64"/>
      <c r="V283" s="64"/>
      <c r="W283" s="64"/>
      <c r="X283" s="64"/>
      <c r="Y283" s="64"/>
      <c r="Z283" s="64"/>
      <c r="AA283" s="64"/>
      <c r="AB283" s="64"/>
      <c r="AC283" s="64"/>
      <c r="AD283" s="64"/>
      <c r="AE283" s="64"/>
      <c r="AF283" s="64"/>
      <c r="AG283" s="64"/>
    </row>
    <row r="284" spans="1:33">
      <c r="A284" s="64"/>
      <c r="B284" s="64"/>
      <c r="C284" s="64"/>
      <c r="D284" s="64"/>
      <c r="E284" s="64"/>
      <c r="F284" s="70"/>
      <c r="G284" s="71"/>
      <c r="H284" s="72"/>
      <c r="I284" s="64"/>
      <c r="J284" s="64"/>
      <c r="K284" s="64"/>
      <c r="L284" s="64"/>
      <c r="M284" s="64"/>
      <c r="N284" s="64"/>
      <c r="O284" s="64"/>
      <c r="P284" s="64"/>
      <c r="Q284" s="64"/>
      <c r="R284" s="64"/>
      <c r="S284" s="64"/>
      <c r="T284" s="64"/>
      <c r="U284" s="64"/>
      <c r="V284" s="64"/>
      <c r="W284" s="64"/>
      <c r="X284" s="64"/>
      <c r="Y284" s="64"/>
      <c r="Z284" s="64"/>
      <c r="AA284" s="64"/>
      <c r="AB284" s="64"/>
      <c r="AC284" s="64"/>
      <c r="AD284" s="64"/>
      <c r="AE284" s="64"/>
      <c r="AF284" s="64"/>
      <c r="AG284" s="64"/>
    </row>
    <row r="285" spans="1:33">
      <c r="A285" s="64"/>
      <c r="B285" s="64"/>
      <c r="C285" s="64"/>
      <c r="D285" s="64"/>
      <c r="E285" s="64"/>
      <c r="F285" s="70"/>
      <c r="G285" s="71"/>
      <c r="H285" s="72"/>
      <c r="I285" s="64"/>
      <c r="J285" s="64"/>
      <c r="K285" s="64"/>
      <c r="L285" s="64"/>
      <c r="M285" s="64"/>
      <c r="N285" s="64"/>
      <c r="O285" s="64"/>
      <c r="P285" s="64"/>
      <c r="Q285" s="64"/>
      <c r="R285" s="64"/>
      <c r="S285" s="64"/>
      <c r="T285" s="64"/>
      <c r="U285" s="64"/>
      <c r="V285" s="64"/>
      <c r="W285" s="64"/>
      <c r="X285" s="64"/>
      <c r="Y285" s="64"/>
      <c r="Z285" s="64"/>
      <c r="AA285" s="64"/>
      <c r="AB285" s="64"/>
      <c r="AC285" s="64"/>
      <c r="AD285" s="64"/>
      <c r="AE285" s="64"/>
      <c r="AF285" s="64"/>
      <c r="AG285" s="64"/>
    </row>
    <row r="286" spans="1:33">
      <c r="A286" s="64"/>
      <c r="B286" s="64"/>
      <c r="C286" s="64"/>
      <c r="D286" s="64"/>
      <c r="E286" s="64"/>
      <c r="F286" s="70"/>
      <c r="G286" s="71"/>
      <c r="H286" s="72"/>
      <c r="I286" s="64"/>
      <c r="J286" s="64"/>
      <c r="K286" s="64"/>
      <c r="L286" s="64"/>
      <c r="M286" s="64"/>
      <c r="N286" s="64"/>
      <c r="O286" s="64"/>
      <c r="P286" s="64"/>
      <c r="Q286" s="64"/>
      <c r="R286" s="64"/>
      <c r="S286" s="64"/>
      <c r="T286" s="64"/>
      <c r="U286" s="64"/>
      <c r="V286" s="64"/>
      <c r="W286" s="64"/>
      <c r="X286" s="64"/>
      <c r="Y286" s="64"/>
      <c r="Z286" s="64"/>
      <c r="AA286" s="64"/>
      <c r="AB286" s="64"/>
      <c r="AC286" s="64"/>
      <c r="AD286" s="64"/>
      <c r="AE286" s="64"/>
      <c r="AF286" s="64"/>
      <c r="AG286" s="64"/>
    </row>
    <row r="287" spans="1:33">
      <c r="A287" s="64"/>
      <c r="B287" s="64"/>
      <c r="C287" s="64"/>
      <c r="D287" s="64"/>
      <c r="E287" s="64"/>
      <c r="F287" s="70"/>
      <c r="G287" s="71"/>
      <c r="H287" s="72"/>
      <c r="I287" s="64"/>
      <c r="J287" s="64"/>
      <c r="K287" s="64"/>
      <c r="L287" s="64"/>
      <c r="M287" s="64"/>
      <c r="N287" s="64"/>
      <c r="O287" s="64"/>
      <c r="P287" s="64"/>
      <c r="Q287" s="64"/>
      <c r="R287" s="64"/>
      <c r="S287" s="64"/>
      <c r="T287" s="64"/>
      <c r="U287" s="64"/>
      <c r="V287" s="64"/>
      <c r="W287" s="64"/>
      <c r="X287" s="64"/>
      <c r="Y287" s="64"/>
      <c r="Z287" s="64"/>
      <c r="AA287" s="64"/>
      <c r="AB287" s="64"/>
      <c r="AC287" s="64"/>
      <c r="AD287" s="64"/>
      <c r="AE287" s="64"/>
      <c r="AF287" s="64"/>
      <c r="AG287" s="64"/>
    </row>
    <row r="288" spans="1:33">
      <c r="A288" s="64"/>
      <c r="B288" s="64"/>
      <c r="C288" s="64"/>
      <c r="D288" s="64"/>
      <c r="E288" s="64"/>
      <c r="F288" s="70"/>
      <c r="G288" s="71"/>
      <c r="H288" s="72"/>
      <c r="I288" s="64"/>
      <c r="J288" s="64"/>
      <c r="K288" s="64"/>
      <c r="L288" s="64"/>
      <c r="M288" s="64"/>
      <c r="N288" s="64"/>
      <c r="O288" s="64"/>
      <c r="P288" s="64"/>
      <c r="Q288" s="64"/>
      <c r="R288" s="64"/>
      <c r="S288" s="64"/>
      <c r="T288" s="64"/>
      <c r="U288" s="64"/>
      <c r="V288" s="64"/>
      <c r="W288" s="64"/>
      <c r="X288" s="64"/>
      <c r="Y288" s="64"/>
      <c r="Z288" s="64"/>
      <c r="AA288" s="64"/>
      <c r="AB288" s="64"/>
      <c r="AC288" s="64"/>
      <c r="AD288" s="64"/>
      <c r="AE288" s="64"/>
      <c r="AF288" s="64"/>
      <c r="AG288" s="64"/>
    </row>
    <row r="289" spans="1:33">
      <c r="A289" s="64"/>
      <c r="B289" s="64"/>
      <c r="C289" s="64"/>
      <c r="D289" s="64"/>
      <c r="E289" s="64"/>
      <c r="F289" s="70"/>
      <c r="G289" s="71"/>
      <c r="H289" s="72"/>
      <c r="I289" s="64"/>
      <c r="J289" s="64"/>
      <c r="K289" s="64"/>
      <c r="L289" s="64"/>
      <c r="M289" s="64"/>
      <c r="N289" s="64"/>
      <c r="O289" s="64"/>
      <c r="P289" s="64"/>
      <c r="Q289" s="64"/>
      <c r="R289" s="64"/>
      <c r="S289" s="64"/>
      <c r="T289" s="64"/>
      <c r="U289" s="64"/>
      <c r="V289" s="64"/>
      <c r="W289" s="64"/>
      <c r="X289" s="64"/>
      <c r="Y289" s="64"/>
      <c r="Z289" s="64"/>
      <c r="AA289" s="64"/>
      <c r="AB289" s="64"/>
      <c r="AC289" s="64"/>
      <c r="AD289" s="64"/>
      <c r="AE289" s="64"/>
      <c r="AF289" s="64"/>
      <c r="AG289" s="64"/>
    </row>
    <row r="290" spans="1:33">
      <c r="A290" s="64"/>
      <c r="B290" s="64"/>
      <c r="C290" s="64"/>
      <c r="D290" s="64"/>
      <c r="E290" s="64"/>
      <c r="F290" s="70"/>
      <c r="G290" s="71"/>
      <c r="H290" s="72"/>
      <c r="I290" s="64"/>
      <c r="J290" s="64"/>
      <c r="K290" s="64"/>
      <c r="L290" s="64"/>
      <c r="M290" s="64"/>
      <c r="N290" s="64"/>
      <c r="O290" s="64"/>
      <c r="P290" s="64"/>
      <c r="Q290" s="64"/>
      <c r="R290" s="64"/>
      <c r="S290" s="64"/>
      <c r="T290" s="64"/>
      <c r="U290" s="64"/>
      <c r="V290" s="64"/>
      <c r="W290" s="64"/>
      <c r="X290" s="64"/>
      <c r="Y290" s="64"/>
      <c r="Z290" s="64"/>
      <c r="AA290" s="64"/>
      <c r="AB290" s="64"/>
      <c r="AC290" s="64"/>
      <c r="AD290" s="64"/>
      <c r="AE290" s="64"/>
      <c r="AF290" s="64"/>
      <c r="AG290" s="64"/>
    </row>
    <row r="291" spans="1:33">
      <c r="A291" s="64"/>
      <c r="B291" s="64"/>
      <c r="C291" s="64"/>
      <c r="D291" s="64"/>
      <c r="E291" s="64"/>
      <c r="F291" s="70"/>
      <c r="G291" s="71"/>
      <c r="H291" s="72"/>
      <c r="I291" s="64"/>
      <c r="J291" s="64"/>
      <c r="K291" s="64"/>
      <c r="L291" s="64"/>
      <c r="M291" s="64"/>
      <c r="N291" s="64"/>
      <c r="O291" s="64"/>
      <c r="P291" s="64"/>
      <c r="Q291" s="64"/>
      <c r="R291" s="64"/>
      <c r="S291" s="64"/>
      <c r="T291" s="64"/>
      <c r="U291" s="64"/>
      <c r="V291" s="64"/>
      <c r="W291" s="64"/>
      <c r="X291" s="64"/>
      <c r="Y291" s="64"/>
      <c r="Z291" s="64"/>
      <c r="AA291" s="64"/>
      <c r="AB291" s="64"/>
      <c r="AC291" s="64"/>
      <c r="AD291" s="64"/>
      <c r="AE291" s="64"/>
      <c r="AF291" s="64"/>
      <c r="AG291" s="64"/>
    </row>
    <row r="292" spans="1:33">
      <c r="A292" s="64"/>
      <c r="B292" s="64"/>
      <c r="C292" s="64"/>
      <c r="D292" s="64"/>
      <c r="E292" s="64"/>
      <c r="F292" s="70"/>
      <c r="G292" s="71"/>
      <c r="H292" s="72"/>
      <c r="I292" s="64"/>
      <c r="J292" s="64"/>
      <c r="K292" s="64"/>
      <c r="L292" s="64"/>
      <c r="M292" s="64"/>
      <c r="N292" s="64"/>
      <c r="O292" s="64"/>
      <c r="P292" s="64"/>
      <c r="Q292" s="64"/>
      <c r="R292" s="64"/>
      <c r="S292" s="64"/>
      <c r="T292" s="64"/>
      <c r="U292" s="64"/>
      <c r="V292" s="64"/>
      <c r="W292" s="64"/>
      <c r="X292" s="64"/>
      <c r="Y292" s="64"/>
      <c r="Z292" s="64"/>
      <c r="AA292" s="64"/>
      <c r="AB292" s="64"/>
      <c r="AC292" s="64"/>
      <c r="AD292" s="64"/>
      <c r="AE292" s="64"/>
      <c r="AF292" s="64"/>
      <c r="AG292" s="64"/>
    </row>
    <row r="293" spans="1:33">
      <c r="A293" s="64"/>
      <c r="B293" s="64"/>
      <c r="C293" s="64"/>
      <c r="D293" s="64"/>
      <c r="E293" s="64"/>
      <c r="F293" s="70"/>
      <c r="G293" s="71"/>
      <c r="H293" s="72"/>
      <c r="I293" s="64"/>
      <c r="J293" s="64"/>
      <c r="K293" s="64"/>
      <c r="L293" s="64"/>
      <c r="M293" s="64"/>
      <c r="N293" s="64"/>
      <c r="O293" s="64"/>
      <c r="P293" s="64"/>
      <c r="Q293" s="64"/>
      <c r="R293" s="64"/>
      <c r="S293" s="64"/>
      <c r="T293" s="64"/>
      <c r="U293" s="64"/>
      <c r="V293" s="64"/>
      <c r="W293" s="64"/>
      <c r="X293" s="64"/>
      <c r="Y293" s="64"/>
      <c r="Z293" s="64"/>
      <c r="AA293" s="64"/>
      <c r="AB293" s="64"/>
      <c r="AC293" s="64"/>
      <c r="AD293" s="64"/>
      <c r="AE293" s="64"/>
      <c r="AF293" s="64"/>
      <c r="AG293" s="64"/>
    </row>
    <row r="294" spans="1:33">
      <c r="A294" s="64"/>
      <c r="B294" s="64"/>
      <c r="C294" s="64"/>
      <c r="D294" s="64"/>
      <c r="E294" s="64"/>
      <c r="F294" s="70"/>
      <c r="G294" s="71"/>
      <c r="H294" s="72"/>
      <c r="I294" s="64"/>
      <c r="J294" s="64"/>
      <c r="K294" s="64"/>
      <c r="L294" s="64"/>
      <c r="M294" s="64"/>
      <c r="N294" s="64"/>
      <c r="O294" s="64"/>
      <c r="P294" s="64"/>
      <c r="Q294" s="64"/>
      <c r="R294" s="64"/>
      <c r="S294" s="64"/>
      <c r="T294" s="64"/>
      <c r="U294" s="64"/>
      <c r="V294" s="64"/>
      <c r="W294" s="64"/>
      <c r="X294" s="64"/>
      <c r="Y294" s="64"/>
      <c r="Z294" s="64"/>
      <c r="AA294" s="64"/>
      <c r="AB294" s="64"/>
      <c r="AC294" s="64"/>
      <c r="AD294" s="64"/>
      <c r="AE294" s="64"/>
      <c r="AF294" s="64"/>
      <c r="AG294" s="64"/>
    </row>
    <row r="295" spans="1:33">
      <c r="A295" s="64"/>
      <c r="B295" s="64"/>
      <c r="C295" s="64"/>
      <c r="D295" s="64"/>
      <c r="E295" s="64"/>
      <c r="F295" s="70"/>
      <c r="G295" s="71"/>
      <c r="H295" s="72"/>
      <c r="I295" s="64"/>
      <c r="J295" s="64"/>
      <c r="K295" s="64"/>
      <c r="L295" s="64"/>
      <c r="M295" s="64"/>
      <c r="N295" s="64"/>
      <c r="O295" s="64"/>
      <c r="P295" s="64"/>
      <c r="Q295" s="64"/>
      <c r="R295" s="64"/>
      <c r="S295" s="64"/>
      <c r="T295" s="64"/>
      <c r="U295" s="64"/>
      <c r="V295" s="64"/>
      <c r="W295" s="64"/>
      <c r="X295" s="64"/>
      <c r="Y295" s="64"/>
      <c r="Z295" s="64"/>
      <c r="AA295" s="64"/>
      <c r="AB295" s="64"/>
      <c r="AC295" s="64"/>
      <c r="AD295" s="64"/>
      <c r="AE295" s="64"/>
      <c r="AF295" s="64"/>
      <c r="AG295" s="64"/>
    </row>
    <row r="296" spans="1:33">
      <c r="A296" s="64"/>
      <c r="B296" s="64"/>
      <c r="C296" s="64"/>
      <c r="D296" s="64"/>
      <c r="E296" s="64"/>
      <c r="F296" s="70"/>
      <c r="G296" s="71"/>
      <c r="H296" s="72"/>
      <c r="I296" s="64"/>
      <c r="J296" s="64"/>
      <c r="K296" s="64"/>
      <c r="L296" s="64"/>
      <c r="M296" s="64"/>
      <c r="N296" s="64"/>
      <c r="O296" s="64"/>
      <c r="P296" s="64"/>
      <c r="Q296" s="64"/>
      <c r="R296" s="64"/>
      <c r="S296" s="64"/>
      <c r="T296" s="64"/>
      <c r="U296" s="64"/>
      <c r="V296" s="64"/>
      <c r="W296" s="64"/>
      <c r="X296" s="64"/>
      <c r="Y296" s="64"/>
      <c r="Z296" s="64"/>
      <c r="AA296" s="64"/>
      <c r="AB296" s="64"/>
      <c r="AC296" s="64"/>
      <c r="AD296" s="64"/>
      <c r="AE296" s="64"/>
      <c r="AF296" s="64"/>
      <c r="AG296" s="64"/>
    </row>
    <row r="297" spans="1:33">
      <c r="A297" s="64"/>
      <c r="B297" s="64"/>
      <c r="C297" s="64"/>
      <c r="D297" s="64"/>
      <c r="E297" s="64"/>
      <c r="F297" s="70"/>
      <c r="G297" s="71"/>
      <c r="H297" s="72"/>
      <c r="I297" s="64"/>
      <c r="J297" s="64"/>
      <c r="K297" s="64"/>
      <c r="L297" s="64"/>
      <c r="M297" s="64"/>
      <c r="N297" s="64"/>
      <c r="O297" s="64"/>
      <c r="P297" s="64"/>
      <c r="Q297" s="64"/>
      <c r="R297" s="64"/>
      <c r="S297" s="64"/>
      <c r="T297" s="64"/>
      <c r="U297" s="64"/>
      <c r="V297" s="64"/>
      <c r="W297" s="64"/>
      <c r="X297" s="64"/>
      <c r="Y297" s="64"/>
      <c r="Z297" s="64"/>
      <c r="AA297" s="64"/>
      <c r="AB297" s="64"/>
      <c r="AC297" s="64"/>
      <c r="AD297" s="64"/>
      <c r="AE297" s="64"/>
      <c r="AF297" s="64"/>
      <c r="AG297" s="64"/>
    </row>
    <row r="298" spans="1:33">
      <c r="A298" s="64"/>
      <c r="B298" s="64"/>
      <c r="C298" s="64"/>
      <c r="D298" s="64"/>
      <c r="E298" s="64"/>
      <c r="F298" s="70"/>
      <c r="G298" s="71"/>
      <c r="H298" s="72"/>
      <c r="I298" s="64"/>
      <c r="J298" s="64"/>
      <c r="K298" s="64"/>
      <c r="L298" s="64"/>
      <c r="M298" s="64"/>
      <c r="N298" s="64"/>
      <c r="O298" s="64"/>
      <c r="P298" s="64"/>
      <c r="Q298" s="64"/>
      <c r="R298" s="64"/>
      <c r="S298" s="64"/>
      <c r="T298" s="64"/>
      <c r="U298" s="64"/>
      <c r="V298" s="64"/>
      <c r="W298" s="64"/>
      <c r="X298" s="64"/>
      <c r="Y298" s="64"/>
      <c r="Z298" s="64"/>
      <c r="AA298" s="64"/>
      <c r="AB298" s="64"/>
      <c r="AC298" s="64"/>
      <c r="AD298" s="64"/>
      <c r="AE298" s="64"/>
      <c r="AF298" s="64"/>
      <c r="AG298" s="64"/>
    </row>
    <row r="299" spans="1:33">
      <c r="A299" s="64"/>
      <c r="B299" s="64"/>
      <c r="C299" s="64"/>
      <c r="D299" s="64"/>
      <c r="E299" s="64"/>
      <c r="F299" s="70"/>
      <c r="G299" s="71"/>
      <c r="H299" s="72"/>
      <c r="I299" s="64"/>
      <c r="J299" s="64"/>
      <c r="K299" s="64"/>
      <c r="L299" s="64"/>
      <c r="M299" s="64"/>
      <c r="N299" s="64"/>
      <c r="O299" s="64"/>
      <c r="P299" s="64"/>
      <c r="Q299" s="64"/>
      <c r="R299" s="64"/>
      <c r="S299" s="64"/>
      <c r="T299" s="64"/>
      <c r="U299" s="64"/>
      <c r="V299" s="64"/>
      <c r="W299" s="64"/>
      <c r="X299" s="64"/>
      <c r="Y299" s="64"/>
      <c r="Z299" s="64"/>
      <c r="AA299" s="64"/>
      <c r="AB299" s="64"/>
      <c r="AC299" s="64"/>
      <c r="AD299" s="64"/>
      <c r="AE299" s="64"/>
      <c r="AF299" s="64"/>
      <c r="AG299" s="64"/>
    </row>
    <row r="300" spans="1:33">
      <c r="A300" s="64"/>
      <c r="B300" s="64"/>
      <c r="C300" s="64"/>
      <c r="D300" s="64"/>
      <c r="E300" s="64"/>
      <c r="F300" s="70"/>
      <c r="G300" s="71"/>
      <c r="H300" s="72"/>
      <c r="I300" s="64"/>
      <c r="J300" s="64"/>
      <c r="K300" s="64"/>
      <c r="L300" s="64"/>
      <c r="M300" s="64"/>
      <c r="N300" s="64"/>
      <c r="O300" s="64"/>
      <c r="P300" s="64"/>
      <c r="Q300" s="64"/>
      <c r="R300" s="64"/>
      <c r="S300" s="64"/>
      <c r="T300" s="64"/>
      <c r="U300" s="64"/>
      <c r="V300" s="64"/>
      <c r="W300" s="64"/>
      <c r="X300" s="64"/>
      <c r="Y300" s="64"/>
      <c r="Z300" s="64"/>
      <c r="AA300" s="64"/>
      <c r="AB300" s="64"/>
      <c r="AC300" s="64"/>
      <c r="AD300" s="64"/>
      <c r="AE300" s="64"/>
      <c r="AF300" s="64"/>
      <c r="AG300" s="64"/>
    </row>
    <row r="301" spans="1:33">
      <c r="A301" s="64"/>
      <c r="B301" s="64"/>
      <c r="C301" s="64"/>
      <c r="D301" s="64"/>
      <c r="E301" s="64"/>
      <c r="F301" s="70"/>
      <c r="G301" s="71"/>
      <c r="H301" s="72"/>
      <c r="I301" s="64"/>
      <c r="J301" s="64"/>
      <c r="K301" s="64"/>
      <c r="L301" s="64"/>
      <c r="M301" s="64"/>
      <c r="N301" s="64"/>
      <c r="O301" s="64"/>
      <c r="P301" s="64"/>
      <c r="Q301" s="64"/>
      <c r="R301" s="64"/>
      <c r="S301" s="64"/>
      <c r="T301" s="64"/>
      <c r="U301" s="64"/>
      <c r="V301" s="64"/>
      <c r="W301" s="64"/>
      <c r="X301" s="64"/>
      <c r="Y301" s="64"/>
      <c r="Z301" s="64"/>
      <c r="AA301" s="64"/>
      <c r="AB301" s="64"/>
      <c r="AC301" s="64"/>
      <c r="AD301" s="64"/>
      <c r="AE301" s="64"/>
      <c r="AF301" s="64"/>
      <c r="AG301" s="64"/>
    </row>
    <row r="302" spans="1:33">
      <c r="A302" s="64"/>
      <c r="B302" s="64"/>
      <c r="C302" s="64"/>
      <c r="D302" s="64"/>
      <c r="E302" s="64"/>
      <c r="F302" s="70"/>
      <c r="G302" s="71"/>
      <c r="H302" s="72"/>
      <c r="I302" s="64"/>
      <c r="J302" s="64"/>
      <c r="K302" s="64"/>
      <c r="L302" s="64"/>
      <c r="M302" s="64"/>
      <c r="N302" s="64"/>
      <c r="O302" s="64"/>
      <c r="P302" s="64"/>
      <c r="Q302" s="64"/>
      <c r="R302" s="64"/>
      <c r="S302" s="64"/>
      <c r="T302" s="64"/>
      <c r="U302" s="64"/>
      <c r="V302" s="64"/>
      <c r="W302" s="64"/>
      <c r="X302" s="64"/>
      <c r="Y302" s="64"/>
      <c r="Z302" s="64"/>
      <c r="AA302" s="64"/>
      <c r="AB302" s="64"/>
      <c r="AC302" s="64"/>
      <c r="AD302" s="64"/>
      <c r="AE302" s="64"/>
      <c r="AF302" s="64"/>
      <c r="AG302" s="64"/>
    </row>
    <row r="303" spans="1:33">
      <c r="A303" s="64"/>
      <c r="B303" s="64"/>
      <c r="C303" s="64"/>
      <c r="D303" s="64"/>
      <c r="E303" s="64"/>
      <c r="F303" s="70"/>
      <c r="G303" s="71"/>
      <c r="H303" s="72"/>
      <c r="I303" s="64"/>
      <c r="J303" s="64"/>
      <c r="K303" s="64"/>
      <c r="L303" s="64"/>
      <c r="M303" s="64"/>
      <c r="N303" s="64"/>
      <c r="O303" s="64"/>
      <c r="P303" s="64"/>
      <c r="Q303" s="64"/>
      <c r="R303" s="64"/>
      <c r="S303" s="64"/>
      <c r="T303" s="64"/>
      <c r="U303" s="64"/>
      <c r="V303" s="64"/>
      <c r="W303" s="64"/>
      <c r="X303" s="64"/>
      <c r="Y303" s="64"/>
      <c r="Z303" s="64"/>
      <c r="AA303" s="64"/>
      <c r="AB303" s="64"/>
      <c r="AC303" s="64"/>
      <c r="AD303" s="64"/>
      <c r="AE303" s="64"/>
      <c r="AF303" s="64"/>
      <c r="AG303" s="64"/>
    </row>
    <row r="304" spans="1:33">
      <c r="A304" s="64"/>
      <c r="B304" s="64"/>
      <c r="C304" s="64"/>
      <c r="D304" s="64"/>
      <c r="E304" s="64"/>
      <c r="F304" s="70"/>
      <c r="G304" s="71"/>
      <c r="H304" s="72"/>
      <c r="I304" s="64"/>
      <c r="J304" s="64"/>
      <c r="K304" s="64"/>
      <c r="L304" s="64"/>
      <c r="M304" s="64"/>
      <c r="N304" s="64"/>
      <c r="O304" s="64"/>
      <c r="P304" s="64"/>
      <c r="Q304" s="64"/>
      <c r="R304" s="64"/>
      <c r="S304" s="64"/>
      <c r="T304" s="64"/>
      <c r="U304" s="64"/>
      <c r="V304" s="64"/>
      <c r="W304" s="64"/>
      <c r="X304" s="64"/>
      <c r="Y304" s="64"/>
      <c r="Z304" s="64"/>
      <c r="AA304" s="64"/>
      <c r="AB304" s="64"/>
      <c r="AC304" s="64"/>
      <c r="AD304" s="64"/>
      <c r="AE304" s="64"/>
      <c r="AF304" s="64"/>
      <c r="AG304" s="64"/>
    </row>
    <row r="305" spans="1:33">
      <c r="A305" s="64"/>
      <c r="B305" s="64"/>
      <c r="C305" s="64"/>
      <c r="D305" s="64"/>
      <c r="E305" s="64"/>
      <c r="F305" s="70"/>
      <c r="G305" s="71"/>
      <c r="H305" s="72"/>
      <c r="I305" s="64"/>
      <c r="J305" s="64"/>
      <c r="K305" s="64"/>
      <c r="L305" s="64"/>
      <c r="M305" s="64"/>
      <c r="N305" s="64"/>
      <c r="O305" s="64"/>
      <c r="P305" s="64"/>
      <c r="Q305" s="64"/>
      <c r="R305" s="64"/>
      <c r="S305" s="64"/>
      <c r="T305" s="64"/>
      <c r="U305" s="64"/>
      <c r="V305" s="64"/>
      <c r="W305" s="64"/>
      <c r="X305" s="64"/>
      <c r="Y305" s="64"/>
      <c r="Z305" s="64"/>
      <c r="AA305" s="64"/>
      <c r="AB305" s="64"/>
      <c r="AC305" s="64"/>
      <c r="AD305" s="64"/>
      <c r="AE305" s="64"/>
      <c r="AF305" s="64"/>
      <c r="AG305" s="64"/>
    </row>
    <row r="306" spans="1:33">
      <c r="A306" s="64"/>
      <c r="B306" s="64"/>
      <c r="C306" s="64"/>
      <c r="D306" s="64"/>
      <c r="E306" s="64"/>
      <c r="F306" s="70"/>
      <c r="G306" s="71"/>
      <c r="H306" s="72"/>
      <c r="I306" s="64"/>
      <c r="J306" s="64"/>
      <c r="K306" s="64"/>
      <c r="L306" s="64"/>
      <c r="M306" s="64"/>
      <c r="N306" s="64"/>
      <c r="O306" s="64"/>
      <c r="P306" s="64"/>
      <c r="Q306" s="64"/>
      <c r="R306" s="64"/>
      <c r="S306" s="64"/>
      <c r="T306" s="64"/>
      <c r="U306" s="64"/>
      <c r="V306" s="64"/>
      <c r="W306" s="64"/>
      <c r="X306" s="64"/>
      <c r="Y306" s="64"/>
      <c r="Z306" s="64"/>
      <c r="AA306" s="64"/>
      <c r="AB306" s="64"/>
      <c r="AC306" s="64"/>
      <c r="AD306" s="64"/>
      <c r="AE306" s="64"/>
      <c r="AF306" s="64"/>
      <c r="AG306" s="64"/>
    </row>
    <row r="307" spans="1:33">
      <c r="A307" s="64"/>
      <c r="B307" s="64"/>
      <c r="C307" s="64"/>
      <c r="D307" s="64"/>
      <c r="E307" s="64"/>
      <c r="F307" s="70"/>
      <c r="G307" s="71"/>
      <c r="H307" s="72"/>
      <c r="I307" s="64"/>
      <c r="J307" s="64"/>
      <c r="K307" s="64"/>
      <c r="L307" s="64"/>
      <c r="M307" s="64"/>
      <c r="N307" s="64"/>
      <c r="O307" s="64"/>
      <c r="P307" s="64"/>
      <c r="Q307" s="64"/>
      <c r="R307" s="64"/>
      <c r="S307" s="64"/>
      <c r="T307" s="64"/>
      <c r="U307" s="64"/>
      <c r="V307" s="64"/>
      <c r="W307" s="64"/>
      <c r="X307" s="64"/>
      <c r="Y307" s="64"/>
      <c r="Z307" s="64"/>
      <c r="AA307" s="64"/>
      <c r="AB307" s="64"/>
      <c r="AC307" s="64"/>
      <c r="AD307" s="64"/>
      <c r="AE307" s="64"/>
      <c r="AF307" s="64"/>
      <c r="AG307" s="64"/>
    </row>
    <row r="308" spans="1:33">
      <c r="A308" s="64"/>
      <c r="B308" s="64"/>
      <c r="C308" s="64"/>
      <c r="D308" s="64"/>
      <c r="E308" s="64"/>
      <c r="F308" s="70"/>
      <c r="G308" s="71"/>
      <c r="H308" s="72"/>
      <c r="I308" s="64"/>
      <c r="J308" s="64"/>
      <c r="K308" s="64"/>
      <c r="L308" s="64"/>
      <c r="M308" s="64"/>
      <c r="N308" s="64"/>
      <c r="O308" s="64"/>
      <c r="P308" s="64"/>
      <c r="Q308" s="64"/>
      <c r="R308" s="64"/>
      <c r="S308" s="64"/>
      <c r="T308" s="64"/>
      <c r="U308" s="64"/>
      <c r="V308" s="64"/>
      <c r="W308" s="64"/>
      <c r="X308" s="64"/>
      <c r="Y308" s="64"/>
      <c r="Z308" s="64"/>
      <c r="AA308" s="64"/>
      <c r="AB308" s="64"/>
      <c r="AC308" s="64"/>
      <c r="AD308" s="64"/>
      <c r="AE308" s="64"/>
      <c r="AF308" s="64"/>
      <c r="AG308" s="64"/>
    </row>
    <row r="309" spans="1:33">
      <c r="A309" s="64"/>
      <c r="B309" s="64"/>
      <c r="C309" s="64"/>
      <c r="D309" s="64"/>
      <c r="E309" s="64"/>
      <c r="F309" s="70"/>
      <c r="G309" s="71"/>
      <c r="H309" s="72"/>
      <c r="I309" s="64"/>
      <c r="J309" s="64"/>
      <c r="K309" s="64"/>
      <c r="L309" s="64"/>
      <c r="M309" s="64"/>
      <c r="N309" s="64"/>
      <c r="O309" s="64"/>
      <c r="P309" s="64"/>
      <c r="Q309" s="64"/>
      <c r="R309" s="64"/>
      <c r="S309" s="64"/>
      <c r="T309" s="64"/>
      <c r="U309" s="64"/>
      <c r="V309" s="64"/>
      <c r="W309" s="64"/>
      <c r="X309" s="64"/>
      <c r="Y309" s="64"/>
      <c r="Z309" s="64"/>
      <c r="AA309" s="64"/>
      <c r="AB309" s="64"/>
      <c r="AC309" s="64"/>
      <c r="AD309" s="64"/>
      <c r="AE309" s="64"/>
      <c r="AF309" s="64"/>
      <c r="AG309" s="64"/>
    </row>
    <row r="310" spans="1:33">
      <c r="A310" s="64"/>
      <c r="B310" s="64"/>
      <c r="C310" s="64"/>
      <c r="D310" s="64"/>
      <c r="E310" s="64"/>
      <c r="F310" s="70"/>
      <c r="G310" s="71"/>
      <c r="H310" s="72"/>
      <c r="I310" s="64"/>
      <c r="J310" s="64"/>
      <c r="K310" s="64"/>
      <c r="L310" s="64"/>
      <c r="M310" s="64"/>
      <c r="N310" s="64"/>
      <c r="O310" s="64"/>
      <c r="P310" s="64"/>
      <c r="Q310" s="64"/>
      <c r="R310" s="64"/>
      <c r="S310" s="64"/>
      <c r="T310" s="64"/>
      <c r="U310" s="64"/>
      <c r="V310" s="64"/>
      <c r="W310" s="64"/>
      <c r="X310" s="64"/>
      <c r="Y310" s="64"/>
      <c r="Z310" s="64"/>
      <c r="AA310" s="64"/>
      <c r="AB310" s="64"/>
      <c r="AC310" s="64"/>
      <c r="AD310" s="64"/>
      <c r="AE310" s="64"/>
      <c r="AF310" s="64"/>
      <c r="AG310" s="64"/>
    </row>
    <row r="311" spans="1:33">
      <c r="A311" s="64"/>
      <c r="B311" s="64"/>
      <c r="C311" s="64"/>
      <c r="D311" s="64"/>
      <c r="E311" s="64"/>
      <c r="F311" s="70"/>
      <c r="G311" s="71"/>
      <c r="H311" s="72"/>
      <c r="I311" s="64"/>
      <c r="J311" s="64"/>
      <c r="K311" s="64"/>
      <c r="L311" s="64"/>
      <c r="M311" s="64"/>
      <c r="N311" s="64"/>
      <c r="O311" s="64"/>
      <c r="P311" s="64"/>
      <c r="Q311" s="64"/>
      <c r="R311" s="64"/>
      <c r="S311" s="64"/>
      <c r="T311" s="64"/>
      <c r="U311" s="64"/>
      <c r="V311" s="64"/>
      <c r="W311" s="64"/>
      <c r="X311" s="64"/>
      <c r="Y311" s="64"/>
      <c r="Z311" s="64"/>
      <c r="AA311" s="64"/>
      <c r="AB311" s="64"/>
      <c r="AC311" s="64"/>
      <c r="AD311" s="64"/>
      <c r="AE311" s="64"/>
      <c r="AF311" s="64"/>
      <c r="AG311" s="64"/>
    </row>
    <row r="312" spans="1:33">
      <c r="A312" s="64"/>
      <c r="B312" s="64"/>
      <c r="C312" s="64"/>
      <c r="D312" s="64"/>
      <c r="E312" s="64"/>
      <c r="F312" s="70"/>
      <c r="G312" s="71"/>
      <c r="H312" s="72"/>
      <c r="I312" s="64"/>
      <c r="J312" s="64"/>
      <c r="K312" s="64"/>
      <c r="L312" s="64"/>
      <c r="M312" s="64"/>
      <c r="N312" s="64"/>
      <c r="O312" s="64"/>
      <c r="P312" s="64"/>
      <c r="Q312" s="64"/>
      <c r="R312" s="64"/>
      <c r="S312" s="64"/>
      <c r="T312" s="64"/>
      <c r="U312" s="64"/>
      <c r="V312" s="64"/>
      <c r="W312" s="64"/>
      <c r="X312" s="64"/>
      <c r="Y312" s="64"/>
      <c r="Z312" s="64"/>
      <c r="AA312" s="64"/>
      <c r="AB312" s="64"/>
      <c r="AC312" s="64"/>
      <c r="AD312" s="64"/>
      <c r="AE312" s="64"/>
      <c r="AF312" s="64"/>
      <c r="AG312" s="64"/>
    </row>
    <row r="313" spans="1:33">
      <c r="A313" s="64"/>
      <c r="B313" s="64"/>
      <c r="C313" s="64"/>
      <c r="D313" s="64"/>
      <c r="E313" s="64"/>
      <c r="F313" s="70"/>
      <c r="G313" s="71"/>
      <c r="H313" s="72"/>
      <c r="I313" s="64"/>
      <c r="J313" s="64"/>
      <c r="K313" s="64"/>
      <c r="L313" s="64"/>
      <c r="M313" s="64"/>
      <c r="N313" s="64"/>
      <c r="O313" s="64"/>
      <c r="P313" s="64"/>
      <c r="Q313" s="64"/>
      <c r="R313" s="64"/>
      <c r="S313" s="64"/>
      <c r="T313" s="64"/>
      <c r="U313" s="64"/>
      <c r="V313" s="64"/>
      <c r="W313" s="64"/>
      <c r="X313" s="64"/>
      <c r="Y313" s="64"/>
      <c r="Z313" s="64"/>
      <c r="AA313" s="64"/>
      <c r="AB313" s="64"/>
      <c r="AC313" s="64"/>
      <c r="AD313" s="64"/>
      <c r="AE313" s="64"/>
      <c r="AF313" s="64"/>
      <c r="AG313" s="64"/>
    </row>
    <row r="314" spans="1:33">
      <c r="A314" s="64"/>
      <c r="B314" s="64"/>
      <c r="C314" s="64"/>
      <c r="D314" s="64"/>
      <c r="E314" s="64"/>
      <c r="F314" s="70"/>
      <c r="G314" s="71"/>
      <c r="H314" s="72"/>
      <c r="I314" s="64"/>
      <c r="J314" s="64"/>
      <c r="K314" s="64"/>
      <c r="L314" s="64"/>
      <c r="M314" s="64"/>
      <c r="N314" s="64"/>
      <c r="O314" s="64"/>
      <c r="P314" s="64"/>
      <c r="Q314" s="64"/>
      <c r="R314" s="64"/>
      <c r="S314" s="64"/>
      <c r="T314" s="64"/>
      <c r="U314" s="64"/>
      <c r="V314" s="64"/>
      <c r="W314" s="64"/>
      <c r="X314" s="64"/>
      <c r="Y314" s="64"/>
      <c r="Z314" s="64"/>
      <c r="AA314" s="64"/>
      <c r="AB314" s="64"/>
      <c r="AC314" s="64"/>
      <c r="AD314" s="64"/>
      <c r="AE314" s="64"/>
      <c r="AF314" s="64"/>
      <c r="AG314" s="64"/>
    </row>
    <row r="315" spans="1:33">
      <c r="A315" s="64"/>
      <c r="B315" s="64"/>
      <c r="C315" s="64"/>
      <c r="D315" s="64"/>
      <c r="E315" s="64"/>
      <c r="F315" s="70"/>
      <c r="G315" s="71"/>
      <c r="H315" s="72"/>
      <c r="I315" s="64"/>
      <c r="J315" s="64"/>
      <c r="K315" s="64"/>
      <c r="L315" s="64"/>
      <c r="M315" s="64"/>
      <c r="N315" s="64"/>
      <c r="O315" s="64"/>
      <c r="P315" s="64"/>
      <c r="Q315" s="64"/>
      <c r="R315" s="64"/>
      <c r="S315" s="64"/>
      <c r="T315" s="64"/>
      <c r="U315" s="64"/>
      <c r="V315" s="64"/>
      <c r="W315" s="64"/>
      <c r="X315" s="64"/>
      <c r="Y315" s="64"/>
      <c r="Z315" s="64"/>
      <c r="AA315" s="64"/>
      <c r="AB315" s="64"/>
      <c r="AC315" s="64"/>
      <c r="AD315" s="64"/>
      <c r="AE315" s="64"/>
      <c r="AF315" s="64"/>
      <c r="AG315" s="64"/>
    </row>
    <row r="316" spans="1:33">
      <c r="A316" s="64"/>
      <c r="B316" s="64"/>
      <c r="C316" s="64"/>
      <c r="D316" s="64"/>
      <c r="E316" s="64"/>
      <c r="F316" s="70"/>
      <c r="G316" s="71"/>
      <c r="H316" s="72"/>
      <c r="I316" s="64"/>
      <c r="J316" s="64"/>
      <c r="K316" s="64"/>
      <c r="L316" s="64"/>
      <c r="M316" s="64"/>
      <c r="N316" s="64"/>
      <c r="O316" s="64"/>
      <c r="P316" s="64"/>
      <c r="Q316" s="64"/>
      <c r="R316" s="64"/>
      <c r="S316" s="64"/>
      <c r="T316" s="64"/>
      <c r="U316" s="64"/>
      <c r="V316" s="64"/>
      <c r="W316" s="64"/>
      <c r="X316" s="64"/>
      <c r="Y316" s="64"/>
      <c r="Z316" s="64"/>
      <c r="AA316" s="64"/>
      <c r="AB316" s="64"/>
      <c r="AC316" s="64"/>
      <c r="AD316" s="64"/>
      <c r="AE316" s="64"/>
      <c r="AF316" s="64"/>
      <c r="AG316" s="64"/>
    </row>
    <row r="317" spans="1:33">
      <c r="A317" s="64"/>
      <c r="B317" s="64"/>
      <c r="C317" s="64"/>
      <c r="D317" s="64"/>
      <c r="E317" s="64"/>
      <c r="F317" s="70"/>
      <c r="G317" s="71"/>
      <c r="H317" s="72"/>
      <c r="I317" s="64"/>
      <c r="J317" s="64"/>
      <c r="K317" s="64"/>
      <c r="L317" s="64"/>
      <c r="M317" s="64"/>
      <c r="N317" s="64"/>
      <c r="O317" s="64"/>
      <c r="P317" s="64"/>
      <c r="Q317" s="64"/>
      <c r="R317" s="64"/>
      <c r="S317" s="64"/>
      <c r="T317" s="64"/>
      <c r="U317" s="64"/>
      <c r="V317" s="64"/>
      <c r="W317" s="64"/>
      <c r="X317" s="64"/>
      <c r="Y317" s="64"/>
      <c r="Z317" s="64"/>
      <c r="AA317" s="64"/>
      <c r="AB317" s="64"/>
      <c r="AC317" s="64"/>
      <c r="AD317" s="64"/>
      <c r="AE317" s="64"/>
      <c r="AF317" s="64"/>
      <c r="AG317" s="64"/>
    </row>
    <row r="318" spans="1:33">
      <c r="A318" s="64"/>
      <c r="B318" s="64"/>
      <c r="C318" s="64"/>
      <c r="D318" s="64"/>
      <c r="E318" s="64"/>
      <c r="F318" s="70"/>
      <c r="G318" s="71"/>
      <c r="H318" s="72"/>
      <c r="I318" s="64"/>
      <c r="J318" s="64"/>
      <c r="K318" s="64"/>
      <c r="L318" s="64"/>
      <c r="M318" s="64"/>
      <c r="N318" s="64"/>
      <c r="O318" s="64"/>
      <c r="P318" s="64"/>
      <c r="Q318" s="64"/>
      <c r="R318" s="64"/>
      <c r="S318" s="64"/>
      <c r="T318" s="64"/>
      <c r="U318" s="64"/>
      <c r="V318" s="64"/>
      <c r="W318" s="64"/>
      <c r="X318" s="64"/>
      <c r="Y318" s="64"/>
      <c r="Z318" s="64"/>
      <c r="AA318" s="64"/>
      <c r="AB318" s="64"/>
      <c r="AC318" s="64"/>
      <c r="AD318" s="64"/>
      <c r="AE318" s="64"/>
      <c r="AF318" s="64"/>
      <c r="AG318" s="64"/>
    </row>
    <row r="319" spans="1:33">
      <c r="A319" s="64"/>
      <c r="B319" s="64"/>
      <c r="C319" s="64"/>
      <c r="D319" s="64"/>
      <c r="E319" s="64"/>
      <c r="F319" s="70"/>
      <c r="G319" s="71"/>
      <c r="H319" s="72"/>
      <c r="I319" s="64"/>
      <c r="J319" s="64"/>
      <c r="K319" s="64"/>
      <c r="L319" s="64"/>
      <c r="M319" s="64"/>
      <c r="N319" s="64"/>
      <c r="O319" s="64"/>
      <c r="P319" s="64"/>
      <c r="Q319" s="64"/>
      <c r="R319" s="64"/>
      <c r="S319" s="64"/>
      <c r="T319" s="64"/>
      <c r="U319" s="64"/>
      <c r="V319" s="64"/>
      <c r="W319" s="64"/>
      <c r="X319" s="64"/>
      <c r="Y319" s="64"/>
      <c r="Z319" s="64"/>
      <c r="AA319" s="64"/>
      <c r="AB319" s="64"/>
      <c r="AC319" s="64"/>
      <c r="AD319" s="64"/>
      <c r="AE319" s="64"/>
      <c r="AF319" s="64"/>
      <c r="AG319" s="64"/>
    </row>
    <row r="320" spans="1:33">
      <c r="A320" s="64"/>
      <c r="B320" s="64"/>
      <c r="C320" s="64"/>
      <c r="D320" s="64"/>
      <c r="E320" s="64"/>
      <c r="F320" s="70"/>
      <c r="G320" s="71"/>
      <c r="H320" s="72"/>
      <c r="I320" s="64"/>
      <c r="J320" s="64"/>
      <c r="K320" s="64"/>
      <c r="L320" s="64"/>
      <c r="M320" s="64"/>
      <c r="N320" s="64"/>
      <c r="O320" s="64"/>
      <c r="P320" s="64"/>
      <c r="Q320" s="64"/>
      <c r="R320" s="64"/>
      <c r="S320" s="64"/>
      <c r="T320" s="64"/>
      <c r="U320" s="64"/>
      <c r="V320" s="64"/>
      <c r="W320" s="64"/>
      <c r="X320" s="64"/>
      <c r="Y320" s="64"/>
      <c r="Z320" s="64"/>
      <c r="AA320" s="64"/>
      <c r="AB320" s="64"/>
      <c r="AC320" s="64"/>
      <c r="AD320" s="64"/>
      <c r="AE320" s="64"/>
      <c r="AF320" s="64"/>
      <c r="AG320" s="64"/>
    </row>
    <row r="321" spans="1:33">
      <c r="A321" s="64"/>
      <c r="B321" s="64"/>
      <c r="C321" s="64"/>
      <c r="D321" s="64"/>
      <c r="E321" s="64"/>
      <c r="F321" s="70"/>
      <c r="G321" s="71"/>
      <c r="H321" s="72"/>
      <c r="I321" s="64"/>
      <c r="J321" s="64"/>
      <c r="K321" s="64"/>
      <c r="L321" s="64"/>
      <c r="M321" s="64"/>
      <c r="N321" s="64"/>
      <c r="O321" s="64"/>
      <c r="P321" s="64"/>
      <c r="Q321" s="64"/>
      <c r="R321" s="64"/>
      <c r="S321" s="64"/>
      <c r="T321" s="64"/>
      <c r="U321" s="64"/>
      <c r="V321" s="64"/>
      <c r="W321" s="64"/>
      <c r="X321" s="64"/>
      <c r="Y321" s="64"/>
      <c r="Z321" s="64"/>
      <c r="AA321" s="64"/>
      <c r="AB321" s="64"/>
      <c r="AC321" s="64"/>
      <c r="AD321" s="64"/>
      <c r="AE321" s="64"/>
      <c r="AF321" s="64"/>
      <c r="AG321" s="64"/>
    </row>
    <row r="322" spans="1:33">
      <c r="A322" s="64"/>
      <c r="B322" s="64"/>
      <c r="C322" s="64"/>
      <c r="D322" s="64"/>
      <c r="E322" s="64"/>
      <c r="F322" s="70"/>
      <c r="G322" s="71"/>
      <c r="H322" s="72"/>
      <c r="I322" s="64"/>
      <c r="J322" s="64"/>
      <c r="K322" s="64"/>
      <c r="L322" s="64"/>
      <c r="M322" s="64"/>
      <c r="N322" s="64"/>
      <c r="O322" s="64"/>
      <c r="P322" s="64"/>
      <c r="Q322" s="64"/>
      <c r="R322" s="64"/>
      <c r="S322" s="64"/>
      <c r="T322" s="64"/>
      <c r="U322" s="64"/>
      <c r="V322" s="64"/>
      <c r="W322" s="64"/>
      <c r="X322" s="64"/>
      <c r="Y322" s="64"/>
      <c r="Z322" s="64"/>
      <c r="AA322" s="64"/>
      <c r="AB322" s="64"/>
      <c r="AC322" s="64"/>
      <c r="AD322" s="64"/>
      <c r="AE322" s="64"/>
      <c r="AF322" s="64"/>
      <c r="AG322" s="64"/>
    </row>
    <row r="323" spans="1:33">
      <c r="A323" s="64"/>
      <c r="B323" s="64"/>
      <c r="C323" s="64"/>
      <c r="D323" s="64"/>
      <c r="E323" s="64"/>
      <c r="F323" s="70"/>
      <c r="G323" s="71"/>
      <c r="H323" s="72"/>
      <c r="I323" s="64"/>
      <c r="J323" s="64"/>
      <c r="K323" s="64"/>
      <c r="L323" s="64"/>
      <c r="M323" s="64"/>
      <c r="N323" s="64"/>
      <c r="O323" s="64"/>
      <c r="P323" s="64"/>
      <c r="Q323" s="64"/>
      <c r="R323" s="64"/>
      <c r="S323" s="64"/>
      <c r="T323" s="64"/>
      <c r="U323" s="64"/>
      <c r="V323" s="64"/>
      <c r="W323" s="64"/>
      <c r="X323" s="64"/>
      <c r="Y323" s="64"/>
      <c r="Z323" s="64"/>
      <c r="AA323" s="64"/>
      <c r="AB323" s="64"/>
      <c r="AC323" s="64"/>
      <c r="AD323" s="64"/>
      <c r="AE323" s="64"/>
      <c r="AF323" s="64"/>
      <c r="AG323" s="64"/>
    </row>
    <row r="324" spans="1:33">
      <c r="A324" s="64"/>
      <c r="B324" s="64"/>
      <c r="C324" s="64"/>
      <c r="D324" s="64"/>
      <c r="E324" s="64"/>
      <c r="F324" s="70"/>
      <c r="G324" s="71"/>
      <c r="H324" s="72"/>
      <c r="I324" s="64"/>
      <c r="J324" s="64"/>
      <c r="K324" s="64"/>
      <c r="L324" s="64"/>
      <c r="M324" s="64"/>
      <c r="N324" s="64"/>
      <c r="O324" s="64"/>
      <c r="P324" s="64"/>
      <c r="Q324" s="64"/>
      <c r="R324" s="64"/>
      <c r="S324" s="64"/>
      <c r="T324" s="64"/>
      <c r="U324" s="64"/>
      <c r="V324" s="64"/>
      <c r="W324" s="64"/>
      <c r="X324" s="64"/>
      <c r="Y324" s="64"/>
      <c r="Z324" s="64"/>
      <c r="AA324" s="64"/>
      <c r="AB324" s="64"/>
      <c r="AC324" s="64"/>
      <c r="AD324" s="64"/>
      <c r="AE324" s="64"/>
      <c r="AF324" s="64"/>
      <c r="AG324" s="64"/>
    </row>
    <row r="325" spans="1:33">
      <c r="A325" s="64"/>
      <c r="B325" s="64"/>
      <c r="C325" s="64"/>
      <c r="D325" s="64"/>
      <c r="E325" s="64"/>
      <c r="F325" s="70"/>
      <c r="G325" s="71"/>
      <c r="H325" s="72"/>
      <c r="I325" s="64"/>
      <c r="J325" s="64"/>
      <c r="K325" s="64"/>
      <c r="L325" s="64"/>
      <c r="M325" s="64"/>
      <c r="N325" s="64"/>
      <c r="O325" s="64"/>
      <c r="P325" s="64"/>
      <c r="Q325" s="64"/>
      <c r="R325" s="64"/>
      <c r="S325" s="64"/>
      <c r="T325" s="64"/>
      <c r="U325" s="64"/>
      <c r="V325" s="64"/>
      <c r="W325" s="64"/>
      <c r="X325" s="64"/>
      <c r="Y325" s="64"/>
      <c r="Z325" s="64"/>
      <c r="AA325" s="64"/>
      <c r="AB325" s="64"/>
      <c r="AC325" s="64"/>
      <c r="AD325" s="64"/>
      <c r="AE325" s="64"/>
      <c r="AF325" s="64"/>
      <c r="AG325" s="64"/>
    </row>
    <row r="326" spans="1:33">
      <c r="A326" s="64"/>
      <c r="B326" s="64"/>
      <c r="C326" s="64"/>
      <c r="D326" s="64"/>
      <c r="E326" s="64"/>
      <c r="F326" s="70"/>
      <c r="G326" s="71"/>
      <c r="H326" s="72"/>
      <c r="I326" s="64"/>
      <c r="J326" s="64"/>
      <c r="K326" s="64"/>
      <c r="L326" s="64"/>
      <c r="M326" s="64"/>
      <c r="N326" s="64"/>
      <c r="O326" s="64"/>
      <c r="P326" s="64"/>
      <c r="Q326" s="64"/>
      <c r="R326" s="64"/>
      <c r="S326" s="64"/>
      <c r="T326" s="64"/>
      <c r="U326" s="64"/>
      <c r="V326" s="64"/>
      <c r="W326" s="64"/>
      <c r="X326" s="64"/>
      <c r="Y326" s="64"/>
      <c r="Z326" s="64"/>
      <c r="AA326" s="64"/>
      <c r="AB326" s="64"/>
      <c r="AC326" s="64"/>
      <c r="AD326" s="64"/>
      <c r="AE326" s="64"/>
      <c r="AF326" s="64"/>
      <c r="AG326" s="64"/>
    </row>
    <row r="327" spans="1:33">
      <c r="A327" s="64"/>
      <c r="B327" s="64"/>
      <c r="C327" s="64"/>
      <c r="D327" s="64"/>
      <c r="E327" s="64"/>
      <c r="F327" s="70"/>
      <c r="G327" s="71"/>
      <c r="H327" s="72"/>
      <c r="I327" s="64"/>
      <c r="J327" s="64"/>
      <c r="K327" s="64"/>
      <c r="L327" s="64"/>
      <c r="M327" s="64"/>
      <c r="N327" s="64"/>
      <c r="O327" s="64"/>
      <c r="P327" s="64"/>
      <c r="Q327" s="64"/>
      <c r="R327" s="64"/>
      <c r="S327" s="64"/>
      <c r="T327" s="64"/>
      <c r="U327" s="64"/>
      <c r="V327" s="64"/>
      <c r="W327" s="64"/>
      <c r="X327" s="64"/>
      <c r="Y327" s="64"/>
      <c r="Z327" s="64"/>
      <c r="AA327" s="64"/>
      <c r="AB327" s="64"/>
      <c r="AC327" s="64"/>
      <c r="AD327" s="64"/>
      <c r="AE327" s="64"/>
      <c r="AF327" s="64"/>
      <c r="AG327" s="64"/>
    </row>
    <row r="328" spans="1:33">
      <c r="A328" s="64"/>
      <c r="B328" s="64"/>
      <c r="C328" s="64"/>
      <c r="D328" s="64"/>
      <c r="E328" s="64"/>
      <c r="F328" s="70"/>
      <c r="G328" s="71"/>
      <c r="H328" s="72"/>
      <c r="I328" s="64"/>
      <c r="J328" s="64"/>
      <c r="K328" s="64"/>
      <c r="L328" s="64"/>
      <c r="M328" s="64"/>
      <c r="N328" s="64"/>
      <c r="O328" s="64"/>
      <c r="P328" s="64"/>
      <c r="Q328" s="64"/>
      <c r="R328" s="64"/>
      <c r="S328" s="64"/>
      <c r="T328" s="64"/>
      <c r="U328" s="64"/>
      <c r="V328" s="64"/>
      <c r="W328" s="64"/>
      <c r="X328" s="64"/>
      <c r="Y328" s="64"/>
      <c r="Z328" s="64"/>
      <c r="AA328" s="64"/>
      <c r="AB328" s="64"/>
      <c r="AC328" s="64"/>
      <c r="AD328" s="64"/>
      <c r="AE328" s="64"/>
      <c r="AF328" s="64"/>
      <c r="AG328" s="64"/>
    </row>
    <row r="329" spans="1:33">
      <c r="A329" s="64"/>
      <c r="B329" s="64"/>
      <c r="C329" s="64"/>
      <c r="D329" s="64"/>
      <c r="E329" s="64"/>
      <c r="F329" s="70"/>
      <c r="G329" s="71"/>
      <c r="H329" s="72"/>
      <c r="I329" s="64"/>
      <c r="J329" s="64"/>
      <c r="K329" s="64"/>
      <c r="L329" s="64"/>
      <c r="M329" s="64"/>
      <c r="N329" s="64"/>
      <c r="O329" s="64"/>
      <c r="P329" s="64"/>
      <c r="Q329" s="64"/>
      <c r="R329" s="64"/>
      <c r="S329" s="64"/>
      <c r="T329" s="64"/>
      <c r="U329" s="64"/>
      <c r="V329" s="64"/>
      <c r="W329" s="64"/>
      <c r="X329" s="64"/>
      <c r="Y329" s="64"/>
      <c r="Z329" s="64"/>
      <c r="AA329" s="64"/>
      <c r="AB329" s="64"/>
      <c r="AC329" s="64"/>
      <c r="AD329" s="64"/>
      <c r="AE329" s="64"/>
      <c r="AF329" s="64"/>
      <c r="AG329" s="64"/>
    </row>
    <row r="330" spans="1:33">
      <c r="A330" s="64"/>
      <c r="B330" s="64"/>
      <c r="C330" s="64"/>
      <c r="D330" s="64"/>
      <c r="E330" s="64"/>
      <c r="F330" s="70"/>
      <c r="G330" s="71"/>
      <c r="H330" s="72"/>
      <c r="I330" s="64"/>
      <c r="J330" s="64"/>
      <c r="K330" s="64"/>
      <c r="L330" s="64"/>
      <c r="M330" s="64"/>
      <c r="N330" s="64"/>
      <c r="O330" s="64"/>
      <c r="P330" s="64"/>
      <c r="Q330" s="64"/>
      <c r="R330" s="64"/>
      <c r="S330" s="64"/>
      <c r="T330" s="64"/>
      <c r="U330" s="64"/>
      <c r="V330" s="64"/>
      <c r="W330" s="64"/>
      <c r="X330" s="64"/>
      <c r="Y330" s="64"/>
      <c r="Z330" s="64"/>
      <c r="AA330" s="64"/>
      <c r="AB330" s="64"/>
      <c r="AC330" s="64"/>
      <c r="AD330" s="64"/>
      <c r="AE330" s="64"/>
      <c r="AF330" s="64"/>
      <c r="AG330" s="64"/>
    </row>
    <row r="331" spans="1:33">
      <c r="A331" s="64"/>
      <c r="B331" s="64"/>
      <c r="C331" s="64"/>
      <c r="D331" s="64"/>
      <c r="E331" s="64"/>
      <c r="F331" s="70"/>
      <c r="G331" s="71"/>
      <c r="H331" s="72"/>
      <c r="I331" s="64"/>
      <c r="J331" s="64"/>
      <c r="K331" s="64"/>
      <c r="L331" s="64"/>
      <c r="M331" s="64"/>
      <c r="N331" s="64"/>
      <c r="O331" s="64"/>
      <c r="P331" s="64"/>
      <c r="Q331" s="64"/>
      <c r="R331" s="64"/>
      <c r="S331" s="64"/>
      <c r="T331" s="64"/>
      <c r="U331" s="64"/>
      <c r="V331" s="64"/>
      <c r="W331" s="64"/>
      <c r="X331" s="64"/>
      <c r="Y331" s="64"/>
      <c r="Z331" s="64"/>
      <c r="AA331" s="64"/>
      <c r="AB331" s="64"/>
      <c r="AC331" s="64"/>
      <c r="AD331" s="64"/>
      <c r="AE331" s="64"/>
      <c r="AF331" s="64"/>
      <c r="AG331" s="64"/>
    </row>
    <row r="332" spans="1:33">
      <c r="A332" s="64"/>
      <c r="B332" s="64"/>
      <c r="C332" s="64"/>
      <c r="D332" s="64"/>
      <c r="E332" s="64"/>
      <c r="F332" s="70"/>
      <c r="G332" s="71"/>
      <c r="H332" s="72"/>
      <c r="I332" s="64"/>
      <c r="J332" s="64"/>
      <c r="K332" s="64"/>
      <c r="L332" s="64"/>
      <c r="M332" s="64"/>
      <c r="N332" s="64"/>
      <c r="O332" s="64"/>
      <c r="P332" s="64"/>
      <c r="Q332" s="64"/>
      <c r="R332" s="64"/>
      <c r="S332" s="64"/>
      <c r="T332" s="64"/>
      <c r="U332" s="64"/>
      <c r="V332" s="64"/>
      <c r="W332" s="64"/>
      <c r="X332" s="64"/>
      <c r="Y332" s="64"/>
      <c r="Z332" s="64"/>
      <c r="AA332" s="64"/>
      <c r="AB332" s="64"/>
      <c r="AC332" s="64"/>
      <c r="AD332" s="64"/>
      <c r="AE332" s="64"/>
      <c r="AF332" s="64"/>
      <c r="AG332" s="64"/>
    </row>
    <row r="333" spans="1:33">
      <c r="A333" s="64"/>
      <c r="B333" s="64"/>
      <c r="C333" s="64"/>
      <c r="D333" s="64"/>
      <c r="E333" s="64"/>
      <c r="F333" s="70"/>
      <c r="G333" s="71"/>
      <c r="H333" s="72"/>
      <c r="I333" s="64"/>
      <c r="J333" s="64"/>
      <c r="K333" s="64"/>
      <c r="L333" s="64"/>
      <c r="M333" s="64"/>
      <c r="N333" s="64"/>
      <c r="O333" s="64"/>
      <c r="P333" s="64"/>
      <c r="Q333" s="64"/>
      <c r="R333" s="64"/>
      <c r="S333" s="64"/>
      <c r="T333" s="64"/>
      <c r="U333" s="64"/>
      <c r="V333" s="64"/>
      <c r="W333" s="64"/>
      <c r="X333" s="64"/>
      <c r="Y333" s="64"/>
      <c r="Z333" s="64"/>
      <c r="AA333" s="64"/>
      <c r="AB333" s="64"/>
      <c r="AC333" s="64"/>
      <c r="AD333" s="64"/>
      <c r="AE333" s="64"/>
      <c r="AF333" s="64"/>
      <c r="AG333" s="64"/>
    </row>
    <row r="334" spans="1:33">
      <c r="A334" s="64"/>
      <c r="B334" s="64"/>
      <c r="C334" s="64"/>
      <c r="D334" s="64"/>
      <c r="E334" s="64"/>
      <c r="F334" s="70"/>
      <c r="G334" s="71"/>
      <c r="H334" s="72"/>
      <c r="I334" s="64"/>
      <c r="J334" s="64"/>
      <c r="K334" s="64"/>
      <c r="L334" s="64"/>
      <c r="M334" s="64"/>
      <c r="N334" s="64"/>
      <c r="O334" s="64"/>
      <c r="P334" s="64"/>
      <c r="Q334" s="64"/>
      <c r="R334" s="64"/>
      <c r="S334" s="64"/>
      <c r="T334" s="64"/>
      <c r="U334" s="64"/>
      <c r="V334" s="64"/>
      <c r="W334" s="64"/>
      <c r="X334" s="64"/>
      <c r="Y334" s="64"/>
      <c r="Z334" s="64"/>
      <c r="AA334" s="64"/>
      <c r="AB334" s="64"/>
      <c r="AC334" s="64"/>
      <c r="AD334" s="64"/>
      <c r="AE334" s="64"/>
      <c r="AF334" s="64"/>
      <c r="AG334" s="64"/>
    </row>
    <row r="335" spans="1:33">
      <c r="A335" s="64"/>
      <c r="B335" s="64"/>
      <c r="C335" s="64"/>
      <c r="D335" s="64"/>
      <c r="E335" s="64"/>
      <c r="F335" s="70"/>
      <c r="G335" s="71"/>
      <c r="H335" s="72"/>
      <c r="I335" s="64"/>
      <c r="J335" s="64"/>
      <c r="K335" s="64"/>
      <c r="L335" s="64"/>
      <c r="M335" s="64"/>
      <c r="N335" s="64"/>
      <c r="O335" s="64"/>
      <c r="P335" s="64"/>
      <c r="Q335" s="64"/>
      <c r="R335" s="64"/>
      <c r="S335" s="64"/>
      <c r="T335" s="64"/>
      <c r="U335" s="64"/>
      <c r="V335" s="64"/>
      <c r="W335" s="64"/>
      <c r="X335" s="64"/>
      <c r="Y335" s="64"/>
      <c r="Z335" s="64"/>
      <c r="AA335" s="64"/>
      <c r="AB335" s="64"/>
      <c r="AC335" s="64"/>
      <c r="AD335" s="64"/>
      <c r="AE335" s="64"/>
      <c r="AF335" s="64"/>
      <c r="AG335" s="64"/>
    </row>
    <row r="336" spans="1:33">
      <c r="A336" s="64"/>
      <c r="B336" s="64"/>
      <c r="C336" s="64"/>
      <c r="D336" s="64"/>
      <c r="E336" s="64"/>
      <c r="F336" s="70"/>
      <c r="G336" s="71"/>
      <c r="H336" s="72"/>
      <c r="I336" s="64"/>
      <c r="J336" s="64"/>
      <c r="K336" s="64"/>
      <c r="L336" s="64"/>
      <c r="M336" s="64"/>
      <c r="N336" s="64"/>
      <c r="O336" s="64"/>
      <c r="P336" s="64"/>
      <c r="Q336" s="64"/>
      <c r="R336" s="64"/>
      <c r="S336" s="64"/>
      <c r="T336" s="64"/>
      <c r="U336" s="64"/>
      <c r="V336" s="64"/>
      <c r="W336" s="64"/>
      <c r="X336" s="64"/>
      <c r="Y336" s="64"/>
      <c r="Z336" s="64"/>
      <c r="AA336" s="64"/>
      <c r="AB336" s="64"/>
      <c r="AC336" s="64"/>
      <c r="AD336" s="64"/>
      <c r="AE336" s="64"/>
      <c r="AF336" s="64"/>
      <c r="AG336" s="64"/>
    </row>
    <row r="337" spans="1:33">
      <c r="A337" s="64"/>
      <c r="B337" s="64"/>
      <c r="C337" s="64"/>
      <c r="D337" s="64"/>
      <c r="E337" s="64"/>
      <c r="F337" s="70"/>
      <c r="G337" s="71"/>
      <c r="H337" s="72"/>
      <c r="I337" s="64"/>
      <c r="J337" s="64"/>
      <c r="K337" s="64"/>
      <c r="L337" s="64"/>
      <c r="M337" s="64"/>
      <c r="N337" s="64"/>
      <c r="O337" s="64"/>
      <c r="P337" s="64"/>
      <c r="Q337" s="64"/>
      <c r="R337" s="64"/>
      <c r="S337" s="64"/>
      <c r="T337" s="64"/>
      <c r="U337" s="64"/>
      <c r="V337" s="64"/>
      <c r="W337" s="64"/>
      <c r="X337" s="64"/>
      <c r="Y337" s="64"/>
      <c r="Z337" s="64"/>
      <c r="AA337" s="64"/>
      <c r="AB337" s="64"/>
      <c r="AC337" s="64"/>
      <c r="AD337" s="64"/>
      <c r="AE337" s="64"/>
      <c r="AF337" s="64"/>
      <c r="AG337" s="64"/>
    </row>
    <row r="338" spans="1:33">
      <c r="A338" s="64"/>
      <c r="B338" s="64"/>
      <c r="C338" s="64"/>
      <c r="D338" s="64"/>
      <c r="E338" s="64"/>
      <c r="F338" s="70"/>
      <c r="G338" s="71"/>
      <c r="H338" s="72"/>
      <c r="I338" s="64"/>
      <c r="J338" s="64"/>
      <c r="K338" s="64"/>
      <c r="L338" s="64"/>
      <c r="M338" s="64"/>
      <c r="N338" s="64"/>
      <c r="O338" s="64"/>
      <c r="P338" s="64"/>
      <c r="Q338" s="64"/>
      <c r="R338" s="64"/>
      <c r="S338" s="64"/>
      <c r="T338" s="64"/>
      <c r="U338" s="64"/>
      <c r="V338" s="64"/>
      <c r="W338" s="64"/>
      <c r="X338" s="64"/>
      <c r="Y338" s="64"/>
      <c r="Z338" s="64"/>
      <c r="AA338" s="64"/>
      <c r="AB338" s="64"/>
      <c r="AC338" s="64"/>
      <c r="AD338" s="64"/>
      <c r="AE338" s="64"/>
      <c r="AF338" s="64"/>
      <c r="AG338" s="64"/>
    </row>
    <row r="339" spans="1:33">
      <c r="A339" s="64"/>
      <c r="B339" s="64"/>
      <c r="C339" s="64"/>
      <c r="D339" s="64"/>
      <c r="E339" s="64"/>
      <c r="F339" s="70"/>
      <c r="G339" s="71"/>
      <c r="H339" s="72"/>
      <c r="I339" s="64"/>
      <c r="J339" s="64"/>
      <c r="K339" s="64"/>
      <c r="L339" s="64"/>
      <c r="M339" s="64"/>
      <c r="N339" s="64"/>
      <c r="O339" s="64"/>
      <c r="P339" s="64"/>
      <c r="Q339" s="64"/>
      <c r="R339" s="64"/>
      <c r="S339" s="64"/>
      <c r="T339" s="64"/>
      <c r="U339" s="64"/>
      <c r="V339" s="64"/>
      <c r="W339" s="64"/>
      <c r="X339" s="64"/>
      <c r="Y339" s="64"/>
      <c r="Z339" s="64"/>
      <c r="AA339" s="64"/>
      <c r="AB339" s="64"/>
      <c r="AC339" s="64"/>
      <c r="AD339" s="64"/>
      <c r="AE339" s="64"/>
      <c r="AF339" s="64"/>
      <c r="AG339" s="64"/>
    </row>
    <row r="340" spans="1:33">
      <c r="A340" s="64"/>
      <c r="B340" s="64"/>
      <c r="C340" s="64"/>
      <c r="D340" s="64"/>
      <c r="E340" s="64"/>
      <c r="F340" s="70"/>
      <c r="G340" s="71"/>
      <c r="H340" s="72"/>
      <c r="I340" s="64"/>
      <c r="J340" s="64"/>
      <c r="K340" s="64"/>
      <c r="L340" s="64"/>
      <c r="M340" s="64"/>
      <c r="N340" s="64"/>
      <c r="O340" s="64"/>
      <c r="P340" s="64"/>
      <c r="Q340" s="64"/>
      <c r="R340" s="64"/>
      <c r="S340" s="64"/>
      <c r="T340" s="64"/>
      <c r="U340" s="64"/>
      <c r="V340" s="64"/>
      <c r="W340" s="64"/>
      <c r="X340" s="64"/>
      <c r="Y340" s="64"/>
      <c r="Z340" s="64"/>
      <c r="AA340" s="64"/>
      <c r="AB340" s="64"/>
      <c r="AC340" s="64"/>
      <c r="AD340" s="64"/>
      <c r="AE340" s="64"/>
      <c r="AF340" s="64"/>
      <c r="AG340" s="64"/>
    </row>
    <row r="341" spans="1:33">
      <c r="A341" s="64"/>
      <c r="B341" s="64"/>
      <c r="C341" s="64"/>
      <c r="D341" s="64"/>
      <c r="E341" s="64"/>
      <c r="F341" s="70"/>
      <c r="G341" s="71"/>
      <c r="H341" s="72"/>
      <c r="I341" s="64"/>
      <c r="J341" s="64"/>
      <c r="K341" s="64"/>
      <c r="L341" s="64"/>
      <c r="M341" s="64"/>
      <c r="N341" s="64"/>
      <c r="O341" s="64"/>
      <c r="P341" s="64"/>
      <c r="Q341" s="64"/>
      <c r="R341" s="64"/>
      <c r="S341" s="64"/>
      <c r="T341" s="64"/>
      <c r="U341" s="64"/>
      <c r="V341" s="64"/>
      <c r="W341" s="64"/>
      <c r="X341" s="64"/>
      <c r="Y341" s="64"/>
      <c r="Z341" s="64"/>
      <c r="AA341" s="64"/>
      <c r="AB341" s="64"/>
      <c r="AC341" s="64"/>
      <c r="AD341" s="64"/>
      <c r="AE341" s="64"/>
      <c r="AF341" s="64"/>
      <c r="AG341" s="64"/>
    </row>
    <row r="342" spans="1:33">
      <c r="A342" s="64"/>
      <c r="B342" s="64"/>
      <c r="C342" s="64"/>
      <c r="D342" s="64"/>
      <c r="E342" s="64"/>
      <c r="F342" s="70"/>
      <c r="G342" s="71"/>
      <c r="H342" s="72"/>
      <c r="I342" s="64"/>
      <c r="J342" s="64"/>
      <c r="K342" s="64"/>
      <c r="L342" s="64"/>
      <c r="M342" s="64"/>
      <c r="N342" s="64"/>
      <c r="O342" s="64"/>
      <c r="P342" s="64"/>
      <c r="Q342" s="64"/>
      <c r="R342" s="64"/>
      <c r="S342" s="64"/>
      <c r="T342" s="64"/>
      <c r="U342" s="64"/>
      <c r="V342" s="64"/>
      <c r="W342" s="64"/>
      <c r="X342" s="64"/>
      <c r="Y342" s="64"/>
      <c r="Z342" s="64"/>
      <c r="AA342" s="64"/>
      <c r="AB342" s="64"/>
      <c r="AC342" s="64"/>
      <c r="AD342" s="64"/>
      <c r="AE342" s="64"/>
      <c r="AF342" s="64"/>
      <c r="AG342" s="64"/>
    </row>
    <row r="343" spans="1:33">
      <c r="A343" s="64"/>
      <c r="B343" s="64"/>
      <c r="C343" s="64"/>
      <c r="D343" s="64"/>
      <c r="E343" s="64"/>
      <c r="F343" s="70"/>
      <c r="G343" s="71"/>
      <c r="H343" s="72"/>
      <c r="I343" s="64"/>
      <c r="J343" s="64"/>
      <c r="K343" s="64"/>
      <c r="L343" s="64"/>
      <c r="M343" s="64"/>
      <c r="N343" s="64"/>
      <c r="O343" s="64"/>
      <c r="P343" s="64"/>
      <c r="Q343" s="64"/>
      <c r="R343" s="64"/>
      <c r="S343" s="64"/>
      <c r="T343" s="64"/>
      <c r="U343" s="64"/>
      <c r="V343" s="64"/>
      <c r="W343" s="64"/>
      <c r="X343" s="64"/>
      <c r="Y343" s="64"/>
      <c r="Z343" s="64"/>
      <c r="AA343" s="64"/>
      <c r="AB343" s="64"/>
      <c r="AC343" s="64"/>
      <c r="AD343" s="64"/>
      <c r="AE343" s="64"/>
      <c r="AF343" s="64"/>
      <c r="AG343" s="64"/>
    </row>
    <row r="344" spans="1:33">
      <c r="A344" s="64"/>
      <c r="B344" s="64"/>
      <c r="C344" s="64"/>
      <c r="D344" s="64"/>
      <c r="E344" s="64"/>
      <c r="F344" s="70"/>
      <c r="G344" s="71"/>
      <c r="H344" s="72"/>
      <c r="I344" s="64"/>
      <c r="J344" s="64"/>
      <c r="K344" s="64"/>
      <c r="L344" s="64"/>
      <c r="M344" s="64"/>
      <c r="N344" s="64"/>
      <c r="O344" s="64"/>
      <c r="P344" s="64"/>
      <c r="Q344" s="64"/>
      <c r="R344" s="64"/>
      <c r="S344" s="64"/>
      <c r="T344" s="64"/>
      <c r="U344" s="64"/>
      <c r="V344" s="64"/>
      <c r="W344" s="64"/>
      <c r="X344" s="64"/>
      <c r="Y344" s="64"/>
      <c r="Z344" s="64"/>
      <c r="AA344" s="64"/>
      <c r="AB344" s="64"/>
      <c r="AC344" s="64"/>
      <c r="AD344" s="64"/>
      <c r="AE344" s="64"/>
      <c r="AF344" s="64"/>
      <c r="AG344" s="64"/>
    </row>
    <row r="345" spans="1:33">
      <c r="A345" s="64"/>
      <c r="B345" s="64"/>
      <c r="C345" s="64"/>
      <c r="D345" s="64"/>
      <c r="E345" s="64"/>
      <c r="F345" s="70"/>
      <c r="G345" s="71"/>
      <c r="H345" s="72"/>
      <c r="I345" s="64"/>
      <c r="J345" s="64"/>
      <c r="K345" s="64"/>
      <c r="L345" s="64"/>
      <c r="M345" s="64"/>
      <c r="N345" s="64"/>
      <c r="O345" s="64"/>
      <c r="P345" s="64"/>
      <c r="Q345" s="64"/>
      <c r="R345" s="64"/>
      <c r="S345" s="64"/>
      <c r="T345" s="64"/>
      <c r="U345" s="64"/>
      <c r="V345" s="64"/>
      <c r="W345" s="64"/>
      <c r="X345" s="64"/>
      <c r="Y345" s="64"/>
      <c r="Z345" s="64"/>
      <c r="AA345" s="64"/>
      <c r="AB345" s="64"/>
      <c r="AC345" s="64"/>
      <c r="AD345" s="64"/>
      <c r="AE345" s="64"/>
      <c r="AF345" s="64"/>
      <c r="AG345" s="64"/>
    </row>
    <row r="346" spans="1:33">
      <c r="A346" s="64"/>
      <c r="B346" s="64"/>
      <c r="C346" s="64"/>
      <c r="D346" s="64"/>
      <c r="E346" s="64"/>
      <c r="F346" s="70"/>
      <c r="G346" s="71"/>
      <c r="H346" s="72"/>
      <c r="I346" s="64"/>
      <c r="J346" s="64"/>
      <c r="K346" s="64"/>
      <c r="L346" s="64"/>
      <c r="M346" s="64"/>
      <c r="N346" s="64"/>
      <c r="O346" s="64"/>
      <c r="P346" s="64"/>
      <c r="Q346" s="64"/>
      <c r="R346" s="64"/>
      <c r="S346" s="64"/>
      <c r="T346" s="64"/>
      <c r="U346" s="64"/>
      <c r="V346" s="64"/>
      <c r="W346" s="64"/>
      <c r="X346" s="64"/>
      <c r="Y346" s="64"/>
      <c r="Z346" s="64"/>
      <c r="AA346" s="64"/>
      <c r="AB346" s="64"/>
      <c r="AC346" s="64"/>
      <c r="AD346" s="64"/>
      <c r="AE346" s="64"/>
      <c r="AF346" s="64"/>
      <c r="AG346" s="64"/>
    </row>
    <row r="347" spans="1:33">
      <c r="A347" s="64"/>
      <c r="B347" s="64"/>
      <c r="C347" s="64"/>
      <c r="D347" s="64"/>
      <c r="E347" s="64"/>
      <c r="F347" s="70"/>
      <c r="G347" s="71"/>
      <c r="H347" s="72"/>
      <c r="I347" s="64"/>
      <c r="J347" s="64"/>
      <c r="K347" s="64"/>
      <c r="L347" s="64"/>
      <c r="M347" s="64"/>
      <c r="N347" s="64"/>
      <c r="O347" s="64"/>
      <c r="P347" s="64"/>
      <c r="Q347" s="64"/>
      <c r="R347" s="64"/>
      <c r="S347" s="64"/>
      <c r="T347" s="64"/>
      <c r="U347" s="64"/>
      <c r="V347" s="64"/>
      <c r="W347" s="64"/>
      <c r="X347" s="64"/>
      <c r="Y347" s="64"/>
      <c r="Z347" s="64"/>
      <c r="AA347" s="64"/>
      <c r="AB347" s="64"/>
      <c r="AC347" s="64"/>
      <c r="AD347" s="64"/>
      <c r="AE347" s="64"/>
      <c r="AF347" s="64"/>
      <c r="AG347" s="64"/>
    </row>
    <row r="348" spans="1:33">
      <c r="A348" s="64"/>
      <c r="B348" s="64"/>
      <c r="C348" s="64"/>
      <c r="D348" s="64"/>
      <c r="E348" s="64"/>
      <c r="F348" s="70"/>
      <c r="G348" s="71"/>
      <c r="H348" s="72"/>
      <c r="I348" s="64"/>
      <c r="J348" s="64"/>
      <c r="K348" s="64"/>
      <c r="L348" s="64"/>
      <c r="M348" s="64"/>
      <c r="N348" s="64"/>
      <c r="O348" s="64"/>
      <c r="P348" s="64"/>
      <c r="Q348" s="64"/>
      <c r="R348" s="64"/>
      <c r="S348" s="64"/>
      <c r="T348" s="64"/>
      <c r="U348" s="64"/>
      <c r="V348" s="64"/>
      <c r="W348" s="64"/>
      <c r="X348" s="64"/>
      <c r="Y348" s="64"/>
      <c r="Z348" s="64"/>
      <c r="AA348" s="64"/>
      <c r="AB348" s="64"/>
      <c r="AC348" s="64"/>
      <c r="AD348" s="64"/>
      <c r="AE348" s="64"/>
      <c r="AF348" s="64"/>
      <c r="AG348" s="64"/>
    </row>
    <row r="349" spans="1:33">
      <c r="A349" s="64"/>
      <c r="B349" s="64"/>
      <c r="C349" s="64"/>
      <c r="D349" s="64"/>
      <c r="E349" s="64"/>
      <c r="F349" s="70"/>
      <c r="G349" s="71"/>
      <c r="H349" s="72"/>
      <c r="I349" s="64"/>
      <c r="J349" s="64"/>
      <c r="K349" s="64"/>
      <c r="L349" s="64"/>
      <c r="M349" s="64"/>
      <c r="N349" s="64"/>
      <c r="O349" s="64"/>
      <c r="P349" s="64"/>
      <c r="Q349" s="64"/>
      <c r="R349" s="64"/>
      <c r="S349" s="64"/>
      <c r="T349" s="64"/>
      <c r="U349" s="64"/>
      <c r="V349" s="64"/>
      <c r="W349" s="64"/>
      <c r="X349" s="64"/>
      <c r="Y349" s="64"/>
      <c r="Z349" s="64"/>
      <c r="AA349" s="64"/>
      <c r="AB349" s="64"/>
      <c r="AC349" s="64"/>
      <c r="AD349" s="64"/>
      <c r="AE349" s="64"/>
      <c r="AF349" s="64"/>
      <c r="AG349" s="64"/>
    </row>
    <row r="350" spans="1:33">
      <c r="A350" s="64"/>
      <c r="B350" s="64"/>
      <c r="C350" s="64"/>
      <c r="D350" s="64"/>
      <c r="E350" s="64"/>
      <c r="F350" s="70"/>
      <c r="G350" s="71"/>
      <c r="H350" s="72"/>
      <c r="I350" s="64"/>
      <c r="J350" s="64"/>
      <c r="K350" s="64"/>
      <c r="L350" s="64"/>
      <c r="M350" s="64"/>
      <c r="N350" s="64"/>
      <c r="O350" s="64"/>
      <c r="P350" s="64"/>
      <c r="Q350" s="64"/>
      <c r="R350" s="64"/>
      <c r="S350" s="64"/>
      <c r="T350" s="64"/>
      <c r="U350" s="64"/>
      <c r="V350" s="64"/>
      <c r="W350" s="64"/>
      <c r="X350" s="64"/>
      <c r="Y350" s="64"/>
      <c r="Z350" s="64"/>
      <c r="AA350" s="64"/>
      <c r="AB350" s="64"/>
      <c r="AC350" s="64"/>
      <c r="AD350" s="64"/>
      <c r="AE350" s="64"/>
      <c r="AF350" s="64"/>
      <c r="AG350" s="64"/>
    </row>
    <row r="351" spans="1:33">
      <c r="A351" s="64"/>
      <c r="B351" s="64"/>
      <c r="C351" s="64"/>
      <c r="D351" s="64"/>
      <c r="E351" s="64"/>
      <c r="F351" s="70"/>
      <c r="G351" s="71"/>
      <c r="H351" s="72"/>
      <c r="I351" s="64"/>
      <c r="J351" s="64"/>
      <c r="K351" s="64"/>
      <c r="L351" s="64"/>
      <c r="M351" s="64"/>
      <c r="N351" s="64"/>
      <c r="O351" s="64"/>
      <c r="P351" s="64"/>
      <c r="Q351" s="64"/>
      <c r="R351" s="64"/>
      <c r="S351" s="64"/>
      <c r="T351" s="64"/>
      <c r="U351" s="64"/>
      <c r="V351" s="64"/>
      <c r="W351" s="64"/>
      <c r="X351" s="64"/>
      <c r="Y351" s="64"/>
      <c r="Z351" s="64"/>
      <c r="AA351" s="64"/>
      <c r="AB351" s="64"/>
      <c r="AC351" s="64"/>
      <c r="AD351" s="64"/>
      <c r="AE351" s="64"/>
      <c r="AF351" s="64"/>
      <c r="AG351" s="64"/>
    </row>
    <row r="352" spans="1:33">
      <c r="A352" s="64"/>
      <c r="B352" s="64"/>
      <c r="C352" s="64"/>
      <c r="D352" s="64"/>
      <c r="E352" s="64"/>
      <c r="F352" s="70"/>
      <c r="G352" s="71"/>
      <c r="H352" s="72"/>
      <c r="I352" s="64"/>
      <c r="J352" s="64"/>
      <c r="K352" s="64"/>
      <c r="L352" s="64"/>
      <c r="M352" s="64"/>
      <c r="N352" s="64"/>
      <c r="O352" s="64"/>
      <c r="P352" s="64"/>
      <c r="Q352" s="64"/>
      <c r="R352" s="64"/>
      <c r="S352" s="64"/>
      <c r="T352" s="64"/>
      <c r="U352" s="64"/>
      <c r="V352" s="64"/>
      <c r="W352" s="64"/>
      <c r="X352" s="64"/>
      <c r="Y352" s="64"/>
      <c r="Z352" s="64"/>
      <c r="AA352" s="64"/>
      <c r="AB352" s="64"/>
      <c r="AC352" s="64"/>
      <c r="AD352" s="64"/>
      <c r="AE352" s="64"/>
      <c r="AF352" s="64"/>
      <c r="AG352" s="64"/>
    </row>
    <row r="353" spans="1:33">
      <c r="A353" s="64"/>
      <c r="B353" s="64"/>
      <c r="C353" s="64"/>
      <c r="D353" s="64"/>
      <c r="E353" s="64"/>
      <c r="F353" s="70"/>
      <c r="G353" s="71"/>
      <c r="H353" s="72"/>
      <c r="I353" s="64"/>
      <c r="J353" s="64"/>
      <c r="K353" s="64"/>
      <c r="L353" s="64"/>
      <c r="M353" s="64"/>
      <c r="N353" s="64"/>
      <c r="O353" s="64"/>
      <c r="P353" s="64"/>
      <c r="Q353" s="64"/>
      <c r="R353" s="64"/>
      <c r="S353" s="64"/>
      <c r="T353" s="64"/>
      <c r="U353" s="64"/>
      <c r="V353" s="64"/>
      <c r="W353" s="64"/>
      <c r="X353" s="64"/>
      <c r="Y353" s="64"/>
      <c r="Z353" s="64"/>
      <c r="AA353" s="64"/>
      <c r="AB353" s="64"/>
      <c r="AC353" s="64"/>
      <c r="AD353" s="64"/>
      <c r="AE353" s="64"/>
      <c r="AF353" s="64"/>
      <c r="AG353" s="64"/>
    </row>
    <row r="354" spans="1:33">
      <c r="A354" s="64"/>
      <c r="B354" s="64"/>
      <c r="C354" s="64"/>
      <c r="D354" s="64"/>
      <c r="E354" s="64"/>
      <c r="F354" s="70"/>
      <c r="G354" s="71"/>
      <c r="H354" s="72"/>
      <c r="I354" s="64"/>
      <c r="J354" s="64"/>
      <c r="K354" s="64"/>
      <c r="L354" s="64"/>
      <c r="M354" s="64"/>
      <c r="N354" s="64"/>
      <c r="O354" s="64"/>
      <c r="P354" s="64"/>
      <c r="Q354" s="64"/>
      <c r="R354" s="64"/>
      <c r="S354" s="64"/>
      <c r="T354" s="64"/>
      <c r="U354" s="64"/>
      <c r="V354" s="64"/>
      <c r="W354" s="64"/>
      <c r="X354" s="64"/>
      <c r="Y354" s="64"/>
      <c r="Z354" s="64"/>
      <c r="AA354" s="64"/>
      <c r="AB354" s="64"/>
      <c r="AC354" s="64"/>
      <c r="AD354" s="64"/>
      <c r="AE354" s="64"/>
      <c r="AF354" s="64"/>
      <c r="AG354" s="64"/>
    </row>
    <row r="355" spans="1:33">
      <c r="A355" s="64"/>
      <c r="B355" s="64"/>
      <c r="C355" s="64"/>
      <c r="D355" s="64"/>
      <c r="E355" s="64"/>
      <c r="F355" s="70"/>
      <c r="G355" s="71"/>
      <c r="H355" s="72"/>
      <c r="I355" s="64"/>
      <c r="J355" s="64"/>
      <c r="K355" s="64"/>
      <c r="L355" s="64"/>
      <c r="M355" s="64"/>
      <c r="N355" s="64"/>
      <c r="O355" s="64"/>
      <c r="P355" s="64"/>
      <c r="Q355" s="64"/>
      <c r="R355" s="64"/>
      <c r="S355" s="64"/>
      <c r="T355" s="64"/>
      <c r="U355" s="64"/>
      <c r="V355" s="64"/>
      <c r="W355" s="64"/>
      <c r="X355" s="64"/>
      <c r="Y355" s="64"/>
      <c r="Z355" s="64"/>
      <c r="AA355" s="64"/>
      <c r="AB355" s="64"/>
      <c r="AC355" s="64"/>
      <c r="AD355" s="64"/>
      <c r="AE355" s="64"/>
      <c r="AF355" s="64"/>
      <c r="AG355" s="64"/>
    </row>
    <row r="356" spans="1:33">
      <c r="A356" s="64"/>
      <c r="B356" s="64"/>
      <c r="C356" s="64"/>
      <c r="D356" s="64"/>
      <c r="E356" s="64"/>
      <c r="F356" s="70"/>
      <c r="G356" s="71"/>
      <c r="H356" s="72"/>
      <c r="I356" s="64"/>
      <c r="J356" s="64"/>
      <c r="K356" s="64"/>
      <c r="L356" s="64"/>
      <c r="M356" s="64"/>
      <c r="N356" s="64"/>
      <c r="O356" s="64"/>
      <c r="P356" s="64"/>
      <c r="Q356" s="64"/>
      <c r="R356" s="64"/>
      <c r="S356" s="64"/>
      <c r="T356" s="64"/>
      <c r="U356" s="64"/>
      <c r="V356" s="64"/>
      <c r="W356" s="64"/>
      <c r="X356" s="64"/>
      <c r="Y356" s="64"/>
      <c r="Z356" s="64"/>
      <c r="AA356" s="64"/>
      <c r="AB356" s="64"/>
      <c r="AC356" s="64"/>
      <c r="AD356" s="64"/>
      <c r="AE356" s="64"/>
      <c r="AF356" s="64"/>
      <c r="AG356" s="64"/>
    </row>
    <row r="357" spans="1:33">
      <c r="A357" s="64"/>
      <c r="B357" s="64"/>
      <c r="C357" s="64"/>
      <c r="D357" s="64"/>
      <c r="E357" s="64"/>
      <c r="F357" s="70"/>
      <c r="G357" s="71"/>
      <c r="H357" s="72"/>
      <c r="I357" s="64"/>
      <c r="J357" s="64"/>
      <c r="K357" s="64"/>
      <c r="L357" s="64"/>
      <c r="M357" s="64"/>
      <c r="N357" s="64"/>
      <c r="O357" s="64"/>
      <c r="P357" s="64"/>
      <c r="Q357" s="64"/>
      <c r="R357" s="64"/>
      <c r="S357" s="64"/>
      <c r="T357" s="64"/>
      <c r="U357" s="64"/>
      <c r="V357" s="64"/>
      <c r="W357" s="64"/>
      <c r="X357" s="64"/>
      <c r="Y357" s="64"/>
      <c r="Z357" s="64"/>
      <c r="AA357" s="64"/>
      <c r="AB357" s="64"/>
      <c r="AC357" s="64"/>
      <c r="AD357" s="64"/>
      <c r="AE357" s="64"/>
      <c r="AF357" s="64"/>
      <c r="AG357" s="64"/>
    </row>
    <row r="358" spans="1:33">
      <c r="A358" s="64"/>
      <c r="B358" s="64"/>
      <c r="C358" s="64"/>
      <c r="D358" s="64"/>
      <c r="E358" s="64"/>
      <c r="F358" s="70"/>
      <c r="G358" s="71"/>
      <c r="H358" s="72"/>
      <c r="I358" s="64"/>
      <c r="J358" s="64"/>
      <c r="K358" s="64"/>
      <c r="L358" s="64"/>
      <c r="M358" s="64"/>
      <c r="N358" s="64"/>
      <c r="O358" s="64"/>
      <c r="P358" s="64"/>
      <c r="Q358" s="64"/>
      <c r="R358" s="64"/>
      <c r="S358" s="64"/>
      <c r="T358" s="64"/>
      <c r="U358" s="64"/>
      <c r="V358" s="64"/>
      <c r="W358" s="64"/>
      <c r="X358" s="64"/>
      <c r="Y358" s="64"/>
      <c r="Z358" s="64"/>
      <c r="AA358" s="64"/>
      <c r="AB358" s="64"/>
      <c r="AC358" s="64"/>
      <c r="AD358" s="64"/>
      <c r="AE358" s="64"/>
      <c r="AF358" s="64"/>
      <c r="AG358" s="64"/>
    </row>
    <row r="359" spans="1:33">
      <c r="A359" s="64"/>
      <c r="B359" s="64"/>
      <c r="C359" s="64"/>
      <c r="D359" s="64"/>
      <c r="E359" s="64"/>
      <c r="F359" s="70"/>
      <c r="G359" s="71"/>
      <c r="H359" s="72"/>
      <c r="I359" s="64"/>
      <c r="J359" s="64"/>
      <c r="K359" s="64"/>
      <c r="L359" s="64"/>
      <c r="M359" s="64"/>
      <c r="N359" s="64"/>
      <c r="O359" s="64"/>
      <c r="P359" s="64"/>
      <c r="Q359" s="64"/>
      <c r="R359" s="64"/>
      <c r="S359" s="64"/>
      <c r="T359" s="64"/>
      <c r="U359" s="64"/>
      <c r="V359" s="64"/>
      <c r="W359" s="64"/>
      <c r="X359" s="64"/>
      <c r="Y359" s="64"/>
      <c r="Z359" s="64"/>
      <c r="AA359" s="64"/>
      <c r="AB359" s="64"/>
      <c r="AC359" s="64"/>
      <c r="AD359" s="64"/>
      <c r="AE359" s="64"/>
      <c r="AF359" s="64"/>
      <c r="AG359" s="64"/>
    </row>
    <row r="360" spans="1:33">
      <c r="A360" s="64"/>
      <c r="B360" s="64"/>
      <c r="C360" s="64"/>
      <c r="D360" s="64"/>
      <c r="E360" s="64"/>
      <c r="F360" s="70"/>
      <c r="G360" s="71"/>
      <c r="H360" s="72"/>
      <c r="I360" s="64"/>
      <c r="J360" s="64"/>
      <c r="K360" s="64"/>
      <c r="L360" s="64"/>
      <c r="M360" s="64"/>
      <c r="N360" s="64"/>
      <c r="O360" s="64"/>
      <c r="P360" s="64"/>
      <c r="Q360" s="64"/>
      <c r="R360" s="64"/>
      <c r="S360" s="64"/>
      <c r="T360" s="64"/>
      <c r="U360" s="64"/>
      <c r="V360" s="64"/>
      <c r="W360" s="64"/>
      <c r="X360" s="64"/>
      <c r="Y360" s="64"/>
      <c r="Z360" s="64"/>
      <c r="AA360" s="64"/>
      <c r="AB360" s="64"/>
      <c r="AC360" s="64"/>
      <c r="AD360" s="64"/>
      <c r="AE360" s="64"/>
      <c r="AF360" s="64"/>
      <c r="AG360" s="64"/>
    </row>
    <row r="361" spans="1:33">
      <c r="A361" s="64"/>
      <c r="B361" s="64"/>
      <c r="C361" s="64"/>
      <c r="D361" s="64"/>
      <c r="E361" s="64"/>
      <c r="F361" s="70"/>
      <c r="G361" s="71"/>
      <c r="H361" s="72"/>
      <c r="I361" s="64"/>
      <c r="J361" s="64"/>
      <c r="K361" s="64"/>
      <c r="L361" s="64"/>
      <c r="M361" s="64"/>
      <c r="N361" s="64"/>
      <c r="O361" s="64"/>
      <c r="P361" s="64"/>
      <c r="Q361" s="64"/>
      <c r="R361" s="64"/>
      <c r="S361" s="64"/>
      <c r="T361" s="64"/>
      <c r="U361" s="64"/>
      <c r="V361" s="64"/>
      <c r="W361" s="64"/>
      <c r="X361" s="64"/>
      <c r="Y361" s="64"/>
      <c r="Z361" s="64"/>
      <c r="AA361" s="64"/>
      <c r="AB361" s="64"/>
      <c r="AC361" s="64"/>
      <c r="AD361" s="64"/>
      <c r="AE361" s="64"/>
      <c r="AF361" s="64"/>
      <c r="AG361" s="64"/>
    </row>
    <row r="362" spans="1:33">
      <c r="A362" s="64"/>
      <c r="B362" s="64"/>
      <c r="C362" s="64"/>
      <c r="D362" s="64"/>
      <c r="E362" s="64"/>
      <c r="F362" s="70"/>
      <c r="G362" s="71"/>
      <c r="H362" s="72"/>
      <c r="I362" s="64"/>
      <c r="J362" s="64"/>
      <c r="K362" s="64"/>
      <c r="L362" s="64"/>
      <c r="M362" s="64"/>
      <c r="N362" s="64"/>
      <c r="O362" s="64"/>
      <c r="P362" s="64"/>
      <c r="Q362" s="64"/>
      <c r="R362" s="64"/>
      <c r="S362" s="64"/>
      <c r="T362" s="64"/>
      <c r="U362" s="64"/>
      <c r="V362" s="64"/>
      <c r="W362" s="64"/>
      <c r="X362" s="64"/>
      <c r="Y362" s="64"/>
      <c r="Z362" s="64"/>
      <c r="AA362" s="64"/>
      <c r="AB362" s="64"/>
      <c r="AC362" s="64"/>
      <c r="AD362" s="64"/>
      <c r="AE362" s="64"/>
      <c r="AF362" s="64"/>
      <c r="AG362" s="64"/>
    </row>
    <row r="363" spans="1:33">
      <c r="A363" s="64"/>
      <c r="B363" s="64"/>
      <c r="C363" s="64"/>
      <c r="D363" s="64"/>
      <c r="E363" s="64"/>
      <c r="F363" s="70"/>
      <c r="G363" s="71"/>
      <c r="H363" s="72"/>
      <c r="I363" s="64"/>
      <c r="J363" s="64"/>
      <c r="K363" s="64"/>
      <c r="L363" s="64"/>
      <c r="M363" s="64"/>
      <c r="N363" s="64"/>
      <c r="O363" s="64"/>
      <c r="P363" s="64"/>
      <c r="Q363" s="64"/>
      <c r="R363" s="64"/>
      <c r="S363" s="64"/>
      <c r="T363" s="64"/>
      <c r="U363" s="64"/>
      <c r="V363" s="64"/>
      <c r="W363" s="64"/>
      <c r="X363" s="64"/>
      <c r="Y363" s="64"/>
      <c r="Z363" s="64"/>
      <c r="AA363" s="64"/>
      <c r="AB363" s="64"/>
      <c r="AC363" s="64"/>
      <c r="AD363" s="64"/>
      <c r="AE363" s="64"/>
      <c r="AF363" s="64"/>
      <c r="AG363" s="64"/>
    </row>
    <row r="364" spans="1:33">
      <c r="A364" s="64"/>
      <c r="B364" s="64"/>
      <c r="C364" s="64"/>
      <c r="D364" s="64"/>
      <c r="E364" s="64"/>
      <c r="F364" s="70"/>
      <c r="G364" s="71"/>
      <c r="H364" s="72"/>
      <c r="I364" s="64"/>
      <c r="J364" s="64"/>
      <c r="K364" s="64"/>
      <c r="L364" s="64"/>
      <c r="M364" s="64"/>
      <c r="N364" s="64"/>
      <c r="O364" s="64"/>
      <c r="P364" s="64"/>
      <c r="Q364" s="64"/>
      <c r="R364" s="64"/>
      <c r="S364" s="64"/>
      <c r="T364" s="64"/>
      <c r="U364" s="64"/>
      <c r="V364" s="64"/>
      <c r="W364" s="64"/>
      <c r="X364" s="64"/>
      <c r="Y364" s="64"/>
      <c r="Z364" s="64"/>
      <c r="AA364" s="64"/>
      <c r="AB364" s="64"/>
      <c r="AC364" s="64"/>
      <c r="AD364" s="64"/>
      <c r="AE364" s="64"/>
      <c r="AF364" s="64"/>
      <c r="AG364" s="64"/>
    </row>
    <row r="365" spans="1:33">
      <c r="A365" s="64"/>
      <c r="B365" s="64"/>
      <c r="C365" s="64"/>
      <c r="D365" s="64"/>
      <c r="E365" s="64"/>
      <c r="F365" s="70"/>
      <c r="G365" s="71"/>
      <c r="H365" s="72"/>
      <c r="I365" s="64"/>
      <c r="J365" s="64"/>
      <c r="K365" s="64"/>
      <c r="L365" s="64"/>
      <c r="M365" s="64"/>
      <c r="N365" s="64"/>
      <c r="O365" s="64"/>
      <c r="P365" s="64"/>
      <c r="Q365" s="64"/>
      <c r="R365" s="64"/>
      <c r="S365" s="64"/>
      <c r="T365" s="64"/>
      <c r="U365" s="64"/>
      <c r="V365" s="64"/>
      <c r="W365" s="64"/>
      <c r="X365" s="64"/>
      <c r="Y365" s="64"/>
      <c r="Z365" s="64"/>
      <c r="AA365" s="64"/>
      <c r="AB365" s="64"/>
      <c r="AC365" s="64"/>
      <c r="AD365" s="64"/>
      <c r="AE365" s="64"/>
      <c r="AF365" s="64"/>
      <c r="AG365" s="64"/>
    </row>
    <row r="366" spans="1:33">
      <c r="A366" s="64"/>
      <c r="B366" s="64"/>
      <c r="C366" s="64"/>
      <c r="D366" s="64"/>
      <c r="E366" s="64"/>
      <c r="F366" s="70"/>
      <c r="G366" s="71"/>
      <c r="H366" s="72"/>
      <c r="I366" s="64"/>
      <c r="J366" s="64"/>
      <c r="K366" s="64"/>
      <c r="L366" s="64"/>
      <c r="M366" s="64"/>
      <c r="N366" s="64"/>
      <c r="O366" s="64"/>
      <c r="P366" s="64"/>
      <c r="Q366" s="64"/>
      <c r="R366" s="64"/>
      <c r="S366" s="64"/>
      <c r="T366" s="64"/>
      <c r="U366" s="64"/>
      <c r="V366" s="64"/>
      <c r="W366" s="64"/>
      <c r="X366" s="64"/>
      <c r="Y366" s="64"/>
      <c r="Z366" s="64"/>
      <c r="AA366" s="64"/>
      <c r="AB366" s="64"/>
      <c r="AC366" s="64"/>
      <c r="AD366" s="64"/>
      <c r="AE366" s="64"/>
      <c r="AF366" s="64"/>
      <c r="AG366" s="64"/>
    </row>
    <row r="367" spans="1:33">
      <c r="A367" s="64"/>
      <c r="B367" s="64"/>
      <c r="C367" s="64"/>
      <c r="D367" s="64"/>
      <c r="E367" s="64"/>
      <c r="F367" s="70"/>
      <c r="G367" s="71"/>
      <c r="H367" s="72"/>
      <c r="I367" s="64"/>
      <c r="J367" s="64"/>
      <c r="K367" s="64"/>
      <c r="L367" s="64"/>
      <c r="M367" s="64"/>
      <c r="N367" s="64"/>
      <c r="O367" s="64"/>
      <c r="P367" s="64"/>
      <c r="Q367" s="64"/>
      <c r="R367" s="64"/>
      <c r="S367" s="64"/>
      <c r="T367" s="64"/>
      <c r="U367" s="64"/>
      <c r="V367" s="64"/>
      <c r="W367" s="64"/>
      <c r="X367" s="64"/>
      <c r="Y367" s="64"/>
      <c r="Z367" s="64"/>
      <c r="AA367" s="64"/>
      <c r="AB367" s="64"/>
      <c r="AC367" s="64"/>
      <c r="AD367" s="64"/>
      <c r="AE367" s="64"/>
      <c r="AF367" s="64"/>
      <c r="AG367" s="64"/>
    </row>
    <row r="368" spans="1:33">
      <c r="A368" s="64"/>
      <c r="B368" s="64"/>
      <c r="C368" s="64"/>
      <c r="D368" s="64"/>
      <c r="E368" s="64"/>
      <c r="F368" s="70"/>
      <c r="G368" s="71"/>
      <c r="H368" s="72"/>
      <c r="I368" s="64"/>
      <c r="J368" s="64"/>
      <c r="K368" s="64"/>
      <c r="L368" s="64"/>
      <c r="M368" s="64"/>
      <c r="N368" s="64"/>
      <c r="O368" s="64"/>
      <c r="P368" s="64"/>
      <c r="Q368" s="64"/>
      <c r="R368" s="64"/>
      <c r="S368" s="64"/>
      <c r="T368" s="64"/>
      <c r="U368" s="64"/>
      <c r="V368" s="64"/>
      <c r="W368" s="64"/>
      <c r="X368" s="64"/>
      <c r="Y368" s="64"/>
      <c r="Z368" s="64"/>
      <c r="AA368" s="64"/>
      <c r="AB368" s="64"/>
      <c r="AC368" s="64"/>
      <c r="AD368" s="64"/>
      <c r="AE368" s="64"/>
      <c r="AF368" s="64"/>
      <c r="AG368" s="64"/>
    </row>
    <row r="369" spans="1:33">
      <c r="A369" s="64"/>
      <c r="B369" s="64"/>
      <c r="C369" s="64"/>
      <c r="D369" s="64"/>
      <c r="E369" s="64"/>
      <c r="F369" s="70"/>
      <c r="G369" s="71"/>
      <c r="H369" s="72"/>
      <c r="I369" s="64"/>
      <c r="J369" s="64"/>
      <c r="K369" s="64"/>
      <c r="L369" s="64"/>
      <c r="M369" s="64"/>
      <c r="N369" s="64"/>
      <c r="O369" s="64"/>
      <c r="P369" s="64"/>
      <c r="Q369" s="64"/>
      <c r="R369" s="64"/>
      <c r="S369" s="64"/>
      <c r="T369" s="64"/>
      <c r="U369" s="64"/>
      <c r="V369" s="64"/>
      <c r="W369" s="64"/>
      <c r="X369" s="64"/>
      <c r="Y369" s="64"/>
      <c r="Z369" s="64"/>
      <c r="AA369" s="64"/>
      <c r="AB369" s="64"/>
      <c r="AC369" s="64"/>
      <c r="AD369" s="64"/>
      <c r="AE369" s="64"/>
      <c r="AF369" s="64"/>
      <c r="AG369" s="64"/>
    </row>
    <row r="370" spans="1:33">
      <c r="A370" s="64"/>
      <c r="B370" s="64"/>
      <c r="C370" s="64"/>
      <c r="D370" s="64"/>
      <c r="E370" s="64"/>
      <c r="F370" s="70"/>
      <c r="G370" s="71"/>
      <c r="H370" s="72"/>
      <c r="I370" s="64"/>
      <c r="J370" s="64"/>
      <c r="K370" s="64"/>
      <c r="L370" s="64"/>
      <c r="M370" s="64"/>
      <c r="N370" s="64"/>
      <c r="O370" s="64"/>
      <c r="P370" s="64"/>
      <c r="Q370" s="64"/>
      <c r="R370" s="64"/>
      <c r="S370" s="64"/>
      <c r="T370" s="64"/>
      <c r="U370" s="64"/>
      <c r="V370" s="64"/>
      <c r="W370" s="64"/>
      <c r="X370" s="64"/>
      <c r="Y370" s="64"/>
      <c r="Z370" s="64"/>
      <c r="AA370" s="64"/>
      <c r="AB370" s="64"/>
      <c r="AC370" s="64"/>
      <c r="AD370" s="64"/>
      <c r="AE370" s="64"/>
      <c r="AF370" s="64"/>
      <c r="AG370" s="64"/>
    </row>
    <row r="371" spans="1:33">
      <c r="A371" s="64"/>
      <c r="B371" s="64"/>
      <c r="C371" s="64"/>
      <c r="D371" s="64"/>
      <c r="E371" s="64"/>
      <c r="F371" s="70"/>
      <c r="G371" s="71"/>
      <c r="H371" s="72"/>
      <c r="I371" s="64"/>
      <c r="J371" s="64"/>
      <c r="K371" s="64"/>
      <c r="L371" s="64"/>
      <c r="M371" s="64"/>
      <c r="N371" s="64"/>
      <c r="O371" s="64"/>
      <c r="P371" s="64"/>
      <c r="Q371" s="64"/>
      <c r="R371" s="64"/>
      <c r="S371" s="64"/>
      <c r="T371" s="64"/>
      <c r="U371" s="64"/>
      <c r="V371" s="64"/>
      <c r="W371" s="64"/>
      <c r="X371" s="64"/>
      <c r="Y371" s="64"/>
      <c r="Z371" s="64"/>
      <c r="AA371" s="64"/>
      <c r="AB371" s="64"/>
      <c r="AC371" s="64"/>
      <c r="AD371" s="64"/>
      <c r="AE371" s="64"/>
      <c r="AF371" s="64"/>
      <c r="AG371" s="64"/>
    </row>
    <row r="372" spans="1:33">
      <c r="A372" s="64"/>
      <c r="B372" s="64"/>
      <c r="C372" s="64"/>
      <c r="D372" s="64"/>
      <c r="E372" s="64"/>
      <c r="F372" s="70"/>
      <c r="G372" s="71"/>
      <c r="H372" s="72"/>
      <c r="I372" s="64"/>
      <c r="J372" s="64"/>
      <c r="K372" s="64"/>
      <c r="L372" s="64"/>
      <c r="M372" s="64"/>
      <c r="N372" s="64"/>
      <c r="O372" s="64"/>
      <c r="P372" s="64"/>
      <c r="Q372" s="64"/>
      <c r="R372" s="64"/>
      <c r="S372" s="64"/>
      <c r="T372" s="64"/>
      <c r="U372" s="64"/>
      <c r="V372" s="64"/>
      <c r="W372" s="64"/>
      <c r="X372" s="64"/>
      <c r="Y372" s="64"/>
      <c r="Z372" s="64"/>
      <c r="AA372" s="64"/>
      <c r="AB372" s="64"/>
      <c r="AC372" s="64"/>
      <c r="AD372" s="64"/>
      <c r="AE372" s="64"/>
      <c r="AF372" s="64"/>
      <c r="AG372" s="64"/>
    </row>
    <row r="373" spans="1:33">
      <c r="A373" s="64"/>
      <c r="B373" s="64"/>
      <c r="C373" s="64"/>
      <c r="D373" s="64"/>
      <c r="E373" s="64"/>
      <c r="F373" s="70"/>
      <c r="G373" s="71"/>
      <c r="H373" s="72"/>
      <c r="I373" s="64"/>
      <c r="J373" s="64"/>
      <c r="K373" s="64"/>
      <c r="L373" s="64"/>
      <c r="M373" s="64"/>
      <c r="N373" s="64"/>
      <c r="O373" s="64"/>
      <c r="P373" s="64"/>
      <c r="Q373" s="64"/>
      <c r="R373" s="64"/>
      <c r="S373" s="64"/>
      <c r="T373" s="64"/>
      <c r="U373" s="64"/>
      <c r="V373" s="64"/>
      <c r="W373" s="64"/>
      <c r="X373" s="64"/>
      <c r="Y373" s="64"/>
      <c r="Z373" s="64"/>
      <c r="AA373" s="64"/>
      <c r="AB373" s="64"/>
      <c r="AC373" s="64"/>
      <c r="AD373" s="64"/>
      <c r="AE373" s="64"/>
      <c r="AF373" s="64"/>
      <c r="AG373" s="64"/>
    </row>
    <row r="374" spans="1:33">
      <c r="A374" s="64"/>
      <c r="B374" s="64"/>
      <c r="C374" s="64"/>
      <c r="D374" s="64"/>
      <c r="E374" s="64"/>
      <c r="F374" s="70"/>
      <c r="G374" s="71"/>
      <c r="H374" s="72"/>
      <c r="I374" s="64"/>
      <c r="J374" s="64"/>
      <c r="K374" s="64"/>
      <c r="L374" s="64"/>
      <c r="M374" s="64"/>
      <c r="N374" s="64"/>
      <c r="O374" s="64"/>
      <c r="P374" s="64"/>
      <c r="Q374" s="64"/>
      <c r="R374" s="64"/>
      <c r="S374" s="64"/>
      <c r="T374" s="64"/>
      <c r="U374" s="64"/>
      <c r="V374" s="64"/>
      <c r="W374" s="64"/>
      <c r="X374" s="64"/>
      <c r="Y374" s="64"/>
      <c r="Z374" s="64"/>
      <c r="AA374" s="64"/>
      <c r="AB374" s="64"/>
      <c r="AC374" s="64"/>
      <c r="AD374" s="64"/>
      <c r="AE374" s="64"/>
      <c r="AF374" s="64"/>
      <c r="AG374" s="64"/>
    </row>
    <row r="375" spans="1:33">
      <c r="A375" s="64"/>
      <c r="B375" s="64"/>
      <c r="C375" s="64"/>
      <c r="D375" s="64"/>
      <c r="E375" s="64"/>
      <c r="F375" s="70"/>
      <c r="G375" s="71"/>
      <c r="H375" s="72"/>
      <c r="I375" s="64"/>
      <c r="J375" s="64"/>
      <c r="K375" s="64"/>
      <c r="L375" s="64"/>
      <c r="M375" s="64"/>
      <c r="N375" s="64"/>
      <c r="O375" s="64"/>
      <c r="P375" s="64"/>
      <c r="Q375" s="64"/>
      <c r="R375" s="64"/>
      <c r="S375" s="64"/>
      <c r="T375" s="64"/>
      <c r="U375" s="64"/>
      <c r="V375" s="64"/>
      <c r="W375" s="64"/>
      <c r="X375" s="64"/>
      <c r="Y375" s="64"/>
      <c r="Z375" s="64"/>
      <c r="AA375" s="64"/>
      <c r="AB375" s="64"/>
      <c r="AC375" s="64"/>
      <c r="AD375" s="64"/>
      <c r="AE375" s="64"/>
      <c r="AF375" s="64"/>
      <c r="AG375" s="64"/>
    </row>
    <row r="376" spans="1:33">
      <c r="A376" s="64"/>
      <c r="B376" s="64"/>
      <c r="C376" s="64"/>
      <c r="D376" s="64"/>
      <c r="E376" s="64"/>
      <c r="F376" s="70"/>
      <c r="G376" s="71"/>
      <c r="H376" s="72"/>
      <c r="I376" s="64"/>
      <c r="J376" s="64"/>
      <c r="K376" s="64"/>
      <c r="L376" s="64"/>
      <c r="M376" s="64"/>
      <c r="N376" s="64"/>
      <c r="O376" s="64"/>
      <c r="P376" s="64"/>
      <c r="Q376" s="64"/>
      <c r="R376" s="64"/>
      <c r="S376" s="64"/>
      <c r="T376" s="64"/>
      <c r="U376" s="64"/>
      <c r="V376" s="64"/>
      <c r="W376" s="64"/>
      <c r="X376" s="64"/>
      <c r="Y376" s="64"/>
      <c r="Z376" s="64"/>
      <c r="AA376" s="64"/>
      <c r="AB376" s="64"/>
      <c r="AC376" s="64"/>
      <c r="AD376" s="64"/>
      <c r="AE376" s="64"/>
      <c r="AF376" s="64"/>
      <c r="AG376" s="64"/>
    </row>
    <row r="377" spans="1:33">
      <c r="A377" s="64"/>
      <c r="B377" s="64"/>
      <c r="C377" s="64"/>
      <c r="D377" s="64"/>
      <c r="E377" s="64"/>
      <c r="F377" s="70"/>
      <c r="G377" s="71"/>
      <c r="H377" s="72"/>
      <c r="I377" s="64"/>
      <c r="J377" s="64"/>
      <c r="K377" s="64"/>
      <c r="L377" s="64"/>
      <c r="M377" s="64"/>
      <c r="N377" s="64"/>
      <c r="O377" s="64"/>
      <c r="P377" s="64"/>
      <c r="Q377" s="64"/>
      <c r="R377" s="64"/>
      <c r="S377" s="64"/>
      <c r="T377" s="64"/>
      <c r="U377" s="64"/>
      <c r="V377" s="64"/>
      <c r="W377" s="64"/>
      <c r="X377" s="64"/>
      <c r="Y377" s="64"/>
      <c r="Z377" s="64"/>
      <c r="AA377" s="64"/>
      <c r="AB377" s="64"/>
      <c r="AC377" s="64"/>
      <c r="AD377" s="64"/>
      <c r="AE377" s="64"/>
      <c r="AF377" s="64"/>
      <c r="AG377" s="64"/>
    </row>
    <row r="378" spans="1:33">
      <c r="A378" s="64"/>
      <c r="B378" s="64"/>
      <c r="C378" s="64"/>
      <c r="D378" s="64"/>
      <c r="E378" s="64"/>
      <c r="F378" s="70"/>
      <c r="G378" s="71"/>
      <c r="H378" s="72"/>
      <c r="I378" s="64"/>
      <c r="J378" s="64"/>
      <c r="K378" s="64"/>
      <c r="L378" s="64"/>
      <c r="M378" s="64"/>
      <c r="N378" s="64"/>
      <c r="O378" s="64"/>
      <c r="P378" s="64"/>
      <c r="Q378" s="64"/>
      <c r="R378" s="64"/>
      <c r="S378" s="64"/>
      <c r="T378" s="64"/>
      <c r="U378" s="64"/>
      <c r="V378" s="64"/>
      <c r="W378" s="64"/>
      <c r="X378" s="64"/>
      <c r="Y378" s="64"/>
      <c r="Z378" s="64"/>
      <c r="AA378" s="64"/>
      <c r="AB378" s="64"/>
      <c r="AC378" s="64"/>
      <c r="AD378" s="64"/>
      <c r="AE378" s="64"/>
      <c r="AF378" s="64"/>
      <c r="AG378" s="64"/>
    </row>
    <row r="379" spans="1:33">
      <c r="A379" s="64"/>
      <c r="B379" s="64"/>
      <c r="C379" s="64"/>
      <c r="D379" s="64"/>
      <c r="E379" s="64"/>
      <c r="F379" s="70"/>
      <c r="G379" s="71"/>
      <c r="H379" s="72"/>
      <c r="I379" s="64"/>
      <c r="J379" s="64"/>
      <c r="K379" s="64"/>
      <c r="L379" s="64"/>
      <c r="M379" s="64"/>
      <c r="N379" s="64"/>
      <c r="O379" s="64"/>
      <c r="P379" s="64"/>
      <c r="Q379" s="64"/>
      <c r="R379" s="64"/>
      <c r="S379" s="64"/>
      <c r="T379" s="64"/>
      <c r="U379" s="64"/>
      <c r="V379" s="64"/>
      <c r="W379" s="64"/>
      <c r="X379" s="64"/>
      <c r="Y379" s="64"/>
      <c r="Z379" s="64"/>
      <c r="AA379" s="64"/>
      <c r="AB379" s="64"/>
      <c r="AC379" s="64"/>
      <c r="AD379" s="64"/>
      <c r="AE379" s="64"/>
      <c r="AF379" s="64"/>
      <c r="AG379" s="64"/>
    </row>
    <row r="380" spans="1:33">
      <c r="A380" s="64"/>
      <c r="B380" s="64"/>
      <c r="C380" s="64"/>
      <c r="D380" s="64"/>
      <c r="E380" s="64"/>
      <c r="F380" s="70"/>
      <c r="G380" s="71"/>
      <c r="H380" s="72"/>
      <c r="I380" s="64"/>
      <c r="J380" s="64"/>
      <c r="K380" s="64"/>
      <c r="L380" s="64"/>
      <c r="M380" s="64"/>
      <c r="N380" s="64"/>
      <c r="O380" s="64"/>
      <c r="P380" s="64"/>
      <c r="Q380" s="64"/>
      <c r="R380" s="64"/>
      <c r="S380" s="64"/>
      <c r="T380" s="64"/>
      <c r="U380" s="64"/>
      <c r="V380" s="64"/>
      <c r="W380" s="64"/>
      <c r="X380" s="64"/>
      <c r="Y380" s="64"/>
      <c r="Z380" s="64"/>
      <c r="AA380" s="64"/>
      <c r="AB380" s="64"/>
      <c r="AC380" s="64"/>
      <c r="AD380" s="64"/>
      <c r="AE380" s="64"/>
      <c r="AF380" s="64"/>
      <c r="AG380" s="64"/>
    </row>
    <row r="381" spans="1:33">
      <c r="A381" s="64"/>
      <c r="B381" s="64"/>
      <c r="C381" s="64"/>
      <c r="D381" s="64"/>
      <c r="E381" s="64"/>
      <c r="F381" s="70"/>
      <c r="G381" s="71"/>
      <c r="H381" s="72"/>
      <c r="I381" s="64"/>
      <c r="J381" s="64"/>
      <c r="K381" s="64"/>
      <c r="L381" s="64"/>
      <c r="M381" s="64"/>
      <c r="N381" s="64"/>
      <c r="O381" s="64"/>
      <c r="P381" s="64"/>
      <c r="Q381" s="64"/>
      <c r="R381" s="64"/>
      <c r="S381" s="64"/>
      <c r="T381" s="64"/>
      <c r="U381" s="64"/>
      <c r="V381" s="64"/>
      <c r="W381" s="64"/>
      <c r="X381" s="64"/>
      <c r="Y381" s="64"/>
      <c r="Z381" s="64"/>
      <c r="AA381" s="64"/>
      <c r="AB381" s="64"/>
      <c r="AC381" s="64"/>
      <c r="AD381" s="64"/>
      <c r="AE381" s="64"/>
      <c r="AF381" s="64"/>
      <c r="AG381" s="64"/>
    </row>
    <row r="382" spans="1:33">
      <c r="A382" s="64"/>
      <c r="B382" s="64"/>
      <c r="C382" s="64"/>
      <c r="D382" s="64"/>
      <c r="E382" s="64"/>
      <c r="F382" s="70"/>
      <c r="G382" s="71"/>
      <c r="H382" s="72"/>
      <c r="I382" s="64"/>
      <c r="J382" s="64"/>
      <c r="K382" s="64"/>
      <c r="L382" s="64"/>
      <c r="M382" s="64"/>
      <c r="N382" s="64"/>
      <c r="O382" s="64"/>
      <c r="P382" s="64"/>
      <c r="Q382" s="64"/>
      <c r="R382" s="64"/>
      <c r="S382" s="64"/>
      <c r="T382" s="64"/>
      <c r="U382" s="64"/>
      <c r="V382" s="64"/>
      <c r="W382" s="64"/>
      <c r="X382" s="64"/>
      <c r="Y382" s="64"/>
      <c r="Z382" s="64"/>
      <c r="AA382" s="64"/>
      <c r="AB382" s="64"/>
      <c r="AC382" s="64"/>
      <c r="AD382" s="64"/>
      <c r="AE382" s="64"/>
      <c r="AF382" s="64"/>
      <c r="AG382" s="64"/>
    </row>
    <row r="383" spans="1:33">
      <c r="A383" s="64"/>
      <c r="B383" s="64"/>
      <c r="C383" s="64"/>
      <c r="D383" s="64"/>
      <c r="E383" s="64"/>
      <c r="F383" s="70"/>
      <c r="G383" s="71"/>
      <c r="H383" s="72"/>
      <c r="I383" s="64"/>
      <c r="J383" s="64"/>
      <c r="K383" s="64"/>
      <c r="L383" s="64"/>
      <c r="M383" s="64"/>
      <c r="N383" s="64"/>
      <c r="O383" s="64"/>
      <c r="P383" s="64"/>
      <c r="Q383" s="64"/>
      <c r="R383" s="64"/>
      <c r="S383" s="64"/>
      <c r="T383" s="64"/>
      <c r="U383" s="64"/>
      <c r="V383" s="64"/>
      <c r="W383" s="64"/>
      <c r="X383" s="64"/>
      <c r="Y383" s="64"/>
      <c r="Z383" s="64"/>
      <c r="AA383" s="64"/>
      <c r="AB383" s="64"/>
      <c r="AC383" s="64"/>
      <c r="AD383" s="64"/>
      <c r="AE383" s="64"/>
      <c r="AF383" s="64"/>
      <c r="AG383" s="64"/>
    </row>
    <row r="384" spans="1:33">
      <c r="A384" s="64"/>
      <c r="B384" s="64"/>
      <c r="C384" s="64"/>
      <c r="D384" s="64"/>
      <c r="E384" s="64"/>
      <c r="F384" s="70"/>
      <c r="G384" s="71"/>
      <c r="H384" s="72"/>
      <c r="I384" s="64"/>
      <c r="J384" s="64"/>
      <c r="K384" s="64"/>
      <c r="L384" s="64"/>
      <c r="M384" s="64"/>
      <c r="N384" s="64"/>
      <c r="O384" s="64"/>
      <c r="P384" s="64"/>
      <c r="Q384" s="64"/>
      <c r="R384" s="64"/>
      <c r="S384" s="64"/>
      <c r="T384" s="64"/>
      <c r="U384" s="64"/>
      <c r="V384" s="64"/>
      <c r="W384" s="64"/>
      <c r="X384" s="64"/>
      <c r="Y384" s="64"/>
      <c r="Z384" s="64"/>
      <c r="AA384" s="64"/>
      <c r="AB384" s="64"/>
      <c r="AC384" s="64"/>
      <c r="AD384" s="64"/>
      <c r="AE384" s="64"/>
      <c r="AF384" s="64"/>
      <c r="AG384" s="64"/>
    </row>
    <row r="385" spans="1:33">
      <c r="A385" s="64"/>
      <c r="B385" s="64"/>
      <c r="C385" s="64"/>
      <c r="D385" s="64"/>
      <c r="E385" s="64"/>
      <c r="F385" s="70"/>
      <c r="G385" s="71"/>
      <c r="H385" s="72"/>
      <c r="I385" s="64"/>
      <c r="J385" s="64"/>
      <c r="K385" s="64"/>
      <c r="L385" s="64"/>
      <c r="M385" s="64"/>
      <c r="N385" s="64"/>
      <c r="O385" s="64"/>
      <c r="P385" s="64"/>
      <c r="Q385" s="64"/>
      <c r="R385" s="64"/>
      <c r="S385" s="64"/>
      <c r="T385" s="64"/>
      <c r="U385" s="64"/>
      <c r="V385" s="64"/>
      <c r="W385" s="64"/>
      <c r="X385" s="64"/>
      <c r="Y385" s="64"/>
      <c r="Z385" s="64"/>
      <c r="AA385" s="64"/>
      <c r="AB385" s="64"/>
      <c r="AC385" s="64"/>
      <c r="AD385" s="64"/>
      <c r="AE385" s="64"/>
      <c r="AF385" s="64"/>
      <c r="AG385" s="64"/>
    </row>
    <row r="386" spans="1:33">
      <c r="A386" s="64"/>
      <c r="B386" s="64"/>
      <c r="C386" s="64"/>
      <c r="D386" s="64"/>
      <c r="E386" s="64"/>
      <c r="F386" s="70"/>
      <c r="G386" s="71"/>
      <c r="H386" s="72"/>
      <c r="I386" s="64"/>
      <c r="J386" s="64"/>
      <c r="K386" s="64"/>
      <c r="L386" s="64"/>
      <c r="M386" s="64"/>
      <c r="N386" s="64"/>
      <c r="O386" s="64"/>
      <c r="P386" s="64"/>
      <c r="Q386" s="64"/>
      <c r="R386" s="64"/>
      <c r="S386" s="64"/>
      <c r="T386" s="64"/>
      <c r="U386" s="64"/>
      <c r="V386" s="64"/>
      <c r="W386" s="64"/>
      <c r="X386" s="64"/>
      <c r="Y386" s="64"/>
      <c r="Z386" s="64"/>
      <c r="AA386" s="64"/>
      <c r="AB386" s="64"/>
      <c r="AC386" s="64"/>
      <c r="AD386" s="64"/>
      <c r="AE386" s="64"/>
      <c r="AF386" s="64"/>
      <c r="AG386" s="64"/>
    </row>
    <row r="387" spans="1:33">
      <c r="A387" s="64"/>
      <c r="B387" s="64"/>
      <c r="C387" s="64"/>
      <c r="D387" s="64"/>
      <c r="E387" s="64"/>
      <c r="F387" s="70"/>
      <c r="G387" s="71"/>
      <c r="H387" s="72"/>
      <c r="I387" s="64"/>
      <c r="J387" s="64"/>
      <c r="K387" s="64"/>
      <c r="L387" s="64"/>
      <c r="M387" s="64"/>
      <c r="N387" s="64"/>
      <c r="O387" s="64"/>
      <c r="P387" s="64"/>
      <c r="Q387" s="64"/>
      <c r="R387" s="64"/>
      <c r="S387" s="64"/>
      <c r="T387" s="64"/>
      <c r="U387" s="64"/>
      <c r="V387" s="64"/>
      <c r="W387" s="64"/>
      <c r="X387" s="64"/>
      <c r="Y387" s="64"/>
      <c r="Z387" s="64"/>
      <c r="AA387" s="64"/>
      <c r="AB387" s="64"/>
      <c r="AC387" s="64"/>
      <c r="AD387" s="64"/>
      <c r="AE387" s="64"/>
      <c r="AF387" s="64"/>
      <c r="AG387" s="64"/>
    </row>
    <row r="388" spans="1:33">
      <c r="A388" s="64"/>
      <c r="B388" s="64"/>
      <c r="C388" s="64"/>
      <c r="D388" s="64"/>
      <c r="E388" s="64"/>
      <c r="F388" s="70"/>
      <c r="G388" s="71"/>
      <c r="H388" s="72"/>
      <c r="I388" s="64"/>
      <c r="J388" s="64"/>
      <c r="K388" s="64"/>
      <c r="L388" s="64"/>
      <c r="M388" s="64"/>
      <c r="N388" s="64"/>
      <c r="O388" s="64"/>
      <c r="P388" s="64"/>
      <c r="Q388" s="64"/>
      <c r="R388" s="64"/>
      <c r="S388" s="64"/>
      <c r="T388" s="64"/>
      <c r="U388" s="64"/>
      <c r="V388" s="64"/>
      <c r="W388" s="64"/>
      <c r="X388" s="64"/>
      <c r="Y388" s="64"/>
      <c r="Z388" s="64"/>
      <c r="AA388" s="64"/>
      <c r="AB388" s="64"/>
      <c r="AC388" s="64"/>
      <c r="AD388" s="64"/>
      <c r="AE388" s="64"/>
      <c r="AF388" s="64"/>
      <c r="AG388" s="64"/>
    </row>
    <row r="389" spans="1:33">
      <c r="A389" s="64"/>
      <c r="B389" s="64"/>
      <c r="C389" s="64"/>
      <c r="D389" s="64"/>
      <c r="E389" s="64"/>
      <c r="F389" s="70"/>
      <c r="G389" s="71"/>
      <c r="H389" s="72"/>
      <c r="I389" s="64"/>
      <c r="J389" s="64"/>
      <c r="K389" s="64"/>
      <c r="L389" s="64"/>
      <c r="M389" s="64"/>
      <c r="N389" s="64"/>
      <c r="O389" s="64"/>
      <c r="P389" s="64"/>
      <c r="Q389" s="64"/>
      <c r="R389" s="64"/>
      <c r="S389" s="64"/>
      <c r="T389" s="64"/>
      <c r="U389" s="64"/>
      <c r="V389" s="64"/>
      <c r="W389" s="64"/>
      <c r="X389" s="64"/>
      <c r="Y389" s="64"/>
      <c r="Z389" s="64"/>
      <c r="AA389" s="64"/>
      <c r="AB389" s="64"/>
      <c r="AC389" s="64"/>
      <c r="AD389" s="64"/>
      <c r="AE389" s="64"/>
      <c r="AF389" s="64"/>
      <c r="AG389" s="64"/>
    </row>
    <row r="390" spans="1:33">
      <c r="A390" s="64"/>
      <c r="B390" s="64"/>
      <c r="C390" s="64"/>
      <c r="D390" s="64"/>
      <c r="E390" s="64"/>
      <c r="F390" s="70"/>
      <c r="G390" s="71"/>
      <c r="H390" s="72"/>
      <c r="I390" s="64"/>
      <c r="J390" s="64"/>
      <c r="K390" s="64"/>
      <c r="L390" s="64"/>
      <c r="M390" s="64"/>
      <c r="N390" s="64"/>
      <c r="O390" s="64"/>
      <c r="P390" s="64"/>
      <c r="Q390" s="64"/>
      <c r="R390" s="64"/>
      <c r="S390" s="64"/>
      <c r="T390" s="64"/>
      <c r="U390" s="64"/>
      <c r="V390" s="64"/>
      <c r="W390" s="64"/>
      <c r="X390" s="64"/>
      <c r="Y390" s="64"/>
      <c r="Z390" s="64"/>
      <c r="AA390" s="64"/>
      <c r="AB390" s="64"/>
      <c r="AC390" s="64"/>
      <c r="AD390" s="64"/>
      <c r="AE390" s="64"/>
      <c r="AF390" s="64"/>
      <c r="AG390" s="64"/>
    </row>
    <row r="391" spans="1:33">
      <c r="A391" s="64"/>
      <c r="B391" s="64"/>
      <c r="C391" s="64"/>
      <c r="D391" s="64"/>
      <c r="E391" s="64"/>
      <c r="F391" s="70"/>
      <c r="G391" s="71"/>
      <c r="H391" s="72"/>
      <c r="I391" s="64"/>
      <c r="J391" s="64"/>
      <c r="K391" s="64"/>
      <c r="L391" s="64"/>
      <c r="M391" s="64"/>
      <c r="N391" s="64"/>
      <c r="O391" s="64"/>
      <c r="P391" s="64"/>
      <c r="Q391" s="64"/>
      <c r="R391" s="64"/>
      <c r="S391" s="64"/>
      <c r="T391" s="64"/>
      <c r="U391" s="64"/>
      <c r="V391" s="64"/>
      <c r="W391" s="64"/>
      <c r="X391" s="64"/>
      <c r="Y391" s="64"/>
      <c r="Z391" s="64"/>
      <c r="AA391" s="64"/>
      <c r="AB391" s="64"/>
      <c r="AC391" s="64"/>
      <c r="AD391" s="64"/>
      <c r="AE391" s="64"/>
      <c r="AF391" s="64"/>
      <c r="AG391" s="64"/>
    </row>
    <row r="392" spans="1:33">
      <c r="A392" s="64"/>
      <c r="B392" s="64"/>
      <c r="C392" s="64"/>
      <c r="D392" s="64"/>
      <c r="E392" s="64"/>
      <c r="F392" s="70"/>
      <c r="G392" s="71"/>
      <c r="H392" s="72"/>
      <c r="I392" s="64"/>
      <c r="J392" s="64"/>
      <c r="K392" s="64"/>
      <c r="L392" s="64"/>
      <c r="M392" s="64"/>
      <c r="N392" s="64"/>
      <c r="O392" s="64"/>
      <c r="P392" s="64"/>
      <c r="Q392" s="64"/>
      <c r="R392" s="64"/>
      <c r="S392" s="64"/>
      <c r="T392" s="64"/>
      <c r="U392" s="64"/>
      <c r="V392" s="64"/>
      <c r="W392" s="64"/>
      <c r="X392" s="64"/>
      <c r="Y392" s="64"/>
      <c r="Z392" s="64"/>
      <c r="AA392" s="64"/>
      <c r="AB392" s="64"/>
      <c r="AC392" s="64"/>
      <c r="AD392" s="64"/>
      <c r="AE392" s="64"/>
      <c r="AF392" s="64"/>
      <c r="AG392" s="64"/>
    </row>
    <row r="393" spans="1:33">
      <c r="A393" s="64"/>
      <c r="B393" s="64"/>
      <c r="C393" s="64"/>
      <c r="D393" s="64"/>
      <c r="E393" s="64"/>
      <c r="F393" s="70"/>
      <c r="G393" s="71"/>
      <c r="H393" s="72"/>
      <c r="I393" s="64"/>
      <c r="J393" s="64"/>
      <c r="K393" s="64"/>
      <c r="L393" s="64"/>
      <c r="M393" s="64"/>
      <c r="N393" s="64"/>
      <c r="O393" s="64"/>
      <c r="P393" s="64"/>
      <c r="Q393" s="64"/>
      <c r="R393" s="64"/>
      <c r="S393" s="64"/>
      <c r="T393" s="64"/>
      <c r="U393" s="64"/>
      <c r="V393" s="64"/>
      <c r="W393" s="64"/>
      <c r="X393" s="64"/>
      <c r="Y393" s="64"/>
      <c r="Z393" s="64"/>
      <c r="AA393" s="64"/>
      <c r="AB393" s="64"/>
      <c r="AC393" s="64"/>
      <c r="AD393" s="64"/>
      <c r="AE393" s="64"/>
      <c r="AF393" s="64"/>
      <c r="AG393" s="64"/>
    </row>
    <row r="394" spans="1:33">
      <c r="A394" s="64"/>
      <c r="B394" s="64"/>
      <c r="C394" s="64"/>
      <c r="D394" s="64"/>
      <c r="E394" s="64"/>
      <c r="F394" s="70"/>
      <c r="G394" s="71"/>
      <c r="H394" s="72"/>
      <c r="I394" s="64"/>
      <c r="J394" s="64"/>
      <c r="K394" s="64"/>
      <c r="L394" s="64"/>
      <c r="M394" s="64"/>
      <c r="N394" s="64"/>
      <c r="O394" s="64"/>
      <c r="P394" s="64"/>
      <c r="Q394" s="64"/>
      <c r="R394" s="64"/>
      <c r="S394" s="64"/>
      <c r="T394" s="64"/>
      <c r="U394" s="64"/>
      <c r="V394" s="64"/>
      <c r="W394" s="64"/>
      <c r="X394" s="64"/>
      <c r="Y394" s="64"/>
      <c r="Z394" s="64"/>
      <c r="AA394" s="64"/>
      <c r="AB394" s="64"/>
      <c r="AC394" s="64"/>
      <c r="AD394" s="64"/>
      <c r="AE394" s="64"/>
      <c r="AF394" s="64"/>
      <c r="AG394" s="64"/>
    </row>
    <row r="395" spans="1:33">
      <c r="A395" s="64"/>
      <c r="B395" s="64"/>
      <c r="C395" s="64"/>
      <c r="D395" s="64"/>
      <c r="E395" s="64"/>
      <c r="F395" s="70"/>
      <c r="G395" s="71"/>
      <c r="H395" s="72"/>
      <c r="I395" s="64"/>
      <c r="J395" s="64"/>
      <c r="K395" s="64"/>
      <c r="L395" s="64"/>
      <c r="M395" s="64"/>
      <c r="N395" s="64"/>
      <c r="O395" s="64"/>
      <c r="P395" s="64"/>
      <c r="Q395" s="64"/>
      <c r="R395" s="64"/>
      <c r="S395" s="64"/>
      <c r="T395" s="64"/>
      <c r="U395" s="64"/>
      <c r="V395" s="64"/>
      <c r="W395" s="64"/>
      <c r="X395" s="64"/>
      <c r="Y395" s="64"/>
      <c r="Z395" s="64"/>
      <c r="AA395" s="64"/>
      <c r="AB395" s="64"/>
      <c r="AC395" s="64"/>
      <c r="AD395" s="64"/>
      <c r="AE395" s="64"/>
      <c r="AF395" s="64"/>
      <c r="AG395" s="64"/>
    </row>
    <row r="396" spans="1:33">
      <c r="A396" s="64"/>
      <c r="B396" s="64"/>
      <c r="C396" s="64"/>
      <c r="D396" s="64"/>
      <c r="E396" s="64"/>
      <c r="F396" s="70"/>
      <c r="G396" s="71"/>
      <c r="H396" s="72"/>
      <c r="I396" s="64"/>
      <c r="J396" s="64"/>
      <c r="K396" s="64"/>
      <c r="L396" s="64"/>
      <c r="M396" s="64"/>
      <c r="N396" s="64"/>
      <c r="O396" s="64"/>
      <c r="P396" s="64"/>
      <c r="Q396" s="64"/>
      <c r="R396" s="64"/>
      <c r="S396" s="64"/>
      <c r="T396" s="64"/>
      <c r="U396" s="64"/>
      <c r="V396" s="64"/>
      <c r="W396" s="64"/>
      <c r="X396" s="64"/>
      <c r="Y396" s="64"/>
      <c r="Z396" s="64"/>
      <c r="AA396" s="64"/>
      <c r="AB396" s="64"/>
      <c r="AC396" s="64"/>
      <c r="AD396" s="64"/>
      <c r="AE396" s="64"/>
      <c r="AF396" s="64"/>
      <c r="AG396" s="64"/>
    </row>
    <row r="397" spans="1:33">
      <c r="A397" s="64"/>
      <c r="B397" s="64"/>
      <c r="C397" s="64"/>
      <c r="D397" s="64"/>
      <c r="E397" s="64"/>
      <c r="F397" s="70"/>
      <c r="G397" s="71"/>
      <c r="H397" s="72"/>
      <c r="I397" s="64"/>
      <c r="J397" s="64"/>
      <c r="K397" s="64"/>
      <c r="L397" s="64"/>
      <c r="M397" s="64"/>
      <c r="N397" s="64"/>
      <c r="O397" s="64"/>
      <c r="P397" s="64"/>
      <c r="Q397" s="64"/>
      <c r="R397" s="64"/>
      <c r="S397" s="64"/>
      <c r="T397" s="64"/>
      <c r="U397" s="64"/>
      <c r="V397" s="64"/>
      <c r="W397" s="64"/>
      <c r="X397" s="64"/>
      <c r="Y397" s="64"/>
      <c r="Z397" s="64"/>
      <c r="AA397" s="64"/>
      <c r="AB397" s="64"/>
      <c r="AC397" s="64"/>
      <c r="AD397" s="64"/>
      <c r="AE397" s="64"/>
      <c r="AF397" s="64"/>
      <c r="AG397" s="64"/>
    </row>
    <row r="398" spans="1:33">
      <c r="A398" s="64"/>
      <c r="B398" s="64"/>
      <c r="C398" s="64"/>
      <c r="D398" s="64"/>
      <c r="E398" s="64"/>
      <c r="F398" s="70"/>
      <c r="G398" s="71"/>
      <c r="H398" s="72"/>
      <c r="I398" s="64"/>
      <c r="J398" s="64"/>
      <c r="K398" s="64"/>
      <c r="L398" s="64"/>
      <c r="M398" s="64"/>
      <c r="N398" s="64"/>
      <c r="O398" s="64"/>
      <c r="P398" s="64"/>
      <c r="Q398" s="64"/>
      <c r="R398" s="64"/>
      <c r="S398" s="64"/>
      <c r="T398" s="64"/>
      <c r="U398" s="64"/>
      <c r="V398" s="64"/>
      <c r="W398" s="64"/>
      <c r="X398" s="64"/>
      <c r="Y398" s="64"/>
      <c r="Z398" s="64"/>
      <c r="AA398" s="64"/>
      <c r="AB398" s="64"/>
      <c r="AC398" s="64"/>
      <c r="AD398" s="64"/>
      <c r="AE398" s="64"/>
      <c r="AF398" s="64"/>
      <c r="AG398" s="64"/>
    </row>
    <row r="399" spans="1:33">
      <c r="A399" s="64"/>
      <c r="B399" s="64"/>
      <c r="C399" s="64"/>
      <c r="D399" s="64"/>
      <c r="E399" s="64"/>
      <c r="F399" s="70"/>
      <c r="G399" s="71"/>
      <c r="H399" s="72"/>
      <c r="I399" s="64"/>
      <c r="J399" s="64"/>
      <c r="K399" s="64"/>
      <c r="L399" s="64"/>
      <c r="M399" s="64"/>
      <c r="N399" s="64"/>
      <c r="O399" s="64"/>
      <c r="P399" s="64"/>
      <c r="Q399" s="64"/>
      <c r="R399" s="64"/>
      <c r="S399" s="64"/>
      <c r="T399" s="64"/>
      <c r="U399" s="64"/>
      <c r="V399" s="64"/>
      <c r="W399" s="64"/>
      <c r="X399" s="64"/>
      <c r="Y399" s="64"/>
      <c r="Z399" s="64"/>
      <c r="AA399" s="64"/>
      <c r="AB399" s="64"/>
      <c r="AC399" s="64"/>
      <c r="AD399" s="64"/>
      <c r="AE399" s="64"/>
      <c r="AF399" s="64"/>
      <c r="AG399" s="64"/>
    </row>
    <row r="400" spans="1:33">
      <c r="A400" s="64"/>
      <c r="B400" s="64"/>
      <c r="C400" s="64"/>
      <c r="D400" s="64"/>
      <c r="E400" s="64"/>
      <c r="F400" s="70"/>
      <c r="G400" s="71"/>
      <c r="H400" s="72"/>
      <c r="I400" s="64"/>
      <c r="J400" s="64"/>
      <c r="K400" s="64"/>
      <c r="L400" s="64"/>
      <c r="M400" s="64"/>
      <c r="N400" s="64"/>
      <c r="O400" s="64"/>
      <c r="P400" s="64"/>
      <c r="Q400" s="64"/>
      <c r="R400" s="64"/>
      <c r="S400" s="64"/>
      <c r="T400" s="64"/>
      <c r="U400" s="64"/>
      <c r="V400" s="64"/>
      <c r="W400" s="64"/>
      <c r="X400" s="64"/>
      <c r="Y400" s="64"/>
      <c r="Z400" s="64"/>
      <c r="AA400" s="64"/>
      <c r="AB400" s="64"/>
      <c r="AC400" s="64"/>
      <c r="AD400" s="64"/>
      <c r="AE400" s="64"/>
      <c r="AF400" s="64"/>
      <c r="AG400" s="64"/>
    </row>
    <row r="401" spans="1:33">
      <c r="A401" s="64"/>
      <c r="B401" s="64"/>
      <c r="C401" s="64"/>
      <c r="D401" s="64"/>
      <c r="E401" s="64"/>
      <c r="F401" s="70"/>
      <c r="G401" s="71"/>
      <c r="H401" s="72"/>
      <c r="I401" s="64"/>
      <c r="J401" s="64"/>
      <c r="K401" s="64"/>
      <c r="L401" s="64"/>
      <c r="M401" s="64"/>
      <c r="N401" s="64"/>
      <c r="O401" s="64"/>
      <c r="P401" s="64"/>
      <c r="Q401" s="64"/>
      <c r="R401" s="64"/>
      <c r="S401" s="64"/>
      <c r="T401" s="64"/>
      <c r="U401" s="64"/>
      <c r="V401" s="64"/>
      <c r="W401" s="64"/>
      <c r="X401" s="64"/>
      <c r="Y401" s="64"/>
      <c r="Z401" s="64"/>
      <c r="AA401" s="64"/>
      <c r="AB401" s="64"/>
      <c r="AC401" s="64"/>
      <c r="AD401" s="64"/>
      <c r="AE401" s="64"/>
      <c r="AF401" s="64"/>
      <c r="AG401" s="64"/>
    </row>
    <row r="402" spans="1:33">
      <c r="A402" s="64"/>
      <c r="B402" s="64"/>
      <c r="C402" s="64"/>
      <c r="D402" s="64"/>
      <c r="E402" s="64"/>
      <c r="F402" s="70"/>
      <c r="G402" s="71"/>
      <c r="H402" s="72"/>
      <c r="I402" s="64"/>
      <c r="J402" s="64"/>
      <c r="K402" s="64"/>
      <c r="L402" s="64"/>
      <c r="M402" s="64"/>
      <c r="N402" s="64"/>
      <c r="O402" s="64"/>
      <c r="P402" s="64"/>
      <c r="Q402" s="64"/>
      <c r="R402" s="64"/>
      <c r="S402" s="64"/>
      <c r="T402" s="64"/>
      <c r="U402" s="64"/>
      <c r="V402" s="64"/>
      <c r="W402" s="64"/>
      <c r="X402" s="64"/>
      <c r="Y402" s="64"/>
      <c r="Z402" s="64"/>
      <c r="AA402" s="64"/>
      <c r="AB402" s="64"/>
      <c r="AC402" s="64"/>
      <c r="AD402" s="64"/>
      <c r="AE402" s="64"/>
      <c r="AF402" s="64"/>
      <c r="AG402" s="64"/>
    </row>
    <row r="403" spans="1:33">
      <c r="A403" s="64"/>
      <c r="B403" s="64"/>
      <c r="C403" s="64"/>
      <c r="D403" s="64"/>
      <c r="E403" s="64"/>
      <c r="F403" s="70"/>
      <c r="G403" s="71"/>
      <c r="H403" s="72"/>
      <c r="I403" s="64"/>
      <c r="J403" s="64"/>
      <c r="K403" s="64"/>
      <c r="L403" s="64"/>
      <c r="M403" s="64"/>
      <c r="N403" s="64"/>
      <c r="O403" s="64"/>
      <c r="P403" s="64"/>
      <c r="Q403" s="64"/>
      <c r="R403" s="64"/>
      <c r="S403" s="64"/>
      <c r="T403" s="64"/>
      <c r="U403" s="64"/>
      <c r="V403" s="64"/>
      <c r="W403" s="64"/>
      <c r="X403" s="64"/>
      <c r="Y403" s="64"/>
      <c r="Z403" s="64"/>
      <c r="AA403" s="64"/>
      <c r="AB403" s="64"/>
      <c r="AC403" s="64"/>
      <c r="AD403" s="64"/>
      <c r="AE403" s="64"/>
      <c r="AF403" s="64"/>
      <c r="AG403" s="64"/>
    </row>
    <row r="404" spans="1:33">
      <c r="A404" s="64"/>
      <c r="B404" s="64"/>
      <c r="C404" s="64"/>
      <c r="D404" s="64"/>
      <c r="E404" s="64"/>
      <c r="F404" s="70"/>
      <c r="G404" s="71"/>
      <c r="H404" s="72"/>
      <c r="I404" s="64"/>
      <c r="J404" s="64"/>
      <c r="K404" s="64"/>
      <c r="L404" s="64"/>
      <c r="M404" s="64"/>
      <c r="N404" s="64"/>
      <c r="O404" s="64"/>
      <c r="P404" s="64"/>
      <c r="Q404" s="64"/>
      <c r="R404" s="64"/>
      <c r="S404" s="64"/>
      <c r="T404" s="64"/>
      <c r="U404" s="64"/>
      <c r="V404" s="64"/>
      <c r="W404" s="64"/>
      <c r="X404" s="64"/>
      <c r="Y404" s="64"/>
      <c r="Z404" s="64"/>
      <c r="AA404" s="64"/>
      <c r="AB404" s="64"/>
      <c r="AC404" s="64"/>
      <c r="AD404" s="64"/>
      <c r="AE404" s="64"/>
      <c r="AF404" s="64"/>
      <c r="AG404" s="64"/>
    </row>
    <row r="405" spans="1:33">
      <c r="A405" s="64"/>
      <c r="B405" s="64"/>
      <c r="C405" s="64"/>
      <c r="D405" s="64"/>
      <c r="E405" s="64"/>
      <c r="F405" s="70"/>
      <c r="G405" s="71"/>
      <c r="H405" s="72"/>
      <c r="I405" s="64"/>
      <c r="J405" s="64"/>
      <c r="K405" s="64"/>
      <c r="L405" s="64"/>
      <c r="M405" s="64"/>
      <c r="N405" s="64"/>
      <c r="O405" s="64"/>
      <c r="P405" s="64"/>
      <c r="Q405" s="64"/>
      <c r="R405" s="64"/>
      <c r="S405" s="64"/>
      <c r="T405" s="64"/>
      <c r="U405" s="64"/>
      <c r="V405" s="64"/>
      <c r="W405" s="64"/>
      <c r="X405" s="64"/>
      <c r="Y405" s="64"/>
      <c r="Z405" s="64"/>
      <c r="AA405" s="64"/>
      <c r="AB405" s="64"/>
      <c r="AC405" s="64"/>
      <c r="AD405" s="64"/>
      <c r="AE405" s="64"/>
      <c r="AF405" s="64"/>
      <c r="AG405" s="64"/>
    </row>
    <row r="406" spans="1:33">
      <c r="A406" s="64"/>
      <c r="B406" s="64"/>
      <c r="C406" s="64"/>
      <c r="D406" s="64"/>
      <c r="E406" s="64"/>
      <c r="F406" s="70"/>
      <c r="G406" s="71"/>
      <c r="H406" s="72"/>
      <c r="I406" s="64"/>
      <c r="J406" s="64"/>
      <c r="K406" s="64"/>
      <c r="L406" s="64"/>
      <c r="M406" s="64"/>
      <c r="N406" s="64"/>
      <c r="O406" s="64"/>
      <c r="P406" s="64"/>
      <c r="Q406" s="64"/>
      <c r="R406" s="64"/>
      <c r="S406" s="64"/>
      <c r="T406" s="64"/>
      <c r="U406" s="64"/>
      <c r="V406" s="64"/>
      <c r="W406" s="64"/>
      <c r="X406" s="64"/>
      <c r="Y406" s="64"/>
      <c r="Z406" s="64"/>
      <c r="AA406" s="64"/>
      <c r="AB406" s="64"/>
      <c r="AC406" s="64"/>
      <c r="AD406" s="64"/>
      <c r="AE406" s="64"/>
      <c r="AF406" s="64"/>
      <c r="AG406" s="64"/>
    </row>
    <row r="407" spans="1:33">
      <c r="A407" s="64"/>
      <c r="B407" s="64"/>
      <c r="C407" s="64"/>
      <c r="D407" s="64"/>
      <c r="E407" s="64"/>
      <c r="F407" s="70"/>
      <c r="G407" s="71"/>
      <c r="H407" s="72"/>
      <c r="I407" s="64"/>
      <c r="J407" s="64"/>
      <c r="K407" s="64"/>
      <c r="L407" s="64"/>
      <c r="M407" s="64"/>
      <c r="N407" s="64"/>
      <c r="O407" s="64"/>
      <c r="P407" s="64"/>
      <c r="Q407" s="64"/>
      <c r="R407" s="64"/>
      <c r="S407" s="64"/>
      <c r="T407" s="64"/>
      <c r="U407" s="64"/>
      <c r="V407" s="64"/>
      <c r="W407" s="64"/>
      <c r="X407" s="64"/>
      <c r="Y407" s="64"/>
      <c r="Z407" s="64"/>
      <c r="AA407" s="64"/>
      <c r="AB407" s="64"/>
      <c r="AC407" s="64"/>
      <c r="AD407" s="64"/>
      <c r="AE407" s="64"/>
      <c r="AF407" s="64"/>
      <c r="AG407" s="64"/>
    </row>
    <row r="408" spans="1:33">
      <c r="A408" s="64"/>
      <c r="B408" s="64"/>
      <c r="C408" s="64"/>
      <c r="D408" s="64"/>
      <c r="E408" s="64"/>
      <c r="F408" s="70"/>
      <c r="G408" s="71"/>
      <c r="H408" s="72"/>
      <c r="I408" s="64"/>
      <c r="J408" s="64"/>
      <c r="K408" s="64"/>
      <c r="L408" s="64"/>
      <c r="M408" s="64"/>
      <c r="N408" s="64"/>
      <c r="O408" s="64"/>
      <c r="P408" s="64"/>
      <c r="Q408" s="64"/>
      <c r="R408" s="64"/>
      <c r="S408" s="64"/>
      <c r="T408" s="64"/>
      <c r="U408" s="64"/>
      <c r="V408" s="64"/>
      <c r="W408" s="64"/>
      <c r="X408" s="64"/>
      <c r="Y408" s="64"/>
      <c r="Z408" s="64"/>
      <c r="AA408" s="64"/>
      <c r="AB408" s="64"/>
      <c r="AC408" s="64"/>
      <c r="AD408" s="64"/>
      <c r="AE408" s="64"/>
      <c r="AF408" s="64"/>
      <c r="AG408" s="64"/>
    </row>
    <row r="409" spans="1:33">
      <c r="A409" s="64"/>
      <c r="B409" s="64"/>
      <c r="C409" s="64"/>
      <c r="D409" s="64"/>
      <c r="E409" s="64"/>
      <c r="F409" s="70"/>
      <c r="G409" s="71"/>
      <c r="H409" s="72"/>
      <c r="I409" s="64"/>
      <c r="J409" s="64"/>
      <c r="K409" s="64"/>
      <c r="L409" s="64"/>
      <c r="M409" s="64"/>
      <c r="N409" s="64"/>
      <c r="O409" s="64"/>
      <c r="P409" s="64"/>
      <c r="Q409" s="64"/>
      <c r="R409" s="64"/>
      <c r="S409" s="64"/>
      <c r="T409" s="64"/>
      <c r="U409" s="64"/>
      <c r="V409" s="64"/>
      <c r="W409" s="64"/>
      <c r="X409" s="64"/>
      <c r="Y409" s="64"/>
      <c r="Z409" s="64"/>
      <c r="AA409" s="64"/>
      <c r="AB409" s="64"/>
      <c r="AC409" s="64"/>
      <c r="AD409" s="64"/>
      <c r="AE409" s="64"/>
      <c r="AF409" s="64"/>
      <c r="AG409" s="64"/>
    </row>
    <row r="410" spans="1:33">
      <c r="A410" s="64"/>
      <c r="B410" s="64"/>
      <c r="C410" s="64"/>
      <c r="D410" s="64"/>
      <c r="E410" s="64"/>
      <c r="F410" s="70"/>
      <c r="G410" s="71"/>
      <c r="H410" s="72"/>
      <c r="I410" s="64"/>
      <c r="J410" s="64"/>
      <c r="K410" s="64"/>
      <c r="L410" s="64"/>
      <c r="M410" s="64"/>
      <c r="N410" s="64"/>
      <c r="O410" s="64"/>
      <c r="P410" s="64"/>
      <c r="Q410" s="64"/>
      <c r="R410" s="64"/>
      <c r="S410" s="64"/>
      <c r="T410" s="64"/>
      <c r="U410" s="64"/>
      <c r="V410" s="64"/>
      <c r="W410" s="64"/>
      <c r="X410" s="64"/>
      <c r="Y410" s="64"/>
      <c r="Z410" s="64"/>
      <c r="AA410" s="64"/>
      <c r="AB410" s="64"/>
      <c r="AC410" s="64"/>
      <c r="AD410" s="64"/>
      <c r="AE410" s="64"/>
      <c r="AF410" s="64"/>
      <c r="AG410" s="64"/>
    </row>
    <row r="411" spans="1:33">
      <c r="A411" s="64"/>
      <c r="B411" s="64"/>
      <c r="C411" s="64"/>
      <c r="D411" s="64"/>
      <c r="E411" s="64"/>
      <c r="F411" s="70"/>
      <c r="G411" s="71"/>
      <c r="H411" s="72"/>
      <c r="I411" s="64"/>
      <c r="J411" s="64"/>
      <c r="K411" s="64"/>
      <c r="L411" s="64"/>
      <c r="M411" s="64"/>
      <c r="N411" s="64"/>
      <c r="O411" s="64"/>
      <c r="P411" s="64"/>
      <c r="Q411" s="64"/>
      <c r="R411" s="64"/>
      <c r="S411" s="64"/>
      <c r="T411" s="64"/>
      <c r="U411" s="64"/>
      <c r="V411" s="64"/>
      <c r="W411" s="64"/>
      <c r="X411" s="64"/>
      <c r="Y411" s="64"/>
      <c r="Z411" s="64"/>
      <c r="AA411" s="64"/>
      <c r="AB411" s="64"/>
      <c r="AC411" s="64"/>
      <c r="AD411" s="64"/>
      <c r="AE411" s="64"/>
      <c r="AF411" s="64"/>
      <c r="AG411" s="64"/>
    </row>
    <row r="412" spans="1:33">
      <c r="A412" s="64"/>
      <c r="B412" s="64"/>
      <c r="C412" s="64"/>
      <c r="D412" s="64"/>
      <c r="E412" s="64"/>
      <c r="F412" s="70"/>
      <c r="G412" s="71"/>
      <c r="H412" s="72"/>
      <c r="I412" s="64"/>
      <c r="J412" s="64"/>
      <c r="K412" s="64"/>
      <c r="L412" s="64"/>
      <c r="M412" s="64"/>
      <c r="N412" s="64"/>
      <c r="O412" s="64"/>
      <c r="P412" s="64"/>
      <c r="Q412" s="64"/>
      <c r="R412" s="64"/>
      <c r="S412" s="64"/>
      <c r="T412" s="64"/>
      <c r="U412" s="64"/>
      <c r="V412" s="64"/>
      <c r="W412" s="64"/>
      <c r="X412" s="64"/>
      <c r="Y412" s="64"/>
      <c r="Z412" s="64"/>
      <c r="AA412" s="64"/>
      <c r="AB412" s="64"/>
      <c r="AC412" s="64"/>
      <c r="AD412" s="64"/>
      <c r="AE412" s="64"/>
      <c r="AF412" s="64"/>
      <c r="AG412" s="64"/>
    </row>
    <row r="413" spans="1:33">
      <c r="A413" s="64"/>
      <c r="B413" s="64"/>
      <c r="C413" s="64"/>
      <c r="D413" s="64"/>
      <c r="E413" s="64"/>
      <c r="F413" s="70"/>
      <c r="G413" s="71"/>
      <c r="H413" s="72"/>
      <c r="I413" s="64"/>
      <c r="J413" s="64"/>
      <c r="K413" s="64"/>
      <c r="L413" s="64"/>
      <c r="M413" s="64"/>
      <c r="N413" s="64"/>
      <c r="O413" s="64"/>
      <c r="P413" s="64"/>
      <c r="Q413" s="64"/>
      <c r="R413" s="64"/>
      <c r="S413" s="64"/>
      <c r="T413" s="64"/>
      <c r="U413" s="64"/>
      <c r="V413" s="64"/>
      <c r="W413" s="64"/>
      <c r="X413" s="64"/>
      <c r="Y413" s="64"/>
      <c r="Z413" s="64"/>
      <c r="AA413" s="64"/>
      <c r="AB413" s="64"/>
      <c r="AC413" s="64"/>
      <c r="AD413" s="64"/>
      <c r="AE413" s="64"/>
      <c r="AF413" s="64"/>
      <c r="AG413" s="64"/>
    </row>
    <row r="414" spans="1:33">
      <c r="A414" s="64"/>
      <c r="B414" s="64"/>
      <c r="C414" s="64"/>
      <c r="D414" s="64"/>
      <c r="E414" s="64"/>
      <c r="F414" s="70"/>
      <c r="G414" s="71"/>
      <c r="H414" s="72"/>
      <c r="I414" s="64"/>
      <c r="J414" s="64"/>
      <c r="K414" s="64"/>
      <c r="L414" s="64"/>
      <c r="M414" s="64"/>
      <c r="N414" s="64"/>
      <c r="O414" s="64"/>
      <c r="P414" s="64"/>
      <c r="Q414" s="64"/>
      <c r="R414" s="64"/>
      <c r="S414" s="64"/>
      <c r="T414" s="64"/>
      <c r="U414" s="64"/>
      <c r="V414" s="64"/>
      <c r="W414" s="64"/>
      <c r="X414" s="64"/>
      <c r="Y414" s="64"/>
      <c r="Z414" s="64"/>
      <c r="AA414" s="64"/>
      <c r="AB414" s="64"/>
      <c r="AC414" s="64"/>
      <c r="AD414" s="64"/>
      <c r="AE414" s="64"/>
      <c r="AF414" s="64"/>
      <c r="AG414" s="64"/>
    </row>
    <row r="415" spans="1:33">
      <c r="A415" s="64"/>
      <c r="B415" s="64"/>
      <c r="C415" s="64"/>
      <c r="D415" s="64"/>
      <c r="E415" s="64"/>
      <c r="F415" s="70"/>
      <c r="G415" s="71"/>
      <c r="H415" s="72"/>
      <c r="I415" s="64"/>
      <c r="J415" s="64"/>
      <c r="K415" s="64"/>
      <c r="L415" s="64"/>
      <c r="M415" s="64"/>
      <c r="N415" s="64"/>
      <c r="O415" s="64"/>
      <c r="P415" s="64"/>
      <c r="Q415" s="64"/>
      <c r="R415" s="64"/>
      <c r="S415" s="64"/>
      <c r="T415" s="64"/>
      <c r="U415" s="64"/>
      <c r="V415" s="64"/>
      <c r="W415" s="64"/>
      <c r="X415" s="64"/>
      <c r="Y415" s="64"/>
      <c r="Z415" s="64"/>
      <c r="AA415" s="64"/>
      <c r="AB415" s="64"/>
      <c r="AC415" s="64"/>
      <c r="AD415" s="64"/>
      <c r="AE415" s="64"/>
      <c r="AF415" s="64"/>
      <c r="AG415" s="64"/>
    </row>
    <row r="416" spans="1:33">
      <c r="A416" s="64"/>
      <c r="B416" s="64"/>
      <c r="C416" s="64"/>
      <c r="D416" s="64"/>
      <c r="E416" s="64"/>
      <c r="F416" s="70"/>
      <c r="G416" s="71"/>
      <c r="H416" s="72"/>
      <c r="I416" s="64"/>
      <c r="J416" s="64"/>
      <c r="K416" s="64"/>
      <c r="L416" s="64"/>
      <c r="M416" s="64"/>
      <c r="N416" s="64"/>
      <c r="O416" s="64"/>
      <c r="P416" s="64"/>
      <c r="Q416" s="64"/>
      <c r="R416" s="64"/>
      <c r="S416" s="64"/>
      <c r="T416" s="64"/>
      <c r="U416" s="64"/>
      <c r="V416" s="64"/>
      <c r="W416" s="64"/>
      <c r="X416" s="64"/>
      <c r="Y416" s="64"/>
      <c r="Z416" s="64"/>
      <c r="AA416" s="64"/>
      <c r="AB416" s="64"/>
      <c r="AC416" s="64"/>
      <c r="AD416" s="64"/>
      <c r="AE416" s="64"/>
      <c r="AF416" s="64"/>
      <c r="AG416" s="64"/>
    </row>
    <row r="417" spans="1:33">
      <c r="A417" s="64"/>
      <c r="B417" s="64"/>
      <c r="C417" s="64"/>
      <c r="D417" s="64"/>
      <c r="E417" s="64"/>
      <c r="F417" s="70"/>
      <c r="G417" s="71"/>
      <c r="H417" s="72"/>
      <c r="I417" s="64"/>
      <c r="J417" s="64"/>
      <c r="K417" s="64"/>
      <c r="L417" s="64"/>
      <c r="M417" s="64"/>
      <c r="N417" s="64"/>
      <c r="O417" s="64"/>
      <c r="P417" s="64"/>
      <c r="Q417" s="64"/>
      <c r="R417" s="64"/>
      <c r="S417" s="64"/>
      <c r="T417" s="64"/>
      <c r="U417" s="64"/>
      <c r="V417" s="64"/>
      <c r="W417" s="64"/>
      <c r="X417" s="64"/>
      <c r="Y417" s="64"/>
      <c r="Z417" s="64"/>
      <c r="AA417" s="64"/>
      <c r="AB417" s="64"/>
      <c r="AC417" s="64"/>
      <c r="AD417" s="64"/>
      <c r="AE417" s="64"/>
      <c r="AF417" s="64"/>
      <c r="AG417" s="64"/>
    </row>
    <row r="418" spans="1:33">
      <c r="A418" s="64"/>
      <c r="B418" s="64"/>
      <c r="C418" s="64"/>
      <c r="D418" s="64"/>
      <c r="E418" s="64"/>
      <c r="F418" s="70"/>
      <c r="G418" s="71"/>
      <c r="H418" s="72"/>
      <c r="I418" s="64"/>
      <c r="J418" s="64"/>
      <c r="K418" s="64"/>
      <c r="L418" s="64"/>
      <c r="M418" s="64"/>
      <c r="N418" s="64"/>
      <c r="O418" s="64"/>
      <c r="P418" s="64"/>
      <c r="Q418" s="64"/>
      <c r="R418" s="64"/>
      <c r="S418" s="64"/>
      <c r="T418" s="64"/>
      <c r="U418" s="64"/>
      <c r="V418" s="64"/>
      <c r="W418" s="64"/>
      <c r="X418" s="64"/>
      <c r="Y418" s="64"/>
      <c r="Z418" s="64"/>
      <c r="AA418" s="64"/>
      <c r="AB418" s="64"/>
      <c r="AC418" s="64"/>
      <c r="AD418" s="64"/>
      <c r="AE418" s="64"/>
      <c r="AF418" s="64"/>
      <c r="AG418" s="64"/>
    </row>
    <row r="419" spans="1:33">
      <c r="A419" s="64"/>
      <c r="B419" s="64"/>
      <c r="C419" s="64"/>
      <c r="D419" s="64"/>
      <c r="E419" s="64"/>
      <c r="F419" s="70"/>
      <c r="G419" s="71"/>
      <c r="H419" s="72"/>
      <c r="I419" s="64"/>
      <c r="J419" s="64"/>
      <c r="K419" s="64"/>
      <c r="L419" s="64"/>
      <c r="M419" s="64"/>
      <c r="N419" s="64"/>
      <c r="O419" s="64"/>
      <c r="P419" s="64"/>
      <c r="Q419" s="64"/>
      <c r="R419" s="64"/>
      <c r="S419" s="64"/>
      <c r="T419" s="64"/>
      <c r="U419" s="64"/>
      <c r="V419" s="64"/>
      <c r="W419" s="64"/>
      <c r="X419" s="64"/>
      <c r="Y419" s="64"/>
      <c r="Z419" s="64"/>
      <c r="AA419" s="64"/>
      <c r="AB419" s="64"/>
      <c r="AC419" s="64"/>
      <c r="AD419" s="64"/>
      <c r="AE419" s="64"/>
      <c r="AF419" s="64"/>
      <c r="AG419" s="64"/>
    </row>
    <row r="420" spans="1:33">
      <c r="A420" s="64"/>
      <c r="B420" s="64"/>
      <c r="C420" s="64"/>
      <c r="D420" s="64"/>
      <c r="E420" s="64"/>
      <c r="F420" s="70"/>
      <c r="G420" s="71"/>
      <c r="H420" s="72"/>
      <c r="I420" s="64"/>
      <c r="J420" s="64"/>
      <c r="K420" s="64"/>
      <c r="L420" s="64"/>
      <c r="M420" s="64"/>
      <c r="N420" s="64"/>
      <c r="O420" s="64"/>
      <c r="P420" s="64"/>
      <c r="Q420" s="64"/>
      <c r="R420" s="64"/>
      <c r="S420" s="64"/>
      <c r="T420" s="64"/>
      <c r="U420" s="64"/>
      <c r="V420" s="64"/>
      <c r="W420" s="64"/>
      <c r="X420" s="64"/>
      <c r="Y420" s="64"/>
      <c r="Z420" s="64"/>
      <c r="AA420" s="64"/>
      <c r="AB420" s="64"/>
      <c r="AC420" s="64"/>
      <c r="AD420" s="64"/>
      <c r="AE420" s="64"/>
      <c r="AF420" s="64"/>
      <c r="AG420" s="64"/>
    </row>
    <row r="421" spans="1:33">
      <c r="A421" s="64"/>
      <c r="B421" s="64"/>
      <c r="C421" s="64"/>
      <c r="D421" s="64"/>
      <c r="E421" s="64"/>
      <c r="F421" s="70"/>
      <c r="G421" s="71"/>
      <c r="H421" s="72"/>
      <c r="I421" s="64"/>
      <c r="J421" s="64"/>
      <c r="K421" s="64"/>
      <c r="L421" s="64"/>
      <c r="M421" s="64"/>
      <c r="N421" s="64"/>
      <c r="O421" s="64"/>
      <c r="P421" s="64"/>
      <c r="Q421" s="64"/>
      <c r="R421" s="64"/>
      <c r="S421" s="64"/>
      <c r="T421" s="64"/>
      <c r="U421" s="64"/>
      <c r="V421" s="64"/>
      <c r="W421" s="64"/>
      <c r="X421" s="64"/>
      <c r="Y421" s="64"/>
      <c r="Z421" s="64"/>
      <c r="AA421" s="64"/>
      <c r="AB421" s="64"/>
      <c r="AC421" s="64"/>
      <c r="AD421" s="64"/>
      <c r="AE421" s="64"/>
      <c r="AF421" s="64"/>
      <c r="AG421" s="64"/>
    </row>
    <row r="422" spans="1:33">
      <c r="A422" s="64"/>
      <c r="B422" s="64"/>
      <c r="C422" s="64"/>
      <c r="D422" s="64"/>
      <c r="E422" s="64"/>
      <c r="F422" s="70"/>
      <c r="G422" s="71"/>
      <c r="H422" s="72"/>
      <c r="I422" s="64"/>
      <c r="J422" s="64"/>
      <c r="K422" s="64"/>
      <c r="L422" s="64"/>
      <c r="M422" s="64"/>
      <c r="N422" s="64"/>
      <c r="O422" s="64"/>
      <c r="P422" s="64"/>
      <c r="Q422" s="64"/>
      <c r="R422" s="64"/>
      <c r="S422" s="64"/>
      <c r="T422" s="64"/>
      <c r="U422" s="64"/>
      <c r="V422" s="64"/>
      <c r="W422" s="64"/>
      <c r="X422" s="64"/>
      <c r="Y422" s="64"/>
      <c r="Z422" s="64"/>
      <c r="AA422" s="64"/>
      <c r="AB422" s="64"/>
      <c r="AC422" s="64"/>
      <c r="AD422" s="64"/>
      <c r="AE422" s="64"/>
      <c r="AF422" s="64"/>
      <c r="AG422" s="64"/>
    </row>
    <row r="423" spans="1:33">
      <c r="A423" s="64"/>
      <c r="B423" s="64"/>
      <c r="C423" s="64"/>
      <c r="D423" s="64"/>
      <c r="E423" s="64"/>
      <c r="F423" s="70"/>
      <c r="G423" s="71"/>
      <c r="H423" s="72"/>
      <c r="I423" s="64"/>
      <c r="J423" s="64"/>
      <c r="K423" s="64"/>
      <c r="L423" s="64"/>
      <c r="M423" s="64"/>
      <c r="N423" s="64"/>
      <c r="O423" s="64"/>
      <c r="P423" s="64"/>
      <c r="Q423" s="64"/>
      <c r="R423" s="64"/>
      <c r="S423" s="64"/>
      <c r="T423" s="64"/>
      <c r="U423" s="64"/>
      <c r="V423" s="64"/>
      <c r="W423" s="64"/>
      <c r="X423" s="64"/>
      <c r="Y423" s="64"/>
      <c r="Z423" s="64"/>
      <c r="AA423" s="64"/>
      <c r="AB423" s="64"/>
      <c r="AC423" s="64"/>
      <c r="AD423" s="64"/>
      <c r="AE423" s="64"/>
      <c r="AF423" s="64"/>
      <c r="AG423" s="64"/>
    </row>
    <row r="424" spans="1:33">
      <c r="A424" s="64"/>
      <c r="B424" s="64"/>
      <c r="C424" s="64"/>
      <c r="D424" s="64"/>
      <c r="E424" s="64"/>
      <c r="F424" s="70"/>
      <c r="G424" s="71"/>
      <c r="H424" s="72"/>
      <c r="I424" s="64"/>
      <c r="J424" s="64"/>
      <c r="K424" s="64"/>
      <c r="L424" s="64"/>
      <c r="M424" s="64"/>
      <c r="N424" s="64"/>
      <c r="O424" s="64"/>
      <c r="P424" s="64"/>
      <c r="Q424" s="64"/>
      <c r="R424" s="64"/>
      <c r="S424" s="64"/>
      <c r="T424" s="64"/>
      <c r="U424" s="64"/>
      <c r="V424" s="64"/>
      <c r="W424" s="64"/>
      <c r="X424" s="64"/>
      <c r="Y424" s="64"/>
      <c r="Z424" s="64"/>
      <c r="AA424" s="64"/>
      <c r="AB424" s="64"/>
      <c r="AC424" s="64"/>
      <c r="AD424" s="64"/>
      <c r="AE424" s="64"/>
      <c r="AF424" s="64"/>
      <c r="AG424" s="64"/>
    </row>
    <row r="425" spans="1:33">
      <c r="A425" s="64"/>
      <c r="B425" s="64"/>
      <c r="C425" s="64"/>
      <c r="D425" s="64"/>
      <c r="E425" s="64"/>
      <c r="F425" s="70"/>
      <c r="G425" s="71"/>
      <c r="H425" s="72"/>
      <c r="I425" s="64"/>
      <c r="J425" s="64"/>
      <c r="K425" s="64"/>
      <c r="L425" s="64"/>
      <c r="M425" s="64"/>
      <c r="N425" s="64"/>
      <c r="O425" s="64"/>
      <c r="P425" s="64"/>
      <c r="Q425" s="64"/>
      <c r="R425" s="64"/>
      <c r="S425" s="64"/>
      <c r="T425" s="64"/>
      <c r="U425" s="64"/>
      <c r="V425" s="64"/>
      <c r="W425" s="64"/>
      <c r="X425" s="64"/>
      <c r="Y425" s="64"/>
      <c r="Z425" s="64"/>
      <c r="AA425" s="64"/>
      <c r="AB425" s="64"/>
      <c r="AC425" s="64"/>
      <c r="AD425" s="64"/>
      <c r="AE425" s="64"/>
      <c r="AF425" s="64"/>
      <c r="AG425" s="64"/>
    </row>
    <row r="426" spans="1:33">
      <c r="A426" s="64"/>
      <c r="B426" s="64"/>
      <c r="C426" s="64"/>
      <c r="D426" s="64"/>
      <c r="E426" s="64"/>
      <c r="F426" s="70"/>
      <c r="G426" s="71"/>
      <c r="H426" s="72"/>
      <c r="I426" s="64"/>
      <c r="J426" s="64"/>
      <c r="K426" s="64"/>
      <c r="L426" s="64"/>
      <c r="M426" s="64"/>
      <c r="N426" s="64"/>
      <c r="O426" s="64"/>
      <c r="P426" s="64"/>
      <c r="Q426" s="64"/>
      <c r="R426" s="64"/>
      <c r="S426" s="64"/>
      <c r="T426" s="64"/>
      <c r="U426" s="64"/>
      <c r="V426" s="64"/>
      <c r="W426" s="64"/>
      <c r="X426" s="64"/>
      <c r="Y426" s="64"/>
      <c r="Z426" s="64"/>
      <c r="AA426" s="64"/>
      <c r="AB426" s="64"/>
      <c r="AC426" s="64"/>
      <c r="AD426" s="64"/>
      <c r="AE426" s="64"/>
      <c r="AF426" s="64"/>
      <c r="AG426" s="64"/>
    </row>
    <row r="427" spans="1:33">
      <c r="A427" s="64"/>
      <c r="B427" s="64"/>
      <c r="C427" s="64"/>
      <c r="D427" s="64"/>
      <c r="E427" s="64"/>
      <c r="F427" s="70"/>
      <c r="G427" s="71"/>
      <c r="H427" s="72"/>
      <c r="I427" s="64"/>
      <c r="J427" s="64"/>
      <c r="K427" s="64"/>
      <c r="L427" s="64"/>
      <c r="M427" s="64"/>
      <c r="N427" s="64"/>
      <c r="O427" s="64"/>
      <c r="P427" s="64"/>
      <c r="Q427" s="64"/>
      <c r="R427" s="64"/>
      <c r="S427" s="64"/>
      <c r="T427" s="64"/>
      <c r="U427" s="64"/>
      <c r="V427" s="64"/>
      <c r="W427" s="64"/>
      <c r="X427" s="64"/>
      <c r="Y427" s="64"/>
      <c r="Z427" s="64"/>
      <c r="AA427" s="64"/>
      <c r="AB427" s="64"/>
      <c r="AC427" s="64"/>
      <c r="AD427" s="64"/>
      <c r="AE427" s="64"/>
      <c r="AF427" s="64"/>
      <c r="AG427" s="64"/>
    </row>
    <row r="428" spans="1:33">
      <c r="A428" s="64"/>
      <c r="B428" s="64"/>
      <c r="C428" s="64"/>
      <c r="D428" s="64"/>
      <c r="E428" s="64"/>
      <c r="F428" s="70"/>
      <c r="G428" s="71"/>
      <c r="H428" s="72"/>
      <c r="I428" s="64"/>
      <c r="J428" s="64"/>
      <c r="K428" s="64"/>
      <c r="L428" s="64"/>
      <c r="M428" s="64"/>
      <c r="N428" s="64"/>
      <c r="O428" s="64"/>
      <c r="P428" s="64"/>
      <c r="Q428" s="64"/>
      <c r="R428" s="64"/>
      <c r="S428" s="64"/>
      <c r="T428" s="64"/>
      <c r="U428" s="64"/>
      <c r="V428" s="64"/>
      <c r="W428" s="64"/>
      <c r="X428" s="64"/>
      <c r="Y428" s="64"/>
      <c r="Z428" s="64"/>
      <c r="AA428" s="64"/>
      <c r="AB428" s="64"/>
      <c r="AC428" s="64"/>
      <c r="AD428" s="64"/>
      <c r="AE428" s="64"/>
      <c r="AF428" s="64"/>
      <c r="AG428" s="64"/>
    </row>
    <row r="429" spans="1:33">
      <c r="A429" s="64"/>
      <c r="B429" s="64"/>
      <c r="C429" s="64"/>
      <c r="D429" s="64"/>
      <c r="E429" s="64"/>
      <c r="F429" s="70"/>
      <c r="G429" s="71"/>
      <c r="H429" s="72"/>
      <c r="I429" s="64"/>
      <c r="J429" s="64"/>
      <c r="K429" s="64"/>
      <c r="L429" s="64"/>
      <c r="M429" s="64"/>
      <c r="N429" s="64"/>
      <c r="O429" s="64"/>
      <c r="P429" s="64"/>
      <c r="Q429" s="64"/>
      <c r="R429" s="64"/>
      <c r="S429" s="64"/>
      <c r="T429" s="64"/>
      <c r="U429" s="64"/>
      <c r="V429" s="64"/>
      <c r="W429" s="64"/>
      <c r="X429" s="64"/>
      <c r="Y429" s="64"/>
      <c r="Z429" s="64"/>
      <c r="AA429" s="64"/>
      <c r="AB429" s="64"/>
      <c r="AC429" s="64"/>
      <c r="AD429" s="64"/>
      <c r="AE429" s="64"/>
      <c r="AF429" s="64"/>
      <c r="AG429" s="64"/>
    </row>
    <row r="430" spans="1:33">
      <c r="A430" s="64"/>
      <c r="B430" s="64"/>
      <c r="C430" s="64"/>
      <c r="D430" s="64"/>
      <c r="E430" s="64"/>
      <c r="F430" s="70"/>
      <c r="G430" s="71"/>
      <c r="H430" s="72"/>
      <c r="I430" s="64"/>
      <c r="J430" s="64"/>
      <c r="K430" s="64"/>
      <c r="L430" s="64"/>
      <c r="M430" s="64"/>
      <c r="N430" s="64"/>
      <c r="O430" s="64"/>
      <c r="P430" s="64"/>
      <c r="Q430" s="64"/>
      <c r="R430" s="64"/>
      <c r="S430" s="64"/>
      <c r="T430" s="64"/>
      <c r="U430" s="64"/>
      <c r="V430" s="64"/>
      <c r="W430" s="64"/>
      <c r="X430" s="64"/>
      <c r="Y430" s="64"/>
      <c r="Z430" s="64"/>
      <c r="AA430" s="64"/>
      <c r="AB430" s="64"/>
      <c r="AC430" s="64"/>
      <c r="AD430" s="64"/>
      <c r="AE430" s="64"/>
      <c r="AF430" s="64"/>
      <c r="AG430" s="64"/>
    </row>
    <row r="431" spans="1:33">
      <c r="A431" s="64"/>
      <c r="B431" s="64"/>
      <c r="C431" s="64"/>
      <c r="D431" s="64"/>
      <c r="E431" s="64"/>
      <c r="F431" s="70"/>
      <c r="G431" s="71"/>
      <c r="H431" s="72"/>
      <c r="I431" s="64"/>
      <c r="J431" s="64"/>
      <c r="K431" s="64"/>
      <c r="L431" s="64"/>
      <c r="M431" s="64"/>
      <c r="N431" s="64"/>
      <c r="O431" s="64"/>
      <c r="P431" s="64"/>
      <c r="Q431" s="64"/>
      <c r="R431" s="64"/>
      <c r="S431" s="64"/>
      <c r="T431" s="64"/>
      <c r="U431" s="64"/>
      <c r="V431" s="64"/>
      <c r="W431" s="64"/>
      <c r="X431" s="64"/>
      <c r="Y431" s="64"/>
      <c r="Z431" s="64"/>
      <c r="AA431" s="64"/>
      <c r="AB431" s="64"/>
      <c r="AC431" s="64"/>
      <c r="AD431" s="64"/>
      <c r="AE431" s="64"/>
      <c r="AF431" s="64"/>
      <c r="AG431" s="64"/>
    </row>
    <row r="432" spans="1:33">
      <c r="A432" s="64"/>
      <c r="B432" s="64"/>
      <c r="C432" s="64"/>
      <c r="D432" s="64"/>
      <c r="E432" s="64"/>
      <c r="F432" s="70"/>
      <c r="G432" s="71"/>
      <c r="H432" s="72"/>
      <c r="I432" s="64"/>
      <c r="J432" s="64"/>
      <c r="K432" s="64"/>
      <c r="L432" s="64"/>
      <c r="M432" s="64"/>
      <c r="N432" s="64"/>
      <c r="O432" s="64"/>
      <c r="P432" s="64"/>
      <c r="Q432" s="64"/>
      <c r="R432" s="64"/>
      <c r="S432" s="64"/>
      <c r="T432" s="64"/>
      <c r="U432" s="64"/>
      <c r="V432" s="64"/>
      <c r="W432" s="64"/>
      <c r="X432" s="64"/>
      <c r="Y432" s="64"/>
      <c r="Z432" s="64"/>
      <c r="AA432" s="64"/>
      <c r="AB432" s="64"/>
      <c r="AC432" s="64"/>
      <c r="AD432" s="64"/>
      <c r="AE432" s="64"/>
      <c r="AF432" s="64"/>
      <c r="AG432" s="64"/>
    </row>
    <row r="433" spans="1:33">
      <c r="A433" s="64"/>
      <c r="B433" s="64"/>
      <c r="C433" s="64"/>
      <c r="D433" s="64"/>
      <c r="E433" s="64"/>
      <c r="F433" s="70"/>
      <c r="G433" s="71"/>
      <c r="H433" s="72"/>
      <c r="I433" s="64"/>
      <c r="J433" s="64"/>
      <c r="K433" s="64"/>
      <c r="L433" s="64"/>
      <c r="M433" s="64"/>
      <c r="N433" s="64"/>
      <c r="O433" s="64"/>
      <c r="P433" s="64"/>
      <c r="Q433" s="64"/>
      <c r="R433" s="64"/>
      <c r="S433" s="64"/>
      <c r="T433" s="64"/>
      <c r="U433" s="64"/>
      <c r="V433" s="64"/>
      <c r="W433" s="64"/>
      <c r="X433" s="64"/>
      <c r="Y433" s="64"/>
      <c r="Z433" s="64"/>
      <c r="AA433" s="64"/>
      <c r="AB433" s="64"/>
      <c r="AC433" s="64"/>
      <c r="AD433" s="64"/>
      <c r="AE433" s="64"/>
      <c r="AF433" s="64"/>
      <c r="AG433" s="64"/>
    </row>
    <row r="434" spans="1:33">
      <c r="A434" s="64"/>
      <c r="B434" s="64"/>
      <c r="C434" s="64"/>
      <c r="D434" s="64"/>
      <c r="E434" s="64"/>
      <c r="F434" s="70"/>
      <c r="G434" s="71"/>
      <c r="H434" s="72"/>
      <c r="I434" s="64"/>
      <c r="J434" s="64"/>
      <c r="K434" s="64"/>
      <c r="L434" s="64"/>
      <c r="M434" s="64"/>
      <c r="N434" s="64"/>
      <c r="O434" s="64"/>
      <c r="P434" s="64"/>
      <c r="Q434" s="64"/>
      <c r="R434" s="64"/>
      <c r="S434" s="64"/>
      <c r="T434" s="64"/>
      <c r="U434" s="64"/>
      <c r="V434" s="64"/>
      <c r="W434" s="64"/>
      <c r="X434" s="64"/>
      <c r="Y434" s="64"/>
      <c r="Z434" s="64"/>
      <c r="AA434" s="64"/>
      <c r="AB434" s="64"/>
      <c r="AC434" s="64"/>
      <c r="AD434" s="64"/>
      <c r="AE434" s="64"/>
      <c r="AF434" s="64"/>
      <c r="AG434" s="64"/>
    </row>
    <row r="435" spans="1:33">
      <c r="A435" s="64"/>
      <c r="B435" s="64"/>
      <c r="C435" s="64"/>
      <c r="D435" s="64"/>
      <c r="E435" s="64"/>
      <c r="F435" s="70"/>
      <c r="G435" s="71"/>
      <c r="H435" s="72"/>
      <c r="I435" s="64"/>
      <c r="J435" s="64"/>
      <c r="K435" s="64"/>
      <c r="L435" s="64"/>
      <c r="M435" s="64"/>
      <c r="N435" s="64"/>
      <c r="O435" s="64"/>
      <c r="P435" s="64"/>
      <c r="Q435" s="64"/>
      <c r="R435" s="64"/>
      <c r="S435" s="64"/>
      <c r="T435" s="64"/>
      <c r="U435" s="64"/>
      <c r="V435" s="64"/>
      <c r="W435" s="64"/>
      <c r="X435" s="64"/>
      <c r="Y435" s="64"/>
      <c r="Z435" s="64"/>
      <c r="AA435" s="64"/>
      <c r="AB435" s="64"/>
      <c r="AC435" s="64"/>
      <c r="AD435" s="64"/>
      <c r="AE435" s="64"/>
      <c r="AF435" s="64"/>
      <c r="AG435" s="64"/>
    </row>
    <row r="436" spans="1:33">
      <c r="A436" s="64"/>
      <c r="B436" s="64"/>
      <c r="C436" s="64"/>
      <c r="D436" s="64"/>
      <c r="E436" s="64"/>
      <c r="F436" s="70"/>
      <c r="G436" s="71"/>
      <c r="H436" s="72"/>
      <c r="I436" s="64"/>
      <c r="J436" s="64"/>
      <c r="K436" s="64"/>
      <c r="L436" s="64"/>
      <c r="M436" s="64"/>
      <c r="N436" s="64"/>
      <c r="O436" s="64"/>
      <c r="P436" s="64"/>
      <c r="Q436" s="64"/>
      <c r="R436" s="64"/>
      <c r="S436" s="64"/>
      <c r="T436" s="64"/>
      <c r="U436" s="64"/>
      <c r="V436" s="64"/>
      <c r="W436" s="64"/>
      <c r="X436" s="64"/>
      <c r="Y436" s="64"/>
      <c r="Z436" s="64"/>
      <c r="AA436" s="64"/>
      <c r="AB436" s="64"/>
      <c r="AC436" s="64"/>
      <c r="AD436" s="64"/>
      <c r="AE436" s="64"/>
      <c r="AF436" s="64"/>
      <c r="AG436" s="64"/>
    </row>
    <row r="437" spans="1:33">
      <c r="A437" s="64"/>
      <c r="B437" s="64"/>
      <c r="C437" s="64"/>
      <c r="D437" s="64"/>
      <c r="E437" s="64"/>
      <c r="F437" s="70"/>
      <c r="G437" s="71"/>
      <c r="H437" s="72"/>
      <c r="I437" s="64"/>
      <c r="J437" s="64"/>
      <c r="K437" s="64"/>
      <c r="L437" s="64"/>
      <c r="M437" s="64"/>
      <c r="N437" s="64"/>
      <c r="O437" s="64"/>
      <c r="P437" s="64"/>
      <c r="Q437" s="64"/>
      <c r="R437" s="64"/>
      <c r="S437" s="64"/>
      <c r="T437" s="64"/>
      <c r="U437" s="64"/>
      <c r="V437" s="64"/>
      <c r="W437" s="64"/>
      <c r="X437" s="64"/>
      <c r="Y437" s="64"/>
      <c r="Z437" s="64"/>
      <c r="AA437" s="64"/>
      <c r="AB437" s="64"/>
      <c r="AC437" s="64"/>
      <c r="AD437" s="64"/>
      <c r="AE437" s="64"/>
      <c r="AF437" s="64"/>
      <c r="AG437" s="64"/>
    </row>
    <row r="438" spans="1:33">
      <c r="A438" s="64"/>
      <c r="B438" s="64"/>
      <c r="C438" s="64"/>
      <c r="D438" s="64"/>
      <c r="E438" s="64"/>
      <c r="F438" s="70"/>
      <c r="G438" s="71"/>
      <c r="H438" s="72"/>
      <c r="I438" s="64"/>
      <c r="J438" s="64"/>
      <c r="K438" s="64"/>
      <c r="L438" s="64"/>
      <c r="M438" s="64"/>
      <c r="N438" s="64"/>
      <c r="O438" s="64"/>
      <c r="P438" s="64"/>
      <c r="Q438" s="64"/>
      <c r="R438" s="64"/>
      <c r="S438" s="64"/>
      <c r="T438" s="64"/>
      <c r="U438" s="64"/>
      <c r="V438" s="64"/>
      <c r="W438" s="64"/>
      <c r="X438" s="64"/>
      <c r="Y438" s="64"/>
      <c r="Z438" s="64"/>
      <c r="AA438" s="64"/>
      <c r="AB438" s="64"/>
      <c r="AC438" s="64"/>
      <c r="AD438" s="64"/>
      <c r="AE438" s="64"/>
      <c r="AF438" s="64"/>
      <c r="AG438" s="64"/>
    </row>
    <row r="439" spans="1:33">
      <c r="A439" s="64"/>
      <c r="B439" s="64"/>
      <c r="C439" s="64"/>
      <c r="D439" s="64"/>
      <c r="E439" s="64"/>
      <c r="F439" s="70"/>
      <c r="G439" s="71"/>
      <c r="H439" s="72"/>
      <c r="I439" s="64"/>
      <c r="J439" s="64"/>
      <c r="K439" s="64"/>
      <c r="L439" s="64"/>
      <c r="M439" s="64"/>
      <c r="N439" s="64"/>
      <c r="O439" s="64"/>
      <c r="P439" s="64"/>
      <c r="Q439" s="64"/>
      <c r="R439" s="64"/>
      <c r="S439" s="64"/>
      <c r="T439" s="64"/>
      <c r="U439" s="64"/>
      <c r="V439" s="64"/>
      <c r="W439" s="64"/>
      <c r="X439" s="64"/>
      <c r="Y439" s="64"/>
      <c r="Z439" s="64"/>
      <c r="AA439" s="64"/>
      <c r="AB439" s="64"/>
      <c r="AC439" s="64"/>
      <c r="AD439" s="64"/>
      <c r="AE439" s="64"/>
      <c r="AF439" s="64"/>
      <c r="AG439" s="64"/>
    </row>
    <row r="440" spans="1:33">
      <c r="A440" s="64"/>
      <c r="B440" s="64"/>
      <c r="C440" s="64"/>
      <c r="D440" s="64"/>
      <c r="E440" s="64"/>
      <c r="F440" s="70"/>
      <c r="G440" s="71"/>
      <c r="H440" s="72"/>
      <c r="I440" s="64"/>
      <c r="J440" s="64"/>
      <c r="K440" s="64"/>
      <c r="L440" s="64"/>
      <c r="M440" s="64"/>
      <c r="N440" s="64"/>
      <c r="O440" s="64"/>
      <c r="P440" s="64"/>
      <c r="Q440" s="64"/>
      <c r="R440" s="64"/>
      <c r="S440" s="64"/>
      <c r="T440" s="64"/>
      <c r="U440" s="64"/>
      <c r="V440" s="64"/>
      <c r="W440" s="64"/>
      <c r="X440" s="64"/>
      <c r="Y440" s="64"/>
      <c r="Z440" s="64"/>
      <c r="AA440" s="64"/>
      <c r="AB440" s="64"/>
      <c r="AC440" s="64"/>
      <c r="AD440" s="64"/>
      <c r="AE440" s="64"/>
      <c r="AF440" s="64"/>
      <c r="AG440" s="64"/>
    </row>
    <row r="441" spans="1:33">
      <c r="A441" s="64"/>
      <c r="B441" s="64"/>
      <c r="C441" s="64"/>
      <c r="D441" s="64"/>
      <c r="E441" s="64"/>
      <c r="F441" s="70"/>
      <c r="G441" s="71"/>
      <c r="H441" s="72"/>
      <c r="I441" s="64"/>
      <c r="J441" s="64"/>
      <c r="K441" s="64"/>
      <c r="L441" s="64"/>
      <c r="M441" s="64"/>
      <c r="N441" s="64"/>
      <c r="O441" s="64"/>
      <c r="P441" s="64"/>
      <c r="Q441" s="64"/>
      <c r="R441" s="64"/>
      <c r="S441" s="64"/>
      <c r="T441" s="64"/>
      <c r="U441" s="64"/>
      <c r="V441" s="64"/>
      <c r="W441" s="64"/>
      <c r="X441" s="64"/>
      <c r="Y441" s="64"/>
      <c r="Z441" s="64"/>
      <c r="AA441" s="64"/>
      <c r="AB441" s="64"/>
      <c r="AC441" s="64"/>
      <c r="AD441" s="64"/>
      <c r="AE441" s="64"/>
      <c r="AF441" s="64"/>
      <c r="AG441" s="64"/>
    </row>
    <row r="442" spans="1:33">
      <c r="A442" s="64"/>
      <c r="B442" s="64"/>
      <c r="C442" s="64"/>
      <c r="D442" s="64"/>
      <c r="E442" s="64"/>
      <c r="F442" s="70"/>
      <c r="G442" s="71"/>
      <c r="H442" s="72"/>
      <c r="I442" s="64"/>
      <c r="J442" s="64"/>
      <c r="K442" s="64"/>
      <c r="L442" s="64"/>
      <c r="M442" s="64"/>
      <c r="N442" s="64"/>
      <c r="O442" s="64"/>
      <c r="P442" s="64"/>
      <c r="Q442" s="64"/>
      <c r="R442" s="64"/>
      <c r="S442" s="64"/>
      <c r="T442" s="64"/>
      <c r="U442" s="64"/>
      <c r="V442" s="64"/>
      <c r="W442" s="64"/>
      <c r="X442" s="64"/>
      <c r="Y442" s="64"/>
      <c r="Z442" s="64"/>
      <c r="AA442" s="64"/>
      <c r="AB442" s="64"/>
      <c r="AC442" s="64"/>
      <c r="AD442" s="64"/>
      <c r="AE442" s="64"/>
      <c r="AF442" s="64"/>
      <c r="AG442" s="64"/>
    </row>
    <row r="443" spans="1:33">
      <c r="A443" s="64"/>
      <c r="B443" s="64"/>
      <c r="C443" s="64"/>
      <c r="D443" s="64"/>
      <c r="E443" s="64"/>
      <c r="F443" s="70"/>
      <c r="G443" s="71"/>
      <c r="H443" s="72"/>
      <c r="I443" s="64"/>
      <c r="J443" s="64"/>
      <c r="K443" s="64"/>
      <c r="L443" s="64"/>
      <c r="M443" s="64"/>
      <c r="N443" s="64"/>
      <c r="O443" s="64"/>
      <c r="P443" s="64"/>
      <c r="Q443" s="64"/>
      <c r="R443" s="64"/>
      <c r="S443" s="64"/>
      <c r="T443" s="64"/>
      <c r="U443" s="64"/>
      <c r="V443" s="64"/>
      <c r="W443" s="64"/>
      <c r="X443" s="64"/>
      <c r="Y443" s="64"/>
      <c r="Z443" s="64"/>
      <c r="AA443" s="64"/>
      <c r="AB443" s="64"/>
      <c r="AC443" s="64"/>
      <c r="AD443" s="64"/>
      <c r="AE443" s="64"/>
      <c r="AF443" s="64"/>
      <c r="AG443" s="64"/>
    </row>
    <row r="444" spans="1:33">
      <c r="A444" s="64"/>
      <c r="B444" s="64"/>
      <c r="C444" s="64"/>
      <c r="D444" s="64"/>
      <c r="E444" s="64"/>
      <c r="F444" s="70"/>
      <c r="G444" s="71"/>
      <c r="H444" s="72"/>
      <c r="I444" s="64"/>
      <c r="J444" s="64"/>
      <c r="K444" s="64"/>
      <c r="L444" s="64"/>
      <c r="M444" s="64"/>
      <c r="N444" s="64"/>
      <c r="O444" s="64"/>
      <c r="P444" s="64"/>
      <c r="Q444" s="64"/>
      <c r="R444" s="64"/>
      <c r="S444" s="64"/>
      <c r="T444" s="64"/>
      <c r="U444" s="64"/>
      <c r="V444" s="64"/>
      <c r="W444" s="64"/>
      <c r="X444" s="64"/>
      <c r="Y444" s="64"/>
      <c r="Z444" s="64"/>
      <c r="AA444" s="64"/>
      <c r="AB444" s="64"/>
      <c r="AC444" s="64"/>
      <c r="AD444" s="64"/>
      <c r="AE444" s="64"/>
      <c r="AF444" s="64"/>
      <c r="AG444" s="64"/>
    </row>
    <row r="445" spans="1:33">
      <c r="A445" s="64"/>
      <c r="B445" s="64"/>
      <c r="C445" s="64"/>
      <c r="D445" s="64"/>
      <c r="E445" s="64"/>
      <c r="F445" s="70"/>
      <c r="G445" s="71"/>
      <c r="H445" s="72"/>
      <c r="I445" s="64"/>
      <c r="J445" s="64"/>
      <c r="K445" s="64"/>
      <c r="L445" s="64"/>
      <c r="M445" s="64"/>
      <c r="N445" s="64"/>
      <c r="O445" s="64"/>
      <c r="P445" s="64"/>
      <c r="Q445" s="64"/>
      <c r="R445" s="64"/>
      <c r="S445" s="64"/>
      <c r="T445" s="64"/>
      <c r="U445" s="64"/>
      <c r="V445" s="64"/>
      <c r="W445" s="64"/>
      <c r="X445" s="64"/>
      <c r="Y445" s="64"/>
      <c r="Z445" s="64"/>
      <c r="AA445" s="64"/>
      <c r="AB445" s="64"/>
      <c r="AC445" s="64"/>
      <c r="AD445" s="64"/>
      <c r="AE445" s="64"/>
      <c r="AF445" s="64"/>
      <c r="AG445" s="64"/>
    </row>
    <row r="446" spans="1:33">
      <c r="A446" s="64"/>
      <c r="B446" s="64"/>
      <c r="C446" s="64"/>
      <c r="D446" s="64"/>
      <c r="E446" s="64"/>
      <c r="F446" s="70"/>
      <c r="G446" s="71"/>
      <c r="H446" s="72"/>
      <c r="I446" s="64"/>
      <c r="J446" s="64"/>
      <c r="K446" s="64"/>
      <c r="L446" s="64"/>
      <c r="M446" s="64"/>
      <c r="N446" s="64"/>
      <c r="O446" s="64"/>
      <c r="P446" s="64"/>
      <c r="Q446" s="64"/>
      <c r="R446" s="64"/>
      <c r="S446" s="64"/>
      <c r="T446" s="64"/>
      <c r="U446" s="64"/>
      <c r="V446" s="64"/>
      <c r="W446" s="64"/>
      <c r="X446" s="64"/>
      <c r="Y446" s="64"/>
      <c r="Z446" s="64"/>
      <c r="AA446" s="64"/>
      <c r="AB446" s="64"/>
      <c r="AC446" s="64"/>
      <c r="AD446" s="64"/>
      <c r="AE446" s="64"/>
      <c r="AF446" s="64"/>
      <c r="AG446" s="64"/>
    </row>
    <row r="447" spans="1:33">
      <c r="A447" s="64"/>
      <c r="B447" s="64"/>
      <c r="C447" s="64"/>
      <c r="D447" s="64"/>
      <c r="E447" s="64"/>
      <c r="F447" s="70"/>
      <c r="G447" s="71"/>
      <c r="H447" s="72"/>
      <c r="I447" s="64"/>
      <c r="J447" s="64"/>
      <c r="K447" s="64"/>
      <c r="L447" s="64"/>
      <c r="M447" s="64"/>
      <c r="N447" s="64"/>
      <c r="O447" s="64"/>
      <c r="P447" s="64"/>
      <c r="Q447" s="64"/>
      <c r="R447" s="64"/>
      <c r="S447" s="64"/>
      <c r="T447" s="64"/>
      <c r="U447" s="64"/>
      <c r="V447" s="64"/>
      <c r="W447" s="64"/>
      <c r="X447" s="64"/>
      <c r="Y447" s="64"/>
      <c r="Z447" s="64"/>
      <c r="AA447" s="64"/>
      <c r="AB447" s="64"/>
      <c r="AC447" s="64"/>
      <c r="AD447" s="64"/>
      <c r="AE447" s="64"/>
      <c r="AF447" s="64"/>
      <c r="AG447" s="64"/>
    </row>
    <row r="448" spans="1:33">
      <c r="A448" s="64"/>
      <c r="B448" s="64"/>
      <c r="C448" s="64"/>
      <c r="D448" s="64"/>
      <c r="E448" s="64"/>
      <c r="F448" s="70"/>
      <c r="G448" s="71"/>
      <c r="H448" s="72"/>
      <c r="I448" s="64"/>
      <c r="J448" s="64"/>
      <c r="K448" s="64"/>
      <c r="L448" s="64"/>
      <c r="M448" s="64"/>
      <c r="N448" s="64"/>
      <c r="O448" s="64"/>
      <c r="P448" s="64"/>
      <c r="Q448" s="64"/>
      <c r="R448" s="64"/>
      <c r="S448" s="64"/>
      <c r="T448" s="64"/>
      <c r="U448" s="64"/>
      <c r="V448" s="64"/>
      <c r="W448" s="64"/>
      <c r="X448" s="64"/>
      <c r="Y448" s="64"/>
      <c r="Z448" s="64"/>
      <c r="AA448" s="64"/>
      <c r="AB448" s="64"/>
      <c r="AC448" s="64"/>
      <c r="AD448" s="64"/>
      <c r="AE448" s="64"/>
      <c r="AF448" s="64"/>
      <c r="AG448" s="64"/>
    </row>
    <row r="449" spans="1:33">
      <c r="A449" s="64"/>
      <c r="B449" s="64"/>
      <c r="C449" s="64"/>
      <c r="D449" s="64"/>
      <c r="E449" s="64"/>
      <c r="F449" s="70"/>
      <c r="G449" s="71"/>
      <c r="H449" s="72"/>
      <c r="I449" s="64"/>
      <c r="J449" s="64"/>
      <c r="K449" s="64"/>
      <c r="L449" s="64"/>
      <c r="M449" s="64"/>
      <c r="N449" s="64"/>
      <c r="O449" s="64"/>
      <c r="P449" s="64"/>
      <c r="Q449" s="64"/>
      <c r="R449" s="64"/>
      <c r="S449" s="64"/>
      <c r="T449" s="64"/>
      <c r="U449" s="64"/>
      <c r="V449" s="64"/>
      <c r="W449" s="64"/>
      <c r="X449" s="64"/>
      <c r="Y449" s="64"/>
      <c r="Z449" s="64"/>
      <c r="AA449" s="64"/>
      <c r="AB449" s="64"/>
      <c r="AC449" s="64"/>
      <c r="AD449" s="64"/>
      <c r="AE449" s="64"/>
      <c r="AF449" s="64"/>
      <c r="AG449" s="64"/>
    </row>
    <row r="450" spans="1:33">
      <c r="A450" s="64"/>
      <c r="B450" s="64"/>
      <c r="C450" s="64"/>
      <c r="D450" s="64"/>
      <c r="E450" s="64"/>
      <c r="F450" s="70"/>
      <c r="G450" s="71"/>
      <c r="H450" s="72"/>
      <c r="I450" s="64"/>
      <c r="J450" s="64"/>
      <c r="K450" s="64"/>
      <c r="L450" s="64"/>
      <c r="M450" s="64"/>
      <c r="N450" s="64"/>
      <c r="O450" s="64"/>
      <c r="P450" s="64"/>
      <c r="Q450" s="64"/>
      <c r="R450" s="64"/>
      <c r="S450" s="64"/>
      <c r="T450" s="64"/>
      <c r="U450" s="64"/>
      <c r="V450" s="64"/>
      <c r="W450" s="64"/>
      <c r="X450" s="64"/>
      <c r="Y450" s="64"/>
      <c r="Z450" s="64"/>
      <c r="AA450" s="64"/>
      <c r="AB450" s="64"/>
      <c r="AC450" s="64"/>
      <c r="AD450" s="64"/>
      <c r="AE450" s="64"/>
      <c r="AF450" s="64"/>
      <c r="AG450" s="64"/>
    </row>
    <row r="451" spans="1:33">
      <c r="A451" s="64"/>
      <c r="B451" s="64"/>
      <c r="C451" s="64"/>
      <c r="D451" s="64"/>
      <c r="E451" s="64"/>
      <c r="F451" s="70"/>
      <c r="G451" s="71"/>
      <c r="H451" s="72"/>
      <c r="I451" s="64"/>
      <c r="J451" s="64"/>
      <c r="K451" s="64"/>
      <c r="L451" s="64"/>
      <c r="M451" s="64"/>
      <c r="N451" s="64"/>
      <c r="O451" s="64"/>
      <c r="P451" s="64"/>
      <c r="Q451" s="64"/>
      <c r="R451" s="64"/>
      <c r="S451" s="64"/>
      <c r="T451" s="64"/>
      <c r="U451" s="64"/>
      <c r="V451" s="64"/>
      <c r="W451" s="64"/>
      <c r="X451" s="64"/>
      <c r="Y451" s="64"/>
      <c r="Z451" s="64"/>
      <c r="AA451" s="64"/>
      <c r="AB451" s="64"/>
      <c r="AC451" s="64"/>
      <c r="AD451" s="64"/>
      <c r="AE451" s="64"/>
      <c r="AF451" s="64"/>
      <c r="AG451" s="64"/>
    </row>
    <row r="452" spans="1:33">
      <c r="A452" s="64"/>
      <c r="B452" s="64"/>
      <c r="C452" s="64"/>
      <c r="D452" s="64"/>
      <c r="E452" s="64"/>
      <c r="F452" s="70"/>
      <c r="G452" s="71"/>
      <c r="H452" s="72"/>
      <c r="I452" s="64"/>
      <c r="J452" s="64"/>
      <c r="K452" s="64"/>
      <c r="L452" s="64"/>
      <c r="M452" s="64"/>
      <c r="N452" s="64"/>
      <c r="O452" s="64"/>
      <c r="P452" s="64"/>
      <c r="Q452" s="64"/>
      <c r="R452" s="64"/>
      <c r="S452" s="64"/>
      <c r="T452" s="64"/>
      <c r="U452" s="64"/>
      <c r="V452" s="64"/>
      <c r="W452" s="64"/>
      <c r="X452" s="64"/>
      <c r="Y452" s="64"/>
      <c r="Z452" s="64"/>
      <c r="AA452" s="64"/>
      <c r="AB452" s="64"/>
      <c r="AC452" s="64"/>
      <c r="AD452" s="64"/>
      <c r="AE452" s="64"/>
      <c r="AF452" s="64"/>
      <c r="AG452" s="64"/>
    </row>
    <row r="453" spans="1:33">
      <c r="A453" s="64"/>
      <c r="B453" s="64"/>
      <c r="C453" s="64"/>
      <c r="D453" s="64"/>
      <c r="E453" s="64"/>
      <c r="F453" s="70"/>
      <c r="G453" s="71"/>
      <c r="H453" s="72"/>
      <c r="I453" s="64"/>
      <c r="J453" s="64"/>
      <c r="K453" s="64"/>
      <c r="L453" s="64"/>
      <c r="M453" s="64"/>
      <c r="N453" s="64"/>
      <c r="O453" s="64"/>
      <c r="P453" s="64"/>
      <c r="Q453" s="64"/>
      <c r="R453" s="64"/>
      <c r="S453" s="64"/>
      <c r="T453" s="64"/>
      <c r="U453" s="64"/>
      <c r="V453" s="64"/>
      <c r="W453" s="64"/>
      <c r="X453" s="64"/>
      <c r="Y453" s="64"/>
      <c r="Z453" s="64"/>
      <c r="AA453" s="64"/>
      <c r="AB453" s="64"/>
      <c r="AC453" s="64"/>
      <c r="AD453" s="64"/>
      <c r="AE453" s="64"/>
      <c r="AF453" s="64"/>
      <c r="AG453" s="64"/>
    </row>
    <row r="454" spans="1:33">
      <c r="A454" s="64"/>
      <c r="B454" s="64"/>
      <c r="C454" s="64"/>
      <c r="D454" s="64"/>
      <c r="E454" s="64"/>
      <c r="F454" s="70"/>
      <c r="G454" s="71"/>
      <c r="H454" s="72"/>
      <c r="I454" s="64"/>
      <c r="J454" s="64"/>
      <c r="K454" s="64"/>
      <c r="L454" s="64"/>
      <c r="M454" s="64"/>
      <c r="N454" s="64"/>
      <c r="O454" s="64"/>
      <c r="P454" s="64"/>
      <c r="Q454" s="64"/>
      <c r="R454" s="64"/>
      <c r="S454" s="64"/>
      <c r="T454" s="64"/>
      <c r="U454" s="64"/>
      <c r="V454" s="64"/>
      <c r="W454" s="64"/>
      <c r="X454" s="64"/>
      <c r="Y454" s="64"/>
      <c r="Z454" s="64"/>
      <c r="AA454" s="64"/>
      <c r="AB454" s="64"/>
      <c r="AC454" s="64"/>
      <c r="AD454" s="64"/>
      <c r="AE454" s="64"/>
      <c r="AF454" s="64"/>
      <c r="AG454" s="64"/>
    </row>
    <row r="455" spans="1:33">
      <c r="A455" s="64"/>
      <c r="B455" s="64"/>
      <c r="C455" s="64"/>
      <c r="D455" s="64"/>
      <c r="E455" s="64"/>
      <c r="F455" s="70"/>
      <c r="G455" s="71"/>
      <c r="H455" s="72"/>
      <c r="I455" s="64"/>
      <c r="J455" s="64"/>
      <c r="K455" s="64"/>
      <c r="L455" s="64"/>
      <c r="M455" s="64"/>
      <c r="N455" s="64"/>
      <c r="O455" s="64"/>
      <c r="P455" s="64"/>
      <c r="Q455" s="64"/>
      <c r="R455" s="64"/>
      <c r="S455" s="64"/>
      <c r="T455" s="64"/>
      <c r="U455" s="64"/>
      <c r="V455" s="64"/>
      <c r="W455" s="64"/>
      <c r="X455" s="64"/>
      <c r="Y455" s="64"/>
      <c r="Z455" s="64"/>
      <c r="AA455" s="64"/>
      <c r="AB455" s="64"/>
      <c r="AC455" s="64"/>
      <c r="AD455" s="64"/>
      <c r="AE455" s="64"/>
      <c r="AF455" s="64"/>
      <c r="AG455" s="64"/>
    </row>
    <row r="456" spans="1:33">
      <c r="A456" s="64"/>
      <c r="B456" s="64"/>
      <c r="C456" s="64"/>
      <c r="D456" s="64"/>
      <c r="E456" s="64"/>
      <c r="F456" s="70"/>
      <c r="G456" s="71"/>
      <c r="H456" s="72"/>
      <c r="I456" s="64"/>
      <c r="J456" s="64"/>
      <c r="K456" s="64"/>
      <c r="L456" s="64"/>
      <c r="M456" s="64"/>
      <c r="N456" s="64"/>
      <c r="O456" s="64"/>
      <c r="P456" s="64"/>
      <c r="Q456" s="64"/>
      <c r="R456" s="64"/>
      <c r="S456" s="64"/>
      <c r="T456" s="64"/>
      <c r="U456" s="64"/>
      <c r="V456" s="64"/>
      <c r="W456" s="64"/>
      <c r="X456" s="64"/>
      <c r="Y456" s="64"/>
      <c r="Z456" s="64"/>
      <c r="AA456" s="64"/>
      <c r="AB456" s="64"/>
      <c r="AC456" s="64"/>
      <c r="AD456" s="64"/>
      <c r="AE456" s="64"/>
      <c r="AF456" s="64"/>
      <c r="AG456" s="64"/>
    </row>
    <row r="457" spans="1:33">
      <c r="A457" s="64"/>
      <c r="B457" s="64"/>
      <c r="C457" s="64"/>
      <c r="D457" s="64"/>
      <c r="E457" s="64"/>
      <c r="F457" s="70"/>
      <c r="G457" s="71"/>
      <c r="H457" s="72"/>
      <c r="I457" s="64"/>
      <c r="J457" s="64"/>
      <c r="K457" s="64"/>
      <c r="L457" s="64"/>
      <c r="M457" s="64"/>
      <c r="N457" s="64"/>
      <c r="O457" s="64"/>
      <c r="P457" s="64"/>
      <c r="Q457" s="64"/>
      <c r="R457" s="64"/>
      <c r="S457" s="64"/>
      <c r="T457" s="64"/>
      <c r="U457" s="64"/>
      <c r="V457" s="64"/>
      <c r="W457" s="64"/>
      <c r="X457" s="64"/>
      <c r="Y457" s="64"/>
      <c r="Z457" s="64"/>
      <c r="AA457" s="64"/>
      <c r="AB457" s="64"/>
      <c r="AC457" s="64"/>
      <c r="AD457" s="64"/>
      <c r="AE457" s="64"/>
      <c r="AF457" s="64"/>
      <c r="AG457" s="64"/>
    </row>
    <row r="458" spans="1:33">
      <c r="A458" s="64"/>
      <c r="B458" s="64"/>
      <c r="C458" s="64"/>
      <c r="D458" s="64"/>
      <c r="E458" s="64"/>
      <c r="F458" s="70"/>
      <c r="G458" s="71"/>
      <c r="H458" s="72"/>
      <c r="I458" s="64"/>
      <c r="J458" s="64"/>
      <c r="K458" s="64"/>
      <c r="L458" s="64"/>
      <c r="M458" s="64"/>
      <c r="N458" s="64"/>
      <c r="O458" s="64"/>
      <c r="P458" s="64"/>
      <c r="Q458" s="64"/>
      <c r="R458" s="64"/>
      <c r="S458" s="64"/>
      <c r="T458" s="64"/>
      <c r="U458" s="64"/>
      <c r="V458" s="64"/>
      <c r="W458" s="64"/>
      <c r="X458" s="64"/>
      <c r="Y458" s="64"/>
      <c r="Z458" s="64"/>
      <c r="AA458" s="64"/>
      <c r="AB458" s="64"/>
      <c r="AC458" s="64"/>
      <c r="AD458" s="64"/>
      <c r="AE458" s="64"/>
      <c r="AF458" s="64"/>
      <c r="AG458" s="64"/>
    </row>
    <row r="459" spans="1:33">
      <c r="A459" s="64"/>
      <c r="B459" s="64"/>
      <c r="C459" s="64"/>
      <c r="D459" s="64"/>
      <c r="E459" s="64"/>
      <c r="F459" s="70"/>
      <c r="G459" s="71"/>
      <c r="H459" s="72"/>
      <c r="I459" s="64"/>
      <c r="J459" s="64"/>
      <c r="K459" s="64"/>
      <c r="L459" s="64"/>
      <c r="M459" s="64"/>
      <c r="N459" s="64"/>
      <c r="O459" s="64"/>
      <c r="P459" s="64"/>
      <c r="Q459" s="64"/>
      <c r="R459" s="64"/>
      <c r="S459" s="64"/>
      <c r="T459" s="64"/>
      <c r="U459" s="64"/>
      <c r="V459" s="64"/>
      <c r="W459" s="64"/>
      <c r="X459" s="64"/>
      <c r="Y459" s="64"/>
      <c r="Z459" s="64"/>
      <c r="AA459" s="64"/>
      <c r="AB459" s="64"/>
      <c r="AC459" s="64"/>
      <c r="AD459" s="64"/>
      <c r="AE459" s="64"/>
      <c r="AF459" s="64"/>
      <c r="AG459" s="64"/>
    </row>
    <row r="460" spans="1:33">
      <c r="A460" s="64"/>
      <c r="B460" s="64"/>
      <c r="C460" s="64"/>
      <c r="D460" s="64"/>
      <c r="E460" s="64"/>
      <c r="F460" s="70"/>
      <c r="G460" s="71"/>
      <c r="H460" s="72"/>
      <c r="I460" s="64"/>
      <c r="J460" s="64"/>
      <c r="K460" s="64"/>
      <c r="L460" s="64"/>
      <c r="M460" s="64"/>
      <c r="N460" s="64"/>
      <c r="O460" s="64"/>
      <c r="P460" s="64"/>
      <c r="Q460" s="64"/>
      <c r="R460" s="64"/>
      <c r="S460" s="64"/>
      <c r="T460" s="64"/>
      <c r="U460" s="64"/>
      <c r="V460" s="64"/>
      <c r="W460" s="64"/>
      <c r="X460" s="64"/>
      <c r="Y460" s="64"/>
      <c r="Z460" s="64"/>
      <c r="AA460" s="64"/>
      <c r="AB460" s="64"/>
      <c r="AC460" s="64"/>
      <c r="AD460" s="64"/>
      <c r="AE460" s="64"/>
      <c r="AF460" s="64"/>
      <c r="AG460" s="64"/>
    </row>
    <row r="461" spans="1:33">
      <c r="A461" s="64"/>
      <c r="B461" s="64"/>
      <c r="C461" s="64"/>
      <c r="D461" s="64"/>
      <c r="E461" s="64"/>
      <c r="F461" s="70"/>
      <c r="G461" s="71"/>
      <c r="H461" s="72"/>
      <c r="I461" s="64"/>
      <c r="J461" s="64"/>
      <c r="K461" s="64"/>
      <c r="L461" s="64"/>
      <c r="M461" s="64"/>
      <c r="N461" s="64"/>
      <c r="O461" s="64"/>
      <c r="P461" s="64"/>
      <c r="Q461" s="64"/>
      <c r="R461" s="64"/>
      <c r="S461" s="64"/>
      <c r="T461" s="64"/>
      <c r="U461" s="64"/>
      <c r="V461" s="64"/>
      <c r="W461" s="64"/>
      <c r="X461" s="64"/>
      <c r="Y461" s="64"/>
      <c r="Z461" s="64"/>
      <c r="AA461" s="64"/>
      <c r="AB461" s="64"/>
      <c r="AC461" s="64"/>
      <c r="AD461" s="64"/>
      <c r="AE461" s="64"/>
      <c r="AF461" s="64"/>
      <c r="AG461" s="64"/>
    </row>
    <row r="462" spans="1:33">
      <c r="A462" s="64"/>
      <c r="B462" s="64"/>
      <c r="C462" s="64"/>
      <c r="D462" s="64"/>
      <c r="E462" s="64"/>
      <c r="F462" s="70"/>
      <c r="G462" s="71"/>
      <c r="H462" s="72"/>
      <c r="I462" s="64"/>
      <c r="J462" s="64"/>
      <c r="K462" s="64"/>
      <c r="L462" s="64"/>
      <c r="M462" s="64"/>
      <c r="N462" s="64"/>
      <c r="O462" s="64"/>
      <c r="P462" s="64"/>
      <c r="Q462" s="64"/>
      <c r="R462" s="64"/>
      <c r="S462" s="64"/>
      <c r="T462" s="64"/>
      <c r="U462" s="64"/>
      <c r="V462" s="64"/>
      <c r="W462" s="64"/>
      <c r="X462" s="64"/>
      <c r="Y462" s="64"/>
      <c r="Z462" s="64"/>
      <c r="AA462" s="64"/>
      <c r="AB462" s="64"/>
      <c r="AC462" s="64"/>
      <c r="AD462" s="64"/>
      <c r="AE462" s="64"/>
      <c r="AF462" s="64"/>
      <c r="AG462" s="64"/>
    </row>
    <row r="463" spans="1:33">
      <c r="A463" s="64"/>
      <c r="B463" s="64"/>
      <c r="C463" s="64"/>
      <c r="D463" s="64"/>
      <c r="E463" s="64"/>
      <c r="F463" s="70"/>
      <c r="G463" s="71"/>
      <c r="H463" s="72"/>
      <c r="I463" s="64"/>
      <c r="J463" s="64"/>
      <c r="K463" s="64"/>
      <c r="L463" s="64"/>
      <c r="M463" s="64"/>
      <c r="N463" s="64"/>
      <c r="O463" s="64"/>
      <c r="P463" s="64"/>
      <c r="Q463" s="64"/>
      <c r="R463" s="64"/>
      <c r="S463" s="64"/>
      <c r="T463" s="64"/>
      <c r="U463" s="64"/>
      <c r="V463" s="64"/>
      <c r="W463" s="64"/>
      <c r="X463" s="64"/>
      <c r="Y463" s="64"/>
      <c r="Z463" s="64"/>
      <c r="AA463" s="64"/>
      <c r="AB463" s="64"/>
      <c r="AC463" s="64"/>
      <c r="AD463" s="64"/>
      <c r="AE463" s="64"/>
      <c r="AF463" s="64"/>
      <c r="AG463" s="64"/>
    </row>
    <row r="464" spans="1:33">
      <c r="A464" s="64"/>
      <c r="B464" s="64"/>
      <c r="C464" s="64"/>
      <c r="D464" s="64"/>
      <c r="E464" s="64"/>
      <c r="F464" s="70"/>
      <c r="G464" s="71"/>
      <c r="H464" s="72"/>
      <c r="I464" s="64"/>
      <c r="J464" s="64"/>
      <c r="K464" s="64"/>
      <c r="L464" s="64"/>
      <c r="M464" s="64"/>
      <c r="N464" s="64"/>
      <c r="O464" s="64"/>
      <c r="P464" s="64"/>
      <c r="Q464" s="64"/>
      <c r="R464" s="64"/>
      <c r="S464" s="64"/>
      <c r="T464" s="64"/>
      <c r="U464" s="64"/>
      <c r="V464" s="64"/>
      <c r="W464" s="64"/>
      <c r="X464" s="64"/>
      <c r="Y464" s="64"/>
      <c r="Z464" s="64"/>
      <c r="AA464" s="64"/>
      <c r="AB464" s="64"/>
      <c r="AC464" s="64"/>
      <c r="AD464" s="64"/>
      <c r="AE464" s="64"/>
      <c r="AF464" s="64"/>
      <c r="AG464" s="64"/>
    </row>
    <row r="465" spans="1:33">
      <c r="A465" s="64"/>
      <c r="B465" s="64"/>
      <c r="C465" s="64"/>
      <c r="D465" s="64"/>
      <c r="E465" s="64"/>
      <c r="F465" s="70"/>
      <c r="G465" s="71"/>
      <c r="H465" s="72"/>
      <c r="I465" s="64"/>
      <c r="J465" s="64"/>
      <c r="K465" s="64"/>
      <c r="L465" s="64"/>
      <c r="M465" s="64"/>
      <c r="N465" s="64"/>
      <c r="O465" s="64"/>
      <c r="P465" s="64"/>
      <c r="Q465" s="64"/>
      <c r="R465" s="64"/>
      <c r="S465" s="64"/>
      <c r="T465" s="64"/>
      <c r="U465" s="64"/>
      <c r="V465" s="64"/>
      <c r="W465" s="64"/>
      <c r="X465" s="64"/>
      <c r="Y465" s="64"/>
      <c r="Z465" s="64"/>
      <c r="AA465" s="64"/>
      <c r="AB465" s="64"/>
      <c r="AC465" s="64"/>
      <c r="AD465" s="64"/>
      <c r="AE465" s="64"/>
      <c r="AF465" s="64"/>
      <c r="AG465" s="64"/>
    </row>
    <row r="466" spans="1:33">
      <c r="A466" s="64"/>
      <c r="B466" s="64"/>
      <c r="C466" s="64"/>
      <c r="D466" s="64"/>
      <c r="E466" s="64"/>
      <c r="F466" s="70"/>
      <c r="G466" s="71"/>
      <c r="H466" s="72"/>
      <c r="I466" s="64"/>
      <c r="J466" s="64"/>
      <c r="K466" s="64"/>
      <c r="L466" s="64"/>
      <c r="M466" s="64"/>
      <c r="N466" s="64"/>
      <c r="O466" s="64"/>
      <c r="P466" s="64"/>
      <c r="Q466" s="64"/>
      <c r="R466" s="64"/>
      <c r="S466" s="64"/>
      <c r="T466" s="64"/>
      <c r="U466" s="64"/>
      <c r="V466" s="64"/>
      <c r="W466" s="64"/>
      <c r="X466" s="64"/>
      <c r="Y466" s="64"/>
      <c r="Z466" s="64"/>
      <c r="AA466" s="64"/>
      <c r="AB466" s="64"/>
      <c r="AC466" s="64"/>
      <c r="AD466" s="64"/>
      <c r="AE466" s="64"/>
      <c r="AF466" s="64"/>
      <c r="AG466" s="64"/>
    </row>
    <row r="467" spans="1:33">
      <c r="A467" s="64"/>
      <c r="B467" s="64"/>
      <c r="C467" s="64"/>
      <c r="D467" s="64"/>
      <c r="E467" s="64"/>
      <c r="F467" s="70"/>
      <c r="G467" s="71"/>
      <c r="H467" s="72"/>
      <c r="I467" s="64"/>
      <c r="J467" s="64"/>
      <c r="K467" s="64"/>
      <c r="L467" s="64"/>
      <c r="M467" s="64"/>
      <c r="N467" s="64"/>
      <c r="O467" s="64"/>
      <c r="P467" s="64"/>
      <c r="Q467" s="64"/>
      <c r="R467" s="64"/>
      <c r="S467" s="64"/>
      <c r="T467" s="64"/>
      <c r="U467" s="64"/>
      <c r="V467" s="64"/>
      <c r="W467" s="64"/>
      <c r="X467" s="64"/>
      <c r="Y467" s="64"/>
      <c r="Z467" s="64"/>
      <c r="AA467" s="64"/>
      <c r="AB467" s="64"/>
      <c r="AC467" s="64"/>
      <c r="AD467" s="64"/>
      <c r="AE467" s="64"/>
      <c r="AF467" s="64"/>
      <c r="AG467" s="64"/>
    </row>
    <row r="468" spans="1:33">
      <c r="A468" s="64"/>
      <c r="B468" s="64"/>
      <c r="C468" s="64"/>
      <c r="D468" s="64"/>
      <c r="E468" s="64"/>
      <c r="F468" s="70"/>
      <c r="G468" s="71"/>
      <c r="H468" s="72"/>
      <c r="I468" s="64"/>
      <c r="J468" s="64"/>
      <c r="K468" s="64"/>
      <c r="L468" s="64"/>
      <c r="M468" s="64"/>
      <c r="N468" s="64"/>
      <c r="O468" s="64"/>
      <c r="P468" s="64"/>
      <c r="Q468" s="64"/>
      <c r="R468" s="64"/>
      <c r="S468" s="64"/>
      <c r="T468" s="64"/>
      <c r="U468" s="64"/>
      <c r="V468" s="64"/>
      <c r="W468" s="64"/>
      <c r="X468" s="64"/>
      <c r="Y468" s="64"/>
      <c r="Z468" s="64"/>
      <c r="AA468" s="64"/>
      <c r="AB468" s="64"/>
      <c r="AC468" s="64"/>
      <c r="AD468" s="64"/>
      <c r="AE468" s="64"/>
      <c r="AF468" s="64"/>
      <c r="AG468" s="64"/>
    </row>
    <row r="469" spans="1:33">
      <c r="A469" s="64"/>
      <c r="B469" s="64"/>
      <c r="C469" s="64"/>
      <c r="D469" s="64"/>
      <c r="E469" s="64"/>
      <c r="F469" s="70"/>
      <c r="G469" s="71"/>
      <c r="H469" s="72"/>
      <c r="I469" s="64"/>
      <c r="J469" s="64"/>
      <c r="K469" s="64"/>
      <c r="L469" s="64"/>
      <c r="M469" s="64"/>
      <c r="N469" s="64"/>
      <c r="O469" s="64"/>
      <c r="P469" s="64"/>
      <c r="Q469" s="64"/>
      <c r="R469" s="64"/>
      <c r="S469" s="64"/>
      <c r="T469" s="64"/>
      <c r="U469" s="64"/>
      <c r="V469" s="64"/>
      <c r="W469" s="64"/>
      <c r="X469" s="64"/>
      <c r="Y469" s="64"/>
      <c r="Z469" s="64"/>
      <c r="AA469" s="64"/>
      <c r="AB469" s="64"/>
      <c r="AC469" s="64"/>
      <c r="AD469" s="64"/>
      <c r="AE469" s="64"/>
      <c r="AF469" s="64"/>
      <c r="AG469" s="64"/>
    </row>
    <row r="470" spans="1:33">
      <c r="A470" s="64"/>
      <c r="B470" s="64"/>
      <c r="C470" s="64"/>
      <c r="D470" s="64"/>
      <c r="E470" s="64"/>
      <c r="F470" s="70"/>
      <c r="G470" s="71"/>
      <c r="H470" s="72"/>
      <c r="I470" s="64"/>
      <c r="J470" s="64"/>
      <c r="K470" s="64"/>
      <c r="L470" s="64"/>
      <c r="M470" s="64"/>
      <c r="N470" s="64"/>
      <c r="O470" s="64"/>
      <c r="P470" s="64"/>
      <c r="Q470" s="64"/>
      <c r="R470" s="64"/>
      <c r="S470" s="64"/>
      <c r="T470" s="64"/>
      <c r="U470" s="64"/>
      <c r="V470" s="64"/>
      <c r="W470" s="64"/>
      <c r="X470" s="64"/>
      <c r="Y470" s="64"/>
      <c r="Z470" s="64"/>
      <c r="AA470" s="64"/>
      <c r="AB470" s="64"/>
      <c r="AC470" s="64"/>
      <c r="AD470" s="64"/>
      <c r="AE470" s="64"/>
      <c r="AF470" s="64"/>
      <c r="AG470" s="64"/>
    </row>
    <row r="471" spans="1:33">
      <c r="A471" s="64"/>
      <c r="B471" s="64"/>
      <c r="C471" s="64"/>
      <c r="D471" s="64"/>
      <c r="E471" s="64"/>
      <c r="F471" s="70"/>
      <c r="G471" s="71"/>
      <c r="H471" s="72"/>
      <c r="I471" s="64"/>
      <c r="J471" s="64"/>
      <c r="K471" s="64"/>
      <c r="L471" s="64"/>
      <c r="M471" s="64"/>
      <c r="N471" s="64"/>
      <c r="O471" s="64"/>
      <c r="P471" s="64"/>
      <c r="Q471" s="64"/>
      <c r="R471" s="64"/>
      <c r="S471" s="64"/>
      <c r="T471" s="64"/>
      <c r="U471" s="64"/>
      <c r="V471" s="64"/>
      <c r="W471" s="64"/>
      <c r="X471" s="64"/>
      <c r="Y471" s="64"/>
      <c r="Z471" s="64"/>
      <c r="AA471" s="64"/>
      <c r="AB471" s="64"/>
      <c r="AC471" s="64"/>
      <c r="AD471" s="64"/>
      <c r="AE471" s="64"/>
      <c r="AF471" s="64"/>
      <c r="AG471" s="64"/>
    </row>
    <row r="472" spans="1:33">
      <c r="A472" s="64"/>
      <c r="B472" s="64"/>
      <c r="C472" s="64"/>
      <c r="D472" s="64"/>
      <c r="E472" s="64"/>
      <c r="F472" s="70"/>
      <c r="G472" s="71"/>
      <c r="H472" s="72"/>
      <c r="I472" s="64"/>
      <c r="J472" s="64"/>
      <c r="K472" s="64"/>
      <c r="L472" s="64"/>
      <c r="M472" s="64"/>
      <c r="N472" s="64"/>
      <c r="O472" s="64"/>
      <c r="P472" s="64"/>
      <c r="Q472" s="64"/>
      <c r="R472" s="64"/>
      <c r="S472" s="64"/>
      <c r="T472" s="64"/>
      <c r="U472" s="64"/>
      <c r="V472" s="64"/>
      <c r="W472" s="64"/>
      <c r="X472" s="64"/>
      <c r="Y472" s="64"/>
      <c r="Z472" s="64"/>
      <c r="AA472" s="64"/>
      <c r="AB472" s="64"/>
      <c r="AC472" s="64"/>
      <c r="AD472" s="64"/>
      <c r="AE472" s="64"/>
      <c r="AF472" s="64"/>
      <c r="AG472" s="64"/>
    </row>
    <row r="473" spans="1:33">
      <c r="A473" s="64"/>
      <c r="B473" s="64"/>
      <c r="C473" s="64"/>
      <c r="D473" s="64"/>
      <c r="E473" s="64"/>
      <c r="F473" s="70"/>
      <c r="G473" s="71"/>
      <c r="H473" s="72"/>
      <c r="I473" s="64"/>
      <c r="J473" s="64"/>
      <c r="K473" s="64"/>
      <c r="L473" s="64"/>
      <c r="M473" s="64"/>
      <c r="N473" s="64"/>
      <c r="O473" s="64"/>
      <c r="P473" s="64"/>
      <c r="Q473" s="64"/>
      <c r="R473" s="64"/>
      <c r="S473" s="64"/>
      <c r="T473" s="64"/>
      <c r="U473" s="64"/>
      <c r="V473" s="64"/>
      <c r="W473" s="64"/>
      <c r="X473" s="64"/>
      <c r="Y473" s="64"/>
      <c r="Z473" s="64"/>
      <c r="AA473" s="64"/>
      <c r="AB473" s="64"/>
      <c r="AC473" s="64"/>
      <c r="AD473" s="64"/>
      <c r="AE473" s="64"/>
      <c r="AF473" s="64"/>
      <c r="AG473" s="64"/>
    </row>
    <row r="474" spans="1:33">
      <c r="A474" s="64"/>
      <c r="B474" s="64"/>
      <c r="C474" s="64"/>
      <c r="D474" s="64"/>
      <c r="E474" s="64"/>
      <c r="F474" s="70"/>
      <c r="G474" s="71"/>
      <c r="H474" s="72"/>
      <c r="I474" s="64"/>
      <c r="J474" s="64"/>
      <c r="K474" s="64"/>
      <c r="L474" s="64"/>
      <c r="M474" s="64"/>
      <c r="N474" s="64"/>
      <c r="O474" s="64"/>
      <c r="P474" s="64"/>
      <c r="Q474" s="64"/>
      <c r="R474" s="64"/>
      <c r="S474" s="64"/>
      <c r="T474" s="64"/>
      <c r="U474" s="64"/>
      <c r="V474" s="64"/>
      <c r="W474" s="64"/>
      <c r="X474" s="64"/>
      <c r="Y474" s="64"/>
      <c r="Z474" s="64"/>
      <c r="AA474" s="64"/>
      <c r="AB474" s="64"/>
      <c r="AC474" s="64"/>
      <c r="AD474" s="64"/>
      <c r="AE474" s="64"/>
      <c r="AF474" s="64"/>
      <c r="AG474" s="64"/>
    </row>
    <row r="475" spans="1:33">
      <c r="A475" s="64"/>
      <c r="B475" s="64"/>
      <c r="C475" s="64"/>
      <c r="D475" s="64"/>
      <c r="E475" s="64"/>
      <c r="F475" s="70"/>
      <c r="G475" s="71"/>
      <c r="H475" s="72"/>
      <c r="I475" s="64"/>
      <c r="J475" s="64"/>
      <c r="K475" s="64"/>
      <c r="L475" s="64"/>
      <c r="M475" s="64"/>
      <c r="N475" s="64"/>
      <c r="O475" s="64"/>
      <c r="P475" s="64"/>
      <c r="Q475" s="64"/>
      <c r="R475" s="64"/>
      <c r="S475" s="64"/>
      <c r="T475" s="64"/>
      <c r="U475" s="64"/>
      <c r="V475" s="64"/>
      <c r="W475" s="64"/>
      <c r="X475" s="64"/>
      <c r="Y475" s="64"/>
      <c r="Z475" s="64"/>
      <c r="AA475" s="64"/>
      <c r="AB475" s="64"/>
      <c r="AC475" s="64"/>
      <c r="AD475" s="64"/>
      <c r="AE475" s="64"/>
      <c r="AF475" s="64"/>
      <c r="AG475" s="64"/>
    </row>
    <row r="476" spans="1:33">
      <c r="A476" s="64"/>
      <c r="B476" s="64"/>
      <c r="C476" s="64"/>
      <c r="D476" s="64"/>
      <c r="E476" s="64"/>
      <c r="F476" s="70"/>
      <c r="G476" s="71"/>
      <c r="H476" s="72"/>
      <c r="I476" s="64"/>
      <c r="J476" s="64"/>
      <c r="K476" s="64"/>
      <c r="L476" s="64"/>
      <c r="M476" s="64"/>
      <c r="N476" s="64"/>
      <c r="O476" s="64"/>
      <c r="P476" s="64"/>
      <c r="Q476" s="64"/>
      <c r="R476" s="64"/>
      <c r="S476" s="64"/>
      <c r="T476" s="64"/>
      <c r="U476" s="64"/>
      <c r="V476" s="64"/>
      <c r="W476" s="64"/>
      <c r="X476" s="64"/>
      <c r="Y476" s="64"/>
      <c r="Z476" s="64"/>
      <c r="AA476" s="64"/>
      <c r="AB476" s="64"/>
      <c r="AC476" s="64"/>
      <c r="AD476" s="64"/>
      <c r="AE476" s="64"/>
      <c r="AF476" s="64"/>
      <c r="AG476" s="64"/>
    </row>
    <row r="477" spans="1:33">
      <c r="A477" s="64"/>
      <c r="B477" s="64"/>
      <c r="C477" s="64"/>
      <c r="D477" s="64"/>
      <c r="E477" s="64"/>
      <c r="F477" s="70"/>
      <c r="G477" s="71"/>
      <c r="H477" s="72"/>
      <c r="I477" s="64"/>
      <c r="J477" s="64"/>
      <c r="K477" s="64"/>
      <c r="L477" s="64"/>
      <c r="M477" s="64"/>
      <c r="N477" s="64"/>
      <c r="O477" s="64"/>
      <c r="P477" s="64"/>
      <c r="Q477" s="64"/>
      <c r="R477" s="64"/>
      <c r="S477" s="64"/>
      <c r="T477" s="64"/>
      <c r="U477" s="64"/>
      <c r="V477" s="64"/>
      <c r="W477" s="64"/>
      <c r="X477" s="64"/>
      <c r="Y477" s="64"/>
      <c r="Z477" s="64"/>
      <c r="AA477" s="64"/>
      <c r="AB477" s="64"/>
      <c r="AC477" s="64"/>
      <c r="AD477" s="64"/>
      <c r="AE477" s="64"/>
      <c r="AF477" s="64"/>
      <c r="AG477" s="64"/>
    </row>
    <row r="478" spans="1:33">
      <c r="A478" s="64"/>
      <c r="B478" s="64"/>
      <c r="C478" s="64"/>
      <c r="D478" s="64"/>
      <c r="E478" s="64"/>
      <c r="F478" s="70"/>
      <c r="G478" s="71"/>
      <c r="H478" s="72"/>
      <c r="I478" s="64"/>
      <c r="J478" s="64"/>
      <c r="K478" s="64"/>
      <c r="L478" s="64"/>
      <c r="M478" s="64"/>
      <c r="N478" s="64"/>
      <c r="O478" s="64"/>
      <c r="P478" s="64"/>
      <c r="Q478" s="64"/>
      <c r="R478" s="64"/>
      <c r="S478" s="64"/>
      <c r="T478" s="64"/>
      <c r="U478" s="64"/>
      <c r="V478" s="64"/>
      <c r="W478" s="64"/>
      <c r="X478" s="64"/>
      <c r="Y478" s="64"/>
      <c r="Z478" s="64"/>
      <c r="AA478" s="64"/>
      <c r="AB478" s="64"/>
      <c r="AC478" s="64"/>
      <c r="AD478" s="64"/>
      <c r="AE478" s="64"/>
      <c r="AF478" s="64"/>
      <c r="AG478" s="64"/>
    </row>
    <row r="479" spans="1:33">
      <c r="A479" s="64"/>
      <c r="B479" s="64"/>
      <c r="C479" s="64"/>
      <c r="D479" s="64"/>
      <c r="E479" s="64"/>
      <c r="F479" s="70"/>
      <c r="G479" s="71"/>
      <c r="H479" s="72"/>
      <c r="I479" s="64"/>
      <c r="J479" s="64"/>
      <c r="K479" s="64"/>
      <c r="L479" s="64"/>
      <c r="M479" s="64"/>
      <c r="N479" s="64"/>
      <c r="O479" s="64"/>
      <c r="P479" s="64"/>
      <c r="Q479" s="64"/>
      <c r="R479" s="64"/>
      <c r="S479" s="64"/>
      <c r="T479" s="64"/>
      <c r="U479" s="64"/>
      <c r="V479" s="64"/>
      <c r="W479" s="64"/>
      <c r="X479" s="64"/>
      <c r="Y479" s="64"/>
      <c r="Z479" s="64"/>
      <c r="AA479" s="64"/>
      <c r="AB479" s="64"/>
      <c r="AC479" s="64"/>
      <c r="AD479" s="64"/>
      <c r="AE479" s="64"/>
      <c r="AF479" s="64"/>
      <c r="AG479" s="64"/>
    </row>
    <row r="480" spans="1:33">
      <c r="A480" s="64"/>
      <c r="B480" s="64"/>
      <c r="C480" s="64"/>
      <c r="D480" s="64"/>
      <c r="E480" s="64"/>
      <c r="F480" s="70"/>
      <c r="G480" s="71"/>
      <c r="H480" s="72"/>
      <c r="I480" s="64"/>
      <c r="J480" s="64"/>
      <c r="K480" s="64"/>
      <c r="L480" s="64"/>
      <c r="M480" s="64"/>
      <c r="N480" s="64"/>
      <c r="O480" s="64"/>
      <c r="P480" s="64"/>
      <c r="Q480" s="64"/>
      <c r="R480" s="64"/>
      <c r="S480" s="64"/>
      <c r="T480" s="64"/>
      <c r="U480" s="64"/>
      <c r="V480" s="64"/>
      <c r="W480" s="64"/>
      <c r="X480" s="64"/>
      <c r="Y480" s="64"/>
      <c r="Z480" s="64"/>
      <c r="AA480" s="64"/>
      <c r="AB480" s="64"/>
      <c r="AC480" s="64"/>
      <c r="AD480" s="64"/>
      <c r="AE480" s="64"/>
      <c r="AF480" s="64"/>
      <c r="AG480" s="64"/>
    </row>
    <row r="481" spans="1:33">
      <c r="A481" s="64"/>
      <c r="B481" s="64"/>
      <c r="C481" s="64"/>
      <c r="D481" s="64"/>
      <c r="E481" s="64"/>
      <c r="F481" s="70"/>
      <c r="G481" s="71"/>
      <c r="H481" s="72"/>
      <c r="I481" s="64"/>
      <c r="J481" s="64"/>
      <c r="K481" s="64"/>
      <c r="L481" s="64"/>
      <c r="M481" s="64"/>
      <c r="N481" s="64"/>
      <c r="O481" s="64"/>
      <c r="P481" s="64"/>
      <c r="Q481" s="64"/>
      <c r="R481" s="64"/>
      <c r="S481" s="64"/>
      <c r="T481" s="64"/>
      <c r="U481" s="64"/>
      <c r="V481" s="64"/>
      <c r="W481" s="64"/>
      <c r="X481" s="64"/>
      <c r="Y481" s="64"/>
      <c r="Z481" s="64"/>
      <c r="AA481" s="64"/>
      <c r="AB481" s="64"/>
      <c r="AC481" s="64"/>
      <c r="AD481" s="64"/>
      <c r="AE481" s="64"/>
      <c r="AF481" s="64"/>
      <c r="AG481" s="64"/>
    </row>
    <row r="482" spans="1:33">
      <c r="A482" s="64"/>
      <c r="B482" s="64"/>
      <c r="C482" s="64"/>
      <c r="D482" s="64"/>
      <c r="E482" s="64"/>
      <c r="F482" s="70"/>
      <c r="G482" s="71"/>
      <c r="H482" s="72"/>
      <c r="I482" s="64"/>
      <c r="J482" s="64"/>
      <c r="K482" s="64"/>
      <c r="L482" s="64"/>
      <c r="M482" s="64"/>
      <c r="N482" s="64"/>
      <c r="O482" s="64"/>
      <c r="P482" s="64"/>
      <c r="Q482" s="64"/>
      <c r="R482" s="64"/>
      <c r="S482" s="64"/>
      <c r="T482" s="64"/>
      <c r="U482" s="64"/>
      <c r="V482" s="64"/>
      <c r="W482" s="64"/>
      <c r="X482" s="64"/>
      <c r="Y482" s="64"/>
      <c r="Z482" s="64"/>
      <c r="AA482" s="64"/>
      <c r="AB482" s="64"/>
      <c r="AC482" s="64"/>
      <c r="AD482" s="64"/>
      <c r="AE482" s="64"/>
      <c r="AF482" s="64"/>
      <c r="AG482" s="64"/>
    </row>
    <row r="483" spans="1:33">
      <c r="A483" s="64"/>
      <c r="B483" s="64"/>
      <c r="C483" s="64"/>
      <c r="D483" s="64"/>
      <c r="E483" s="64"/>
      <c r="F483" s="70"/>
      <c r="G483" s="71"/>
      <c r="H483" s="72"/>
      <c r="I483" s="64"/>
      <c r="J483" s="64"/>
      <c r="K483" s="64"/>
      <c r="L483" s="64"/>
      <c r="M483" s="64"/>
      <c r="N483" s="64"/>
      <c r="O483" s="64"/>
      <c r="P483" s="64"/>
      <c r="Q483" s="64"/>
      <c r="R483" s="64"/>
      <c r="S483" s="64"/>
      <c r="T483" s="64"/>
      <c r="U483" s="64"/>
      <c r="V483" s="64"/>
      <c r="W483" s="64"/>
      <c r="X483" s="64"/>
      <c r="Y483" s="64"/>
      <c r="Z483" s="64"/>
      <c r="AA483" s="64"/>
      <c r="AB483" s="64"/>
      <c r="AC483" s="64"/>
      <c r="AD483" s="64"/>
      <c r="AE483" s="64"/>
      <c r="AF483" s="64"/>
      <c r="AG483" s="64"/>
    </row>
    <row r="484" spans="1:33">
      <c r="A484" s="64"/>
      <c r="B484" s="64"/>
      <c r="C484" s="64"/>
      <c r="D484" s="64"/>
      <c r="E484" s="64"/>
      <c r="F484" s="70"/>
      <c r="G484" s="71"/>
      <c r="H484" s="72"/>
      <c r="I484" s="64"/>
      <c r="J484" s="64"/>
      <c r="K484" s="64"/>
      <c r="L484" s="64"/>
      <c r="M484" s="64"/>
      <c r="N484" s="64"/>
      <c r="O484" s="64"/>
      <c r="P484" s="64"/>
      <c r="Q484" s="64"/>
      <c r="R484" s="64"/>
      <c r="S484" s="64"/>
      <c r="T484" s="64"/>
      <c r="U484" s="64"/>
      <c r="V484" s="64"/>
      <c r="W484" s="64"/>
      <c r="X484" s="64"/>
      <c r="Y484" s="64"/>
      <c r="Z484" s="64"/>
      <c r="AA484" s="64"/>
      <c r="AB484" s="64"/>
      <c r="AC484" s="64"/>
      <c r="AD484" s="64"/>
      <c r="AE484" s="64"/>
      <c r="AF484" s="64"/>
      <c r="AG484" s="64"/>
    </row>
    <row r="485" spans="1:33">
      <c r="A485" s="64"/>
      <c r="B485" s="64"/>
      <c r="C485" s="64"/>
      <c r="D485" s="64"/>
      <c r="E485" s="64"/>
      <c r="F485" s="70"/>
      <c r="G485" s="71"/>
      <c r="H485" s="72"/>
      <c r="I485" s="64"/>
      <c r="J485" s="64"/>
      <c r="K485" s="64"/>
      <c r="L485" s="64"/>
      <c r="M485" s="64"/>
      <c r="N485" s="64"/>
      <c r="O485" s="64"/>
      <c r="P485" s="64"/>
      <c r="Q485" s="64"/>
      <c r="R485" s="64"/>
      <c r="S485" s="64"/>
      <c r="T485" s="64"/>
      <c r="U485" s="64"/>
      <c r="V485" s="64"/>
      <c r="W485" s="64"/>
      <c r="X485" s="64"/>
      <c r="Y485" s="64"/>
      <c r="Z485" s="64"/>
      <c r="AA485" s="64"/>
      <c r="AB485" s="64"/>
      <c r="AC485" s="64"/>
      <c r="AD485" s="64"/>
      <c r="AE485" s="64"/>
      <c r="AF485" s="64"/>
      <c r="AG485" s="64"/>
    </row>
    <row r="486" spans="1:33">
      <c r="A486" s="64"/>
      <c r="B486" s="64"/>
      <c r="C486" s="64"/>
      <c r="D486" s="64"/>
      <c r="E486" s="64"/>
      <c r="F486" s="70"/>
      <c r="G486" s="71"/>
      <c r="H486" s="72"/>
      <c r="I486" s="64"/>
      <c r="J486" s="64"/>
      <c r="K486" s="64"/>
      <c r="L486" s="64"/>
      <c r="M486" s="64"/>
      <c r="N486" s="64"/>
      <c r="O486" s="64"/>
      <c r="P486" s="64"/>
      <c r="Q486" s="64"/>
      <c r="R486" s="64"/>
      <c r="S486" s="64"/>
      <c r="T486" s="64"/>
      <c r="U486" s="64"/>
      <c r="V486" s="64"/>
      <c r="W486" s="64"/>
      <c r="X486" s="64"/>
      <c r="Y486" s="64"/>
      <c r="Z486" s="64"/>
      <c r="AA486" s="64"/>
      <c r="AB486" s="64"/>
      <c r="AC486" s="64"/>
      <c r="AD486" s="64"/>
      <c r="AE486" s="64"/>
      <c r="AF486" s="64"/>
      <c r="AG486" s="64"/>
    </row>
    <row r="487" spans="1:33">
      <c r="A487" s="64"/>
      <c r="B487" s="64"/>
      <c r="C487" s="64"/>
      <c r="D487" s="64"/>
      <c r="E487" s="64"/>
      <c r="F487" s="70"/>
      <c r="G487" s="71"/>
      <c r="H487" s="72"/>
      <c r="I487" s="64"/>
      <c r="J487" s="64"/>
      <c r="K487" s="64"/>
      <c r="L487" s="64"/>
      <c r="M487" s="64"/>
      <c r="N487" s="64"/>
      <c r="O487" s="64"/>
      <c r="P487" s="64"/>
      <c r="Q487" s="64"/>
      <c r="R487" s="64"/>
      <c r="S487" s="64"/>
      <c r="T487" s="64"/>
      <c r="U487" s="64"/>
      <c r="V487" s="64"/>
      <c r="W487" s="64"/>
      <c r="X487" s="64"/>
      <c r="Y487" s="64"/>
      <c r="Z487" s="64"/>
      <c r="AA487" s="64"/>
      <c r="AB487" s="64"/>
      <c r="AC487" s="64"/>
      <c r="AD487" s="64"/>
      <c r="AE487" s="64"/>
      <c r="AF487" s="64"/>
      <c r="AG487" s="64"/>
    </row>
    <row r="488" spans="1:33">
      <c r="A488" s="64"/>
      <c r="B488" s="64"/>
      <c r="C488" s="64"/>
      <c r="D488" s="64"/>
      <c r="E488" s="64"/>
      <c r="F488" s="70"/>
      <c r="G488" s="71"/>
      <c r="H488" s="72"/>
      <c r="I488" s="64"/>
      <c r="J488" s="64"/>
      <c r="K488" s="64"/>
      <c r="L488" s="64"/>
      <c r="M488" s="64"/>
      <c r="N488" s="64"/>
      <c r="O488" s="64"/>
      <c r="P488" s="64"/>
      <c r="Q488" s="64"/>
      <c r="R488" s="64"/>
      <c r="S488" s="64"/>
      <c r="T488" s="64"/>
      <c r="U488" s="64"/>
      <c r="V488" s="64"/>
      <c r="W488" s="64"/>
      <c r="X488" s="64"/>
      <c r="Y488" s="64"/>
      <c r="Z488" s="64"/>
      <c r="AA488" s="64"/>
      <c r="AB488" s="64"/>
      <c r="AC488" s="64"/>
      <c r="AD488" s="64"/>
      <c r="AE488" s="64"/>
      <c r="AF488" s="64"/>
      <c r="AG488" s="64"/>
    </row>
    <row r="489" spans="1:33">
      <c r="A489" s="64"/>
      <c r="B489" s="64"/>
      <c r="C489" s="64"/>
      <c r="D489" s="64"/>
      <c r="E489" s="64"/>
      <c r="F489" s="70"/>
      <c r="G489" s="71"/>
      <c r="H489" s="72"/>
      <c r="I489" s="64"/>
      <c r="J489" s="64"/>
      <c r="K489" s="64"/>
      <c r="L489" s="64"/>
      <c r="M489" s="64"/>
      <c r="N489" s="64"/>
      <c r="O489" s="64"/>
      <c r="P489" s="64"/>
      <c r="Q489" s="64"/>
      <c r="R489" s="64"/>
      <c r="S489" s="64"/>
      <c r="T489" s="64"/>
      <c r="U489" s="64"/>
      <c r="V489" s="64"/>
      <c r="W489" s="64"/>
      <c r="X489" s="64"/>
      <c r="Y489" s="64"/>
      <c r="Z489" s="64"/>
      <c r="AA489" s="64"/>
      <c r="AB489" s="64"/>
      <c r="AC489" s="64"/>
      <c r="AD489" s="64"/>
      <c r="AE489" s="64"/>
      <c r="AF489" s="64"/>
      <c r="AG489" s="64"/>
    </row>
    <row r="490" spans="1:33">
      <c r="A490" s="64"/>
      <c r="B490" s="64"/>
      <c r="C490" s="64"/>
      <c r="D490" s="64"/>
      <c r="E490" s="64"/>
      <c r="F490" s="70"/>
      <c r="G490" s="71"/>
      <c r="H490" s="72"/>
      <c r="I490" s="64"/>
      <c r="J490" s="64"/>
      <c r="K490" s="64"/>
      <c r="L490" s="64"/>
      <c r="M490" s="64"/>
      <c r="N490" s="64"/>
      <c r="O490" s="64"/>
      <c r="P490" s="64"/>
      <c r="Q490" s="64"/>
      <c r="R490" s="64"/>
      <c r="S490" s="64"/>
      <c r="T490" s="64"/>
      <c r="U490" s="64"/>
      <c r="V490" s="64"/>
      <c r="W490" s="64"/>
      <c r="X490" s="64"/>
      <c r="Y490" s="64"/>
      <c r="Z490" s="64"/>
      <c r="AA490" s="64"/>
      <c r="AB490" s="64"/>
      <c r="AC490" s="64"/>
      <c r="AD490" s="64"/>
      <c r="AE490" s="64"/>
      <c r="AF490" s="64"/>
      <c r="AG490" s="64"/>
    </row>
    <row r="491" spans="1:33">
      <c r="A491" s="64"/>
      <c r="B491" s="64"/>
      <c r="C491" s="64"/>
      <c r="D491" s="64"/>
      <c r="E491" s="64"/>
      <c r="F491" s="70"/>
      <c r="G491" s="71"/>
      <c r="H491" s="72"/>
      <c r="I491" s="64"/>
      <c r="J491" s="64"/>
      <c r="K491" s="64"/>
      <c r="L491" s="64"/>
      <c r="M491" s="64"/>
      <c r="N491" s="64"/>
      <c r="O491" s="64"/>
      <c r="P491" s="64"/>
      <c r="Q491" s="64"/>
      <c r="R491" s="64"/>
      <c r="S491" s="64"/>
      <c r="T491" s="64"/>
      <c r="U491" s="64"/>
      <c r="V491" s="64"/>
      <c r="W491" s="64"/>
      <c r="X491" s="64"/>
      <c r="Y491" s="64"/>
      <c r="Z491" s="64"/>
      <c r="AA491" s="64"/>
      <c r="AB491" s="64"/>
      <c r="AC491" s="64"/>
      <c r="AD491" s="64"/>
      <c r="AE491" s="64"/>
      <c r="AF491" s="64"/>
      <c r="AG491" s="64"/>
    </row>
    <row r="492" spans="1:33">
      <c r="A492" s="64"/>
      <c r="B492" s="64"/>
      <c r="C492" s="64"/>
      <c r="D492" s="64"/>
      <c r="E492" s="64"/>
      <c r="F492" s="70"/>
      <c r="G492" s="71"/>
      <c r="H492" s="72"/>
      <c r="I492" s="64"/>
      <c r="J492" s="64"/>
      <c r="K492" s="64"/>
      <c r="L492" s="64"/>
      <c r="M492" s="64"/>
      <c r="N492" s="64"/>
      <c r="O492" s="64"/>
      <c r="P492" s="64"/>
      <c r="Q492" s="64"/>
      <c r="R492" s="64"/>
      <c r="S492" s="64"/>
      <c r="T492" s="64"/>
      <c r="U492" s="64"/>
      <c r="V492" s="64"/>
      <c r="W492" s="64"/>
      <c r="X492" s="64"/>
      <c r="Y492" s="64"/>
      <c r="Z492" s="64"/>
      <c r="AA492" s="64"/>
      <c r="AB492" s="64"/>
      <c r="AC492" s="64"/>
      <c r="AD492" s="64"/>
      <c r="AE492" s="64"/>
      <c r="AF492" s="64"/>
      <c r="AG492" s="64"/>
    </row>
    <row r="493" spans="1:33">
      <c r="A493" s="64"/>
      <c r="B493" s="64"/>
      <c r="C493" s="64"/>
      <c r="D493" s="64"/>
      <c r="E493" s="64"/>
      <c r="F493" s="70"/>
      <c r="G493" s="71"/>
      <c r="H493" s="72"/>
      <c r="I493" s="64"/>
      <c r="J493" s="64"/>
      <c r="K493" s="64"/>
      <c r="L493" s="64"/>
      <c r="M493" s="64"/>
      <c r="N493" s="64"/>
      <c r="O493" s="64"/>
      <c r="P493" s="64"/>
      <c r="Q493" s="64"/>
      <c r="R493" s="64"/>
      <c r="S493" s="64"/>
      <c r="T493" s="64"/>
      <c r="U493" s="64"/>
      <c r="V493" s="64"/>
      <c r="W493" s="64"/>
      <c r="X493" s="64"/>
      <c r="Y493" s="64"/>
      <c r="Z493" s="64"/>
      <c r="AA493" s="64"/>
      <c r="AB493" s="64"/>
      <c r="AC493" s="64"/>
      <c r="AD493" s="64"/>
      <c r="AE493" s="64"/>
      <c r="AF493" s="64"/>
      <c r="AG493" s="64"/>
    </row>
    <row r="494" spans="1:33">
      <c r="A494" s="64"/>
      <c r="B494" s="64"/>
      <c r="C494" s="64"/>
      <c r="D494" s="64"/>
      <c r="E494" s="64"/>
      <c r="F494" s="70"/>
      <c r="G494" s="71"/>
      <c r="H494" s="72"/>
      <c r="I494" s="64"/>
      <c r="J494" s="64"/>
      <c r="K494" s="64"/>
      <c r="L494" s="64"/>
      <c r="M494" s="64"/>
      <c r="N494" s="64"/>
      <c r="O494" s="64"/>
      <c r="P494" s="64"/>
      <c r="Q494" s="64"/>
      <c r="R494" s="64"/>
      <c r="S494" s="64"/>
      <c r="T494" s="64"/>
      <c r="U494" s="64"/>
      <c r="V494" s="64"/>
      <c r="W494" s="64"/>
      <c r="X494" s="64"/>
      <c r="Y494" s="64"/>
      <c r="Z494" s="64"/>
      <c r="AA494" s="64"/>
      <c r="AB494" s="64"/>
      <c r="AC494" s="64"/>
      <c r="AD494" s="64"/>
      <c r="AE494" s="64"/>
      <c r="AF494" s="64"/>
      <c r="AG494" s="64"/>
    </row>
    <row r="495" spans="1:33">
      <c r="A495" s="64"/>
      <c r="B495" s="64"/>
      <c r="C495" s="64"/>
      <c r="D495" s="64"/>
      <c r="E495" s="64"/>
      <c r="F495" s="70"/>
      <c r="G495" s="71"/>
      <c r="H495" s="72"/>
      <c r="I495" s="64"/>
      <c r="J495" s="64"/>
      <c r="K495" s="64"/>
      <c r="L495" s="64"/>
      <c r="M495" s="64"/>
      <c r="N495" s="64"/>
      <c r="O495" s="64"/>
      <c r="P495" s="64"/>
      <c r="Q495" s="64"/>
      <c r="R495" s="64"/>
      <c r="S495" s="64"/>
      <c r="T495" s="64"/>
      <c r="U495" s="64"/>
      <c r="V495" s="64"/>
      <c r="W495" s="64"/>
      <c r="X495" s="64"/>
      <c r="Y495" s="64"/>
      <c r="Z495" s="64"/>
      <c r="AA495" s="64"/>
      <c r="AB495" s="64"/>
      <c r="AC495" s="64"/>
      <c r="AD495" s="64"/>
      <c r="AE495" s="64"/>
      <c r="AF495" s="64"/>
      <c r="AG495" s="64"/>
    </row>
    <row r="496" spans="1:33">
      <c r="A496" s="64"/>
      <c r="B496" s="64"/>
      <c r="C496" s="64"/>
      <c r="D496" s="64"/>
      <c r="E496" s="64"/>
      <c r="F496" s="70"/>
      <c r="G496" s="71"/>
      <c r="H496" s="72"/>
      <c r="I496" s="64"/>
      <c r="J496" s="64"/>
      <c r="K496" s="64"/>
      <c r="L496" s="64"/>
      <c r="M496" s="64"/>
      <c r="N496" s="64"/>
      <c r="O496" s="64"/>
      <c r="P496" s="64"/>
      <c r="Q496" s="64"/>
      <c r="R496" s="64"/>
      <c r="S496" s="64"/>
      <c r="T496" s="64"/>
      <c r="U496" s="64"/>
      <c r="V496" s="64"/>
      <c r="W496" s="64"/>
      <c r="X496" s="64"/>
      <c r="Y496" s="64"/>
      <c r="Z496" s="64"/>
      <c r="AA496" s="64"/>
      <c r="AB496" s="64"/>
      <c r="AC496" s="64"/>
      <c r="AD496" s="64"/>
      <c r="AE496" s="64"/>
      <c r="AF496" s="64"/>
      <c r="AG496" s="64"/>
    </row>
    <row r="497" spans="1:33">
      <c r="A497" s="64"/>
      <c r="B497" s="64"/>
      <c r="C497" s="64"/>
      <c r="D497" s="64"/>
      <c r="E497" s="64"/>
      <c r="F497" s="70"/>
      <c r="G497" s="71"/>
      <c r="H497" s="72"/>
      <c r="I497" s="64"/>
      <c r="J497" s="64"/>
      <c r="K497" s="64"/>
      <c r="L497" s="64"/>
      <c r="M497" s="64"/>
      <c r="N497" s="64"/>
      <c r="O497" s="64"/>
      <c r="P497" s="64"/>
      <c r="Q497" s="64"/>
      <c r="R497" s="64"/>
      <c r="S497" s="64"/>
      <c r="T497" s="64"/>
      <c r="U497" s="64"/>
      <c r="V497" s="64"/>
      <c r="W497" s="64"/>
      <c r="X497" s="64"/>
      <c r="Y497" s="64"/>
      <c r="Z497" s="64"/>
      <c r="AA497" s="64"/>
      <c r="AB497" s="64"/>
      <c r="AC497" s="64"/>
      <c r="AD497" s="64"/>
      <c r="AE497" s="64"/>
      <c r="AF497" s="64"/>
      <c r="AG497" s="64"/>
    </row>
    <row r="498" spans="1:33">
      <c r="A498" s="64"/>
      <c r="B498" s="64"/>
      <c r="C498" s="64"/>
      <c r="D498" s="64"/>
      <c r="E498" s="64"/>
      <c r="F498" s="70"/>
      <c r="G498" s="71"/>
      <c r="H498" s="72"/>
      <c r="I498" s="64"/>
      <c r="J498" s="64"/>
      <c r="K498" s="64"/>
      <c r="L498" s="64"/>
      <c r="M498" s="64"/>
      <c r="N498" s="64"/>
      <c r="O498" s="64"/>
      <c r="P498" s="64"/>
      <c r="Q498" s="64"/>
      <c r="R498" s="64"/>
      <c r="S498" s="64"/>
      <c r="T498" s="64"/>
      <c r="U498" s="64"/>
      <c r="V498" s="64"/>
      <c r="W498" s="64"/>
      <c r="X498" s="64"/>
      <c r="Y498" s="64"/>
      <c r="Z498" s="64"/>
      <c r="AA498" s="64"/>
      <c r="AB498" s="64"/>
      <c r="AC498" s="64"/>
      <c r="AD498" s="64"/>
      <c r="AE498" s="64"/>
      <c r="AF498" s="64"/>
      <c r="AG498" s="64"/>
    </row>
    <row r="499" spans="1:33">
      <c r="A499" s="64"/>
      <c r="B499" s="64"/>
      <c r="C499" s="64"/>
      <c r="D499" s="64"/>
      <c r="E499" s="64"/>
      <c r="F499" s="70"/>
      <c r="G499" s="71"/>
      <c r="H499" s="72"/>
      <c r="I499" s="64"/>
      <c r="J499" s="64"/>
      <c r="K499" s="64"/>
      <c r="L499" s="64"/>
      <c r="M499" s="64"/>
      <c r="N499" s="64"/>
      <c r="O499" s="64"/>
      <c r="P499" s="64"/>
      <c r="Q499" s="64"/>
      <c r="R499" s="64"/>
      <c r="S499" s="64"/>
      <c r="T499" s="64"/>
      <c r="U499" s="64"/>
      <c r="V499" s="64"/>
      <c r="W499" s="64"/>
      <c r="X499" s="64"/>
      <c r="Y499" s="64"/>
      <c r="Z499" s="64"/>
      <c r="AA499" s="64"/>
      <c r="AB499" s="64"/>
      <c r="AC499" s="64"/>
      <c r="AD499" s="64"/>
      <c r="AE499" s="64"/>
      <c r="AF499" s="64"/>
      <c r="AG499" s="64"/>
    </row>
    <row r="500" spans="1:33">
      <c r="A500" s="64"/>
      <c r="B500" s="64"/>
      <c r="C500" s="64"/>
      <c r="D500" s="64"/>
      <c r="E500" s="64"/>
      <c r="F500" s="70"/>
      <c r="G500" s="71"/>
      <c r="H500" s="72"/>
      <c r="I500" s="64"/>
      <c r="J500" s="64"/>
      <c r="K500" s="64"/>
      <c r="L500" s="64"/>
      <c r="M500" s="64"/>
      <c r="N500" s="64"/>
      <c r="O500" s="64"/>
      <c r="P500" s="64"/>
      <c r="Q500" s="64"/>
      <c r="R500" s="64"/>
      <c r="S500" s="64"/>
      <c r="T500" s="64"/>
      <c r="U500" s="64"/>
      <c r="V500" s="64"/>
      <c r="W500" s="64"/>
      <c r="X500" s="64"/>
      <c r="Y500" s="64"/>
      <c r="Z500" s="64"/>
      <c r="AA500" s="64"/>
      <c r="AB500" s="64"/>
      <c r="AC500" s="64"/>
      <c r="AD500" s="64"/>
      <c r="AE500" s="64"/>
      <c r="AF500" s="64"/>
      <c r="AG500" s="64"/>
    </row>
    <row r="501" spans="1:33">
      <c r="A501" s="64"/>
      <c r="B501" s="64"/>
      <c r="C501" s="64"/>
      <c r="D501" s="64"/>
      <c r="E501" s="64"/>
      <c r="F501" s="70"/>
      <c r="G501" s="71"/>
      <c r="H501" s="72"/>
      <c r="I501" s="64"/>
      <c r="J501" s="64"/>
      <c r="K501" s="64"/>
      <c r="L501" s="64"/>
      <c r="M501" s="64"/>
      <c r="N501" s="64"/>
      <c r="O501" s="64"/>
      <c r="P501" s="64"/>
      <c r="Q501" s="64"/>
      <c r="R501" s="64"/>
      <c r="S501" s="64"/>
      <c r="T501" s="64"/>
      <c r="U501" s="64"/>
      <c r="V501" s="64"/>
      <c r="W501" s="64"/>
      <c r="X501" s="64"/>
      <c r="Y501" s="64"/>
      <c r="Z501" s="64"/>
      <c r="AA501" s="64"/>
      <c r="AB501" s="64"/>
      <c r="AC501" s="64"/>
      <c r="AD501" s="64"/>
      <c r="AE501" s="64"/>
      <c r="AF501" s="64"/>
      <c r="AG501" s="64"/>
    </row>
    <row r="502" spans="1:33">
      <c r="A502" s="64"/>
      <c r="B502" s="64"/>
      <c r="C502" s="64"/>
      <c r="D502" s="64"/>
      <c r="E502" s="64"/>
      <c r="F502" s="70"/>
      <c r="G502" s="71"/>
      <c r="H502" s="72"/>
      <c r="I502" s="64"/>
      <c r="J502" s="64"/>
      <c r="K502" s="64"/>
      <c r="L502" s="64"/>
      <c r="M502" s="64"/>
      <c r="N502" s="64"/>
      <c r="O502" s="64"/>
      <c r="P502" s="64"/>
      <c r="Q502" s="64"/>
      <c r="R502" s="64"/>
      <c r="S502" s="64"/>
      <c r="T502" s="64"/>
      <c r="U502" s="64"/>
      <c r="V502" s="64"/>
      <c r="W502" s="64"/>
      <c r="X502" s="64"/>
      <c r="Y502" s="64"/>
      <c r="Z502" s="64"/>
      <c r="AA502" s="64"/>
      <c r="AB502" s="64"/>
      <c r="AC502" s="64"/>
      <c r="AD502" s="64"/>
      <c r="AE502" s="64"/>
      <c r="AF502" s="64"/>
      <c r="AG502" s="64"/>
    </row>
    <row r="503" spans="1:33">
      <c r="A503" s="64"/>
      <c r="B503" s="64"/>
      <c r="C503" s="64"/>
      <c r="D503" s="64"/>
      <c r="E503" s="64"/>
      <c r="F503" s="70"/>
      <c r="G503" s="71"/>
      <c r="H503" s="72"/>
      <c r="I503" s="64"/>
      <c r="J503" s="64"/>
      <c r="K503" s="64"/>
      <c r="L503" s="64"/>
      <c r="M503" s="64"/>
      <c r="N503" s="64"/>
      <c r="O503" s="64"/>
      <c r="P503" s="64"/>
      <c r="Q503" s="64"/>
      <c r="R503" s="64"/>
      <c r="S503" s="64"/>
      <c r="T503" s="64"/>
      <c r="U503" s="64"/>
      <c r="V503" s="64"/>
      <c r="W503" s="64"/>
      <c r="X503" s="64"/>
      <c r="Y503" s="64"/>
      <c r="Z503" s="64"/>
      <c r="AA503" s="64"/>
      <c r="AB503" s="64"/>
      <c r="AC503" s="64"/>
      <c r="AD503" s="64"/>
      <c r="AE503" s="64"/>
      <c r="AF503" s="64"/>
      <c r="AG503" s="64"/>
    </row>
    <row r="504" spans="1:33">
      <c r="A504" s="64"/>
      <c r="B504" s="64"/>
      <c r="C504" s="64"/>
      <c r="D504" s="64"/>
      <c r="E504" s="64"/>
      <c r="F504" s="70"/>
      <c r="G504" s="71"/>
      <c r="H504" s="72"/>
      <c r="I504" s="64"/>
      <c r="J504" s="64"/>
      <c r="K504" s="64"/>
      <c r="L504" s="64"/>
      <c r="M504" s="64"/>
      <c r="N504" s="64"/>
      <c r="O504" s="64"/>
      <c r="P504" s="64"/>
      <c r="Q504" s="64"/>
      <c r="R504" s="64"/>
      <c r="S504" s="64"/>
      <c r="T504" s="64"/>
      <c r="U504" s="64"/>
      <c r="V504" s="64"/>
      <c r="W504" s="64"/>
      <c r="X504" s="64"/>
      <c r="Y504" s="64"/>
      <c r="Z504" s="64"/>
      <c r="AA504" s="64"/>
      <c r="AB504" s="64"/>
      <c r="AC504" s="64"/>
      <c r="AD504" s="64"/>
      <c r="AE504" s="64"/>
      <c r="AF504" s="64"/>
      <c r="AG504" s="64"/>
    </row>
    <row r="505" spans="1:33">
      <c r="A505" s="64"/>
      <c r="B505" s="64"/>
      <c r="C505" s="64"/>
      <c r="D505" s="64"/>
      <c r="E505" s="64"/>
      <c r="F505" s="70"/>
      <c r="G505" s="71"/>
      <c r="H505" s="72"/>
      <c r="I505" s="64"/>
      <c r="J505" s="64"/>
      <c r="K505" s="64"/>
      <c r="L505" s="64"/>
      <c r="M505" s="64"/>
      <c r="N505" s="64"/>
      <c r="O505" s="64"/>
      <c r="P505" s="64"/>
      <c r="Q505" s="64"/>
      <c r="R505" s="64"/>
      <c r="S505" s="64"/>
      <c r="T505" s="64"/>
      <c r="U505" s="64"/>
      <c r="V505" s="64"/>
      <c r="W505" s="64"/>
      <c r="X505" s="64"/>
      <c r="Y505" s="64"/>
      <c r="Z505" s="64"/>
      <c r="AA505" s="64"/>
      <c r="AB505" s="64"/>
      <c r="AC505" s="64"/>
      <c r="AD505" s="64"/>
      <c r="AE505" s="64"/>
      <c r="AF505" s="64"/>
      <c r="AG505" s="64"/>
    </row>
    <row r="506" spans="1:33">
      <c r="A506" s="64"/>
      <c r="B506" s="64"/>
      <c r="C506" s="64"/>
      <c r="D506" s="64"/>
      <c r="E506" s="64"/>
      <c r="F506" s="70"/>
      <c r="G506" s="71"/>
      <c r="H506" s="72"/>
      <c r="I506" s="64"/>
      <c r="J506" s="64"/>
      <c r="K506" s="64"/>
      <c r="L506" s="64"/>
      <c r="M506" s="64"/>
      <c r="N506" s="64"/>
      <c r="O506" s="64"/>
      <c r="P506" s="64"/>
      <c r="Q506" s="64"/>
      <c r="R506" s="64"/>
      <c r="S506" s="64"/>
      <c r="T506" s="64"/>
      <c r="U506" s="64"/>
      <c r="V506" s="64"/>
      <c r="W506" s="64"/>
      <c r="X506" s="64"/>
      <c r="Y506" s="64"/>
      <c r="Z506" s="64"/>
      <c r="AA506" s="64"/>
      <c r="AB506" s="64"/>
      <c r="AC506" s="64"/>
      <c r="AD506" s="64"/>
      <c r="AE506" s="64"/>
      <c r="AF506" s="64"/>
      <c r="AG506" s="64"/>
    </row>
    <row r="507" spans="1:33">
      <c r="A507" s="64"/>
      <c r="B507" s="64"/>
      <c r="C507" s="64"/>
      <c r="D507" s="64"/>
      <c r="E507" s="64"/>
      <c r="F507" s="70"/>
      <c r="G507" s="71"/>
      <c r="H507" s="72"/>
      <c r="I507" s="64"/>
      <c r="J507" s="64"/>
      <c r="K507" s="64"/>
      <c r="L507" s="64"/>
      <c r="M507" s="64"/>
      <c r="N507" s="64"/>
      <c r="O507" s="64"/>
      <c r="P507" s="64"/>
      <c r="Q507" s="64"/>
      <c r="R507" s="64"/>
      <c r="S507" s="64"/>
      <c r="T507" s="64"/>
      <c r="U507" s="64"/>
      <c r="V507" s="64"/>
      <c r="W507" s="64"/>
      <c r="X507" s="64"/>
      <c r="Y507" s="64"/>
      <c r="Z507" s="64"/>
      <c r="AA507" s="64"/>
      <c r="AB507" s="64"/>
      <c r="AC507" s="64"/>
      <c r="AD507" s="64"/>
      <c r="AE507" s="64"/>
      <c r="AF507" s="64"/>
      <c r="AG507" s="64"/>
    </row>
    <row r="508" spans="1:33">
      <c r="A508" s="64"/>
      <c r="B508" s="64"/>
      <c r="C508" s="64"/>
      <c r="D508" s="64"/>
      <c r="E508" s="64"/>
      <c r="F508" s="70"/>
      <c r="G508" s="71"/>
      <c r="H508" s="72"/>
      <c r="I508" s="64"/>
      <c r="J508" s="64"/>
      <c r="K508" s="64"/>
      <c r="L508" s="64"/>
      <c r="M508" s="64"/>
      <c r="N508" s="64"/>
      <c r="O508" s="64"/>
      <c r="P508" s="64"/>
      <c r="Q508" s="64"/>
      <c r="R508" s="64"/>
      <c r="S508" s="64"/>
      <c r="T508" s="64"/>
      <c r="U508" s="64"/>
      <c r="V508" s="64"/>
      <c r="W508" s="64"/>
      <c r="X508" s="64"/>
      <c r="Y508" s="64"/>
      <c r="Z508" s="64"/>
      <c r="AA508" s="64"/>
      <c r="AB508" s="64"/>
      <c r="AC508" s="64"/>
      <c r="AD508" s="64"/>
      <c r="AE508" s="64"/>
      <c r="AF508" s="64"/>
      <c r="AG508" s="64"/>
    </row>
    <row r="509" spans="1:33">
      <c r="A509" s="64"/>
      <c r="B509" s="64"/>
      <c r="C509" s="64"/>
      <c r="D509" s="64"/>
      <c r="E509" s="64"/>
      <c r="F509" s="70"/>
      <c r="G509" s="71"/>
      <c r="H509" s="72"/>
      <c r="I509" s="64"/>
      <c r="J509" s="64"/>
      <c r="K509" s="64"/>
      <c r="L509" s="64"/>
      <c r="M509" s="64"/>
      <c r="N509" s="64"/>
      <c r="O509" s="64"/>
      <c r="P509" s="64"/>
      <c r="Q509" s="64"/>
      <c r="R509" s="64"/>
      <c r="S509" s="64"/>
      <c r="T509" s="64"/>
      <c r="U509" s="64"/>
      <c r="V509" s="64"/>
      <c r="W509" s="64"/>
      <c r="X509" s="64"/>
      <c r="Y509" s="64"/>
      <c r="Z509" s="64"/>
      <c r="AA509" s="64"/>
      <c r="AB509" s="64"/>
      <c r="AC509" s="64"/>
      <c r="AD509" s="64"/>
      <c r="AE509" s="64"/>
      <c r="AF509" s="64"/>
      <c r="AG509" s="64"/>
    </row>
    <row r="510" spans="1:33">
      <c r="A510" s="64"/>
      <c r="B510" s="64"/>
      <c r="C510" s="64"/>
      <c r="D510" s="64"/>
      <c r="E510" s="64"/>
      <c r="F510" s="70"/>
      <c r="G510" s="71"/>
      <c r="H510" s="72"/>
      <c r="I510" s="64"/>
      <c r="J510" s="64"/>
      <c r="K510" s="64"/>
      <c r="L510" s="64"/>
      <c r="M510" s="64"/>
      <c r="N510" s="64"/>
      <c r="O510" s="64"/>
      <c r="P510" s="64"/>
      <c r="Q510" s="64"/>
      <c r="R510" s="64"/>
      <c r="S510" s="64"/>
      <c r="T510" s="64"/>
      <c r="U510" s="64"/>
      <c r="V510" s="64"/>
      <c r="W510" s="64"/>
      <c r="X510" s="64"/>
      <c r="Y510" s="64"/>
      <c r="Z510" s="64"/>
      <c r="AA510" s="64"/>
      <c r="AB510" s="64"/>
      <c r="AC510" s="64"/>
      <c r="AD510" s="64"/>
      <c r="AE510" s="64"/>
      <c r="AF510" s="64"/>
      <c r="AG510" s="64"/>
    </row>
    <row r="511" spans="1:33">
      <c r="A511" s="64"/>
      <c r="B511" s="64"/>
      <c r="C511" s="64"/>
      <c r="D511" s="64"/>
      <c r="E511" s="64"/>
      <c r="F511" s="70"/>
      <c r="G511" s="71"/>
      <c r="H511" s="72"/>
      <c r="I511" s="64"/>
      <c r="J511" s="64"/>
      <c r="K511" s="64"/>
      <c r="L511" s="64"/>
      <c r="M511" s="64"/>
      <c r="N511" s="64"/>
      <c r="O511" s="64"/>
      <c r="P511" s="64"/>
      <c r="Q511" s="64"/>
      <c r="R511" s="64"/>
      <c r="S511" s="64"/>
      <c r="T511" s="64"/>
      <c r="U511" s="64"/>
      <c r="V511" s="64"/>
      <c r="W511" s="64"/>
      <c r="X511" s="64"/>
      <c r="Y511" s="64"/>
      <c r="Z511" s="64"/>
      <c r="AA511" s="64"/>
      <c r="AB511" s="64"/>
      <c r="AC511" s="64"/>
      <c r="AD511" s="64"/>
      <c r="AE511" s="64"/>
      <c r="AF511" s="64"/>
      <c r="AG511" s="64"/>
    </row>
    <row r="512" spans="1:33">
      <c r="A512" s="64"/>
      <c r="B512" s="64"/>
      <c r="C512" s="64"/>
      <c r="D512" s="64"/>
      <c r="E512" s="64"/>
      <c r="F512" s="70"/>
      <c r="G512" s="71"/>
      <c r="H512" s="72"/>
      <c r="I512" s="64"/>
      <c r="J512" s="64"/>
      <c r="K512" s="64"/>
      <c r="L512" s="64"/>
      <c r="M512" s="64"/>
      <c r="N512" s="64"/>
      <c r="O512" s="64"/>
      <c r="P512" s="64"/>
      <c r="Q512" s="64"/>
      <c r="R512" s="64"/>
      <c r="S512" s="64"/>
      <c r="T512" s="64"/>
      <c r="U512" s="64"/>
      <c r="V512" s="64"/>
      <c r="W512" s="64"/>
      <c r="X512" s="64"/>
      <c r="Y512" s="64"/>
      <c r="Z512" s="64"/>
      <c r="AA512" s="64"/>
      <c r="AB512" s="64"/>
      <c r="AC512" s="64"/>
      <c r="AD512" s="64"/>
      <c r="AE512" s="64"/>
      <c r="AF512" s="64"/>
      <c r="AG512" s="64"/>
    </row>
    <row r="513" spans="1:33">
      <c r="A513" s="64"/>
      <c r="B513" s="64"/>
      <c r="C513" s="64"/>
      <c r="D513" s="64"/>
      <c r="E513" s="64"/>
      <c r="F513" s="70"/>
      <c r="G513" s="71"/>
      <c r="H513" s="72"/>
      <c r="I513" s="64"/>
      <c r="J513" s="64"/>
      <c r="K513" s="64"/>
      <c r="L513" s="64"/>
      <c r="M513" s="64"/>
      <c r="N513" s="64"/>
      <c r="O513" s="64"/>
      <c r="P513" s="64"/>
      <c r="Q513" s="64"/>
      <c r="R513" s="64"/>
      <c r="S513" s="64"/>
      <c r="T513" s="64"/>
      <c r="U513" s="64"/>
      <c r="V513" s="64"/>
      <c r="W513" s="64"/>
      <c r="X513" s="64"/>
      <c r="Y513" s="64"/>
      <c r="Z513" s="64"/>
      <c r="AA513" s="64"/>
      <c r="AB513" s="64"/>
      <c r="AC513" s="64"/>
      <c r="AD513" s="64"/>
      <c r="AE513" s="64"/>
      <c r="AF513" s="64"/>
      <c r="AG513" s="64"/>
    </row>
    <row r="514" spans="1:33">
      <c r="A514" s="64"/>
      <c r="B514" s="64"/>
      <c r="C514" s="64"/>
      <c r="D514" s="64"/>
      <c r="E514" s="64"/>
      <c r="F514" s="70"/>
      <c r="G514" s="71"/>
      <c r="H514" s="72"/>
      <c r="I514" s="64"/>
      <c r="J514" s="64"/>
      <c r="K514" s="64"/>
      <c r="L514" s="64"/>
      <c r="M514" s="64"/>
      <c r="N514" s="64"/>
      <c r="O514" s="64"/>
      <c r="P514" s="64"/>
      <c r="Q514" s="64"/>
      <c r="R514" s="64"/>
      <c r="S514" s="64"/>
      <c r="T514" s="64"/>
      <c r="U514" s="64"/>
      <c r="V514" s="64"/>
      <c r="W514" s="64"/>
      <c r="X514" s="64"/>
      <c r="Y514" s="64"/>
      <c r="Z514" s="64"/>
      <c r="AA514" s="64"/>
      <c r="AB514" s="64"/>
      <c r="AC514" s="64"/>
      <c r="AD514" s="64"/>
      <c r="AE514" s="64"/>
      <c r="AF514" s="64"/>
      <c r="AG514" s="64"/>
    </row>
    <row r="515" spans="1:33">
      <c r="A515" s="64"/>
      <c r="B515" s="64"/>
      <c r="C515" s="64"/>
      <c r="D515" s="64"/>
      <c r="E515" s="64"/>
      <c r="F515" s="70"/>
      <c r="G515" s="71"/>
      <c r="H515" s="72"/>
      <c r="I515" s="64"/>
      <c r="J515" s="64"/>
      <c r="K515" s="64"/>
      <c r="L515" s="64"/>
      <c r="M515" s="64"/>
      <c r="N515" s="64"/>
      <c r="O515" s="64"/>
      <c r="P515" s="64"/>
      <c r="Q515" s="64"/>
      <c r="R515" s="64"/>
      <c r="S515" s="64"/>
      <c r="T515" s="64"/>
      <c r="U515" s="64"/>
      <c r="V515" s="64"/>
      <c r="W515" s="64"/>
      <c r="X515" s="64"/>
      <c r="Y515" s="64"/>
      <c r="Z515" s="64"/>
      <c r="AA515" s="64"/>
      <c r="AB515" s="64"/>
      <c r="AC515" s="64"/>
      <c r="AD515" s="64"/>
      <c r="AE515" s="64"/>
      <c r="AF515" s="64"/>
      <c r="AG515" s="64"/>
    </row>
    <row r="516" spans="1:33">
      <c r="A516" s="64"/>
      <c r="B516" s="64"/>
      <c r="C516" s="64"/>
      <c r="D516" s="64"/>
      <c r="E516" s="64"/>
      <c r="F516" s="70"/>
      <c r="G516" s="71"/>
      <c r="H516" s="72"/>
      <c r="I516" s="64"/>
      <c r="J516" s="64"/>
      <c r="K516" s="64"/>
      <c r="L516" s="64"/>
      <c r="M516" s="64"/>
      <c r="N516" s="64"/>
      <c r="O516" s="64"/>
      <c r="P516" s="64"/>
      <c r="Q516" s="64"/>
      <c r="R516" s="64"/>
      <c r="S516" s="64"/>
      <c r="T516" s="64"/>
      <c r="U516" s="64"/>
      <c r="V516" s="64"/>
      <c r="W516" s="64"/>
      <c r="X516" s="64"/>
      <c r="Y516" s="64"/>
      <c r="Z516" s="64"/>
      <c r="AA516" s="64"/>
      <c r="AB516" s="64"/>
      <c r="AC516" s="64"/>
      <c r="AD516" s="64"/>
      <c r="AE516" s="64"/>
      <c r="AF516" s="64"/>
      <c r="AG516" s="64"/>
    </row>
    <row r="517" spans="1:33">
      <c r="A517" s="64"/>
      <c r="B517" s="64"/>
      <c r="C517" s="64"/>
      <c r="D517" s="64"/>
      <c r="E517" s="64"/>
      <c r="F517" s="70"/>
      <c r="G517" s="71"/>
      <c r="H517" s="72"/>
      <c r="I517" s="64"/>
      <c r="J517" s="64"/>
      <c r="K517" s="64"/>
      <c r="L517" s="64"/>
      <c r="M517" s="64"/>
      <c r="N517" s="64"/>
      <c r="O517" s="64"/>
      <c r="P517" s="64"/>
      <c r="Q517" s="64"/>
      <c r="R517" s="64"/>
      <c r="S517" s="64"/>
      <c r="T517" s="64"/>
      <c r="U517" s="64"/>
      <c r="V517" s="64"/>
      <c r="W517" s="64"/>
      <c r="X517" s="64"/>
      <c r="Y517" s="64"/>
      <c r="Z517" s="64"/>
      <c r="AA517" s="64"/>
      <c r="AB517" s="64"/>
      <c r="AC517" s="64"/>
      <c r="AD517" s="64"/>
      <c r="AE517" s="64"/>
      <c r="AF517" s="64"/>
      <c r="AG517" s="64"/>
    </row>
    <row r="518" spans="1:33">
      <c r="A518" s="64"/>
      <c r="B518" s="64"/>
      <c r="C518" s="64"/>
      <c r="D518" s="64"/>
      <c r="E518" s="64"/>
      <c r="F518" s="70"/>
      <c r="G518" s="71"/>
      <c r="H518" s="72"/>
      <c r="I518" s="64"/>
      <c r="J518" s="64"/>
      <c r="K518" s="64"/>
      <c r="L518" s="64"/>
      <c r="M518" s="64"/>
      <c r="N518" s="64"/>
      <c r="O518" s="64"/>
      <c r="P518" s="64"/>
      <c r="Q518" s="64"/>
      <c r="R518" s="64"/>
      <c r="S518" s="64"/>
      <c r="T518" s="64"/>
      <c r="U518" s="64"/>
      <c r="V518" s="64"/>
      <c r="W518" s="64"/>
      <c r="X518" s="64"/>
      <c r="Y518" s="64"/>
      <c r="Z518" s="64"/>
      <c r="AA518" s="64"/>
      <c r="AB518" s="64"/>
      <c r="AC518" s="64"/>
      <c r="AD518" s="64"/>
      <c r="AE518" s="64"/>
      <c r="AF518" s="64"/>
      <c r="AG518" s="64"/>
    </row>
    <row r="519" spans="1:33">
      <c r="A519" s="64"/>
      <c r="B519" s="64"/>
      <c r="C519" s="64"/>
      <c r="D519" s="64"/>
      <c r="E519" s="64"/>
      <c r="F519" s="70"/>
      <c r="G519" s="71"/>
      <c r="H519" s="72"/>
      <c r="I519" s="64"/>
      <c r="J519" s="64"/>
      <c r="K519" s="64"/>
      <c r="L519" s="64"/>
      <c r="M519" s="64"/>
      <c r="N519" s="64"/>
      <c r="O519" s="64"/>
      <c r="P519" s="64"/>
      <c r="Q519" s="64"/>
      <c r="R519" s="64"/>
      <c r="S519" s="64"/>
      <c r="T519" s="64"/>
      <c r="U519" s="64"/>
      <c r="V519" s="64"/>
      <c r="W519" s="64"/>
      <c r="X519" s="64"/>
      <c r="Y519" s="64"/>
      <c r="Z519" s="64"/>
      <c r="AA519" s="64"/>
      <c r="AB519" s="64"/>
      <c r="AC519" s="64"/>
      <c r="AD519" s="64"/>
      <c r="AE519" s="64"/>
      <c r="AF519" s="64"/>
      <c r="AG519" s="64"/>
    </row>
    <row r="520" spans="1:33">
      <c r="A520" s="64"/>
      <c r="B520" s="64"/>
      <c r="C520" s="64"/>
      <c r="D520" s="64"/>
      <c r="E520" s="64"/>
      <c r="F520" s="70"/>
      <c r="G520" s="71"/>
      <c r="H520" s="72"/>
      <c r="I520" s="64"/>
      <c r="J520" s="64"/>
      <c r="K520" s="64"/>
      <c r="L520" s="64"/>
      <c r="M520" s="64"/>
      <c r="N520" s="64"/>
      <c r="O520" s="64"/>
      <c r="P520" s="64"/>
      <c r="Q520" s="64"/>
      <c r="R520" s="64"/>
      <c r="S520" s="64"/>
      <c r="T520" s="64"/>
      <c r="U520" s="64"/>
      <c r="V520" s="64"/>
      <c r="W520" s="64"/>
      <c r="X520" s="64"/>
      <c r="Y520" s="64"/>
      <c r="Z520" s="64"/>
      <c r="AA520" s="64"/>
      <c r="AB520" s="64"/>
      <c r="AC520" s="64"/>
      <c r="AD520" s="64"/>
      <c r="AE520" s="64"/>
      <c r="AF520" s="64"/>
      <c r="AG520" s="64"/>
    </row>
    <row r="521" spans="1:33">
      <c r="A521" s="64"/>
      <c r="B521" s="64"/>
      <c r="C521" s="64"/>
      <c r="D521" s="64"/>
      <c r="E521" s="64"/>
      <c r="F521" s="70"/>
      <c r="G521" s="71"/>
      <c r="H521" s="72"/>
      <c r="I521" s="64"/>
      <c r="J521" s="64"/>
      <c r="K521" s="64"/>
      <c r="L521" s="64"/>
      <c r="M521" s="64"/>
      <c r="N521" s="64"/>
      <c r="O521" s="64"/>
      <c r="P521" s="64"/>
      <c r="Q521" s="64"/>
      <c r="R521" s="64"/>
      <c r="S521" s="64"/>
      <c r="T521" s="64"/>
      <c r="U521" s="64"/>
      <c r="V521" s="64"/>
      <c r="W521" s="64"/>
      <c r="X521" s="64"/>
      <c r="Y521" s="64"/>
      <c r="Z521" s="64"/>
      <c r="AA521" s="64"/>
      <c r="AB521" s="64"/>
      <c r="AC521" s="64"/>
      <c r="AD521" s="64"/>
      <c r="AE521" s="64"/>
      <c r="AF521" s="64"/>
      <c r="AG521" s="64"/>
    </row>
    <row r="522" spans="1:33">
      <c r="A522" s="64"/>
      <c r="B522" s="64"/>
      <c r="C522" s="64"/>
      <c r="D522" s="64"/>
      <c r="E522" s="64"/>
      <c r="F522" s="70"/>
      <c r="G522" s="71"/>
      <c r="H522" s="72"/>
      <c r="I522" s="64"/>
      <c r="J522" s="64"/>
      <c r="K522" s="64"/>
      <c r="L522" s="64"/>
      <c r="M522" s="64"/>
      <c r="N522" s="64"/>
      <c r="O522" s="64"/>
      <c r="P522" s="64"/>
      <c r="Q522" s="64"/>
      <c r="R522" s="64"/>
      <c r="S522" s="64"/>
      <c r="T522" s="64"/>
      <c r="U522" s="64"/>
      <c r="V522" s="64"/>
      <c r="W522" s="64"/>
      <c r="X522" s="64"/>
      <c r="Y522" s="64"/>
      <c r="Z522" s="64"/>
      <c r="AA522" s="64"/>
      <c r="AB522" s="64"/>
      <c r="AC522" s="64"/>
      <c r="AD522" s="64"/>
      <c r="AE522" s="64"/>
      <c r="AF522" s="64"/>
      <c r="AG522" s="64"/>
    </row>
    <row r="523" spans="1:33">
      <c r="A523" s="64"/>
      <c r="B523" s="64"/>
      <c r="C523" s="64"/>
      <c r="D523" s="64"/>
      <c r="E523" s="64"/>
      <c r="F523" s="70"/>
      <c r="G523" s="71"/>
      <c r="H523" s="72"/>
      <c r="I523" s="64"/>
      <c r="J523" s="64"/>
      <c r="K523" s="64"/>
      <c r="L523" s="64"/>
      <c r="M523" s="64"/>
      <c r="N523" s="64"/>
      <c r="O523" s="64"/>
      <c r="P523" s="64"/>
      <c r="Q523" s="64"/>
      <c r="R523" s="64"/>
      <c r="S523" s="64"/>
      <c r="T523" s="64"/>
      <c r="U523" s="64"/>
      <c r="V523" s="64"/>
      <c r="W523" s="64"/>
      <c r="X523" s="64"/>
      <c r="Y523" s="64"/>
      <c r="Z523" s="64"/>
      <c r="AA523" s="64"/>
      <c r="AB523" s="64"/>
      <c r="AC523" s="64"/>
      <c r="AD523" s="64"/>
      <c r="AE523" s="64"/>
      <c r="AF523" s="64"/>
      <c r="AG523" s="64"/>
    </row>
    <row r="524" spans="1:33">
      <c r="A524" s="64"/>
      <c r="B524" s="64"/>
      <c r="C524" s="64"/>
      <c r="D524" s="64"/>
      <c r="E524" s="64"/>
      <c r="F524" s="70"/>
      <c r="G524" s="71"/>
      <c r="H524" s="72"/>
      <c r="I524" s="64"/>
      <c r="J524" s="64"/>
      <c r="K524" s="64"/>
      <c r="L524" s="64"/>
      <c r="M524" s="64"/>
      <c r="N524" s="64"/>
      <c r="O524" s="64"/>
      <c r="P524" s="64"/>
      <c r="Q524" s="64"/>
      <c r="R524" s="64"/>
      <c r="S524" s="64"/>
      <c r="T524" s="64"/>
      <c r="U524" s="64"/>
      <c r="V524" s="64"/>
      <c r="W524" s="64"/>
      <c r="X524" s="64"/>
      <c r="Y524" s="64"/>
      <c r="Z524" s="64"/>
      <c r="AA524" s="64"/>
      <c r="AB524" s="64"/>
      <c r="AC524" s="64"/>
      <c r="AD524" s="64"/>
      <c r="AE524" s="64"/>
      <c r="AF524" s="64"/>
      <c r="AG524" s="64"/>
    </row>
    <row r="525" spans="1:33">
      <c r="A525" s="64"/>
      <c r="B525" s="64"/>
      <c r="C525" s="64"/>
      <c r="D525" s="64"/>
      <c r="E525" s="64"/>
      <c r="F525" s="70"/>
      <c r="G525" s="71"/>
      <c r="H525" s="72"/>
      <c r="I525" s="64"/>
      <c r="J525" s="64"/>
      <c r="K525" s="64"/>
      <c r="L525" s="64"/>
      <c r="M525" s="64"/>
      <c r="N525" s="64"/>
      <c r="O525" s="64"/>
      <c r="P525" s="64"/>
      <c r="Q525" s="64"/>
      <c r="R525" s="64"/>
      <c r="S525" s="64"/>
      <c r="T525" s="64"/>
      <c r="U525" s="64"/>
      <c r="V525" s="64"/>
      <c r="W525" s="64"/>
      <c r="X525" s="64"/>
      <c r="Y525" s="64"/>
      <c r="Z525" s="64"/>
      <c r="AA525" s="64"/>
      <c r="AB525" s="64"/>
      <c r="AC525" s="64"/>
      <c r="AD525" s="64"/>
      <c r="AE525" s="64"/>
      <c r="AF525" s="64"/>
      <c r="AG525" s="64"/>
    </row>
    <row r="526" spans="1:33">
      <c r="A526" s="64"/>
      <c r="B526" s="64"/>
      <c r="C526" s="64"/>
      <c r="D526" s="64"/>
      <c r="E526" s="64"/>
      <c r="F526" s="70"/>
      <c r="G526" s="71"/>
      <c r="H526" s="72"/>
      <c r="I526" s="64"/>
      <c r="J526" s="64"/>
      <c r="K526" s="64"/>
      <c r="L526" s="64"/>
      <c r="M526" s="64"/>
      <c r="N526" s="64"/>
      <c r="O526" s="64"/>
      <c r="P526" s="64"/>
      <c r="Q526" s="64"/>
      <c r="R526" s="64"/>
      <c r="S526" s="64"/>
      <c r="T526" s="64"/>
      <c r="U526" s="64"/>
      <c r="V526" s="64"/>
      <c r="W526" s="64"/>
      <c r="X526" s="64"/>
      <c r="Y526" s="64"/>
      <c r="Z526" s="64"/>
      <c r="AA526" s="64"/>
      <c r="AB526" s="64"/>
      <c r="AC526" s="64"/>
      <c r="AD526" s="64"/>
      <c r="AE526" s="64"/>
      <c r="AF526" s="64"/>
      <c r="AG526" s="64"/>
    </row>
    <row r="527" spans="1:33">
      <c r="A527" s="64"/>
      <c r="B527" s="64"/>
      <c r="C527" s="64"/>
      <c r="D527" s="64"/>
      <c r="E527" s="64"/>
      <c r="F527" s="70"/>
      <c r="G527" s="71"/>
      <c r="H527" s="72"/>
      <c r="I527" s="64"/>
      <c r="J527" s="64"/>
      <c r="K527" s="64"/>
      <c r="L527" s="64"/>
      <c r="M527" s="64"/>
      <c r="N527" s="64"/>
      <c r="O527" s="64"/>
      <c r="P527" s="64"/>
      <c r="Q527" s="64"/>
      <c r="R527" s="64"/>
      <c r="S527" s="64"/>
      <c r="T527" s="64"/>
      <c r="U527" s="64"/>
      <c r="V527" s="64"/>
      <c r="W527" s="64"/>
      <c r="X527" s="64"/>
      <c r="Y527" s="64"/>
      <c r="Z527" s="64"/>
      <c r="AA527" s="64"/>
      <c r="AB527" s="64"/>
      <c r="AC527" s="64"/>
      <c r="AD527" s="64"/>
      <c r="AE527" s="64"/>
      <c r="AF527" s="64"/>
      <c r="AG527" s="64"/>
    </row>
    <row r="528" spans="1:33">
      <c r="A528" s="64"/>
      <c r="B528" s="64"/>
      <c r="C528" s="64"/>
      <c r="D528" s="64"/>
      <c r="E528" s="64"/>
      <c r="F528" s="70"/>
      <c r="G528" s="71"/>
      <c r="H528" s="72"/>
      <c r="I528" s="64"/>
      <c r="J528" s="64"/>
      <c r="K528" s="64"/>
      <c r="L528" s="64"/>
      <c r="M528" s="64"/>
      <c r="N528" s="64"/>
      <c r="O528" s="64"/>
      <c r="P528" s="64"/>
      <c r="Q528" s="64"/>
      <c r="R528" s="64"/>
      <c r="S528" s="64"/>
      <c r="T528" s="64"/>
      <c r="U528" s="64"/>
      <c r="V528" s="64"/>
      <c r="W528" s="64"/>
      <c r="X528" s="64"/>
      <c r="Y528" s="64"/>
      <c r="Z528" s="64"/>
      <c r="AA528" s="64"/>
      <c r="AB528" s="64"/>
      <c r="AC528" s="64"/>
      <c r="AD528" s="64"/>
      <c r="AE528" s="64"/>
      <c r="AF528" s="64"/>
      <c r="AG528" s="64"/>
    </row>
    <row r="529" spans="1:33">
      <c r="A529" s="64"/>
      <c r="B529" s="64"/>
      <c r="C529" s="64"/>
      <c r="D529" s="64"/>
      <c r="E529" s="64"/>
      <c r="F529" s="70"/>
      <c r="G529" s="71"/>
      <c r="H529" s="72"/>
      <c r="I529" s="64"/>
      <c r="J529" s="64"/>
      <c r="K529" s="64"/>
      <c r="L529" s="64"/>
      <c r="M529" s="64"/>
      <c r="N529" s="64"/>
      <c r="O529" s="64"/>
      <c r="P529" s="64"/>
      <c r="Q529" s="64"/>
      <c r="R529" s="64"/>
      <c r="S529" s="64"/>
      <c r="T529" s="64"/>
      <c r="U529" s="64"/>
      <c r="V529" s="64"/>
      <c r="W529" s="64"/>
      <c r="X529" s="64"/>
      <c r="Y529" s="64"/>
      <c r="Z529" s="64"/>
      <c r="AA529" s="64"/>
      <c r="AB529" s="64"/>
      <c r="AC529" s="64"/>
      <c r="AD529" s="64"/>
      <c r="AE529" s="64"/>
      <c r="AF529" s="64"/>
      <c r="AG529" s="64"/>
    </row>
    <row r="530" spans="1:33">
      <c r="A530" s="64"/>
      <c r="B530" s="64"/>
      <c r="C530" s="64"/>
      <c r="D530" s="64"/>
      <c r="E530" s="64"/>
      <c r="F530" s="70"/>
      <c r="G530" s="71"/>
      <c r="H530" s="72"/>
      <c r="I530" s="64"/>
      <c r="J530" s="64"/>
      <c r="K530" s="64"/>
      <c r="L530" s="64"/>
      <c r="M530" s="64"/>
      <c r="N530" s="64"/>
      <c r="O530" s="64"/>
      <c r="P530" s="64"/>
      <c r="Q530" s="64"/>
      <c r="R530" s="64"/>
      <c r="S530" s="64"/>
      <c r="T530" s="64"/>
      <c r="U530" s="64"/>
      <c r="V530" s="64"/>
      <c r="W530" s="64"/>
      <c r="X530" s="64"/>
      <c r="Y530" s="64"/>
      <c r="Z530" s="64"/>
      <c r="AA530" s="64"/>
      <c r="AB530" s="64"/>
      <c r="AC530" s="64"/>
      <c r="AD530" s="64"/>
      <c r="AE530" s="64"/>
      <c r="AF530" s="64"/>
      <c r="AG530" s="64"/>
    </row>
    <row r="531" spans="1:33">
      <c r="A531" s="64"/>
      <c r="B531" s="64"/>
      <c r="C531" s="64"/>
      <c r="D531" s="64"/>
      <c r="E531" s="64"/>
      <c r="F531" s="70"/>
      <c r="G531" s="71"/>
      <c r="H531" s="72"/>
      <c r="I531" s="64"/>
      <c r="J531" s="64"/>
      <c r="K531" s="64"/>
      <c r="L531" s="64"/>
      <c r="M531" s="64"/>
      <c r="N531" s="64"/>
      <c r="O531" s="64"/>
      <c r="P531" s="64"/>
      <c r="Q531" s="64"/>
      <c r="R531" s="64"/>
      <c r="S531" s="64"/>
      <c r="T531" s="64"/>
      <c r="U531" s="64"/>
      <c r="V531" s="64"/>
      <c r="W531" s="64"/>
      <c r="X531" s="64"/>
      <c r="Y531" s="64"/>
      <c r="Z531" s="64"/>
      <c r="AA531" s="64"/>
      <c r="AB531" s="64"/>
      <c r="AC531" s="64"/>
      <c r="AD531" s="64"/>
      <c r="AE531" s="64"/>
      <c r="AF531" s="64"/>
      <c r="AG531" s="64"/>
    </row>
    <row r="532" spans="1:33">
      <c r="A532" s="64"/>
      <c r="B532" s="64"/>
      <c r="C532" s="64"/>
      <c r="D532" s="64"/>
      <c r="E532" s="64"/>
      <c r="F532" s="70"/>
      <c r="G532" s="71"/>
      <c r="H532" s="72"/>
      <c r="I532" s="64"/>
      <c r="J532" s="64"/>
      <c r="K532" s="64"/>
      <c r="L532" s="64"/>
      <c r="M532" s="64"/>
      <c r="N532" s="64"/>
      <c r="O532" s="64"/>
      <c r="P532" s="64"/>
      <c r="Q532" s="64"/>
      <c r="R532" s="64"/>
      <c r="S532" s="64"/>
      <c r="T532" s="64"/>
      <c r="U532" s="64"/>
      <c r="V532" s="64"/>
      <c r="W532" s="64"/>
      <c r="X532" s="64"/>
      <c r="Y532" s="64"/>
      <c r="Z532" s="64"/>
      <c r="AA532" s="64"/>
      <c r="AB532" s="64"/>
      <c r="AC532" s="64"/>
      <c r="AD532" s="64"/>
      <c r="AE532" s="64"/>
      <c r="AF532" s="64"/>
      <c r="AG532" s="64"/>
    </row>
    <row r="533" spans="1:33">
      <c r="A533" s="64"/>
      <c r="B533" s="64"/>
      <c r="C533" s="64"/>
      <c r="D533" s="64"/>
      <c r="E533" s="64"/>
      <c r="F533" s="70"/>
      <c r="G533" s="71"/>
      <c r="H533" s="72"/>
      <c r="I533" s="64"/>
      <c r="J533" s="64"/>
      <c r="K533" s="64"/>
      <c r="L533" s="64"/>
      <c r="M533" s="64"/>
      <c r="N533" s="64"/>
      <c r="O533" s="64"/>
      <c r="P533" s="64"/>
      <c r="Q533" s="64"/>
      <c r="R533" s="64"/>
      <c r="S533" s="64"/>
      <c r="T533" s="64"/>
      <c r="U533" s="64"/>
      <c r="V533" s="64"/>
      <c r="W533" s="64"/>
      <c r="X533" s="64"/>
      <c r="Y533" s="64"/>
      <c r="Z533" s="64"/>
      <c r="AA533" s="64"/>
      <c r="AB533" s="64"/>
      <c r="AC533" s="64"/>
      <c r="AD533" s="64"/>
      <c r="AE533" s="64"/>
      <c r="AF533" s="64"/>
      <c r="AG533" s="64"/>
    </row>
    <row r="534" spans="1:33">
      <c r="A534" s="64"/>
      <c r="B534" s="64"/>
      <c r="C534" s="64"/>
      <c r="D534" s="64"/>
      <c r="E534" s="64"/>
      <c r="F534" s="70"/>
      <c r="G534" s="71"/>
      <c r="H534" s="72"/>
      <c r="I534" s="64"/>
      <c r="J534" s="64"/>
      <c r="K534" s="64"/>
      <c r="L534" s="64"/>
      <c r="M534" s="64"/>
      <c r="N534" s="64"/>
      <c r="O534" s="64"/>
      <c r="P534" s="64"/>
      <c r="Q534" s="64"/>
      <c r="R534" s="64"/>
      <c r="S534" s="64"/>
      <c r="T534" s="64"/>
      <c r="U534" s="64"/>
      <c r="V534" s="64"/>
      <c r="W534" s="64"/>
      <c r="X534" s="64"/>
      <c r="Y534" s="64"/>
      <c r="Z534" s="64"/>
      <c r="AA534" s="64"/>
      <c r="AB534" s="64"/>
      <c r="AC534" s="64"/>
      <c r="AD534" s="64"/>
      <c r="AE534" s="64"/>
      <c r="AF534" s="64"/>
      <c r="AG534" s="64"/>
    </row>
    <row r="535" spans="1:33">
      <c r="A535" s="64"/>
      <c r="B535" s="64"/>
      <c r="C535" s="64"/>
      <c r="D535" s="64"/>
      <c r="E535" s="64"/>
      <c r="F535" s="70"/>
      <c r="G535" s="71"/>
      <c r="H535" s="72"/>
      <c r="I535" s="64"/>
      <c r="J535" s="64"/>
      <c r="K535" s="64"/>
      <c r="L535" s="64"/>
      <c r="M535" s="64"/>
      <c r="N535" s="64"/>
      <c r="O535" s="64"/>
      <c r="P535" s="64"/>
      <c r="Q535" s="64"/>
      <c r="R535" s="64"/>
      <c r="S535" s="64"/>
      <c r="T535" s="64"/>
      <c r="U535" s="64"/>
      <c r="V535" s="64"/>
      <c r="W535" s="64"/>
      <c r="X535" s="64"/>
      <c r="Y535" s="64"/>
      <c r="Z535" s="64"/>
      <c r="AA535" s="64"/>
      <c r="AB535" s="64"/>
      <c r="AC535" s="64"/>
      <c r="AD535" s="64"/>
      <c r="AE535" s="64"/>
      <c r="AF535" s="64"/>
      <c r="AG535" s="64"/>
    </row>
    <row r="536" spans="1:33">
      <c r="A536" s="64"/>
      <c r="B536" s="64"/>
      <c r="C536" s="64"/>
      <c r="D536" s="64"/>
      <c r="E536" s="64"/>
      <c r="F536" s="70"/>
      <c r="G536" s="71"/>
      <c r="H536" s="72"/>
      <c r="I536" s="64"/>
      <c r="J536" s="64"/>
      <c r="K536" s="64"/>
      <c r="L536" s="64"/>
      <c r="M536" s="64"/>
      <c r="N536" s="64"/>
      <c r="O536" s="64"/>
      <c r="P536" s="64"/>
      <c r="Q536" s="64"/>
      <c r="R536" s="64"/>
      <c r="S536" s="64"/>
      <c r="T536" s="64"/>
      <c r="U536" s="64"/>
      <c r="V536" s="64"/>
      <c r="W536" s="64"/>
      <c r="X536" s="64"/>
      <c r="Y536" s="64"/>
      <c r="Z536" s="64"/>
      <c r="AA536" s="64"/>
      <c r="AB536" s="64"/>
      <c r="AC536" s="64"/>
      <c r="AD536" s="64"/>
      <c r="AE536" s="64"/>
      <c r="AF536" s="64"/>
      <c r="AG536" s="64"/>
    </row>
    <row r="537" spans="1:33">
      <c r="A537" s="64"/>
      <c r="B537" s="64"/>
      <c r="C537" s="64"/>
      <c r="D537" s="64"/>
      <c r="E537" s="64"/>
      <c r="F537" s="70"/>
      <c r="G537" s="71"/>
      <c r="H537" s="72"/>
      <c r="I537" s="64"/>
      <c r="J537" s="64"/>
      <c r="K537" s="64"/>
      <c r="L537" s="64"/>
      <c r="M537" s="64"/>
      <c r="N537" s="64"/>
      <c r="O537" s="64"/>
      <c r="P537" s="64"/>
      <c r="Q537" s="64"/>
      <c r="R537" s="64"/>
      <c r="S537" s="64"/>
      <c r="T537" s="64"/>
      <c r="U537" s="64"/>
      <c r="V537" s="64"/>
      <c r="W537" s="64"/>
      <c r="X537" s="64"/>
      <c r="Y537" s="64"/>
      <c r="Z537" s="64"/>
      <c r="AA537" s="64"/>
      <c r="AB537" s="64"/>
      <c r="AC537" s="64"/>
      <c r="AD537" s="64"/>
      <c r="AE537" s="64"/>
      <c r="AF537" s="64"/>
      <c r="AG537" s="64"/>
    </row>
    <row r="538" spans="1:33">
      <c r="A538" s="64"/>
      <c r="B538" s="64"/>
      <c r="C538" s="64"/>
      <c r="D538" s="64"/>
      <c r="E538" s="64"/>
      <c r="F538" s="70"/>
      <c r="G538" s="71"/>
      <c r="H538" s="72"/>
      <c r="I538" s="64"/>
      <c r="J538" s="64"/>
      <c r="K538" s="64"/>
      <c r="L538" s="64"/>
      <c r="M538" s="64"/>
      <c r="N538" s="64"/>
      <c r="O538" s="64"/>
      <c r="P538" s="64"/>
      <c r="Q538" s="64"/>
      <c r="R538" s="64"/>
      <c r="S538" s="64"/>
      <c r="T538" s="64"/>
      <c r="U538" s="64"/>
      <c r="V538" s="64"/>
      <c r="W538" s="64"/>
      <c r="X538" s="64"/>
      <c r="Y538" s="64"/>
      <c r="Z538" s="64"/>
      <c r="AA538" s="64"/>
      <c r="AB538" s="64"/>
      <c r="AC538" s="64"/>
      <c r="AD538" s="64"/>
      <c r="AE538" s="64"/>
      <c r="AF538" s="64"/>
      <c r="AG538" s="64"/>
    </row>
    <row r="539" spans="1:33">
      <c r="A539" s="64"/>
      <c r="B539" s="64"/>
      <c r="C539" s="64"/>
      <c r="D539" s="64"/>
      <c r="E539" s="64"/>
      <c r="F539" s="70"/>
      <c r="G539" s="71"/>
      <c r="H539" s="72"/>
      <c r="I539" s="64"/>
      <c r="J539" s="64"/>
      <c r="K539" s="64"/>
      <c r="L539" s="64"/>
      <c r="M539" s="64"/>
      <c r="N539" s="64"/>
      <c r="O539" s="64"/>
      <c r="P539" s="64"/>
      <c r="Q539" s="64"/>
      <c r="R539" s="64"/>
      <c r="S539" s="64"/>
      <c r="T539" s="64"/>
      <c r="U539" s="64"/>
      <c r="V539" s="64"/>
      <c r="W539" s="64"/>
      <c r="X539" s="64"/>
      <c r="Y539" s="64"/>
      <c r="Z539" s="64"/>
      <c r="AA539" s="64"/>
      <c r="AB539" s="64"/>
      <c r="AC539" s="64"/>
      <c r="AD539" s="64"/>
      <c r="AE539" s="64"/>
      <c r="AF539" s="64"/>
      <c r="AG539" s="64"/>
    </row>
    <row r="540" spans="1:33">
      <c r="A540" s="64"/>
      <c r="B540" s="64"/>
      <c r="C540" s="64"/>
      <c r="D540" s="64"/>
      <c r="E540" s="64"/>
      <c r="F540" s="70"/>
      <c r="G540" s="71"/>
      <c r="H540" s="72"/>
      <c r="I540" s="64"/>
      <c r="J540" s="64"/>
      <c r="K540" s="64"/>
      <c r="L540" s="64"/>
      <c r="M540" s="64"/>
      <c r="N540" s="64"/>
      <c r="O540" s="64"/>
      <c r="P540" s="64"/>
      <c r="Q540" s="64"/>
      <c r="R540" s="64"/>
      <c r="S540" s="64"/>
      <c r="T540" s="64"/>
      <c r="U540" s="64"/>
      <c r="V540" s="64"/>
      <c r="W540" s="64"/>
      <c r="X540" s="64"/>
      <c r="Y540" s="64"/>
      <c r="Z540" s="64"/>
      <c r="AA540" s="64"/>
      <c r="AB540" s="64"/>
      <c r="AC540" s="64"/>
      <c r="AD540" s="64"/>
      <c r="AE540" s="64"/>
      <c r="AF540" s="64"/>
      <c r="AG540" s="64"/>
    </row>
    <row r="541" spans="1:33">
      <c r="A541" s="64"/>
      <c r="B541" s="64"/>
      <c r="C541" s="64"/>
      <c r="D541" s="64"/>
      <c r="E541" s="64"/>
      <c r="F541" s="70"/>
      <c r="G541" s="71"/>
      <c r="H541" s="72"/>
      <c r="I541" s="64"/>
      <c r="J541" s="64"/>
      <c r="K541" s="64"/>
      <c r="L541" s="64"/>
      <c r="M541" s="64"/>
      <c r="N541" s="64"/>
      <c r="O541" s="64"/>
      <c r="P541" s="64"/>
      <c r="Q541" s="64"/>
      <c r="R541" s="64"/>
      <c r="S541" s="64"/>
      <c r="T541" s="64"/>
      <c r="U541" s="64"/>
      <c r="V541" s="64"/>
      <c r="W541" s="64"/>
      <c r="X541" s="64"/>
      <c r="Y541" s="64"/>
      <c r="Z541" s="64"/>
      <c r="AA541" s="64"/>
      <c r="AB541" s="64"/>
      <c r="AC541" s="64"/>
      <c r="AD541" s="64"/>
      <c r="AE541" s="64"/>
      <c r="AF541" s="64"/>
      <c r="AG541" s="64"/>
    </row>
    <row r="542" spans="1:33">
      <c r="A542" s="64"/>
      <c r="B542" s="64"/>
      <c r="C542" s="64"/>
      <c r="D542" s="64"/>
      <c r="E542" s="64"/>
      <c r="F542" s="70"/>
      <c r="G542" s="71"/>
      <c r="H542" s="72"/>
      <c r="I542" s="64"/>
      <c r="J542" s="64"/>
      <c r="K542" s="64"/>
      <c r="L542" s="64"/>
      <c r="M542" s="64"/>
      <c r="N542" s="64"/>
      <c r="O542" s="64"/>
      <c r="P542" s="64"/>
      <c r="Q542" s="64"/>
      <c r="R542" s="64"/>
      <c r="S542" s="64"/>
      <c r="T542" s="64"/>
      <c r="U542" s="64"/>
      <c r="V542" s="64"/>
      <c r="W542" s="64"/>
      <c r="X542" s="64"/>
      <c r="Y542" s="64"/>
      <c r="Z542" s="64"/>
      <c r="AA542" s="64"/>
      <c r="AB542" s="64"/>
      <c r="AC542" s="64"/>
      <c r="AD542" s="64"/>
      <c r="AE542" s="64"/>
      <c r="AF542" s="64"/>
      <c r="AG542" s="64"/>
    </row>
    <row r="543" spans="1:33">
      <c r="A543" s="64"/>
      <c r="B543" s="64"/>
      <c r="C543" s="64"/>
      <c r="D543" s="64"/>
      <c r="E543" s="64"/>
      <c r="F543" s="70"/>
      <c r="G543" s="71"/>
      <c r="H543" s="72"/>
      <c r="I543" s="64"/>
      <c r="J543" s="64"/>
      <c r="K543" s="64"/>
      <c r="L543" s="64"/>
      <c r="M543" s="64"/>
      <c r="N543" s="64"/>
      <c r="O543" s="64"/>
      <c r="P543" s="64"/>
      <c r="Q543" s="64"/>
      <c r="R543" s="64"/>
      <c r="S543" s="64"/>
      <c r="T543" s="64"/>
      <c r="U543" s="64"/>
      <c r="V543" s="64"/>
      <c r="W543" s="64"/>
      <c r="X543" s="64"/>
      <c r="Y543" s="64"/>
      <c r="Z543" s="64"/>
      <c r="AA543" s="64"/>
      <c r="AB543" s="64"/>
      <c r="AC543" s="64"/>
      <c r="AD543" s="64"/>
      <c r="AE543" s="64"/>
      <c r="AF543" s="64"/>
      <c r="AG543" s="64"/>
    </row>
    <row r="544" spans="1:33">
      <c r="A544" s="64"/>
      <c r="B544" s="64"/>
      <c r="C544" s="64"/>
      <c r="D544" s="64"/>
      <c r="E544" s="64"/>
      <c r="F544" s="70"/>
      <c r="G544" s="71"/>
      <c r="H544" s="72"/>
      <c r="I544" s="64"/>
      <c r="J544" s="64"/>
      <c r="K544" s="64"/>
      <c r="L544" s="64"/>
      <c r="M544" s="64"/>
      <c r="N544" s="64"/>
      <c r="O544" s="64"/>
      <c r="P544" s="64"/>
      <c r="Q544" s="64"/>
      <c r="R544" s="64"/>
      <c r="S544" s="64"/>
      <c r="T544" s="64"/>
      <c r="U544" s="64"/>
      <c r="V544" s="64"/>
      <c r="W544" s="64"/>
      <c r="X544" s="64"/>
      <c r="Y544" s="64"/>
      <c r="Z544" s="64"/>
      <c r="AA544" s="64"/>
      <c r="AB544" s="64"/>
      <c r="AC544" s="64"/>
      <c r="AD544" s="64"/>
      <c r="AE544" s="64"/>
      <c r="AF544" s="64"/>
      <c r="AG544" s="64"/>
    </row>
    <row r="545" spans="1:33">
      <c r="A545" s="64"/>
      <c r="B545" s="64"/>
      <c r="C545" s="64"/>
      <c r="D545" s="64"/>
      <c r="E545" s="64"/>
      <c r="F545" s="70"/>
      <c r="G545" s="71"/>
      <c r="H545" s="72"/>
      <c r="I545" s="64"/>
      <c r="J545" s="64"/>
      <c r="K545" s="64"/>
      <c r="L545" s="64"/>
      <c r="M545" s="64"/>
      <c r="N545" s="64"/>
      <c r="O545" s="64"/>
      <c r="P545" s="64"/>
      <c r="Q545" s="64"/>
      <c r="R545" s="64"/>
      <c r="S545" s="64"/>
      <c r="T545" s="64"/>
      <c r="U545" s="64"/>
      <c r="V545" s="64"/>
      <c r="W545" s="64"/>
      <c r="X545" s="64"/>
      <c r="Y545" s="64"/>
      <c r="Z545" s="64"/>
      <c r="AA545" s="64"/>
      <c r="AB545" s="64"/>
      <c r="AC545" s="64"/>
      <c r="AD545" s="64"/>
      <c r="AE545" s="64"/>
      <c r="AF545" s="64"/>
      <c r="AG545" s="64"/>
    </row>
    <row r="546" spans="1:33">
      <c r="A546" s="64"/>
      <c r="B546" s="64"/>
      <c r="C546" s="64"/>
      <c r="D546" s="64"/>
      <c r="E546" s="64"/>
      <c r="F546" s="70"/>
      <c r="G546" s="71"/>
      <c r="H546" s="72"/>
      <c r="I546" s="64"/>
      <c r="J546" s="64"/>
      <c r="K546" s="64"/>
      <c r="L546" s="64"/>
      <c r="M546" s="64"/>
      <c r="N546" s="64"/>
      <c r="O546" s="64"/>
      <c r="P546" s="64"/>
      <c r="Q546" s="64"/>
      <c r="R546" s="64"/>
      <c r="S546" s="64"/>
      <c r="T546" s="64"/>
      <c r="U546" s="64"/>
      <c r="V546" s="64"/>
      <c r="W546" s="64"/>
      <c r="X546" s="64"/>
      <c r="Y546" s="64"/>
      <c r="Z546" s="64"/>
      <c r="AA546" s="64"/>
      <c r="AB546" s="64"/>
      <c r="AC546" s="64"/>
      <c r="AD546" s="64"/>
      <c r="AE546" s="64"/>
      <c r="AF546" s="64"/>
      <c r="AG546" s="64"/>
    </row>
    <row r="547" spans="1:33">
      <c r="A547" s="64"/>
      <c r="B547" s="64"/>
      <c r="C547" s="64"/>
      <c r="D547" s="64"/>
      <c r="E547" s="64"/>
      <c r="F547" s="70"/>
      <c r="G547" s="71"/>
      <c r="H547" s="72"/>
      <c r="I547" s="64"/>
      <c r="J547" s="64"/>
      <c r="K547" s="64"/>
      <c r="L547" s="64"/>
      <c r="M547" s="64"/>
      <c r="N547" s="64"/>
      <c r="O547" s="64"/>
      <c r="P547" s="64"/>
      <c r="Q547" s="64"/>
      <c r="R547" s="64"/>
      <c r="S547" s="64"/>
      <c r="T547" s="64"/>
      <c r="U547" s="64"/>
      <c r="V547" s="64"/>
      <c r="W547" s="64"/>
      <c r="X547" s="64"/>
      <c r="Y547" s="64"/>
      <c r="Z547" s="64"/>
      <c r="AA547" s="64"/>
      <c r="AB547" s="64"/>
      <c r="AC547" s="64"/>
      <c r="AD547" s="64"/>
      <c r="AE547" s="64"/>
      <c r="AF547" s="64"/>
      <c r="AG547" s="64"/>
    </row>
    <row r="548" spans="1:33">
      <c r="A548" s="64"/>
      <c r="B548" s="64"/>
      <c r="C548" s="64"/>
      <c r="D548" s="64"/>
      <c r="E548" s="64"/>
      <c r="F548" s="70"/>
      <c r="G548" s="71"/>
      <c r="H548" s="72"/>
      <c r="I548" s="64"/>
      <c r="J548" s="64"/>
      <c r="K548" s="64"/>
      <c r="L548" s="64"/>
      <c r="M548" s="64"/>
      <c r="N548" s="64"/>
      <c r="O548" s="64"/>
      <c r="P548" s="64"/>
      <c r="Q548" s="64"/>
      <c r="R548" s="64"/>
      <c r="S548" s="64"/>
      <c r="T548" s="64"/>
      <c r="U548" s="64"/>
      <c r="V548" s="64"/>
      <c r="W548" s="64"/>
      <c r="X548" s="64"/>
      <c r="Y548" s="64"/>
      <c r="Z548" s="64"/>
      <c r="AA548" s="64"/>
      <c r="AB548" s="64"/>
      <c r="AC548" s="64"/>
      <c r="AD548" s="64"/>
      <c r="AE548" s="64"/>
      <c r="AF548" s="64"/>
      <c r="AG548" s="64"/>
    </row>
    <row r="549" spans="1:33">
      <c r="A549" s="64"/>
      <c r="B549" s="64"/>
      <c r="C549" s="64"/>
      <c r="D549" s="64"/>
      <c r="E549" s="64"/>
      <c r="F549" s="70"/>
      <c r="G549" s="71"/>
      <c r="H549" s="72"/>
      <c r="I549" s="64"/>
      <c r="J549" s="64"/>
      <c r="K549" s="64"/>
      <c r="L549" s="64"/>
      <c r="M549" s="64"/>
      <c r="N549" s="64"/>
      <c r="O549" s="64"/>
      <c r="P549" s="64"/>
      <c r="Q549" s="64"/>
      <c r="R549" s="64"/>
      <c r="S549" s="64"/>
      <c r="T549" s="64"/>
      <c r="U549" s="64"/>
      <c r="V549" s="64"/>
      <c r="W549" s="64"/>
      <c r="X549" s="64"/>
      <c r="Y549" s="64"/>
      <c r="Z549" s="64"/>
      <c r="AA549" s="64"/>
      <c r="AB549" s="64"/>
      <c r="AC549" s="64"/>
      <c r="AD549" s="64"/>
      <c r="AE549" s="64"/>
      <c r="AF549" s="64"/>
      <c r="AG549" s="64"/>
    </row>
    <row r="550" spans="1:33">
      <c r="A550" s="64"/>
      <c r="B550" s="64"/>
      <c r="C550" s="64"/>
      <c r="D550" s="64"/>
      <c r="E550" s="64"/>
      <c r="F550" s="70"/>
      <c r="G550" s="71"/>
      <c r="H550" s="72"/>
      <c r="I550" s="64"/>
      <c r="J550" s="64"/>
      <c r="K550" s="64"/>
      <c r="L550" s="64"/>
      <c r="M550" s="64"/>
      <c r="N550" s="64"/>
      <c r="O550" s="64"/>
      <c r="P550" s="64"/>
      <c r="Q550" s="64"/>
      <c r="R550" s="64"/>
      <c r="S550" s="64"/>
      <c r="T550" s="64"/>
      <c r="U550" s="64"/>
      <c r="V550" s="64"/>
      <c r="W550" s="64"/>
      <c r="X550" s="64"/>
      <c r="Y550" s="64"/>
      <c r="Z550" s="64"/>
      <c r="AA550" s="64"/>
      <c r="AB550" s="64"/>
      <c r="AC550" s="64"/>
      <c r="AD550" s="64"/>
      <c r="AE550" s="64"/>
      <c r="AF550" s="64"/>
      <c r="AG550" s="64"/>
    </row>
    <row r="551" spans="1:33">
      <c r="A551" s="64"/>
      <c r="B551" s="64"/>
      <c r="C551" s="64"/>
      <c r="D551" s="64"/>
      <c r="E551" s="64"/>
      <c r="F551" s="70"/>
      <c r="G551" s="71"/>
      <c r="H551" s="72"/>
      <c r="I551" s="64"/>
      <c r="J551" s="64"/>
      <c r="K551" s="64"/>
      <c r="L551" s="64"/>
      <c r="M551" s="64"/>
      <c r="N551" s="64"/>
      <c r="O551" s="64"/>
      <c r="P551" s="64"/>
      <c r="Q551" s="64"/>
      <c r="R551" s="64"/>
      <c r="S551" s="64"/>
      <c r="T551" s="64"/>
      <c r="U551" s="64"/>
      <c r="V551" s="64"/>
      <c r="W551" s="64"/>
      <c r="X551" s="64"/>
      <c r="Y551" s="64"/>
      <c r="Z551" s="64"/>
      <c r="AA551" s="64"/>
      <c r="AB551" s="64"/>
      <c r="AC551" s="64"/>
      <c r="AD551" s="64"/>
      <c r="AE551" s="64"/>
      <c r="AF551" s="64"/>
      <c r="AG551" s="64"/>
    </row>
    <row r="552" spans="1:33">
      <c r="A552" s="64"/>
      <c r="B552" s="64"/>
      <c r="C552" s="64"/>
      <c r="D552" s="64"/>
      <c r="E552" s="64"/>
      <c r="F552" s="70"/>
      <c r="G552" s="71"/>
      <c r="H552" s="72"/>
      <c r="I552" s="64"/>
      <c r="J552" s="64"/>
      <c r="K552" s="64"/>
      <c r="L552" s="64"/>
      <c r="M552" s="64"/>
      <c r="N552" s="64"/>
      <c r="O552" s="64"/>
      <c r="P552" s="64"/>
      <c r="Q552" s="64"/>
      <c r="R552" s="64"/>
      <c r="S552" s="64"/>
      <c r="T552" s="64"/>
      <c r="U552" s="64"/>
      <c r="V552" s="64"/>
      <c r="W552" s="64"/>
      <c r="X552" s="64"/>
      <c r="Y552" s="64"/>
      <c r="Z552" s="64"/>
      <c r="AA552" s="64"/>
      <c r="AB552" s="64"/>
      <c r="AC552" s="64"/>
      <c r="AD552" s="64"/>
      <c r="AE552" s="64"/>
      <c r="AF552" s="64"/>
      <c r="AG552" s="64"/>
    </row>
    <row r="553" spans="1:33">
      <c r="A553" s="64"/>
      <c r="B553" s="64"/>
      <c r="C553" s="64"/>
      <c r="D553" s="64"/>
      <c r="E553" s="64"/>
      <c r="F553" s="70"/>
      <c r="G553" s="71"/>
      <c r="H553" s="72"/>
      <c r="I553" s="64"/>
      <c r="J553" s="64"/>
      <c r="K553" s="64"/>
      <c r="L553" s="64"/>
      <c r="M553" s="64"/>
      <c r="N553" s="64"/>
      <c r="O553" s="64"/>
      <c r="P553" s="64"/>
      <c r="Q553" s="64"/>
      <c r="R553" s="64"/>
      <c r="S553" s="64"/>
      <c r="T553" s="64"/>
      <c r="U553" s="64"/>
      <c r="V553" s="64"/>
      <c r="W553" s="64"/>
      <c r="X553" s="64"/>
      <c r="Y553" s="64"/>
      <c r="Z553" s="64"/>
      <c r="AA553" s="64"/>
      <c r="AB553" s="64"/>
      <c r="AC553" s="64"/>
      <c r="AD553" s="64"/>
      <c r="AE553" s="64"/>
      <c r="AF553" s="64"/>
      <c r="AG553" s="64"/>
    </row>
    <row r="554" spans="1:33">
      <c r="A554" s="64"/>
      <c r="B554" s="64"/>
      <c r="C554" s="64"/>
      <c r="D554" s="64"/>
      <c r="E554" s="64"/>
      <c r="F554" s="70"/>
      <c r="G554" s="71"/>
      <c r="H554" s="72"/>
      <c r="I554" s="64"/>
      <c r="J554" s="64"/>
      <c r="K554" s="64"/>
      <c r="L554" s="64"/>
      <c r="M554" s="64"/>
      <c r="N554" s="64"/>
      <c r="O554" s="64"/>
      <c r="P554" s="64"/>
      <c r="Q554" s="64"/>
      <c r="R554" s="64"/>
      <c r="S554" s="64"/>
      <c r="T554" s="64"/>
      <c r="U554" s="64"/>
      <c r="V554" s="64"/>
      <c r="W554" s="64"/>
      <c r="X554" s="64"/>
      <c r="Y554" s="64"/>
      <c r="Z554" s="64"/>
      <c r="AA554" s="64"/>
      <c r="AB554" s="64"/>
      <c r="AC554" s="64"/>
      <c r="AD554" s="64"/>
      <c r="AE554" s="64"/>
      <c r="AF554" s="64"/>
      <c r="AG554" s="64"/>
    </row>
    <row r="555" spans="1:33">
      <c r="A555" s="64"/>
      <c r="B555" s="64"/>
      <c r="C555" s="64"/>
      <c r="D555" s="64"/>
      <c r="E555" s="64"/>
      <c r="F555" s="70"/>
      <c r="G555" s="71"/>
      <c r="H555" s="72"/>
      <c r="I555" s="64"/>
      <c r="J555" s="64"/>
      <c r="K555" s="64"/>
      <c r="L555" s="64"/>
      <c r="M555" s="64"/>
      <c r="N555" s="64"/>
      <c r="O555" s="64"/>
      <c r="P555" s="64"/>
      <c r="Q555" s="64"/>
      <c r="R555" s="64"/>
      <c r="S555" s="64"/>
      <c r="T555" s="64"/>
      <c r="U555" s="64"/>
      <c r="V555" s="64"/>
      <c r="W555" s="64"/>
      <c r="X555" s="64"/>
      <c r="Y555" s="64"/>
      <c r="Z555" s="64"/>
      <c r="AA555" s="64"/>
      <c r="AB555" s="64"/>
      <c r="AC555" s="64"/>
      <c r="AD555" s="64"/>
      <c r="AE555" s="64"/>
      <c r="AF555" s="64"/>
      <c r="AG555" s="64"/>
    </row>
    <row r="556" spans="1:33">
      <c r="A556" s="64"/>
      <c r="B556" s="64"/>
      <c r="C556" s="64"/>
      <c r="D556" s="64"/>
      <c r="E556" s="64"/>
      <c r="F556" s="70"/>
      <c r="G556" s="71"/>
      <c r="H556" s="72"/>
      <c r="I556" s="64"/>
      <c r="J556" s="64"/>
      <c r="K556" s="64"/>
      <c r="L556" s="64"/>
      <c r="M556" s="64"/>
      <c r="N556" s="64"/>
      <c r="O556" s="64"/>
      <c r="P556" s="64"/>
      <c r="Q556" s="64"/>
      <c r="R556" s="64"/>
      <c r="S556" s="64"/>
      <c r="T556" s="64"/>
      <c r="U556" s="64"/>
      <c r="V556" s="64"/>
      <c r="W556" s="64"/>
      <c r="X556" s="64"/>
      <c r="Y556" s="64"/>
      <c r="Z556" s="64"/>
      <c r="AA556" s="64"/>
      <c r="AB556" s="64"/>
      <c r="AC556" s="64"/>
      <c r="AD556" s="64"/>
      <c r="AE556" s="64"/>
      <c r="AF556" s="64"/>
      <c r="AG556" s="64"/>
    </row>
    <row r="557" spans="1:33">
      <c r="A557" s="64"/>
      <c r="B557" s="64"/>
      <c r="C557" s="64"/>
      <c r="D557" s="64"/>
      <c r="E557" s="64"/>
      <c r="F557" s="70"/>
      <c r="G557" s="71"/>
      <c r="H557" s="72"/>
      <c r="I557" s="64"/>
      <c r="J557" s="64"/>
      <c r="K557" s="64"/>
      <c r="L557" s="64"/>
      <c r="M557" s="64"/>
      <c r="N557" s="64"/>
      <c r="O557" s="64"/>
      <c r="P557" s="64"/>
      <c r="Q557" s="64"/>
      <c r="R557" s="64"/>
      <c r="S557" s="64"/>
      <c r="T557" s="64"/>
      <c r="U557" s="64"/>
      <c r="V557" s="64"/>
      <c r="W557" s="64"/>
      <c r="X557" s="64"/>
      <c r="Y557" s="64"/>
      <c r="Z557" s="64"/>
      <c r="AA557" s="64"/>
      <c r="AB557" s="64"/>
      <c r="AC557" s="64"/>
      <c r="AD557" s="64"/>
      <c r="AE557" s="64"/>
      <c r="AF557" s="64"/>
      <c r="AG557" s="64"/>
    </row>
    <row r="558" spans="1:33">
      <c r="A558" s="64"/>
      <c r="B558" s="64"/>
      <c r="C558" s="64"/>
      <c r="D558" s="64"/>
      <c r="E558" s="64"/>
      <c r="F558" s="70"/>
      <c r="G558" s="71"/>
      <c r="H558" s="72"/>
      <c r="I558" s="64"/>
      <c r="J558" s="64"/>
      <c r="K558" s="64"/>
      <c r="L558" s="64"/>
      <c r="M558" s="64"/>
      <c r="N558" s="64"/>
      <c r="O558" s="64"/>
      <c r="P558" s="64"/>
      <c r="Q558" s="64"/>
      <c r="R558" s="64"/>
      <c r="S558" s="64"/>
      <c r="T558" s="64"/>
      <c r="U558" s="64"/>
      <c r="V558" s="64"/>
      <c r="W558" s="64"/>
      <c r="X558" s="64"/>
      <c r="Y558" s="64"/>
      <c r="Z558" s="64"/>
      <c r="AA558" s="64"/>
      <c r="AB558" s="64"/>
      <c r="AC558" s="64"/>
      <c r="AD558" s="64"/>
      <c r="AE558" s="64"/>
      <c r="AF558" s="64"/>
      <c r="AG558" s="64"/>
    </row>
    <row r="559" spans="1:33">
      <c r="A559" s="64"/>
      <c r="B559" s="64"/>
      <c r="C559" s="64"/>
      <c r="D559" s="64"/>
      <c r="E559" s="64"/>
      <c r="F559" s="70"/>
      <c r="G559" s="71"/>
      <c r="H559" s="72"/>
      <c r="I559" s="64"/>
      <c r="J559" s="64"/>
      <c r="K559" s="64"/>
      <c r="L559" s="64"/>
      <c r="M559" s="64"/>
      <c r="N559" s="64"/>
      <c r="O559" s="64"/>
      <c r="P559" s="64"/>
      <c r="Q559" s="64"/>
      <c r="R559" s="64"/>
      <c r="S559" s="64"/>
      <c r="T559" s="64"/>
      <c r="U559" s="64"/>
      <c r="V559" s="64"/>
      <c r="W559" s="64"/>
      <c r="X559" s="64"/>
      <c r="Y559" s="64"/>
      <c r="Z559" s="64"/>
      <c r="AA559" s="64"/>
      <c r="AB559" s="64"/>
      <c r="AC559" s="64"/>
      <c r="AD559" s="64"/>
      <c r="AE559" s="64"/>
      <c r="AF559" s="64"/>
      <c r="AG559" s="64"/>
    </row>
    <row r="560" spans="1:33">
      <c r="A560" s="64"/>
      <c r="B560" s="64"/>
      <c r="C560" s="64"/>
      <c r="D560" s="64"/>
      <c r="E560" s="64"/>
      <c r="F560" s="70"/>
      <c r="G560" s="71"/>
      <c r="H560" s="72"/>
      <c r="I560" s="64"/>
      <c r="J560" s="64"/>
      <c r="K560" s="64"/>
      <c r="L560" s="64"/>
      <c r="M560" s="64"/>
      <c r="N560" s="64"/>
      <c r="O560" s="64"/>
      <c r="P560" s="64"/>
      <c r="Q560" s="64"/>
      <c r="R560" s="64"/>
      <c r="S560" s="64"/>
      <c r="T560" s="64"/>
      <c r="U560" s="64"/>
      <c r="V560" s="64"/>
      <c r="W560" s="64"/>
      <c r="X560" s="64"/>
      <c r="Y560" s="64"/>
      <c r="Z560" s="64"/>
      <c r="AA560" s="64"/>
      <c r="AB560" s="64"/>
      <c r="AC560" s="64"/>
      <c r="AD560" s="64"/>
      <c r="AE560" s="64"/>
      <c r="AF560" s="64"/>
      <c r="AG560" s="64"/>
    </row>
    <row r="561" spans="1:33">
      <c r="A561" s="64"/>
      <c r="B561" s="64"/>
      <c r="C561" s="64"/>
      <c r="D561" s="64"/>
      <c r="E561" s="64"/>
      <c r="F561" s="70"/>
      <c r="G561" s="71"/>
      <c r="H561" s="72"/>
      <c r="I561" s="64"/>
      <c r="J561" s="64"/>
      <c r="K561" s="64"/>
      <c r="L561" s="64"/>
      <c r="M561" s="64"/>
      <c r="N561" s="64"/>
      <c r="O561" s="64"/>
      <c r="P561" s="64"/>
      <c r="Q561" s="64"/>
      <c r="R561" s="64"/>
      <c r="S561" s="64"/>
      <c r="T561" s="64"/>
      <c r="U561" s="64"/>
      <c r="V561" s="64"/>
      <c r="W561" s="64"/>
      <c r="X561" s="64"/>
      <c r="Y561" s="64"/>
      <c r="Z561" s="64"/>
      <c r="AA561" s="64"/>
      <c r="AB561" s="64"/>
      <c r="AC561" s="64"/>
      <c r="AD561" s="64"/>
      <c r="AE561" s="64"/>
      <c r="AF561" s="64"/>
      <c r="AG561" s="64"/>
    </row>
    <row r="562" spans="1:33">
      <c r="A562" s="64"/>
      <c r="B562" s="64"/>
      <c r="C562" s="64"/>
      <c r="D562" s="64"/>
      <c r="E562" s="64"/>
      <c r="F562" s="70"/>
      <c r="G562" s="71"/>
      <c r="H562" s="72"/>
      <c r="I562" s="64"/>
      <c r="J562" s="64"/>
      <c r="K562" s="64"/>
      <c r="L562" s="64"/>
      <c r="M562" s="64"/>
      <c r="N562" s="64"/>
      <c r="O562" s="64"/>
      <c r="P562" s="64"/>
      <c r="Q562" s="64"/>
      <c r="R562" s="64"/>
      <c r="S562" s="64"/>
      <c r="T562" s="64"/>
      <c r="U562" s="64"/>
      <c r="V562" s="64"/>
      <c r="W562" s="64"/>
      <c r="X562" s="64"/>
      <c r="Y562" s="64"/>
      <c r="Z562" s="64"/>
      <c r="AA562" s="64"/>
      <c r="AB562" s="64"/>
      <c r="AC562" s="64"/>
      <c r="AD562" s="64"/>
      <c r="AE562" s="64"/>
      <c r="AF562" s="64"/>
      <c r="AG562" s="64"/>
    </row>
    <row r="563" spans="1:33">
      <c r="A563" s="64"/>
      <c r="B563" s="64"/>
      <c r="C563" s="64"/>
      <c r="D563" s="64"/>
      <c r="E563" s="64"/>
      <c r="F563" s="70"/>
      <c r="G563" s="71"/>
      <c r="H563" s="72"/>
      <c r="I563" s="64"/>
      <c r="J563" s="64"/>
      <c r="K563" s="64"/>
      <c r="L563" s="64"/>
      <c r="M563" s="64"/>
      <c r="N563" s="64"/>
      <c r="O563" s="64"/>
      <c r="P563" s="64"/>
      <c r="Q563" s="64"/>
      <c r="R563" s="64"/>
      <c r="S563" s="64"/>
      <c r="T563" s="64"/>
      <c r="U563" s="64"/>
      <c r="V563" s="64"/>
      <c r="W563" s="64"/>
      <c r="X563" s="64"/>
      <c r="Y563" s="64"/>
      <c r="Z563" s="64"/>
      <c r="AA563" s="64"/>
      <c r="AB563" s="64"/>
      <c r="AC563" s="64"/>
      <c r="AD563" s="64"/>
      <c r="AE563" s="64"/>
      <c r="AF563" s="64"/>
      <c r="AG563" s="64"/>
    </row>
    <row r="564" spans="1:33">
      <c r="A564" s="64"/>
      <c r="B564" s="64"/>
      <c r="C564" s="64"/>
      <c r="D564" s="64"/>
      <c r="E564" s="64"/>
      <c r="F564" s="70"/>
      <c r="G564" s="71"/>
      <c r="H564" s="72"/>
      <c r="I564" s="64"/>
      <c r="J564" s="64"/>
      <c r="K564" s="64"/>
      <c r="L564" s="64"/>
      <c r="M564" s="64"/>
      <c r="N564" s="64"/>
      <c r="O564" s="64"/>
      <c r="P564" s="64"/>
      <c r="Q564" s="64"/>
      <c r="R564" s="64"/>
      <c r="S564" s="64"/>
      <c r="T564" s="64"/>
      <c r="U564" s="64"/>
      <c r="V564" s="64"/>
      <c r="W564" s="64"/>
      <c r="X564" s="64"/>
      <c r="Y564" s="64"/>
      <c r="Z564" s="64"/>
      <c r="AA564" s="64"/>
      <c r="AB564" s="64"/>
      <c r="AC564" s="64"/>
      <c r="AD564" s="64"/>
      <c r="AE564" s="64"/>
      <c r="AF564" s="64"/>
      <c r="AG564" s="64"/>
    </row>
    <row r="565" spans="1:33">
      <c r="A565" s="64"/>
      <c r="B565" s="64"/>
      <c r="C565" s="64"/>
      <c r="D565" s="64"/>
      <c r="E565" s="64"/>
      <c r="F565" s="70"/>
      <c r="G565" s="71"/>
      <c r="H565" s="72"/>
      <c r="I565" s="64"/>
      <c r="J565" s="64"/>
      <c r="K565" s="64"/>
      <c r="L565" s="64"/>
      <c r="M565" s="64"/>
      <c r="N565" s="64"/>
      <c r="O565" s="64"/>
      <c r="P565" s="64"/>
      <c r="Q565" s="64"/>
      <c r="R565" s="64"/>
      <c r="S565" s="64"/>
      <c r="T565" s="64"/>
      <c r="U565" s="64"/>
      <c r="V565" s="64"/>
      <c r="W565" s="64"/>
      <c r="X565" s="64"/>
      <c r="Y565" s="64"/>
      <c r="Z565" s="64"/>
      <c r="AA565" s="64"/>
      <c r="AB565" s="64"/>
      <c r="AC565" s="64"/>
      <c r="AD565" s="64"/>
      <c r="AE565" s="64"/>
      <c r="AF565" s="64"/>
      <c r="AG565" s="64"/>
    </row>
    <row r="566" spans="1:33">
      <c r="A566" s="64"/>
      <c r="B566" s="64"/>
      <c r="C566" s="64"/>
      <c r="D566" s="64"/>
      <c r="E566" s="64"/>
      <c r="F566" s="70"/>
      <c r="G566" s="71"/>
      <c r="H566" s="72"/>
      <c r="I566" s="64"/>
      <c r="J566" s="64"/>
      <c r="K566" s="64"/>
      <c r="L566" s="64"/>
      <c r="M566" s="64"/>
      <c r="N566" s="64"/>
      <c r="O566" s="64"/>
      <c r="P566" s="64"/>
      <c r="Q566" s="64"/>
      <c r="R566" s="64"/>
      <c r="S566" s="64"/>
      <c r="T566" s="64"/>
      <c r="U566" s="64"/>
      <c r="V566" s="64"/>
      <c r="W566" s="64"/>
      <c r="X566" s="64"/>
      <c r="Y566" s="64"/>
      <c r="Z566" s="64"/>
      <c r="AA566" s="64"/>
      <c r="AB566" s="64"/>
      <c r="AC566" s="64"/>
      <c r="AD566" s="64"/>
      <c r="AE566" s="64"/>
      <c r="AF566" s="64"/>
      <c r="AG566" s="64"/>
    </row>
    <row r="567" spans="1:33">
      <c r="A567" s="64"/>
      <c r="B567" s="64"/>
      <c r="C567" s="64"/>
      <c r="D567" s="64"/>
      <c r="E567" s="64"/>
      <c r="F567" s="70"/>
      <c r="G567" s="71"/>
      <c r="H567" s="72"/>
      <c r="I567" s="64"/>
      <c r="J567" s="64"/>
      <c r="K567" s="64"/>
      <c r="L567" s="64"/>
      <c r="M567" s="64"/>
      <c r="N567" s="64"/>
      <c r="O567" s="64"/>
      <c r="P567" s="64"/>
      <c r="Q567" s="64"/>
      <c r="R567" s="64"/>
      <c r="S567" s="64"/>
      <c r="T567" s="64"/>
      <c r="U567" s="64"/>
      <c r="V567" s="64"/>
      <c r="W567" s="64"/>
      <c r="X567" s="64"/>
      <c r="Y567" s="64"/>
      <c r="Z567" s="64"/>
      <c r="AA567" s="64"/>
      <c r="AB567" s="64"/>
      <c r="AC567" s="64"/>
      <c r="AD567" s="64"/>
      <c r="AE567" s="64"/>
      <c r="AF567" s="64"/>
      <c r="AG567" s="64"/>
    </row>
    <row r="568" spans="1:33">
      <c r="A568" s="64"/>
      <c r="B568" s="64"/>
      <c r="C568" s="64"/>
      <c r="D568" s="64"/>
      <c r="E568" s="64"/>
      <c r="F568" s="70"/>
      <c r="G568" s="71"/>
      <c r="H568" s="72"/>
      <c r="I568" s="64"/>
      <c r="J568" s="64"/>
      <c r="K568" s="64"/>
      <c r="L568" s="64"/>
      <c r="M568" s="64"/>
      <c r="N568" s="64"/>
      <c r="O568" s="64"/>
      <c r="P568" s="64"/>
      <c r="Q568" s="64"/>
      <c r="R568" s="64"/>
      <c r="S568" s="64"/>
      <c r="T568" s="64"/>
      <c r="U568" s="64"/>
      <c r="V568" s="64"/>
      <c r="W568" s="64"/>
      <c r="X568" s="64"/>
      <c r="Y568" s="64"/>
      <c r="Z568" s="64"/>
      <c r="AA568" s="64"/>
      <c r="AB568" s="64"/>
      <c r="AC568" s="64"/>
      <c r="AD568" s="64"/>
      <c r="AE568" s="64"/>
      <c r="AF568" s="64"/>
      <c r="AG568" s="64"/>
    </row>
    <row r="569" spans="1:33">
      <c r="A569" s="64"/>
      <c r="B569" s="64"/>
      <c r="C569" s="64"/>
      <c r="D569" s="64"/>
      <c r="E569" s="64"/>
      <c r="F569" s="70"/>
      <c r="G569" s="71"/>
      <c r="H569" s="72"/>
      <c r="I569" s="64"/>
      <c r="J569" s="64"/>
      <c r="K569" s="64"/>
      <c r="L569" s="64"/>
      <c r="M569" s="64"/>
      <c r="N569" s="64"/>
      <c r="O569" s="64"/>
      <c r="P569" s="64"/>
      <c r="Q569" s="64"/>
      <c r="R569" s="64"/>
      <c r="S569" s="64"/>
      <c r="T569" s="64"/>
      <c r="U569" s="64"/>
      <c r="V569" s="64"/>
      <c r="W569" s="64"/>
      <c r="X569" s="64"/>
      <c r="Y569" s="64"/>
      <c r="Z569" s="64"/>
      <c r="AA569" s="64"/>
      <c r="AB569" s="64"/>
      <c r="AC569" s="64"/>
      <c r="AD569" s="64"/>
      <c r="AE569" s="64"/>
      <c r="AF569" s="64"/>
      <c r="AG569" s="64"/>
    </row>
    <row r="570" spans="1:33">
      <c r="A570" s="64"/>
      <c r="B570" s="64"/>
      <c r="C570" s="64"/>
      <c r="D570" s="64"/>
      <c r="E570" s="64"/>
      <c r="F570" s="70"/>
      <c r="G570" s="71"/>
      <c r="H570" s="72"/>
      <c r="I570" s="64"/>
      <c r="J570" s="64"/>
      <c r="K570" s="64"/>
      <c r="L570" s="64"/>
      <c r="M570" s="64"/>
      <c r="N570" s="64"/>
      <c r="O570" s="64"/>
      <c r="P570" s="64"/>
      <c r="Q570" s="64"/>
      <c r="R570" s="64"/>
      <c r="S570" s="64"/>
      <c r="T570" s="64"/>
      <c r="U570" s="64"/>
      <c r="V570" s="64"/>
      <c r="W570" s="64"/>
      <c r="X570" s="64"/>
      <c r="Y570" s="64"/>
      <c r="Z570" s="64"/>
      <c r="AA570" s="64"/>
      <c r="AB570" s="64"/>
      <c r="AC570" s="64"/>
      <c r="AD570" s="64"/>
      <c r="AE570" s="64"/>
      <c r="AF570" s="64"/>
      <c r="AG570" s="64"/>
    </row>
    <row r="571" spans="1:33">
      <c r="A571" s="64"/>
      <c r="B571" s="64"/>
      <c r="C571" s="64"/>
      <c r="D571" s="64"/>
      <c r="E571" s="64"/>
      <c r="F571" s="70"/>
      <c r="G571" s="71"/>
      <c r="H571" s="72"/>
      <c r="I571" s="64"/>
      <c r="J571" s="64"/>
      <c r="K571" s="64"/>
      <c r="L571" s="64"/>
      <c r="M571" s="64"/>
      <c r="N571" s="64"/>
      <c r="O571" s="64"/>
      <c r="P571" s="64"/>
      <c r="Q571" s="64"/>
      <c r="R571" s="64"/>
      <c r="S571" s="64"/>
      <c r="T571" s="64"/>
      <c r="U571" s="64"/>
      <c r="V571" s="64"/>
      <c r="W571" s="64"/>
      <c r="X571" s="64"/>
      <c r="Y571" s="64"/>
      <c r="Z571" s="64"/>
      <c r="AA571" s="64"/>
      <c r="AB571" s="64"/>
      <c r="AC571" s="64"/>
      <c r="AD571" s="64"/>
      <c r="AE571" s="64"/>
      <c r="AF571" s="64"/>
      <c r="AG571" s="64"/>
    </row>
    <row r="572" spans="1:33">
      <c r="A572" s="64"/>
      <c r="B572" s="64"/>
      <c r="C572" s="64"/>
      <c r="D572" s="64"/>
      <c r="E572" s="64"/>
      <c r="F572" s="70"/>
      <c r="G572" s="71"/>
      <c r="H572" s="72"/>
      <c r="I572" s="64"/>
      <c r="J572" s="64"/>
      <c r="K572" s="64"/>
      <c r="L572" s="64"/>
      <c r="M572" s="64"/>
      <c r="N572" s="64"/>
      <c r="O572" s="64"/>
      <c r="P572" s="64"/>
      <c r="Q572" s="64"/>
      <c r="R572" s="64"/>
      <c r="S572" s="64"/>
      <c r="T572" s="64"/>
      <c r="U572" s="64"/>
      <c r="V572" s="64"/>
      <c r="W572" s="64"/>
      <c r="X572" s="64"/>
      <c r="Y572" s="64"/>
      <c r="Z572" s="64"/>
      <c r="AA572" s="64"/>
      <c r="AB572" s="64"/>
      <c r="AC572" s="64"/>
      <c r="AD572" s="64"/>
      <c r="AE572" s="64"/>
      <c r="AF572" s="64"/>
      <c r="AG572" s="64"/>
    </row>
    <row r="573" spans="1:33">
      <c r="A573" s="64"/>
      <c r="B573" s="64"/>
      <c r="C573" s="64"/>
      <c r="D573" s="64"/>
      <c r="E573" s="64"/>
      <c r="F573" s="70"/>
      <c r="G573" s="71"/>
      <c r="H573" s="72"/>
      <c r="I573" s="64"/>
      <c r="J573" s="64"/>
      <c r="K573" s="64"/>
      <c r="L573" s="64"/>
      <c r="M573" s="64"/>
      <c r="N573" s="64"/>
      <c r="O573" s="64"/>
      <c r="P573" s="64"/>
      <c r="Q573" s="64"/>
      <c r="R573" s="64"/>
      <c r="S573" s="64"/>
      <c r="T573" s="64"/>
      <c r="U573" s="64"/>
      <c r="V573" s="64"/>
      <c r="W573" s="64"/>
      <c r="X573" s="64"/>
      <c r="Y573" s="64"/>
      <c r="Z573" s="64"/>
      <c r="AA573" s="64"/>
      <c r="AB573" s="64"/>
      <c r="AC573" s="64"/>
      <c r="AD573" s="64"/>
      <c r="AE573" s="64"/>
      <c r="AF573" s="64"/>
      <c r="AG573" s="64"/>
    </row>
    <row r="574" spans="1:33">
      <c r="A574" s="64"/>
      <c r="B574" s="64"/>
      <c r="C574" s="64"/>
      <c r="D574" s="64"/>
      <c r="E574" s="64"/>
      <c r="F574" s="70"/>
      <c r="G574" s="71"/>
      <c r="H574" s="72"/>
      <c r="I574" s="64"/>
      <c r="J574" s="64"/>
      <c r="K574" s="64"/>
      <c r="L574" s="64"/>
      <c r="M574" s="64"/>
      <c r="N574" s="64"/>
      <c r="O574" s="64"/>
      <c r="P574" s="64"/>
      <c r="Q574" s="64"/>
      <c r="R574" s="64"/>
      <c r="S574" s="64"/>
      <c r="T574" s="64"/>
      <c r="U574" s="64"/>
      <c r="V574" s="64"/>
      <c r="W574" s="64"/>
      <c r="X574" s="64"/>
      <c r="Y574" s="64"/>
      <c r="Z574" s="64"/>
      <c r="AA574" s="64"/>
      <c r="AB574" s="64"/>
      <c r="AC574" s="64"/>
      <c r="AD574" s="64"/>
      <c r="AE574" s="64"/>
      <c r="AF574" s="64"/>
      <c r="AG574" s="64"/>
    </row>
    <row r="575" spans="1:33">
      <c r="A575" s="64"/>
      <c r="B575" s="64"/>
      <c r="C575" s="64"/>
      <c r="D575" s="64"/>
      <c r="E575" s="64"/>
      <c r="F575" s="70"/>
      <c r="G575" s="71"/>
      <c r="H575" s="72"/>
      <c r="I575" s="64"/>
      <c r="J575" s="64"/>
      <c r="K575" s="64"/>
      <c r="L575" s="64"/>
      <c r="M575" s="64"/>
      <c r="N575" s="64"/>
      <c r="O575" s="64"/>
      <c r="P575" s="64"/>
      <c r="Q575" s="64"/>
      <c r="R575" s="64"/>
      <c r="S575" s="64"/>
      <c r="T575" s="64"/>
      <c r="U575" s="64"/>
      <c r="V575" s="64"/>
      <c r="W575" s="64"/>
      <c r="X575" s="64"/>
      <c r="Y575" s="64"/>
      <c r="Z575" s="64"/>
      <c r="AA575" s="64"/>
      <c r="AB575" s="64"/>
      <c r="AC575" s="64"/>
      <c r="AD575" s="64"/>
      <c r="AE575" s="64"/>
      <c r="AF575" s="64"/>
      <c r="AG575" s="64"/>
    </row>
    <row r="576" spans="1:33">
      <c r="A576" s="64"/>
      <c r="B576" s="64"/>
      <c r="C576" s="64"/>
      <c r="D576" s="64"/>
      <c r="E576" s="64"/>
      <c r="F576" s="70"/>
      <c r="G576" s="71"/>
      <c r="H576" s="72"/>
      <c r="I576" s="64"/>
      <c r="J576" s="64"/>
      <c r="K576" s="64"/>
      <c r="L576" s="64"/>
      <c r="M576" s="64"/>
      <c r="N576" s="64"/>
      <c r="O576" s="64"/>
      <c r="P576" s="64"/>
      <c r="Q576" s="64"/>
      <c r="R576" s="64"/>
      <c r="S576" s="64"/>
      <c r="T576" s="64"/>
      <c r="U576" s="64"/>
      <c r="V576" s="64"/>
      <c r="W576" s="64"/>
      <c r="X576" s="64"/>
      <c r="Y576" s="64"/>
      <c r="Z576" s="64"/>
      <c r="AA576" s="64"/>
      <c r="AB576" s="64"/>
      <c r="AC576" s="64"/>
      <c r="AD576" s="64"/>
      <c r="AE576" s="64"/>
      <c r="AF576" s="64"/>
      <c r="AG576" s="64"/>
    </row>
    <row r="577" spans="1:33">
      <c r="A577" s="64"/>
      <c r="B577" s="64"/>
      <c r="C577" s="64"/>
      <c r="D577" s="64"/>
      <c r="E577" s="64"/>
      <c r="F577" s="70"/>
      <c r="G577" s="71"/>
      <c r="H577" s="72"/>
      <c r="I577" s="64"/>
      <c r="J577" s="64"/>
      <c r="K577" s="64"/>
      <c r="L577" s="64"/>
      <c r="M577" s="64"/>
      <c r="N577" s="64"/>
      <c r="O577" s="64"/>
      <c r="P577" s="64"/>
      <c r="Q577" s="64"/>
      <c r="R577" s="64"/>
      <c r="S577" s="64"/>
      <c r="T577" s="64"/>
      <c r="U577" s="64"/>
      <c r="V577" s="64"/>
      <c r="W577" s="64"/>
      <c r="X577" s="64"/>
      <c r="Y577" s="64"/>
      <c r="Z577" s="64"/>
      <c r="AA577" s="64"/>
      <c r="AB577" s="64"/>
      <c r="AC577" s="64"/>
      <c r="AD577" s="64"/>
      <c r="AE577" s="64"/>
      <c r="AF577" s="64"/>
      <c r="AG577" s="64"/>
    </row>
    <row r="578" spans="1:33">
      <c r="A578" s="64"/>
      <c r="B578" s="64"/>
      <c r="C578" s="64"/>
      <c r="D578" s="64"/>
      <c r="E578" s="64"/>
      <c r="F578" s="70"/>
      <c r="G578" s="71"/>
      <c r="H578" s="72"/>
      <c r="I578" s="64"/>
      <c r="J578" s="64"/>
      <c r="K578" s="64"/>
      <c r="L578" s="64"/>
      <c r="M578" s="64"/>
      <c r="N578" s="64"/>
      <c r="O578" s="64"/>
      <c r="P578" s="64"/>
      <c r="Q578" s="64"/>
      <c r="R578" s="64"/>
      <c r="S578" s="64"/>
      <c r="T578" s="64"/>
      <c r="U578" s="64"/>
      <c r="V578" s="64"/>
      <c r="W578" s="64"/>
      <c r="X578" s="64"/>
      <c r="Y578" s="64"/>
      <c r="Z578" s="64"/>
      <c r="AA578" s="64"/>
      <c r="AB578" s="64"/>
      <c r="AC578" s="64"/>
      <c r="AD578" s="64"/>
      <c r="AE578" s="64"/>
      <c r="AF578" s="64"/>
      <c r="AG578" s="64"/>
    </row>
    <row r="579" spans="1:33">
      <c r="A579" s="64"/>
      <c r="B579" s="64"/>
      <c r="C579" s="64"/>
      <c r="D579" s="64"/>
      <c r="E579" s="64"/>
      <c r="F579" s="70"/>
      <c r="G579" s="71"/>
      <c r="H579" s="72"/>
      <c r="I579" s="64"/>
      <c r="J579" s="64"/>
      <c r="K579" s="64"/>
      <c r="L579" s="64"/>
      <c r="M579" s="64"/>
      <c r="N579" s="64"/>
      <c r="O579" s="64"/>
      <c r="P579" s="64"/>
      <c r="Q579" s="64"/>
      <c r="R579" s="64"/>
      <c r="S579" s="64"/>
      <c r="T579" s="64"/>
      <c r="U579" s="64"/>
      <c r="V579" s="64"/>
      <c r="W579" s="64"/>
      <c r="X579" s="64"/>
      <c r="Y579" s="64"/>
      <c r="Z579" s="64"/>
      <c r="AA579" s="64"/>
      <c r="AB579" s="64"/>
      <c r="AC579" s="64"/>
      <c r="AD579" s="64"/>
      <c r="AE579" s="64"/>
      <c r="AF579" s="64"/>
      <c r="AG579" s="64"/>
    </row>
    <row r="580" spans="1:33">
      <c r="A580" s="64"/>
      <c r="B580" s="64"/>
      <c r="C580" s="64"/>
      <c r="D580" s="64"/>
      <c r="E580" s="64"/>
      <c r="F580" s="70"/>
      <c r="G580" s="71"/>
      <c r="H580" s="72"/>
      <c r="I580" s="64"/>
      <c r="J580" s="64"/>
      <c r="K580" s="64"/>
      <c r="L580" s="64"/>
      <c r="M580" s="64"/>
      <c r="N580" s="64"/>
      <c r="O580" s="64"/>
      <c r="P580" s="64"/>
      <c r="Q580" s="64"/>
      <c r="R580" s="64"/>
      <c r="S580" s="64"/>
      <c r="T580" s="64"/>
      <c r="U580" s="64"/>
      <c r="V580" s="64"/>
      <c r="W580" s="64"/>
      <c r="X580" s="64"/>
      <c r="Y580" s="64"/>
      <c r="Z580" s="64"/>
      <c r="AA580" s="64"/>
      <c r="AB580" s="64"/>
      <c r="AC580" s="64"/>
      <c r="AD580" s="64"/>
      <c r="AE580" s="64"/>
      <c r="AF580" s="64"/>
      <c r="AG580" s="64"/>
    </row>
    <row r="581" spans="1:33">
      <c r="A581" s="64"/>
      <c r="B581" s="64"/>
      <c r="C581" s="64"/>
      <c r="D581" s="64"/>
      <c r="E581" s="64"/>
      <c r="F581" s="70"/>
      <c r="G581" s="71"/>
      <c r="H581" s="72"/>
      <c r="I581" s="64"/>
      <c r="J581" s="64"/>
      <c r="K581" s="64"/>
      <c r="L581" s="64"/>
      <c r="M581" s="64"/>
      <c r="N581" s="64"/>
      <c r="O581" s="64"/>
      <c r="P581" s="64"/>
      <c r="Q581" s="64"/>
      <c r="R581" s="64"/>
      <c r="S581" s="64"/>
      <c r="T581" s="64"/>
      <c r="U581" s="64"/>
      <c r="V581" s="64"/>
      <c r="W581" s="64"/>
      <c r="X581" s="64"/>
      <c r="Y581" s="64"/>
      <c r="Z581" s="64"/>
      <c r="AA581" s="64"/>
      <c r="AB581" s="64"/>
      <c r="AC581" s="64"/>
      <c r="AD581" s="64"/>
      <c r="AE581" s="64"/>
      <c r="AF581" s="64"/>
      <c r="AG581" s="64"/>
    </row>
    <row r="582" spans="1:33">
      <c r="A582" s="64"/>
      <c r="B582" s="64"/>
      <c r="C582" s="64"/>
      <c r="D582" s="64"/>
      <c r="E582" s="64"/>
      <c r="F582" s="70"/>
      <c r="G582" s="71"/>
      <c r="H582" s="72"/>
      <c r="I582" s="64"/>
      <c r="J582" s="64"/>
      <c r="K582" s="64"/>
      <c r="L582" s="64"/>
      <c r="M582" s="64"/>
      <c r="N582" s="64"/>
      <c r="O582" s="64"/>
      <c r="P582" s="64"/>
      <c r="Q582" s="64"/>
      <c r="R582" s="64"/>
      <c r="S582" s="64"/>
      <c r="T582" s="64"/>
      <c r="U582" s="64"/>
      <c r="V582" s="64"/>
      <c r="W582" s="64"/>
      <c r="X582" s="64"/>
      <c r="Y582" s="64"/>
      <c r="Z582" s="64"/>
      <c r="AA582" s="64"/>
      <c r="AB582" s="64"/>
      <c r="AC582" s="64"/>
      <c r="AD582" s="64"/>
      <c r="AE582" s="64"/>
      <c r="AF582" s="64"/>
      <c r="AG582" s="64"/>
    </row>
    <row r="583" spans="1:33">
      <c r="A583" s="64"/>
      <c r="B583" s="64"/>
      <c r="C583" s="64"/>
      <c r="D583" s="64"/>
      <c r="E583" s="64"/>
      <c r="F583" s="70"/>
      <c r="G583" s="71"/>
      <c r="H583" s="72"/>
      <c r="I583" s="64"/>
      <c r="J583" s="64"/>
      <c r="K583" s="64"/>
      <c r="L583" s="64"/>
      <c r="M583" s="64"/>
      <c r="N583" s="64"/>
      <c r="O583" s="64"/>
      <c r="P583" s="64"/>
      <c r="Q583" s="64"/>
      <c r="R583" s="64"/>
      <c r="S583" s="64"/>
      <c r="T583" s="64"/>
      <c r="U583" s="64"/>
      <c r="V583" s="64"/>
      <c r="W583" s="64"/>
      <c r="X583" s="64"/>
      <c r="Y583" s="64"/>
      <c r="Z583" s="64"/>
      <c r="AA583" s="64"/>
      <c r="AB583" s="64"/>
      <c r="AC583" s="64"/>
      <c r="AD583" s="64"/>
      <c r="AE583" s="64"/>
      <c r="AF583" s="64"/>
      <c r="AG583" s="64"/>
    </row>
    <row r="584" spans="1:33">
      <c r="A584" s="64"/>
      <c r="B584" s="64"/>
      <c r="C584" s="64"/>
      <c r="D584" s="64"/>
      <c r="E584" s="64"/>
      <c r="F584" s="70"/>
      <c r="G584" s="71"/>
      <c r="H584" s="72"/>
      <c r="I584" s="64"/>
      <c r="J584" s="64"/>
      <c r="K584" s="64"/>
      <c r="L584" s="64"/>
      <c r="M584" s="64"/>
      <c r="N584" s="64"/>
      <c r="O584" s="64"/>
      <c r="P584" s="64"/>
      <c r="Q584" s="64"/>
      <c r="R584" s="64"/>
      <c r="S584" s="64"/>
      <c r="T584" s="64"/>
      <c r="U584" s="64"/>
      <c r="V584" s="64"/>
      <c r="W584" s="64"/>
      <c r="X584" s="64"/>
      <c r="Y584" s="64"/>
      <c r="Z584" s="64"/>
      <c r="AA584" s="64"/>
      <c r="AB584" s="64"/>
      <c r="AC584" s="64"/>
      <c r="AD584" s="64"/>
      <c r="AE584" s="64"/>
      <c r="AF584" s="64"/>
      <c r="AG584" s="64"/>
    </row>
    <row r="585" spans="1:33">
      <c r="A585" s="64"/>
      <c r="B585" s="64"/>
      <c r="C585" s="64"/>
      <c r="D585" s="64"/>
      <c r="E585" s="64"/>
      <c r="F585" s="70"/>
      <c r="G585" s="71"/>
      <c r="H585" s="72"/>
      <c r="I585" s="64"/>
      <c r="J585" s="64"/>
      <c r="K585" s="64"/>
      <c r="L585" s="64"/>
      <c r="M585" s="64"/>
      <c r="N585" s="64"/>
      <c r="O585" s="64"/>
      <c r="P585" s="64"/>
      <c r="Q585" s="64"/>
      <c r="R585" s="64"/>
      <c r="S585" s="64"/>
      <c r="T585" s="64"/>
      <c r="U585" s="64"/>
      <c r="V585" s="64"/>
      <c r="W585" s="64"/>
      <c r="X585" s="64"/>
      <c r="Y585" s="64"/>
      <c r="Z585" s="64"/>
      <c r="AA585" s="64"/>
      <c r="AB585" s="64"/>
      <c r="AC585" s="64"/>
      <c r="AD585" s="64"/>
      <c r="AE585" s="64"/>
      <c r="AF585" s="64"/>
      <c r="AG585" s="64"/>
    </row>
    <row r="586" spans="1:33">
      <c r="A586" s="64"/>
      <c r="B586" s="64"/>
      <c r="C586" s="64"/>
      <c r="D586" s="64"/>
      <c r="E586" s="64"/>
      <c r="F586" s="70"/>
      <c r="G586" s="71"/>
      <c r="H586" s="72"/>
      <c r="I586" s="64"/>
      <c r="J586" s="64"/>
      <c r="K586" s="64"/>
      <c r="L586" s="64"/>
      <c r="M586" s="64"/>
      <c r="N586" s="64"/>
      <c r="O586" s="64"/>
      <c r="P586" s="64"/>
      <c r="Q586" s="64"/>
      <c r="R586" s="64"/>
      <c r="S586" s="64"/>
      <c r="T586" s="64"/>
      <c r="U586" s="64"/>
      <c r="V586" s="64"/>
      <c r="W586" s="64"/>
      <c r="X586" s="64"/>
      <c r="Y586" s="64"/>
      <c r="Z586" s="64"/>
      <c r="AA586" s="64"/>
      <c r="AB586" s="64"/>
      <c r="AC586" s="64"/>
      <c r="AD586" s="64"/>
      <c r="AE586" s="64"/>
      <c r="AF586" s="64"/>
      <c r="AG586" s="64"/>
    </row>
    <row r="587" spans="1:33">
      <c r="A587" s="64"/>
      <c r="B587" s="64"/>
      <c r="C587" s="64"/>
      <c r="D587" s="64"/>
      <c r="E587" s="64"/>
      <c r="F587" s="70"/>
      <c r="G587" s="71"/>
      <c r="H587" s="72"/>
      <c r="I587" s="64"/>
      <c r="J587" s="64"/>
      <c r="K587" s="64"/>
      <c r="L587" s="64"/>
      <c r="M587" s="64"/>
      <c r="N587" s="64"/>
      <c r="O587" s="64"/>
      <c r="P587" s="64"/>
      <c r="Q587" s="64"/>
      <c r="R587" s="64"/>
      <c r="S587" s="64"/>
      <c r="T587" s="64"/>
      <c r="U587" s="64"/>
      <c r="V587" s="64"/>
      <c r="W587" s="64"/>
      <c r="X587" s="64"/>
      <c r="Y587" s="64"/>
      <c r="Z587" s="64"/>
      <c r="AA587" s="64"/>
      <c r="AB587" s="64"/>
      <c r="AC587" s="64"/>
      <c r="AD587" s="64"/>
      <c r="AE587" s="64"/>
      <c r="AF587" s="64"/>
      <c r="AG587" s="64"/>
    </row>
    <row r="588" spans="1:33">
      <c r="A588" s="64"/>
      <c r="B588" s="64"/>
      <c r="C588" s="64"/>
      <c r="D588" s="64"/>
      <c r="E588" s="64"/>
      <c r="F588" s="70"/>
      <c r="G588" s="71"/>
      <c r="H588" s="72"/>
      <c r="I588" s="64"/>
      <c r="J588" s="64"/>
      <c r="K588" s="64"/>
      <c r="L588" s="64"/>
      <c r="M588" s="64"/>
      <c r="N588" s="64"/>
      <c r="O588" s="64"/>
      <c r="P588" s="64"/>
      <c r="Q588" s="64"/>
      <c r="R588" s="64"/>
      <c r="S588" s="64"/>
      <c r="T588" s="64"/>
      <c r="U588" s="64"/>
      <c r="V588" s="64"/>
      <c r="W588" s="64"/>
      <c r="X588" s="64"/>
      <c r="Y588" s="64"/>
      <c r="Z588" s="64"/>
      <c r="AA588" s="64"/>
      <c r="AB588" s="64"/>
      <c r="AC588" s="64"/>
      <c r="AD588" s="64"/>
      <c r="AE588" s="64"/>
      <c r="AF588" s="64"/>
      <c r="AG588" s="64"/>
    </row>
    <row r="589" spans="1:33">
      <c r="A589" s="64"/>
      <c r="B589" s="64"/>
      <c r="C589" s="64"/>
      <c r="D589" s="64"/>
      <c r="E589" s="64"/>
      <c r="F589" s="70"/>
      <c r="G589" s="71"/>
      <c r="H589" s="72"/>
      <c r="I589" s="64"/>
      <c r="J589" s="64"/>
      <c r="K589" s="64"/>
      <c r="L589" s="64"/>
      <c r="M589" s="64"/>
      <c r="N589" s="64"/>
      <c r="O589" s="64"/>
      <c r="P589" s="64"/>
      <c r="Q589" s="64"/>
      <c r="R589" s="64"/>
      <c r="S589" s="64"/>
      <c r="T589" s="64"/>
      <c r="U589" s="64"/>
      <c r="V589" s="64"/>
      <c r="W589" s="64"/>
      <c r="X589" s="64"/>
      <c r="Y589" s="64"/>
      <c r="Z589" s="64"/>
      <c r="AA589" s="64"/>
      <c r="AB589" s="64"/>
      <c r="AC589" s="64"/>
      <c r="AD589" s="64"/>
      <c r="AE589" s="64"/>
      <c r="AF589" s="64"/>
      <c r="AG589" s="64"/>
    </row>
    <row r="590" spans="1:33">
      <c r="A590" s="64"/>
      <c r="B590" s="64"/>
      <c r="C590" s="64"/>
      <c r="D590" s="64"/>
      <c r="E590" s="64"/>
      <c r="F590" s="70"/>
      <c r="G590" s="71"/>
      <c r="H590" s="72"/>
      <c r="I590" s="64"/>
      <c r="J590" s="64"/>
      <c r="K590" s="64"/>
      <c r="L590" s="64"/>
      <c r="M590" s="64"/>
      <c r="N590" s="64"/>
      <c r="O590" s="64"/>
      <c r="P590" s="64"/>
      <c r="Q590" s="64"/>
      <c r="R590" s="64"/>
      <c r="S590" s="64"/>
      <c r="T590" s="64"/>
      <c r="U590" s="64"/>
      <c r="V590" s="64"/>
      <c r="W590" s="64"/>
      <c r="X590" s="64"/>
      <c r="Y590" s="64"/>
      <c r="Z590" s="64"/>
      <c r="AA590" s="64"/>
      <c r="AB590" s="64"/>
      <c r="AC590" s="64"/>
      <c r="AD590" s="64"/>
      <c r="AE590" s="64"/>
      <c r="AF590" s="64"/>
      <c r="AG590" s="64"/>
    </row>
    <row r="591" spans="1:33">
      <c r="A591" s="64"/>
      <c r="B591" s="64"/>
      <c r="C591" s="64"/>
      <c r="D591" s="64"/>
      <c r="E591" s="64"/>
      <c r="F591" s="70"/>
      <c r="G591" s="71"/>
      <c r="H591" s="72"/>
      <c r="I591" s="64"/>
      <c r="J591" s="64"/>
      <c r="K591" s="64"/>
      <c r="L591" s="64"/>
      <c r="M591" s="64"/>
      <c r="N591" s="64"/>
      <c r="O591" s="64"/>
      <c r="P591" s="64"/>
      <c r="Q591" s="64"/>
      <c r="R591" s="64"/>
      <c r="S591" s="64"/>
      <c r="T591" s="64"/>
      <c r="U591" s="64"/>
      <c r="V591" s="64"/>
      <c r="W591" s="64"/>
      <c r="X591" s="64"/>
      <c r="Y591" s="64"/>
      <c r="Z591" s="64"/>
      <c r="AA591" s="64"/>
      <c r="AB591" s="64"/>
      <c r="AC591" s="64"/>
      <c r="AD591" s="64"/>
      <c r="AE591" s="64"/>
      <c r="AF591" s="64"/>
      <c r="AG591" s="64"/>
    </row>
    <row r="592" spans="1:33">
      <c r="A592" s="64"/>
      <c r="B592" s="64"/>
      <c r="C592" s="64"/>
      <c r="D592" s="64"/>
      <c r="E592" s="64"/>
      <c r="F592" s="70"/>
      <c r="G592" s="71"/>
      <c r="H592" s="72"/>
      <c r="I592" s="64"/>
      <c r="J592" s="64"/>
      <c r="K592" s="64"/>
      <c r="L592" s="64"/>
      <c r="M592" s="64"/>
      <c r="N592" s="64"/>
      <c r="O592" s="64"/>
      <c r="P592" s="64"/>
      <c r="Q592" s="64"/>
      <c r="R592" s="64"/>
      <c r="S592" s="64"/>
      <c r="T592" s="64"/>
      <c r="U592" s="64"/>
      <c r="V592" s="64"/>
      <c r="W592" s="64"/>
      <c r="X592" s="64"/>
      <c r="Y592" s="64"/>
      <c r="Z592" s="64"/>
      <c r="AA592" s="64"/>
      <c r="AB592" s="64"/>
      <c r="AC592" s="64"/>
      <c r="AD592" s="64"/>
      <c r="AE592" s="64"/>
      <c r="AF592" s="64"/>
      <c r="AG592" s="64"/>
    </row>
    <row r="593" spans="1:33">
      <c r="A593" s="64"/>
      <c r="B593" s="64"/>
      <c r="C593" s="64"/>
      <c r="D593" s="64"/>
      <c r="E593" s="64"/>
      <c r="F593" s="70"/>
      <c r="G593" s="71"/>
      <c r="H593" s="72"/>
      <c r="I593" s="64"/>
      <c r="J593" s="64"/>
      <c r="K593" s="64"/>
      <c r="L593" s="64"/>
      <c r="M593" s="64"/>
      <c r="N593" s="64"/>
      <c r="O593" s="64"/>
      <c r="P593" s="64"/>
      <c r="Q593" s="64"/>
      <c r="R593" s="64"/>
      <c r="S593" s="64"/>
      <c r="T593" s="64"/>
      <c r="U593" s="64"/>
      <c r="V593" s="64"/>
      <c r="W593" s="64"/>
      <c r="X593" s="64"/>
      <c r="Y593" s="64"/>
      <c r="Z593" s="64"/>
      <c r="AA593" s="64"/>
      <c r="AB593" s="64"/>
      <c r="AC593" s="64"/>
      <c r="AD593" s="64"/>
      <c r="AE593" s="64"/>
      <c r="AF593" s="64"/>
      <c r="AG593" s="64"/>
    </row>
    <row r="594" spans="1:33">
      <c r="A594" s="64"/>
      <c r="B594" s="64"/>
      <c r="C594" s="64"/>
      <c r="D594" s="64"/>
      <c r="E594" s="64"/>
      <c r="F594" s="70"/>
      <c r="G594" s="71"/>
      <c r="H594" s="72"/>
      <c r="I594" s="64"/>
      <c r="J594" s="64"/>
      <c r="K594" s="64"/>
      <c r="L594" s="64"/>
      <c r="M594" s="64"/>
      <c r="N594" s="64"/>
      <c r="O594" s="64"/>
      <c r="P594" s="64"/>
      <c r="Q594" s="64"/>
      <c r="R594" s="64"/>
      <c r="S594" s="64"/>
      <c r="T594" s="64"/>
      <c r="U594" s="64"/>
      <c r="V594" s="64"/>
      <c r="W594" s="64"/>
      <c r="X594" s="64"/>
      <c r="Y594" s="64"/>
      <c r="Z594" s="64"/>
      <c r="AA594" s="64"/>
      <c r="AB594" s="64"/>
      <c r="AC594" s="64"/>
      <c r="AD594" s="64"/>
      <c r="AE594" s="64"/>
      <c r="AF594" s="64"/>
      <c r="AG594" s="64"/>
    </row>
    <row r="595" spans="1:33">
      <c r="A595" s="64"/>
      <c r="B595" s="64"/>
      <c r="C595" s="64"/>
      <c r="D595" s="64"/>
      <c r="E595" s="64"/>
      <c r="F595" s="70"/>
      <c r="G595" s="71"/>
      <c r="H595" s="72"/>
      <c r="I595" s="64"/>
      <c r="J595" s="64"/>
      <c r="K595" s="64"/>
      <c r="L595" s="64"/>
      <c r="M595" s="64"/>
      <c r="N595" s="64"/>
      <c r="O595" s="64"/>
      <c r="P595" s="64"/>
      <c r="Q595" s="64"/>
      <c r="R595" s="64"/>
      <c r="S595" s="64"/>
      <c r="T595" s="64"/>
      <c r="U595" s="64"/>
      <c r="V595" s="64"/>
      <c r="W595" s="64"/>
      <c r="X595" s="64"/>
      <c r="Y595" s="64"/>
      <c r="Z595" s="64"/>
      <c r="AA595" s="64"/>
      <c r="AB595" s="64"/>
      <c r="AC595" s="64"/>
      <c r="AD595" s="64"/>
      <c r="AE595" s="64"/>
      <c r="AF595" s="64"/>
      <c r="AG595" s="64"/>
    </row>
    <row r="596" spans="1:33">
      <c r="A596" s="64"/>
      <c r="B596" s="64"/>
      <c r="C596" s="64"/>
      <c r="D596" s="64"/>
      <c r="E596" s="64"/>
      <c r="F596" s="70"/>
      <c r="G596" s="71"/>
      <c r="H596" s="72"/>
      <c r="I596" s="64"/>
      <c r="J596" s="64"/>
      <c r="K596" s="64"/>
      <c r="L596" s="64"/>
      <c r="M596" s="64"/>
      <c r="N596" s="64"/>
      <c r="O596" s="64"/>
      <c r="P596" s="64"/>
      <c r="Q596" s="64"/>
      <c r="R596" s="64"/>
      <c r="S596" s="64"/>
      <c r="T596" s="64"/>
      <c r="U596" s="64"/>
      <c r="V596" s="64"/>
      <c r="W596" s="64"/>
      <c r="X596" s="64"/>
      <c r="Y596" s="64"/>
      <c r="Z596" s="64"/>
      <c r="AA596" s="64"/>
      <c r="AB596" s="64"/>
      <c r="AC596" s="64"/>
      <c r="AD596" s="64"/>
      <c r="AE596" s="64"/>
      <c r="AF596" s="64"/>
      <c r="AG596" s="64"/>
    </row>
    <row r="597" spans="1:33">
      <c r="A597" s="64"/>
      <c r="B597" s="64"/>
      <c r="C597" s="64"/>
      <c r="D597" s="64"/>
      <c r="E597" s="64"/>
      <c r="F597" s="70"/>
      <c r="G597" s="71"/>
      <c r="H597" s="72"/>
      <c r="I597" s="64"/>
      <c r="J597" s="64"/>
      <c r="K597" s="64"/>
      <c r="L597" s="64"/>
      <c r="M597" s="64"/>
      <c r="N597" s="64"/>
      <c r="O597" s="64"/>
      <c r="P597" s="64"/>
      <c r="Q597" s="64"/>
      <c r="R597" s="64"/>
      <c r="S597" s="64"/>
      <c r="T597" s="64"/>
      <c r="U597" s="64"/>
      <c r="V597" s="64"/>
      <c r="W597" s="64"/>
      <c r="X597" s="64"/>
      <c r="Y597" s="64"/>
      <c r="Z597" s="64"/>
      <c r="AA597" s="64"/>
      <c r="AB597" s="64"/>
      <c r="AC597" s="64"/>
      <c r="AD597" s="64"/>
      <c r="AE597" s="64"/>
      <c r="AF597" s="64"/>
      <c r="AG597" s="64"/>
    </row>
    <row r="598" spans="1:33">
      <c r="A598" s="64"/>
      <c r="B598" s="64"/>
      <c r="C598" s="64"/>
      <c r="D598" s="64"/>
      <c r="E598" s="64"/>
      <c r="F598" s="70"/>
      <c r="G598" s="71"/>
      <c r="H598" s="72"/>
      <c r="I598" s="64"/>
      <c r="J598" s="64"/>
      <c r="K598" s="64"/>
      <c r="L598" s="64"/>
      <c r="M598" s="64"/>
      <c r="N598" s="64"/>
      <c r="O598" s="64"/>
      <c r="P598" s="64"/>
      <c r="Q598" s="64"/>
      <c r="R598" s="64"/>
      <c r="S598" s="64"/>
      <c r="T598" s="64"/>
      <c r="U598" s="64"/>
      <c r="V598" s="64"/>
      <c r="W598" s="64"/>
      <c r="X598" s="64"/>
      <c r="Y598" s="64"/>
      <c r="Z598" s="64"/>
      <c r="AA598" s="64"/>
      <c r="AB598" s="64"/>
      <c r="AC598" s="64"/>
      <c r="AD598" s="64"/>
      <c r="AE598" s="64"/>
      <c r="AF598" s="64"/>
      <c r="AG598" s="64"/>
    </row>
    <row r="599" spans="1:33">
      <c r="A599" s="64"/>
      <c r="B599" s="64"/>
      <c r="C599" s="64"/>
      <c r="D599" s="64"/>
      <c r="E599" s="64"/>
      <c r="F599" s="70"/>
      <c r="G599" s="71"/>
      <c r="H599" s="72"/>
      <c r="I599" s="64"/>
      <c r="J599" s="64"/>
      <c r="K599" s="64"/>
      <c r="L599" s="64"/>
      <c r="M599" s="64"/>
      <c r="N599" s="64"/>
      <c r="O599" s="64"/>
      <c r="P599" s="64"/>
      <c r="Q599" s="64"/>
      <c r="R599" s="64"/>
      <c r="S599" s="64"/>
      <c r="T599" s="64"/>
      <c r="U599" s="64"/>
      <c r="V599" s="64"/>
      <c r="W599" s="64"/>
      <c r="X599" s="64"/>
      <c r="Y599" s="64"/>
      <c r="Z599" s="64"/>
      <c r="AA599" s="64"/>
      <c r="AB599" s="64"/>
      <c r="AC599" s="64"/>
      <c r="AD599" s="64"/>
      <c r="AE599" s="64"/>
      <c r="AF599" s="64"/>
      <c r="AG599" s="64"/>
    </row>
    <row r="600" spans="1:33">
      <c r="A600" s="64"/>
      <c r="B600" s="64"/>
      <c r="C600" s="64"/>
      <c r="D600" s="64"/>
      <c r="E600" s="64"/>
      <c r="F600" s="70"/>
      <c r="G600" s="71"/>
      <c r="H600" s="72"/>
      <c r="I600" s="64"/>
      <c r="J600" s="64"/>
      <c r="K600" s="64"/>
      <c r="L600" s="64"/>
      <c r="M600" s="64"/>
      <c r="N600" s="64"/>
      <c r="O600" s="64"/>
      <c r="P600" s="64"/>
      <c r="Q600" s="64"/>
      <c r="R600" s="64"/>
      <c r="S600" s="64"/>
      <c r="T600" s="64"/>
      <c r="U600" s="64"/>
      <c r="V600" s="64"/>
      <c r="W600" s="64"/>
      <c r="X600" s="64"/>
      <c r="Y600" s="64"/>
      <c r="Z600" s="64"/>
      <c r="AA600" s="64"/>
      <c r="AB600" s="64"/>
      <c r="AC600" s="64"/>
      <c r="AD600" s="64"/>
      <c r="AE600" s="64"/>
      <c r="AF600" s="64"/>
      <c r="AG600" s="64"/>
    </row>
    <row r="601" spans="1:33">
      <c r="A601" s="64"/>
      <c r="B601" s="64"/>
      <c r="C601" s="64"/>
      <c r="D601" s="64"/>
      <c r="E601" s="64"/>
      <c r="F601" s="70"/>
      <c r="G601" s="71"/>
      <c r="H601" s="72"/>
      <c r="I601" s="64"/>
      <c r="J601" s="64"/>
      <c r="K601" s="64"/>
      <c r="L601" s="64"/>
      <c r="M601" s="64"/>
      <c r="N601" s="64"/>
      <c r="O601" s="64"/>
      <c r="P601" s="64"/>
      <c r="Q601" s="64"/>
      <c r="R601" s="64"/>
      <c r="S601" s="64"/>
      <c r="T601" s="64"/>
      <c r="U601" s="64"/>
      <c r="V601" s="64"/>
      <c r="W601" s="64"/>
      <c r="X601" s="64"/>
      <c r="Y601" s="64"/>
      <c r="Z601" s="64"/>
      <c r="AA601" s="64"/>
      <c r="AB601" s="64"/>
      <c r="AC601" s="64"/>
      <c r="AD601" s="64"/>
      <c r="AE601" s="64"/>
      <c r="AF601" s="64"/>
      <c r="AG601" s="64"/>
    </row>
    <row r="602" spans="1:33">
      <c r="A602" s="64"/>
      <c r="B602" s="64"/>
      <c r="C602" s="64"/>
      <c r="D602" s="64"/>
      <c r="E602" s="64"/>
      <c r="F602" s="70"/>
      <c r="G602" s="71"/>
      <c r="H602" s="72"/>
      <c r="I602" s="64"/>
      <c r="J602" s="64"/>
      <c r="K602" s="64"/>
      <c r="L602" s="64"/>
      <c r="M602" s="64"/>
      <c r="N602" s="64"/>
      <c r="O602" s="64"/>
      <c r="P602" s="64"/>
      <c r="Q602" s="64"/>
      <c r="R602" s="64"/>
      <c r="S602" s="64"/>
      <c r="T602" s="64"/>
      <c r="U602" s="64"/>
      <c r="V602" s="64"/>
      <c r="W602" s="64"/>
      <c r="X602" s="64"/>
      <c r="Y602" s="64"/>
      <c r="Z602" s="64"/>
      <c r="AA602" s="64"/>
      <c r="AB602" s="64"/>
      <c r="AC602" s="64"/>
      <c r="AD602" s="64"/>
      <c r="AE602" s="64"/>
      <c r="AF602" s="64"/>
      <c r="AG602" s="64"/>
    </row>
    <row r="603" spans="1:33">
      <c r="A603" s="64"/>
      <c r="B603" s="64"/>
      <c r="C603" s="64"/>
      <c r="D603" s="64"/>
      <c r="E603" s="64"/>
      <c r="F603" s="70"/>
      <c r="G603" s="71"/>
      <c r="H603" s="72"/>
      <c r="I603" s="64"/>
      <c r="J603" s="64"/>
      <c r="K603" s="64"/>
      <c r="L603" s="64"/>
      <c r="M603" s="64"/>
      <c r="N603" s="64"/>
      <c r="O603" s="64"/>
      <c r="P603" s="64"/>
      <c r="Q603" s="64"/>
      <c r="R603" s="64"/>
      <c r="S603" s="64"/>
      <c r="T603" s="64"/>
      <c r="U603" s="64"/>
      <c r="V603" s="64"/>
      <c r="W603" s="64"/>
      <c r="X603" s="64"/>
      <c r="Y603" s="64"/>
      <c r="Z603" s="64"/>
      <c r="AA603" s="64"/>
      <c r="AB603" s="64"/>
      <c r="AC603" s="64"/>
      <c r="AD603" s="64"/>
      <c r="AE603" s="64"/>
      <c r="AF603" s="64"/>
      <c r="AG603" s="64"/>
    </row>
    <row r="604" spans="1:33">
      <c r="A604" s="64"/>
      <c r="B604" s="64"/>
      <c r="C604" s="64"/>
      <c r="D604" s="64"/>
      <c r="E604" s="64"/>
      <c r="F604" s="70"/>
      <c r="G604" s="71"/>
      <c r="H604" s="72"/>
      <c r="I604" s="64"/>
      <c r="J604" s="64"/>
      <c r="K604" s="64"/>
      <c r="L604" s="64"/>
      <c r="M604" s="64"/>
      <c r="N604" s="64"/>
      <c r="O604" s="64"/>
      <c r="P604" s="64"/>
      <c r="Q604" s="64"/>
      <c r="R604" s="64"/>
      <c r="S604" s="64"/>
      <c r="T604" s="64"/>
      <c r="U604" s="64"/>
      <c r="V604" s="64"/>
      <c r="W604" s="64"/>
      <c r="X604" s="64"/>
      <c r="Y604" s="64"/>
      <c r="Z604" s="64"/>
      <c r="AA604" s="64"/>
      <c r="AB604" s="64"/>
      <c r="AC604" s="64"/>
      <c r="AD604" s="64"/>
      <c r="AE604" s="64"/>
      <c r="AF604" s="64"/>
      <c r="AG604" s="64"/>
    </row>
    <row r="605" spans="1:33">
      <c r="A605" s="64"/>
      <c r="B605" s="64"/>
      <c r="C605" s="64"/>
      <c r="D605" s="64"/>
      <c r="E605" s="64"/>
      <c r="F605" s="70"/>
      <c r="G605" s="71"/>
      <c r="H605" s="72"/>
      <c r="I605" s="64"/>
      <c r="J605" s="64"/>
      <c r="K605" s="64"/>
      <c r="L605" s="64"/>
      <c r="M605" s="64"/>
      <c r="N605" s="64"/>
      <c r="O605" s="64"/>
      <c r="P605" s="64"/>
      <c r="Q605" s="64"/>
      <c r="R605" s="64"/>
      <c r="S605" s="64"/>
      <c r="T605" s="64"/>
      <c r="U605" s="64"/>
      <c r="V605" s="64"/>
      <c r="W605" s="64"/>
      <c r="X605" s="64"/>
      <c r="Y605" s="64"/>
      <c r="Z605" s="64"/>
      <c r="AA605" s="64"/>
      <c r="AB605" s="64"/>
      <c r="AC605" s="64"/>
      <c r="AD605" s="64"/>
      <c r="AE605" s="64"/>
      <c r="AF605" s="64"/>
      <c r="AG605" s="64"/>
    </row>
    <row r="606" spans="1:33">
      <c r="A606" s="64"/>
      <c r="B606" s="64"/>
      <c r="C606" s="64"/>
      <c r="D606" s="64"/>
      <c r="E606" s="64"/>
      <c r="F606" s="70"/>
      <c r="G606" s="71"/>
      <c r="H606" s="72"/>
      <c r="I606" s="64"/>
      <c r="J606" s="64"/>
      <c r="K606" s="64"/>
      <c r="L606" s="64"/>
      <c r="M606" s="64"/>
      <c r="N606" s="64"/>
      <c r="O606" s="64"/>
      <c r="P606" s="64"/>
      <c r="Q606" s="64"/>
      <c r="R606" s="64"/>
      <c r="S606" s="64"/>
      <c r="T606" s="64"/>
      <c r="U606" s="64"/>
      <c r="V606" s="64"/>
      <c r="W606" s="64"/>
      <c r="X606" s="64"/>
      <c r="Y606" s="64"/>
      <c r="Z606" s="64"/>
      <c r="AA606" s="64"/>
      <c r="AB606" s="64"/>
      <c r="AC606" s="64"/>
      <c r="AD606" s="64"/>
      <c r="AE606" s="64"/>
      <c r="AF606" s="64"/>
      <c r="AG606" s="64"/>
    </row>
    <row r="607" spans="1:33">
      <c r="A607" s="64"/>
      <c r="B607" s="64"/>
      <c r="C607" s="64"/>
      <c r="D607" s="64"/>
      <c r="E607" s="64"/>
      <c r="F607" s="70"/>
      <c r="G607" s="71"/>
      <c r="H607" s="72"/>
      <c r="I607" s="64"/>
      <c r="J607" s="64"/>
      <c r="K607" s="64"/>
      <c r="L607" s="64"/>
      <c r="M607" s="64"/>
      <c r="N607" s="64"/>
      <c r="O607" s="64"/>
      <c r="P607" s="64"/>
      <c r="Q607" s="64"/>
      <c r="R607" s="64"/>
      <c r="S607" s="64"/>
      <c r="T607" s="64"/>
      <c r="U607" s="64"/>
      <c r="V607" s="64"/>
      <c r="W607" s="64"/>
      <c r="X607" s="64"/>
      <c r="Y607" s="64"/>
      <c r="Z607" s="64"/>
      <c r="AA607" s="64"/>
      <c r="AB607" s="64"/>
      <c r="AC607" s="64"/>
      <c r="AD607" s="64"/>
      <c r="AE607" s="64"/>
      <c r="AF607" s="64"/>
      <c r="AG607" s="64"/>
    </row>
    <row r="608" spans="1:33">
      <c r="A608" s="64"/>
      <c r="B608" s="64"/>
      <c r="C608" s="64"/>
      <c r="D608" s="64"/>
      <c r="E608" s="64"/>
      <c r="F608" s="70"/>
      <c r="G608" s="71"/>
      <c r="H608" s="72"/>
      <c r="I608" s="64"/>
      <c r="J608" s="64"/>
      <c r="K608" s="64"/>
      <c r="L608" s="64"/>
      <c r="M608" s="64"/>
      <c r="N608" s="64"/>
      <c r="O608" s="64"/>
      <c r="P608" s="64"/>
      <c r="Q608" s="64"/>
      <c r="R608" s="64"/>
      <c r="S608" s="64"/>
      <c r="T608" s="64"/>
      <c r="U608" s="64"/>
      <c r="V608" s="64"/>
      <c r="W608" s="64"/>
      <c r="X608" s="64"/>
      <c r="Y608" s="64"/>
      <c r="Z608" s="64"/>
      <c r="AA608" s="64"/>
      <c r="AB608" s="64"/>
      <c r="AC608" s="64"/>
      <c r="AD608" s="64"/>
      <c r="AE608" s="64"/>
      <c r="AF608" s="64"/>
      <c r="AG608" s="64"/>
    </row>
    <row r="609" spans="1:33">
      <c r="A609" s="64"/>
      <c r="B609" s="64"/>
      <c r="C609" s="64"/>
      <c r="D609" s="64"/>
      <c r="E609" s="64"/>
      <c r="F609" s="70"/>
      <c r="G609" s="71"/>
      <c r="H609" s="72"/>
      <c r="I609" s="64"/>
      <c r="J609" s="64"/>
      <c r="K609" s="64"/>
      <c r="L609" s="64"/>
      <c r="M609" s="64"/>
      <c r="N609" s="64"/>
      <c r="O609" s="64"/>
      <c r="P609" s="64"/>
      <c r="Q609" s="64"/>
      <c r="R609" s="64"/>
      <c r="S609" s="64"/>
      <c r="T609" s="64"/>
      <c r="U609" s="64"/>
      <c r="V609" s="64"/>
      <c r="W609" s="64"/>
      <c r="X609" s="64"/>
      <c r="Y609" s="64"/>
      <c r="Z609" s="64"/>
      <c r="AA609" s="64"/>
      <c r="AB609" s="64"/>
      <c r="AC609" s="64"/>
      <c r="AD609" s="64"/>
      <c r="AE609" s="64"/>
      <c r="AF609" s="64"/>
      <c r="AG609" s="64"/>
    </row>
    <row r="610" spans="1:33">
      <c r="A610" s="64"/>
      <c r="B610" s="64"/>
      <c r="C610" s="64"/>
      <c r="D610" s="64"/>
      <c r="E610" s="64"/>
      <c r="F610" s="70"/>
      <c r="G610" s="71"/>
      <c r="H610" s="72"/>
      <c r="I610" s="64"/>
      <c r="J610" s="64"/>
      <c r="K610" s="64"/>
      <c r="L610" s="64"/>
      <c r="M610" s="64"/>
      <c r="N610" s="64"/>
      <c r="O610" s="64"/>
      <c r="P610" s="64"/>
      <c r="Q610" s="64"/>
      <c r="R610" s="64"/>
      <c r="S610" s="64"/>
      <c r="T610" s="64"/>
      <c r="U610" s="64"/>
      <c r="V610" s="64"/>
      <c r="W610" s="64"/>
      <c r="X610" s="64"/>
      <c r="Y610" s="64"/>
      <c r="Z610" s="64"/>
      <c r="AA610" s="64"/>
      <c r="AB610" s="64"/>
      <c r="AC610" s="64"/>
      <c r="AD610" s="64"/>
      <c r="AE610" s="64"/>
      <c r="AF610" s="64"/>
      <c r="AG610" s="64"/>
    </row>
    <row r="611" spans="1:33">
      <c r="A611" s="64"/>
      <c r="B611" s="64"/>
      <c r="C611" s="64"/>
      <c r="D611" s="64"/>
      <c r="E611" s="64"/>
      <c r="F611" s="70"/>
      <c r="G611" s="71"/>
      <c r="H611" s="72"/>
      <c r="I611" s="64"/>
      <c r="J611" s="64"/>
      <c r="K611" s="64"/>
      <c r="L611" s="64"/>
      <c r="M611" s="64"/>
      <c r="N611" s="64"/>
      <c r="O611" s="64"/>
      <c r="P611" s="64"/>
      <c r="Q611" s="64"/>
      <c r="R611" s="64"/>
      <c r="S611" s="64"/>
      <c r="T611" s="64"/>
      <c r="U611" s="64"/>
      <c r="V611" s="64"/>
      <c r="W611" s="64"/>
      <c r="X611" s="64"/>
      <c r="Y611" s="64"/>
      <c r="Z611" s="64"/>
      <c r="AA611" s="64"/>
      <c r="AB611" s="64"/>
      <c r="AC611" s="64"/>
      <c r="AD611" s="64"/>
      <c r="AE611" s="64"/>
      <c r="AF611" s="64"/>
      <c r="AG611" s="64"/>
    </row>
    <row r="612" spans="1:33">
      <c r="A612" s="64"/>
      <c r="B612" s="64"/>
      <c r="C612" s="64"/>
      <c r="D612" s="64"/>
      <c r="E612" s="64"/>
      <c r="F612" s="70"/>
      <c r="G612" s="71"/>
      <c r="H612" s="72"/>
      <c r="I612" s="64"/>
      <c r="J612" s="64"/>
      <c r="K612" s="64"/>
      <c r="L612" s="64"/>
      <c r="M612" s="64"/>
      <c r="N612" s="64"/>
      <c r="O612" s="64"/>
      <c r="P612" s="64"/>
      <c r="Q612" s="64"/>
      <c r="R612" s="64"/>
      <c r="S612" s="64"/>
      <c r="T612" s="64"/>
      <c r="U612" s="64"/>
      <c r="V612" s="64"/>
      <c r="W612" s="64"/>
      <c r="X612" s="64"/>
      <c r="Y612" s="64"/>
      <c r="Z612" s="64"/>
      <c r="AA612" s="64"/>
      <c r="AB612" s="64"/>
      <c r="AC612" s="64"/>
      <c r="AD612" s="64"/>
      <c r="AE612" s="64"/>
      <c r="AF612" s="64"/>
      <c r="AG612" s="64"/>
    </row>
    <row r="613" spans="1:33">
      <c r="A613" s="64"/>
      <c r="B613" s="64"/>
      <c r="C613" s="64"/>
      <c r="D613" s="64"/>
      <c r="E613" s="64"/>
      <c r="F613" s="70"/>
      <c r="G613" s="71"/>
      <c r="H613" s="72"/>
      <c r="I613" s="64"/>
      <c r="J613" s="64"/>
      <c r="K613" s="64"/>
      <c r="L613" s="64"/>
      <c r="M613" s="64"/>
      <c r="N613" s="64"/>
      <c r="O613" s="64"/>
      <c r="P613" s="64"/>
      <c r="Q613" s="64"/>
      <c r="R613" s="64"/>
      <c r="S613" s="64"/>
      <c r="T613" s="64"/>
      <c r="U613" s="64"/>
      <c r="V613" s="64"/>
      <c r="W613" s="64"/>
      <c r="X613" s="64"/>
      <c r="Y613" s="64"/>
      <c r="Z613" s="64"/>
      <c r="AA613" s="64"/>
      <c r="AB613" s="64"/>
      <c r="AC613" s="64"/>
      <c r="AD613" s="64"/>
      <c r="AE613" s="64"/>
      <c r="AF613" s="64"/>
      <c r="AG613" s="64"/>
    </row>
    <row r="614" spans="1:33">
      <c r="A614" s="64"/>
      <c r="B614" s="64"/>
      <c r="C614" s="64"/>
      <c r="D614" s="64"/>
      <c r="E614" s="64"/>
      <c r="F614" s="70"/>
      <c r="G614" s="71"/>
      <c r="H614" s="72"/>
      <c r="I614" s="64"/>
      <c r="J614" s="64"/>
      <c r="K614" s="64"/>
      <c r="L614" s="64"/>
      <c r="M614" s="64"/>
      <c r="N614" s="64"/>
      <c r="O614" s="64"/>
      <c r="P614" s="64"/>
      <c r="Q614" s="64"/>
      <c r="R614" s="64"/>
      <c r="S614" s="64"/>
      <c r="T614" s="64"/>
      <c r="U614" s="64"/>
      <c r="V614" s="64"/>
      <c r="W614" s="64"/>
      <c r="X614" s="64"/>
      <c r="Y614" s="64"/>
      <c r="Z614" s="64"/>
      <c r="AA614" s="64"/>
      <c r="AB614" s="64"/>
      <c r="AC614" s="64"/>
      <c r="AD614" s="64"/>
      <c r="AE614" s="64"/>
      <c r="AF614" s="64"/>
      <c r="AG614" s="64"/>
    </row>
    <row r="615" spans="1:33">
      <c r="A615" s="64"/>
      <c r="B615" s="64"/>
      <c r="C615" s="64"/>
      <c r="D615" s="64"/>
      <c r="E615" s="64"/>
      <c r="F615" s="70"/>
      <c r="G615" s="71"/>
      <c r="H615" s="72"/>
      <c r="I615" s="64"/>
      <c r="J615" s="64"/>
      <c r="K615" s="64"/>
      <c r="L615" s="64"/>
      <c r="M615" s="64"/>
      <c r="N615" s="64"/>
      <c r="O615" s="64"/>
      <c r="P615" s="64"/>
      <c r="Q615" s="64"/>
      <c r="R615" s="64"/>
      <c r="S615" s="64"/>
      <c r="T615" s="64"/>
      <c r="U615" s="64"/>
      <c r="V615" s="64"/>
      <c r="W615" s="64"/>
      <c r="X615" s="64"/>
      <c r="Y615" s="64"/>
      <c r="Z615" s="64"/>
      <c r="AA615" s="64"/>
      <c r="AB615" s="64"/>
      <c r="AC615" s="64"/>
      <c r="AD615" s="64"/>
      <c r="AE615" s="64"/>
      <c r="AF615" s="64"/>
      <c r="AG615" s="64"/>
    </row>
    <row r="616" spans="1:33">
      <c r="A616" s="64"/>
      <c r="B616" s="64"/>
      <c r="C616" s="64"/>
      <c r="D616" s="64"/>
      <c r="E616" s="64"/>
      <c r="F616" s="70"/>
      <c r="G616" s="71"/>
      <c r="H616" s="72"/>
      <c r="I616" s="64"/>
      <c r="J616" s="64"/>
      <c r="K616" s="64"/>
      <c r="L616" s="64"/>
      <c r="M616" s="64"/>
      <c r="N616" s="64"/>
      <c r="O616" s="64"/>
      <c r="P616" s="64"/>
      <c r="Q616" s="64"/>
      <c r="R616" s="64"/>
      <c r="S616" s="64"/>
      <c r="T616" s="64"/>
      <c r="U616" s="64"/>
      <c r="V616" s="64"/>
      <c r="W616" s="64"/>
      <c r="X616" s="64"/>
      <c r="Y616" s="64"/>
      <c r="Z616" s="64"/>
      <c r="AA616" s="64"/>
      <c r="AB616" s="64"/>
      <c r="AC616" s="64"/>
      <c r="AD616" s="64"/>
      <c r="AE616" s="64"/>
      <c r="AF616" s="64"/>
      <c r="AG616" s="64"/>
    </row>
    <row r="617" spans="1:33">
      <c r="A617" s="64"/>
      <c r="B617" s="64"/>
      <c r="C617" s="64"/>
      <c r="D617" s="64"/>
      <c r="E617" s="64"/>
      <c r="F617" s="70"/>
      <c r="G617" s="71"/>
      <c r="H617" s="72"/>
      <c r="I617" s="64"/>
      <c r="J617" s="64"/>
      <c r="K617" s="64"/>
      <c r="L617" s="64"/>
      <c r="M617" s="64"/>
      <c r="N617" s="64"/>
      <c r="O617" s="64"/>
      <c r="P617" s="64"/>
      <c r="Q617" s="64"/>
      <c r="R617" s="64"/>
      <c r="S617" s="64"/>
      <c r="T617" s="64"/>
      <c r="U617" s="64"/>
      <c r="V617" s="64"/>
      <c r="W617" s="64"/>
      <c r="X617" s="64"/>
      <c r="Y617" s="64"/>
      <c r="Z617" s="64"/>
      <c r="AA617" s="64"/>
      <c r="AB617" s="64"/>
      <c r="AC617" s="64"/>
      <c r="AD617" s="64"/>
      <c r="AE617" s="64"/>
      <c r="AF617" s="64"/>
      <c r="AG617" s="64"/>
    </row>
    <row r="618" spans="1:33">
      <c r="A618" s="64"/>
      <c r="B618" s="64"/>
      <c r="C618" s="64"/>
      <c r="D618" s="64"/>
      <c r="E618" s="64"/>
      <c r="F618" s="70"/>
      <c r="G618" s="71"/>
      <c r="H618" s="72"/>
      <c r="I618" s="64"/>
      <c r="J618" s="64"/>
      <c r="K618" s="64"/>
      <c r="L618" s="64"/>
      <c r="M618" s="64"/>
      <c r="N618" s="64"/>
      <c r="O618" s="64"/>
      <c r="P618" s="64"/>
      <c r="Q618" s="64"/>
      <c r="R618" s="64"/>
      <c r="S618" s="64"/>
      <c r="T618" s="64"/>
      <c r="U618" s="64"/>
      <c r="V618" s="64"/>
      <c r="W618" s="64"/>
      <c r="X618" s="64"/>
      <c r="Y618" s="64"/>
      <c r="Z618" s="64"/>
      <c r="AA618" s="64"/>
      <c r="AB618" s="64"/>
      <c r="AC618" s="64"/>
      <c r="AD618" s="64"/>
      <c r="AE618" s="64"/>
      <c r="AF618" s="64"/>
      <c r="AG618" s="64"/>
    </row>
    <row r="619" spans="1:33">
      <c r="A619" s="64"/>
      <c r="B619" s="64"/>
      <c r="C619" s="64"/>
      <c r="D619" s="64"/>
      <c r="E619" s="64"/>
      <c r="F619" s="70"/>
      <c r="G619" s="71"/>
      <c r="H619" s="72"/>
      <c r="I619" s="64"/>
      <c r="J619" s="64"/>
      <c r="K619" s="64"/>
      <c r="L619" s="64"/>
      <c r="M619" s="64"/>
      <c r="N619" s="64"/>
      <c r="O619" s="64"/>
      <c r="P619" s="64"/>
      <c r="Q619" s="64"/>
      <c r="R619" s="64"/>
      <c r="S619" s="64"/>
      <c r="T619" s="64"/>
      <c r="U619" s="64"/>
      <c r="V619" s="64"/>
      <c r="W619" s="64"/>
      <c r="X619" s="64"/>
      <c r="Y619" s="64"/>
      <c r="Z619" s="64"/>
      <c r="AA619" s="64"/>
      <c r="AB619" s="64"/>
      <c r="AC619" s="64"/>
      <c r="AD619" s="64"/>
      <c r="AE619" s="64"/>
      <c r="AF619" s="64"/>
      <c r="AG619" s="64"/>
    </row>
    <row r="620" spans="1:33">
      <c r="A620" s="64"/>
      <c r="B620" s="64"/>
      <c r="C620" s="64"/>
      <c r="D620" s="64"/>
      <c r="E620" s="64"/>
      <c r="F620" s="70"/>
      <c r="G620" s="71"/>
      <c r="H620" s="72"/>
      <c r="I620" s="64"/>
      <c r="J620" s="64"/>
      <c r="K620" s="64"/>
      <c r="L620" s="64"/>
      <c r="M620" s="64"/>
      <c r="N620" s="64"/>
      <c r="O620" s="64"/>
      <c r="P620" s="64"/>
      <c r="Q620" s="64"/>
      <c r="R620" s="64"/>
      <c r="S620" s="64"/>
      <c r="T620" s="64"/>
      <c r="U620" s="64"/>
      <c r="V620" s="64"/>
      <c r="W620" s="64"/>
      <c r="X620" s="64"/>
      <c r="Y620" s="64"/>
      <c r="Z620" s="64"/>
      <c r="AA620" s="64"/>
      <c r="AB620" s="64"/>
      <c r="AC620" s="64"/>
      <c r="AD620" s="64"/>
      <c r="AE620" s="64"/>
      <c r="AF620" s="64"/>
      <c r="AG620" s="64"/>
    </row>
    <row r="621" spans="1:33">
      <c r="A621" s="64"/>
      <c r="B621" s="64"/>
      <c r="C621" s="64"/>
      <c r="D621" s="64"/>
      <c r="E621" s="64"/>
      <c r="F621" s="70"/>
      <c r="G621" s="71"/>
      <c r="H621" s="72"/>
      <c r="I621" s="64"/>
      <c r="J621" s="64"/>
      <c r="K621" s="64"/>
      <c r="L621" s="64"/>
      <c r="M621" s="64"/>
      <c r="N621" s="64"/>
      <c r="O621" s="64"/>
      <c r="P621" s="64"/>
      <c r="Q621" s="64"/>
      <c r="R621" s="64"/>
      <c r="S621" s="64"/>
      <c r="T621" s="64"/>
      <c r="U621" s="64"/>
      <c r="V621" s="64"/>
      <c r="W621" s="64"/>
      <c r="X621" s="64"/>
      <c r="Y621" s="64"/>
      <c r="Z621" s="64"/>
      <c r="AA621" s="64"/>
      <c r="AB621" s="64"/>
      <c r="AC621" s="64"/>
      <c r="AD621" s="64"/>
      <c r="AE621" s="64"/>
      <c r="AF621" s="64"/>
      <c r="AG621" s="64"/>
    </row>
    <row r="622" spans="1:33">
      <c r="A622" s="64"/>
      <c r="B622" s="64"/>
      <c r="C622" s="64"/>
      <c r="D622" s="64"/>
      <c r="E622" s="64"/>
      <c r="F622" s="70"/>
      <c r="G622" s="71"/>
      <c r="H622" s="72"/>
      <c r="I622" s="64"/>
      <c r="J622" s="64"/>
      <c r="K622" s="64"/>
      <c r="L622" s="64"/>
      <c r="M622" s="64"/>
      <c r="N622" s="64"/>
      <c r="O622" s="64"/>
      <c r="P622" s="64"/>
      <c r="Q622" s="64"/>
      <c r="R622" s="64"/>
      <c r="S622" s="64"/>
      <c r="T622" s="64"/>
      <c r="U622" s="64"/>
      <c r="V622" s="64"/>
      <c r="W622" s="64"/>
      <c r="X622" s="64"/>
      <c r="Y622" s="64"/>
      <c r="Z622" s="64"/>
      <c r="AA622" s="64"/>
      <c r="AB622" s="64"/>
      <c r="AC622" s="64"/>
      <c r="AD622" s="64"/>
      <c r="AE622" s="64"/>
      <c r="AF622" s="64"/>
      <c r="AG622" s="64"/>
    </row>
    <row r="623" spans="1:33">
      <c r="A623" s="64"/>
      <c r="B623" s="64"/>
      <c r="C623" s="64"/>
      <c r="D623" s="64"/>
      <c r="E623" s="64"/>
      <c r="F623" s="70"/>
      <c r="G623" s="71"/>
      <c r="H623" s="72"/>
      <c r="I623" s="64"/>
      <c r="J623" s="64"/>
      <c r="K623" s="64"/>
      <c r="L623" s="64"/>
      <c r="M623" s="64"/>
      <c r="N623" s="64"/>
      <c r="O623" s="64"/>
      <c r="P623" s="64"/>
      <c r="Q623" s="64"/>
      <c r="R623" s="64"/>
      <c r="S623" s="64"/>
      <c r="T623" s="64"/>
      <c r="U623" s="64"/>
      <c r="V623" s="64"/>
      <c r="W623" s="64"/>
      <c r="X623" s="64"/>
      <c r="Y623" s="64"/>
      <c r="Z623" s="64"/>
      <c r="AA623" s="64"/>
      <c r="AB623" s="64"/>
      <c r="AC623" s="64"/>
      <c r="AD623" s="64"/>
      <c r="AE623" s="64"/>
      <c r="AF623" s="64"/>
      <c r="AG623" s="64"/>
    </row>
    <row r="624" spans="1:33">
      <c r="A624" s="64"/>
      <c r="B624" s="64"/>
      <c r="C624" s="64"/>
      <c r="D624" s="64"/>
      <c r="E624" s="64"/>
      <c r="F624" s="70"/>
      <c r="G624" s="71"/>
      <c r="H624" s="72"/>
      <c r="I624" s="64"/>
      <c r="J624" s="64"/>
      <c r="K624" s="64"/>
      <c r="L624" s="64"/>
      <c r="M624" s="64"/>
      <c r="N624" s="64"/>
      <c r="O624" s="64"/>
      <c r="P624" s="64"/>
      <c r="Q624" s="64"/>
      <c r="R624" s="64"/>
      <c r="S624" s="64"/>
      <c r="T624" s="64"/>
      <c r="U624" s="64"/>
      <c r="V624" s="64"/>
      <c r="W624" s="64"/>
      <c r="X624" s="64"/>
      <c r="Y624" s="64"/>
      <c r="Z624" s="64"/>
      <c r="AA624" s="64"/>
      <c r="AB624" s="64"/>
      <c r="AC624" s="64"/>
      <c r="AD624" s="64"/>
      <c r="AE624" s="64"/>
      <c r="AF624" s="64"/>
      <c r="AG624" s="64"/>
    </row>
    <row r="625" spans="1:33">
      <c r="A625" s="64"/>
      <c r="B625" s="64"/>
      <c r="C625" s="64"/>
      <c r="D625" s="64"/>
      <c r="E625" s="64"/>
      <c r="F625" s="70"/>
      <c r="G625" s="71"/>
      <c r="H625" s="72"/>
      <c r="I625" s="64"/>
      <c r="J625" s="64"/>
      <c r="K625" s="64"/>
      <c r="L625" s="64"/>
      <c r="M625" s="64"/>
      <c r="N625" s="64"/>
      <c r="O625" s="64"/>
      <c r="P625" s="64"/>
      <c r="Q625" s="64"/>
      <c r="R625" s="64"/>
      <c r="S625" s="64"/>
      <c r="T625" s="64"/>
      <c r="U625" s="64"/>
      <c r="V625" s="64"/>
      <c r="W625" s="64"/>
      <c r="X625" s="64"/>
      <c r="Y625" s="64"/>
      <c r="Z625" s="64"/>
      <c r="AA625" s="64"/>
      <c r="AB625" s="64"/>
      <c r="AC625" s="64"/>
      <c r="AD625" s="64"/>
      <c r="AE625" s="64"/>
      <c r="AF625" s="64"/>
      <c r="AG625" s="64"/>
    </row>
    <row r="626" spans="1:33">
      <c r="A626" s="64"/>
      <c r="B626" s="64"/>
      <c r="C626" s="64"/>
      <c r="D626" s="64"/>
      <c r="E626" s="64"/>
      <c r="F626" s="70"/>
      <c r="G626" s="71"/>
      <c r="H626" s="72"/>
      <c r="I626" s="64"/>
      <c r="J626" s="64"/>
      <c r="K626" s="64"/>
      <c r="L626" s="64"/>
      <c r="M626" s="64"/>
      <c r="N626" s="64"/>
      <c r="O626" s="64"/>
      <c r="P626" s="64"/>
      <c r="Q626" s="64"/>
      <c r="R626" s="64"/>
      <c r="S626" s="64"/>
      <c r="T626" s="64"/>
      <c r="U626" s="64"/>
      <c r="V626" s="64"/>
      <c r="W626" s="64"/>
      <c r="X626" s="64"/>
      <c r="Y626" s="64"/>
      <c r="Z626" s="64"/>
      <c r="AA626" s="64"/>
      <c r="AB626" s="64"/>
      <c r="AC626" s="64"/>
      <c r="AD626" s="64"/>
      <c r="AE626" s="64"/>
      <c r="AF626" s="64"/>
      <c r="AG626" s="64"/>
    </row>
    <row r="627" spans="1:33">
      <c r="A627" s="64"/>
      <c r="B627" s="64"/>
      <c r="C627" s="64"/>
      <c r="D627" s="64"/>
      <c r="E627" s="64"/>
      <c r="F627" s="70"/>
      <c r="G627" s="71"/>
      <c r="H627" s="72"/>
      <c r="I627" s="64"/>
      <c r="J627" s="64"/>
      <c r="K627" s="64"/>
      <c r="L627" s="64"/>
      <c r="M627" s="64"/>
      <c r="N627" s="64"/>
      <c r="O627" s="64"/>
      <c r="P627" s="64"/>
      <c r="Q627" s="64"/>
      <c r="R627" s="64"/>
      <c r="S627" s="64"/>
      <c r="T627" s="64"/>
      <c r="U627" s="64"/>
      <c r="V627" s="64"/>
      <c r="W627" s="64"/>
      <c r="X627" s="64"/>
      <c r="Y627" s="64"/>
      <c r="Z627" s="64"/>
      <c r="AA627" s="64"/>
      <c r="AB627" s="64"/>
      <c r="AC627" s="64"/>
      <c r="AD627" s="64"/>
      <c r="AE627" s="64"/>
      <c r="AF627" s="64"/>
      <c r="AG627" s="64"/>
    </row>
    <row r="628" spans="1:33">
      <c r="A628" s="64"/>
      <c r="B628" s="64"/>
      <c r="C628" s="64"/>
      <c r="D628" s="64"/>
      <c r="E628" s="64"/>
      <c r="F628" s="70"/>
      <c r="G628" s="71"/>
      <c r="H628" s="72"/>
      <c r="I628" s="64"/>
      <c r="J628" s="64"/>
      <c r="K628" s="64"/>
      <c r="L628" s="64"/>
      <c r="M628" s="64"/>
      <c r="N628" s="64"/>
      <c r="O628" s="64"/>
      <c r="P628" s="64"/>
      <c r="Q628" s="64"/>
      <c r="R628" s="64"/>
      <c r="S628" s="64"/>
      <c r="T628" s="64"/>
      <c r="U628" s="64"/>
      <c r="V628" s="64"/>
      <c r="W628" s="64"/>
      <c r="X628" s="64"/>
      <c r="Y628" s="64"/>
      <c r="Z628" s="64"/>
      <c r="AA628" s="64"/>
      <c r="AB628" s="64"/>
      <c r="AC628" s="64"/>
      <c r="AD628" s="64"/>
      <c r="AE628" s="64"/>
      <c r="AF628" s="64"/>
      <c r="AG628" s="64"/>
    </row>
    <row r="629" spans="1:33">
      <c r="A629" s="64"/>
      <c r="B629" s="64"/>
      <c r="C629" s="64"/>
      <c r="D629" s="64"/>
      <c r="E629" s="64"/>
      <c r="F629" s="70"/>
      <c r="G629" s="71"/>
      <c r="H629" s="72"/>
      <c r="I629" s="64"/>
      <c r="J629" s="64"/>
      <c r="K629" s="64"/>
      <c r="L629" s="64"/>
      <c r="M629" s="64"/>
      <c r="N629" s="64"/>
      <c r="O629" s="64"/>
      <c r="P629" s="64"/>
      <c r="Q629" s="64"/>
      <c r="R629" s="64"/>
      <c r="S629" s="64"/>
      <c r="T629" s="64"/>
      <c r="U629" s="64"/>
      <c r="V629" s="64"/>
      <c r="W629" s="64"/>
      <c r="X629" s="64"/>
      <c r="Y629" s="64"/>
      <c r="Z629" s="64"/>
      <c r="AA629" s="64"/>
      <c r="AB629" s="64"/>
      <c r="AC629" s="64"/>
      <c r="AD629" s="64"/>
      <c r="AE629" s="64"/>
      <c r="AF629" s="64"/>
      <c r="AG629" s="64"/>
    </row>
    <row r="630" spans="1:33">
      <c r="A630" s="64"/>
      <c r="B630" s="64"/>
      <c r="C630" s="64"/>
      <c r="D630" s="64"/>
      <c r="E630" s="64"/>
      <c r="F630" s="70"/>
      <c r="G630" s="71"/>
      <c r="H630" s="72"/>
      <c r="I630" s="64"/>
      <c r="J630" s="64"/>
      <c r="K630" s="64"/>
      <c r="L630" s="64"/>
      <c r="M630" s="64"/>
      <c r="N630" s="64"/>
      <c r="O630" s="64"/>
      <c r="P630" s="64"/>
      <c r="Q630" s="64"/>
      <c r="R630" s="64"/>
      <c r="S630" s="64"/>
      <c r="T630" s="64"/>
      <c r="U630" s="64"/>
      <c r="V630" s="64"/>
      <c r="W630" s="64"/>
      <c r="X630" s="64"/>
      <c r="Y630" s="64"/>
      <c r="Z630" s="64"/>
      <c r="AA630" s="64"/>
      <c r="AB630" s="64"/>
      <c r="AC630" s="64"/>
      <c r="AD630" s="64"/>
      <c r="AE630" s="64"/>
      <c r="AF630" s="64"/>
      <c r="AG630" s="64"/>
    </row>
    <row r="631" spans="1:33">
      <c r="A631" s="64"/>
      <c r="B631" s="64"/>
      <c r="C631" s="64"/>
      <c r="D631" s="64"/>
      <c r="E631" s="64"/>
      <c r="F631" s="70"/>
      <c r="G631" s="71"/>
      <c r="H631" s="72"/>
      <c r="I631" s="64"/>
      <c r="J631" s="64"/>
      <c r="K631" s="64"/>
      <c r="L631" s="64"/>
      <c r="M631" s="64"/>
      <c r="N631" s="64"/>
      <c r="O631" s="64"/>
      <c r="P631" s="64"/>
      <c r="Q631" s="64"/>
      <c r="R631" s="64"/>
      <c r="S631" s="64"/>
      <c r="T631" s="64"/>
      <c r="U631" s="64"/>
      <c r="V631" s="64"/>
      <c r="W631" s="64"/>
      <c r="X631" s="64"/>
      <c r="Y631" s="64"/>
      <c r="Z631" s="64"/>
      <c r="AA631" s="64"/>
      <c r="AB631" s="64"/>
      <c r="AC631" s="64"/>
      <c r="AD631" s="64"/>
      <c r="AE631" s="64"/>
      <c r="AF631" s="64"/>
      <c r="AG631" s="64"/>
    </row>
    <row r="632" spans="1:33">
      <c r="A632" s="64"/>
      <c r="B632" s="64"/>
      <c r="C632" s="64"/>
      <c r="D632" s="64"/>
      <c r="E632" s="64"/>
      <c r="F632" s="70"/>
      <c r="G632" s="71"/>
      <c r="H632" s="72"/>
      <c r="I632" s="64"/>
      <c r="J632" s="64"/>
      <c r="K632" s="64"/>
      <c r="L632" s="64"/>
      <c r="M632" s="64"/>
      <c r="N632" s="64"/>
      <c r="O632" s="64"/>
      <c r="P632" s="64"/>
      <c r="Q632" s="64"/>
      <c r="R632" s="64"/>
      <c r="S632" s="64"/>
      <c r="T632" s="64"/>
      <c r="U632" s="64"/>
      <c r="V632" s="64"/>
      <c r="W632" s="64"/>
      <c r="X632" s="64"/>
      <c r="Y632" s="64"/>
      <c r="Z632" s="64"/>
      <c r="AA632" s="64"/>
      <c r="AB632" s="64"/>
      <c r="AC632" s="64"/>
      <c r="AD632" s="64"/>
      <c r="AE632" s="64"/>
      <c r="AF632" s="64"/>
      <c r="AG632" s="64"/>
    </row>
    <row r="633" spans="1:33">
      <c r="A633" s="64"/>
      <c r="B633" s="64"/>
      <c r="C633" s="64"/>
      <c r="D633" s="64"/>
      <c r="E633" s="64"/>
      <c r="F633" s="70"/>
      <c r="G633" s="71"/>
      <c r="H633" s="72"/>
      <c r="I633" s="64"/>
      <c r="J633" s="64"/>
      <c r="K633" s="64"/>
      <c r="L633" s="64"/>
      <c r="M633" s="64"/>
      <c r="N633" s="64"/>
      <c r="O633" s="64"/>
      <c r="P633" s="64"/>
      <c r="Q633" s="64"/>
      <c r="R633" s="64"/>
      <c r="S633" s="64"/>
      <c r="T633" s="64"/>
      <c r="U633" s="64"/>
      <c r="V633" s="64"/>
      <c r="W633" s="64"/>
      <c r="X633" s="64"/>
      <c r="Y633" s="64"/>
      <c r="Z633" s="64"/>
      <c r="AA633" s="64"/>
      <c r="AB633" s="64"/>
      <c r="AC633" s="64"/>
      <c r="AD633" s="64"/>
      <c r="AE633" s="64"/>
      <c r="AF633" s="64"/>
      <c r="AG633" s="64"/>
    </row>
    <row r="634" spans="1:33">
      <c r="A634" s="64"/>
      <c r="B634" s="64"/>
      <c r="C634" s="64"/>
      <c r="D634" s="64"/>
      <c r="E634" s="64"/>
      <c r="F634" s="70"/>
      <c r="G634" s="71"/>
      <c r="H634" s="72"/>
      <c r="I634" s="64"/>
      <c r="J634" s="64"/>
      <c r="K634" s="64"/>
      <c r="L634" s="64"/>
      <c r="M634" s="64"/>
      <c r="N634" s="64"/>
      <c r="O634" s="64"/>
      <c r="P634" s="64"/>
      <c r="Q634" s="64"/>
      <c r="R634" s="64"/>
      <c r="S634" s="64"/>
      <c r="T634" s="64"/>
      <c r="U634" s="64"/>
      <c r="V634" s="64"/>
      <c r="W634" s="64"/>
      <c r="X634" s="64"/>
      <c r="Y634" s="64"/>
      <c r="Z634" s="64"/>
      <c r="AA634" s="64"/>
      <c r="AB634" s="64"/>
      <c r="AC634" s="64"/>
      <c r="AD634" s="64"/>
      <c r="AE634" s="64"/>
      <c r="AF634" s="64"/>
      <c r="AG634" s="64"/>
    </row>
    <row r="635" spans="1:33">
      <c r="A635" s="64"/>
      <c r="B635" s="64"/>
      <c r="C635" s="64"/>
      <c r="D635" s="64"/>
      <c r="E635" s="64"/>
      <c r="F635" s="70"/>
      <c r="G635" s="71"/>
      <c r="H635" s="72"/>
      <c r="I635" s="64"/>
      <c r="J635" s="64"/>
      <c r="K635" s="64"/>
      <c r="L635" s="64"/>
      <c r="M635" s="64"/>
      <c r="N635" s="64"/>
      <c r="O635" s="64"/>
      <c r="P635" s="64"/>
      <c r="Q635" s="64"/>
      <c r="R635" s="64"/>
      <c r="S635" s="64"/>
      <c r="T635" s="64"/>
      <c r="U635" s="64"/>
      <c r="V635" s="64"/>
      <c r="W635" s="64"/>
      <c r="X635" s="64"/>
      <c r="Y635" s="64"/>
      <c r="Z635" s="64"/>
      <c r="AA635" s="64"/>
      <c r="AB635" s="64"/>
      <c r="AC635" s="64"/>
      <c r="AD635" s="64"/>
      <c r="AE635" s="64"/>
      <c r="AF635" s="64"/>
      <c r="AG635" s="64"/>
    </row>
    <row r="636" spans="1:33">
      <c r="A636" s="64"/>
      <c r="B636" s="64"/>
      <c r="C636" s="64"/>
      <c r="D636" s="64"/>
      <c r="E636" s="64"/>
      <c r="F636" s="70"/>
      <c r="G636" s="71"/>
      <c r="H636" s="72"/>
      <c r="I636" s="64"/>
      <c r="J636" s="64"/>
      <c r="K636" s="64"/>
      <c r="L636" s="64"/>
      <c r="M636" s="64"/>
      <c r="N636" s="64"/>
      <c r="O636" s="64"/>
      <c r="P636" s="64"/>
      <c r="Q636" s="64"/>
      <c r="R636" s="64"/>
      <c r="S636" s="64"/>
      <c r="T636" s="64"/>
      <c r="U636" s="64"/>
      <c r="V636" s="64"/>
      <c r="W636" s="64"/>
      <c r="X636" s="64"/>
      <c r="Y636" s="64"/>
      <c r="Z636" s="64"/>
      <c r="AA636" s="64"/>
      <c r="AB636" s="64"/>
      <c r="AC636" s="64"/>
      <c r="AD636" s="64"/>
      <c r="AE636" s="64"/>
      <c r="AF636" s="64"/>
      <c r="AG636" s="64"/>
    </row>
    <row r="637" spans="1:33">
      <c r="A637" s="64"/>
      <c r="B637" s="64"/>
      <c r="C637" s="64"/>
      <c r="D637" s="64"/>
      <c r="E637" s="64"/>
      <c r="F637" s="70"/>
      <c r="G637" s="71"/>
      <c r="H637" s="72"/>
      <c r="I637" s="64"/>
      <c r="J637" s="64"/>
      <c r="K637" s="64"/>
      <c r="L637" s="64"/>
      <c r="M637" s="64"/>
      <c r="N637" s="64"/>
      <c r="O637" s="64"/>
      <c r="P637" s="64"/>
      <c r="Q637" s="64"/>
      <c r="R637" s="64"/>
      <c r="S637" s="64"/>
      <c r="T637" s="64"/>
      <c r="U637" s="64"/>
      <c r="V637" s="64"/>
      <c r="W637" s="64"/>
      <c r="X637" s="64"/>
      <c r="Y637" s="64"/>
      <c r="Z637" s="64"/>
      <c r="AA637" s="64"/>
      <c r="AB637" s="64"/>
      <c r="AC637" s="64"/>
      <c r="AD637" s="64"/>
      <c r="AE637" s="64"/>
      <c r="AF637" s="64"/>
      <c r="AG637" s="64"/>
    </row>
    <row r="638" spans="1:33">
      <c r="A638" s="64"/>
      <c r="B638" s="64"/>
      <c r="C638" s="64"/>
      <c r="D638" s="64"/>
      <c r="E638" s="64"/>
      <c r="F638" s="70"/>
      <c r="G638" s="71"/>
      <c r="H638" s="72"/>
      <c r="I638" s="64"/>
      <c r="J638" s="64"/>
      <c r="K638" s="64"/>
      <c r="L638" s="64"/>
      <c r="M638" s="64"/>
      <c r="N638" s="64"/>
      <c r="O638" s="64"/>
      <c r="P638" s="64"/>
      <c r="Q638" s="64"/>
      <c r="R638" s="64"/>
      <c r="S638" s="64"/>
      <c r="T638" s="64"/>
      <c r="U638" s="64"/>
      <c r="V638" s="64"/>
      <c r="W638" s="64"/>
      <c r="X638" s="64"/>
      <c r="Y638" s="64"/>
      <c r="Z638" s="64"/>
      <c r="AA638" s="64"/>
      <c r="AB638" s="64"/>
      <c r="AC638" s="64"/>
      <c r="AD638" s="64"/>
      <c r="AE638" s="64"/>
      <c r="AF638" s="64"/>
      <c r="AG638" s="64"/>
    </row>
    <row r="639" spans="1:33">
      <c r="A639" s="64"/>
      <c r="B639" s="64"/>
      <c r="C639" s="64"/>
      <c r="D639" s="64"/>
      <c r="E639" s="64"/>
      <c r="F639" s="70"/>
      <c r="G639" s="71"/>
      <c r="H639" s="72"/>
      <c r="I639" s="64"/>
      <c r="J639" s="64"/>
      <c r="K639" s="64"/>
      <c r="L639" s="64"/>
      <c r="M639" s="64"/>
      <c r="N639" s="64"/>
      <c r="O639" s="64"/>
      <c r="P639" s="64"/>
      <c r="Q639" s="64"/>
      <c r="R639" s="64"/>
      <c r="S639" s="64"/>
      <c r="T639" s="64"/>
      <c r="U639" s="64"/>
      <c r="V639" s="64"/>
      <c r="W639" s="64"/>
      <c r="X639" s="64"/>
      <c r="Y639" s="64"/>
      <c r="Z639" s="64"/>
      <c r="AA639" s="64"/>
      <c r="AB639" s="64"/>
      <c r="AC639" s="64"/>
      <c r="AD639" s="64"/>
      <c r="AE639" s="64"/>
      <c r="AF639" s="64"/>
      <c r="AG639" s="64"/>
    </row>
    <row r="640" spans="1:33">
      <c r="A640" s="64"/>
      <c r="B640" s="64"/>
      <c r="C640" s="64"/>
      <c r="D640" s="64"/>
      <c r="E640" s="64"/>
      <c r="F640" s="70"/>
      <c r="G640" s="71"/>
      <c r="H640" s="72"/>
      <c r="I640" s="64"/>
      <c r="J640" s="64"/>
      <c r="K640" s="64"/>
      <c r="L640" s="64"/>
      <c r="M640" s="64"/>
      <c r="N640" s="64"/>
      <c r="O640" s="64"/>
      <c r="P640" s="64"/>
      <c r="Q640" s="64"/>
      <c r="R640" s="64"/>
      <c r="S640" s="64"/>
      <c r="T640" s="64"/>
      <c r="U640" s="64"/>
      <c r="V640" s="64"/>
      <c r="W640" s="64"/>
      <c r="X640" s="64"/>
      <c r="Y640" s="64"/>
      <c r="Z640" s="64"/>
      <c r="AA640" s="64"/>
      <c r="AB640" s="64"/>
      <c r="AC640" s="64"/>
      <c r="AD640" s="64"/>
      <c r="AE640" s="64"/>
      <c r="AF640" s="64"/>
      <c r="AG640" s="64"/>
    </row>
    <row r="641" spans="1:33">
      <c r="A641" s="64"/>
      <c r="B641" s="64"/>
      <c r="C641" s="64"/>
      <c r="D641" s="64"/>
      <c r="E641" s="64"/>
      <c r="F641" s="70"/>
      <c r="G641" s="71"/>
      <c r="H641" s="72"/>
      <c r="I641" s="64"/>
      <c r="J641" s="64"/>
      <c r="K641" s="64"/>
      <c r="L641" s="64"/>
      <c r="M641" s="64"/>
      <c r="N641" s="64"/>
      <c r="O641" s="64"/>
      <c r="P641" s="64"/>
      <c r="Q641" s="64"/>
      <c r="R641" s="64"/>
      <c r="S641" s="64"/>
      <c r="T641" s="64"/>
      <c r="U641" s="64"/>
      <c r="V641" s="64"/>
      <c r="W641" s="64"/>
      <c r="X641" s="64"/>
      <c r="Y641" s="64"/>
      <c r="Z641" s="64"/>
      <c r="AA641" s="64"/>
      <c r="AB641" s="64"/>
      <c r="AC641" s="64"/>
      <c r="AD641" s="64"/>
      <c r="AE641" s="64"/>
      <c r="AF641" s="64"/>
      <c r="AG641" s="64"/>
    </row>
    <row r="642" spans="1:33">
      <c r="A642" s="64"/>
      <c r="B642" s="64"/>
      <c r="C642" s="64"/>
      <c r="D642" s="64"/>
      <c r="E642" s="64"/>
      <c r="F642" s="70"/>
      <c r="G642" s="71"/>
      <c r="H642" s="72"/>
      <c r="I642" s="64"/>
      <c r="J642" s="64"/>
      <c r="K642" s="64"/>
      <c r="L642" s="64"/>
      <c r="M642" s="64"/>
      <c r="N642" s="64"/>
      <c r="O642" s="64"/>
      <c r="P642" s="64"/>
      <c r="Q642" s="64"/>
      <c r="R642" s="64"/>
      <c r="S642" s="64"/>
      <c r="T642" s="64"/>
      <c r="U642" s="64"/>
      <c r="V642" s="64"/>
      <c r="W642" s="64"/>
      <c r="X642" s="64"/>
      <c r="Y642" s="64"/>
      <c r="Z642" s="64"/>
      <c r="AA642" s="64"/>
      <c r="AB642" s="64"/>
      <c r="AC642" s="64"/>
      <c r="AD642" s="64"/>
      <c r="AE642" s="64"/>
      <c r="AF642" s="64"/>
      <c r="AG642" s="64"/>
    </row>
    <row r="643" spans="1:33">
      <c r="A643" s="64"/>
      <c r="B643" s="64"/>
      <c r="C643" s="64"/>
      <c r="D643" s="64"/>
      <c r="E643" s="64"/>
      <c r="F643" s="70"/>
      <c r="G643" s="71"/>
      <c r="H643" s="72"/>
      <c r="I643" s="64"/>
      <c r="J643" s="64"/>
      <c r="K643" s="64"/>
      <c r="L643" s="64"/>
      <c r="M643" s="64"/>
      <c r="N643" s="64"/>
      <c r="O643" s="64"/>
      <c r="P643" s="64"/>
      <c r="Q643" s="64"/>
      <c r="R643" s="64"/>
      <c r="S643" s="64"/>
      <c r="T643" s="64"/>
      <c r="U643" s="64"/>
      <c r="V643" s="64"/>
      <c r="W643" s="64"/>
      <c r="X643" s="64"/>
      <c r="Y643" s="64"/>
      <c r="Z643" s="64"/>
      <c r="AA643" s="64"/>
      <c r="AB643" s="64"/>
      <c r="AC643" s="64"/>
      <c r="AD643" s="64"/>
      <c r="AE643" s="64"/>
      <c r="AF643" s="64"/>
      <c r="AG643" s="64"/>
    </row>
    <row r="644" spans="1:33">
      <c r="A644" s="64"/>
      <c r="B644" s="64"/>
      <c r="C644" s="64"/>
      <c r="D644" s="64"/>
      <c r="E644" s="64"/>
      <c r="F644" s="70"/>
      <c r="G644" s="71"/>
      <c r="H644" s="72"/>
      <c r="I644" s="64"/>
      <c r="J644" s="64"/>
      <c r="K644" s="64"/>
      <c r="L644" s="64"/>
      <c r="M644" s="64"/>
      <c r="N644" s="64"/>
      <c r="O644" s="64"/>
      <c r="P644" s="64"/>
      <c r="Q644" s="64"/>
      <c r="R644" s="64"/>
      <c r="S644" s="64"/>
      <c r="T644" s="64"/>
      <c r="U644" s="64"/>
      <c r="V644" s="64"/>
      <c r="W644" s="64"/>
      <c r="X644" s="64"/>
      <c r="Y644" s="64"/>
      <c r="Z644" s="64"/>
      <c r="AA644" s="64"/>
      <c r="AB644" s="64"/>
      <c r="AC644" s="64"/>
      <c r="AD644" s="64"/>
      <c r="AE644" s="64"/>
      <c r="AF644" s="64"/>
      <c r="AG644" s="64"/>
    </row>
    <row r="645" spans="1:33">
      <c r="A645" s="64"/>
      <c r="B645" s="64"/>
      <c r="C645" s="64"/>
      <c r="D645" s="64"/>
      <c r="E645" s="64"/>
      <c r="F645" s="70"/>
      <c r="G645" s="71"/>
      <c r="H645" s="72"/>
      <c r="I645" s="64"/>
      <c r="J645" s="64"/>
      <c r="K645" s="64"/>
      <c r="L645" s="64"/>
      <c r="M645" s="64"/>
      <c r="N645" s="64"/>
      <c r="O645" s="64"/>
      <c r="P645" s="64"/>
      <c r="Q645" s="64"/>
      <c r="R645" s="64"/>
      <c r="S645" s="64"/>
      <c r="T645" s="64"/>
      <c r="U645" s="64"/>
      <c r="V645" s="64"/>
      <c r="W645" s="64"/>
      <c r="X645" s="64"/>
      <c r="Y645" s="64"/>
      <c r="Z645" s="64"/>
      <c r="AA645" s="64"/>
      <c r="AB645" s="64"/>
      <c r="AC645" s="64"/>
      <c r="AD645" s="64"/>
      <c r="AE645" s="64"/>
      <c r="AF645" s="64"/>
      <c r="AG645" s="64"/>
    </row>
    <row r="646" spans="1:33">
      <c r="A646" s="64"/>
      <c r="B646" s="64"/>
      <c r="C646" s="64"/>
      <c r="D646" s="64"/>
      <c r="E646" s="64"/>
      <c r="F646" s="70"/>
      <c r="G646" s="71"/>
      <c r="H646" s="72"/>
      <c r="I646" s="64"/>
      <c r="J646" s="64"/>
      <c r="K646" s="64"/>
      <c r="L646" s="64"/>
      <c r="M646" s="64"/>
      <c r="N646" s="64"/>
      <c r="O646" s="64"/>
      <c r="P646" s="64"/>
      <c r="Q646" s="64"/>
      <c r="R646" s="64"/>
      <c r="S646" s="64"/>
      <c r="T646" s="64"/>
      <c r="U646" s="64"/>
      <c r="V646" s="64"/>
      <c r="W646" s="64"/>
      <c r="X646" s="64"/>
      <c r="Y646" s="64"/>
      <c r="Z646" s="64"/>
      <c r="AA646" s="64"/>
      <c r="AB646" s="64"/>
      <c r="AC646" s="64"/>
      <c r="AD646" s="64"/>
      <c r="AE646" s="64"/>
      <c r="AF646" s="64"/>
      <c r="AG646" s="64"/>
    </row>
    <row r="647" spans="1:33">
      <c r="A647" s="64"/>
      <c r="B647" s="64"/>
      <c r="C647" s="64"/>
      <c r="D647" s="64"/>
      <c r="E647" s="64"/>
      <c r="F647" s="70"/>
      <c r="G647" s="71"/>
      <c r="H647" s="72"/>
      <c r="I647" s="64"/>
      <c r="J647" s="64"/>
      <c r="K647" s="64"/>
      <c r="L647" s="64"/>
      <c r="M647" s="64"/>
      <c r="N647" s="64"/>
      <c r="O647" s="64"/>
      <c r="P647" s="64"/>
      <c r="Q647" s="64"/>
      <c r="R647" s="64"/>
      <c r="S647" s="64"/>
      <c r="T647" s="64"/>
      <c r="U647" s="64"/>
      <c r="V647" s="64"/>
      <c r="W647" s="64"/>
      <c r="X647" s="64"/>
      <c r="Y647" s="64"/>
      <c r="Z647" s="64"/>
      <c r="AA647" s="64"/>
      <c r="AB647" s="64"/>
      <c r="AC647" s="64"/>
      <c r="AD647" s="64"/>
      <c r="AE647" s="64"/>
      <c r="AF647" s="64"/>
      <c r="AG647" s="64"/>
    </row>
    <row r="648" spans="1:33">
      <c r="A648" s="64"/>
      <c r="B648" s="64"/>
      <c r="C648" s="64"/>
      <c r="D648" s="64"/>
      <c r="E648" s="64"/>
      <c r="F648" s="70"/>
      <c r="G648" s="71"/>
      <c r="H648" s="72"/>
      <c r="I648" s="64"/>
      <c r="J648" s="64"/>
      <c r="K648" s="64"/>
      <c r="L648" s="64"/>
      <c r="M648" s="64"/>
      <c r="N648" s="64"/>
      <c r="O648" s="64"/>
      <c r="P648" s="64"/>
      <c r="Q648" s="64"/>
      <c r="R648" s="64"/>
      <c r="S648" s="64"/>
      <c r="T648" s="64"/>
      <c r="U648" s="64"/>
      <c r="V648" s="64"/>
      <c r="W648" s="64"/>
      <c r="X648" s="64"/>
      <c r="Y648" s="64"/>
      <c r="Z648" s="64"/>
      <c r="AA648" s="64"/>
      <c r="AB648" s="64"/>
      <c r="AC648" s="64"/>
      <c r="AD648" s="64"/>
      <c r="AE648" s="64"/>
      <c r="AF648" s="64"/>
      <c r="AG648" s="64"/>
    </row>
    <row r="649" spans="1:33">
      <c r="A649" s="64"/>
      <c r="B649" s="64"/>
      <c r="C649" s="64"/>
      <c r="D649" s="64"/>
      <c r="E649" s="64"/>
      <c r="F649" s="70"/>
      <c r="G649" s="71"/>
      <c r="H649" s="72"/>
      <c r="I649" s="64"/>
      <c r="J649" s="64"/>
      <c r="K649" s="64"/>
      <c r="L649" s="64"/>
      <c r="M649" s="64"/>
      <c r="N649" s="64"/>
      <c r="O649" s="64"/>
      <c r="P649" s="64"/>
      <c r="Q649" s="64"/>
      <c r="R649" s="64"/>
      <c r="S649" s="64"/>
      <c r="T649" s="64"/>
      <c r="U649" s="64"/>
      <c r="V649" s="64"/>
      <c r="W649" s="64"/>
      <c r="X649" s="64"/>
      <c r="Y649" s="64"/>
      <c r="Z649" s="64"/>
      <c r="AA649" s="64"/>
      <c r="AB649" s="64"/>
      <c r="AC649" s="64"/>
      <c r="AD649" s="64"/>
      <c r="AE649" s="64"/>
      <c r="AF649" s="64"/>
      <c r="AG649" s="64"/>
    </row>
    <row r="650" spans="1:33">
      <c r="A650" s="64"/>
      <c r="B650" s="64"/>
      <c r="C650" s="64"/>
      <c r="D650" s="64"/>
      <c r="E650" s="64"/>
      <c r="F650" s="70"/>
      <c r="G650" s="71"/>
      <c r="H650" s="72"/>
      <c r="I650" s="64"/>
      <c r="J650" s="64"/>
      <c r="K650" s="64"/>
      <c r="L650" s="64"/>
      <c r="M650" s="64"/>
      <c r="N650" s="64"/>
      <c r="O650" s="64"/>
      <c r="P650" s="64"/>
      <c r="Q650" s="64"/>
      <c r="R650" s="64"/>
      <c r="S650" s="64"/>
      <c r="T650" s="64"/>
      <c r="U650" s="64"/>
      <c r="V650" s="64"/>
      <c r="W650" s="64"/>
      <c r="X650" s="64"/>
      <c r="Y650" s="64"/>
      <c r="Z650" s="64"/>
      <c r="AA650" s="64"/>
      <c r="AB650" s="64"/>
      <c r="AC650" s="64"/>
      <c r="AD650" s="64"/>
      <c r="AE650" s="64"/>
      <c r="AF650" s="64"/>
      <c r="AG650" s="64"/>
    </row>
    <row r="651" spans="1:33">
      <c r="A651" s="64"/>
      <c r="B651" s="64"/>
      <c r="C651" s="64"/>
      <c r="D651" s="64"/>
      <c r="E651" s="64"/>
      <c r="F651" s="70"/>
      <c r="G651" s="71"/>
      <c r="H651" s="72"/>
      <c r="I651" s="64"/>
      <c r="J651" s="64"/>
      <c r="K651" s="64"/>
      <c r="L651" s="64"/>
      <c r="M651" s="64"/>
      <c r="N651" s="64"/>
      <c r="O651" s="64"/>
      <c r="P651" s="64"/>
      <c r="Q651" s="64"/>
      <c r="R651" s="64"/>
      <c r="S651" s="64"/>
      <c r="T651" s="64"/>
      <c r="U651" s="64"/>
      <c r="V651" s="64"/>
      <c r="W651" s="64"/>
      <c r="X651" s="64"/>
      <c r="Y651" s="64"/>
      <c r="Z651" s="64"/>
      <c r="AA651" s="64"/>
      <c r="AB651" s="64"/>
      <c r="AC651" s="64"/>
      <c r="AD651" s="64"/>
      <c r="AE651" s="64"/>
      <c r="AF651" s="64"/>
      <c r="AG651" s="64"/>
    </row>
    <row r="652" spans="1:33">
      <c r="A652" s="64"/>
      <c r="B652" s="64"/>
      <c r="C652" s="64"/>
      <c r="D652" s="64"/>
      <c r="E652" s="64"/>
      <c r="F652" s="70"/>
      <c r="G652" s="71"/>
      <c r="H652" s="72"/>
      <c r="I652" s="64"/>
      <c r="J652" s="64"/>
      <c r="K652" s="64"/>
      <c r="L652" s="64"/>
      <c r="M652" s="64"/>
      <c r="N652" s="64"/>
      <c r="O652" s="64"/>
      <c r="P652" s="64"/>
      <c r="Q652" s="64"/>
      <c r="R652" s="64"/>
      <c r="S652" s="64"/>
      <c r="T652" s="64"/>
      <c r="U652" s="64"/>
      <c r="V652" s="64"/>
      <c r="W652" s="64"/>
      <c r="X652" s="64"/>
      <c r="Y652" s="64"/>
      <c r="Z652" s="64"/>
      <c r="AA652" s="64"/>
      <c r="AB652" s="64"/>
      <c r="AC652" s="64"/>
      <c r="AD652" s="64"/>
      <c r="AE652" s="64"/>
      <c r="AF652" s="64"/>
      <c r="AG652" s="64"/>
    </row>
    <row r="653" spans="1:33">
      <c r="A653" s="64"/>
      <c r="B653" s="64"/>
      <c r="C653" s="64"/>
      <c r="D653" s="64"/>
      <c r="E653" s="64"/>
      <c r="F653" s="70"/>
      <c r="G653" s="71"/>
      <c r="H653" s="72"/>
      <c r="I653" s="64"/>
      <c r="J653" s="64"/>
      <c r="K653" s="64"/>
      <c r="L653" s="64"/>
      <c r="M653" s="64"/>
      <c r="N653" s="64"/>
      <c r="O653" s="64"/>
      <c r="P653" s="64"/>
      <c r="Q653" s="64"/>
      <c r="R653" s="64"/>
      <c r="S653" s="64"/>
      <c r="T653" s="64"/>
      <c r="U653" s="64"/>
      <c r="V653" s="64"/>
      <c r="W653" s="64"/>
      <c r="X653" s="64"/>
      <c r="Y653" s="64"/>
      <c r="Z653" s="64"/>
      <c r="AA653" s="64"/>
      <c r="AB653" s="64"/>
      <c r="AC653" s="64"/>
      <c r="AD653" s="64"/>
      <c r="AE653" s="64"/>
      <c r="AF653" s="64"/>
      <c r="AG653" s="64"/>
    </row>
    <row r="654" spans="1:33">
      <c r="A654" s="64"/>
      <c r="B654" s="64"/>
      <c r="C654" s="64"/>
      <c r="D654" s="64"/>
      <c r="E654" s="64"/>
      <c r="F654" s="70"/>
      <c r="G654" s="71"/>
      <c r="H654" s="72"/>
      <c r="I654" s="64"/>
      <c r="J654" s="64"/>
      <c r="K654" s="64"/>
      <c r="L654" s="64"/>
      <c r="M654" s="64"/>
      <c r="N654" s="64"/>
      <c r="O654" s="64"/>
      <c r="P654" s="64"/>
      <c r="Q654" s="64"/>
      <c r="R654" s="64"/>
      <c r="S654" s="64"/>
      <c r="T654" s="64"/>
      <c r="U654" s="64"/>
      <c r="V654" s="64"/>
      <c r="W654" s="64"/>
      <c r="X654" s="64"/>
      <c r="Y654" s="64"/>
      <c r="Z654" s="64"/>
      <c r="AA654" s="64"/>
      <c r="AB654" s="64"/>
      <c r="AC654" s="64"/>
      <c r="AD654" s="64"/>
      <c r="AE654" s="64"/>
      <c r="AF654" s="64"/>
      <c r="AG654" s="64"/>
    </row>
    <row r="655" spans="1:33">
      <c r="A655" s="64"/>
      <c r="B655" s="64"/>
      <c r="C655" s="64"/>
      <c r="D655" s="64"/>
      <c r="E655" s="64"/>
      <c r="F655" s="70"/>
      <c r="G655" s="71"/>
      <c r="H655" s="72"/>
      <c r="I655" s="64"/>
      <c r="J655" s="64"/>
      <c r="K655" s="64"/>
      <c r="L655" s="64"/>
      <c r="M655" s="64"/>
      <c r="N655" s="64"/>
      <c r="O655" s="64"/>
      <c r="P655" s="64"/>
      <c r="Q655" s="64"/>
      <c r="R655" s="64"/>
      <c r="S655" s="64"/>
      <c r="T655" s="64"/>
      <c r="U655" s="64"/>
      <c r="V655" s="64"/>
      <c r="W655" s="64"/>
      <c r="X655" s="64"/>
      <c r="Y655" s="64"/>
      <c r="Z655" s="64"/>
      <c r="AA655" s="64"/>
      <c r="AB655" s="64"/>
      <c r="AC655" s="64"/>
      <c r="AD655" s="64"/>
      <c r="AE655" s="64"/>
      <c r="AF655" s="64"/>
      <c r="AG655" s="64"/>
    </row>
    <row r="656" spans="1:33">
      <c r="A656" s="64"/>
      <c r="B656" s="64"/>
      <c r="C656" s="64"/>
      <c r="D656" s="64"/>
      <c r="E656" s="64"/>
      <c r="F656" s="70"/>
      <c r="G656" s="71"/>
      <c r="H656" s="72"/>
      <c r="I656" s="64"/>
      <c r="J656" s="64"/>
      <c r="K656" s="64"/>
      <c r="L656" s="64"/>
      <c r="M656" s="64"/>
      <c r="N656" s="64"/>
      <c r="O656" s="64"/>
      <c r="P656" s="64"/>
      <c r="Q656" s="64"/>
      <c r="R656" s="64"/>
      <c r="S656" s="64"/>
      <c r="T656" s="64"/>
      <c r="U656" s="64"/>
      <c r="V656" s="64"/>
      <c r="W656" s="64"/>
      <c r="X656" s="64"/>
      <c r="Y656" s="64"/>
      <c r="Z656" s="64"/>
      <c r="AA656" s="64"/>
      <c r="AB656" s="64"/>
      <c r="AC656" s="64"/>
      <c r="AD656" s="64"/>
      <c r="AE656" s="64"/>
      <c r="AF656" s="64"/>
      <c r="AG656" s="64"/>
    </row>
    <row r="657" spans="1:33">
      <c r="A657" s="64"/>
      <c r="B657" s="64"/>
      <c r="C657" s="64"/>
      <c r="D657" s="64"/>
      <c r="E657" s="64"/>
      <c r="F657" s="70"/>
      <c r="G657" s="71"/>
      <c r="H657" s="72"/>
      <c r="I657" s="64"/>
      <c r="J657" s="64"/>
      <c r="K657" s="64"/>
      <c r="L657" s="64"/>
      <c r="M657" s="64"/>
      <c r="N657" s="64"/>
      <c r="O657" s="64"/>
      <c r="P657" s="64"/>
      <c r="Q657" s="64"/>
      <c r="R657" s="64"/>
      <c r="S657" s="64"/>
      <c r="T657" s="64"/>
      <c r="U657" s="64"/>
      <c r="V657" s="64"/>
      <c r="W657" s="64"/>
      <c r="X657" s="64"/>
      <c r="Y657" s="64"/>
      <c r="Z657" s="64"/>
      <c r="AA657" s="64"/>
      <c r="AB657" s="64"/>
      <c r="AC657" s="64"/>
      <c r="AD657" s="64"/>
      <c r="AE657" s="64"/>
      <c r="AF657" s="64"/>
      <c r="AG657" s="64"/>
    </row>
    <row r="658" spans="1:33">
      <c r="A658" s="64"/>
      <c r="B658" s="64"/>
      <c r="C658" s="64"/>
      <c r="D658" s="64"/>
      <c r="E658" s="64"/>
      <c r="F658" s="70"/>
      <c r="G658" s="71"/>
      <c r="H658" s="72"/>
      <c r="I658" s="64"/>
      <c r="J658" s="64"/>
      <c r="K658" s="64"/>
      <c r="L658" s="64"/>
      <c r="M658" s="64"/>
      <c r="N658" s="64"/>
      <c r="O658" s="64"/>
      <c r="P658" s="64"/>
      <c r="Q658" s="64"/>
      <c r="R658" s="64"/>
      <c r="S658" s="64"/>
      <c r="T658" s="64"/>
      <c r="U658" s="64"/>
      <c r="V658" s="64"/>
      <c r="W658" s="64"/>
      <c r="X658" s="64"/>
      <c r="Y658" s="64"/>
      <c r="Z658" s="64"/>
      <c r="AA658" s="64"/>
      <c r="AB658" s="64"/>
      <c r="AC658" s="64"/>
      <c r="AD658" s="64"/>
      <c r="AE658" s="64"/>
      <c r="AF658" s="64"/>
      <c r="AG658" s="64"/>
    </row>
    <row r="659" spans="1:33">
      <c r="A659" s="64"/>
      <c r="B659" s="64"/>
      <c r="C659" s="64"/>
      <c r="D659" s="64"/>
      <c r="E659" s="64"/>
      <c r="F659" s="70"/>
      <c r="G659" s="71"/>
      <c r="H659" s="72"/>
      <c r="I659" s="64"/>
      <c r="J659" s="64"/>
      <c r="K659" s="64"/>
      <c r="L659" s="64"/>
      <c r="M659" s="64"/>
      <c r="N659" s="64"/>
      <c r="O659" s="64"/>
      <c r="P659" s="64"/>
      <c r="Q659" s="64"/>
      <c r="R659" s="64"/>
      <c r="S659" s="64"/>
      <c r="T659" s="64"/>
      <c r="U659" s="64"/>
      <c r="V659" s="64"/>
      <c r="W659" s="64"/>
      <c r="X659" s="64"/>
      <c r="Y659" s="64"/>
      <c r="Z659" s="64"/>
      <c r="AA659" s="64"/>
      <c r="AB659" s="64"/>
      <c r="AC659" s="64"/>
      <c r="AD659" s="64"/>
      <c r="AE659" s="64"/>
      <c r="AF659" s="64"/>
      <c r="AG659" s="64"/>
    </row>
    <row r="660" spans="1:33">
      <c r="A660" s="64"/>
      <c r="B660" s="64"/>
      <c r="C660" s="64"/>
      <c r="D660" s="64"/>
      <c r="E660" s="64"/>
      <c r="F660" s="70"/>
      <c r="G660" s="71"/>
      <c r="H660" s="72"/>
      <c r="I660" s="64"/>
      <c r="J660" s="64"/>
      <c r="K660" s="64"/>
      <c r="L660" s="64"/>
      <c r="M660" s="64"/>
      <c r="N660" s="64"/>
      <c r="O660" s="64"/>
      <c r="P660" s="64"/>
      <c r="Q660" s="64"/>
      <c r="R660" s="64"/>
      <c r="S660" s="64"/>
      <c r="T660" s="64"/>
      <c r="U660" s="64"/>
      <c r="V660" s="64"/>
      <c r="W660" s="64"/>
      <c r="X660" s="64"/>
      <c r="Y660" s="64"/>
      <c r="Z660" s="64"/>
      <c r="AA660" s="64"/>
      <c r="AB660" s="64"/>
      <c r="AC660" s="64"/>
      <c r="AD660" s="64"/>
      <c r="AE660" s="64"/>
      <c r="AF660" s="64"/>
      <c r="AG660" s="64"/>
    </row>
    <row r="661" spans="1:33">
      <c r="A661" s="64"/>
      <c r="B661" s="64"/>
      <c r="C661" s="64"/>
      <c r="D661" s="64"/>
      <c r="E661" s="64"/>
      <c r="F661" s="70"/>
      <c r="G661" s="71"/>
      <c r="H661" s="72"/>
      <c r="I661" s="64"/>
      <c r="J661" s="64"/>
      <c r="K661" s="64"/>
      <c r="L661" s="64"/>
      <c r="M661" s="64"/>
      <c r="N661" s="64"/>
      <c r="O661" s="64"/>
      <c r="P661" s="64"/>
      <c r="Q661" s="64"/>
      <c r="R661" s="64"/>
      <c r="S661" s="64"/>
      <c r="T661" s="64"/>
      <c r="U661" s="64"/>
      <c r="V661" s="64"/>
      <c r="W661" s="64"/>
      <c r="X661" s="64"/>
      <c r="Y661" s="64"/>
      <c r="Z661" s="64"/>
      <c r="AA661" s="64"/>
      <c r="AB661" s="64"/>
      <c r="AC661" s="64"/>
      <c r="AD661" s="64"/>
      <c r="AE661" s="64"/>
      <c r="AF661" s="64"/>
      <c r="AG661" s="64"/>
    </row>
    <row r="662" spans="1:33">
      <c r="A662" s="64"/>
      <c r="B662" s="64"/>
      <c r="C662" s="64"/>
      <c r="D662" s="64"/>
      <c r="E662" s="64"/>
      <c r="F662" s="70"/>
      <c r="G662" s="71"/>
      <c r="H662" s="72"/>
      <c r="I662" s="64"/>
      <c r="J662" s="64"/>
      <c r="K662" s="64"/>
      <c r="L662" s="64"/>
      <c r="M662" s="64"/>
      <c r="N662" s="64"/>
      <c r="O662" s="64"/>
      <c r="P662" s="64"/>
      <c r="Q662" s="64"/>
      <c r="R662" s="64"/>
      <c r="S662" s="64"/>
      <c r="T662" s="64"/>
      <c r="U662" s="64"/>
      <c r="V662" s="64"/>
      <c r="W662" s="64"/>
      <c r="X662" s="64"/>
      <c r="Y662" s="64"/>
      <c r="Z662" s="64"/>
      <c r="AA662" s="64"/>
      <c r="AB662" s="64"/>
      <c r="AC662" s="64"/>
      <c r="AD662" s="64"/>
      <c r="AE662" s="64"/>
      <c r="AF662" s="64"/>
      <c r="AG662" s="64"/>
    </row>
    <row r="663" spans="1:33">
      <c r="A663" s="64"/>
      <c r="B663" s="64"/>
      <c r="C663" s="64"/>
      <c r="D663" s="64"/>
      <c r="E663" s="64"/>
      <c r="F663" s="70"/>
      <c r="G663" s="71"/>
      <c r="H663" s="72"/>
      <c r="I663" s="64"/>
      <c r="J663" s="64"/>
      <c r="K663" s="64"/>
      <c r="L663" s="64"/>
      <c r="M663" s="64"/>
      <c r="N663" s="64"/>
      <c r="O663" s="64"/>
      <c r="P663" s="64"/>
      <c r="Q663" s="64"/>
      <c r="R663" s="64"/>
      <c r="S663" s="64"/>
      <c r="T663" s="64"/>
      <c r="U663" s="64"/>
      <c r="V663" s="64"/>
      <c r="W663" s="64"/>
      <c r="X663" s="64"/>
      <c r="Y663" s="64"/>
      <c r="Z663" s="64"/>
      <c r="AA663" s="64"/>
      <c r="AB663" s="64"/>
      <c r="AC663" s="64"/>
      <c r="AD663" s="64"/>
      <c r="AE663" s="64"/>
      <c r="AF663" s="64"/>
      <c r="AG663" s="64"/>
    </row>
    <row r="664" spans="1:33">
      <c r="A664" s="64"/>
      <c r="B664" s="64"/>
      <c r="C664" s="64"/>
      <c r="D664" s="64"/>
      <c r="E664" s="64"/>
      <c r="F664" s="70"/>
      <c r="G664" s="71"/>
      <c r="H664" s="72"/>
      <c r="I664" s="64"/>
      <c r="J664" s="64"/>
      <c r="K664" s="64"/>
      <c r="L664" s="64"/>
      <c r="M664" s="64"/>
      <c r="N664" s="64"/>
      <c r="O664" s="64"/>
      <c r="P664" s="64"/>
      <c r="Q664" s="64"/>
      <c r="R664" s="64"/>
      <c r="S664" s="64"/>
      <c r="T664" s="64"/>
      <c r="U664" s="64"/>
      <c r="V664" s="64"/>
      <c r="W664" s="64"/>
      <c r="X664" s="64"/>
      <c r="Y664" s="64"/>
      <c r="Z664" s="64"/>
      <c r="AA664" s="64"/>
      <c r="AB664" s="64"/>
      <c r="AC664" s="64"/>
      <c r="AD664" s="64"/>
      <c r="AE664" s="64"/>
      <c r="AF664" s="64"/>
      <c r="AG664" s="64"/>
    </row>
    <row r="665" spans="1:33">
      <c r="A665" s="64"/>
      <c r="B665" s="64"/>
      <c r="C665" s="64"/>
      <c r="D665" s="64"/>
      <c r="E665" s="64"/>
      <c r="F665" s="70"/>
      <c r="G665" s="71"/>
      <c r="H665" s="72"/>
      <c r="I665" s="64"/>
      <c r="J665" s="64"/>
      <c r="K665" s="64"/>
      <c r="L665" s="64"/>
      <c r="M665" s="64"/>
      <c r="N665" s="64"/>
      <c r="O665" s="64"/>
      <c r="P665" s="64"/>
      <c r="Q665" s="64"/>
      <c r="R665" s="64"/>
      <c r="S665" s="64"/>
      <c r="T665" s="64"/>
      <c r="U665" s="64"/>
      <c r="V665" s="64"/>
      <c r="W665" s="64"/>
      <c r="X665" s="64"/>
      <c r="Y665" s="64"/>
      <c r="Z665" s="64"/>
      <c r="AA665" s="64"/>
      <c r="AB665" s="64"/>
      <c r="AC665" s="64"/>
      <c r="AD665" s="64"/>
      <c r="AE665" s="64"/>
      <c r="AF665" s="64"/>
      <c r="AG665" s="64"/>
    </row>
    <row r="666" spans="1:33">
      <c r="A666" s="64"/>
      <c r="B666" s="64"/>
      <c r="C666" s="64"/>
      <c r="D666" s="64"/>
      <c r="E666" s="64"/>
      <c r="F666" s="70"/>
      <c r="G666" s="71"/>
      <c r="H666" s="72"/>
      <c r="I666" s="64"/>
      <c r="J666" s="64"/>
      <c r="K666" s="64"/>
      <c r="L666" s="64"/>
      <c r="M666" s="64"/>
      <c r="N666" s="64"/>
      <c r="O666" s="64"/>
      <c r="P666" s="64"/>
      <c r="Q666" s="64"/>
      <c r="R666" s="64"/>
      <c r="S666" s="64"/>
      <c r="T666" s="64"/>
      <c r="U666" s="64"/>
      <c r="V666" s="64"/>
      <c r="W666" s="64"/>
      <c r="X666" s="64"/>
      <c r="Y666" s="64"/>
      <c r="Z666" s="64"/>
      <c r="AA666" s="64"/>
      <c r="AB666" s="64"/>
      <c r="AC666" s="64"/>
      <c r="AD666" s="64"/>
      <c r="AE666" s="64"/>
      <c r="AF666" s="64"/>
      <c r="AG666" s="64"/>
    </row>
    <row r="667" spans="1:33">
      <c r="A667" s="64"/>
      <c r="B667" s="64"/>
      <c r="C667" s="64"/>
      <c r="D667" s="64"/>
      <c r="E667" s="64"/>
      <c r="F667" s="70"/>
      <c r="G667" s="71"/>
      <c r="H667" s="72"/>
      <c r="I667" s="64"/>
      <c r="J667" s="64"/>
      <c r="K667" s="64"/>
      <c r="L667" s="64"/>
      <c r="M667" s="64"/>
      <c r="N667" s="64"/>
      <c r="O667" s="64"/>
      <c r="P667" s="64"/>
      <c r="Q667" s="64"/>
      <c r="R667" s="64"/>
      <c r="S667" s="64"/>
      <c r="T667" s="64"/>
      <c r="U667" s="64"/>
      <c r="V667" s="64"/>
      <c r="W667" s="64"/>
      <c r="X667" s="64"/>
      <c r="Y667" s="64"/>
      <c r="Z667" s="64"/>
      <c r="AA667" s="64"/>
      <c r="AB667" s="64"/>
      <c r="AC667" s="64"/>
      <c r="AD667" s="64"/>
      <c r="AE667" s="64"/>
      <c r="AF667" s="64"/>
      <c r="AG667" s="64"/>
    </row>
    <row r="668" spans="1:33">
      <c r="A668" s="64"/>
      <c r="B668" s="64"/>
      <c r="C668" s="64"/>
      <c r="D668" s="64"/>
      <c r="E668" s="64"/>
      <c r="F668" s="70"/>
      <c r="G668" s="71"/>
      <c r="H668" s="72"/>
      <c r="I668" s="64"/>
      <c r="J668" s="64"/>
      <c r="K668" s="64"/>
      <c r="L668" s="64"/>
      <c r="M668" s="64"/>
      <c r="N668" s="64"/>
      <c r="O668" s="64"/>
      <c r="P668" s="64"/>
      <c r="Q668" s="64"/>
      <c r="R668" s="64"/>
      <c r="S668" s="64"/>
      <c r="T668" s="64"/>
      <c r="U668" s="64"/>
      <c r="V668" s="64"/>
      <c r="W668" s="64"/>
      <c r="X668" s="64"/>
      <c r="Y668" s="64"/>
      <c r="Z668" s="64"/>
      <c r="AA668" s="64"/>
      <c r="AB668" s="64"/>
      <c r="AC668" s="64"/>
      <c r="AD668" s="64"/>
      <c r="AE668" s="64"/>
      <c r="AF668" s="64"/>
      <c r="AG668" s="64"/>
    </row>
    <row r="669" spans="1:33">
      <c r="A669" s="64"/>
      <c r="B669" s="64"/>
      <c r="C669" s="64"/>
      <c r="D669" s="64"/>
      <c r="E669" s="64"/>
      <c r="F669" s="70"/>
      <c r="G669" s="71"/>
      <c r="H669" s="72"/>
      <c r="I669" s="64"/>
      <c r="J669" s="64"/>
      <c r="K669" s="64"/>
      <c r="L669" s="64"/>
      <c r="M669" s="64"/>
      <c r="N669" s="64"/>
      <c r="O669" s="64"/>
      <c r="P669" s="64"/>
      <c r="Q669" s="64"/>
      <c r="R669" s="64"/>
      <c r="S669" s="64"/>
      <c r="T669" s="64"/>
      <c r="U669" s="64"/>
      <c r="V669" s="64"/>
      <c r="W669" s="64"/>
      <c r="X669" s="64"/>
      <c r="Y669" s="64"/>
      <c r="Z669" s="64"/>
      <c r="AA669" s="64"/>
      <c r="AB669" s="64"/>
      <c r="AC669" s="64"/>
      <c r="AD669" s="64"/>
      <c r="AE669" s="64"/>
      <c r="AF669" s="64"/>
      <c r="AG669" s="64"/>
    </row>
    <row r="670" spans="1:33">
      <c r="A670" s="64"/>
      <c r="B670" s="64"/>
      <c r="C670" s="64"/>
      <c r="D670" s="64"/>
      <c r="E670" s="64"/>
      <c r="F670" s="70"/>
      <c r="G670" s="71"/>
      <c r="H670" s="72"/>
      <c r="I670" s="64"/>
      <c r="J670" s="64"/>
      <c r="K670" s="64"/>
      <c r="L670" s="64"/>
      <c r="M670" s="64"/>
      <c r="N670" s="64"/>
      <c r="O670" s="64"/>
      <c r="P670" s="64"/>
      <c r="Q670" s="64"/>
      <c r="R670" s="64"/>
      <c r="S670" s="64"/>
      <c r="T670" s="64"/>
      <c r="U670" s="64"/>
      <c r="V670" s="64"/>
      <c r="W670" s="64"/>
      <c r="X670" s="64"/>
      <c r="Y670" s="64"/>
      <c r="Z670" s="64"/>
      <c r="AA670" s="64"/>
      <c r="AB670" s="64"/>
      <c r="AC670" s="64"/>
      <c r="AD670" s="64"/>
      <c r="AE670" s="64"/>
      <c r="AF670" s="64"/>
      <c r="AG670" s="64"/>
    </row>
    <row r="671" spans="1:33">
      <c r="A671" s="64"/>
      <c r="B671" s="64"/>
      <c r="C671" s="64"/>
      <c r="D671" s="64"/>
      <c r="E671" s="64"/>
      <c r="F671" s="70"/>
      <c r="G671" s="71"/>
      <c r="H671" s="72"/>
      <c r="I671" s="64"/>
      <c r="J671" s="64"/>
      <c r="K671" s="64"/>
      <c r="L671" s="64"/>
      <c r="M671" s="64"/>
      <c r="N671" s="64"/>
      <c r="O671" s="64"/>
      <c r="P671" s="64"/>
      <c r="Q671" s="64"/>
      <c r="R671" s="64"/>
      <c r="S671" s="64"/>
      <c r="T671" s="64"/>
      <c r="U671" s="64"/>
      <c r="V671" s="64"/>
      <c r="W671" s="64"/>
      <c r="X671" s="64"/>
      <c r="Y671" s="64"/>
      <c r="Z671" s="64"/>
      <c r="AA671" s="64"/>
      <c r="AB671" s="64"/>
      <c r="AC671" s="64"/>
      <c r="AD671" s="64"/>
      <c r="AE671" s="64"/>
      <c r="AF671" s="64"/>
      <c r="AG671" s="64"/>
    </row>
    <row r="672" spans="1:33">
      <c r="A672" s="64"/>
      <c r="B672" s="64"/>
      <c r="C672" s="64"/>
      <c r="D672" s="64"/>
      <c r="E672" s="64"/>
      <c r="F672" s="70"/>
      <c r="G672" s="71"/>
      <c r="H672" s="72"/>
      <c r="I672" s="64"/>
      <c r="J672" s="64"/>
      <c r="K672" s="64"/>
      <c r="L672" s="64"/>
      <c r="M672" s="64"/>
      <c r="N672" s="64"/>
      <c r="O672" s="64"/>
      <c r="P672" s="64"/>
      <c r="Q672" s="64"/>
      <c r="R672" s="64"/>
      <c r="S672" s="64"/>
      <c r="T672" s="64"/>
      <c r="U672" s="64"/>
      <c r="V672" s="64"/>
      <c r="W672" s="64"/>
      <c r="X672" s="64"/>
      <c r="Y672" s="64"/>
      <c r="Z672" s="64"/>
      <c r="AA672" s="64"/>
      <c r="AB672" s="64"/>
      <c r="AC672" s="64"/>
      <c r="AD672" s="64"/>
      <c r="AE672" s="64"/>
      <c r="AF672" s="64"/>
      <c r="AG672" s="64"/>
    </row>
    <row r="673" spans="1:33">
      <c r="A673" s="64"/>
      <c r="B673" s="64"/>
      <c r="C673" s="64"/>
      <c r="D673" s="64"/>
      <c r="E673" s="64"/>
      <c r="F673" s="70"/>
      <c r="G673" s="71"/>
      <c r="H673" s="72"/>
      <c r="I673" s="64"/>
      <c r="J673" s="64"/>
      <c r="K673" s="64"/>
      <c r="L673" s="64"/>
      <c r="M673" s="64"/>
      <c r="N673" s="64"/>
      <c r="O673" s="64"/>
      <c r="P673" s="64"/>
      <c r="Q673" s="64"/>
      <c r="R673" s="64"/>
      <c r="S673" s="64"/>
      <c r="T673" s="64"/>
      <c r="U673" s="64"/>
      <c r="V673" s="64"/>
      <c r="W673" s="64"/>
      <c r="X673" s="64"/>
      <c r="Y673" s="64"/>
      <c r="Z673" s="64"/>
      <c r="AA673" s="64"/>
      <c r="AB673" s="64"/>
      <c r="AC673" s="64"/>
      <c r="AD673" s="64"/>
      <c r="AE673" s="64"/>
      <c r="AF673" s="64"/>
      <c r="AG673" s="64"/>
    </row>
    <row r="674" spans="1:33">
      <c r="A674" s="64"/>
      <c r="B674" s="64"/>
      <c r="C674" s="64"/>
      <c r="D674" s="64"/>
      <c r="E674" s="64"/>
      <c r="F674" s="70"/>
      <c r="G674" s="71"/>
      <c r="H674" s="72"/>
      <c r="I674" s="64"/>
      <c r="J674" s="64"/>
      <c r="K674" s="64"/>
      <c r="L674" s="64"/>
      <c r="M674" s="64"/>
      <c r="N674" s="64"/>
      <c r="O674" s="64"/>
      <c r="P674" s="64"/>
      <c r="Q674" s="64"/>
      <c r="R674" s="64"/>
      <c r="S674" s="64"/>
      <c r="T674" s="64"/>
      <c r="U674" s="64"/>
      <c r="V674" s="64"/>
      <c r="W674" s="64"/>
      <c r="X674" s="64"/>
      <c r="Y674" s="64"/>
      <c r="Z674" s="64"/>
      <c r="AA674" s="64"/>
      <c r="AB674" s="64"/>
      <c r="AC674" s="64"/>
      <c r="AD674" s="64"/>
      <c r="AE674" s="64"/>
      <c r="AF674" s="64"/>
      <c r="AG674" s="64"/>
    </row>
    <row r="675" spans="1:33">
      <c r="A675" s="64"/>
      <c r="B675" s="64"/>
      <c r="C675" s="64"/>
      <c r="D675" s="64"/>
      <c r="E675" s="64"/>
      <c r="F675" s="70"/>
      <c r="G675" s="71"/>
      <c r="H675" s="72"/>
      <c r="I675" s="64"/>
      <c r="J675" s="64"/>
      <c r="K675" s="64"/>
      <c r="L675" s="64"/>
      <c r="M675" s="64"/>
      <c r="N675" s="64"/>
      <c r="O675" s="64"/>
      <c r="P675" s="64"/>
      <c r="Q675" s="64"/>
      <c r="R675" s="64"/>
      <c r="S675" s="64"/>
      <c r="T675" s="64"/>
      <c r="U675" s="64"/>
      <c r="V675" s="64"/>
      <c r="W675" s="64"/>
      <c r="X675" s="64"/>
      <c r="Y675" s="64"/>
      <c r="Z675" s="64"/>
      <c r="AA675" s="64"/>
      <c r="AB675" s="64"/>
      <c r="AC675" s="64"/>
      <c r="AD675" s="64"/>
      <c r="AE675" s="64"/>
      <c r="AF675" s="64"/>
      <c r="AG675" s="64"/>
    </row>
    <row r="676" spans="1:33">
      <c r="A676" s="64"/>
      <c r="B676" s="64"/>
      <c r="C676" s="64"/>
      <c r="D676" s="64"/>
      <c r="E676" s="64"/>
      <c r="F676" s="70"/>
      <c r="G676" s="71"/>
      <c r="H676" s="72"/>
      <c r="I676" s="64"/>
      <c r="J676" s="64"/>
      <c r="K676" s="64"/>
      <c r="L676" s="64"/>
      <c r="M676" s="64"/>
      <c r="N676" s="64"/>
      <c r="O676" s="64"/>
      <c r="P676" s="64"/>
      <c r="Q676" s="64"/>
      <c r="R676" s="64"/>
      <c r="S676" s="64"/>
      <c r="T676" s="64"/>
      <c r="U676" s="64"/>
      <c r="V676" s="64"/>
      <c r="W676" s="64"/>
      <c r="X676" s="64"/>
      <c r="Y676" s="64"/>
      <c r="Z676" s="64"/>
      <c r="AA676" s="64"/>
      <c r="AB676" s="64"/>
      <c r="AC676" s="64"/>
      <c r="AD676" s="64"/>
      <c r="AE676" s="64"/>
      <c r="AF676" s="64"/>
      <c r="AG676" s="64"/>
    </row>
    <row r="677" spans="1:33">
      <c r="A677" s="64"/>
      <c r="B677" s="64"/>
      <c r="C677" s="64"/>
      <c r="D677" s="64"/>
      <c r="E677" s="64"/>
      <c r="F677" s="70"/>
      <c r="G677" s="71"/>
      <c r="H677" s="72"/>
      <c r="I677" s="64"/>
      <c r="J677" s="64"/>
      <c r="K677" s="64"/>
      <c r="L677" s="64"/>
      <c r="M677" s="64"/>
      <c r="N677" s="64"/>
      <c r="O677" s="64"/>
      <c r="P677" s="64"/>
      <c r="Q677" s="64"/>
      <c r="R677" s="64"/>
      <c r="S677" s="64"/>
      <c r="T677" s="64"/>
      <c r="U677" s="64"/>
      <c r="V677" s="64"/>
      <c r="W677" s="64"/>
      <c r="X677" s="64"/>
      <c r="Y677" s="64"/>
      <c r="Z677" s="64"/>
      <c r="AA677" s="64"/>
      <c r="AB677" s="64"/>
      <c r="AC677" s="64"/>
      <c r="AD677" s="64"/>
      <c r="AE677" s="64"/>
      <c r="AF677" s="64"/>
      <c r="AG677" s="64"/>
    </row>
    <row r="678" spans="1:33">
      <c r="A678" s="64"/>
      <c r="B678" s="64"/>
      <c r="C678" s="64"/>
      <c r="D678" s="64"/>
      <c r="E678" s="64"/>
      <c r="F678" s="70"/>
      <c r="G678" s="71"/>
      <c r="H678" s="72"/>
      <c r="I678" s="64"/>
      <c r="J678" s="64"/>
      <c r="K678" s="64"/>
      <c r="L678" s="64"/>
      <c r="M678" s="64"/>
      <c r="N678" s="64"/>
      <c r="O678" s="64"/>
      <c r="P678" s="64"/>
      <c r="Q678" s="64"/>
      <c r="R678" s="64"/>
      <c r="S678" s="64"/>
      <c r="T678" s="64"/>
      <c r="U678" s="64"/>
      <c r="V678" s="64"/>
      <c r="W678" s="64"/>
      <c r="X678" s="64"/>
      <c r="Y678" s="64"/>
      <c r="Z678" s="64"/>
      <c r="AA678" s="64"/>
      <c r="AB678" s="64"/>
      <c r="AC678" s="64"/>
      <c r="AD678" s="64"/>
      <c r="AE678" s="64"/>
      <c r="AF678" s="64"/>
      <c r="AG678" s="64"/>
    </row>
    <row r="679" spans="1:33">
      <c r="A679" s="64"/>
      <c r="B679" s="64"/>
      <c r="C679" s="64"/>
      <c r="D679" s="64"/>
      <c r="E679" s="64"/>
      <c r="F679" s="70"/>
      <c r="G679" s="71"/>
      <c r="H679" s="72"/>
      <c r="I679" s="64"/>
      <c r="J679" s="64"/>
      <c r="K679" s="64"/>
      <c r="L679" s="64"/>
      <c r="M679" s="64"/>
      <c r="N679" s="64"/>
      <c r="O679" s="64"/>
      <c r="P679" s="64"/>
      <c r="Q679" s="64"/>
      <c r="R679" s="64"/>
      <c r="S679" s="64"/>
      <c r="T679" s="64"/>
      <c r="U679" s="64"/>
      <c r="V679" s="64"/>
      <c r="W679" s="64"/>
      <c r="X679" s="64"/>
      <c r="Y679" s="64"/>
      <c r="Z679" s="64"/>
      <c r="AA679" s="64"/>
      <c r="AB679" s="64"/>
      <c r="AC679" s="64"/>
      <c r="AD679" s="64"/>
      <c r="AE679" s="64"/>
      <c r="AF679" s="64"/>
      <c r="AG679" s="64"/>
    </row>
    <row r="680" spans="1:33">
      <c r="A680" s="64"/>
      <c r="B680" s="64"/>
      <c r="C680" s="64"/>
      <c r="D680" s="64"/>
      <c r="E680" s="64"/>
      <c r="F680" s="70"/>
      <c r="G680" s="71"/>
      <c r="H680" s="72"/>
      <c r="I680" s="64"/>
      <c r="J680" s="64"/>
      <c r="K680" s="64"/>
      <c r="L680" s="64"/>
      <c r="M680" s="64"/>
      <c r="N680" s="64"/>
      <c r="O680" s="64"/>
      <c r="P680" s="64"/>
      <c r="Q680" s="64"/>
      <c r="R680" s="64"/>
      <c r="S680" s="64"/>
      <c r="T680" s="64"/>
      <c r="U680" s="64"/>
      <c r="V680" s="64"/>
      <c r="W680" s="64"/>
      <c r="X680" s="64"/>
      <c r="Y680" s="64"/>
      <c r="Z680" s="64"/>
      <c r="AA680" s="64"/>
      <c r="AB680" s="64"/>
      <c r="AC680" s="64"/>
      <c r="AD680" s="64"/>
      <c r="AE680" s="64"/>
      <c r="AF680" s="64"/>
      <c r="AG680" s="64"/>
    </row>
    <row r="681" spans="1:33">
      <c r="A681" s="64"/>
      <c r="B681" s="64"/>
      <c r="C681" s="64"/>
      <c r="D681" s="64"/>
      <c r="E681" s="64"/>
      <c r="F681" s="70"/>
      <c r="G681" s="71"/>
      <c r="H681" s="72"/>
      <c r="I681" s="64"/>
      <c r="J681" s="64"/>
      <c r="K681" s="64"/>
      <c r="L681" s="64"/>
      <c r="M681" s="64"/>
      <c r="N681" s="64"/>
      <c r="O681" s="64"/>
      <c r="P681" s="64"/>
      <c r="Q681" s="64"/>
      <c r="R681" s="64"/>
      <c r="S681" s="64"/>
      <c r="T681" s="64"/>
      <c r="U681" s="64"/>
      <c r="V681" s="64"/>
      <c r="W681" s="64"/>
      <c r="X681" s="64"/>
      <c r="Y681" s="64"/>
      <c r="Z681" s="64"/>
      <c r="AA681" s="64"/>
      <c r="AB681" s="64"/>
      <c r="AC681" s="64"/>
      <c r="AD681" s="64"/>
      <c r="AE681" s="64"/>
      <c r="AF681" s="64"/>
      <c r="AG681" s="64"/>
    </row>
    <row r="682" spans="1:33">
      <c r="A682" s="64"/>
      <c r="B682" s="64"/>
      <c r="C682" s="64"/>
      <c r="D682" s="64"/>
      <c r="E682" s="64"/>
      <c r="F682" s="70"/>
      <c r="G682" s="71"/>
      <c r="H682" s="72"/>
      <c r="I682" s="64"/>
      <c r="J682" s="64"/>
      <c r="K682" s="64"/>
      <c r="L682" s="64"/>
      <c r="M682" s="64"/>
      <c r="N682" s="64"/>
      <c r="O682" s="64"/>
      <c r="P682" s="64"/>
      <c r="Q682" s="64"/>
      <c r="R682" s="64"/>
      <c r="S682" s="64"/>
      <c r="T682" s="64"/>
      <c r="U682" s="64"/>
      <c r="V682" s="64"/>
      <c r="W682" s="64"/>
      <c r="X682" s="64"/>
      <c r="Y682" s="64"/>
      <c r="Z682" s="64"/>
      <c r="AA682" s="64"/>
      <c r="AB682" s="64"/>
      <c r="AC682" s="64"/>
      <c r="AD682" s="64"/>
      <c r="AE682" s="64"/>
      <c r="AF682" s="64"/>
      <c r="AG682" s="64"/>
    </row>
    <row r="683" spans="1:33">
      <c r="A683" s="64"/>
      <c r="B683" s="64"/>
      <c r="C683" s="64"/>
      <c r="D683" s="64"/>
      <c r="E683" s="64"/>
      <c r="F683" s="70"/>
      <c r="G683" s="71"/>
      <c r="H683" s="72"/>
      <c r="I683" s="64"/>
      <c r="J683" s="64"/>
      <c r="K683" s="64"/>
      <c r="L683" s="64"/>
      <c r="M683" s="64"/>
      <c r="N683" s="64"/>
      <c r="O683" s="64"/>
      <c r="P683" s="64"/>
      <c r="Q683" s="64"/>
      <c r="R683" s="64"/>
      <c r="S683" s="64"/>
      <c r="T683" s="64"/>
      <c r="U683" s="64"/>
      <c r="V683" s="64"/>
      <c r="W683" s="64"/>
      <c r="X683" s="64"/>
      <c r="Y683" s="64"/>
      <c r="Z683" s="64"/>
      <c r="AA683" s="64"/>
      <c r="AB683" s="64"/>
      <c r="AC683" s="64"/>
      <c r="AD683" s="64"/>
      <c r="AE683" s="64"/>
      <c r="AF683" s="64"/>
      <c r="AG683" s="64"/>
    </row>
    <row r="684" spans="1:33">
      <c r="A684" s="64"/>
      <c r="B684" s="64"/>
      <c r="C684" s="64"/>
      <c r="D684" s="64"/>
      <c r="E684" s="64"/>
      <c r="F684" s="70"/>
      <c r="G684" s="71"/>
      <c r="H684" s="72"/>
      <c r="I684" s="64"/>
      <c r="J684" s="64"/>
      <c r="K684" s="64"/>
      <c r="L684" s="64"/>
      <c r="M684" s="64"/>
      <c r="N684" s="64"/>
      <c r="O684" s="64"/>
      <c r="P684" s="64"/>
      <c r="Q684" s="64"/>
      <c r="R684" s="64"/>
      <c r="S684" s="64"/>
      <c r="T684" s="64"/>
      <c r="U684" s="64"/>
      <c r="V684" s="64"/>
      <c r="W684" s="64"/>
      <c r="X684" s="64"/>
      <c r="Y684" s="64"/>
      <c r="Z684" s="64"/>
      <c r="AA684" s="64"/>
      <c r="AB684" s="64"/>
      <c r="AC684" s="64"/>
      <c r="AD684" s="64"/>
      <c r="AE684" s="64"/>
      <c r="AF684" s="64"/>
      <c r="AG684" s="64"/>
    </row>
    <row r="685" spans="1:33">
      <c r="A685" s="64"/>
      <c r="B685" s="64"/>
      <c r="C685" s="64"/>
      <c r="D685" s="64"/>
      <c r="E685" s="64"/>
      <c r="F685" s="70"/>
      <c r="G685" s="71"/>
      <c r="H685" s="72"/>
      <c r="I685" s="64"/>
      <c r="J685" s="64"/>
      <c r="K685" s="64"/>
      <c r="L685" s="64"/>
      <c r="M685" s="64"/>
      <c r="N685" s="64"/>
      <c r="O685" s="64"/>
      <c r="P685" s="64"/>
      <c r="Q685" s="64"/>
      <c r="R685" s="64"/>
      <c r="S685" s="64"/>
      <c r="T685" s="64"/>
      <c r="U685" s="64"/>
      <c r="V685" s="64"/>
      <c r="W685" s="64"/>
      <c r="X685" s="64"/>
      <c r="Y685" s="64"/>
      <c r="Z685" s="64"/>
      <c r="AA685" s="64"/>
      <c r="AB685" s="64"/>
      <c r="AC685" s="64"/>
      <c r="AD685" s="64"/>
      <c r="AE685" s="64"/>
      <c r="AF685" s="64"/>
      <c r="AG685" s="64"/>
    </row>
    <row r="686" spans="1:33">
      <c r="A686" s="64"/>
      <c r="B686" s="64"/>
      <c r="C686" s="64"/>
      <c r="D686" s="64"/>
      <c r="E686" s="64"/>
      <c r="F686" s="70"/>
      <c r="G686" s="71"/>
      <c r="H686" s="72"/>
      <c r="I686" s="64"/>
      <c r="J686" s="64"/>
      <c r="K686" s="64"/>
      <c r="L686" s="64"/>
      <c r="M686" s="64"/>
      <c r="N686" s="64"/>
      <c r="O686" s="64"/>
      <c r="P686" s="64"/>
      <c r="Q686" s="64"/>
      <c r="R686" s="64"/>
      <c r="S686" s="64"/>
      <c r="T686" s="64"/>
      <c r="U686" s="64"/>
      <c r="V686" s="64"/>
      <c r="W686" s="64"/>
      <c r="X686" s="64"/>
      <c r="Y686" s="64"/>
      <c r="Z686" s="64"/>
      <c r="AA686" s="64"/>
      <c r="AB686" s="64"/>
      <c r="AC686" s="64"/>
      <c r="AD686" s="64"/>
      <c r="AE686" s="64"/>
      <c r="AF686" s="64"/>
      <c r="AG686" s="64"/>
    </row>
    <row r="687" spans="1:33">
      <c r="A687" s="64"/>
      <c r="B687" s="64"/>
      <c r="C687" s="64"/>
      <c r="D687" s="64"/>
      <c r="E687" s="64"/>
      <c r="F687" s="70"/>
      <c r="G687" s="71"/>
      <c r="H687" s="72"/>
      <c r="I687" s="64"/>
      <c r="J687" s="64"/>
      <c r="K687" s="64"/>
      <c r="L687" s="64"/>
      <c r="M687" s="64"/>
      <c r="N687" s="64"/>
      <c r="O687" s="64"/>
      <c r="P687" s="64"/>
      <c r="Q687" s="64"/>
      <c r="R687" s="64"/>
      <c r="S687" s="64"/>
      <c r="T687" s="64"/>
      <c r="U687" s="64"/>
      <c r="V687" s="64"/>
      <c r="W687" s="64"/>
      <c r="X687" s="64"/>
      <c r="Y687" s="64"/>
      <c r="Z687" s="64"/>
      <c r="AA687" s="64"/>
      <c r="AB687" s="64"/>
      <c r="AC687" s="64"/>
      <c r="AD687" s="64"/>
      <c r="AE687" s="64"/>
      <c r="AF687" s="64"/>
      <c r="AG687" s="64"/>
    </row>
    <row r="688" spans="1:33">
      <c r="A688" s="64"/>
      <c r="B688" s="64"/>
      <c r="C688" s="64"/>
      <c r="D688" s="64"/>
      <c r="E688" s="64"/>
      <c r="F688" s="70"/>
      <c r="G688" s="71"/>
      <c r="H688" s="72"/>
      <c r="I688" s="64"/>
      <c r="J688" s="64"/>
      <c r="K688" s="64"/>
      <c r="L688" s="64"/>
      <c r="M688" s="64"/>
      <c r="N688" s="64"/>
      <c r="O688" s="64"/>
      <c r="P688" s="64"/>
      <c r="Q688" s="64"/>
      <c r="R688" s="64"/>
      <c r="S688" s="64"/>
      <c r="T688" s="64"/>
      <c r="U688" s="64"/>
      <c r="V688" s="64"/>
      <c r="W688" s="64"/>
      <c r="X688" s="64"/>
      <c r="Y688" s="64"/>
      <c r="Z688" s="64"/>
      <c r="AA688" s="64"/>
      <c r="AB688" s="64"/>
      <c r="AC688" s="64"/>
      <c r="AD688" s="64"/>
      <c r="AE688" s="64"/>
      <c r="AF688" s="64"/>
      <c r="AG688" s="64"/>
    </row>
    <row r="689" spans="1:33">
      <c r="A689" s="64"/>
      <c r="B689" s="64"/>
      <c r="C689" s="64"/>
      <c r="D689" s="64"/>
      <c r="E689" s="64"/>
      <c r="F689" s="70"/>
      <c r="G689" s="71"/>
      <c r="H689" s="72"/>
      <c r="I689" s="64"/>
      <c r="J689" s="64"/>
      <c r="K689" s="64"/>
      <c r="L689" s="64"/>
      <c r="M689" s="64"/>
      <c r="N689" s="64"/>
      <c r="O689" s="64"/>
      <c r="P689" s="64"/>
      <c r="Q689" s="64"/>
      <c r="R689" s="64"/>
      <c r="S689" s="64"/>
      <c r="T689" s="64"/>
      <c r="U689" s="64"/>
      <c r="V689" s="64"/>
      <c r="W689" s="64"/>
      <c r="X689" s="64"/>
      <c r="Y689" s="64"/>
      <c r="Z689" s="64"/>
      <c r="AA689" s="64"/>
      <c r="AB689" s="64"/>
      <c r="AC689" s="64"/>
      <c r="AD689" s="64"/>
      <c r="AE689" s="64"/>
      <c r="AF689" s="64"/>
      <c r="AG689" s="64"/>
    </row>
    <row r="690" spans="1:33">
      <c r="A690" s="64"/>
      <c r="B690" s="64"/>
      <c r="C690" s="64"/>
      <c r="D690" s="64"/>
      <c r="E690" s="64"/>
      <c r="F690" s="70"/>
      <c r="G690" s="71"/>
      <c r="H690" s="72"/>
      <c r="I690" s="64"/>
      <c r="J690" s="64"/>
      <c r="K690" s="64"/>
      <c r="L690" s="64"/>
      <c r="M690" s="64"/>
      <c r="N690" s="64"/>
      <c r="O690" s="64"/>
      <c r="P690" s="64"/>
      <c r="Q690" s="64"/>
      <c r="R690" s="64"/>
      <c r="S690" s="64"/>
      <c r="T690" s="64"/>
      <c r="U690" s="64"/>
      <c r="V690" s="64"/>
      <c r="W690" s="64"/>
      <c r="X690" s="64"/>
      <c r="Y690" s="64"/>
      <c r="Z690" s="64"/>
      <c r="AA690" s="64"/>
      <c r="AB690" s="64"/>
      <c r="AC690" s="64"/>
      <c r="AD690" s="64"/>
      <c r="AE690" s="64"/>
      <c r="AF690" s="64"/>
      <c r="AG690" s="64"/>
    </row>
    <row r="691" spans="1:33">
      <c r="A691" s="64"/>
      <c r="B691" s="64"/>
      <c r="C691" s="64"/>
      <c r="D691" s="64"/>
      <c r="E691" s="64"/>
      <c r="F691" s="70"/>
      <c r="G691" s="71"/>
      <c r="H691" s="72"/>
      <c r="I691" s="64"/>
      <c r="J691" s="64"/>
      <c r="K691" s="64"/>
      <c r="L691" s="64"/>
      <c r="M691" s="64"/>
      <c r="N691" s="64"/>
      <c r="O691" s="64"/>
      <c r="P691" s="64"/>
      <c r="Q691" s="64"/>
      <c r="R691" s="64"/>
      <c r="S691" s="64"/>
      <c r="T691" s="64"/>
      <c r="U691" s="64"/>
      <c r="V691" s="64"/>
      <c r="W691" s="64"/>
      <c r="X691" s="64"/>
      <c r="Y691" s="64"/>
      <c r="Z691" s="64"/>
      <c r="AA691" s="64"/>
      <c r="AB691" s="64"/>
      <c r="AC691" s="64"/>
      <c r="AD691" s="64"/>
      <c r="AE691" s="64"/>
      <c r="AF691" s="64"/>
      <c r="AG691" s="64"/>
    </row>
    <row r="692" spans="1:33">
      <c r="A692" s="64"/>
      <c r="B692" s="64"/>
      <c r="C692" s="64"/>
      <c r="D692" s="64"/>
      <c r="E692" s="64"/>
      <c r="F692" s="70"/>
      <c r="G692" s="71"/>
      <c r="H692" s="72"/>
      <c r="I692" s="64"/>
      <c r="J692" s="64"/>
      <c r="K692" s="64"/>
      <c r="L692" s="64"/>
      <c r="M692" s="64"/>
      <c r="N692" s="64"/>
      <c r="O692" s="64"/>
      <c r="P692" s="64"/>
      <c r="Q692" s="64"/>
      <c r="R692" s="64"/>
      <c r="S692" s="64"/>
      <c r="T692" s="64"/>
      <c r="U692" s="64"/>
      <c r="V692" s="64"/>
      <c r="W692" s="64"/>
      <c r="X692" s="64"/>
      <c r="Y692" s="64"/>
      <c r="Z692" s="64"/>
      <c r="AA692" s="64"/>
      <c r="AB692" s="64"/>
      <c r="AC692" s="64"/>
      <c r="AD692" s="64"/>
      <c r="AE692" s="64"/>
      <c r="AF692" s="64"/>
      <c r="AG692" s="64"/>
    </row>
    <row r="693" spans="1:33">
      <c r="A693" s="64"/>
      <c r="B693" s="64"/>
      <c r="C693" s="64"/>
      <c r="D693" s="64"/>
      <c r="E693" s="64"/>
      <c r="F693" s="70"/>
      <c r="G693" s="71"/>
      <c r="H693" s="72"/>
      <c r="I693" s="64"/>
      <c r="J693" s="64"/>
      <c r="K693" s="64"/>
      <c r="L693" s="64"/>
      <c r="M693" s="64"/>
      <c r="N693" s="64"/>
      <c r="O693" s="64"/>
      <c r="P693" s="64"/>
      <c r="Q693" s="64"/>
      <c r="R693" s="64"/>
      <c r="S693" s="64"/>
      <c r="T693" s="64"/>
      <c r="U693" s="64"/>
      <c r="V693" s="64"/>
      <c r="W693" s="64"/>
      <c r="X693" s="64"/>
      <c r="Y693" s="64"/>
      <c r="Z693" s="64"/>
      <c r="AA693" s="64"/>
      <c r="AB693" s="64"/>
      <c r="AC693" s="64"/>
      <c r="AD693" s="64"/>
      <c r="AE693" s="64"/>
      <c r="AF693" s="64"/>
      <c r="AG693" s="64"/>
    </row>
    <row r="694" spans="1:33">
      <c r="A694" s="64"/>
      <c r="B694" s="64"/>
      <c r="C694" s="64"/>
      <c r="D694" s="64"/>
      <c r="E694" s="64"/>
      <c r="F694" s="70"/>
      <c r="G694" s="71"/>
      <c r="H694" s="72"/>
      <c r="I694" s="64"/>
      <c r="J694" s="64"/>
      <c r="K694" s="64"/>
      <c r="L694" s="64"/>
      <c r="M694" s="64"/>
      <c r="N694" s="64"/>
      <c r="O694" s="64"/>
      <c r="P694" s="64"/>
      <c r="Q694" s="64"/>
      <c r="R694" s="64"/>
      <c r="S694" s="64"/>
      <c r="T694" s="64"/>
      <c r="U694" s="64"/>
      <c r="V694" s="64"/>
      <c r="W694" s="64"/>
      <c r="X694" s="64"/>
      <c r="Y694" s="64"/>
      <c r="Z694" s="64"/>
      <c r="AA694" s="64"/>
      <c r="AB694" s="64"/>
      <c r="AC694" s="64"/>
      <c r="AD694" s="64"/>
      <c r="AE694" s="64"/>
      <c r="AF694" s="64"/>
      <c r="AG694" s="64"/>
    </row>
    <row r="695" spans="1:33">
      <c r="A695" s="64"/>
      <c r="B695" s="64"/>
      <c r="C695" s="64"/>
      <c r="D695" s="64"/>
      <c r="E695" s="64"/>
      <c r="F695" s="70"/>
      <c r="G695" s="71"/>
      <c r="H695" s="72"/>
      <c r="I695" s="64"/>
      <c r="J695" s="64"/>
      <c r="K695" s="64"/>
      <c r="L695" s="64"/>
      <c r="M695" s="64"/>
      <c r="N695" s="64"/>
      <c r="O695" s="64"/>
      <c r="P695" s="64"/>
      <c r="Q695" s="64"/>
      <c r="R695" s="64"/>
      <c r="S695" s="64"/>
      <c r="T695" s="64"/>
      <c r="U695" s="64"/>
      <c r="V695" s="64"/>
      <c r="W695" s="64"/>
      <c r="X695" s="64"/>
      <c r="Y695" s="64"/>
      <c r="Z695" s="64"/>
      <c r="AA695" s="64"/>
      <c r="AB695" s="64"/>
      <c r="AC695" s="64"/>
      <c r="AD695" s="64"/>
      <c r="AE695" s="64"/>
      <c r="AF695" s="64"/>
      <c r="AG695" s="64"/>
    </row>
    <row r="696" spans="1:33">
      <c r="A696" s="64"/>
      <c r="B696" s="64"/>
      <c r="C696" s="64"/>
      <c r="D696" s="64"/>
      <c r="E696" s="64"/>
      <c r="F696" s="70"/>
      <c r="G696" s="71"/>
      <c r="H696" s="72"/>
      <c r="I696" s="64"/>
      <c r="J696" s="64"/>
      <c r="K696" s="64"/>
      <c r="L696" s="64"/>
      <c r="M696" s="64"/>
      <c r="N696" s="64"/>
      <c r="O696" s="64"/>
      <c r="P696" s="64"/>
      <c r="Q696" s="64"/>
      <c r="R696" s="64"/>
      <c r="S696" s="64"/>
      <c r="T696" s="64"/>
      <c r="U696" s="64"/>
      <c r="V696" s="64"/>
      <c r="W696" s="64"/>
      <c r="X696" s="64"/>
      <c r="Y696" s="64"/>
      <c r="Z696" s="64"/>
      <c r="AA696" s="64"/>
      <c r="AB696" s="64"/>
      <c r="AC696" s="64"/>
      <c r="AD696" s="64"/>
      <c r="AE696" s="64"/>
      <c r="AF696" s="64"/>
      <c r="AG696" s="64"/>
    </row>
    <row r="697" spans="1:33">
      <c r="A697" s="64"/>
      <c r="B697" s="64"/>
      <c r="C697" s="64"/>
      <c r="D697" s="64"/>
      <c r="E697" s="64"/>
      <c r="F697" s="70"/>
      <c r="G697" s="71"/>
      <c r="H697" s="72"/>
      <c r="I697" s="64"/>
      <c r="J697" s="64"/>
      <c r="K697" s="64"/>
      <c r="L697" s="64"/>
      <c r="M697" s="64"/>
      <c r="N697" s="64"/>
      <c r="O697" s="64"/>
      <c r="P697" s="64"/>
      <c r="Q697" s="64"/>
      <c r="R697" s="64"/>
      <c r="S697" s="64"/>
      <c r="T697" s="64"/>
      <c r="U697" s="64"/>
      <c r="V697" s="64"/>
      <c r="W697" s="64"/>
      <c r="X697" s="64"/>
      <c r="Y697" s="64"/>
      <c r="Z697" s="64"/>
      <c r="AA697" s="64"/>
      <c r="AB697" s="64"/>
      <c r="AC697" s="64"/>
      <c r="AD697" s="64"/>
      <c r="AE697" s="64"/>
      <c r="AF697" s="64"/>
      <c r="AG697" s="64"/>
    </row>
    <row r="698" spans="1:33">
      <c r="A698" s="64"/>
      <c r="B698" s="64"/>
      <c r="C698" s="64"/>
      <c r="D698" s="64"/>
      <c r="E698" s="64"/>
      <c r="F698" s="70"/>
      <c r="G698" s="71"/>
      <c r="H698" s="72"/>
      <c r="I698" s="64"/>
      <c r="J698" s="64"/>
      <c r="K698" s="64"/>
      <c r="L698" s="64"/>
      <c r="M698" s="64"/>
      <c r="N698" s="64"/>
      <c r="O698" s="64"/>
      <c r="P698" s="64"/>
      <c r="Q698" s="64"/>
      <c r="R698" s="64"/>
      <c r="S698" s="64"/>
      <c r="T698" s="64"/>
      <c r="U698" s="64"/>
      <c r="V698" s="64"/>
      <c r="W698" s="64"/>
      <c r="X698" s="64"/>
      <c r="Y698" s="64"/>
      <c r="Z698" s="64"/>
      <c r="AA698" s="64"/>
      <c r="AB698" s="64"/>
      <c r="AC698" s="64"/>
      <c r="AD698" s="64"/>
      <c r="AE698" s="64"/>
      <c r="AF698" s="64"/>
      <c r="AG698" s="64"/>
    </row>
    <row r="699" spans="1:33">
      <c r="A699" s="64"/>
      <c r="B699" s="64"/>
      <c r="C699" s="64"/>
      <c r="D699" s="64"/>
      <c r="E699" s="64"/>
      <c r="F699" s="70"/>
      <c r="G699" s="71"/>
      <c r="H699" s="72"/>
      <c r="I699" s="64"/>
      <c r="J699" s="64"/>
      <c r="K699" s="64"/>
      <c r="L699" s="64"/>
      <c r="M699" s="64"/>
      <c r="N699" s="64"/>
      <c r="O699" s="64"/>
      <c r="P699" s="64"/>
      <c r="Q699" s="64"/>
      <c r="R699" s="64"/>
      <c r="S699" s="64"/>
      <c r="T699" s="64"/>
      <c r="U699" s="64"/>
      <c r="V699" s="64"/>
      <c r="W699" s="64"/>
      <c r="X699" s="64"/>
      <c r="Y699" s="64"/>
      <c r="Z699" s="64"/>
      <c r="AA699" s="64"/>
      <c r="AB699" s="64"/>
      <c r="AC699" s="64"/>
      <c r="AD699" s="64"/>
      <c r="AE699" s="64"/>
      <c r="AF699" s="64"/>
      <c r="AG699" s="64"/>
    </row>
    <row r="700" spans="1:33">
      <c r="A700" s="64"/>
      <c r="B700" s="64"/>
      <c r="C700" s="64"/>
      <c r="D700" s="64"/>
      <c r="E700" s="64"/>
      <c r="F700" s="70"/>
      <c r="G700" s="71"/>
      <c r="H700" s="72"/>
      <c r="I700" s="64"/>
      <c r="J700" s="64"/>
      <c r="K700" s="64"/>
      <c r="L700" s="64"/>
      <c r="M700" s="64"/>
      <c r="N700" s="64"/>
      <c r="O700" s="64"/>
      <c r="P700" s="64"/>
      <c r="Q700" s="64"/>
      <c r="R700" s="64"/>
      <c r="S700" s="64"/>
      <c r="T700" s="64"/>
      <c r="U700" s="64"/>
      <c r="V700" s="64"/>
      <c r="W700" s="64"/>
      <c r="X700" s="64"/>
      <c r="Y700" s="64"/>
      <c r="Z700" s="64"/>
      <c r="AA700" s="64"/>
      <c r="AB700" s="64"/>
      <c r="AC700" s="64"/>
      <c r="AD700" s="64"/>
      <c r="AE700" s="64"/>
      <c r="AF700" s="64"/>
      <c r="AG700" s="64"/>
    </row>
    <row r="701" spans="1:33">
      <c r="A701" s="64"/>
      <c r="B701" s="64"/>
      <c r="C701" s="64"/>
      <c r="D701" s="64"/>
      <c r="E701" s="64"/>
      <c r="F701" s="70"/>
      <c r="G701" s="71"/>
      <c r="H701" s="72"/>
      <c r="I701" s="64"/>
      <c r="J701" s="64"/>
      <c r="K701" s="64"/>
      <c r="L701" s="64"/>
      <c r="M701" s="64"/>
      <c r="N701" s="64"/>
      <c r="O701" s="64"/>
      <c r="P701" s="64"/>
      <c r="Q701" s="64"/>
      <c r="R701" s="64"/>
      <c r="S701" s="64"/>
      <c r="T701" s="64"/>
      <c r="U701" s="64"/>
      <c r="V701" s="64"/>
      <c r="W701" s="64"/>
      <c r="X701" s="64"/>
      <c r="Y701" s="64"/>
      <c r="Z701" s="64"/>
      <c r="AA701" s="64"/>
      <c r="AB701" s="64"/>
      <c r="AC701" s="64"/>
      <c r="AD701" s="64"/>
      <c r="AE701" s="64"/>
      <c r="AF701" s="64"/>
      <c r="AG701" s="64"/>
    </row>
    <row r="702" spans="1:33">
      <c r="A702" s="64"/>
      <c r="B702" s="64"/>
      <c r="C702" s="64"/>
      <c r="D702" s="64"/>
      <c r="E702" s="64"/>
      <c r="F702" s="70"/>
      <c r="G702" s="71"/>
      <c r="H702" s="72"/>
      <c r="I702" s="64"/>
      <c r="J702" s="64"/>
      <c r="K702" s="64"/>
      <c r="L702" s="64"/>
      <c r="M702" s="64"/>
      <c r="N702" s="64"/>
      <c r="O702" s="64"/>
      <c r="P702" s="64"/>
      <c r="Q702" s="64"/>
      <c r="R702" s="64"/>
      <c r="S702" s="64"/>
      <c r="T702" s="64"/>
      <c r="U702" s="64"/>
      <c r="V702" s="64"/>
      <c r="W702" s="64"/>
      <c r="X702" s="64"/>
      <c r="Y702" s="64"/>
      <c r="Z702" s="64"/>
      <c r="AA702" s="64"/>
      <c r="AB702" s="64"/>
      <c r="AC702" s="64"/>
      <c r="AD702" s="64"/>
      <c r="AE702" s="64"/>
      <c r="AF702" s="64"/>
      <c r="AG702" s="64"/>
    </row>
    <row r="703" spans="1:33">
      <c r="A703" s="64"/>
      <c r="B703" s="64"/>
      <c r="C703" s="64"/>
      <c r="D703" s="64"/>
      <c r="E703" s="64"/>
      <c r="F703" s="70"/>
      <c r="G703" s="71"/>
      <c r="H703" s="72"/>
      <c r="I703" s="64"/>
      <c r="J703" s="64"/>
      <c r="K703" s="64"/>
      <c r="L703" s="64"/>
      <c r="M703" s="64"/>
      <c r="N703" s="64"/>
      <c r="O703" s="64"/>
      <c r="P703" s="64"/>
      <c r="Q703" s="64"/>
      <c r="R703" s="64"/>
      <c r="S703" s="64"/>
      <c r="T703" s="64"/>
      <c r="U703" s="64"/>
      <c r="V703" s="64"/>
      <c r="W703" s="64"/>
      <c r="X703" s="64"/>
      <c r="Y703" s="64"/>
      <c r="Z703" s="64"/>
      <c r="AA703" s="64"/>
      <c r="AB703" s="64"/>
      <c r="AC703" s="64"/>
      <c r="AD703" s="64"/>
      <c r="AE703" s="64"/>
      <c r="AF703" s="64"/>
      <c r="AG703" s="64"/>
    </row>
    <row r="704" spans="1:33">
      <c r="A704" s="64"/>
      <c r="B704" s="64"/>
      <c r="C704" s="64"/>
      <c r="D704" s="64"/>
      <c r="E704" s="64"/>
      <c r="F704" s="70"/>
      <c r="G704" s="71"/>
      <c r="H704" s="72"/>
      <c r="I704" s="64"/>
      <c r="J704" s="64"/>
      <c r="K704" s="64"/>
      <c r="L704" s="64"/>
      <c r="M704" s="64"/>
      <c r="N704" s="64"/>
      <c r="O704" s="64"/>
      <c r="P704" s="64"/>
      <c r="Q704" s="64"/>
      <c r="R704" s="64"/>
      <c r="S704" s="64"/>
      <c r="T704" s="64"/>
      <c r="U704" s="64"/>
      <c r="V704" s="64"/>
      <c r="W704" s="64"/>
      <c r="X704" s="64"/>
      <c r="Y704" s="64"/>
      <c r="Z704" s="64"/>
      <c r="AA704" s="64"/>
      <c r="AB704" s="64"/>
      <c r="AC704" s="64"/>
      <c r="AD704" s="64"/>
      <c r="AE704" s="64"/>
      <c r="AF704" s="64"/>
      <c r="AG704" s="64"/>
    </row>
    <row r="705" spans="1:33">
      <c r="A705" s="64"/>
      <c r="B705" s="64"/>
      <c r="C705" s="64"/>
      <c r="D705" s="64"/>
      <c r="E705" s="64"/>
      <c r="F705" s="70"/>
      <c r="G705" s="71"/>
      <c r="H705" s="72"/>
      <c r="I705" s="64"/>
      <c r="J705" s="64"/>
      <c r="K705" s="64"/>
      <c r="L705" s="64"/>
      <c r="M705" s="64"/>
      <c r="N705" s="64"/>
      <c r="O705" s="64"/>
      <c r="P705" s="64"/>
      <c r="Q705" s="64"/>
      <c r="R705" s="64"/>
      <c r="S705" s="64"/>
      <c r="T705" s="64"/>
      <c r="U705" s="64"/>
      <c r="V705" s="64"/>
      <c r="W705" s="64"/>
      <c r="X705" s="64"/>
      <c r="Y705" s="64"/>
      <c r="Z705" s="64"/>
      <c r="AA705" s="64"/>
      <c r="AB705" s="64"/>
      <c r="AC705" s="64"/>
      <c r="AD705" s="64"/>
      <c r="AE705" s="64"/>
      <c r="AF705" s="64"/>
      <c r="AG705" s="64"/>
    </row>
    <row r="706" spans="1:33">
      <c r="A706" s="64"/>
      <c r="B706" s="64"/>
      <c r="C706" s="64"/>
      <c r="D706" s="64"/>
      <c r="E706" s="64"/>
      <c r="F706" s="70"/>
      <c r="G706" s="71"/>
      <c r="H706" s="72"/>
      <c r="I706" s="64"/>
      <c r="J706" s="64"/>
      <c r="K706" s="64"/>
      <c r="L706" s="64"/>
      <c r="M706" s="64"/>
      <c r="N706" s="64"/>
      <c r="O706" s="64"/>
      <c r="P706" s="64"/>
      <c r="Q706" s="64"/>
      <c r="R706" s="64"/>
      <c r="S706" s="64"/>
      <c r="T706" s="64"/>
      <c r="U706" s="64"/>
      <c r="V706" s="64"/>
      <c r="W706" s="64"/>
      <c r="X706" s="64"/>
      <c r="Y706" s="64"/>
      <c r="Z706" s="64"/>
      <c r="AA706" s="64"/>
      <c r="AB706" s="64"/>
      <c r="AC706" s="64"/>
      <c r="AD706" s="64"/>
      <c r="AE706" s="64"/>
      <c r="AF706" s="64"/>
      <c r="AG706" s="64"/>
    </row>
    <row r="707" spans="1:33">
      <c r="A707" s="64"/>
      <c r="B707" s="64"/>
      <c r="C707" s="64"/>
      <c r="D707" s="64"/>
      <c r="E707" s="64"/>
      <c r="F707" s="70"/>
      <c r="G707" s="71"/>
      <c r="H707" s="72"/>
      <c r="I707" s="64"/>
      <c r="J707" s="64"/>
      <c r="K707" s="64"/>
      <c r="L707" s="64"/>
      <c r="M707" s="64"/>
      <c r="N707" s="64"/>
      <c r="O707" s="64"/>
      <c r="P707" s="64"/>
      <c r="Q707" s="64"/>
      <c r="R707" s="64"/>
      <c r="S707" s="64"/>
      <c r="T707" s="64"/>
      <c r="U707" s="64"/>
      <c r="V707" s="64"/>
      <c r="W707" s="64"/>
      <c r="X707" s="64"/>
      <c r="Y707" s="64"/>
      <c r="Z707" s="64"/>
      <c r="AA707" s="64"/>
      <c r="AB707" s="64"/>
      <c r="AC707" s="64"/>
      <c r="AD707" s="64"/>
      <c r="AE707" s="64"/>
      <c r="AF707" s="64"/>
      <c r="AG707" s="64"/>
    </row>
    <row r="708" spans="1:33">
      <c r="A708" s="64"/>
      <c r="B708" s="64"/>
      <c r="C708" s="64"/>
      <c r="D708" s="64"/>
      <c r="E708" s="64"/>
      <c r="F708" s="70"/>
      <c r="G708" s="71"/>
      <c r="H708" s="72"/>
      <c r="I708" s="64"/>
      <c r="J708" s="64"/>
      <c r="K708" s="64"/>
      <c r="L708" s="64"/>
      <c r="M708" s="64"/>
      <c r="N708" s="64"/>
      <c r="O708" s="64"/>
      <c r="P708" s="64"/>
      <c r="Q708" s="64"/>
      <c r="R708" s="64"/>
      <c r="S708" s="64"/>
      <c r="T708" s="64"/>
      <c r="U708" s="64"/>
      <c r="V708" s="64"/>
      <c r="W708" s="64"/>
      <c r="X708" s="64"/>
      <c r="Y708" s="64"/>
      <c r="Z708" s="64"/>
      <c r="AA708" s="64"/>
      <c r="AB708" s="64"/>
      <c r="AC708" s="64"/>
      <c r="AD708" s="64"/>
      <c r="AE708" s="64"/>
      <c r="AF708" s="64"/>
      <c r="AG708" s="64"/>
    </row>
    <row r="709" spans="1:33">
      <c r="A709" s="64"/>
      <c r="B709" s="64"/>
      <c r="C709" s="64"/>
      <c r="D709" s="64"/>
      <c r="E709" s="64"/>
      <c r="F709" s="70"/>
      <c r="G709" s="71"/>
      <c r="H709" s="72"/>
      <c r="I709" s="64"/>
      <c r="J709" s="64"/>
      <c r="K709" s="64"/>
      <c r="L709" s="64"/>
      <c r="M709" s="64"/>
      <c r="N709" s="64"/>
      <c r="O709" s="64"/>
      <c r="P709" s="64"/>
      <c r="Q709" s="64"/>
      <c r="R709" s="64"/>
      <c r="S709" s="64"/>
      <c r="T709" s="64"/>
      <c r="U709" s="64"/>
      <c r="V709" s="64"/>
      <c r="W709" s="64"/>
      <c r="X709" s="64"/>
      <c r="Y709" s="64"/>
      <c r="Z709" s="64"/>
      <c r="AA709" s="64"/>
      <c r="AB709" s="64"/>
      <c r="AC709" s="64"/>
      <c r="AD709" s="64"/>
      <c r="AE709" s="64"/>
      <c r="AF709" s="64"/>
      <c r="AG709" s="64"/>
    </row>
    <row r="710" spans="1:33">
      <c r="A710" s="64"/>
      <c r="B710" s="64"/>
      <c r="C710" s="64"/>
      <c r="D710" s="64"/>
      <c r="E710" s="64"/>
      <c r="F710" s="70"/>
      <c r="G710" s="71"/>
      <c r="H710" s="72"/>
      <c r="I710" s="64"/>
      <c r="J710" s="64"/>
      <c r="K710" s="64"/>
      <c r="L710" s="64"/>
      <c r="M710" s="64"/>
      <c r="N710" s="64"/>
      <c r="O710" s="64"/>
      <c r="P710" s="64"/>
      <c r="Q710" s="64"/>
      <c r="R710" s="64"/>
      <c r="S710" s="64"/>
      <c r="T710" s="64"/>
      <c r="U710" s="64"/>
      <c r="V710" s="64"/>
      <c r="W710" s="64"/>
      <c r="X710" s="64"/>
      <c r="Y710" s="64"/>
      <c r="Z710" s="64"/>
      <c r="AA710" s="64"/>
      <c r="AB710" s="64"/>
      <c r="AC710" s="64"/>
      <c r="AD710" s="64"/>
      <c r="AE710" s="64"/>
      <c r="AF710" s="64"/>
      <c r="AG710" s="64"/>
    </row>
    <row r="711" spans="1:33">
      <c r="A711" s="64"/>
      <c r="B711" s="64"/>
      <c r="C711" s="64"/>
      <c r="D711" s="64"/>
      <c r="E711" s="64"/>
      <c r="F711" s="70"/>
      <c r="G711" s="71"/>
      <c r="H711" s="72"/>
      <c r="I711" s="64"/>
      <c r="J711" s="64"/>
      <c r="K711" s="64"/>
      <c r="L711" s="64"/>
      <c r="M711" s="64"/>
      <c r="N711" s="64"/>
      <c r="O711" s="64"/>
      <c r="P711" s="64"/>
      <c r="Q711" s="64"/>
      <c r="R711" s="64"/>
      <c r="S711" s="64"/>
      <c r="T711" s="64"/>
      <c r="U711" s="64"/>
      <c r="V711" s="64"/>
      <c r="W711" s="64"/>
      <c r="X711" s="64"/>
      <c r="Y711" s="64"/>
      <c r="Z711" s="64"/>
      <c r="AA711" s="64"/>
      <c r="AB711" s="64"/>
      <c r="AC711" s="64"/>
      <c r="AD711" s="64"/>
      <c r="AE711" s="64"/>
      <c r="AF711" s="64"/>
      <c r="AG711" s="64"/>
    </row>
    <row r="712" spans="1:33">
      <c r="A712" s="64"/>
      <c r="B712" s="64"/>
      <c r="C712" s="64"/>
      <c r="D712" s="64"/>
      <c r="E712" s="64"/>
      <c r="F712" s="70"/>
      <c r="G712" s="71"/>
      <c r="H712" s="72"/>
      <c r="I712" s="64"/>
      <c r="J712" s="64"/>
      <c r="K712" s="64"/>
      <c r="L712" s="64"/>
      <c r="M712" s="64"/>
      <c r="N712" s="64"/>
      <c r="O712" s="64"/>
      <c r="P712" s="64"/>
      <c r="Q712" s="64"/>
      <c r="R712" s="64"/>
      <c r="S712" s="64"/>
      <c r="T712" s="64"/>
      <c r="U712" s="64"/>
      <c r="V712" s="64"/>
      <c r="W712" s="64"/>
      <c r="X712" s="64"/>
      <c r="Y712" s="64"/>
      <c r="Z712" s="64"/>
      <c r="AA712" s="64"/>
      <c r="AB712" s="64"/>
      <c r="AC712" s="64"/>
      <c r="AD712" s="64"/>
      <c r="AE712" s="64"/>
      <c r="AF712" s="64"/>
      <c r="AG712" s="64"/>
    </row>
    <row r="713" spans="1:33">
      <c r="A713" s="64"/>
      <c r="B713" s="64"/>
      <c r="C713" s="64"/>
      <c r="D713" s="64"/>
      <c r="E713" s="64"/>
      <c r="F713" s="70"/>
      <c r="G713" s="71"/>
      <c r="H713" s="72"/>
      <c r="I713" s="64"/>
      <c r="J713" s="64"/>
      <c r="K713" s="64"/>
      <c r="L713" s="64"/>
      <c r="M713" s="64"/>
      <c r="N713" s="64"/>
      <c r="O713" s="64"/>
      <c r="P713" s="64"/>
      <c r="Q713" s="64"/>
      <c r="R713" s="64"/>
      <c r="S713" s="64"/>
      <c r="T713" s="64"/>
      <c r="U713" s="64"/>
      <c r="V713" s="64"/>
      <c r="W713" s="64"/>
      <c r="X713" s="64"/>
      <c r="Y713" s="64"/>
      <c r="Z713" s="64"/>
      <c r="AA713" s="64"/>
      <c r="AB713" s="64"/>
      <c r="AC713" s="64"/>
      <c r="AD713" s="64"/>
      <c r="AE713" s="64"/>
      <c r="AF713" s="64"/>
      <c r="AG713" s="64"/>
    </row>
    <row r="714" spans="1:33">
      <c r="A714" s="64"/>
      <c r="B714" s="64"/>
      <c r="C714" s="64"/>
      <c r="D714" s="64"/>
      <c r="E714" s="64"/>
      <c r="F714" s="70"/>
      <c r="G714" s="71"/>
      <c r="H714" s="72"/>
      <c r="I714" s="64"/>
      <c r="J714" s="64"/>
      <c r="K714" s="64"/>
      <c r="L714" s="64"/>
      <c r="M714" s="64"/>
      <c r="N714" s="64"/>
      <c r="O714" s="64"/>
      <c r="P714" s="64"/>
      <c r="Q714" s="64"/>
      <c r="R714" s="64"/>
      <c r="S714" s="64"/>
      <c r="T714" s="64"/>
      <c r="U714" s="64"/>
      <c r="V714" s="64"/>
      <c r="W714" s="64"/>
      <c r="X714" s="64"/>
      <c r="Y714" s="64"/>
      <c r="Z714" s="64"/>
      <c r="AA714" s="64"/>
      <c r="AB714" s="64"/>
      <c r="AC714" s="64"/>
      <c r="AD714" s="64"/>
      <c r="AE714" s="64"/>
      <c r="AF714" s="64"/>
      <c r="AG714" s="64"/>
    </row>
    <row r="715" spans="1:33">
      <c r="A715" s="64"/>
      <c r="B715" s="64"/>
      <c r="C715" s="64"/>
      <c r="D715" s="64"/>
      <c r="E715" s="64"/>
      <c r="F715" s="70"/>
      <c r="G715" s="71"/>
      <c r="H715" s="72"/>
      <c r="I715" s="64"/>
      <c r="J715" s="64"/>
      <c r="K715" s="64"/>
      <c r="L715" s="64"/>
      <c r="M715" s="64"/>
      <c r="N715" s="64"/>
      <c r="O715" s="64"/>
      <c r="P715" s="64"/>
      <c r="Q715" s="64"/>
      <c r="R715" s="64"/>
      <c r="S715" s="64"/>
      <c r="T715" s="64"/>
      <c r="U715" s="64"/>
      <c r="V715" s="64"/>
      <c r="W715" s="64"/>
      <c r="X715" s="64"/>
      <c r="Y715" s="64"/>
      <c r="Z715" s="64"/>
      <c r="AA715" s="64"/>
      <c r="AB715" s="64"/>
      <c r="AC715" s="64"/>
      <c r="AD715" s="64"/>
      <c r="AE715" s="64"/>
      <c r="AF715" s="64"/>
      <c r="AG715" s="64"/>
    </row>
    <row r="716" spans="1:33">
      <c r="A716" s="64"/>
      <c r="B716" s="64"/>
      <c r="C716" s="64"/>
      <c r="D716" s="64"/>
      <c r="E716" s="64"/>
      <c r="F716" s="70"/>
      <c r="G716" s="71"/>
      <c r="H716" s="72"/>
      <c r="I716" s="64"/>
      <c r="J716" s="64"/>
      <c r="K716" s="64"/>
      <c r="L716" s="64"/>
      <c r="M716" s="64"/>
      <c r="N716" s="64"/>
      <c r="O716" s="64"/>
      <c r="P716" s="64"/>
      <c r="Q716" s="64"/>
      <c r="R716" s="64"/>
      <c r="S716" s="64"/>
      <c r="T716" s="64"/>
      <c r="U716" s="64"/>
      <c r="V716" s="64"/>
      <c r="W716" s="64"/>
      <c r="X716" s="64"/>
      <c r="Y716" s="64"/>
      <c r="Z716" s="64"/>
      <c r="AA716" s="64"/>
      <c r="AB716" s="64"/>
      <c r="AC716" s="64"/>
      <c r="AD716" s="64"/>
      <c r="AE716" s="64"/>
      <c r="AF716" s="64"/>
      <c r="AG716" s="64"/>
    </row>
    <row r="717" spans="1:33">
      <c r="A717" s="64"/>
      <c r="B717" s="64"/>
      <c r="C717" s="64"/>
      <c r="D717" s="64"/>
      <c r="E717" s="64"/>
      <c r="F717" s="70"/>
      <c r="G717" s="71"/>
      <c r="H717" s="72"/>
      <c r="I717" s="64"/>
      <c r="J717" s="64"/>
      <c r="K717" s="64"/>
      <c r="L717" s="64"/>
      <c r="M717" s="64"/>
      <c r="N717" s="64"/>
      <c r="O717" s="64"/>
      <c r="P717" s="64"/>
      <c r="Q717" s="64"/>
      <c r="R717" s="64"/>
      <c r="S717" s="64"/>
      <c r="T717" s="64"/>
      <c r="U717" s="64"/>
      <c r="V717" s="64"/>
      <c r="W717" s="64"/>
      <c r="X717" s="64"/>
      <c r="Y717" s="64"/>
      <c r="Z717" s="64"/>
      <c r="AA717" s="64"/>
      <c r="AB717" s="64"/>
      <c r="AC717" s="64"/>
      <c r="AD717" s="64"/>
      <c r="AE717" s="64"/>
      <c r="AF717" s="64"/>
      <c r="AG717" s="64"/>
    </row>
    <row r="718" spans="1:33">
      <c r="A718" s="64"/>
      <c r="B718" s="64"/>
      <c r="C718" s="64"/>
      <c r="D718" s="64"/>
      <c r="E718" s="64"/>
      <c r="F718" s="70"/>
      <c r="G718" s="71"/>
      <c r="H718" s="72"/>
      <c r="I718" s="64"/>
      <c r="J718" s="64"/>
      <c r="K718" s="64"/>
      <c r="L718" s="64"/>
      <c r="M718" s="64"/>
      <c r="N718" s="64"/>
      <c r="O718" s="64"/>
      <c r="P718" s="64"/>
      <c r="Q718" s="64"/>
      <c r="R718" s="64"/>
      <c r="S718" s="64"/>
      <c r="T718" s="64"/>
      <c r="U718" s="64"/>
      <c r="V718" s="64"/>
      <c r="W718" s="64"/>
      <c r="X718" s="64"/>
      <c r="Y718" s="64"/>
      <c r="Z718" s="64"/>
      <c r="AA718" s="64"/>
      <c r="AB718" s="64"/>
      <c r="AC718" s="64"/>
      <c r="AD718" s="64"/>
      <c r="AE718" s="64"/>
      <c r="AF718" s="64"/>
      <c r="AG718" s="64"/>
    </row>
    <row r="719" spans="1:33">
      <c r="A719" s="64"/>
      <c r="B719" s="64"/>
      <c r="C719" s="64"/>
      <c r="D719" s="64"/>
      <c r="E719" s="64"/>
      <c r="F719" s="70"/>
      <c r="G719" s="71"/>
      <c r="H719" s="72"/>
      <c r="I719" s="64"/>
      <c r="J719" s="64"/>
      <c r="K719" s="64"/>
      <c r="L719" s="64"/>
      <c r="M719" s="64"/>
      <c r="N719" s="64"/>
      <c r="O719" s="64"/>
      <c r="P719" s="64"/>
      <c r="Q719" s="64"/>
      <c r="R719" s="64"/>
      <c r="S719" s="64"/>
      <c r="T719" s="64"/>
      <c r="U719" s="64"/>
      <c r="V719" s="64"/>
      <c r="W719" s="64"/>
      <c r="X719" s="64"/>
      <c r="Y719" s="64"/>
      <c r="Z719" s="64"/>
      <c r="AA719" s="64"/>
      <c r="AB719" s="64"/>
      <c r="AC719" s="64"/>
      <c r="AD719" s="64"/>
      <c r="AE719" s="64"/>
      <c r="AF719" s="64"/>
      <c r="AG719" s="64"/>
    </row>
    <row r="720" spans="1:33">
      <c r="A720" s="64"/>
      <c r="B720" s="64"/>
      <c r="C720" s="64"/>
      <c r="D720" s="64"/>
      <c r="E720" s="64"/>
      <c r="F720" s="70"/>
      <c r="G720" s="71"/>
      <c r="H720" s="72"/>
      <c r="I720" s="64"/>
      <c r="J720" s="64"/>
      <c r="K720" s="64"/>
      <c r="L720" s="64"/>
      <c r="M720" s="64"/>
      <c r="N720" s="64"/>
      <c r="O720" s="64"/>
      <c r="P720" s="64"/>
      <c r="Q720" s="64"/>
      <c r="R720" s="64"/>
      <c r="S720" s="64"/>
      <c r="T720" s="64"/>
      <c r="U720" s="64"/>
      <c r="V720" s="64"/>
      <c r="W720" s="64"/>
      <c r="X720" s="64"/>
      <c r="Y720" s="64"/>
      <c r="Z720" s="64"/>
      <c r="AA720" s="64"/>
      <c r="AB720" s="64"/>
      <c r="AC720" s="64"/>
      <c r="AD720" s="64"/>
      <c r="AE720" s="64"/>
      <c r="AF720" s="64"/>
      <c r="AG720" s="64"/>
    </row>
    <row r="721" spans="1:33">
      <c r="A721" s="64"/>
      <c r="B721" s="64"/>
      <c r="C721" s="64"/>
      <c r="D721" s="64"/>
      <c r="E721" s="64"/>
      <c r="F721" s="70"/>
      <c r="G721" s="71"/>
      <c r="H721" s="72"/>
      <c r="I721" s="64"/>
      <c r="J721" s="64"/>
      <c r="K721" s="64"/>
      <c r="L721" s="64"/>
      <c r="M721" s="64"/>
      <c r="N721" s="64"/>
      <c r="O721" s="64"/>
      <c r="P721" s="64"/>
      <c r="Q721" s="64"/>
      <c r="R721" s="64"/>
      <c r="S721" s="64"/>
      <c r="T721" s="64"/>
      <c r="U721" s="64"/>
      <c r="V721" s="64"/>
      <c r="W721" s="64"/>
      <c r="X721" s="64"/>
      <c r="Y721" s="64"/>
      <c r="Z721" s="64"/>
      <c r="AA721" s="64"/>
      <c r="AB721" s="64"/>
      <c r="AC721" s="64"/>
      <c r="AD721" s="64"/>
      <c r="AE721" s="64"/>
      <c r="AF721" s="64"/>
      <c r="AG721" s="64"/>
    </row>
    <row r="722" spans="1:33">
      <c r="A722" s="64"/>
      <c r="B722" s="64"/>
      <c r="C722" s="64"/>
      <c r="D722" s="64"/>
      <c r="E722" s="64"/>
      <c r="F722" s="70"/>
      <c r="G722" s="71"/>
      <c r="H722" s="72"/>
      <c r="I722" s="64"/>
      <c r="J722" s="64"/>
      <c r="K722" s="64"/>
      <c r="L722" s="64"/>
      <c r="M722" s="64"/>
      <c r="N722" s="64"/>
      <c r="O722" s="64"/>
      <c r="P722" s="64"/>
      <c r="Q722" s="64"/>
      <c r="R722" s="64"/>
      <c r="S722" s="64"/>
      <c r="T722" s="64"/>
      <c r="U722" s="64"/>
      <c r="V722" s="64"/>
      <c r="W722" s="64"/>
      <c r="X722" s="64"/>
      <c r="Y722" s="64"/>
      <c r="Z722" s="64"/>
      <c r="AA722" s="64"/>
      <c r="AB722" s="64"/>
      <c r="AC722" s="64"/>
      <c r="AD722" s="64"/>
      <c r="AE722" s="64"/>
      <c r="AF722" s="64"/>
      <c r="AG722" s="64"/>
    </row>
    <row r="723" spans="1:33">
      <c r="A723" s="64"/>
      <c r="B723" s="64"/>
      <c r="C723" s="64"/>
      <c r="D723" s="64"/>
      <c r="E723" s="64"/>
      <c r="F723" s="70"/>
      <c r="G723" s="71"/>
      <c r="H723" s="72"/>
      <c r="I723" s="64"/>
      <c r="J723" s="64"/>
      <c r="K723" s="64"/>
      <c r="L723" s="64"/>
      <c r="M723" s="64"/>
      <c r="N723" s="64"/>
      <c r="O723" s="64"/>
      <c r="P723" s="64"/>
      <c r="Q723" s="64"/>
      <c r="R723" s="64"/>
      <c r="S723" s="64"/>
      <c r="T723" s="64"/>
      <c r="U723" s="64"/>
      <c r="V723" s="64"/>
      <c r="W723" s="64"/>
      <c r="X723" s="64"/>
      <c r="Y723" s="64"/>
      <c r="Z723" s="64"/>
      <c r="AA723" s="64"/>
      <c r="AB723" s="64"/>
      <c r="AC723" s="64"/>
      <c r="AD723" s="64"/>
      <c r="AE723" s="64"/>
      <c r="AF723" s="64"/>
      <c r="AG723" s="64"/>
    </row>
    <row r="724" spans="1:33">
      <c r="A724" s="64"/>
      <c r="B724" s="64"/>
      <c r="C724" s="64"/>
      <c r="D724" s="64"/>
      <c r="E724" s="64"/>
      <c r="F724" s="70"/>
      <c r="G724" s="71"/>
      <c r="H724" s="72"/>
      <c r="I724" s="64"/>
      <c r="J724" s="64"/>
      <c r="K724" s="64"/>
      <c r="L724" s="64"/>
      <c r="M724" s="64"/>
      <c r="N724" s="64"/>
      <c r="O724" s="64"/>
      <c r="P724" s="64"/>
      <c r="Q724" s="64"/>
      <c r="R724" s="64"/>
      <c r="S724" s="64"/>
      <c r="T724" s="64"/>
      <c r="U724" s="64"/>
      <c r="V724" s="64"/>
      <c r="W724" s="64"/>
      <c r="X724" s="64"/>
      <c r="Y724" s="64"/>
      <c r="Z724" s="64"/>
      <c r="AA724" s="64"/>
      <c r="AB724" s="64"/>
      <c r="AC724" s="64"/>
      <c r="AD724" s="64"/>
      <c r="AE724" s="64"/>
      <c r="AF724" s="64"/>
      <c r="AG724" s="64"/>
    </row>
    <row r="725" spans="1:33">
      <c r="A725" s="64"/>
      <c r="B725" s="64"/>
      <c r="C725" s="64"/>
      <c r="D725" s="64"/>
      <c r="E725" s="64"/>
      <c r="F725" s="70"/>
      <c r="G725" s="71"/>
      <c r="H725" s="72"/>
      <c r="I725" s="64"/>
      <c r="J725" s="64"/>
      <c r="K725" s="64"/>
      <c r="L725" s="64"/>
      <c r="M725" s="64"/>
      <c r="N725" s="64"/>
      <c r="O725" s="64"/>
      <c r="P725" s="64"/>
      <c r="Q725" s="64"/>
      <c r="R725" s="64"/>
      <c r="S725" s="64"/>
      <c r="T725" s="64"/>
      <c r="U725" s="64"/>
      <c r="V725" s="64"/>
      <c r="W725" s="64"/>
      <c r="X725" s="64"/>
      <c r="Y725" s="64"/>
      <c r="Z725" s="64"/>
      <c r="AA725" s="64"/>
      <c r="AB725" s="64"/>
      <c r="AC725" s="64"/>
      <c r="AD725" s="64"/>
      <c r="AE725" s="64"/>
      <c r="AF725" s="64"/>
      <c r="AG725" s="64"/>
    </row>
    <row r="726" spans="1:33">
      <c r="A726" s="64"/>
      <c r="B726" s="64"/>
      <c r="C726" s="64"/>
      <c r="D726" s="64"/>
      <c r="E726" s="64"/>
      <c r="F726" s="70"/>
      <c r="G726" s="71"/>
      <c r="H726" s="72"/>
      <c r="I726" s="64"/>
      <c r="J726" s="64"/>
      <c r="K726" s="64"/>
      <c r="L726" s="64"/>
      <c r="M726" s="64"/>
      <c r="N726" s="64"/>
      <c r="O726" s="64"/>
      <c r="P726" s="64"/>
      <c r="Q726" s="64"/>
      <c r="R726" s="64"/>
      <c r="S726" s="64"/>
      <c r="T726" s="64"/>
      <c r="U726" s="64"/>
      <c r="V726" s="64"/>
      <c r="W726" s="64"/>
      <c r="X726" s="64"/>
      <c r="Y726" s="64"/>
      <c r="Z726" s="64"/>
      <c r="AA726" s="64"/>
      <c r="AB726" s="64"/>
      <c r="AC726" s="64"/>
      <c r="AD726" s="64"/>
      <c r="AE726" s="64"/>
      <c r="AF726" s="64"/>
      <c r="AG726" s="64"/>
    </row>
    <row r="727" spans="1:33">
      <c r="A727" s="64"/>
      <c r="B727" s="64"/>
      <c r="C727" s="64"/>
      <c r="D727" s="64"/>
      <c r="E727" s="64"/>
      <c r="F727" s="70"/>
      <c r="G727" s="71"/>
      <c r="H727" s="72"/>
      <c r="I727" s="64"/>
      <c r="J727" s="64"/>
      <c r="K727" s="64"/>
      <c r="L727" s="64"/>
      <c r="M727" s="64"/>
      <c r="N727" s="64"/>
      <c r="O727" s="64"/>
      <c r="P727" s="64"/>
      <c r="Q727" s="64"/>
      <c r="R727" s="64"/>
      <c r="S727" s="64"/>
      <c r="T727" s="64"/>
      <c r="U727" s="64"/>
      <c r="V727" s="64"/>
      <c r="W727" s="64"/>
      <c r="X727" s="64"/>
      <c r="Y727" s="64"/>
      <c r="Z727" s="64"/>
      <c r="AA727" s="64"/>
      <c r="AB727" s="64"/>
      <c r="AC727" s="64"/>
      <c r="AD727" s="64"/>
      <c r="AE727" s="64"/>
      <c r="AF727" s="64"/>
      <c r="AG727" s="64"/>
    </row>
    <row r="728" spans="1:33">
      <c r="A728" s="64"/>
      <c r="B728" s="64"/>
      <c r="C728" s="64"/>
      <c r="D728" s="64"/>
      <c r="E728" s="64"/>
      <c r="F728" s="70"/>
      <c r="G728" s="71"/>
      <c r="H728" s="72"/>
      <c r="I728" s="64"/>
      <c r="J728" s="64"/>
      <c r="K728" s="64"/>
      <c r="L728" s="64"/>
      <c r="M728" s="64"/>
      <c r="N728" s="64"/>
      <c r="O728" s="64"/>
      <c r="P728" s="64"/>
      <c r="Q728" s="64"/>
      <c r="R728" s="64"/>
      <c r="S728" s="64"/>
      <c r="T728" s="64"/>
      <c r="U728" s="64"/>
      <c r="V728" s="64"/>
      <c r="W728" s="64"/>
      <c r="X728" s="64"/>
      <c r="Y728" s="64"/>
      <c r="Z728" s="64"/>
      <c r="AA728" s="64"/>
      <c r="AB728" s="64"/>
      <c r="AC728" s="64"/>
      <c r="AD728" s="64"/>
      <c r="AE728" s="64"/>
      <c r="AF728" s="64"/>
      <c r="AG728" s="64"/>
    </row>
    <row r="729" spans="1:33">
      <c r="A729" s="64"/>
      <c r="B729" s="64"/>
      <c r="C729" s="64"/>
      <c r="D729" s="64"/>
      <c r="E729" s="64"/>
      <c r="F729" s="70"/>
      <c r="G729" s="71"/>
      <c r="H729" s="72"/>
      <c r="I729" s="64"/>
      <c r="J729" s="64"/>
      <c r="K729" s="64"/>
      <c r="L729" s="64"/>
      <c r="M729" s="64"/>
      <c r="N729" s="64"/>
      <c r="O729" s="64"/>
      <c r="P729" s="64"/>
      <c r="Q729" s="64"/>
      <c r="R729" s="64"/>
      <c r="S729" s="64"/>
      <c r="T729" s="64"/>
      <c r="U729" s="64"/>
      <c r="V729" s="64"/>
      <c r="W729" s="64"/>
      <c r="X729" s="64"/>
      <c r="Y729" s="64"/>
      <c r="Z729" s="64"/>
      <c r="AA729" s="64"/>
      <c r="AB729" s="64"/>
      <c r="AC729" s="64"/>
      <c r="AD729" s="64"/>
      <c r="AE729" s="64"/>
      <c r="AF729" s="64"/>
      <c r="AG729" s="64"/>
    </row>
    <row r="730" spans="1:33">
      <c r="A730" s="64"/>
      <c r="B730" s="64"/>
      <c r="C730" s="64"/>
      <c r="D730" s="64"/>
      <c r="E730" s="64"/>
      <c r="F730" s="70"/>
      <c r="G730" s="71"/>
      <c r="H730" s="72"/>
      <c r="I730" s="64"/>
      <c r="J730" s="64"/>
      <c r="K730" s="64"/>
      <c r="L730" s="64"/>
      <c r="M730" s="64"/>
      <c r="N730" s="64"/>
      <c r="O730" s="64"/>
      <c r="P730" s="64"/>
      <c r="Q730" s="64"/>
      <c r="R730" s="64"/>
      <c r="S730" s="64"/>
      <c r="T730" s="64"/>
      <c r="U730" s="64"/>
      <c r="V730" s="64"/>
      <c r="W730" s="64"/>
      <c r="X730" s="64"/>
      <c r="Y730" s="64"/>
      <c r="Z730" s="64"/>
      <c r="AA730" s="64"/>
      <c r="AB730" s="64"/>
      <c r="AC730" s="64"/>
      <c r="AD730" s="64"/>
      <c r="AE730" s="64"/>
      <c r="AF730" s="64"/>
      <c r="AG730" s="64"/>
    </row>
    <row r="731" spans="1:33">
      <c r="A731" s="64"/>
      <c r="B731" s="64"/>
      <c r="C731" s="64"/>
      <c r="D731" s="64"/>
      <c r="E731" s="64"/>
      <c r="F731" s="70"/>
      <c r="G731" s="71"/>
      <c r="H731" s="72"/>
      <c r="I731" s="64"/>
      <c r="J731" s="64"/>
      <c r="K731" s="64"/>
      <c r="L731" s="64"/>
      <c r="M731" s="64"/>
      <c r="N731" s="64"/>
      <c r="O731" s="64"/>
      <c r="P731" s="64"/>
      <c r="Q731" s="64"/>
      <c r="R731" s="64"/>
      <c r="S731" s="64"/>
      <c r="T731" s="64"/>
      <c r="U731" s="64"/>
      <c r="V731" s="64"/>
      <c r="W731" s="64"/>
      <c r="X731" s="64"/>
      <c r="Y731" s="64"/>
      <c r="Z731" s="64"/>
      <c r="AA731" s="64"/>
      <c r="AB731" s="64"/>
      <c r="AC731" s="64"/>
      <c r="AD731" s="64"/>
      <c r="AE731" s="64"/>
      <c r="AF731" s="64"/>
      <c r="AG731" s="64"/>
    </row>
    <row r="732" spans="1:33">
      <c r="A732" s="64"/>
      <c r="B732" s="64"/>
      <c r="C732" s="64"/>
      <c r="D732" s="64"/>
      <c r="E732" s="64"/>
      <c r="F732" s="70"/>
      <c r="G732" s="71"/>
      <c r="H732" s="72"/>
      <c r="I732" s="64"/>
      <c r="J732" s="64"/>
      <c r="K732" s="64"/>
      <c r="L732" s="64"/>
      <c r="M732" s="64"/>
      <c r="N732" s="64"/>
      <c r="O732" s="64"/>
      <c r="P732" s="64"/>
      <c r="Q732" s="64"/>
      <c r="R732" s="64"/>
      <c r="S732" s="64"/>
      <c r="T732" s="64"/>
      <c r="U732" s="64"/>
      <c r="V732" s="64"/>
      <c r="W732" s="64"/>
      <c r="X732" s="64"/>
      <c r="Y732" s="64"/>
      <c r="Z732" s="64"/>
      <c r="AA732" s="64"/>
      <c r="AB732" s="64"/>
      <c r="AC732" s="64"/>
      <c r="AD732" s="64"/>
      <c r="AE732" s="64"/>
      <c r="AF732" s="64"/>
      <c r="AG732" s="64"/>
    </row>
    <row r="733" spans="1:33">
      <c r="A733" s="64"/>
      <c r="B733" s="64"/>
      <c r="C733" s="64"/>
      <c r="D733" s="64"/>
      <c r="E733" s="64"/>
      <c r="F733" s="70"/>
      <c r="G733" s="71"/>
      <c r="H733" s="72"/>
      <c r="I733" s="64"/>
      <c r="J733" s="64"/>
      <c r="K733" s="64"/>
      <c r="L733" s="64"/>
      <c r="M733" s="64"/>
      <c r="N733" s="64"/>
      <c r="O733" s="64"/>
      <c r="P733" s="64"/>
      <c r="Q733" s="64"/>
      <c r="R733" s="64"/>
      <c r="S733" s="64"/>
      <c r="T733" s="64"/>
      <c r="U733" s="64"/>
      <c r="V733" s="64"/>
      <c r="W733" s="64"/>
      <c r="X733" s="64"/>
      <c r="Y733" s="64"/>
      <c r="Z733" s="64"/>
      <c r="AA733" s="64"/>
      <c r="AB733" s="64"/>
      <c r="AC733" s="64"/>
      <c r="AD733" s="64"/>
      <c r="AE733" s="64"/>
      <c r="AF733" s="64"/>
      <c r="AG733" s="64"/>
    </row>
    <row r="734" spans="1:33">
      <c r="A734" s="64"/>
      <c r="B734" s="64"/>
      <c r="C734" s="64"/>
      <c r="D734" s="64"/>
      <c r="E734" s="64"/>
      <c r="F734" s="70"/>
      <c r="G734" s="71"/>
      <c r="H734" s="72"/>
      <c r="I734" s="64"/>
      <c r="J734" s="64"/>
      <c r="K734" s="64"/>
      <c r="L734" s="64"/>
      <c r="M734" s="64"/>
      <c r="N734" s="64"/>
      <c r="O734" s="64"/>
      <c r="P734" s="64"/>
      <c r="Q734" s="64"/>
      <c r="R734" s="64"/>
      <c r="S734" s="64"/>
      <c r="T734" s="64"/>
      <c r="U734" s="64"/>
      <c r="V734" s="64"/>
      <c r="W734" s="64"/>
      <c r="X734" s="64"/>
      <c r="Y734" s="64"/>
      <c r="Z734" s="64"/>
      <c r="AA734" s="64"/>
      <c r="AB734" s="64"/>
      <c r="AC734" s="64"/>
      <c r="AD734" s="64"/>
      <c r="AE734" s="64"/>
      <c r="AF734" s="64"/>
      <c r="AG734" s="64"/>
    </row>
    <row r="735" spans="1:33">
      <c r="A735" s="64"/>
      <c r="B735" s="64"/>
      <c r="C735" s="64"/>
      <c r="D735" s="64"/>
      <c r="E735" s="64"/>
      <c r="F735" s="70"/>
      <c r="G735" s="71"/>
      <c r="H735" s="72"/>
      <c r="I735" s="64"/>
      <c r="J735" s="64"/>
      <c r="K735" s="64"/>
      <c r="L735" s="64"/>
      <c r="M735" s="64"/>
      <c r="N735" s="64"/>
      <c r="O735" s="64"/>
      <c r="P735" s="64"/>
      <c r="Q735" s="64"/>
      <c r="R735" s="64"/>
      <c r="S735" s="64"/>
      <c r="T735" s="64"/>
      <c r="U735" s="64"/>
      <c r="V735" s="64"/>
      <c r="W735" s="64"/>
      <c r="X735" s="64"/>
      <c r="Y735" s="64"/>
      <c r="Z735" s="64"/>
      <c r="AA735" s="64"/>
      <c r="AB735" s="64"/>
      <c r="AC735" s="64"/>
      <c r="AD735" s="64"/>
      <c r="AE735" s="64"/>
      <c r="AF735" s="64"/>
      <c r="AG735" s="64"/>
    </row>
    <row r="736" spans="1:33">
      <c r="A736" s="64"/>
      <c r="B736" s="64"/>
      <c r="C736" s="64"/>
      <c r="D736" s="64"/>
      <c r="E736" s="64"/>
      <c r="F736" s="70"/>
      <c r="G736" s="71"/>
      <c r="H736" s="72"/>
      <c r="I736" s="64"/>
      <c r="J736" s="64"/>
      <c r="K736" s="64"/>
      <c r="L736" s="64"/>
      <c r="M736" s="64"/>
      <c r="N736" s="64"/>
      <c r="O736" s="64"/>
      <c r="P736" s="64"/>
      <c r="Q736" s="64"/>
      <c r="R736" s="64"/>
      <c r="S736" s="64"/>
      <c r="T736" s="64"/>
      <c r="U736" s="64"/>
      <c r="V736" s="64"/>
      <c r="W736" s="64"/>
      <c r="X736" s="64"/>
      <c r="Y736" s="64"/>
      <c r="Z736" s="64"/>
      <c r="AA736" s="64"/>
      <c r="AB736" s="64"/>
      <c r="AC736" s="64"/>
      <c r="AD736" s="64"/>
      <c r="AE736" s="64"/>
      <c r="AF736" s="64"/>
      <c r="AG736" s="64"/>
    </row>
    <row r="737" spans="1:33">
      <c r="A737" s="64"/>
      <c r="B737" s="64"/>
      <c r="C737" s="64"/>
      <c r="D737" s="64"/>
      <c r="E737" s="64"/>
      <c r="F737" s="70"/>
      <c r="G737" s="71"/>
      <c r="H737" s="72"/>
      <c r="I737" s="64"/>
      <c r="J737" s="64"/>
      <c r="K737" s="64"/>
      <c r="L737" s="64"/>
      <c r="M737" s="64"/>
      <c r="N737" s="64"/>
      <c r="O737" s="64"/>
      <c r="P737" s="64"/>
      <c r="Q737" s="64"/>
      <c r="R737" s="64"/>
      <c r="S737" s="64"/>
      <c r="T737" s="64"/>
      <c r="U737" s="64"/>
      <c r="V737" s="64"/>
      <c r="W737" s="64"/>
      <c r="X737" s="64"/>
      <c r="Y737" s="64"/>
      <c r="Z737" s="64"/>
      <c r="AA737" s="64"/>
      <c r="AB737" s="64"/>
      <c r="AC737" s="64"/>
      <c r="AD737" s="64"/>
      <c r="AE737" s="64"/>
      <c r="AF737" s="64"/>
      <c r="AG737" s="64"/>
    </row>
    <row r="738" spans="1:33">
      <c r="A738" s="64"/>
      <c r="B738" s="64"/>
      <c r="C738" s="64"/>
      <c r="D738" s="64"/>
      <c r="E738" s="64"/>
      <c r="F738" s="70"/>
      <c r="G738" s="71"/>
      <c r="H738" s="72"/>
      <c r="I738" s="64"/>
      <c r="J738" s="64"/>
      <c r="K738" s="64"/>
      <c r="L738" s="64"/>
      <c r="M738" s="64"/>
      <c r="N738" s="64"/>
      <c r="O738" s="64"/>
      <c r="P738" s="64"/>
      <c r="Q738" s="64"/>
      <c r="R738" s="64"/>
      <c r="S738" s="64"/>
      <c r="T738" s="64"/>
      <c r="U738" s="64"/>
      <c r="V738" s="64"/>
      <c r="W738" s="64"/>
      <c r="X738" s="64"/>
      <c r="Y738" s="64"/>
      <c r="Z738" s="64"/>
      <c r="AA738" s="64"/>
      <c r="AB738" s="64"/>
      <c r="AC738" s="64"/>
      <c r="AD738" s="64"/>
      <c r="AE738" s="64"/>
      <c r="AF738" s="64"/>
      <c r="AG738" s="64"/>
    </row>
    <row r="739" spans="1:33">
      <c r="A739" s="64"/>
      <c r="B739" s="64"/>
      <c r="C739" s="64"/>
      <c r="D739" s="64"/>
      <c r="E739" s="64"/>
      <c r="F739" s="70"/>
      <c r="G739" s="71"/>
      <c r="H739" s="72"/>
      <c r="I739" s="64"/>
      <c r="J739" s="64"/>
      <c r="K739" s="64"/>
      <c r="L739" s="64"/>
      <c r="M739" s="64"/>
      <c r="N739" s="64"/>
      <c r="O739" s="64"/>
      <c r="P739" s="64"/>
      <c r="Q739" s="64"/>
      <c r="R739" s="64"/>
      <c r="S739" s="64"/>
      <c r="T739" s="64"/>
      <c r="U739" s="64"/>
      <c r="V739" s="64"/>
      <c r="W739" s="64"/>
      <c r="X739" s="64"/>
      <c r="Y739" s="64"/>
      <c r="Z739" s="64"/>
      <c r="AA739" s="64"/>
      <c r="AB739" s="64"/>
      <c r="AC739" s="64"/>
      <c r="AD739" s="64"/>
      <c r="AE739" s="64"/>
      <c r="AF739" s="64"/>
      <c r="AG739" s="64"/>
    </row>
    <row r="740" spans="1:33">
      <c r="A740" s="64"/>
      <c r="B740" s="64"/>
      <c r="C740" s="64"/>
      <c r="D740" s="64"/>
      <c r="E740" s="64"/>
      <c r="F740" s="70"/>
      <c r="G740" s="71"/>
      <c r="H740" s="72"/>
      <c r="I740" s="64"/>
      <c r="J740" s="64"/>
      <c r="K740" s="64"/>
      <c r="L740" s="64"/>
      <c r="M740" s="64"/>
      <c r="N740" s="64"/>
      <c r="O740" s="64"/>
      <c r="P740" s="64"/>
      <c r="Q740" s="64"/>
      <c r="R740" s="64"/>
      <c r="S740" s="64"/>
      <c r="T740" s="64"/>
      <c r="U740" s="64"/>
      <c r="V740" s="64"/>
      <c r="W740" s="64"/>
      <c r="X740" s="64"/>
      <c r="Y740" s="64"/>
      <c r="Z740" s="64"/>
      <c r="AA740" s="64"/>
      <c r="AB740" s="64"/>
      <c r="AC740" s="64"/>
      <c r="AD740" s="64"/>
      <c r="AE740" s="64"/>
      <c r="AF740" s="64"/>
      <c r="AG740" s="64"/>
    </row>
    <row r="741" spans="1:33">
      <c r="A741" s="64"/>
      <c r="B741" s="64"/>
      <c r="C741" s="64"/>
      <c r="D741" s="64"/>
      <c r="E741" s="64"/>
      <c r="F741" s="70"/>
      <c r="G741" s="71"/>
      <c r="H741" s="72"/>
      <c r="I741" s="64"/>
      <c r="J741" s="64"/>
      <c r="K741" s="64"/>
      <c r="L741" s="64"/>
      <c r="M741" s="64"/>
      <c r="N741" s="64"/>
      <c r="O741" s="64"/>
      <c r="P741" s="64"/>
      <c r="Q741" s="64"/>
      <c r="R741" s="64"/>
      <c r="S741" s="64"/>
      <c r="T741" s="64"/>
      <c r="U741" s="64"/>
      <c r="V741" s="64"/>
      <c r="W741" s="64"/>
      <c r="X741" s="64"/>
      <c r="Y741" s="64"/>
      <c r="Z741" s="64"/>
      <c r="AA741" s="64"/>
      <c r="AB741" s="64"/>
      <c r="AC741" s="64"/>
      <c r="AD741" s="64"/>
      <c r="AE741" s="64"/>
      <c r="AF741" s="64"/>
      <c r="AG741" s="64"/>
    </row>
    <row r="742" spans="1:33">
      <c r="A742" s="64"/>
      <c r="B742" s="64"/>
      <c r="C742" s="64"/>
      <c r="D742" s="64"/>
      <c r="E742" s="64"/>
      <c r="F742" s="70"/>
      <c r="G742" s="71"/>
      <c r="H742" s="72"/>
      <c r="I742" s="64"/>
      <c r="J742" s="64"/>
      <c r="K742" s="64"/>
      <c r="L742" s="64"/>
      <c r="M742" s="64"/>
      <c r="N742" s="64"/>
      <c r="O742" s="64"/>
      <c r="P742" s="64"/>
      <c r="Q742" s="64"/>
      <c r="R742" s="64"/>
      <c r="S742" s="64"/>
      <c r="T742" s="64"/>
      <c r="U742" s="64"/>
      <c r="V742" s="64"/>
      <c r="W742" s="64"/>
      <c r="X742" s="64"/>
      <c r="Y742" s="64"/>
      <c r="Z742" s="64"/>
      <c r="AA742" s="64"/>
      <c r="AB742" s="64"/>
      <c r="AC742" s="64"/>
      <c r="AD742" s="64"/>
      <c r="AE742" s="64"/>
      <c r="AF742" s="64"/>
      <c r="AG742" s="64"/>
    </row>
    <row r="743" spans="1:33">
      <c r="A743" s="64"/>
      <c r="B743" s="64"/>
      <c r="C743" s="64"/>
      <c r="D743" s="64"/>
      <c r="E743" s="64"/>
      <c r="F743" s="70"/>
      <c r="G743" s="71"/>
      <c r="H743" s="72"/>
      <c r="I743" s="64"/>
      <c r="J743" s="64"/>
      <c r="K743" s="64"/>
      <c r="L743" s="64"/>
      <c r="M743" s="64"/>
      <c r="N743" s="64"/>
      <c r="O743" s="64"/>
      <c r="P743" s="64"/>
      <c r="Q743" s="64"/>
      <c r="R743" s="64"/>
      <c r="S743" s="64"/>
      <c r="T743" s="64"/>
      <c r="U743" s="64"/>
      <c r="V743" s="64"/>
      <c r="W743" s="64"/>
      <c r="X743" s="64"/>
      <c r="Y743" s="64"/>
      <c r="Z743" s="64"/>
      <c r="AA743" s="64"/>
      <c r="AB743" s="64"/>
      <c r="AC743" s="64"/>
      <c r="AD743" s="64"/>
      <c r="AE743" s="64"/>
      <c r="AF743" s="64"/>
      <c r="AG743" s="64"/>
    </row>
    <row r="744" spans="1:33">
      <c r="A744" s="64"/>
      <c r="B744" s="64"/>
      <c r="C744" s="64"/>
      <c r="D744" s="64"/>
      <c r="E744" s="64"/>
      <c r="F744" s="70"/>
      <c r="G744" s="71"/>
      <c r="H744" s="72"/>
      <c r="I744" s="64"/>
      <c r="J744" s="64"/>
      <c r="K744" s="64"/>
      <c r="L744" s="64"/>
      <c r="M744" s="64"/>
      <c r="N744" s="64"/>
      <c r="O744" s="64"/>
      <c r="P744" s="64"/>
      <c r="Q744" s="64"/>
      <c r="R744" s="64"/>
      <c r="S744" s="64"/>
      <c r="T744" s="64"/>
      <c r="U744" s="64"/>
      <c r="V744" s="64"/>
      <c r="W744" s="64"/>
      <c r="X744" s="64"/>
      <c r="Y744" s="64"/>
      <c r="Z744" s="64"/>
      <c r="AA744" s="64"/>
      <c r="AB744" s="64"/>
      <c r="AC744" s="64"/>
      <c r="AD744" s="64"/>
      <c r="AE744" s="64"/>
      <c r="AF744" s="64"/>
      <c r="AG744" s="64"/>
    </row>
    <row r="745" spans="1:33">
      <c r="A745" s="64"/>
      <c r="B745" s="64"/>
      <c r="C745" s="64"/>
      <c r="D745" s="64"/>
      <c r="E745" s="64"/>
      <c r="F745" s="70"/>
      <c r="G745" s="71"/>
      <c r="H745" s="72"/>
      <c r="I745" s="64"/>
      <c r="J745" s="64"/>
      <c r="K745" s="64"/>
      <c r="L745" s="64"/>
      <c r="M745" s="64"/>
      <c r="N745" s="64"/>
      <c r="O745" s="64"/>
      <c r="P745" s="64"/>
      <c r="Q745" s="64"/>
      <c r="R745" s="64"/>
      <c r="S745" s="64"/>
      <c r="T745" s="64"/>
      <c r="U745" s="64"/>
      <c r="V745" s="64"/>
      <c r="W745" s="64"/>
      <c r="X745" s="64"/>
      <c r="Y745" s="64"/>
      <c r="Z745" s="64"/>
      <c r="AA745" s="64"/>
      <c r="AB745" s="64"/>
      <c r="AC745" s="64"/>
      <c r="AD745" s="64"/>
      <c r="AE745" s="64"/>
      <c r="AF745" s="64"/>
      <c r="AG745" s="64"/>
    </row>
    <row r="746" spans="1:33">
      <c r="A746" s="64"/>
      <c r="B746" s="64"/>
      <c r="C746" s="64"/>
      <c r="D746" s="64"/>
      <c r="E746" s="64"/>
      <c r="F746" s="70"/>
      <c r="G746" s="71"/>
      <c r="H746" s="72"/>
      <c r="I746" s="64"/>
      <c r="J746" s="64"/>
      <c r="K746" s="64"/>
      <c r="L746" s="64"/>
      <c r="M746" s="64"/>
      <c r="N746" s="64"/>
      <c r="O746" s="64"/>
      <c r="P746" s="64"/>
      <c r="Q746" s="64"/>
      <c r="R746" s="64"/>
      <c r="S746" s="64"/>
      <c r="T746" s="64"/>
      <c r="U746" s="64"/>
      <c r="V746" s="64"/>
      <c r="W746" s="64"/>
      <c r="X746" s="64"/>
      <c r="Y746" s="64"/>
      <c r="Z746" s="64"/>
      <c r="AA746" s="64"/>
      <c r="AB746" s="64"/>
      <c r="AC746" s="64"/>
      <c r="AD746" s="64"/>
      <c r="AE746" s="64"/>
      <c r="AF746" s="64"/>
      <c r="AG746" s="64"/>
    </row>
    <row r="747" spans="1:33">
      <c r="A747" s="64"/>
      <c r="B747" s="64"/>
      <c r="C747" s="64"/>
      <c r="D747" s="64"/>
      <c r="E747" s="64"/>
      <c r="F747" s="70"/>
      <c r="G747" s="71"/>
      <c r="H747" s="72"/>
      <c r="I747" s="64"/>
      <c r="J747" s="64"/>
      <c r="K747" s="64"/>
      <c r="L747" s="64"/>
      <c r="M747" s="64"/>
      <c r="N747" s="64"/>
      <c r="O747" s="64"/>
      <c r="P747" s="64"/>
      <c r="Q747" s="64"/>
      <c r="R747" s="64"/>
      <c r="S747" s="64"/>
      <c r="T747" s="64"/>
      <c r="U747" s="64"/>
      <c r="V747" s="64"/>
      <c r="W747" s="64"/>
      <c r="X747" s="64"/>
      <c r="Y747" s="64"/>
      <c r="Z747" s="64"/>
      <c r="AA747" s="64"/>
      <c r="AB747" s="64"/>
      <c r="AC747" s="64"/>
      <c r="AD747" s="64"/>
      <c r="AE747" s="64"/>
      <c r="AF747" s="64"/>
      <c r="AG747" s="64"/>
    </row>
    <row r="748" spans="1:33">
      <c r="A748" s="64"/>
      <c r="B748" s="64"/>
      <c r="C748" s="64"/>
      <c r="D748" s="64"/>
      <c r="E748" s="64"/>
      <c r="F748" s="70"/>
      <c r="G748" s="71"/>
      <c r="H748" s="72"/>
      <c r="I748" s="64"/>
      <c r="J748" s="64"/>
      <c r="K748" s="64"/>
      <c r="L748" s="64"/>
      <c r="M748" s="64"/>
      <c r="N748" s="64"/>
      <c r="O748" s="64"/>
      <c r="P748" s="64"/>
      <c r="Q748" s="64"/>
      <c r="R748" s="64"/>
      <c r="S748" s="64"/>
      <c r="T748" s="64"/>
      <c r="U748" s="64"/>
      <c r="V748" s="64"/>
      <c r="W748" s="64"/>
      <c r="X748" s="64"/>
      <c r="Y748" s="64"/>
      <c r="Z748" s="64"/>
      <c r="AA748" s="64"/>
      <c r="AB748" s="64"/>
      <c r="AC748" s="64"/>
      <c r="AD748" s="64"/>
      <c r="AE748" s="64"/>
      <c r="AF748" s="64"/>
      <c r="AG748" s="64"/>
    </row>
    <row r="749" spans="1:33">
      <c r="A749" s="64"/>
      <c r="B749" s="64"/>
      <c r="C749" s="64"/>
      <c r="D749" s="64"/>
      <c r="E749" s="64"/>
      <c r="F749" s="70"/>
      <c r="G749" s="71"/>
      <c r="H749" s="72"/>
      <c r="I749" s="64"/>
      <c r="J749" s="64"/>
      <c r="K749" s="64"/>
      <c r="L749" s="64"/>
      <c r="M749" s="64"/>
      <c r="N749" s="64"/>
      <c r="O749" s="64"/>
      <c r="P749" s="64"/>
      <c r="Q749" s="64"/>
      <c r="R749" s="64"/>
      <c r="S749" s="64"/>
      <c r="T749" s="64"/>
      <c r="U749" s="64"/>
      <c r="V749" s="64"/>
      <c r="W749" s="64"/>
      <c r="X749" s="64"/>
      <c r="Y749" s="64"/>
      <c r="Z749" s="64"/>
      <c r="AA749" s="64"/>
      <c r="AB749" s="64"/>
      <c r="AC749" s="64"/>
      <c r="AD749" s="64"/>
      <c r="AE749" s="64"/>
      <c r="AF749" s="64"/>
      <c r="AG749" s="64"/>
    </row>
    <row r="750" spans="1:33">
      <c r="A750" s="64"/>
      <c r="B750" s="64"/>
      <c r="C750" s="64"/>
      <c r="D750" s="64"/>
      <c r="E750" s="64"/>
      <c r="F750" s="70"/>
      <c r="G750" s="71"/>
      <c r="H750" s="72"/>
      <c r="I750" s="64"/>
      <c r="J750" s="64"/>
      <c r="K750" s="64"/>
      <c r="L750" s="64"/>
      <c r="M750" s="64"/>
      <c r="N750" s="64"/>
      <c r="O750" s="64"/>
      <c r="P750" s="64"/>
      <c r="Q750" s="64"/>
      <c r="R750" s="64"/>
      <c r="S750" s="64"/>
      <c r="T750" s="64"/>
      <c r="U750" s="64"/>
      <c r="V750" s="64"/>
      <c r="W750" s="64"/>
      <c r="X750" s="64"/>
      <c r="Y750" s="64"/>
      <c r="Z750" s="64"/>
      <c r="AA750" s="64"/>
      <c r="AB750" s="64"/>
      <c r="AC750" s="64"/>
      <c r="AD750" s="64"/>
      <c r="AE750" s="64"/>
      <c r="AF750" s="64"/>
      <c r="AG750" s="64"/>
    </row>
    <row r="751" spans="1:33">
      <c r="A751" s="64"/>
      <c r="B751" s="64"/>
      <c r="C751" s="64"/>
      <c r="D751" s="64"/>
      <c r="E751" s="64"/>
      <c r="F751" s="70"/>
      <c r="G751" s="71"/>
      <c r="H751" s="72"/>
      <c r="I751" s="64"/>
      <c r="J751" s="64"/>
      <c r="K751" s="64"/>
      <c r="L751" s="64"/>
      <c r="M751" s="64"/>
      <c r="N751" s="64"/>
      <c r="O751" s="64"/>
      <c r="P751" s="64"/>
      <c r="Q751" s="64"/>
      <c r="R751" s="64"/>
      <c r="S751" s="64"/>
      <c r="T751" s="64"/>
      <c r="U751" s="64"/>
      <c r="V751" s="64"/>
      <c r="W751" s="64"/>
      <c r="X751" s="64"/>
      <c r="Y751" s="64"/>
      <c r="Z751" s="64"/>
      <c r="AA751" s="64"/>
      <c r="AB751" s="64"/>
      <c r="AC751" s="64"/>
      <c r="AD751" s="64"/>
      <c r="AE751" s="64"/>
      <c r="AF751" s="64"/>
      <c r="AG751" s="64"/>
    </row>
    <row r="752" spans="1:33">
      <c r="A752" s="64"/>
      <c r="B752" s="64"/>
      <c r="C752" s="64"/>
      <c r="D752" s="64"/>
      <c r="E752" s="64"/>
      <c r="F752" s="70"/>
      <c r="G752" s="71"/>
      <c r="H752" s="72"/>
      <c r="I752" s="64"/>
      <c r="J752" s="64"/>
      <c r="K752" s="64"/>
      <c r="L752" s="64"/>
      <c r="M752" s="64"/>
      <c r="N752" s="64"/>
      <c r="O752" s="64"/>
      <c r="P752" s="64"/>
      <c r="Q752" s="64"/>
      <c r="R752" s="64"/>
      <c r="S752" s="64"/>
      <c r="T752" s="64"/>
      <c r="U752" s="64"/>
      <c r="V752" s="64"/>
      <c r="W752" s="64"/>
      <c r="X752" s="64"/>
      <c r="Y752" s="64"/>
      <c r="Z752" s="64"/>
      <c r="AA752" s="64"/>
      <c r="AB752" s="64"/>
      <c r="AC752" s="64"/>
      <c r="AD752" s="64"/>
      <c r="AE752" s="64"/>
      <c r="AF752" s="64"/>
      <c r="AG752" s="64"/>
    </row>
    <row r="753" spans="1:33">
      <c r="A753" s="64"/>
      <c r="B753" s="64"/>
      <c r="C753" s="64"/>
      <c r="D753" s="64"/>
      <c r="E753" s="64"/>
      <c r="F753" s="70"/>
      <c r="G753" s="71"/>
      <c r="H753" s="72"/>
      <c r="I753" s="64"/>
      <c r="J753" s="64"/>
      <c r="K753" s="64"/>
      <c r="L753" s="64"/>
      <c r="M753" s="64"/>
      <c r="N753" s="64"/>
      <c r="O753" s="64"/>
      <c r="P753" s="64"/>
      <c r="Q753" s="64"/>
      <c r="R753" s="64"/>
      <c r="S753" s="64"/>
      <c r="T753" s="64"/>
      <c r="U753" s="64"/>
      <c r="V753" s="64"/>
      <c r="W753" s="64"/>
      <c r="X753" s="64"/>
      <c r="Y753" s="64"/>
      <c r="Z753" s="64"/>
      <c r="AA753" s="64"/>
      <c r="AB753" s="64"/>
      <c r="AC753" s="64"/>
      <c r="AD753" s="64"/>
      <c r="AE753" s="64"/>
      <c r="AF753" s="64"/>
      <c r="AG753" s="64"/>
    </row>
    <row r="754" spans="1:33">
      <c r="A754" s="64"/>
      <c r="B754" s="64"/>
      <c r="C754" s="64"/>
      <c r="D754" s="64"/>
      <c r="E754" s="64"/>
      <c r="F754" s="70"/>
      <c r="G754" s="71"/>
      <c r="H754" s="72"/>
      <c r="I754" s="64"/>
      <c r="J754" s="64"/>
      <c r="K754" s="64"/>
      <c r="L754" s="64"/>
      <c r="M754" s="64"/>
      <c r="N754" s="64"/>
      <c r="O754" s="64"/>
      <c r="P754" s="64"/>
      <c r="Q754" s="64"/>
      <c r="R754" s="64"/>
      <c r="S754" s="64"/>
      <c r="T754" s="64"/>
      <c r="U754" s="64"/>
      <c r="V754" s="64"/>
      <c r="W754" s="64"/>
      <c r="X754" s="64"/>
      <c r="Y754" s="64"/>
      <c r="Z754" s="64"/>
      <c r="AA754" s="64"/>
      <c r="AB754" s="64"/>
      <c r="AC754" s="64"/>
      <c r="AD754" s="64"/>
      <c r="AE754" s="64"/>
      <c r="AF754" s="64"/>
      <c r="AG754" s="64"/>
    </row>
    <row r="755" spans="1:33">
      <c r="A755" s="64"/>
      <c r="B755" s="64"/>
      <c r="C755" s="64"/>
      <c r="D755" s="64"/>
      <c r="E755" s="64"/>
      <c r="F755" s="70"/>
      <c r="G755" s="71"/>
      <c r="H755" s="72"/>
      <c r="I755" s="64"/>
      <c r="J755" s="64"/>
      <c r="K755" s="64"/>
      <c r="L755" s="64"/>
      <c r="M755" s="64"/>
      <c r="N755" s="64"/>
      <c r="O755" s="64"/>
      <c r="P755" s="64"/>
      <c r="Q755" s="64"/>
      <c r="R755" s="64"/>
      <c r="S755" s="64"/>
      <c r="T755" s="64"/>
      <c r="U755" s="64"/>
      <c r="V755" s="64"/>
      <c r="W755" s="64"/>
      <c r="X755" s="64"/>
      <c r="Y755" s="64"/>
      <c r="Z755" s="64"/>
      <c r="AA755" s="64"/>
      <c r="AB755" s="64"/>
      <c r="AC755" s="64"/>
      <c r="AD755" s="64"/>
      <c r="AE755" s="64"/>
      <c r="AF755" s="64"/>
      <c r="AG755" s="64"/>
    </row>
    <row r="756" spans="1:33">
      <c r="A756" s="64"/>
      <c r="B756" s="64"/>
      <c r="C756" s="64"/>
      <c r="D756" s="64"/>
      <c r="E756" s="64"/>
      <c r="F756" s="70"/>
      <c r="G756" s="71"/>
      <c r="H756" s="72"/>
      <c r="I756" s="64"/>
      <c r="J756" s="64"/>
      <c r="K756" s="64"/>
      <c r="L756" s="64"/>
      <c r="M756" s="64"/>
      <c r="N756" s="64"/>
      <c r="O756" s="64"/>
      <c r="P756" s="64"/>
      <c r="Q756" s="64"/>
      <c r="R756" s="64"/>
      <c r="S756" s="64"/>
      <c r="T756" s="64"/>
      <c r="U756" s="64"/>
      <c r="V756" s="64"/>
      <c r="W756" s="64"/>
      <c r="X756" s="64"/>
      <c r="Y756" s="64"/>
      <c r="Z756" s="64"/>
      <c r="AA756" s="64"/>
      <c r="AB756" s="64"/>
      <c r="AC756" s="64"/>
      <c r="AD756" s="64"/>
      <c r="AE756" s="64"/>
      <c r="AF756" s="64"/>
      <c r="AG756" s="64"/>
    </row>
    <row r="757" spans="1:33">
      <c r="A757" s="64"/>
      <c r="B757" s="64"/>
      <c r="C757" s="64"/>
      <c r="D757" s="64"/>
      <c r="E757" s="64"/>
      <c r="F757" s="70"/>
      <c r="G757" s="71"/>
      <c r="H757" s="72"/>
      <c r="I757" s="64"/>
      <c r="J757" s="64"/>
      <c r="K757" s="64"/>
      <c r="L757" s="64"/>
      <c r="M757" s="64"/>
      <c r="N757" s="64"/>
      <c r="O757" s="64"/>
      <c r="P757" s="64"/>
      <c r="Q757" s="64"/>
      <c r="R757" s="64"/>
      <c r="S757" s="64"/>
      <c r="T757" s="64"/>
      <c r="U757" s="64"/>
      <c r="V757" s="64"/>
      <c r="W757" s="64"/>
      <c r="X757" s="64"/>
      <c r="Y757" s="64"/>
      <c r="Z757" s="64"/>
      <c r="AA757" s="64"/>
      <c r="AB757" s="64"/>
      <c r="AC757" s="64"/>
      <c r="AD757" s="64"/>
      <c r="AE757" s="64"/>
      <c r="AF757" s="64"/>
      <c r="AG757" s="64"/>
    </row>
    <row r="758" spans="1:33">
      <c r="A758" s="64"/>
      <c r="B758" s="64"/>
      <c r="C758" s="64"/>
      <c r="D758" s="64"/>
      <c r="E758" s="64"/>
      <c r="F758" s="70"/>
      <c r="G758" s="71"/>
      <c r="H758" s="72"/>
      <c r="I758" s="64"/>
      <c r="J758" s="64"/>
      <c r="K758" s="64"/>
      <c r="L758" s="64"/>
      <c r="M758" s="64"/>
      <c r="N758" s="64"/>
      <c r="O758" s="64"/>
      <c r="P758" s="64"/>
      <c r="Q758" s="64"/>
      <c r="R758" s="64"/>
      <c r="S758" s="64"/>
      <c r="T758" s="64"/>
      <c r="U758" s="64"/>
      <c r="V758" s="64"/>
      <c r="W758" s="64"/>
      <c r="X758" s="64"/>
      <c r="Y758" s="64"/>
      <c r="Z758" s="64"/>
      <c r="AA758" s="64"/>
      <c r="AB758" s="64"/>
      <c r="AC758" s="64"/>
      <c r="AD758" s="64"/>
      <c r="AE758" s="64"/>
      <c r="AF758" s="64"/>
      <c r="AG758" s="64"/>
    </row>
    <row r="759" spans="1:33">
      <c r="A759" s="64"/>
      <c r="B759" s="64"/>
      <c r="C759" s="64"/>
      <c r="D759" s="64"/>
      <c r="E759" s="64"/>
      <c r="F759" s="70"/>
      <c r="G759" s="71"/>
      <c r="H759" s="72"/>
      <c r="I759" s="64"/>
      <c r="J759" s="64"/>
      <c r="K759" s="64"/>
      <c r="L759" s="64"/>
      <c r="M759" s="64"/>
      <c r="N759" s="64"/>
      <c r="O759" s="64"/>
      <c r="P759" s="64"/>
      <c r="Q759" s="64"/>
      <c r="R759" s="64"/>
      <c r="S759" s="64"/>
      <c r="T759" s="64"/>
      <c r="U759" s="64"/>
      <c r="V759" s="64"/>
      <c r="W759" s="64"/>
      <c r="X759" s="64"/>
      <c r="Y759" s="64"/>
      <c r="Z759" s="64"/>
      <c r="AA759" s="64"/>
      <c r="AB759" s="64"/>
      <c r="AC759" s="64"/>
      <c r="AD759" s="64"/>
      <c r="AE759" s="64"/>
      <c r="AF759" s="64"/>
      <c r="AG759" s="64"/>
    </row>
    <row r="760" spans="1:33">
      <c r="A760" s="64"/>
      <c r="B760" s="64"/>
      <c r="C760" s="64"/>
      <c r="D760" s="64"/>
      <c r="E760" s="64"/>
      <c r="F760" s="70"/>
      <c r="G760" s="71"/>
      <c r="H760" s="72"/>
      <c r="I760" s="64"/>
      <c r="J760" s="64"/>
      <c r="K760" s="64"/>
      <c r="L760" s="64"/>
      <c r="M760" s="64"/>
      <c r="N760" s="64"/>
      <c r="O760" s="64"/>
      <c r="P760" s="64"/>
      <c r="Q760" s="64"/>
      <c r="R760" s="64"/>
      <c r="S760" s="64"/>
      <c r="T760" s="64"/>
      <c r="U760" s="64"/>
      <c r="V760" s="64"/>
      <c r="W760" s="64"/>
      <c r="X760" s="64"/>
      <c r="Y760" s="64"/>
      <c r="Z760" s="64"/>
      <c r="AA760" s="64"/>
      <c r="AB760" s="64"/>
      <c r="AC760" s="64"/>
      <c r="AD760" s="64"/>
      <c r="AE760" s="64"/>
      <c r="AF760" s="64"/>
      <c r="AG760" s="64"/>
    </row>
    <row r="761" spans="1:33">
      <c r="A761" s="64"/>
      <c r="B761" s="64"/>
      <c r="C761" s="64"/>
      <c r="D761" s="64"/>
      <c r="E761" s="64"/>
      <c r="F761" s="70"/>
      <c r="G761" s="71"/>
      <c r="H761" s="72"/>
      <c r="I761" s="64"/>
      <c r="J761" s="64"/>
      <c r="K761" s="64"/>
      <c r="L761" s="64"/>
      <c r="M761" s="64"/>
      <c r="N761" s="64"/>
      <c r="O761" s="64"/>
      <c r="P761" s="64"/>
      <c r="Q761" s="64"/>
      <c r="R761" s="64"/>
      <c r="S761" s="64"/>
      <c r="T761" s="64"/>
      <c r="U761" s="64"/>
      <c r="V761" s="64"/>
      <c r="W761" s="64"/>
      <c r="X761" s="64"/>
      <c r="Y761" s="64"/>
      <c r="Z761" s="64"/>
      <c r="AA761" s="64"/>
      <c r="AB761" s="64"/>
      <c r="AC761" s="64"/>
      <c r="AD761" s="64"/>
      <c r="AE761" s="64"/>
      <c r="AF761" s="64"/>
      <c r="AG761" s="64"/>
    </row>
    <row r="762" spans="1:33">
      <c r="A762" s="64"/>
      <c r="B762" s="64"/>
      <c r="C762" s="64"/>
      <c r="D762" s="64"/>
      <c r="E762" s="64"/>
      <c r="F762" s="70"/>
      <c r="G762" s="71"/>
      <c r="H762" s="72"/>
      <c r="I762" s="64"/>
      <c r="J762" s="64"/>
      <c r="K762" s="64"/>
      <c r="L762" s="64"/>
      <c r="M762" s="64"/>
      <c r="N762" s="64"/>
      <c r="O762" s="64"/>
      <c r="P762" s="64"/>
      <c r="Q762" s="64"/>
      <c r="R762" s="64"/>
      <c r="S762" s="64"/>
      <c r="T762" s="64"/>
      <c r="U762" s="64"/>
      <c r="V762" s="64"/>
      <c r="W762" s="64"/>
      <c r="X762" s="64"/>
      <c r="Y762" s="64"/>
      <c r="Z762" s="64"/>
      <c r="AA762" s="64"/>
      <c r="AB762" s="64"/>
      <c r="AC762" s="64"/>
      <c r="AD762" s="64"/>
      <c r="AE762" s="64"/>
      <c r="AF762" s="64"/>
      <c r="AG762" s="64"/>
    </row>
    <row r="763" spans="1:33">
      <c r="A763" s="64"/>
      <c r="B763" s="64"/>
      <c r="C763" s="64"/>
      <c r="D763" s="64"/>
      <c r="E763" s="64"/>
      <c r="F763" s="70"/>
      <c r="G763" s="71"/>
      <c r="H763" s="72"/>
      <c r="I763" s="64"/>
      <c r="J763" s="64"/>
      <c r="K763" s="64"/>
      <c r="L763" s="64"/>
      <c r="M763" s="64"/>
      <c r="N763" s="64"/>
      <c r="O763" s="64"/>
      <c r="P763" s="64"/>
      <c r="Q763" s="64"/>
      <c r="R763" s="64"/>
      <c r="S763" s="64"/>
      <c r="T763" s="64"/>
      <c r="U763" s="64"/>
      <c r="V763" s="64"/>
      <c r="W763" s="64"/>
      <c r="X763" s="64"/>
      <c r="Y763" s="64"/>
      <c r="Z763" s="64"/>
      <c r="AA763" s="64"/>
      <c r="AB763" s="64"/>
      <c r="AC763" s="64"/>
      <c r="AD763" s="64"/>
      <c r="AE763" s="64"/>
      <c r="AF763" s="64"/>
      <c r="AG763" s="64"/>
    </row>
    <row r="764" spans="1:33">
      <c r="A764" s="64"/>
      <c r="B764" s="64"/>
      <c r="C764" s="64"/>
      <c r="D764" s="64"/>
      <c r="E764" s="64"/>
      <c r="F764" s="70"/>
      <c r="G764" s="71"/>
      <c r="H764" s="72"/>
      <c r="I764" s="64"/>
      <c r="J764" s="64"/>
      <c r="K764" s="64"/>
      <c r="L764" s="64"/>
      <c r="M764" s="64"/>
      <c r="N764" s="64"/>
      <c r="O764" s="64"/>
      <c r="P764" s="64"/>
      <c r="Q764" s="64"/>
      <c r="R764" s="64"/>
      <c r="S764" s="64"/>
      <c r="T764" s="64"/>
      <c r="U764" s="64"/>
      <c r="V764" s="64"/>
      <c r="W764" s="64"/>
      <c r="X764" s="64"/>
      <c r="Y764" s="64"/>
      <c r="Z764" s="64"/>
      <c r="AA764" s="64"/>
      <c r="AB764" s="64"/>
      <c r="AC764" s="64"/>
      <c r="AD764" s="64"/>
      <c r="AE764" s="64"/>
      <c r="AF764" s="64"/>
      <c r="AG764" s="64"/>
    </row>
    <row r="765" spans="1:33">
      <c r="A765" s="64"/>
      <c r="B765" s="64"/>
      <c r="C765" s="64"/>
      <c r="D765" s="64"/>
      <c r="E765" s="64"/>
      <c r="F765" s="70"/>
      <c r="G765" s="71"/>
      <c r="H765" s="72"/>
      <c r="I765" s="64"/>
      <c r="J765" s="64"/>
      <c r="K765" s="64"/>
      <c r="L765" s="64"/>
      <c r="M765" s="64"/>
      <c r="N765" s="64"/>
      <c r="O765" s="64"/>
      <c r="P765" s="64"/>
      <c r="Q765" s="64"/>
      <c r="R765" s="64"/>
      <c r="S765" s="64"/>
      <c r="T765" s="64"/>
      <c r="U765" s="64"/>
      <c r="V765" s="64"/>
      <c r="W765" s="64"/>
      <c r="X765" s="64"/>
      <c r="Y765" s="64"/>
      <c r="Z765" s="64"/>
      <c r="AA765" s="64"/>
      <c r="AB765" s="64"/>
      <c r="AC765" s="64"/>
      <c r="AD765" s="64"/>
      <c r="AE765" s="64"/>
      <c r="AF765" s="64"/>
      <c r="AG765" s="64"/>
    </row>
    <row r="766" spans="1:33">
      <c r="A766" s="64"/>
      <c r="B766" s="64"/>
      <c r="C766" s="64"/>
      <c r="D766" s="64"/>
      <c r="E766" s="64"/>
      <c r="F766" s="70"/>
      <c r="G766" s="71"/>
      <c r="H766" s="72"/>
      <c r="I766" s="64"/>
      <c r="J766" s="64"/>
      <c r="K766" s="64"/>
      <c r="L766" s="64"/>
      <c r="M766" s="64"/>
      <c r="N766" s="64"/>
      <c r="O766" s="64"/>
      <c r="P766" s="64"/>
      <c r="Q766" s="64"/>
      <c r="R766" s="64"/>
      <c r="S766" s="64"/>
      <c r="T766" s="64"/>
      <c r="U766" s="64"/>
      <c r="V766" s="64"/>
      <c r="W766" s="64"/>
      <c r="X766" s="64"/>
      <c r="Y766" s="64"/>
      <c r="Z766" s="64"/>
      <c r="AA766" s="64"/>
      <c r="AB766" s="64"/>
      <c r="AC766" s="64"/>
      <c r="AD766" s="64"/>
      <c r="AE766" s="64"/>
      <c r="AF766" s="64"/>
      <c r="AG766" s="64"/>
    </row>
    <row r="767" spans="1:33">
      <c r="A767" s="64"/>
      <c r="B767" s="64"/>
      <c r="C767" s="64"/>
      <c r="D767" s="64"/>
      <c r="E767" s="64"/>
      <c r="F767" s="70"/>
      <c r="G767" s="71"/>
      <c r="H767" s="72"/>
      <c r="I767" s="64"/>
      <c r="J767" s="64"/>
      <c r="K767" s="64"/>
      <c r="L767" s="64"/>
      <c r="M767" s="64"/>
      <c r="N767" s="64"/>
      <c r="O767" s="64"/>
      <c r="P767" s="64"/>
      <c r="Q767" s="64"/>
      <c r="R767" s="64"/>
      <c r="S767" s="64"/>
      <c r="T767" s="64"/>
      <c r="U767" s="64"/>
      <c r="V767" s="64"/>
      <c r="W767" s="64"/>
      <c r="X767" s="64"/>
      <c r="Y767" s="64"/>
      <c r="Z767" s="64"/>
      <c r="AA767" s="64"/>
      <c r="AB767" s="64"/>
      <c r="AC767" s="64"/>
      <c r="AD767" s="64"/>
      <c r="AE767" s="64"/>
      <c r="AF767" s="64"/>
      <c r="AG767" s="64"/>
    </row>
    <row r="768" spans="1:33">
      <c r="A768" s="64"/>
      <c r="B768" s="64"/>
      <c r="C768" s="64"/>
      <c r="D768" s="64"/>
      <c r="E768" s="64"/>
      <c r="F768" s="70"/>
      <c r="G768" s="71"/>
      <c r="H768" s="72"/>
      <c r="I768" s="64"/>
      <c r="J768" s="64"/>
      <c r="K768" s="64"/>
      <c r="L768" s="64"/>
      <c r="M768" s="64"/>
      <c r="N768" s="64"/>
      <c r="O768" s="64"/>
      <c r="P768" s="64"/>
      <c r="Q768" s="64"/>
      <c r="R768" s="64"/>
      <c r="S768" s="64"/>
      <c r="T768" s="64"/>
      <c r="U768" s="64"/>
      <c r="V768" s="64"/>
      <c r="W768" s="64"/>
      <c r="X768" s="64"/>
      <c r="Y768" s="64"/>
      <c r="Z768" s="64"/>
      <c r="AA768" s="64"/>
      <c r="AB768" s="64"/>
      <c r="AC768" s="64"/>
      <c r="AD768" s="64"/>
      <c r="AE768" s="64"/>
      <c r="AF768" s="64"/>
      <c r="AG768" s="64"/>
    </row>
    <row r="769" spans="1:33">
      <c r="A769" s="64"/>
      <c r="B769" s="64"/>
      <c r="C769" s="64"/>
      <c r="D769" s="64"/>
      <c r="E769" s="64"/>
      <c r="F769" s="70"/>
      <c r="G769" s="71"/>
      <c r="H769" s="72"/>
      <c r="I769" s="64"/>
      <c r="J769" s="64"/>
      <c r="K769" s="64"/>
      <c r="L769" s="64"/>
      <c r="M769" s="64"/>
      <c r="N769" s="64"/>
      <c r="O769" s="64"/>
      <c r="P769" s="64"/>
      <c r="Q769" s="64"/>
      <c r="R769" s="64"/>
      <c r="S769" s="64"/>
      <c r="T769" s="64"/>
      <c r="U769" s="64"/>
      <c r="V769" s="64"/>
      <c r="W769" s="64"/>
      <c r="X769" s="64"/>
      <c r="Y769" s="64"/>
      <c r="Z769" s="64"/>
      <c r="AA769" s="64"/>
      <c r="AB769" s="64"/>
      <c r="AC769" s="64"/>
      <c r="AD769" s="64"/>
      <c r="AE769" s="64"/>
      <c r="AF769" s="64"/>
      <c r="AG769" s="64"/>
    </row>
    <row r="770" spans="1:33">
      <c r="A770" s="64"/>
      <c r="B770" s="64"/>
      <c r="C770" s="64"/>
      <c r="D770" s="64"/>
      <c r="E770" s="64"/>
      <c r="F770" s="70"/>
      <c r="G770" s="71"/>
      <c r="H770" s="72"/>
      <c r="I770" s="64"/>
      <c r="J770" s="64"/>
      <c r="K770" s="64"/>
      <c r="L770" s="64"/>
      <c r="M770" s="64"/>
      <c r="N770" s="64"/>
      <c r="O770" s="64"/>
      <c r="P770" s="64"/>
      <c r="Q770" s="64"/>
      <c r="R770" s="64"/>
      <c r="S770" s="64"/>
      <c r="T770" s="64"/>
      <c r="U770" s="64"/>
      <c r="V770" s="64"/>
      <c r="W770" s="64"/>
      <c r="X770" s="64"/>
      <c r="Y770" s="64"/>
      <c r="Z770" s="64"/>
      <c r="AA770" s="64"/>
      <c r="AB770" s="64"/>
      <c r="AC770" s="64"/>
      <c r="AD770" s="64"/>
      <c r="AE770" s="64"/>
      <c r="AF770" s="64"/>
      <c r="AG770" s="64"/>
    </row>
    <row r="771" spans="1:33">
      <c r="A771" s="64"/>
      <c r="B771" s="64"/>
      <c r="C771" s="64"/>
      <c r="D771" s="64"/>
      <c r="E771" s="64"/>
      <c r="F771" s="70"/>
      <c r="G771" s="71"/>
      <c r="H771" s="72"/>
      <c r="I771" s="64"/>
      <c r="J771" s="64"/>
      <c r="K771" s="64"/>
      <c r="L771" s="64"/>
      <c r="M771" s="64"/>
      <c r="N771" s="64"/>
      <c r="O771" s="64"/>
      <c r="P771" s="64"/>
      <c r="Q771" s="64"/>
      <c r="R771" s="64"/>
      <c r="S771" s="64"/>
      <c r="T771" s="64"/>
      <c r="U771" s="64"/>
      <c r="V771" s="64"/>
      <c r="W771" s="64"/>
      <c r="X771" s="64"/>
      <c r="Y771" s="64"/>
      <c r="Z771" s="64"/>
      <c r="AA771" s="64"/>
      <c r="AB771" s="64"/>
      <c r="AC771" s="64"/>
      <c r="AD771" s="64"/>
      <c r="AE771" s="64"/>
      <c r="AF771" s="64"/>
      <c r="AG771" s="64"/>
    </row>
    <row r="772" spans="1:33">
      <c r="A772" s="64"/>
      <c r="B772" s="64"/>
      <c r="C772" s="64"/>
      <c r="D772" s="64"/>
      <c r="E772" s="64"/>
      <c r="F772" s="70"/>
      <c r="G772" s="71"/>
      <c r="H772" s="72"/>
      <c r="I772" s="64"/>
      <c r="J772" s="64"/>
      <c r="K772" s="64"/>
      <c r="L772" s="64"/>
      <c r="M772" s="64"/>
      <c r="N772" s="64"/>
      <c r="O772" s="64"/>
      <c r="P772" s="64"/>
      <c r="Q772" s="64"/>
      <c r="R772" s="64"/>
      <c r="S772" s="64"/>
      <c r="T772" s="64"/>
      <c r="U772" s="64"/>
      <c r="V772" s="64"/>
      <c r="W772" s="64"/>
      <c r="X772" s="64"/>
      <c r="Y772" s="64"/>
      <c r="Z772" s="64"/>
      <c r="AA772" s="64"/>
      <c r="AB772" s="64"/>
      <c r="AC772" s="64"/>
      <c r="AD772" s="64"/>
      <c r="AE772" s="64"/>
      <c r="AF772" s="64"/>
      <c r="AG772" s="64"/>
    </row>
    <row r="773" spans="1:33">
      <c r="A773" s="64"/>
      <c r="B773" s="64"/>
      <c r="C773" s="64"/>
      <c r="D773" s="64"/>
      <c r="E773" s="64"/>
      <c r="F773" s="70"/>
      <c r="G773" s="71"/>
      <c r="H773" s="72"/>
      <c r="I773" s="64"/>
      <c r="J773" s="64"/>
      <c r="K773" s="64"/>
      <c r="L773" s="64"/>
      <c r="M773" s="64"/>
      <c r="N773" s="64"/>
      <c r="O773" s="64"/>
      <c r="P773" s="64"/>
      <c r="Q773" s="64"/>
      <c r="R773" s="64"/>
      <c r="S773" s="64"/>
      <c r="T773" s="64"/>
      <c r="U773" s="64"/>
      <c r="V773" s="64"/>
      <c r="W773" s="64"/>
      <c r="X773" s="64"/>
      <c r="Y773" s="64"/>
      <c r="Z773" s="64"/>
      <c r="AA773" s="64"/>
      <c r="AB773" s="64"/>
      <c r="AC773" s="64"/>
      <c r="AD773" s="64"/>
      <c r="AE773" s="64"/>
      <c r="AF773" s="64"/>
      <c r="AG773" s="64"/>
    </row>
    <row r="774" spans="1:33">
      <c r="A774" s="64"/>
      <c r="B774" s="64"/>
      <c r="C774" s="64"/>
      <c r="D774" s="64"/>
      <c r="E774" s="64"/>
      <c r="F774" s="70"/>
      <c r="G774" s="71"/>
      <c r="H774" s="72"/>
      <c r="I774" s="64"/>
      <c r="J774" s="64"/>
      <c r="K774" s="64"/>
      <c r="L774" s="64"/>
      <c r="M774" s="64"/>
      <c r="N774" s="64"/>
      <c r="O774" s="64"/>
      <c r="P774" s="64"/>
      <c r="Q774" s="64"/>
      <c r="R774" s="64"/>
      <c r="S774" s="64"/>
      <c r="T774" s="64"/>
      <c r="U774" s="64"/>
      <c r="V774" s="64"/>
      <c r="W774" s="64"/>
      <c r="X774" s="64"/>
      <c r="Y774" s="64"/>
      <c r="Z774" s="64"/>
      <c r="AA774" s="64"/>
      <c r="AB774" s="64"/>
      <c r="AC774" s="64"/>
      <c r="AD774" s="64"/>
      <c r="AE774" s="64"/>
      <c r="AF774" s="64"/>
      <c r="AG774" s="64"/>
    </row>
    <row r="775" spans="1:33">
      <c r="A775" s="64"/>
      <c r="B775" s="64"/>
      <c r="C775" s="64"/>
      <c r="D775" s="64"/>
      <c r="E775" s="64"/>
      <c r="F775" s="70"/>
      <c r="G775" s="71"/>
      <c r="H775" s="72"/>
      <c r="I775" s="64"/>
      <c r="J775" s="64"/>
      <c r="K775" s="64"/>
      <c r="L775" s="64"/>
      <c r="M775" s="64"/>
      <c r="N775" s="64"/>
      <c r="O775" s="64"/>
      <c r="P775" s="64"/>
      <c r="Q775" s="64"/>
      <c r="R775" s="64"/>
      <c r="S775" s="64"/>
      <c r="T775" s="64"/>
      <c r="U775" s="64"/>
      <c r="V775" s="64"/>
      <c r="W775" s="64"/>
      <c r="X775" s="64"/>
      <c r="Y775" s="64"/>
      <c r="Z775" s="64"/>
      <c r="AA775" s="64"/>
      <c r="AB775" s="64"/>
      <c r="AC775" s="64"/>
      <c r="AD775" s="64"/>
      <c r="AE775" s="64"/>
      <c r="AF775" s="64"/>
      <c r="AG775" s="64"/>
    </row>
    <row r="776" spans="1:33">
      <c r="A776" s="64"/>
      <c r="B776" s="64"/>
      <c r="C776" s="64"/>
      <c r="D776" s="64"/>
      <c r="E776" s="64"/>
      <c r="F776" s="70"/>
      <c r="G776" s="71"/>
      <c r="H776" s="72"/>
      <c r="I776" s="64"/>
      <c r="J776" s="64"/>
      <c r="K776" s="64"/>
      <c r="L776" s="64"/>
      <c r="M776" s="64"/>
      <c r="N776" s="64"/>
      <c r="O776" s="64"/>
      <c r="P776" s="64"/>
      <c r="Q776" s="64"/>
      <c r="R776" s="64"/>
      <c r="S776" s="64"/>
      <c r="T776" s="64"/>
      <c r="U776" s="64"/>
      <c r="V776" s="64"/>
      <c r="W776" s="64"/>
      <c r="X776" s="64"/>
      <c r="Y776" s="64"/>
      <c r="Z776" s="64"/>
      <c r="AA776" s="64"/>
      <c r="AB776" s="64"/>
      <c r="AC776" s="64"/>
      <c r="AD776" s="64"/>
      <c r="AE776" s="64"/>
      <c r="AF776" s="64"/>
      <c r="AG776" s="64"/>
    </row>
    <row r="777" spans="1:33">
      <c r="A777" s="64"/>
      <c r="B777" s="64"/>
      <c r="C777" s="64"/>
      <c r="D777" s="64"/>
      <c r="E777" s="64"/>
      <c r="F777" s="70"/>
      <c r="G777" s="71"/>
      <c r="H777" s="72"/>
      <c r="I777" s="64"/>
      <c r="J777" s="64"/>
      <c r="K777" s="64"/>
      <c r="L777" s="64"/>
      <c r="M777" s="64"/>
      <c r="N777" s="64"/>
      <c r="O777" s="64"/>
      <c r="P777" s="64"/>
      <c r="Q777" s="64"/>
      <c r="R777" s="64"/>
      <c r="S777" s="64"/>
      <c r="T777" s="64"/>
      <c r="U777" s="64"/>
      <c r="V777" s="64"/>
      <c r="W777" s="64"/>
      <c r="X777" s="64"/>
      <c r="Y777" s="64"/>
      <c r="Z777" s="64"/>
      <c r="AA777" s="64"/>
      <c r="AB777" s="64"/>
      <c r="AC777" s="64"/>
      <c r="AD777" s="64"/>
      <c r="AE777" s="64"/>
      <c r="AF777" s="64"/>
      <c r="AG777" s="64"/>
    </row>
    <row r="778" spans="1:33">
      <c r="A778" s="64"/>
      <c r="B778" s="64"/>
      <c r="C778" s="64"/>
      <c r="D778" s="64"/>
      <c r="E778" s="64"/>
      <c r="F778" s="70"/>
      <c r="G778" s="71"/>
      <c r="H778" s="72"/>
      <c r="I778" s="64"/>
      <c r="J778" s="64"/>
      <c r="K778" s="64"/>
      <c r="L778" s="64"/>
      <c r="M778" s="64"/>
      <c r="N778" s="64"/>
      <c r="O778" s="64"/>
      <c r="P778" s="64"/>
      <c r="Q778" s="64"/>
      <c r="R778" s="64"/>
      <c r="S778" s="64"/>
      <c r="T778" s="64"/>
      <c r="U778" s="64"/>
      <c r="V778" s="64"/>
      <c r="W778" s="64"/>
      <c r="X778" s="64"/>
      <c r="Y778" s="64"/>
      <c r="Z778" s="64"/>
      <c r="AA778" s="64"/>
      <c r="AB778" s="64"/>
      <c r="AC778" s="64"/>
      <c r="AD778" s="64"/>
      <c r="AE778" s="64"/>
      <c r="AF778" s="64"/>
      <c r="AG778" s="64"/>
    </row>
    <row r="779" spans="1:33">
      <c r="A779" s="64"/>
      <c r="B779" s="64"/>
      <c r="C779" s="64"/>
      <c r="D779" s="64"/>
      <c r="E779" s="64"/>
      <c r="F779" s="70"/>
      <c r="G779" s="71"/>
      <c r="H779" s="72"/>
      <c r="I779" s="64"/>
      <c r="J779" s="64"/>
      <c r="K779" s="64"/>
      <c r="L779" s="64"/>
      <c r="M779" s="64"/>
      <c r="N779" s="64"/>
      <c r="O779" s="64"/>
      <c r="P779" s="64"/>
      <c r="Q779" s="64"/>
      <c r="R779" s="64"/>
      <c r="S779" s="64"/>
      <c r="T779" s="64"/>
      <c r="U779" s="64"/>
      <c r="V779" s="64"/>
      <c r="W779" s="64"/>
      <c r="X779" s="64"/>
      <c r="Y779" s="64"/>
      <c r="Z779" s="64"/>
      <c r="AA779" s="64"/>
      <c r="AB779" s="64"/>
      <c r="AC779" s="64"/>
      <c r="AD779" s="64"/>
      <c r="AE779" s="64"/>
      <c r="AF779" s="64"/>
      <c r="AG779" s="64"/>
    </row>
    <row r="780" spans="1:33">
      <c r="A780" s="64"/>
      <c r="B780" s="64"/>
      <c r="C780" s="64"/>
      <c r="D780" s="64"/>
      <c r="E780" s="64"/>
      <c r="F780" s="70"/>
      <c r="G780" s="71"/>
      <c r="H780" s="72"/>
      <c r="I780" s="64"/>
      <c r="J780" s="64"/>
      <c r="K780" s="64"/>
      <c r="L780" s="64"/>
      <c r="M780" s="64"/>
      <c r="N780" s="64"/>
      <c r="O780" s="64"/>
      <c r="P780" s="64"/>
      <c r="Q780" s="64"/>
      <c r="R780" s="64"/>
      <c r="S780" s="64"/>
      <c r="T780" s="64"/>
      <c r="U780" s="64"/>
      <c r="V780" s="64"/>
      <c r="W780" s="64"/>
      <c r="X780" s="64"/>
      <c r="Y780" s="64"/>
      <c r="Z780" s="64"/>
      <c r="AA780" s="64"/>
      <c r="AB780" s="64"/>
      <c r="AC780" s="64"/>
      <c r="AD780" s="64"/>
      <c r="AE780" s="64"/>
      <c r="AF780" s="64"/>
      <c r="AG780" s="64"/>
    </row>
    <row r="781" spans="1:33">
      <c r="A781" s="64"/>
      <c r="B781" s="64"/>
      <c r="C781" s="64"/>
      <c r="D781" s="64"/>
      <c r="E781" s="64"/>
      <c r="F781" s="70"/>
      <c r="G781" s="71"/>
      <c r="H781" s="72"/>
      <c r="I781" s="64"/>
      <c r="J781" s="64"/>
      <c r="K781" s="64"/>
      <c r="L781" s="64"/>
      <c r="M781" s="64"/>
      <c r="N781" s="64"/>
      <c r="O781" s="64"/>
      <c r="P781" s="64"/>
      <c r="Q781" s="64"/>
      <c r="R781" s="64"/>
      <c r="S781" s="64"/>
      <c r="T781" s="64"/>
      <c r="U781" s="64"/>
      <c r="V781" s="64"/>
      <c r="W781" s="64"/>
      <c r="X781" s="64"/>
      <c r="Y781" s="64"/>
      <c r="Z781" s="64"/>
      <c r="AA781" s="64"/>
      <c r="AB781" s="64"/>
      <c r="AC781" s="64"/>
      <c r="AD781" s="64"/>
      <c r="AE781" s="64"/>
      <c r="AF781" s="64"/>
      <c r="AG781" s="64"/>
    </row>
    <row r="782" spans="1:33">
      <c r="A782" s="64"/>
      <c r="B782" s="64"/>
      <c r="C782" s="64"/>
      <c r="D782" s="64"/>
      <c r="E782" s="64"/>
      <c r="F782" s="70"/>
      <c r="G782" s="71"/>
      <c r="H782" s="72"/>
      <c r="I782" s="64"/>
      <c r="J782" s="64"/>
      <c r="K782" s="64"/>
      <c r="L782" s="64"/>
      <c r="M782" s="64"/>
      <c r="N782" s="64"/>
      <c r="O782" s="64"/>
      <c r="P782" s="64"/>
      <c r="Q782" s="64"/>
      <c r="R782" s="64"/>
      <c r="S782" s="64"/>
      <c r="T782" s="64"/>
      <c r="U782" s="64"/>
      <c r="V782" s="64"/>
      <c r="W782" s="64"/>
      <c r="X782" s="64"/>
      <c r="Y782" s="64"/>
      <c r="Z782" s="64"/>
      <c r="AA782" s="64"/>
      <c r="AB782" s="64"/>
      <c r="AC782" s="64"/>
      <c r="AD782" s="64"/>
      <c r="AE782" s="64"/>
      <c r="AF782" s="64"/>
      <c r="AG782" s="64"/>
    </row>
    <row r="783" spans="1:33">
      <c r="A783" s="64"/>
      <c r="B783" s="64"/>
      <c r="C783" s="64"/>
      <c r="D783" s="64"/>
      <c r="E783" s="64"/>
      <c r="F783" s="70"/>
      <c r="G783" s="71"/>
      <c r="H783" s="72"/>
      <c r="I783" s="64"/>
      <c r="J783" s="64"/>
      <c r="K783" s="64"/>
      <c r="L783" s="64"/>
      <c r="M783" s="64"/>
      <c r="N783" s="64"/>
      <c r="O783" s="64"/>
      <c r="P783" s="64"/>
      <c r="Q783" s="64"/>
      <c r="R783" s="64"/>
      <c r="S783" s="64"/>
      <c r="T783" s="64"/>
      <c r="U783" s="64"/>
      <c r="V783" s="64"/>
      <c r="W783" s="64"/>
      <c r="X783" s="64"/>
      <c r="Y783" s="64"/>
      <c r="Z783" s="64"/>
      <c r="AA783" s="64"/>
      <c r="AB783" s="64"/>
      <c r="AC783" s="64"/>
      <c r="AD783" s="64"/>
      <c r="AE783" s="64"/>
      <c r="AF783" s="64"/>
      <c r="AG783" s="64"/>
    </row>
    <row r="784" spans="1:33">
      <c r="A784" s="64"/>
      <c r="B784" s="64"/>
      <c r="C784" s="64"/>
      <c r="D784" s="64"/>
      <c r="E784" s="64"/>
      <c r="F784" s="70"/>
      <c r="G784" s="71"/>
      <c r="H784" s="72"/>
      <c r="I784" s="64"/>
      <c r="J784" s="64"/>
      <c r="K784" s="64"/>
      <c r="L784" s="64"/>
      <c r="M784" s="64"/>
      <c r="N784" s="64"/>
      <c r="O784" s="64"/>
      <c r="P784" s="64"/>
      <c r="Q784" s="64"/>
      <c r="R784" s="64"/>
      <c r="S784" s="64"/>
      <c r="T784" s="64"/>
      <c r="U784" s="64"/>
      <c r="V784" s="64"/>
      <c r="W784" s="64"/>
      <c r="X784" s="64"/>
      <c r="Y784" s="64"/>
      <c r="Z784" s="64"/>
      <c r="AA784" s="64"/>
      <c r="AB784" s="64"/>
      <c r="AC784" s="64"/>
      <c r="AD784" s="64"/>
      <c r="AE784" s="64"/>
      <c r="AF784" s="64"/>
      <c r="AG784" s="64"/>
    </row>
    <row r="785" spans="1:33">
      <c r="A785" s="64"/>
      <c r="B785" s="64"/>
      <c r="C785" s="64"/>
      <c r="D785" s="64"/>
      <c r="E785" s="64"/>
      <c r="F785" s="70"/>
      <c r="G785" s="71"/>
      <c r="H785" s="72"/>
      <c r="I785" s="64"/>
      <c r="J785" s="64"/>
      <c r="K785" s="64"/>
      <c r="L785" s="64"/>
      <c r="M785" s="64"/>
      <c r="N785" s="64"/>
      <c r="O785" s="64"/>
      <c r="P785" s="64"/>
      <c r="Q785" s="64"/>
      <c r="R785" s="64"/>
      <c r="S785" s="64"/>
      <c r="T785" s="64"/>
      <c r="U785" s="64"/>
      <c r="V785" s="64"/>
      <c r="W785" s="64"/>
      <c r="X785" s="64"/>
      <c r="Y785" s="64"/>
      <c r="Z785" s="64"/>
      <c r="AA785" s="64"/>
      <c r="AB785" s="64"/>
      <c r="AC785" s="64"/>
      <c r="AD785" s="64"/>
      <c r="AE785" s="64"/>
      <c r="AF785" s="64"/>
      <c r="AG785" s="64"/>
    </row>
    <row r="786" spans="1:33">
      <c r="A786" s="64"/>
      <c r="B786" s="64"/>
      <c r="C786" s="64"/>
      <c r="D786" s="64"/>
      <c r="E786" s="64"/>
      <c r="F786" s="70"/>
      <c r="G786" s="71"/>
      <c r="H786" s="72"/>
      <c r="I786" s="64"/>
      <c r="J786" s="64"/>
      <c r="K786" s="64"/>
      <c r="L786" s="64"/>
      <c r="M786" s="64"/>
      <c r="N786" s="64"/>
      <c r="O786" s="64"/>
      <c r="P786" s="64"/>
      <c r="Q786" s="64"/>
      <c r="R786" s="64"/>
      <c r="S786" s="64"/>
      <c r="T786" s="64"/>
      <c r="U786" s="64"/>
      <c r="V786" s="64"/>
      <c r="W786" s="64"/>
      <c r="X786" s="64"/>
      <c r="Y786" s="64"/>
      <c r="Z786" s="64"/>
      <c r="AA786" s="64"/>
      <c r="AB786" s="64"/>
      <c r="AC786" s="64"/>
      <c r="AD786" s="64"/>
      <c r="AE786" s="64"/>
      <c r="AF786" s="64"/>
      <c r="AG786" s="64"/>
    </row>
    <row r="787" spans="1:33">
      <c r="A787" s="64"/>
      <c r="B787" s="64"/>
      <c r="C787" s="64"/>
      <c r="D787" s="64"/>
      <c r="E787" s="64"/>
      <c r="F787" s="70"/>
      <c r="G787" s="71"/>
      <c r="H787" s="72"/>
      <c r="I787" s="64"/>
      <c r="J787" s="64"/>
      <c r="K787" s="64"/>
      <c r="L787" s="64"/>
      <c r="M787" s="64"/>
      <c r="N787" s="64"/>
      <c r="O787" s="64"/>
      <c r="P787" s="64"/>
      <c r="Q787" s="64"/>
      <c r="R787" s="64"/>
      <c r="S787" s="64"/>
      <c r="T787" s="64"/>
      <c r="U787" s="64"/>
      <c r="V787" s="64"/>
      <c r="W787" s="64"/>
      <c r="X787" s="64"/>
      <c r="Y787" s="64"/>
      <c r="Z787" s="64"/>
      <c r="AA787" s="64"/>
      <c r="AB787" s="64"/>
      <c r="AC787" s="64"/>
      <c r="AD787" s="64"/>
      <c r="AE787" s="64"/>
      <c r="AF787" s="64"/>
      <c r="AG787" s="64"/>
    </row>
    <row r="788" spans="1:33">
      <c r="A788" s="64"/>
      <c r="B788" s="64"/>
      <c r="C788" s="64"/>
      <c r="D788" s="64"/>
      <c r="E788" s="64"/>
      <c r="F788" s="70"/>
      <c r="G788" s="71"/>
      <c r="H788" s="72"/>
      <c r="I788" s="64"/>
      <c r="J788" s="64"/>
      <c r="K788" s="64"/>
      <c r="L788" s="64"/>
      <c r="M788" s="64"/>
      <c r="N788" s="64"/>
      <c r="O788" s="64"/>
      <c r="P788" s="64"/>
      <c r="Q788" s="64"/>
      <c r="R788" s="64"/>
      <c r="S788" s="64"/>
      <c r="T788" s="64"/>
      <c r="U788" s="64"/>
      <c r="V788" s="64"/>
      <c r="W788" s="64"/>
      <c r="X788" s="64"/>
      <c r="Y788" s="64"/>
      <c r="Z788" s="64"/>
      <c r="AA788" s="64"/>
      <c r="AB788" s="64"/>
      <c r="AC788" s="64"/>
      <c r="AD788" s="64"/>
      <c r="AE788" s="64"/>
      <c r="AF788" s="64"/>
      <c r="AG788" s="64"/>
    </row>
    <row r="789" spans="1:33">
      <c r="A789" s="64"/>
      <c r="B789" s="64"/>
      <c r="C789" s="64"/>
      <c r="D789" s="64"/>
      <c r="E789" s="64"/>
      <c r="F789" s="70"/>
      <c r="G789" s="71"/>
      <c r="H789" s="72"/>
      <c r="I789" s="64"/>
      <c r="J789" s="64"/>
      <c r="K789" s="64"/>
      <c r="L789" s="64"/>
      <c r="M789" s="64"/>
      <c r="N789" s="64"/>
      <c r="O789" s="64"/>
      <c r="P789" s="64"/>
      <c r="Q789" s="64"/>
      <c r="R789" s="64"/>
      <c r="S789" s="64"/>
      <c r="T789" s="64"/>
      <c r="U789" s="64"/>
      <c r="V789" s="64"/>
      <c r="W789" s="64"/>
      <c r="X789" s="64"/>
      <c r="Y789" s="64"/>
      <c r="Z789" s="64"/>
      <c r="AA789" s="64"/>
      <c r="AB789" s="64"/>
      <c r="AC789" s="64"/>
      <c r="AD789" s="64"/>
      <c r="AE789" s="64"/>
      <c r="AF789" s="64"/>
      <c r="AG789" s="64"/>
    </row>
    <row r="790" spans="1:33">
      <c r="A790" s="64"/>
      <c r="B790" s="64"/>
      <c r="C790" s="64"/>
      <c r="D790" s="64"/>
      <c r="E790" s="64"/>
      <c r="F790" s="70"/>
      <c r="G790" s="71"/>
      <c r="H790" s="72"/>
      <c r="I790" s="64"/>
      <c r="J790" s="64"/>
      <c r="K790" s="64"/>
      <c r="L790" s="64"/>
      <c r="M790" s="64"/>
      <c r="N790" s="64"/>
      <c r="O790" s="64"/>
      <c r="P790" s="64"/>
      <c r="Q790" s="64"/>
      <c r="R790" s="64"/>
      <c r="S790" s="64"/>
      <c r="T790" s="64"/>
      <c r="U790" s="64"/>
      <c r="V790" s="64"/>
      <c r="W790" s="64"/>
      <c r="X790" s="64"/>
      <c r="Y790" s="64"/>
      <c r="Z790" s="64"/>
      <c r="AA790" s="64"/>
      <c r="AB790" s="64"/>
      <c r="AC790" s="64"/>
      <c r="AD790" s="64"/>
      <c r="AE790" s="64"/>
      <c r="AF790" s="64"/>
      <c r="AG790" s="64"/>
    </row>
    <row r="791" spans="1:33">
      <c r="A791" s="64"/>
      <c r="B791" s="64"/>
      <c r="C791" s="64"/>
      <c r="D791" s="64"/>
      <c r="E791" s="64"/>
      <c r="F791" s="70"/>
      <c r="G791" s="71"/>
      <c r="H791" s="72"/>
      <c r="I791" s="64"/>
      <c r="J791" s="64"/>
      <c r="K791" s="64"/>
      <c r="L791" s="64"/>
      <c r="M791" s="64"/>
      <c r="N791" s="64"/>
      <c r="O791" s="64"/>
      <c r="P791" s="64"/>
      <c r="Q791" s="64"/>
      <c r="R791" s="64"/>
      <c r="S791" s="64"/>
      <c r="T791" s="64"/>
      <c r="U791" s="64"/>
      <c r="V791" s="64"/>
      <c r="W791" s="64"/>
      <c r="X791" s="64"/>
      <c r="Y791" s="64"/>
      <c r="Z791" s="64"/>
      <c r="AA791" s="64"/>
      <c r="AB791" s="64"/>
      <c r="AC791" s="64"/>
      <c r="AD791" s="64"/>
      <c r="AE791" s="64"/>
      <c r="AF791" s="64"/>
      <c r="AG791" s="64"/>
    </row>
    <row r="792" spans="1:33">
      <c r="A792" s="64"/>
      <c r="B792" s="64"/>
      <c r="C792" s="64"/>
      <c r="D792" s="64"/>
      <c r="E792" s="64"/>
      <c r="F792" s="70"/>
      <c r="G792" s="71"/>
      <c r="H792" s="72"/>
      <c r="I792" s="64"/>
      <c r="J792" s="64"/>
      <c r="K792" s="64"/>
      <c r="L792" s="64"/>
      <c r="M792" s="64"/>
      <c r="N792" s="64"/>
      <c r="O792" s="64"/>
      <c r="P792" s="64"/>
      <c r="Q792" s="64"/>
      <c r="R792" s="64"/>
      <c r="S792" s="64"/>
      <c r="T792" s="64"/>
      <c r="U792" s="64"/>
      <c r="V792" s="64"/>
      <c r="W792" s="64"/>
      <c r="X792" s="64"/>
      <c r="Y792" s="64"/>
      <c r="Z792" s="64"/>
      <c r="AA792" s="64"/>
      <c r="AB792" s="64"/>
      <c r="AC792" s="64"/>
      <c r="AD792" s="64"/>
      <c r="AE792" s="64"/>
      <c r="AF792" s="64"/>
      <c r="AG792" s="64"/>
    </row>
    <row r="793" spans="1:33">
      <c r="A793" s="64"/>
      <c r="B793" s="64"/>
      <c r="C793" s="64"/>
      <c r="D793" s="64"/>
      <c r="E793" s="64"/>
      <c r="F793" s="70"/>
      <c r="G793" s="71"/>
      <c r="H793" s="72"/>
      <c r="I793" s="64"/>
      <c r="J793" s="64"/>
      <c r="K793" s="64"/>
      <c r="L793" s="64"/>
      <c r="M793" s="64"/>
      <c r="N793" s="64"/>
      <c r="O793" s="64"/>
      <c r="P793" s="64"/>
      <c r="Q793" s="64"/>
      <c r="R793" s="64"/>
      <c r="S793" s="64"/>
      <c r="T793" s="64"/>
      <c r="U793" s="64"/>
      <c r="V793" s="64"/>
      <c r="W793" s="64"/>
      <c r="X793" s="64"/>
      <c r="Y793" s="64"/>
      <c r="Z793" s="64"/>
      <c r="AA793" s="64"/>
      <c r="AB793" s="64"/>
      <c r="AC793" s="64"/>
      <c r="AD793" s="64"/>
      <c r="AE793" s="64"/>
      <c r="AF793" s="64"/>
      <c r="AG793" s="64"/>
    </row>
    <row r="794" spans="1:33">
      <c r="A794" s="64"/>
      <c r="B794" s="64"/>
      <c r="C794" s="64"/>
      <c r="D794" s="64"/>
      <c r="E794" s="64"/>
      <c r="F794" s="70"/>
      <c r="G794" s="71"/>
      <c r="H794" s="72"/>
      <c r="I794" s="64"/>
      <c r="J794" s="64"/>
      <c r="K794" s="64"/>
      <c r="L794" s="64"/>
      <c r="M794" s="64"/>
      <c r="N794" s="64"/>
      <c r="O794" s="64"/>
      <c r="P794" s="64"/>
      <c r="Q794" s="64"/>
      <c r="R794" s="64"/>
      <c r="S794" s="64"/>
      <c r="T794" s="64"/>
      <c r="U794" s="64"/>
      <c r="V794" s="64"/>
      <c r="W794" s="64"/>
      <c r="X794" s="64"/>
      <c r="Y794" s="64"/>
      <c r="Z794" s="64"/>
      <c r="AA794" s="64"/>
      <c r="AB794" s="64"/>
      <c r="AC794" s="64"/>
      <c r="AD794" s="64"/>
      <c r="AE794" s="64"/>
      <c r="AF794" s="64"/>
      <c r="AG794" s="64"/>
    </row>
    <row r="795" spans="1:33">
      <c r="A795" s="64"/>
      <c r="B795" s="64"/>
      <c r="C795" s="64"/>
      <c r="D795" s="64"/>
      <c r="E795" s="64"/>
      <c r="F795" s="70"/>
      <c r="G795" s="71"/>
      <c r="H795" s="72"/>
      <c r="I795" s="64"/>
      <c r="J795" s="64"/>
      <c r="K795" s="64"/>
      <c r="L795" s="64"/>
      <c r="M795" s="64"/>
      <c r="N795" s="64"/>
      <c r="O795" s="64"/>
      <c r="P795" s="64"/>
      <c r="Q795" s="64"/>
      <c r="R795" s="64"/>
      <c r="S795" s="64"/>
      <c r="T795" s="64"/>
      <c r="U795" s="64"/>
      <c r="V795" s="64"/>
      <c r="W795" s="64"/>
      <c r="X795" s="64"/>
      <c r="Y795" s="64"/>
      <c r="Z795" s="64"/>
      <c r="AA795" s="64"/>
      <c r="AB795" s="64"/>
      <c r="AC795" s="64"/>
      <c r="AD795" s="64"/>
      <c r="AE795" s="64"/>
      <c r="AF795" s="64"/>
      <c r="AG795" s="64"/>
    </row>
    <row r="796" spans="1:33">
      <c r="A796" s="64"/>
      <c r="B796" s="64"/>
      <c r="C796" s="64"/>
      <c r="D796" s="64"/>
      <c r="E796" s="64"/>
      <c r="F796" s="70"/>
      <c r="G796" s="71"/>
      <c r="H796" s="72"/>
      <c r="I796" s="64"/>
      <c r="J796" s="64"/>
      <c r="K796" s="64"/>
      <c r="L796" s="64"/>
      <c r="M796" s="64"/>
      <c r="N796" s="64"/>
      <c r="O796" s="64"/>
      <c r="P796" s="64"/>
      <c r="Q796" s="64"/>
      <c r="R796" s="64"/>
      <c r="S796" s="64"/>
      <c r="T796" s="64"/>
      <c r="U796" s="64"/>
      <c r="V796" s="64"/>
      <c r="W796" s="64"/>
      <c r="X796" s="64"/>
      <c r="Y796" s="64"/>
      <c r="Z796" s="64"/>
      <c r="AA796" s="64"/>
      <c r="AB796" s="64"/>
      <c r="AC796" s="64"/>
      <c r="AD796" s="64"/>
      <c r="AE796" s="64"/>
      <c r="AF796" s="64"/>
      <c r="AG796" s="64"/>
    </row>
    <row r="797" spans="1:33">
      <c r="A797" s="64"/>
      <c r="B797" s="64"/>
      <c r="C797" s="64"/>
      <c r="D797" s="64"/>
      <c r="E797" s="64"/>
      <c r="F797" s="70"/>
      <c r="G797" s="71"/>
      <c r="H797" s="72"/>
      <c r="I797" s="64"/>
      <c r="J797" s="64"/>
      <c r="K797" s="64"/>
      <c r="L797" s="64"/>
      <c r="M797" s="64"/>
      <c r="N797" s="64"/>
      <c r="O797" s="64"/>
      <c r="P797" s="64"/>
      <c r="Q797" s="64"/>
      <c r="R797" s="64"/>
      <c r="S797" s="64"/>
      <c r="T797" s="64"/>
      <c r="U797" s="64"/>
      <c r="V797" s="64"/>
      <c r="W797" s="64"/>
      <c r="X797" s="64"/>
      <c r="Y797" s="64"/>
      <c r="Z797" s="64"/>
      <c r="AA797" s="64"/>
      <c r="AB797" s="64"/>
      <c r="AC797" s="64"/>
      <c r="AD797" s="64"/>
      <c r="AE797" s="64"/>
      <c r="AF797" s="64"/>
      <c r="AG797" s="64"/>
    </row>
    <row r="798" spans="1:33">
      <c r="A798" s="64"/>
      <c r="B798" s="64"/>
      <c r="C798" s="64"/>
      <c r="D798" s="64"/>
      <c r="E798" s="64"/>
      <c r="F798" s="70"/>
      <c r="G798" s="71"/>
      <c r="H798" s="72"/>
      <c r="I798" s="64"/>
      <c r="J798" s="64"/>
      <c r="K798" s="64"/>
      <c r="L798" s="64"/>
      <c r="M798" s="64"/>
      <c r="N798" s="64"/>
      <c r="O798" s="64"/>
      <c r="P798" s="64"/>
      <c r="Q798" s="64"/>
      <c r="R798" s="64"/>
      <c r="S798" s="64"/>
      <c r="T798" s="64"/>
      <c r="U798" s="64"/>
      <c r="V798" s="64"/>
      <c r="W798" s="64"/>
      <c r="X798" s="64"/>
      <c r="Y798" s="64"/>
      <c r="Z798" s="64"/>
      <c r="AA798" s="64"/>
      <c r="AB798" s="64"/>
      <c r="AC798" s="64"/>
      <c r="AD798" s="64"/>
      <c r="AE798" s="64"/>
      <c r="AF798" s="64"/>
      <c r="AG798" s="64"/>
    </row>
    <row r="799" spans="1:33">
      <c r="A799" s="64"/>
      <c r="B799" s="64"/>
      <c r="C799" s="64"/>
      <c r="D799" s="64"/>
      <c r="E799" s="64"/>
      <c r="F799" s="70"/>
      <c r="G799" s="71"/>
      <c r="H799" s="72"/>
      <c r="I799" s="64"/>
      <c r="J799" s="64"/>
      <c r="K799" s="64"/>
      <c r="L799" s="64"/>
      <c r="M799" s="64"/>
      <c r="N799" s="64"/>
      <c r="O799" s="64"/>
      <c r="P799" s="64"/>
      <c r="Q799" s="64"/>
      <c r="R799" s="64"/>
      <c r="S799" s="64"/>
      <c r="T799" s="64"/>
      <c r="U799" s="64"/>
      <c r="V799" s="64"/>
      <c r="W799" s="64"/>
      <c r="X799" s="64"/>
      <c r="Y799" s="64"/>
      <c r="Z799" s="64"/>
      <c r="AA799" s="64"/>
      <c r="AB799" s="64"/>
      <c r="AC799" s="64"/>
      <c r="AD799" s="64"/>
      <c r="AE799" s="64"/>
      <c r="AF799" s="64"/>
      <c r="AG799" s="64"/>
    </row>
    <row r="800" spans="1:33">
      <c r="A800" s="64"/>
      <c r="B800" s="64"/>
      <c r="C800" s="64"/>
      <c r="D800" s="64"/>
      <c r="E800" s="64"/>
      <c r="F800" s="70"/>
      <c r="G800" s="71"/>
      <c r="H800" s="72"/>
      <c r="I800" s="64"/>
      <c r="J800" s="64"/>
      <c r="K800" s="64"/>
      <c r="L800" s="64"/>
      <c r="M800" s="64"/>
      <c r="N800" s="64"/>
      <c r="O800" s="64"/>
      <c r="P800" s="64"/>
      <c r="Q800" s="64"/>
      <c r="R800" s="64"/>
      <c r="S800" s="64"/>
      <c r="T800" s="64"/>
      <c r="U800" s="64"/>
      <c r="V800" s="64"/>
      <c r="W800" s="64"/>
      <c r="X800" s="64"/>
      <c r="Y800" s="64"/>
      <c r="Z800" s="64"/>
      <c r="AA800" s="64"/>
      <c r="AB800" s="64"/>
      <c r="AC800" s="64"/>
      <c r="AD800" s="64"/>
      <c r="AE800" s="64"/>
      <c r="AF800" s="64"/>
      <c r="AG800" s="64"/>
    </row>
    <row r="801" spans="1:33">
      <c r="A801" s="64"/>
      <c r="B801" s="64"/>
      <c r="C801" s="64"/>
      <c r="D801" s="64"/>
      <c r="E801" s="64"/>
      <c r="F801" s="70"/>
      <c r="G801" s="71"/>
      <c r="H801" s="72"/>
      <c r="I801" s="64"/>
      <c r="J801" s="64"/>
      <c r="K801" s="64"/>
      <c r="L801" s="64"/>
      <c r="M801" s="64"/>
      <c r="N801" s="64"/>
      <c r="O801" s="64"/>
      <c r="P801" s="64"/>
      <c r="Q801" s="64"/>
      <c r="R801" s="64"/>
      <c r="S801" s="64"/>
      <c r="T801" s="64"/>
      <c r="U801" s="64"/>
      <c r="V801" s="64"/>
      <c r="W801" s="64"/>
      <c r="X801" s="64"/>
      <c r="Y801" s="64"/>
      <c r="Z801" s="64"/>
      <c r="AA801" s="64"/>
      <c r="AB801" s="64"/>
      <c r="AC801" s="64"/>
      <c r="AD801" s="64"/>
      <c r="AE801" s="64"/>
      <c r="AF801" s="64"/>
      <c r="AG801" s="64"/>
    </row>
    <row r="802" spans="1:33">
      <c r="A802" s="64"/>
      <c r="B802" s="64"/>
      <c r="C802" s="64"/>
      <c r="D802" s="64"/>
      <c r="E802" s="64"/>
      <c r="F802" s="70"/>
      <c r="G802" s="71"/>
      <c r="H802" s="72"/>
      <c r="I802" s="64"/>
      <c r="J802" s="64"/>
      <c r="K802" s="64"/>
      <c r="L802" s="64"/>
      <c r="M802" s="64"/>
      <c r="N802" s="64"/>
      <c r="O802" s="64"/>
      <c r="P802" s="64"/>
      <c r="Q802" s="64"/>
      <c r="R802" s="64"/>
      <c r="S802" s="64"/>
      <c r="T802" s="64"/>
      <c r="U802" s="64"/>
      <c r="V802" s="64"/>
      <c r="W802" s="64"/>
      <c r="X802" s="64"/>
      <c r="Y802" s="64"/>
      <c r="Z802" s="64"/>
      <c r="AA802" s="64"/>
      <c r="AB802" s="64"/>
      <c r="AC802" s="64"/>
      <c r="AD802" s="64"/>
      <c r="AE802" s="64"/>
      <c r="AF802" s="64"/>
      <c r="AG802" s="64"/>
    </row>
    <row r="803" spans="1:33">
      <c r="A803" s="64"/>
      <c r="B803" s="64"/>
      <c r="C803" s="64"/>
      <c r="D803" s="64"/>
      <c r="E803" s="64"/>
      <c r="F803" s="70"/>
      <c r="G803" s="71"/>
      <c r="H803" s="72"/>
      <c r="I803" s="64"/>
      <c r="J803" s="64"/>
      <c r="K803" s="64"/>
      <c r="L803" s="64"/>
      <c r="M803" s="64"/>
      <c r="N803" s="64"/>
      <c r="O803" s="64"/>
      <c r="P803" s="64"/>
      <c r="Q803" s="64"/>
      <c r="R803" s="64"/>
      <c r="S803" s="64"/>
      <c r="T803" s="64"/>
      <c r="U803" s="64"/>
      <c r="V803" s="64"/>
      <c r="W803" s="64"/>
      <c r="X803" s="64"/>
      <c r="Y803" s="64"/>
      <c r="Z803" s="64"/>
      <c r="AA803" s="64"/>
      <c r="AB803" s="64"/>
      <c r="AC803" s="64"/>
      <c r="AD803" s="64"/>
      <c r="AE803" s="64"/>
      <c r="AF803" s="64"/>
      <c r="AG803" s="64"/>
    </row>
    <row r="804" spans="1:33">
      <c r="A804" s="64"/>
      <c r="B804" s="64"/>
      <c r="C804" s="64"/>
      <c r="D804" s="64"/>
      <c r="E804" s="64"/>
      <c r="F804" s="70"/>
      <c r="G804" s="71"/>
      <c r="H804" s="72"/>
      <c r="I804" s="64"/>
      <c r="J804" s="64"/>
      <c r="K804" s="64"/>
      <c r="L804" s="64"/>
      <c r="M804" s="64"/>
      <c r="N804" s="64"/>
      <c r="O804" s="64"/>
      <c r="P804" s="64"/>
      <c r="Q804" s="64"/>
      <c r="R804" s="64"/>
      <c r="S804" s="64"/>
      <c r="T804" s="64"/>
      <c r="U804" s="64"/>
      <c r="V804" s="64"/>
      <c r="W804" s="64"/>
      <c r="X804" s="64"/>
      <c r="Y804" s="64"/>
      <c r="Z804" s="64"/>
      <c r="AA804" s="64"/>
      <c r="AB804" s="64"/>
      <c r="AC804" s="64"/>
      <c r="AD804" s="64"/>
      <c r="AE804" s="64"/>
      <c r="AF804" s="64"/>
      <c r="AG804" s="64"/>
    </row>
    <row r="805" spans="1:33">
      <c r="A805" s="64"/>
      <c r="B805" s="64"/>
      <c r="C805" s="64"/>
      <c r="D805" s="64"/>
      <c r="E805" s="64"/>
      <c r="F805" s="70"/>
      <c r="G805" s="71"/>
      <c r="H805" s="72"/>
      <c r="I805" s="64"/>
      <c r="J805" s="64"/>
      <c r="K805" s="64"/>
      <c r="L805" s="64"/>
      <c r="M805" s="64"/>
      <c r="N805" s="64"/>
      <c r="O805" s="64"/>
      <c r="P805" s="64"/>
      <c r="Q805" s="64"/>
      <c r="R805" s="64"/>
      <c r="S805" s="64"/>
      <c r="T805" s="64"/>
      <c r="U805" s="64"/>
      <c r="V805" s="64"/>
      <c r="W805" s="64"/>
      <c r="X805" s="64"/>
      <c r="Y805" s="64"/>
      <c r="Z805" s="64"/>
      <c r="AA805" s="64"/>
      <c r="AB805" s="64"/>
      <c r="AC805" s="64"/>
      <c r="AD805" s="64"/>
      <c r="AE805" s="64"/>
      <c r="AF805" s="64"/>
      <c r="AG805" s="64"/>
    </row>
    <row r="806" spans="1:33">
      <c r="A806" s="64"/>
      <c r="B806" s="64"/>
      <c r="C806" s="64"/>
      <c r="D806" s="64"/>
      <c r="E806" s="64"/>
      <c r="F806" s="70"/>
      <c r="G806" s="71"/>
      <c r="H806" s="72"/>
      <c r="I806" s="64"/>
      <c r="J806" s="64"/>
      <c r="K806" s="64"/>
      <c r="L806" s="64"/>
      <c r="M806" s="64"/>
      <c r="N806" s="64"/>
      <c r="O806" s="64"/>
      <c r="P806" s="64"/>
      <c r="Q806" s="64"/>
      <c r="R806" s="64"/>
      <c r="S806" s="64"/>
      <c r="T806" s="64"/>
      <c r="U806" s="64"/>
      <c r="V806" s="64"/>
      <c r="W806" s="64"/>
      <c r="X806" s="64"/>
      <c r="Y806" s="64"/>
      <c r="Z806" s="64"/>
      <c r="AA806" s="64"/>
      <c r="AB806" s="64"/>
      <c r="AC806" s="64"/>
      <c r="AD806" s="64"/>
      <c r="AE806" s="64"/>
      <c r="AF806" s="64"/>
      <c r="AG806" s="64"/>
    </row>
    <row r="807" spans="1:33">
      <c r="A807" s="64"/>
      <c r="B807" s="64"/>
      <c r="C807" s="64"/>
      <c r="D807" s="64"/>
      <c r="E807" s="64"/>
      <c r="F807" s="70"/>
      <c r="G807" s="71"/>
      <c r="H807" s="72"/>
      <c r="I807" s="64"/>
      <c r="J807" s="64"/>
      <c r="K807" s="64"/>
      <c r="L807" s="64"/>
      <c r="M807" s="64"/>
      <c r="N807" s="64"/>
      <c r="O807" s="64"/>
      <c r="P807" s="64"/>
      <c r="Q807" s="64"/>
      <c r="R807" s="64"/>
      <c r="S807" s="64"/>
      <c r="T807" s="64"/>
      <c r="U807" s="64"/>
      <c r="V807" s="64"/>
      <c r="W807" s="64"/>
      <c r="X807" s="64"/>
      <c r="Y807" s="64"/>
      <c r="Z807" s="64"/>
      <c r="AA807" s="64"/>
      <c r="AB807" s="64"/>
      <c r="AC807" s="64"/>
      <c r="AD807" s="64"/>
      <c r="AE807" s="64"/>
      <c r="AF807" s="64"/>
      <c r="AG807" s="64"/>
    </row>
    <row r="808" spans="1:33">
      <c r="A808" s="64"/>
      <c r="B808" s="64"/>
      <c r="C808" s="64"/>
      <c r="D808" s="64"/>
      <c r="E808" s="64"/>
      <c r="F808" s="70"/>
      <c r="G808" s="71"/>
      <c r="H808" s="72"/>
      <c r="I808" s="64"/>
      <c r="J808" s="64"/>
      <c r="K808" s="64"/>
      <c r="L808" s="64"/>
      <c r="M808" s="64"/>
      <c r="N808" s="64"/>
      <c r="O808" s="64"/>
      <c r="P808" s="64"/>
      <c r="Q808" s="64"/>
      <c r="R808" s="64"/>
      <c r="S808" s="64"/>
      <c r="T808" s="64"/>
      <c r="U808" s="64"/>
      <c r="V808" s="64"/>
      <c r="W808" s="64"/>
      <c r="X808" s="64"/>
      <c r="Y808" s="64"/>
      <c r="Z808" s="64"/>
      <c r="AA808" s="64"/>
      <c r="AB808" s="64"/>
      <c r="AC808" s="64"/>
      <c r="AD808" s="64"/>
      <c r="AE808" s="64"/>
      <c r="AF808" s="64"/>
      <c r="AG808" s="64"/>
    </row>
    <row r="809" spans="1:33">
      <c r="A809" s="64"/>
      <c r="B809" s="64"/>
      <c r="C809" s="64"/>
      <c r="D809" s="64"/>
      <c r="E809" s="64"/>
      <c r="F809" s="70"/>
      <c r="G809" s="71"/>
      <c r="H809" s="72"/>
      <c r="I809" s="64"/>
      <c r="J809" s="64"/>
      <c r="K809" s="64"/>
      <c r="L809" s="64"/>
      <c r="M809" s="64"/>
      <c r="N809" s="64"/>
      <c r="O809" s="64"/>
      <c r="P809" s="64"/>
      <c r="Q809" s="64"/>
      <c r="R809" s="64"/>
      <c r="S809" s="64"/>
      <c r="T809" s="64"/>
      <c r="U809" s="64"/>
      <c r="V809" s="64"/>
      <c r="W809" s="64"/>
      <c r="X809" s="64"/>
      <c r="Y809" s="64"/>
      <c r="Z809" s="64"/>
      <c r="AA809" s="64"/>
      <c r="AB809" s="64"/>
      <c r="AC809" s="64"/>
      <c r="AD809" s="64"/>
      <c r="AE809" s="64"/>
      <c r="AF809" s="64"/>
      <c r="AG809" s="64"/>
    </row>
    <row r="810" spans="1:33">
      <c r="A810" s="64"/>
      <c r="B810" s="64"/>
      <c r="C810" s="64"/>
      <c r="D810" s="64"/>
      <c r="E810" s="64"/>
      <c r="F810" s="70"/>
      <c r="G810" s="71"/>
      <c r="H810" s="72"/>
      <c r="I810" s="64"/>
      <c r="J810" s="64"/>
      <c r="K810" s="64"/>
      <c r="L810" s="64"/>
      <c r="M810" s="64"/>
      <c r="N810" s="64"/>
      <c r="O810" s="64"/>
      <c r="P810" s="64"/>
      <c r="Q810" s="64"/>
      <c r="R810" s="64"/>
      <c r="S810" s="64"/>
      <c r="T810" s="64"/>
      <c r="U810" s="64"/>
      <c r="V810" s="64"/>
      <c r="W810" s="64"/>
      <c r="X810" s="64"/>
      <c r="Y810" s="64"/>
      <c r="Z810" s="64"/>
      <c r="AA810" s="64"/>
      <c r="AB810" s="64"/>
      <c r="AC810" s="64"/>
      <c r="AD810" s="64"/>
      <c r="AE810" s="64"/>
      <c r="AF810" s="64"/>
      <c r="AG810" s="64"/>
    </row>
    <row r="811" spans="1:33">
      <c r="A811" s="64"/>
      <c r="B811" s="64"/>
      <c r="C811" s="64"/>
      <c r="D811" s="64"/>
      <c r="E811" s="64"/>
      <c r="F811" s="70"/>
      <c r="G811" s="71"/>
      <c r="H811" s="72"/>
      <c r="I811" s="64"/>
      <c r="J811" s="64"/>
      <c r="K811" s="64"/>
      <c r="L811" s="64"/>
      <c r="M811" s="64"/>
      <c r="N811" s="64"/>
      <c r="O811" s="64"/>
      <c r="P811" s="64"/>
      <c r="Q811" s="64"/>
      <c r="R811" s="64"/>
      <c r="S811" s="64"/>
      <c r="T811" s="64"/>
      <c r="U811" s="64"/>
      <c r="V811" s="64"/>
      <c r="W811" s="64"/>
      <c r="X811" s="64"/>
      <c r="Y811" s="64"/>
      <c r="Z811" s="64"/>
      <c r="AA811" s="64"/>
      <c r="AB811" s="64"/>
      <c r="AC811" s="64"/>
      <c r="AD811" s="64"/>
      <c r="AE811" s="64"/>
      <c r="AF811" s="64"/>
      <c r="AG811" s="64"/>
    </row>
    <row r="812" spans="1:33">
      <c r="A812" s="64"/>
      <c r="B812" s="64"/>
      <c r="C812" s="64"/>
      <c r="D812" s="64"/>
      <c r="E812" s="64"/>
      <c r="F812" s="70"/>
      <c r="G812" s="71"/>
      <c r="H812" s="72"/>
      <c r="I812" s="64"/>
      <c r="J812" s="64"/>
      <c r="K812" s="64"/>
      <c r="L812" s="64"/>
      <c r="M812" s="64"/>
      <c r="N812" s="64"/>
      <c r="O812" s="64"/>
      <c r="P812" s="64"/>
      <c r="Q812" s="64"/>
      <c r="R812" s="64"/>
      <c r="S812" s="64"/>
      <c r="T812" s="64"/>
      <c r="U812" s="64"/>
      <c r="V812" s="64"/>
      <c r="W812" s="64"/>
      <c r="X812" s="64"/>
      <c r="Y812" s="64"/>
      <c r="Z812" s="64"/>
      <c r="AA812" s="64"/>
      <c r="AB812" s="64"/>
      <c r="AC812" s="64"/>
      <c r="AD812" s="64"/>
      <c r="AE812" s="64"/>
      <c r="AF812" s="64"/>
      <c r="AG812" s="64"/>
    </row>
    <row r="813" spans="1:33">
      <c r="A813" s="64"/>
      <c r="B813" s="64"/>
      <c r="C813" s="64"/>
      <c r="D813" s="64"/>
      <c r="E813" s="64"/>
      <c r="F813" s="70"/>
      <c r="G813" s="71"/>
      <c r="H813" s="72"/>
      <c r="I813" s="64"/>
      <c r="J813" s="64"/>
      <c r="K813" s="64"/>
      <c r="L813" s="64"/>
      <c r="M813" s="64"/>
      <c r="N813" s="64"/>
      <c r="O813" s="64"/>
      <c r="P813" s="64"/>
      <c r="Q813" s="64"/>
      <c r="R813" s="64"/>
      <c r="S813" s="64"/>
      <c r="T813" s="64"/>
      <c r="U813" s="64"/>
      <c r="V813" s="64"/>
      <c r="W813" s="64"/>
      <c r="X813" s="64"/>
      <c r="Y813" s="64"/>
      <c r="Z813" s="64"/>
      <c r="AA813" s="64"/>
      <c r="AB813" s="64"/>
      <c r="AC813" s="64"/>
      <c r="AD813" s="64"/>
      <c r="AE813" s="64"/>
      <c r="AF813" s="64"/>
      <c r="AG813" s="64"/>
    </row>
    <row r="814" spans="1:33">
      <c r="A814" s="64"/>
      <c r="B814" s="64"/>
      <c r="C814" s="64"/>
      <c r="D814" s="64"/>
      <c r="E814" s="64"/>
      <c r="F814" s="70"/>
      <c r="G814" s="71"/>
      <c r="H814" s="72"/>
      <c r="I814" s="64"/>
      <c r="J814" s="64"/>
      <c r="K814" s="64"/>
      <c r="L814" s="64"/>
      <c r="M814" s="64"/>
      <c r="N814" s="64"/>
      <c r="O814" s="64"/>
      <c r="P814" s="64"/>
      <c r="Q814" s="64"/>
      <c r="R814" s="64"/>
      <c r="S814" s="64"/>
      <c r="T814" s="64"/>
      <c r="U814" s="64"/>
      <c r="V814" s="64"/>
      <c r="W814" s="64"/>
      <c r="X814" s="64"/>
      <c r="Y814" s="64"/>
      <c r="Z814" s="64"/>
      <c r="AA814" s="64"/>
      <c r="AB814" s="64"/>
      <c r="AC814" s="64"/>
      <c r="AD814" s="64"/>
      <c r="AE814" s="64"/>
      <c r="AF814" s="64"/>
      <c r="AG814" s="64"/>
    </row>
    <row r="815" spans="1:33">
      <c r="A815" s="64"/>
      <c r="B815" s="64"/>
      <c r="C815" s="64"/>
      <c r="D815" s="64"/>
      <c r="E815" s="64"/>
      <c r="F815" s="70"/>
      <c r="G815" s="71"/>
      <c r="H815" s="72"/>
      <c r="I815" s="64"/>
      <c r="J815" s="64"/>
      <c r="K815" s="64"/>
      <c r="L815" s="64"/>
      <c r="M815" s="64"/>
      <c r="N815" s="64"/>
      <c r="O815" s="64"/>
      <c r="P815" s="64"/>
      <c r="Q815" s="64"/>
      <c r="R815" s="64"/>
      <c r="S815" s="64"/>
      <c r="T815" s="64"/>
      <c r="U815" s="64"/>
      <c r="V815" s="64"/>
      <c r="W815" s="64"/>
      <c r="X815" s="64"/>
      <c r="Y815" s="64"/>
      <c r="Z815" s="64"/>
      <c r="AA815" s="64"/>
      <c r="AB815" s="64"/>
      <c r="AC815" s="64"/>
      <c r="AD815" s="64"/>
      <c r="AE815" s="64"/>
      <c r="AF815" s="64"/>
      <c r="AG815" s="64"/>
    </row>
    <row r="816" spans="1:33">
      <c r="A816" s="64"/>
      <c r="B816" s="64"/>
      <c r="C816" s="64"/>
      <c r="D816" s="64"/>
      <c r="E816" s="64"/>
      <c r="F816" s="70"/>
      <c r="G816" s="71"/>
      <c r="H816" s="72"/>
      <c r="I816" s="64"/>
      <c r="J816" s="64"/>
      <c r="K816" s="64"/>
      <c r="L816" s="64"/>
      <c r="M816" s="64"/>
      <c r="N816" s="64"/>
      <c r="O816" s="64"/>
      <c r="P816" s="64"/>
      <c r="Q816" s="64"/>
      <c r="R816" s="64"/>
      <c r="S816" s="64"/>
      <c r="T816" s="64"/>
      <c r="U816" s="64"/>
      <c r="V816" s="64"/>
      <c r="W816" s="64"/>
      <c r="X816" s="64"/>
      <c r="Y816" s="64"/>
      <c r="Z816" s="64"/>
      <c r="AA816" s="64"/>
      <c r="AB816" s="64"/>
      <c r="AC816" s="64"/>
      <c r="AD816" s="64"/>
      <c r="AE816" s="64"/>
      <c r="AF816" s="64"/>
      <c r="AG816" s="64"/>
    </row>
    <row r="817" spans="1:33">
      <c r="A817" s="64"/>
      <c r="B817" s="64"/>
      <c r="C817" s="64"/>
      <c r="D817" s="64"/>
      <c r="E817" s="64"/>
      <c r="F817" s="70"/>
      <c r="G817" s="71"/>
      <c r="H817" s="72"/>
      <c r="I817" s="64"/>
      <c r="J817" s="64"/>
      <c r="K817" s="64"/>
      <c r="L817" s="64"/>
      <c r="M817" s="64"/>
      <c r="N817" s="64"/>
      <c r="O817" s="64"/>
      <c r="P817" s="64"/>
      <c r="Q817" s="64"/>
      <c r="R817" s="64"/>
      <c r="S817" s="64"/>
      <c r="T817" s="64"/>
      <c r="U817" s="64"/>
      <c r="V817" s="64"/>
      <c r="W817" s="64"/>
      <c r="X817" s="64"/>
      <c r="Y817" s="64"/>
      <c r="Z817" s="64"/>
      <c r="AA817" s="64"/>
      <c r="AB817" s="64"/>
      <c r="AC817" s="64"/>
      <c r="AD817" s="64"/>
      <c r="AE817" s="64"/>
      <c r="AF817" s="64"/>
      <c r="AG817" s="64"/>
    </row>
    <row r="818" spans="1:33">
      <c r="A818" s="64"/>
      <c r="B818" s="64"/>
      <c r="C818" s="64"/>
      <c r="D818" s="64"/>
      <c r="E818" s="64"/>
      <c r="F818" s="70"/>
      <c r="G818" s="71"/>
      <c r="H818" s="72"/>
      <c r="I818" s="64"/>
      <c r="J818" s="64"/>
      <c r="K818" s="64"/>
      <c r="L818" s="64"/>
      <c r="M818" s="64"/>
      <c r="N818" s="64"/>
      <c r="O818" s="64"/>
      <c r="P818" s="64"/>
      <c r="Q818" s="64"/>
      <c r="R818" s="64"/>
      <c r="S818" s="64"/>
      <c r="T818" s="64"/>
      <c r="U818" s="64"/>
      <c r="V818" s="64"/>
      <c r="W818" s="64"/>
      <c r="X818" s="64"/>
      <c r="Y818" s="64"/>
      <c r="Z818" s="64"/>
      <c r="AA818" s="64"/>
      <c r="AB818" s="64"/>
      <c r="AC818" s="64"/>
      <c r="AD818" s="64"/>
      <c r="AE818" s="64"/>
      <c r="AF818" s="64"/>
      <c r="AG818" s="64"/>
    </row>
    <row r="819" spans="1:33">
      <c r="A819" s="64"/>
      <c r="B819" s="64"/>
      <c r="C819" s="64"/>
      <c r="D819" s="64"/>
      <c r="E819" s="64"/>
      <c r="F819" s="70"/>
      <c r="G819" s="71"/>
      <c r="H819" s="72"/>
      <c r="I819" s="64"/>
      <c r="J819" s="64"/>
      <c r="K819" s="64"/>
      <c r="L819" s="64"/>
      <c r="M819" s="64"/>
      <c r="N819" s="64"/>
      <c r="O819" s="64"/>
      <c r="P819" s="64"/>
      <c r="Q819" s="64"/>
      <c r="R819" s="64"/>
      <c r="S819" s="64"/>
      <c r="T819" s="64"/>
      <c r="U819" s="64"/>
      <c r="V819" s="64"/>
      <c r="W819" s="64"/>
      <c r="X819" s="64"/>
      <c r="Y819" s="64"/>
      <c r="Z819" s="64"/>
      <c r="AA819" s="64"/>
      <c r="AB819" s="64"/>
      <c r="AC819" s="64"/>
      <c r="AD819" s="64"/>
      <c r="AE819" s="64"/>
      <c r="AF819" s="64"/>
      <c r="AG819" s="64"/>
    </row>
    <row r="820" spans="1:33">
      <c r="A820" s="64"/>
      <c r="B820" s="64"/>
      <c r="C820" s="64"/>
      <c r="D820" s="64"/>
      <c r="E820" s="64"/>
      <c r="F820" s="70"/>
      <c r="G820" s="71"/>
      <c r="H820" s="72"/>
      <c r="I820" s="64"/>
      <c r="J820" s="64"/>
      <c r="K820" s="64"/>
      <c r="L820" s="64"/>
      <c r="M820" s="64"/>
      <c r="N820" s="64"/>
      <c r="O820" s="64"/>
      <c r="P820" s="64"/>
      <c r="Q820" s="64"/>
      <c r="R820" s="64"/>
      <c r="S820" s="64"/>
      <c r="T820" s="64"/>
      <c r="U820" s="64"/>
      <c r="V820" s="64"/>
      <c r="W820" s="64"/>
      <c r="X820" s="64"/>
      <c r="Y820" s="64"/>
      <c r="Z820" s="64"/>
      <c r="AA820" s="64"/>
      <c r="AB820" s="64"/>
      <c r="AC820" s="64"/>
      <c r="AD820" s="64"/>
      <c r="AE820" s="64"/>
      <c r="AF820" s="64"/>
      <c r="AG820" s="64"/>
    </row>
    <row r="821" spans="1:33">
      <c r="A821" s="64"/>
      <c r="B821" s="64"/>
      <c r="C821" s="64"/>
      <c r="D821" s="64"/>
      <c r="E821" s="64"/>
      <c r="F821" s="70"/>
      <c r="G821" s="71"/>
      <c r="H821" s="72"/>
      <c r="I821" s="64"/>
      <c r="J821" s="64"/>
      <c r="K821" s="64"/>
      <c r="L821" s="64"/>
      <c r="M821" s="64"/>
      <c r="N821" s="64"/>
      <c r="O821" s="64"/>
      <c r="P821" s="64"/>
      <c r="Q821" s="64"/>
      <c r="R821" s="64"/>
      <c r="S821" s="64"/>
      <c r="T821" s="64"/>
      <c r="U821" s="64"/>
      <c r="V821" s="64"/>
      <c r="W821" s="64"/>
      <c r="X821" s="64"/>
      <c r="Y821" s="64"/>
      <c r="Z821" s="64"/>
      <c r="AA821" s="64"/>
      <c r="AB821" s="64"/>
      <c r="AC821" s="64"/>
      <c r="AD821" s="64"/>
      <c r="AE821" s="64"/>
      <c r="AF821" s="64"/>
      <c r="AG821" s="64"/>
    </row>
    <row r="822" spans="1:33">
      <c r="A822" s="64"/>
      <c r="B822" s="64"/>
      <c r="C822" s="64"/>
      <c r="D822" s="64"/>
      <c r="E822" s="64"/>
      <c r="F822" s="70"/>
      <c r="G822" s="71"/>
      <c r="H822" s="72"/>
      <c r="I822" s="64"/>
      <c r="J822" s="64"/>
      <c r="K822" s="64"/>
      <c r="L822" s="64"/>
      <c r="M822" s="64"/>
      <c r="N822" s="64"/>
      <c r="O822" s="64"/>
      <c r="P822" s="64"/>
      <c r="Q822" s="64"/>
      <c r="R822" s="64"/>
      <c r="S822" s="64"/>
      <c r="T822" s="64"/>
      <c r="U822" s="64"/>
      <c r="V822" s="64"/>
      <c r="W822" s="64"/>
      <c r="X822" s="64"/>
      <c r="Y822" s="64"/>
      <c r="Z822" s="64"/>
      <c r="AA822" s="64"/>
      <c r="AB822" s="64"/>
      <c r="AC822" s="64"/>
      <c r="AD822" s="64"/>
      <c r="AE822" s="64"/>
      <c r="AF822" s="64"/>
      <c r="AG822" s="64"/>
    </row>
    <row r="823" spans="1:33">
      <c r="A823" s="64"/>
      <c r="B823" s="64"/>
      <c r="C823" s="64"/>
      <c r="D823" s="64"/>
      <c r="E823" s="64"/>
      <c r="F823" s="70"/>
      <c r="G823" s="71"/>
      <c r="H823" s="72"/>
      <c r="I823" s="64"/>
      <c r="J823" s="64"/>
      <c r="K823" s="64"/>
      <c r="L823" s="64"/>
      <c r="M823" s="64"/>
      <c r="N823" s="64"/>
      <c r="O823" s="64"/>
      <c r="P823" s="64"/>
      <c r="Q823" s="64"/>
      <c r="R823" s="64"/>
      <c r="S823" s="64"/>
      <c r="T823" s="64"/>
      <c r="U823" s="64"/>
      <c r="V823" s="64"/>
      <c r="W823" s="64"/>
      <c r="X823" s="64"/>
      <c r="Y823" s="64"/>
      <c r="Z823" s="64"/>
      <c r="AA823" s="64"/>
      <c r="AB823" s="64"/>
      <c r="AC823" s="64"/>
      <c r="AD823" s="64"/>
      <c r="AE823" s="64"/>
      <c r="AF823" s="64"/>
      <c r="AG823" s="64"/>
    </row>
    <row r="824" spans="1:33">
      <c r="A824" s="64"/>
      <c r="B824" s="64"/>
      <c r="C824" s="64"/>
      <c r="D824" s="64"/>
      <c r="E824" s="64"/>
      <c r="F824" s="70"/>
      <c r="G824" s="71"/>
      <c r="H824" s="72"/>
      <c r="I824" s="64"/>
      <c r="J824" s="64"/>
      <c r="K824" s="64"/>
      <c r="L824" s="64"/>
      <c r="M824" s="64"/>
      <c r="N824" s="64"/>
      <c r="O824" s="64"/>
      <c r="P824" s="64"/>
      <c r="Q824" s="64"/>
      <c r="R824" s="64"/>
      <c r="S824" s="64"/>
      <c r="T824" s="64"/>
      <c r="U824" s="64"/>
      <c r="V824" s="64"/>
      <c r="W824" s="64"/>
      <c r="X824" s="64"/>
      <c r="Y824" s="64"/>
      <c r="Z824" s="64"/>
      <c r="AA824" s="64"/>
      <c r="AB824" s="64"/>
      <c r="AC824" s="64"/>
      <c r="AD824" s="64"/>
      <c r="AE824" s="64"/>
      <c r="AF824" s="64"/>
      <c r="AG824" s="64"/>
    </row>
    <row r="825" spans="1:33">
      <c r="A825" s="64"/>
      <c r="B825" s="64"/>
      <c r="C825" s="64"/>
      <c r="D825" s="64"/>
      <c r="E825" s="64"/>
      <c r="F825" s="70"/>
      <c r="G825" s="71"/>
      <c r="H825" s="72"/>
      <c r="I825" s="64"/>
      <c r="J825" s="64"/>
      <c r="K825" s="64"/>
      <c r="L825" s="64"/>
      <c r="M825" s="64"/>
      <c r="N825" s="64"/>
      <c r="O825" s="64"/>
      <c r="P825" s="64"/>
      <c r="Q825" s="64"/>
      <c r="R825" s="64"/>
      <c r="S825" s="64"/>
      <c r="T825" s="64"/>
      <c r="U825" s="64"/>
      <c r="V825" s="64"/>
      <c r="W825" s="64"/>
      <c r="X825" s="64"/>
      <c r="Y825" s="64"/>
      <c r="Z825" s="64"/>
      <c r="AA825" s="64"/>
      <c r="AB825" s="64"/>
      <c r="AC825" s="64"/>
      <c r="AD825" s="64"/>
      <c r="AE825" s="64"/>
      <c r="AF825" s="64"/>
      <c r="AG825" s="64"/>
    </row>
    <row r="826" spans="1:33">
      <c r="A826" s="64"/>
      <c r="B826" s="64"/>
      <c r="C826" s="64"/>
      <c r="D826" s="64"/>
      <c r="E826" s="64"/>
      <c r="F826" s="70"/>
      <c r="G826" s="71"/>
      <c r="H826" s="72"/>
      <c r="I826" s="64"/>
      <c r="J826" s="64"/>
      <c r="K826" s="64"/>
      <c r="L826" s="64"/>
      <c r="M826" s="64"/>
      <c r="N826" s="64"/>
      <c r="O826" s="64"/>
      <c r="P826" s="64"/>
      <c r="Q826" s="64"/>
      <c r="R826" s="64"/>
      <c r="S826" s="64"/>
      <c r="T826" s="64"/>
      <c r="U826" s="64"/>
      <c r="V826" s="64"/>
      <c r="W826" s="64"/>
      <c r="X826" s="64"/>
      <c r="Y826" s="64"/>
      <c r="Z826" s="64"/>
      <c r="AA826" s="64"/>
      <c r="AB826" s="64"/>
      <c r="AC826" s="64"/>
      <c r="AD826" s="64"/>
      <c r="AE826" s="64"/>
      <c r="AF826" s="64"/>
      <c r="AG826" s="64"/>
    </row>
    <row r="827" spans="1:33">
      <c r="A827" s="64"/>
      <c r="B827" s="64"/>
      <c r="C827" s="64"/>
      <c r="D827" s="64"/>
      <c r="E827" s="64"/>
      <c r="F827" s="70"/>
      <c r="G827" s="71"/>
      <c r="H827" s="72"/>
      <c r="I827" s="64"/>
      <c r="J827" s="64"/>
      <c r="K827" s="64"/>
      <c r="L827" s="64"/>
      <c r="M827" s="64"/>
      <c r="N827" s="64"/>
      <c r="O827" s="64"/>
      <c r="P827" s="64"/>
      <c r="Q827" s="64"/>
      <c r="R827" s="64"/>
      <c r="S827" s="64"/>
      <c r="T827" s="64"/>
      <c r="U827" s="64"/>
      <c r="V827" s="64"/>
      <c r="W827" s="64"/>
      <c r="X827" s="64"/>
      <c r="Y827" s="64"/>
      <c r="Z827" s="64"/>
      <c r="AA827" s="64"/>
      <c r="AB827" s="64"/>
      <c r="AC827" s="64"/>
      <c r="AD827" s="64"/>
      <c r="AE827" s="64"/>
      <c r="AF827" s="64"/>
      <c r="AG827" s="64"/>
    </row>
    <row r="828" spans="1:33">
      <c r="A828" s="64"/>
      <c r="B828" s="64"/>
      <c r="C828" s="64"/>
      <c r="D828" s="64"/>
      <c r="E828" s="64"/>
      <c r="F828" s="70"/>
      <c r="G828" s="71"/>
      <c r="H828" s="72"/>
      <c r="I828" s="64"/>
      <c r="J828" s="64"/>
      <c r="K828" s="64"/>
      <c r="L828" s="64"/>
      <c r="M828" s="64"/>
      <c r="N828" s="64"/>
      <c r="O828" s="64"/>
      <c r="P828" s="64"/>
      <c r="Q828" s="64"/>
      <c r="R828" s="64"/>
      <c r="S828" s="64"/>
      <c r="T828" s="64"/>
      <c r="U828" s="64"/>
      <c r="V828" s="64"/>
      <c r="W828" s="64"/>
      <c r="X828" s="64"/>
      <c r="Y828" s="64"/>
      <c r="Z828" s="64"/>
      <c r="AA828" s="64"/>
      <c r="AB828" s="64"/>
      <c r="AC828" s="64"/>
      <c r="AD828" s="64"/>
      <c r="AE828" s="64"/>
      <c r="AF828" s="64"/>
      <c r="AG828" s="64"/>
    </row>
    <row r="829" spans="1:33">
      <c r="A829" s="64"/>
      <c r="B829" s="64"/>
      <c r="C829" s="64"/>
      <c r="D829" s="64"/>
      <c r="E829" s="64"/>
      <c r="F829" s="70"/>
      <c r="G829" s="71"/>
      <c r="H829" s="72"/>
      <c r="I829" s="64"/>
      <c r="J829" s="64"/>
      <c r="K829" s="64"/>
      <c r="L829" s="64"/>
      <c r="M829" s="64"/>
      <c r="N829" s="64"/>
      <c r="O829" s="64"/>
      <c r="P829" s="64"/>
      <c r="Q829" s="64"/>
      <c r="R829" s="64"/>
      <c r="S829" s="64"/>
      <c r="T829" s="64"/>
      <c r="U829" s="64"/>
      <c r="V829" s="64"/>
      <c r="W829" s="64"/>
      <c r="X829" s="64"/>
      <c r="Y829" s="64"/>
      <c r="Z829" s="64"/>
      <c r="AA829" s="64"/>
      <c r="AB829" s="64"/>
      <c r="AC829" s="64"/>
      <c r="AD829" s="64"/>
      <c r="AE829" s="64"/>
      <c r="AF829" s="64"/>
      <c r="AG829" s="64"/>
    </row>
    <row r="830" spans="1:33">
      <c r="A830" s="64"/>
      <c r="B830" s="64"/>
      <c r="C830" s="64"/>
      <c r="D830" s="64"/>
      <c r="E830" s="64"/>
      <c r="F830" s="70"/>
      <c r="G830" s="71"/>
      <c r="H830" s="72"/>
      <c r="I830" s="64"/>
      <c r="J830" s="64"/>
      <c r="K830" s="64"/>
      <c r="L830" s="64"/>
      <c r="M830" s="64"/>
      <c r="N830" s="64"/>
      <c r="O830" s="64"/>
      <c r="P830" s="64"/>
      <c r="Q830" s="64"/>
      <c r="R830" s="64"/>
      <c r="S830" s="64"/>
      <c r="T830" s="64"/>
      <c r="U830" s="64"/>
      <c r="V830" s="64"/>
      <c r="W830" s="64"/>
      <c r="X830" s="64"/>
      <c r="Y830" s="64"/>
      <c r="Z830" s="64"/>
      <c r="AA830" s="64"/>
      <c r="AB830" s="64"/>
      <c r="AC830" s="64"/>
      <c r="AD830" s="64"/>
      <c r="AE830" s="64"/>
      <c r="AF830" s="64"/>
      <c r="AG830" s="64"/>
    </row>
    <row r="831" spans="1:33">
      <c r="A831" s="64"/>
      <c r="B831" s="64"/>
      <c r="C831" s="64"/>
      <c r="D831" s="64"/>
      <c r="E831" s="64"/>
      <c r="F831" s="70"/>
      <c r="G831" s="71"/>
      <c r="H831" s="72"/>
      <c r="I831" s="64"/>
      <c r="J831" s="64"/>
      <c r="K831" s="64"/>
      <c r="L831" s="64"/>
      <c r="M831" s="64"/>
      <c r="N831" s="64"/>
      <c r="O831" s="64"/>
      <c r="P831" s="64"/>
      <c r="Q831" s="64"/>
      <c r="R831" s="64"/>
      <c r="S831" s="64"/>
      <c r="T831" s="64"/>
      <c r="U831" s="64"/>
      <c r="V831" s="64"/>
      <c r="W831" s="64"/>
      <c r="X831" s="64"/>
      <c r="Y831" s="64"/>
      <c r="Z831" s="64"/>
      <c r="AA831" s="64"/>
      <c r="AB831" s="64"/>
      <c r="AC831" s="64"/>
      <c r="AD831" s="64"/>
      <c r="AE831" s="64"/>
      <c r="AF831" s="64"/>
      <c r="AG831" s="64"/>
    </row>
    <row r="832" spans="1:33">
      <c r="A832" s="64"/>
      <c r="B832" s="64"/>
      <c r="C832" s="64"/>
      <c r="D832" s="64"/>
      <c r="E832" s="64"/>
      <c r="F832" s="70"/>
      <c r="G832" s="71"/>
      <c r="H832" s="72"/>
      <c r="I832" s="64"/>
      <c r="J832" s="64"/>
      <c r="K832" s="64"/>
      <c r="L832" s="64"/>
      <c r="M832" s="64"/>
      <c r="N832" s="64"/>
      <c r="O832" s="64"/>
      <c r="P832" s="64"/>
      <c r="Q832" s="64"/>
      <c r="R832" s="64"/>
      <c r="S832" s="64"/>
      <c r="T832" s="64"/>
      <c r="U832" s="64"/>
      <c r="V832" s="64"/>
      <c r="W832" s="64"/>
      <c r="X832" s="64"/>
      <c r="Y832" s="64"/>
      <c r="Z832" s="64"/>
      <c r="AA832" s="64"/>
      <c r="AB832" s="64"/>
      <c r="AC832" s="64"/>
      <c r="AD832" s="64"/>
      <c r="AE832" s="64"/>
      <c r="AF832" s="64"/>
      <c r="AG832" s="64"/>
    </row>
    <row r="833" spans="1:33">
      <c r="A833" s="64"/>
      <c r="B833" s="64"/>
      <c r="C833" s="64"/>
      <c r="D833" s="64"/>
      <c r="E833" s="64"/>
      <c r="F833" s="70"/>
      <c r="G833" s="71"/>
      <c r="H833" s="72"/>
      <c r="I833" s="64"/>
      <c r="J833" s="64"/>
      <c r="K833" s="64"/>
      <c r="L833" s="64"/>
      <c r="M833" s="64"/>
      <c r="N833" s="64"/>
      <c r="O833" s="64"/>
      <c r="P833" s="64"/>
      <c r="Q833" s="64"/>
      <c r="R833" s="64"/>
      <c r="S833" s="64"/>
      <c r="T833" s="64"/>
      <c r="U833" s="64"/>
      <c r="V833" s="64"/>
      <c r="W833" s="64"/>
      <c r="X833" s="64"/>
      <c r="Y833" s="64"/>
      <c r="Z833" s="64"/>
      <c r="AA833" s="64"/>
      <c r="AB833" s="64"/>
      <c r="AC833" s="64"/>
      <c r="AD833" s="64"/>
      <c r="AE833" s="64"/>
      <c r="AF833" s="64"/>
      <c r="AG833" s="64"/>
    </row>
    <row r="834" spans="1:33">
      <c r="A834" s="64"/>
      <c r="B834" s="64"/>
      <c r="C834" s="64"/>
      <c r="D834" s="64"/>
      <c r="E834" s="64"/>
      <c r="F834" s="70"/>
      <c r="G834" s="71"/>
      <c r="H834" s="72"/>
      <c r="I834" s="64"/>
      <c r="J834" s="64"/>
      <c r="K834" s="64"/>
      <c r="L834" s="64"/>
      <c r="M834" s="64"/>
      <c r="N834" s="64"/>
      <c r="O834" s="64"/>
      <c r="P834" s="64"/>
      <c r="Q834" s="64"/>
      <c r="R834" s="64"/>
      <c r="S834" s="64"/>
      <c r="T834" s="64"/>
      <c r="U834" s="64"/>
      <c r="V834" s="64"/>
      <c r="W834" s="64"/>
      <c r="X834" s="64"/>
      <c r="Y834" s="64"/>
      <c r="Z834" s="64"/>
      <c r="AA834" s="64"/>
      <c r="AB834" s="64"/>
      <c r="AC834" s="64"/>
      <c r="AD834" s="64"/>
      <c r="AE834" s="64"/>
      <c r="AF834" s="64"/>
      <c r="AG834" s="64"/>
    </row>
    <row r="835" spans="1:33">
      <c r="A835" s="64"/>
      <c r="B835" s="64"/>
      <c r="C835" s="64"/>
      <c r="D835" s="64"/>
      <c r="E835" s="64"/>
      <c r="F835" s="70"/>
      <c r="G835" s="71"/>
      <c r="H835" s="72"/>
      <c r="I835" s="64"/>
      <c r="J835" s="64"/>
      <c r="K835" s="64"/>
      <c r="L835" s="64"/>
      <c r="M835" s="64"/>
      <c r="N835" s="64"/>
      <c r="O835" s="64"/>
      <c r="P835" s="64"/>
      <c r="Q835" s="64"/>
      <c r="R835" s="64"/>
      <c r="S835" s="64"/>
      <c r="T835" s="64"/>
      <c r="U835" s="64"/>
      <c r="V835" s="64"/>
      <c r="W835" s="64"/>
      <c r="X835" s="64"/>
      <c r="Y835" s="64"/>
      <c r="Z835" s="64"/>
      <c r="AA835" s="64"/>
      <c r="AB835" s="64"/>
      <c r="AC835" s="64"/>
      <c r="AD835" s="64"/>
      <c r="AE835" s="64"/>
      <c r="AF835" s="64"/>
      <c r="AG835" s="64"/>
    </row>
    <row r="836" spans="1:33">
      <c r="A836" s="64"/>
      <c r="B836" s="64"/>
      <c r="C836" s="64"/>
      <c r="D836" s="64"/>
      <c r="E836" s="64"/>
      <c r="F836" s="70"/>
      <c r="G836" s="71"/>
      <c r="H836" s="72"/>
      <c r="I836" s="64"/>
      <c r="J836" s="64"/>
      <c r="K836" s="64"/>
      <c r="L836" s="64"/>
      <c r="M836" s="64"/>
      <c r="N836" s="64"/>
      <c r="O836" s="64"/>
      <c r="P836" s="64"/>
      <c r="Q836" s="64"/>
      <c r="R836" s="64"/>
      <c r="S836" s="64"/>
      <c r="T836" s="64"/>
      <c r="U836" s="64"/>
      <c r="V836" s="64"/>
      <c r="W836" s="64"/>
      <c r="X836" s="64"/>
      <c r="Y836" s="64"/>
      <c r="Z836" s="64"/>
      <c r="AA836" s="64"/>
      <c r="AB836" s="64"/>
      <c r="AC836" s="64"/>
      <c r="AD836" s="64"/>
      <c r="AE836" s="64"/>
      <c r="AF836" s="64"/>
      <c r="AG836" s="64"/>
    </row>
    <row r="837" spans="1:33">
      <c r="A837" s="64"/>
      <c r="B837" s="64"/>
      <c r="C837" s="64"/>
      <c r="D837" s="64"/>
      <c r="E837" s="64"/>
      <c r="F837" s="70"/>
      <c r="G837" s="71"/>
      <c r="H837" s="72"/>
      <c r="I837" s="64"/>
      <c r="J837" s="64"/>
      <c r="K837" s="64"/>
      <c r="L837" s="64"/>
      <c r="M837" s="64"/>
      <c r="N837" s="64"/>
      <c r="O837" s="64"/>
      <c r="P837" s="64"/>
      <c r="Q837" s="64"/>
      <c r="R837" s="64"/>
      <c r="S837" s="64"/>
      <c r="T837" s="64"/>
      <c r="U837" s="64"/>
      <c r="V837" s="64"/>
      <c r="W837" s="64"/>
      <c r="X837" s="64"/>
      <c r="Y837" s="64"/>
      <c r="Z837" s="64"/>
      <c r="AA837" s="64"/>
      <c r="AB837" s="64"/>
      <c r="AC837" s="64"/>
      <c r="AD837" s="64"/>
      <c r="AE837" s="64"/>
      <c r="AF837" s="64"/>
      <c r="AG837" s="64"/>
    </row>
    <row r="838" spans="1:33">
      <c r="A838" s="64"/>
      <c r="B838" s="64"/>
      <c r="C838" s="64"/>
      <c r="D838" s="64"/>
      <c r="E838" s="64"/>
      <c r="F838" s="70"/>
      <c r="G838" s="71"/>
      <c r="H838" s="72"/>
      <c r="I838" s="64"/>
      <c r="J838" s="64"/>
      <c r="K838" s="64"/>
      <c r="L838" s="64"/>
      <c r="M838" s="64"/>
      <c r="N838" s="64"/>
      <c r="O838" s="64"/>
      <c r="P838" s="64"/>
      <c r="Q838" s="64"/>
      <c r="R838" s="64"/>
      <c r="S838" s="64"/>
      <c r="T838" s="64"/>
      <c r="U838" s="64"/>
      <c r="V838" s="64"/>
      <c r="W838" s="64"/>
      <c r="X838" s="64"/>
      <c r="Y838" s="64"/>
      <c r="Z838" s="64"/>
      <c r="AA838" s="64"/>
      <c r="AB838" s="64"/>
      <c r="AC838" s="64"/>
      <c r="AD838" s="64"/>
      <c r="AE838" s="64"/>
      <c r="AF838" s="64"/>
      <c r="AG838" s="64"/>
    </row>
    <row r="839" spans="1:33">
      <c r="A839" s="64"/>
      <c r="B839" s="64"/>
      <c r="C839" s="64"/>
      <c r="D839" s="64"/>
      <c r="E839" s="64"/>
      <c r="F839" s="70"/>
      <c r="G839" s="71"/>
      <c r="H839" s="72"/>
      <c r="I839" s="64"/>
      <c r="J839" s="64"/>
      <c r="K839" s="64"/>
      <c r="L839" s="64"/>
      <c r="M839" s="64"/>
      <c r="N839" s="64"/>
      <c r="O839" s="64"/>
      <c r="P839" s="64"/>
      <c r="Q839" s="64"/>
      <c r="R839" s="64"/>
      <c r="S839" s="64"/>
      <c r="T839" s="64"/>
      <c r="U839" s="64"/>
      <c r="V839" s="64"/>
      <c r="W839" s="64"/>
      <c r="X839" s="64"/>
      <c r="Y839" s="64"/>
      <c r="Z839" s="64"/>
      <c r="AA839" s="64"/>
      <c r="AB839" s="64"/>
      <c r="AC839" s="64"/>
      <c r="AD839" s="64"/>
      <c r="AE839" s="64"/>
      <c r="AF839" s="64"/>
      <c r="AG839" s="64"/>
    </row>
    <row r="840" spans="1:33">
      <c r="A840" s="64"/>
      <c r="B840" s="64"/>
      <c r="C840" s="64"/>
      <c r="D840" s="64"/>
      <c r="E840" s="64"/>
      <c r="F840" s="70"/>
      <c r="G840" s="71"/>
      <c r="H840" s="72"/>
      <c r="I840" s="64"/>
      <c r="J840" s="64"/>
      <c r="K840" s="64"/>
      <c r="L840" s="64"/>
      <c r="M840" s="64"/>
      <c r="N840" s="64"/>
      <c r="O840" s="64"/>
      <c r="P840" s="64"/>
      <c r="Q840" s="64"/>
      <c r="R840" s="64"/>
      <c r="S840" s="64"/>
      <c r="T840" s="64"/>
      <c r="U840" s="64"/>
      <c r="V840" s="64"/>
      <c r="W840" s="64"/>
      <c r="X840" s="64"/>
      <c r="Y840" s="64"/>
      <c r="Z840" s="64"/>
      <c r="AA840" s="64"/>
      <c r="AB840" s="64"/>
      <c r="AC840" s="64"/>
      <c r="AD840" s="64"/>
      <c r="AE840" s="64"/>
      <c r="AF840" s="64"/>
      <c r="AG840" s="64"/>
    </row>
    <row r="841" spans="1:33">
      <c r="A841" s="64"/>
      <c r="B841" s="64"/>
      <c r="C841" s="64"/>
      <c r="D841" s="64"/>
      <c r="E841" s="64"/>
      <c r="F841" s="70"/>
      <c r="G841" s="71"/>
      <c r="H841" s="72"/>
      <c r="I841" s="64"/>
      <c r="J841" s="64"/>
      <c r="K841" s="64"/>
      <c r="L841" s="64"/>
      <c r="M841" s="64"/>
      <c r="N841" s="64"/>
      <c r="O841" s="64"/>
      <c r="P841" s="64"/>
      <c r="Q841" s="64"/>
      <c r="R841" s="64"/>
      <c r="S841" s="64"/>
      <c r="T841" s="64"/>
      <c r="U841" s="64"/>
      <c r="V841" s="64"/>
      <c r="W841" s="64"/>
      <c r="X841" s="64"/>
      <c r="Y841" s="64"/>
      <c r="Z841" s="64"/>
      <c r="AA841" s="64"/>
      <c r="AB841" s="64"/>
      <c r="AC841" s="64"/>
      <c r="AD841" s="64"/>
      <c r="AE841" s="64"/>
      <c r="AF841" s="64"/>
      <c r="AG841" s="64"/>
    </row>
    <row r="842" spans="1:33">
      <c r="A842" s="64"/>
      <c r="B842" s="64"/>
      <c r="C842" s="64"/>
      <c r="D842" s="64"/>
      <c r="E842" s="64"/>
      <c r="F842" s="70"/>
      <c r="G842" s="71"/>
      <c r="H842" s="72"/>
      <c r="I842" s="64"/>
      <c r="J842" s="64"/>
      <c r="K842" s="64"/>
      <c r="L842" s="64"/>
      <c r="M842" s="64"/>
      <c r="N842" s="64"/>
      <c r="O842" s="64"/>
      <c r="P842" s="64"/>
      <c r="Q842" s="64"/>
      <c r="R842" s="64"/>
      <c r="S842" s="64"/>
      <c r="T842" s="64"/>
      <c r="U842" s="64"/>
      <c r="V842" s="64"/>
      <c r="W842" s="64"/>
      <c r="X842" s="64"/>
      <c r="Y842" s="64"/>
      <c r="Z842" s="64"/>
      <c r="AA842" s="64"/>
      <c r="AB842" s="64"/>
      <c r="AC842" s="64"/>
      <c r="AD842" s="64"/>
      <c r="AE842" s="64"/>
      <c r="AF842" s="64"/>
      <c r="AG842" s="64"/>
    </row>
    <row r="843" spans="1:33">
      <c r="A843" s="64"/>
      <c r="B843" s="64"/>
      <c r="C843" s="64"/>
      <c r="D843" s="64"/>
      <c r="E843" s="64"/>
      <c r="F843" s="70"/>
      <c r="G843" s="71"/>
      <c r="H843" s="72"/>
      <c r="I843" s="64"/>
      <c r="J843" s="64"/>
      <c r="K843" s="64"/>
      <c r="L843" s="64"/>
      <c r="M843" s="64"/>
      <c r="N843" s="64"/>
      <c r="O843" s="64"/>
      <c r="P843" s="64"/>
      <c r="Q843" s="64"/>
      <c r="R843" s="64"/>
      <c r="S843" s="64"/>
      <c r="T843" s="64"/>
      <c r="U843" s="64"/>
      <c r="V843" s="64"/>
      <c r="W843" s="64"/>
      <c r="X843" s="64"/>
      <c r="Y843" s="64"/>
      <c r="Z843" s="64"/>
      <c r="AA843" s="64"/>
      <c r="AB843" s="64"/>
      <c r="AC843" s="64"/>
      <c r="AD843" s="64"/>
      <c r="AE843" s="64"/>
      <c r="AF843" s="64"/>
      <c r="AG843" s="64"/>
    </row>
    <row r="844" spans="1:33">
      <c r="A844" s="64"/>
      <c r="B844" s="64"/>
      <c r="C844" s="64"/>
      <c r="D844" s="64"/>
      <c r="E844" s="64"/>
      <c r="F844" s="70"/>
      <c r="G844" s="71"/>
      <c r="H844" s="72"/>
      <c r="I844" s="64"/>
      <c r="J844" s="64"/>
      <c r="K844" s="64"/>
      <c r="L844" s="64"/>
      <c r="M844" s="64"/>
      <c r="N844" s="64"/>
      <c r="O844" s="64"/>
      <c r="P844" s="64"/>
      <c r="Q844" s="64"/>
      <c r="R844" s="64"/>
      <c r="S844" s="64"/>
      <c r="T844" s="64"/>
      <c r="U844" s="64"/>
      <c r="V844" s="64"/>
      <c r="W844" s="64"/>
      <c r="X844" s="64"/>
      <c r="Y844" s="64"/>
      <c r="Z844" s="64"/>
      <c r="AA844" s="64"/>
      <c r="AB844" s="64"/>
      <c r="AC844" s="64"/>
      <c r="AD844" s="64"/>
      <c r="AE844" s="64"/>
      <c r="AF844" s="64"/>
      <c r="AG844" s="64"/>
    </row>
    <row r="845" spans="1:33">
      <c r="A845" s="64"/>
      <c r="B845" s="64"/>
      <c r="C845" s="64"/>
      <c r="D845" s="64"/>
      <c r="E845" s="64"/>
      <c r="F845" s="70"/>
      <c r="G845" s="71"/>
      <c r="H845" s="72"/>
      <c r="I845" s="64"/>
      <c r="J845" s="64"/>
      <c r="K845" s="64"/>
      <c r="L845" s="64"/>
      <c r="M845" s="64"/>
      <c r="N845" s="64"/>
      <c r="O845" s="64"/>
      <c r="P845" s="64"/>
      <c r="Q845" s="64"/>
      <c r="R845" s="64"/>
      <c r="S845" s="64"/>
      <c r="T845" s="64"/>
      <c r="U845" s="64"/>
      <c r="V845" s="64"/>
      <c r="W845" s="64"/>
      <c r="X845" s="64"/>
      <c r="Y845" s="64"/>
      <c r="Z845" s="64"/>
      <c r="AA845" s="64"/>
      <c r="AB845" s="64"/>
      <c r="AC845" s="64"/>
      <c r="AD845" s="64"/>
      <c r="AE845" s="64"/>
      <c r="AF845" s="64"/>
      <c r="AG845" s="64"/>
    </row>
    <row r="846" spans="1:33">
      <c r="A846" s="64"/>
      <c r="B846" s="64"/>
      <c r="C846" s="64"/>
      <c r="D846" s="64"/>
      <c r="E846" s="64"/>
      <c r="F846" s="70"/>
      <c r="G846" s="71"/>
      <c r="H846" s="72"/>
      <c r="I846" s="64"/>
      <c r="J846" s="64"/>
      <c r="K846" s="64"/>
      <c r="L846" s="64"/>
      <c r="M846" s="64"/>
      <c r="N846" s="64"/>
      <c r="O846" s="64"/>
      <c r="P846" s="64"/>
      <c r="Q846" s="64"/>
      <c r="R846" s="64"/>
      <c r="S846" s="64"/>
      <c r="T846" s="64"/>
      <c r="U846" s="64"/>
      <c r="V846" s="64"/>
      <c r="W846" s="64"/>
      <c r="X846" s="64"/>
      <c r="Y846" s="64"/>
      <c r="Z846" s="64"/>
      <c r="AA846" s="64"/>
      <c r="AB846" s="64"/>
      <c r="AC846" s="64"/>
      <c r="AD846" s="64"/>
      <c r="AE846" s="64"/>
      <c r="AF846" s="64"/>
      <c r="AG846" s="64"/>
    </row>
    <row r="847" spans="1:33">
      <c r="A847" s="64"/>
      <c r="B847" s="64"/>
      <c r="C847" s="64"/>
      <c r="D847" s="64"/>
      <c r="E847" s="64"/>
      <c r="F847" s="70"/>
      <c r="G847" s="71"/>
      <c r="H847" s="72"/>
      <c r="I847" s="64"/>
      <c r="J847" s="64"/>
      <c r="K847" s="64"/>
      <c r="L847" s="64"/>
      <c r="M847" s="64"/>
      <c r="N847" s="64"/>
      <c r="O847" s="64"/>
      <c r="P847" s="64"/>
      <c r="Q847" s="64"/>
      <c r="R847" s="64"/>
      <c r="S847" s="64"/>
      <c r="T847" s="64"/>
      <c r="U847" s="64"/>
      <c r="V847" s="64"/>
      <c r="W847" s="64"/>
      <c r="X847" s="64"/>
      <c r="Y847" s="64"/>
      <c r="Z847" s="64"/>
      <c r="AA847" s="64"/>
      <c r="AB847" s="64"/>
      <c r="AC847" s="64"/>
      <c r="AD847" s="64"/>
      <c r="AE847" s="64"/>
      <c r="AF847" s="64"/>
      <c r="AG847" s="64"/>
    </row>
    <row r="848" spans="1:33">
      <c r="A848" s="64"/>
      <c r="B848" s="64"/>
      <c r="C848" s="64"/>
      <c r="D848" s="64"/>
      <c r="E848" s="64"/>
      <c r="F848" s="70"/>
      <c r="G848" s="71"/>
      <c r="H848" s="72"/>
      <c r="I848" s="64"/>
      <c r="J848" s="64"/>
      <c r="K848" s="64"/>
      <c r="L848" s="64"/>
      <c r="M848" s="64"/>
      <c r="N848" s="64"/>
      <c r="O848" s="64"/>
      <c r="P848" s="64"/>
      <c r="Q848" s="64"/>
      <c r="R848" s="64"/>
      <c r="S848" s="64"/>
      <c r="T848" s="64"/>
      <c r="U848" s="64"/>
      <c r="V848" s="64"/>
      <c r="W848" s="64"/>
      <c r="X848" s="64"/>
      <c r="Y848" s="64"/>
      <c r="Z848" s="64"/>
      <c r="AA848" s="64"/>
      <c r="AB848" s="64"/>
      <c r="AC848" s="64"/>
      <c r="AD848" s="64"/>
      <c r="AE848" s="64"/>
      <c r="AF848" s="64"/>
      <c r="AG848" s="64"/>
    </row>
    <row r="849" spans="1:33">
      <c r="A849" s="64"/>
      <c r="B849" s="64"/>
      <c r="C849" s="64"/>
      <c r="D849" s="64"/>
      <c r="E849" s="64"/>
      <c r="F849" s="70"/>
      <c r="G849" s="71"/>
      <c r="H849" s="72"/>
      <c r="I849" s="64"/>
      <c r="J849" s="64"/>
      <c r="K849" s="64"/>
      <c r="L849" s="64"/>
      <c r="M849" s="64"/>
      <c r="N849" s="64"/>
      <c r="O849" s="64"/>
      <c r="P849" s="64"/>
      <c r="Q849" s="64"/>
      <c r="R849" s="64"/>
      <c r="S849" s="64"/>
      <c r="T849" s="64"/>
      <c r="U849" s="64"/>
      <c r="V849" s="64"/>
      <c r="W849" s="64"/>
      <c r="X849" s="64"/>
      <c r="Y849" s="64"/>
      <c r="Z849" s="64"/>
      <c r="AA849" s="64"/>
      <c r="AB849" s="64"/>
      <c r="AC849" s="64"/>
      <c r="AD849" s="64"/>
      <c r="AE849" s="64"/>
      <c r="AF849" s="64"/>
      <c r="AG849" s="64"/>
    </row>
    <row r="850" spans="1:33">
      <c r="A850" s="64"/>
      <c r="B850" s="64"/>
      <c r="C850" s="64"/>
      <c r="D850" s="64"/>
      <c r="E850" s="64"/>
      <c r="F850" s="70"/>
      <c r="G850" s="71"/>
      <c r="H850" s="72"/>
      <c r="I850" s="64"/>
      <c r="J850" s="64"/>
      <c r="K850" s="64"/>
      <c r="L850" s="64"/>
      <c r="M850" s="64"/>
      <c r="N850" s="64"/>
      <c r="O850" s="64"/>
      <c r="P850" s="64"/>
      <c r="Q850" s="64"/>
      <c r="R850" s="64"/>
      <c r="S850" s="64"/>
      <c r="T850" s="64"/>
      <c r="U850" s="64"/>
      <c r="V850" s="64"/>
      <c r="W850" s="64"/>
      <c r="X850" s="64"/>
      <c r="Y850" s="64"/>
      <c r="Z850" s="64"/>
      <c r="AA850" s="64"/>
      <c r="AB850" s="64"/>
      <c r="AC850" s="64"/>
      <c r="AD850" s="64"/>
      <c r="AE850" s="64"/>
      <c r="AF850" s="64"/>
      <c r="AG850" s="64"/>
    </row>
    <row r="851" spans="1:33">
      <c r="A851" s="64"/>
      <c r="B851" s="64"/>
      <c r="C851" s="64"/>
      <c r="D851" s="64"/>
      <c r="E851" s="64"/>
      <c r="F851" s="70"/>
      <c r="G851" s="71"/>
      <c r="H851" s="72"/>
      <c r="I851" s="64"/>
      <c r="J851" s="64"/>
      <c r="K851" s="64"/>
      <c r="L851" s="64"/>
      <c r="M851" s="64"/>
      <c r="N851" s="64"/>
      <c r="O851" s="64"/>
      <c r="P851" s="64"/>
      <c r="Q851" s="64"/>
      <c r="R851" s="64"/>
      <c r="S851" s="64"/>
      <c r="T851" s="64"/>
      <c r="U851" s="64"/>
      <c r="V851" s="64"/>
      <c r="W851" s="64"/>
      <c r="X851" s="64"/>
      <c r="Y851" s="64"/>
      <c r="Z851" s="64"/>
      <c r="AA851" s="64"/>
      <c r="AB851" s="64"/>
      <c r="AC851" s="64"/>
      <c r="AD851" s="64"/>
      <c r="AE851" s="64"/>
      <c r="AF851" s="64"/>
      <c r="AG851" s="64"/>
    </row>
    <row r="852" spans="1:33">
      <c r="A852" s="64"/>
      <c r="B852" s="64"/>
      <c r="C852" s="64"/>
      <c r="D852" s="64"/>
      <c r="E852" s="64"/>
      <c r="F852" s="70"/>
      <c r="G852" s="71"/>
      <c r="H852" s="72"/>
      <c r="I852" s="64"/>
      <c r="J852" s="64"/>
      <c r="K852" s="64"/>
      <c r="L852" s="64"/>
      <c r="M852" s="64"/>
      <c r="N852" s="64"/>
      <c r="O852" s="64"/>
      <c r="P852" s="64"/>
      <c r="Q852" s="64"/>
      <c r="R852" s="64"/>
      <c r="S852" s="64"/>
      <c r="T852" s="64"/>
      <c r="U852" s="64"/>
      <c r="V852" s="64"/>
      <c r="W852" s="64"/>
      <c r="X852" s="64"/>
      <c r="Y852" s="64"/>
      <c r="Z852" s="64"/>
      <c r="AA852" s="64"/>
      <c r="AB852" s="64"/>
      <c r="AC852" s="64"/>
      <c r="AD852" s="64"/>
      <c r="AE852" s="64"/>
      <c r="AF852" s="64"/>
      <c r="AG852" s="64"/>
    </row>
    <row r="853" spans="1:33">
      <c r="A853" s="64"/>
      <c r="B853" s="64"/>
      <c r="C853" s="64"/>
      <c r="D853" s="64"/>
      <c r="E853" s="64"/>
      <c r="F853" s="70"/>
      <c r="G853" s="71"/>
      <c r="H853" s="72"/>
      <c r="I853" s="64"/>
      <c r="J853" s="64"/>
      <c r="K853" s="64"/>
      <c r="L853" s="64"/>
      <c r="M853" s="64"/>
      <c r="N853" s="64"/>
      <c r="O853" s="64"/>
      <c r="P853" s="64"/>
      <c r="Q853" s="64"/>
      <c r="R853" s="64"/>
      <c r="S853" s="64"/>
      <c r="T853" s="64"/>
      <c r="U853" s="64"/>
      <c r="V853" s="64"/>
      <c r="W853" s="64"/>
      <c r="X853" s="64"/>
      <c r="Y853" s="64"/>
      <c r="Z853" s="64"/>
      <c r="AA853" s="64"/>
      <c r="AB853" s="64"/>
      <c r="AC853" s="64"/>
      <c r="AD853" s="64"/>
      <c r="AE853" s="64"/>
      <c r="AF853" s="64"/>
      <c r="AG853" s="64"/>
    </row>
    <row r="854" spans="1:33">
      <c r="A854" s="64"/>
      <c r="B854" s="64"/>
      <c r="C854" s="64"/>
      <c r="D854" s="64"/>
      <c r="E854" s="64"/>
      <c r="F854" s="70"/>
      <c r="G854" s="71"/>
      <c r="H854" s="72"/>
      <c r="I854" s="64"/>
      <c r="J854" s="64"/>
      <c r="K854" s="64"/>
      <c r="L854" s="64"/>
      <c r="M854" s="64"/>
      <c r="N854" s="64"/>
      <c r="O854" s="64"/>
      <c r="P854" s="64"/>
      <c r="Q854" s="64"/>
      <c r="R854" s="64"/>
      <c r="S854" s="64"/>
      <c r="T854" s="64"/>
      <c r="U854" s="64"/>
      <c r="V854" s="64"/>
      <c r="W854" s="64"/>
      <c r="X854" s="64"/>
      <c r="Y854" s="64"/>
      <c r="Z854" s="64"/>
      <c r="AA854" s="64"/>
      <c r="AB854" s="64"/>
      <c r="AC854" s="64"/>
      <c r="AD854" s="64"/>
      <c r="AE854" s="64"/>
      <c r="AF854" s="64"/>
      <c r="AG854" s="64"/>
    </row>
    <row r="855" spans="1:33">
      <c r="A855" s="64"/>
      <c r="B855" s="64"/>
      <c r="C855" s="64"/>
      <c r="D855" s="64"/>
      <c r="E855" s="64"/>
      <c r="F855" s="70"/>
      <c r="G855" s="71"/>
      <c r="H855" s="72"/>
      <c r="I855" s="64"/>
      <c r="J855" s="64"/>
      <c r="K855" s="64"/>
      <c r="L855" s="64"/>
      <c r="M855" s="64"/>
      <c r="N855" s="64"/>
      <c r="O855" s="64"/>
      <c r="P855" s="64"/>
      <c r="Q855" s="64"/>
      <c r="R855" s="64"/>
      <c r="S855" s="64"/>
      <c r="T855" s="64"/>
      <c r="U855" s="64"/>
      <c r="V855" s="64"/>
      <c r="W855" s="64"/>
      <c r="X855" s="64"/>
      <c r="Y855" s="64"/>
      <c r="Z855" s="64"/>
      <c r="AA855" s="64"/>
      <c r="AB855" s="64"/>
      <c r="AC855" s="64"/>
      <c r="AD855" s="64"/>
      <c r="AE855" s="64"/>
      <c r="AF855" s="64"/>
      <c r="AG855" s="64"/>
    </row>
    <row r="856" spans="1:33">
      <c r="A856" s="64"/>
      <c r="B856" s="64"/>
      <c r="C856" s="64"/>
      <c r="D856" s="64"/>
      <c r="E856" s="64"/>
      <c r="F856" s="70"/>
      <c r="G856" s="71"/>
      <c r="H856" s="72"/>
      <c r="I856" s="64"/>
      <c r="J856" s="64"/>
      <c r="K856" s="64"/>
      <c r="L856" s="64"/>
      <c r="M856" s="64"/>
      <c r="N856" s="64"/>
      <c r="O856" s="64"/>
      <c r="P856" s="64"/>
      <c r="Q856" s="64"/>
      <c r="R856" s="64"/>
      <c r="S856" s="64"/>
      <c r="T856" s="64"/>
      <c r="U856" s="64"/>
      <c r="V856" s="64"/>
      <c r="W856" s="64"/>
      <c r="X856" s="64"/>
      <c r="Y856" s="64"/>
      <c r="Z856" s="64"/>
      <c r="AA856" s="64"/>
      <c r="AB856" s="64"/>
      <c r="AC856" s="64"/>
      <c r="AD856" s="64"/>
      <c r="AE856" s="64"/>
      <c r="AF856" s="64"/>
      <c r="AG856" s="64"/>
    </row>
    <row r="857" spans="1:33">
      <c r="A857" s="64"/>
      <c r="B857" s="64"/>
      <c r="C857" s="64"/>
      <c r="D857" s="64"/>
      <c r="E857" s="64"/>
      <c r="F857" s="70"/>
      <c r="G857" s="71"/>
      <c r="H857" s="72"/>
      <c r="I857" s="64"/>
      <c r="J857" s="64"/>
      <c r="K857" s="64"/>
      <c r="L857" s="64"/>
      <c r="M857" s="64"/>
      <c r="N857" s="64"/>
      <c r="O857" s="64"/>
      <c r="P857" s="64"/>
      <c r="Q857" s="64"/>
      <c r="R857" s="64"/>
      <c r="S857" s="64"/>
      <c r="T857" s="64"/>
      <c r="U857" s="64"/>
      <c r="V857" s="64"/>
      <c r="W857" s="64"/>
      <c r="X857" s="64"/>
      <c r="Y857" s="64"/>
      <c r="Z857" s="64"/>
      <c r="AA857" s="64"/>
      <c r="AB857" s="64"/>
      <c r="AC857" s="64"/>
      <c r="AD857" s="64"/>
      <c r="AE857" s="64"/>
      <c r="AF857" s="64"/>
      <c r="AG857" s="64"/>
    </row>
    <row r="858" spans="1:33">
      <c r="A858" s="64"/>
      <c r="B858" s="64"/>
      <c r="C858" s="64"/>
      <c r="D858" s="64"/>
      <c r="E858" s="64"/>
      <c r="F858" s="70"/>
      <c r="G858" s="71"/>
      <c r="H858" s="72"/>
      <c r="I858" s="64"/>
      <c r="J858" s="64"/>
      <c r="K858" s="64"/>
      <c r="L858" s="64"/>
      <c r="M858" s="64"/>
      <c r="N858" s="64"/>
      <c r="O858" s="64"/>
      <c r="P858" s="64"/>
      <c r="Q858" s="64"/>
      <c r="R858" s="64"/>
      <c r="S858" s="64"/>
      <c r="T858" s="64"/>
      <c r="U858" s="64"/>
      <c r="V858" s="64"/>
      <c r="W858" s="64"/>
      <c r="X858" s="64"/>
      <c r="Y858" s="64"/>
      <c r="Z858" s="64"/>
      <c r="AA858" s="64"/>
      <c r="AB858" s="64"/>
      <c r="AC858" s="64"/>
      <c r="AD858" s="64"/>
      <c r="AE858" s="64"/>
      <c r="AF858" s="64"/>
      <c r="AG858" s="64"/>
    </row>
    <row r="859" spans="1:33">
      <c r="A859" s="64"/>
      <c r="B859" s="64"/>
      <c r="C859" s="64"/>
      <c r="D859" s="64"/>
      <c r="E859" s="64"/>
      <c r="F859" s="70"/>
      <c r="G859" s="71"/>
      <c r="H859" s="72"/>
      <c r="I859" s="64"/>
      <c r="J859" s="64"/>
      <c r="K859" s="64"/>
      <c r="L859" s="64"/>
      <c r="M859" s="64"/>
      <c r="N859" s="64"/>
      <c r="O859" s="64"/>
      <c r="P859" s="64"/>
      <c r="Q859" s="64"/>
      <c r="R859" s="64"/>
      <c r="S859" s="64"/>
      <c r="T859" s="64"/>
      <c r="U859" s="64"/>
      <c r="V859" s="64"/>
      <c r="W859" s="64"/>
      <c r="X859" s="64"/>
      <c r="Y859" s="64"/>
      <c r="Z859" s="64"/>
      <c r="AA859" s="64"/>
      <c r="AB859" s="64"/>
      <c r="AC859" s="64"/>
      <c r="AD859" s="64"/>
      <c r="AE859" s="64"/>
      <c r="AF859" s="64"/>
      <c r="AG859" s="64"/>
    </row>
    <row r="860" spans="1:33">
      <c r="A860" s="64"/>
      <c r="B860" s="64"/>
      <c r="C860" s="64"/>
      <c r="D860" s="64"/>
      <c r="E860" s="64"/>
      <c r="F860" s="70"/>
      <c r="G860" s="71"/>
      <c r="H860" s="72"/>
      <c r="I860" s="64"/>
      <c r="J860" s="64"/>
      <c r="K860" s="64"/>
      <c r="L860" s="64"/>
      <c r="M860" s="64"/>
      <c r="N860" s="64"/>
      <c r="O860" s="64"/>
      <c r="P860" s="64"/>
      <c r="Q860" s="64"/>
      <c r="R860" s="64"/>
      <c r="S860" s="64"/>
      <c r="T860" s="64"/>
      <c r="U860" s="64"/>
      <c r="V860" s="64"/>
      <c r="W860" s="64"/>
      <c r="X860" s="64"/>
      <c r="Y860" s="64"/>
      <c r="Z860" s="64"/>
      <c r="AA860" s="64"/>
      <c r="AB860" s="64"/>
      <c r="AC860" s="64"/>
      <c r="AD860" s="64"/>
      <c r="AE860" s="64"/>
      <c r="AF860" s="64"/>
      <c r="AG860" s="64"/>
    </row>
    <row r="861" spans="1:33">
      <c r="A861" s="64"/>
      <c r="B861" s="64"/>
      <c r="C861" s="64"/>
      <c r="D861" s="64"/>
      <c r="E861" s="64"/>
      <c r="F861" s="70"/>
      <c r="G861" s="71"/>
      <c r="H861" s="72"/>
      <c r="I861" s="64"/>
      <c r="J861" s="64"/>
      <c r="K861" s="64"/>
      <c r="L861" s="64"/>
      <c r="M861" s="64"/>
      <c r="N861" s="64"/>
      <c r="O861" s="64"/>
      <c r="P861" s="64"/>
      <c r="Q861" s="64"/>
      <c r="R861" s="64"/>
      <c r="S861" s="64"/>
      <c r="T861" s="64"/>
      <c r="U861" s="64"/>
      <c r="V861" s="64"/>
      <c r="W861" s="64"/>
      <c r="X861" s="64"/>
      <c r="Y861" s="64"/>
      <c r="Z861" s="64"/>
      <c r="AA861" s="64"/>
      <c r="AB861" s="64"/>
      <c r="AC861" s="64"/>
      <c r="AD861" s="64"/>
      <c r="AE861" s="64"/>
      <c r="AF861" s="64"/>
      <c r="AG861" s="64"/>
    </row>
    <row r="862" spans="1:33">
      <c r="A862" s="64"/>
      <c r="B862" s="64"/>
      <c r="C862" s="64"/>
      <c r="D862" s="64"/>
      <c r="E862" s="64"/>
      <c r="F862" s="70"/>
      <c r="G862" s="71"/>
      <c r="H862" s="72"/>
      <c r="I862" s="64"/>
      <c r="J862" s="64"/>
      <c r="K862" s="64"/>
      <c r="L862" s="64"/>
      <c r="M862" s="64"/>
      <c r="N862" s="64"/>
      <c r="O862" s="64"/>
      <c r="P862" s="64"/>
      <c r="Q862" s="64"/>
      <c r="R862" s="64"/>
      <c r="S862" s="64"/>
      <c r="T862" s="64"/>
      <c r="U862" s="64"/>
      <c r="V862" s="64"/>
      <c r="W862" s="64"/>
      <c r="X862" s="64"/>
      <c r="Y862" s="64"/>
      <c r="Z862" s="64"/>
      <c r="AA862" s="64"/>
      <c r="AB862" s="64"/>
      <c r="AC862" s="64"/>
      <c r="AD862" s="64"/>
      <c r="AE862" s="64"/>
      <c r="AF862" s="64"/>
      <c r="AG862" s="64"/>
    </row>
    <row r="863" spans="1:33">
      <c r="A863" s="64"/>
      <c r="B863" s="64"/>
      <c r="C863" s="64"/>
      <c r="D863" s="64"/>
      <c r="E863" s="64"/>
      <c r="F863" s="70"/>
      <c r="G863" s="71"/>
      <c r="H863" s="72"/>
      <c r="I863" s="64"/>
      <c r="J863" s="64"/>
      <c r="K863" s="64"/>
      <c r="L863" s="64"/>
      <c r="M863" s="64"/>
      <c r="N863" s="64"/>
      <c r="O863" s="64"/>
      <c r="P863" s="64"/>
      <c r="Q863" s="64"/>
      <c r="R863" s="64"/>
      <c r="S863" s="64"/>
      <c r="T863" s="64"/>
      <c r="U863" s="64"/>
      <c r="V863" s="64"/>
      <c r="W863" s="64"/>
      <c r="X863" s="64"/>
      <c r="Y863" s="64"/>
      <c r="Z863" s="64"/>
      <c r="AA863" s="64"/>
      <c r="AB863" s="64"/>
      <c r="AC863" s="64"/>
      <c r="AD863" s="64"/>
      <c r="AE863" s="64"/>
      <c r="AF863" s="64"/>
      <c r="AG863" s="64"/>
    </row>
    <row r="864" spans="1:33">
      <c r="A864" s="64"/>
      <c r="B864" s="64"/>
      <c r="C864" s="64"/>
      <c r="D864" s="64"/>
      <c r="E864" s="64"/>
      <c r="F864" s="70"/>
      <c r="G864" s="71"/>
      <c r="H864" s="72"/>
      <c r="I864" s="64"/>
      <c r="J864" s="64"/>
      <c r="K864" s="64"/>
      <c r="L864" s="64"/>
      <c r="M864" s="64"/>
      <c r="N864" s="64"/>
      <c r="O864" s="64"/>
      <c r="P864" s="64"/>
      <c r="Q864" s="64"/>
      <c r="R864" s="64"/>
      <c r="S864" s="64"/>
      <c r="T864" s="64"/>
      <c r="U864" s="64"/>
      <c r="V864" s="64"/>
      <c r="W864" s="64"/>
      <c r="X864" s="64"/>
      <c r="Y864" s="64"/>
      <c r="Z864" s="64"/>
      <c r="AA864" s="64"/>
      <c r="AB864" s="64"/>
      <c r="AC864" s="64"/>
      <c r="AD864" s="64"/>
      <c r="AE864" s="64"/>
      <c r="AF864" s="64"/>
      <c r="AG864" s="64"/>
    </row>
    <row r="865" spans="1:33">
      <c r="A865" s="64"/>
      <c r="B865" s="64"/>
      <c r="C865" s="64"/>
      <c r="D865" s="64"/>
      <c r="E865" s="64"/>
      <c r="F865" s="70"/>
      <c r="G865" s="71"/>
      <c r="H865" s="72"/>
      <c r="I865" s="64"/>
      <c r="J865" s="64"/>
      <c r="K865" s="64"/>
      <c r="L865" s="64"/>
      <c r="M865" s="64"/>
      <c r="N865" s="64"/>
      <c r="O865" s="64"/>
      <c r="P865" s="64"/>
      <c r="Q865" s="64"/>
      <c r="R865" s="64"/>
      <c r="S865" s="64"/>
      <c r="T865" s="64"/>
      <c r="U865" s="64"/>
      <c r="V865" s="64"/>
      <c r="W865" s="64"/>
      <c r="X865" s="64"/>
      <c r="Y865" s="64"/>
      <c r="Z865" s="64"/>
      <c r="AA865" s="64"/>
      <c r="AB865" s="64"/>
      <c r="AC865" s="64"/>
      <c r="AD865" s="64"/>
      <c r="AE865" s="64"/>
      <c r="AF865" s="64"/>
      <c r="AG865" s="64"/>
    </row>
    <row r="866" spans="1:33">
      <c r="A866" s="64"/>
      <c r="B866" s="64"/>
      <c r="C866" s="64"/>
      <c r="D866" s="64"/>
      <c r="E866" s="64"/>
      <c r="F866" s="70"/>
      <c r="G866" s="71"/>
      <c r="H866" s="72"/>
      <c r="I866" s="64"/>
      <c r="J866" s="64"/>
      <c r="K866" s="64"/>
      <c r="L866" s="64"/>
      <c r="M866" s="64"/>
      <c r="N866" s="64"/>
      <c r="O866" s="64"/>
      <c r="P866" s="64"/>
      <c r="Q866" s="64"/>
      <c r="R866" s="64"/>
      <c r="S866" s="64"/>
      <c r="T866" s="64"/>
      <c r="U866" s="64"/>
      <c r="V866" s="64"/>
      <c r="W866" s="64"/>
      <c r="X866" s="64"/>
      <c r="Y866" s="64"/>
      <c r="Z866" s="64"/>
      <c r="AA866" s="64"/>
      <c r="AB866" s="64"/>
      <c r="AC866" s="64"/>
      <c r="AD866" s="64"/>
      <c r="AE866" s="64"/>
      <c r="AF866" s="64"/>
      <c r="AG866" s="64"/>
    </row>
    <row r="867" spans="1:33">
      <c r="A867" s="64"/>
      <c r="B867" s="64"/>
      <c r="C867" s="64"/>
      <c r="D867" s="64"/>
      <c r="E867" s="64"/>
      <c r="F867" s="70"/>
      <c r="G867" s="71"/>
      <c r="H867" s="72"/>
      <c r="I867" s="64"/>
      <c r="J867" s="64"/>
      <c r="K867" s="64"/>
      <c r="L867" s="64"/>
      <c r="M867" s="64"/>
      <c r="N867" s="64"/>
      <c r="O867" s="64"/>
      <c r="P867" s="64"/>
      <c r="Q867" s="64"/>
      <c r="R867" s="64"/>
      <c r="S867" s="64"/>
      <c r="T867" s="64"/>
      <c r="U867" s="64"/>
      <c r="V867" s="64"/>
      <c r="W867" s="64"/>
      <c r="X867" s="64"/>
      <c r="Y867" s="64"/>
      <c r="Z867" s="64"/>
      <c r="AA867" s="64"/>
      <c r="AB867" s="64"/>
      <c r="AC867" s="64"/>
      <c r="AD867" s="64"/>
      <c r="AE867" s="64"/>
      <c r="AF867" s="64"/>
      <c r="AG867" s="64"/>
    </row>
    <row r="868" spans="1:33">
      <c r="A868" s="64"/>
      <c r="B868" s="64"/>
      <c r="C868" s="64"/>
      <c r="D868" s="64"/>
      <c r="E868" s="64"/>
      <c r="F868" s="70"/>
      <c r="G868" s="71"/>
      <c r="H868" s="72"/>
      <c r="I868" s="64"/>
      <c r="J868" s="64"/>
      <c r="K868" s="64"/>
      <c r="L868" s="64"/>
      <c r="M868" s="64"/>
      <c r="N868" s="64"/>
      <c r="O868" s="64"/>
      <c r="P868" s="64"/>
      <c r="Q868" s="64"/>
      <c r="R868" s="64"/>
      <c r="S868" s="64"/>
      <c r="T868" s="64"/>
      <c r="U868" s="64"/>
      <c r="V868" s="64"/>
      <c r="W868" s="64"/>
      <c r="X868" s="64"/>
      <c r="Y868" s="64"/>
      <c r="Z868" s="64"/>
      <c r="AA868" s="64"/>
      <c r="AB868" s="64"/>
      <c r="AC868" s="64"/>
      <c r="AD868" s="64"/>
      <c r="AE868" s="64"/>
      <c r="AF868" s="64"/>
      <c r="AG868" s="64"/>
    </row>
    <row r="869" spans="1:33">
      <c r="A869" s="64"/>
      <c r="B869" s="64"/>
      <c r="C869" s="64"/>
      <c r="D869" s="64"/>
      <c r="E869" s="64"/>
      <c r="F869" s="70"/>
      <c r="G869" s="71"/>
      <c r="H869" s="72"/>
      <c r="I869" s="64"/>
      <c r="J869" s="64"/>
      <c r="K869" s="64"/>
      <c r="L869" s="64"/>
      <c r="M869" s="64"/>
      <c r="N869" s="64"/>
      <c r="O869" s="64"/>
      <c r="P869" s="64"/>
      <c r="Q869" s="64"/>
      <c r="R869" s="64"/>
      <c r="S869" s="64"/>
      <c r="T869" s="64"/>
      <c r="U869" s="64"/>
      <c r="V869" s="64"/>
      <c r="W869" s="64"/>
      <c r="X869" s="64"/>
      <c r="Y869" s="64"/>
      <c r="Z869" s="64"/>
      <c r="AA869" s="64"/>
      <c r="AB869" s="64"/>
      <c r="AC869" s="64"/>
      <c r="AD869" s="64"/>
      <c r="AE869" s="64"/>
      <c r="AF869" s="64"/>
      <c r="AG869" s="64"/>
    </row>
    <row r="870" spans="1:33">
      <c r="A870" s="64"/>
      <c r="B870" s="64"/>
      <c r="C870" s="64"/>
      <c r="D870" s="64"/>
      <c r="E870" s="64"/>
      <c r="F870" s="70"/>
      <c r="G870" s="71"/>
      <c r="H870" s="72"/>
      <c r="I870" s="64"/>
      <c r="J870" s="64"/>
      <c r="K870" s="64"/>
      <c r="L870" s="64"/>
      <c r="M870" s="64"/>
      <c r="N870" s="64"/>
      <c r="O870" s="64"/>
      <c r="P870" s="64"/>
      <c r="Q870" s="64"/>
      <c r="R870" s="64"/>
      <c r="S870" s="64"/>
      <c r="T870" s="64"/>
      <c r="U870" s="64"/>
      <c r="V870" s="64"/>
      <c r="W870" s="64"/>
      <c r="X870" s="64"/>
      <c r="Y870" s="64"/>
      <c r="Z870" s="64"/>
      <c r="AA870" s="64"/>
      <c r="AB870" s="64"/>
      <c r="AC870" s="64"/>
      <c r="AD870" s="64"/>
      <c r="AE870" s="64"/>
      <c r="AF870" s="64"/>
      <c r="AG870" s="64"/>
    </row>
    <row r="871" spans="1:33">
      <c r="A871" s="64"/>
      <c r="B871" s="64"/>
      <c r="C871" s="64"/>
      <c r="D871" s="64"/>
      <c r="E871" s="64"/>
      <c r="F871" s="70"/>
      <c r="G871" s="71"/>
      <c r="H871" s="72"/>
      <c r="I871" s="64"/>
      <c r="J871" s="64"/>
      <c r="K871" s="64"/>
      <c r="L871" s="64"/>
      <c r="M871" s="64"/>
      <c r="N871" s="64"/>
      <c r="O871" s="64"/>
      <c r="P871" s="64"/>
      <c r="Q871" s="64"/>
      <c r="R871" s="64"/>
      <c r="S871" s="64"/>
      <c r="T871" s="64"/>
      <c r="U871" s="64"/>
      <c r="V871" s="64"/>
      <c r="W871" s="64"/>
      <c r="X871" s="64"/>
      <c r="Y871" s="64"/>
      <c r="Z871" s="64"/>
      <c r="AA871" s="64"/>
      <c r="AB871" s="64"/>
      <c r="AC871" s="64"/>
      <c r="AD871" s="64"/>
      <c r="AE871" s="64"/>
      <c r="AF871" s="64"/>
      <c r="AG871" s="64"/>
    </row>
    <row r="872" spans="1:33">
      <c r="A872" s="64"/>
      <c r="B872" s="64"/>
      <c r="C872" s="64"/>
      <c r="D872" s="64"/>
      <c r="E872" s="64"/>
      <c r="F872" s="70"/>
      <c r="G872" s="71"/>
      <c r="H872" s="72"/>
      <c r="I872" s="64"/>
      <c r="J872" s="64"/>
      <c r="K872" s="64"/>
      <c r="L872" s="64"/>
      <c r="M872" s="64"/>
      <c r="N872" s="64"/>
      <c r="O872" s="64"/>
      <c r="P872" s="64"/>
      <c r="Q872" s="64"/>
      <c r="R872" s="64"/>
      <c r="S872" s="64"/>
      <c r="T872" s="64"/>
      <c r="U872" s="64"/>
      <c r="V872" s="64"/>
      <c r="W872" s="64"/>
      <c r="X872" s="64"/>
      <c r="Y872" s="64"/>
      <c r="Z872" s="64"/>
      <c r="AA872" s="64"/>
      <c r="AB872" s="64"/>
      <c r="AC872" s="64"/>
      <c r="AD872" s="64"/>
      <c r="AE872" s="64"/>
      <c r="AF872" s="64"/>
      <c r="AG872" s="64"/>
    </row>
    <row r="873" spans="1:33">
      <c r="A873" s="64"/>
      <c r="B873" s="64"/>
      <c r="C873" s="64"/>
      <c r="D873" s="64"/>
      <c r="E873" s="64"/>
      <c r="F873" s="70"/>
      <c r="G873" s="71"/>
      <c r="H873" s="72"/>
      <c r="I873" s="64"/>
      <c r="J873" s="64"/>
      <c r="K873" s="64"/>
      <c r="L873" s="64"/>
      <c r="M873" s="64"/>
      <c r="N873" s="64"/>
      <c r="O873" s="64"/>
      <c r="P873" s="64"/>
      <c r="Q873" s="64"/>
      <c r="R873" s="64"/>
      <c r="S873" s="64"/>
      <c r="T873" s="64"/>
      <c r="U873" s="64"/>
      <c r="V873" s="64"/>
      <c r="W873" s="64"/>
      <c r="X873" s="64"/>
      <c r="Y873" s="64"/>
      <c r="Z873" s="64"/>
      <c r="AA873" s="64"/>
      <c r="AB873" s="64"/>
      <c r="AC873" s="64"/>
      <c r="AD873" s="64"/>
      <c r="AE873" s="64"/>
      <c r="AF873" s="64"/>
      <c r="AG873" s="64"/>
    </row>
    <row r="874" spans="1:33">
      <c r="A874" s="64"/>
      <c r="B874" s="64"/>
      <c r="C874" s="64"/>
      <c r="D874" s="64"/>
      <c r="E874" s="64"/>
      <c r="F874" s="70"/>
      <c r="G874" s="71"/>
      <c r="H874" s="72"/>
      <c r="I874" s="64"/>
      <c r="J874" s="64"/>
      <c r="K874" s="64"/>
      <c r="L874" s="64"/>
      <c r="M874" s="64"/>
      <c r="N874" s="64"/>
      <c r="O874" s="64"/>
      <c r="P874" s="64"/>
      <c r="Q874" s="64"/>
      <c r="R874" s="64"/>
      <c r="S874" s="64"/>
      <c r="T874" s="64"/>
      <c r="U874" s="64"/>
      <c r="V874" s="64"/>
      <c r="W874" s="64"/>
      <c r="X874" s="64"/>
      <c r="Y874" s="64"/>
      <c r="Z874" s="64"/>
      <c r="AA874" s="64"/>
      <c r="AB874" s="64"/>
      <c r="AC874" s="64"/>
      <c r="AD874" s="64"/>
      <c r="AE874" s="64"/>
      <c r="AF874" s="64"/>
      <c r="AG874" s="64"/>
    </row>
    <row r="875" spans="1:33">
      <c r="A875" s="64"/>
      <c r="B875" s="64"/>
      <c r="C875" s="64"/>
      <c r="D875" s="64"/>
      <c r="E875" s="64"/>
      <c r="F875" s="70"/>
      <c r="G875" s="71"/>
      <c r="H875" s="72"/>
      <c r="I875" s="64"/>
      <c r="J875" s="64"/>
      <c r="K875" s="64"/>
      <c r="L875" s="64"/>
      <c r="M875" s="64"/>
      <c r="N875" s="64"/>
      <c r="O875" s="64"/>
      <c r="P875" s="64"/>
      <c r="Q875" s="64"/>
      <c r="R875" s="64"/>
      <c r="S875" s="64"/>
      <c r="T875" s="64"/>
      <c r="U875" s="64"/>
      <c r="V875" s="64"/>
      <c r="W875" s="64"/>
      <c r="X875" s="64"/>
      <c r="Y875" s="64"/>
      <c r="Z875" s="64"/>
      <c r="AA875" s="64"/>
      <c r="AB875" s="64"/>
      <c r="AC875" s="64"/>
      <c r="AD875" s="64"/>
      <c r="AE875" s="64"/>
      <c r="AF875" s="64"/>
      <c r="AG875" s="64"/>
    </row>
    <row r="876" spans="1:33">
      <c r="A876" s="64"/>
      <c r="B876" s="64"/>
      <c r="C876" s="64"/>
      <c r="D876" s="64"/>
      <c r="E876" s="64"/>
      <c r="F876" s="70"/>
      <c r="G876" s="71"/>
      <c r="H876" s="72"/>
      <c r="I876" s="64"/>
      <c r="J876" s="64"/>
      <c r="K876" s="64"/>
      <c r="L876" s="64"/>
      <c r="M876" s="64"/>
      <c r="N876" s="64"/>
      <c r="O876" s="64"/>
      <c r="P876" s="64"/>
      <c r="Q876" s="64"/>
      <c r="R876" s="64"/>
      <c r="S876" s="64"/>
      <c r="T876" s="64"/>
      <c r="U876" s="64"/>
      <c r="V876" s="64"/>
      <c r="W876" s="64"/>
      <c r="X876" s="64"/>
      <c r="Y876" s="64"/>
      <c r="Z876" s="64"/>
      <c r="AA876" s="64"/>
      <c r="AB876" s="64"/>
      <c r="AC876" s="64"/>
      <c r="AD876" s="64"/>
      <c r="AE876" s="64"/>
      <c r="AF876" s="64"/>
      <c r="AG876" s="64"/>
    </row>
    <row r="877" spans="1:33">
      <c r="A877" s="64"/>
      <c r="B877" s="64"/>
      <c r="C877" s="64"/>
      <c r="D877" s="64"/>
      <c r="E877" s="64"/>
      <c r="F877" s="70"/>
      <c r="G877" s="71"/>
      <c r="H877" s="72"/>
      <c r="I877" s="64"/>
      <c r="J877" s="64"/>
      <c r="K877" s="64"/>
      <c r="L877" s="64"/>
      <c r="M877" s="64"/>
      <c r="N877" s="64"/>
      <c r="O877" s="64"/>
      <c r="P877" s="64"/>
      <c r="Q877" s="64"/>
      <c r="R877" s="64"/>
      <c r="S877" s="64"/>
      <c r="T877" s="64"/>
      <c r="U877" s="64"/>
      <c r="V877" s="64"/>
      <c r="W877" s="64"/>
      <c r="X877" s="64"/>
      <c r="Y877" s="64"/>
      <c r="Z877" s="64"/>
      <c r="AA877" s="64"/>
      <c r="AB877" s="64"/>
      <c r="AC877" s="64"/>
      <c r="AD877" s="64"/>
      <c r="AE877" s="64"/>
      <c r="AF877" s="64"/>
      <c r="AG877" s="64"/>
    </row>
    <row r="878" spans="1:33">
      <c r="A878" s="64"/>
      <c r="B878" s="64"/>
      <c r="C878" s="64"/>
      <c r="D878" s="64"/>
      <c r="E878" s="64"/>
      <c r="F878" s="70"/>
      <c r="G878" s="71"/>
      <c r="H878" s="72"/>
      <c r="I878" s="64"/>
      <c r="J878" s="64"/>
      <c r="K878" s="64"/>
      <c r="L878" s="64"/>
      <c r="M878" s="64"/>
      <c r="N878" s="64"/>
      <c r="O878" s="64"/>
      <c r="P878" s="64"/>
      <c r="Q878" s="64"/>
      <c r="R878" s="64"/>
      <c r="S878" s="64"/>
      <c r="T878" s="64"/>
      <c r="U878" s="64"/>
      <c r="V878" s="64"/>
      <c r="W878" s="64"/>
      <c r="X878" s="64"/>
      <c r="Y878" s="64"/>
      <c r="Z878" s="64"/>
      <c r="AA878" s="64"/>
      <c r="AB878" s="64"/>
      <c r="AC878" s="64"/>
      <c r="AD878" s="64"/>
      <c r="AE878" s="64"/>
      <c r="AF878" s="64"/>
      <c r="AG878" s="64"/>
    </row>
    <row r="879" spans="1:33">
      <c r="A879" s="64"/>
      <c r="B879" s="64"/>
      <c r="C879" s="64"/>
      <c r="D879" s="64"/>
      <c r="E879" s="64"/>
      <c r="F879" s="70"/>
      <c r="G879" s="71"/>
      <c r="H879" s="72"/>
      <c r="I879" s="64"/>
      <c r="J879" s="64"/>
      <c r="K879" s="64"/>
      <c r="L879" s="64"/>
      <c r="M879" s="64"/>
      <c r="N879" s="64"/>
      <c r="O879" s="64"/>
      <c r="P879" s="64"/>
      <c r="Q879" s="64"/>
      <c r="R879" s="64"/>
      <c r="S879" s="64"/>
      <c r="T879" s="64"/>
      <c r="U879" s="64"/>
      <c r="V879" s="64"/>
      <c r="W879" s="64"/>
      <c r="X879" s="64"/>
      <c r="Y879" s="64"/>
      <c r="Z879" s="64"/>
      <c r="AA879" s="64"/>
      <c r="AB879" s="64"/>
      <c r="AC879" s="64"/>
      <c r="AD879" s="64"/>
      <c r="AE879" s="64"/>
      <c r="AF879" s="64"/>
      <c r="AG879" s="64"/>
    </row>
    <row r="880" spans="1:33">
      <c r="A880" s="64"/>
      <c r="B880" s="64"/>
      <c r="C880" s="64"/>
      <c r="D880" s="64"/>
      <c r="E880" s="64"/>
      <c r="F880" s="70"/>
      <c r="G880" s="71"/>
      <c r="H880" s="72"/>
      <c r="I880" s="64"/>
      <c r="J880" s="64"/>
      <c r="K880" s="64"/>
      <c r="L880" s="64"/>
      <c r="M880" s="64"/>
      <c r="N880" s="64"/>
      <c r="O880" s="64"/>
      <c r="P880" s="64"/>
      <c r="Q880" s="64"/>
      <c r="R880" s="64"/>
      <c r="S880" s="64"/>
      <c r="T880" s="64"/>
      <c r="U880" s="64"/>
      <c r="V880" s="64"/>
      <c r="W880" s="64"/>
      <c r="X880" s="64"/>
      <c r="Y880" s="64"/>
      <c r="Z880" s="64"/>
      <c r="AA880" s="64"/>
      <c r="AB880" s="64"/>
      <c r="AC880" s="64"/>
      <c r="AD880" s="64"/>
      <c r="AE880" s="64"/>
      <c r="AF880" s="64"/>
      <c r="AG880" s="64"/>
    </row>
    <row r="881" spans="1:33">
      <c r="A881" s="64"/>
      <c r="B881" s="64"/>
      <c r="C881" s="64"/>
      <c r="D881" s="64"/>
      <c r="E881" s="64"/>
      <c r="F881" s="70"/>
      <c r="G881" s="71"/>
      <c r="H881" s="72"/>
      <c r="I881" s="64"/>
      <c r="J881" s="64"/>
      <c r="K881" s="64"/>
      <c r="L881" s="64"/>
      <c r="M881" s="64"/>
      <c r="N881" s="64"/>
      <c r="O881" s="64"/>
      <c r="P881" s="64"/>
      <c r="Q881" s="64"/>
      <c r="R881" s="64"/>
      <c r="S881" s="64"/>
      <c r="T881" s="64"/>
      <c r="U881" s="64"/>
      <c r="V881" s="64"/>
      <c r="W881" s="64"/>
      <c r="X881" s="64"/>
      <c r="Y881" s="64"/>
      <c r="Z881" s="64"/>
      <c r="AA881" s="64"/>
      <c r="AB881" s="64"/>
      <c r="AC881" s="64"/>
      <c r="AD881" s="64"/>
      <c r="AE881" s="64"/>
      <c r="AF881" s="64"/>
      <c r="AG881" s="64"/>
    </row>
    <row r="882" spans="1:33">
      <c r="A882" s="64"/>
      <c r="B882" s="64"/>
      <c r="C882" s="64"/>
      <c r="D882" s="64"/>
      <c r="E882" s="64"/>
      <c r="F882" s="70"/>
      <c r="G882" s="71"/>
      <c r="H882" s="72"/>
      <c r="I882" s="64"/>
      <c r="J882" s="64"/>
      <c r="K882" s="64"/>
      <c r="L882" s="64"/>
      <c r="M882" s="64"/>
      <c r="N882" s="64"/>
      <c r="O882" s="64"/>
      <c r="P882" s="64"/>
      <c r="Q882" s="64"/>
      <c r="R882" s="64"/>
      <c r="S882" s="64"/>
      <c r="T882" s="64"/>
      <c r="U882" s="64"/>
      <c r="V882" s="64"/>
      <c r="W882" s="64"/>
      <c r="X882" s="64"/>
      <c r="Y882" s="64"/>
      <c r="Z882" s="64"/>
      <c r="AA882" s="64"/>
      <c r="AB882" s="64"/>
      <c r="AC882" s="64"/>
      <c r="AD882" s="64"/>
      <c r="AE882" s="64"/>
      <c r="AF882" s="64"/>
      <c r="AG882" s="64"/>
    </row>
    <row r="883" spans="1:33">
      <c r="A883" s="64"/>
      <c r="B883" s="64"/>
      <c r="C883" s="64"/>
      <c r="D883" s="64"/>
      <c r="E883" s="64"/>
      <c r="F883" s="70"/>
      <c r="G883" s="71"/>
      <c r="H883" s="72"/>
      <c r="I883" s="64"/>
      <c r="J883" s="64"/>
      <c r="K883" s="64"/>
      <c r="L883" s="64"/>
      <c r="M883" s="64"/>
      <c r="N883" s="64"/>
      <c r="O883" s="64"/>
      <c r="P883" s="64"/>
      <c r="Q883" s="64"/>
      <c r="R883" s="64"/>
      <c r="S883" s="64"/>
      <c r="T883" s="64"/>
      <c r="U883" s="64"/>
      <c r="V883" s="64"/>
      <c r="W883" s="64"/>
      <c r="X883" s="64"/>
      <c r="Y883" s="64"/>
      <c r="Z883" s="64"/>
      <c r="AA883" s="64"/>
      <c r="AB883" s="64"/>
      <c r="AC883" s="64"/>
      <c r="AD883" s="64"/>
      <c r="AE883" s="64"/>
      <c r="AF883" s="64"/>
      <c r="AG883" s="64"/>
    </row>
    <row r="884" spans="1:33">
      <c r="A884" s="64"/>
      <c r="B884" s="64"/>
      <c r="C884" s="64"/>
      <c r="D884" s="64"/>
      <c r="E884" s="64"/>
      <c r="F884" s="70"/>
      <c r="G884" s="71"/>
      <c r="H884" s="72"/>
      <c r="I884" s="64"/>
      <c r="J884" s="64"/>
      <c r="K884" s="64"/>
      <c r="L884" s="64"/>
      <c r="M884" s="64"/>
      <c r="N884" s="64"/>
      <c r="O884" s="64"/>
      <c r="P884" s="64"/>
      <c r="Q884" s="64"/>
      <c r="R884" s="64"/>
      <c r="S884" s="64"/>
      <c r="T884" s="64"/>
      <c r="U884" s="64"/>
      <c r="V884" s="64"/>
      <c r="W884" s="64"/>
      <c r="X884" s="64"/>
      <c r="Y884" s="64"/>
      <c r="Z884" s="64"/>
      <c r="AA884" s="64"/>
      <c r="AB884" s="64"/>
      <c r="AC884" s="64"/>
      <c r="AD884" s="64"/>
      <c r="AE884" s="64"/>
      <c r="AF884" s="64"/>
      <c r="AG884" s="64"/>
    </row>
    <row r="885" spans="1:33">
      <c r="A885" s="64"/>
      <c r="B885" s="64"/>
      <c r="C885" s="64"/>
      <c r="D885" s="64"/>
      <c r="E885" s="64"/>
      <c r="F885" s="70"/>
      <c r="G885" s="71"/>
      <c r="H885" s="72"/>
      <c r="I885" s="64"/>
      <c r="J885" s="64"/>
      <c r="K885" s="64"/>
      <c r="L885" s="64"/>
      <c r="M885" s="64"/>
      <c r="N885" s="64"/>
      <c r="O885" s="64"/>
      <c r="P885" s="64"/>
      <c r="Q885" s="64"/>
      <c r="R885" s="64"/>
      <c r="S885" s="64"/>
      <c r="T885" s="64"/>
      <c r="U885" s="64"/>
      <c r="V885" s="64"/>
      <c r="W885" s="64"/>
      <c r="X885" s="64"/>
      <c r="Y885" s="64"/>
      <c r="Z885" s="64"/>
      <c r="AA885" s="64"/>
      <c r="AB885" s="64"/>
      <c r="AC885" s="64"/>
      <c r="AD885" s="64"/>
      <c r="AE885" s="64"/>
      <c r="AF885" s="64"/>
      <c r="AG885" s="64"/>
    </row>
    <row r="886" spans="1:33">
      <c r="A886" s="64"/>
      <c r="B886" s="64"/>
      <c r="C886" s="64"/>
      <c r="D886" s="64"/>
      <c r="E886" s="64"/>
      <c r="F886" s="70"/>
      <c r="G886" s="71"/>
      <c r="H886" s="72"/>
      <c r="I886" s="64"/>
      <c r="J886" s="64"/>
      <c r="K886" s="64"/>
      <c r="L886" s="64"/>
      <c r="M886" s="64"/>
      <c r="N886" s="64"/>
      <c r="O886" s="64"/>
      <c r="P886" s="64"/>
      <c r="Q886" s="64"/>
      <c r="R886" s="64"/>
      <c r="S886" s="64"/>
      <c r="T886" s="64"/>
      <c r="U886" s="64"/>
      <c r="V886" s="64"/>
      <c r="W886" s="64"/>
      <c r="X886" s="64"/>
      <c r="Y886" s="64"/>
      <c r="Z886" s="64"/>
      <c r="AA886" s="64"/>
      <c r="AB886" s="64"/>
      <c r="AC886" s="64"/>
      <c r="AD886" s="64"/>
      <c r="AE886" s="64"/>
      <c r="AF886" s="64"/>
      <c r="AG886" s="64"/>
    </row>
    <row r="887" spans="1:33">
      <c r="A887" s="64"/>
      <c r="B887" s="64"/>
      <c r="C887" s="64"/>
      <c r="D887" s="64"/>
      <c r="E887" s="64"/>
      <c r="F887" s="70"/>
      <c r="G887" s="71"/>
      <c r="H887" s="72"/>
      <c r="I887" s="64"/>
      <c r="J887" s="64"/>
      <c r="K887" s="64"/>
      <c r="L887" s="64"/>
      <c r="M887" s="64"/>
      <c r="N887" s="64"/>
      <c r="O887" s="64"/>
      <c r="P887" s="64"/>
      <c r="Q887" s="64"/>
      <c r="R887" s="64"/>
      <c r="S887" s="64"/>
      <c r="T887" s="64"/>
      <c r="U887" s="64"/>
      <c r="V887" s="64"/>
      <c r="W887" s="64"/>
      <c r="X887" s="64"/>
      <c r="Y887" s="64"/>
      <c r="Z887" s="64"/>
      <c r="AA887" s="64"/>
      <c r="AB887" s="64"/>
      <c r="AC887" s="64"/>
      <c r="AD887" s="64"/>
      <c r="AE887" s="64"/>
      <c r="AF887" s="64"/>
      <c r="AG887" s="64"/>
    </row>
    <row r="888" spans="1:33">
      <c r="A888" s="64"/>
      <c r="B888" s="64"/>
      <c r="C888" s="64"/>
      <c r="D888" s="64"/>
      <c r="E888" s="64"/>
      <c r="F888" s="70"/>
      <c r="G888" s="71"/>
      <c r="H888" s="72"/>
      <c r="I888" s="64"/>
      <c r="J888" s="64"/>
      <c r="K888" s="64"/>
      <c r="L888" s="64"/>
      <c r="M888" s="64"/>
      <c r="N888" s="64"/>
      <c r="O888" s="64"/>
      <c r="P888" s="64"/>
      <c r="Q888" s="64"/>
      <c r="R888" s="64"/>
      <c r="S888" s="64"/>
      <c r="T888" s="64"/>
      <c r="U888" s="64"/>
      <c r="V888" s="64"/>
      <c r="W888" s="64"/>
      <c r="X888" s="64"/>
      <c r="Y888" s="64"/>
      <c r="Z888" s="64"/>
      <c r="AA888" s="64"/>
      <c r="AB888" s="64"/>
      <c r="AC888" s="64"/>
      <c r="AD888" s="64"/>
      <c r="AE888" s="64"/>
      <c r="AF888" s="64"/>
      <c r="AG888" s="64"/>
    </row>
    <row r="889" spans="1:33">
      <c r="A889" s="64"/>
      <c r="B889" s="64"/>
      <c r="C889" s="64"/>
      <c r="D889" s="64"/>
      <c r="E889" s="64"/>
      <c r="F889" s="70"/>
      <c r="G889" s="71"/>
      <c r="H889" s="72"/>
      <c r="I889" s="64"/>
      <c r="J889" s="64"/>
      <c r="K889" s="64"/>
      <c r="L889" s="64"/>
      <c r="M889" s="64"/>
      <c r="N889" s="64"/>
      <c r="O889" s="64"/>
      <c r="P889" s="64"/>
      <c r="Q889" s="64"/>
      <c r="R889" s="64"/>
      <c r="S889" s="64"/>
      <c r="T889" s="64"/>
      <c r="U889" s="64"/>
      <c r="V889" s="64"/>
      <c r="W889" s="64"/>
      <c r="X889" s="64"/>
      <c r="Y889" s="64"/>
      <c r="Z889" s="64"/>
      <c r="AA889" s="64"/>
      <c r="AB889" s="64"/>
      <c r="AC889" s="64"/>
      <c r="AD889" s="64"/>
      <c r="AE889" s="64"/>
      <c r="AF889" s="64"/>
      <c r="AG889" s="64"/>
    </row>
    <row r="890" spans="1:33">
      <c r="A890" s="64"/>
      <c r="B890" s="64"/>
      <c r="C890" s="64"/>
      <c r="D890" s="64"/>
      <c r="E890" s="64"/>
      <c r="F890" s="70"/>
      <c r="G890" s="71"/>
      <c r="H890" s="72"/>
      <c r="I890" s="64"/>
      <c r="J890" s="64"/>
      <c r="K890" s="64"/>
      <c r="L890" s="64"/>
      <c r="M890" s="64"/>
      <c r="N890" s="64"/>
      <c r="O890" s="64"/>
      <c r="P890" s="64"/>
      <c r="Q890" s="64"/>
      <c r="R890" s="64"/>
      <c r="S890" s="64"/>
      <c r="T890" s="64"/>
      <c r="U890" s="64"/>
      <c r="V890" s="64"/>
      <c r="W890" s="64"/>
      <c r="X890" s="64"/>
      <c r="Y890" s="64"/>
      <c r="Z890" s="64"/>
      <c r="AA890" s="64"/>
      <c r="AB890" s="64"/>
      <c r="AC890" s="64"/>
      <c r="AD890" s="64"/>
      <c r="AE890" s="64"/>
      <c r="AF890" s="64"/>
      <c r="AG890" s="64"/>
    </row>
    <row r="891" spans="1:33">
      <c r="A891" s="64"/>
      <c r="B891" s="64"/>
      <c r="C891" s="64"/>
      <c r="D891" s="64"/>
      <c r="E891" s="64"/>
      <c r="F891" s="70"/>
      <c r="G891" s="71"/>
      <c r="H891" s="72"/>
      <c r="I891" s="64"/>
      <c r="J891" s="64"/>
      <c r="K891" s="64"/>
      <c r="L891" s="64"/>
      <c r="M891" s="64"/>
      <c r="N891" s="64"/>
      <c r="O891" s="64"/>
      <c r="P891" s="64"/>
      <c r="Q891" s="64"/>
      <c r="R891" s="64"/>
      <c r="S891" s="64"/>
      <c r="T891" s="64"/>
      <c r="U891" s="64"/>
      <c r="V891" s="64"/>
      <c r="W891" s="64"/>
      <c r="X891" s="64"/>
      <c r="Y891" s="64"/>
      <c r="Z891" s="64"/>
      <c r="AA891" s="64"/>
      <c r="AB891" s="64"/>
      <c r="AC891" s="64"/>
      <c r="AD891" s="64"/>
      <c r="AE891" s="64"/>
      <c r="AF891" s="64"/>
      <c r="AG891" s="64"/>
    </row>
    <row r="892" spans="1:33">
      <c r="A892" s="64"/>
      <c r="B892" s="64"/>
      <c r="C892" s="64"/>
      <c r="D892" s="64"/>
      <c r="E892" s="64"/>
      <c r="F892" s="70"/>
      <c r="G892" s="71"/>
      <c r="H892" s="72"/>
      <c r="I892" s="64"/>
      <c r="J892" s="64"/>
      <c r="K892" s="64"/>
      <c r="L892" s="64"/>
      <c r="M892" s="64"/>
      <c r="N892" s="64"/>
      <c r="O892" s="64"/>
      <c r="P892" s="64"/>
      <c r="Q892" s="64"/>
      <c r="R892" s="64"/>
      <c r="S892" s="64"/>
      <c r="T892" s="64"/>
      <c r="U892" s="64"/>
      <c r="V892" s="64"/>
      <c r="W892" s="64"/>
      <c r="X892" s="64"/>
      <c r="Y892" s="64"/>
      <c r="Z892" s="64"/>
      <c r="AA892" s="64"/>
      <c r="AB892" s="64"/>
      <c r="AC892" s="64"/>
      <c r="AD892" s="64"/>
      <c r="AE892" s="64"/>
      <c r="AF892" s="64"/>
      <c r="AG892" s="64"/>
    </row>
    <row r="893" spans="1:33">
      <c r="A893" s="64"/>
      <c r="B893" s="64"/>
      <c r="C893" s="64"/>
      <c r="D893" s="64"/>
      <c r="E893" s="64"/>
      <c r="F893" s="70"/>
      <c r="G893" s="71"/>
      <c r="H893" s="72"/>
      <c r="I893" s="64"/>
      <c r="J893" s="64"/>
      <c r="K893" s="64"/>
      <c r="L893" s="64"/>
      <c r="M893" s="64"/>
      <c r="N893" s="64"/>
      <c r="O893" s="64"/>
      <c r="P893" s="64"/>
      <c r="Q893" s="64"/>
      <c r="R893" s="64"/>
      <c r="S893" s="64"/>
      <c r="T893" s="64"/>
      <c r="U893" s="64"/>
      <c r="V893" s="64"/>
      <c r="W893" s="64"/>
      <c r="X893" s="64"/>
      <c r="Y893" s="64"/>
      <c r="Z893" s="64"/>
      <c r="AA893" s="64"/>
      <c r="AB893" s="64"/>
      <c r="AC893" s="64"/>
      <c r="AD893" s="64"/>
      <c r="AE893" s="64"/>
      <c r="AF893" s="64"/>
      <c r="AG893" s="64"/>
    </row>
    <row r="894" spans="1:33">
      <c r="A894" s="64"/>
      <c r="B894" s="64"/>
      <c r="C894" s="64"/>
      <c r="D894" s="64"/>
      <c r="E894" s="64"/>
      <c r="F894" s="70"/>
      <c r="G894" s="71"/>
      <c r="H894" s="72"/>
      <c r="I894" s="64"/>
      <c r="J894" s="64"/>
      <c r="K894" s="64"/>
      <c r="L894" s="64"/>
      <c r="M894" s="64"/>
      <c r="N894" s="64"/>
      <c r="O894" s="64"/>
      <c r="P894" s="64"/>
      <c r="Q894" s="64"/>
      <c r="R894" s="64"/>
      <c r="S894" s="64"/>
      <c r="T894" s="64"/>
      <c r="U894" s="64"/>
      <c r="V894" s="64"/>
      <c r="W894" s="64"/>
      <c r="X894" s="64"/>
      <c r="Y894" s="64"/>
      <c r="Z894" s="64"/>
      <c r="AA894" s="64"/>
      <c r="AB894" s="64"/>
      <c r="AC894" s="64"/>
      <c r="AD894" s="64"/>
      <c r="AE894" s="64"/>
      <c r="AF894" s="64"/>
      <c r="AG894" s="64"/>
    </row>
    <row r="895" spans="1:33">
      <c r="A895" s="64"/>
      <c r="B895" s="64"/>
      <c r="C895" s="64"/>
      <c r="D895" s="64"/>
      <c r="E895" s="64"/>
      <c r="F895" s="70"/>
      <c r="G895" s="71"/>
      <c r="H895" s="72"/>
      <c r="I895" s="64"/>
      <c r="J895" s="64"/>
      <c r="K895" s="64"/>
      <c r="L895" s="64"/>
      <c r="M895" s="64"/>
      <c r="N895" s="64"/>
      <c r="O895" s="64"/>
      <c r="P895" s="64"/>
      <c r="Q895" s="64"/>
      <c r="R895" s="64"/>
      <c r="S895" s="64"/>
      <c r="T895" s="64"/>
      <c r="U895" s="64"/>
      <c r="V895" s="64"/>
      <c r="W895" s="64"/>
      <c r="X895" s="64"/>
      <c r="Y895" s="64"/>
      <c r="Z895" s="64"/>
      <c r="AA895" s="64"/>
      <c r="AB895" s="64"/>
      <c r="AC895" s="64"/>
      <c r="AD895" s="64"/>
      <c r="AE895" s="64"/>
      <c r="AF895" s="64"/>
      <c r="AG895" s="64"/>
    </row>
    <row r="896" spans="1:33">
      <c r="A896" s="64"/>
      <c r="B896" s="64"/>
      <c r="C896" s="64"/>
      <c r="D896" s="64"/>
      <c r="E896" s="64"/>
      <c r="F896" s="70"/>
      <c r="G896" s="71"/>
      <c r="H896" s="72"/>
      <c r="I896" s="64"/>
      <c r="J896" s="64"/>
      <c r="K896" s="64"/>
      <c r="L896" s="64"/>
      <c r="M896" s="64"/>
      <c r="N896" s="64"/>
      <c r="O896" s="64"/>
      <c r="P896" s="64"/>
      <c r="Q896" s="64"/>
      <c r="R896" s="64"/>
      <c r="S896" s="64"/>
      <c r="T896" s="64"/>
      <c r="U896" s="64"/>
      <c r="V896" s="64"/>
      <c r="W896" s="64"/>
      <c r="X896" s="64"/>
      <c r="Y896" s="64"/>
      <c r="Z896" s="64"/>
      <c r="AA896" s="64"/>
      <c r="AB896" s="64"/>
      <c r="AC896" s="64"/>
      <c r="AD896" s="64"/>
      <c r="AE896" s="64"/>
      <c r="AF896" s="64"/>
      <c r="AG896" s="64"/>
    </row>
    <row r="897" spans="1:33">
      <c r="A897" s="64"/>
      <c r="B897" s="64"/>
      <c r="C897" s="64"/>
      <c r="D897" s="64"/>
      <c r="E897" s="64"/>
      <c r="F897" s="70"/>
      <c r="G897" s="71"/>
      <c r="H897" s="72"/>
      <c r="I897" s="64"/>
      <c r="J897" s="64"/>
      <c r="K897" s="64"/>
      <c r="L897" s="64"/>
      <c r="M897" s="64"/>
      <c r="N897" s="64"/>
      <c r="O897" s="64"/>
      <c r="P897" s="64"/>
      <c r="Q897" s="64"/>
      <c r="R897" s="64"/>
      <c r="S897" s="64"/>
      <c r="T897" s="64"/>
      <c r="U897" s="64"/>
      <c r="V897" s="64"/>
      <c r="W897" s="64"/>
      <c r="X897" s="64"/>
      <c r="Y897" s="64"/>
      <c r="Z897" s="64"/>
      <c r="AA897" s="64"/>
      <c r="AB897" s="64"/>
      <c r="AC897" s="64"/>
      <c r="AD897" s="64"/>
      <c r="AE897" s="64"/>
      <c r="AF897" s="64"/>
      <c r="AG897" s="64"/>
    </row>
    <row r="898" spans="1:33">
      <c r="A898" s="64"/>
      <c r="B898" s="64"/>
      <c r="C898" s="64"/>
      <c r="D898" s="64"/>
      <c r="E898" s="64"/>
      <c r="F898" s="70"/>
      <c r="G898" s="71"/>
      <c r="H898" s="72"/>
      <c r="I898" s="64"/>
      <c r="J898" s="64"/>
      <c r="K898" s="64"/>
      <c r="L898" s="64"/>
      <c r="M898" s="64"/>
      <c r="N898" s="64"/>
      <c r="O898" s="64"/>
      <c r="P898" s="64"/>
      <c r="Q898" s="64"/>
      <c r="R898" s="64"/>
      <c r="S898" s="64"/>
      <c r="T898" s="64"/>
      <c r="U898" s="64"/>
      <c r="V898" s="64"/>
      <c r="W898" s="64"/>
      <c r="X898" s="64"/>
      <c r="Y898" s="64"/>
      <c r="Z898" s="64"/>
      <c r="AA898" s="64"/>
      <c r="AB898" s="64"/>
      <c r="AC898" s="64"/>
      <c r="AD898" s="64"/>
      <c r="AE898" s="64"/>
      <c r="AF898" s="64"/>
      <c r="AG898" s="64"/>
    </row>
    <row r="899" spans="1:33">
      <c r="A899" s="64"/>
      <c r="B899" s="64"/>
      <c r="C899" s="64"/>
      <c r="D899" s="64"/>
      <c r="E899" s="64"/>
      <c r="F899" s="70"/>
      <c r="G899" s="71"/>
      <c r="H899" s="72"/>
      <c r="I899" s="64"/>
      <c r="J899" s="64"/>
      <c r="K899" s="64"/>
      <c r="L899" s="64"/>
      <c r="M899" s="64"/>
      <c r="N899" s="64"/>
      <c r="O899" s="64"/>
      <c r="P899" s="64"/>
      <c r="Q899" s="64"/>
      <c r="R899" s="64"/>
      <c r="S899" s="64"/>
      <c r="T899" s="64"/>
      <c r="U899" s="64"/>
      <c r="V899" s="64"/>
      <c r="W899" s="64"/>
      <c r="X899" s="64"/>
      <c r="Y899" s="64"/>
      <c r="Z899" s="64"/>
      <c r="AA899" s="64"/>
      <c r="AB899" s="64"/>
      <c r="AC899" s="64"/>
      <c r="AD899" s="64"/>
      <c r="AE899" s="64"/>
      <c r="AF899" s="64"/>
      <c r="AG899" s="64"/>
    </row>
    <row r="900" spans="1:33">
      <c r="A900" s="64"/>
      <c r="B900" s="64"/>
      <c r="C900" s="64"/>
      <c r="D900" s="64"/>
      <c r="E900" s="64"/>
      <c r="F900" s="70"/>
      <c r="G900" s="71"/>
      <c r="H900" s="72"/>
      <c r="I900" s="64"/>
      <c r="J900" s="64"/>
      <c r="K900" s="64"/>
      <c r="L900" s="64"/>
      <c r="M900" s="64"/>
      <c r="N900" s="64"/>
      <c r="O900" s="64"/>
      <c r="P900" s="64"/>
      <c r="Q900" s="64"/>
      <c r="R900" s="64"/>
      <c r="S900" s="64"/>
      <c r="T900" s="64"/>
      <c r="U900" s="64"/>
      <c r="V900" s="64"/>
      <c r="W900" s="64"/>
      <c r="X900" s="64"/>
      <c r="Y900" s="64"/>
      <c r="Z900" s="64"/>
      <c r="AA900" s="64"/>
      <c r="AB900" s="64"/>
      <c r="AC900" s="64"/>
      <c r="AD900" s="64"/>
      <c r="AE900" s="64"/>
      <c r="AF900" s="64"/>
      <c r="AG900" s="64"/>
    </row>
    <row r="901" spans="1:33">
      <c r="A901" s="64"/>
      <c r="B901" s="64"/>
      <c r="C901" s="64"/>
      <c r="D901" s="64"/>
      <c r="E901" s="64"/>
      <c r="F901" s="70"/>
      <c r="G901" s="71"/>
      <c r="H901" s="72"/>
      <c r="I901" s="64"/>
      <c r="J901" s="64"/>
      <c r="K901" s="64"/>
      <c r="L901" s="64"/>
      <c r="M901" s="64"/>
      <c r="N901" s="64"/>
      <c r="O901" s="64"/>
      <c r="P901" s="64"/>
      <c r="Q901" s="64"/>
      <c r="R901" s="64"/>
      <c r="S901" s="64"/>
      <c r="T901" s="64"/>
      <c r="U901" s="64"/>
      <c r="V901" s="64"/>
      <c r="W901" s="64"/>
      <c r="X901" s="64"/>
      <c r="Y901" s="64"/>
      <c r="Z901" s="64"/>
      <c r="AA901" s="64"/>
      <c r="AB901" s="64"/>
      <c r="AC901" s="64"/>
      <c r="AD901" s="64"/>
      <c r="AE901" s="64"/>
      <c r="AF901" s="64"/>
      <c r="AG901" s="64"/>
    </row>
    <row r="902" spans="1:33">
      <c r="A902" s="64"/>
      <c r="B902" s="64"/>
      <c r="C902" s="64"/>
      <c r="D902" s="64"/>
      <c r="E902" s="64"/>
      <c r="F902" s="70"/>
      <c r="G902" s="71"/>
      <c r="H902" s="72"/>
      <c r="I902" s="64"/>
      <c r="J902" s="64"/>
      <c r="K902" s="64"/>
      <c r="L902" s="64"/>
      <c r="M902" s="64"/>
      <c r="N902" s="64"/>
      <c r="O902" s="64"/>
      <c r="P902" s="64"/>
      <c r="Q902" s="64"/>
      <c r="R902" s="64"/>
      <c r="S902" s="64"/>
      <c r="T902" s="64"/>
      <c r="U902" s="64"/>
      <c r="V902" s="64"/>
      <c r="W902" s="64"/>
      <c r="X902" s="64"/>
      <c r="Y902" s="64"/>
      <c r="Z902" s="64"/>
      <c r="AA902" s="64"/>
      <c r="AB902" s="64"/>
      <c r="AC902" s="64"/>
      <c r="AD902" s="64"/>
      <c r="AE902" s="64"/>
      <c r="AF902" s="64"/>
      <c r="AG902" s="64"/>
    </row>
    <row r="903" spans="1:33">
      <c r="A903" s="64"/>
      <c r="B903" s="64"/>
      <c r="C903" s="64"/>
      <c r="D903" s="64"/>
      <c r="E903" s="64"/>
      <c r="F903" s="70"/>
      <c r="G903" s="71"/>
      <c r="H903" s="72"/>
      <c r="I903" s="64"/>
      <c r="J903" s="64"/>
      <c r="K903" s="64"/>
      <c r="L903" s="64"/>
      <c r="M903" s="64"/>
      <c r="N903" s="64"/>
      <c r="O903" s="64"/>
      <c r="P903" s="64"/>
      <c r="Q903" s="64"/>
      <c r="R903" s="64"/>
      <c r="S903" s="64"/>
      <c r="T903" s="64"/>
      <c r="U903" s="64"/>
      <c r="V903" s="64"/>
      <c r="W903" s="64"/>
      <c r="X903" s="64"/>
      <c r="Y903" s="64"/>
      <c r="Z903" s="64"/>
      <c r="AA903" s="64"/>
      <c r="AB903" s="64"/>
      <c r="AC903" s="64"/>
      <c r="AD903" s="64"/>
      <c r="AE903" s="64"/>
      <c r="AF903" s="64"/>
      <c r="AG903" s="64"/>
    </row>
    <row r="904" spans="1:33">
      <c r="A904" s="64"/>
      <c r="B904" s="64"/>
      <c r="C904" s="64"/>
      <c r="D904" s="64"/>
      <c r="E904" s="64"/>
      <c r="F904" s="70"/>
      <c r="G904" s="71"/>
      <c r="H904" s="72"/>
      <c r="I904" s="64"/>
      <c r="J904" s="64"/>
      <c r="K904" s="64"/>
      <c r="L904" s="64"/>
      <c r="M904" s="64"/>
      <c r="N904" s="64"/>
      <c r="O904" s="64"/>
      <c r="P904" s="64"/>
      <c r="Q904" s="64"/>
      <c r="R904" s="64"/>
      <c r="S904" s="64"/>
      <c r="T904" s="64"/>
      <c r="U904" s="64"/>
      <c r="V904" s="64"/>
      <c r="W904" s="64"/>
      <c r="X904" s="64"/>
      <c r="Y904" s="64"/>
      <c r="Z904" s="64"/>
      <c r="AA904" s="64"/>
      <c r="AB904" s="64"/>
      <c r="AC904" s="64"/>
      <c r="AD904" s="64"/>
      <c r="AE904" s="64"/>
      <c r="AF904" s="64"/>
      <c r="AG904" s="64"/>
    </row>
    <row r="905" spans="1:33">
      <c r="A905" s="64"/>
      <c r="B905" s="64"/>
      <c r="C905" s="64"/>
      <c r="D905" s="64"/>
      <c r="E905" s="64"/>
      <c r="F905" s="70"/>
      <c r="G905" s="71"/>
      <c r="H905" s="72"/>
      <c r="I905" s="64"/>
      <c r="J905" s="64"/>
      <c r="K905" s="64"/>
      <c r="L905" s="64"/>
      <c r="M905" s="64"/>
      <c r="N905" s="64"/>
      <c r="O905" s="64"/>
      <c r="P905" s="64"/>
      <c r="Q905" s="64"/>
      <c r="R905" s="64"/>
      <c r="S905" s="64"/>
      <c r="T905" s="64"/>
      <c r="U905" s="64"/>
      <c r="V905" s="64"/>
      <c r="W905" s="64"/>
      <c r="X905" s="64"/>
      <c r="Y905" s="64"/>
      <c r="Z905" s="64"/>
      <c r="AA905" s="64"/>
      <c r="AB905" s="64"/>
      <c r="AC905" s="64"/>
      <c r="AD905" s="64"/>
      <c r="AE905" s="64"/>
      <c r="AF905" s="64"/>
      <c r="AG905" s="64"/>
    </row>
    <row r="906" spans="1:33">
      <c r="A906" s="64"/>
      <c r="B906" s="64"/>
      <c r="C906" s="64"/>
      <c r="D906" s="64"/>
      <c r="E906" s="64"/>
      <c r="F906" s="70"/>
      <c r="G906" s="71"/>
      <c r="H906" s="72"/>
      <c r="I906" s="64"/>
      <c r="J906" s="64"/>
      <c r="K906" s="64"/>
      <c r="L906" s="64"/>
      <c r="M906" s="64"/>
      <c r="N906" s="64"/>
      <c r="O906" s="64"/>
      <c r="P906" s="64"/>
      <c r="Q906" s="64"/>
      <c r="R906" s="64"/>
      <c r="S906" s="64"/>
      <c r="T906" s="64"/>
      <c r="U906" s="64"/>
      <c r="V906" s="64"/>
      <c r="W906" s="64"/>
      <c r="X906" s="64"/>
      <c r="Y906" s="64"/>
      <c r="Z906" s="64"/>
      <c r="AA906" s="64"/>
      <c r="AB906" s="64"/>
      <c r="AC906" s="64"/>
      <c r="AD906" s="64"/>
      <c r="AE906" s="64"/>
      <c r="AF906" s="64"/>
      <c r="AG906" s="64"/>
    </row>
    <row r="907" spans="1:33">
      <c r="A907" s="64"/>
      <c r="B907" s="64"/>
      <c r="C907" s="64"/>
      <c r="D907" s="64"/>
      <c r="E907" s="64"/>
      <c r="F907" s="70"/>
      <c r="G907" s="71"/>
      <c r="H907" s="72"/>
      <c r="I907" s="64"/>
      <c r="J907" s="64"/>
      <c r="K907" s="64"/>
      <c r="L907" s="64"/>
      <c r="M907" s="64"/>
      <c r="N907" s="64"/>
      <c r="O907" s="64"/>
      <c r="P907" s="64"/>
      <c r="Q907" s="64"/>
      <c r="R907" s="64"/>
      <c r="S907" s="64"/>
      <c r="T907" s="64"/>
      <c r="U907" s="64"/>
      <c r="V907" s="64"/>
      <c r="W907" s="64"/>
      <c r="X907" s="64"/>
      <c r="Y907" s="64"/>
      <c r="Z907" s="64"/>
      <c r="AA907" s="64"/>
      <c r="AB907" s="64"/>
      <c r="AC907" s="64"/>
      <c r="AD907" s="64"/>
      <c r="AE907" s="64"/>
      <c r="AF907" s="64"/>
      <c r="AG907" s="64"/>
    </row>
    <row r="908" spans="1:33">
      <c r="A908" s="64"/>
      <c r="B908" s="64"/>
      <c r="C908" s="64"/>
      <c r="D908" s="64"/>
      <c r="E908" s="64"/>
      <c r="F908" s="70"/>
      <c r="G908" s="71"/>
      <c r="H908" s="72"/>
      <c r="I908" s="64"/>
      <c r="J908" s="64"/>
      <c r="K908" s="64"/>
      <c r="L908" s="64"/>
      <c r="M908" s="64"/>
      <c r="N908" s="64"/>
      <c r="O908" s="64"/>
      <c r="P908" s="64"/>
      <c r="Q908" s="64"/>
      <c r="R908" s="64"/>
      <c r="S908" s="64"/>
      <c r="T908" s="64"/>
      <c r="U908" s="64"/>
      <c r="V908" s="64"/>
      <c r="W908" s="64"/>
      <c r="X908" s="64"/>
      <c r="Y908" s="64"/>
      <c r="Z908" s="64"/>
      <c r="AA908" s="64"/>
      <c r="AB908" s="64"/>
      <c r="AC908" s="64"/>
      <c r="AD908" s="64"/>
      <c r="AE908" s="64"/>
      <c r="AF908" s="64"/>
      <c r="AG908" s="64"/>
    </row>
    <row r="909" spans="1:33">
      <c r="A909" s="64"/>
      <c r="B909" s="64"/>
      <c r="C909" s="64"/>
      <c r="D909" s="64"/>
      <c r="E909" s="64"/>
      <c r="F909" s="70"/>
      <c r="G909" s="71"/>
      <c r="H909" s="72"/>
      <c r="I909" s="64"/>
      <c r="J909" s="64"/>
      <c r="K909" s="64"/>
      <c r="L909" s="64"/>
      <c r="M909" s="64"/>
      <c r="N909" s="64"/>
      <c r="O909" s="64"/>
      <c r="P909" s="64"/>
      <c r="Q909" s="64"/>
      <c r="R909" s="64"/>
      <c r="S909" s="64"/>
      <c r="T909" s="64"/>
      <c r="U909" s="64"/>
      <c r="V909" s="64"/>
      <c r="W909" s="64"/>
      <c r="X909" s="64"/>
      <c r="Y909" s="64"/>
      <c r="Z909" s="64"/>
      <c r="AA909" s="64"/>
      <c r="AB909" s="64"/>
      <c r="AC909" s="64"/>
      <c r="AD909" s="64"/>
      <c r="AE909" s="64"/>
      <c r="AF909" s="64"/>
      <c r="AG909" s="64"/>
    </row>
    <row r="910" spans="1:33">
      <c r="A910" s="64"/>
      <c r="B910" s="64"/>
      <c r="C910" s="64"/>
      <c r="D910" s="64"/>
      <c r="E910" s="64"/>
      <c r="F910" s="70"/>
      <c r="G910" s="71"/>
      <c r="H910" s="72"/>
      <c r="I910" s="64"/>
      <c r="J910" s="64"/>
      <c r="K910" s="64"/>
      <c r="L910" s="64"/>
      <c r="M910" s="64"/>
      <c r="N910" s="64"/>
      <c r="O910" s="64"/>
      <c r="P910" s="64"/>
      <c r="Q910" s="64"/>
      <c r="R910" s="64"/>
      <c r="S910" s="64"/>
      <c r="T910" s="64"/>
      <c r="U910" s="64"/>
      <c r="V910" s="64"/>
      <c r="W910" s="64"/>
      <c r="X910" s="64"/>
      <c r="Y910" s="64"/>
      <c r="Z910" s="64"/>
      <c r="AA910" s="64"/>
      <c r="AB910" s="64"/>
      <c r="AC910" s="64"/>
      <c r="AD910" s="64"/>
      <c r="AE910" s="64"/>
      <c r="AF910" s="64"/>
      <c r="AG910" s="64"/>
    </row>
    <row r="911" spans="1:33">
      <c r="A911" s="64"/>
      <c r="B911" s="64"/>
      <c r="C911" s="64"/>
      <c r="D911" s="64"/>
      <c r="E911" s="64"/>
      <c r="F911" s="70"/>
      <c r="G911" s="71"/>
      <c r="H911" s="72"/>
      <c r="I911" s="64"/>
      <c r="J911" s="64"/>
      <c r="K911" s="64"/>
      <c r="L911" s="64"/>
      <c r="M911" s="64"/>
      <c r="N911" s="64"/>
      <c r="O911" s="64"/>
      <c r="P911" s="64"/>
      <c r="Q911" s="64"/>
      <c r="R911" s="64"/>
      <c r="S911" s="64"/>
      <c r="T911" s="64"/>
      <c r="U911" s="64"/>
      <c r="V911" s="64"/>
      <c r="W911" s="64"/>
      <c r="X911" s="64"/>
      <c r="Y911" s="64"/>
      <c r="Z911" s="64"/>
      <c r="AA911" s="64"/>
      <c r="AB911" s="64"/>
      <c r="AC911" s="64"/>
      <c r="AD911" s="64"/>
      <c r="AE911" s="64"/>
      <c r="AF911" s="64"/>
      <c r="AG911" s="64"/>
    </row>
    <row r="912" spans="1:33">
      <c r="A912" s="64"/>
      <c r="B912" s="64"/>
      <c r="C912" s="64"/>
      <c r="D912" s="64"/>
      <c r="E912" s="64"/>
      <c r="F912" s="70"/>
      <c r="G912" s="71"/>
      <c r="H912" s="72"/>
      <c r="I912" s="64"/>
      <c r="J912" s="64"/>
      <c r="K912" s="64"/>
      <c r="L912" s="64"/>
      <c r="M912" s="64"/>
      <c r="N912" s="64"/>
      <c r="O912" s="64"/>
      <c r="P912" s="64"/>
      <c r="Q912" s="64"/>
      <c r="R912" s="64"/>
      <c r="S912" s="64"/>
      <c r="T912" s="64"/>
      <c r="U912" s="64"/>
      <c r="V912" s="64"/>
      <c r="W912" s="64"/>
      <c r="X912" s="64"/>
      <c r="Y912" s="64"/>
      <c r="Z912" s="64"/>
      <c r="AA912" s="64"/>
      <c r="AB912" s="64"/>
      <c r="AC912" s="64"/>
      <c r="AD912" s="64"/>
      <c r="AE912" s="64"/>
      <c r="AF912" s="64"/>
      <c r="AG912" s="64"/>
    </row>
    <row r="913" spans="1:33">
      <c r="A913" s="64"/>
      <c r="B913" s="64"/>
      <c r="C913" s="64"/>
      <c r="D913" s="64"/>
      <c r="E913" s="64"/>
      <c r="F913" s="70"/>
      <c r="G913" s="71"/>
      <c r="H913" s="72"/>
      <c r="I913" s="64"/>
      <c r="J913" s="64"/>
      <c r="K913" s="64"/>
      <c r="L913" s="64"/>
      <c r="M913" s="64"/>
      <c r="N913" s="64"/>
      <c r="O913" s="64"/>
      <c r="P913" s="64"/>
      <c r="Q913" s="64"/>
      <c r="R913" s="64"/>
      <c r="S913" s="64"/>
      <c r="T913" s="64"/>
      <c r="U913" s="64"/>
      <c r="V913" s="64"/>
      <c r="W913" s="64"/>
      <c r="X913" s="64"/>
      <c r="Y913" s="64"/>
      <c r="Z913" s="64"/>
      <c r="AA913" s="64"/>
      <c r="AB913" s="64"/>
      <c r="AC913" s="64"/>
      <c r="AD913" s="64"/>
      <c r="AE913" s="64"/>
      <c r="AF913" s="64"/>
      <c r="AG913" s="64"/>
    </row>
    <row r="914" spans="1:33">
      <c r="A914" s="64"/>
      <c r="B914" s="64"/>
      <c r="C914" s="64"/>
      <c r="D914" s="64"/>
      <c r="E914" s="64"/>
      <c r="F914" s="70"/>
      <c r="G914" s="71"/>
      <c r="H914" s="72"/>
      <c r="I914" s="64"/>
      <c r="J914" s="64"/>
      <c r="K914" s="64"/>
      <c r="L914" s="64"/>
      <c r="M914" s="64"/>
      <c r="N914" s="64"/>
      <c r="O914" s="64"/>
      <c r="P914" s="64"/>
      <c r="Q914" s="64"/>
      <c r="R914" s="64"/>
      <c r="S914" s="64"/>
      <c r="T914" s="64"/>
      <c r="U914" s="64"/>
      <c r="V914" s="64"/>
      <c r="W914" s="64"/>
      <c r="X914" s="64"/>
      <c r="Y914" s="64"/>
      <c r="Z914" s="64"/>
      <c r="AA914" s="64"/>
      <c r="AB914" s="64"/>
      <c r="AC914" s="64"/>
      <c r="AD914" s="64"/>
      <c r="AE914" s="64"/>
      <c r="AF914" s="64"/>
      <c r="AG914" s="64"/>
    </row>
    <row r="915" spans="1:33">
      <c r="A915" s="64"/>
      <c r="B915" s="64"/>
      <c r="C915" s="64"/>
      <c r="D915" s="64"/>
      <c r="E915" s="64"/>
      <c r="F915" s="70"/>
      <c r="G915" s="71"/>
      <c r="H915" s="72"/>
      <c r="I915" s="64"/>
      <c r="J915" s="64"/>
      <c r="K915" s="64"/>
      <c r="L915" s="64"/>
      <c r="M915" s="64"/>
      <c r="N915" s="64"/>
      <c r="O915" s="64"/>
      <c r="P915" s="64"/>
      <c r="Q915" s="64"/>
      <c r="R915" s="64"/>
      <c r="S915" s="64"/>
      <c r="T915" s="64"/>
      <c r="U915" s="64"/>
      <c r="V915" s="64"/>
      <c r="W915" s="64"/>
      <c r="X915" s="64"/>
      <c r="Y915" s="64"/>
      <c r="Z915" s="64"/>
      <c r="AA915" s="64"/>
      <c r="AB915" s="64"/>
      <c r="AC915" s="64"/>
      <c r="AD915" s="64"/>
      <c r="AE915" s="64"/>
      <c r="AF915" s="64"/>
      <c r="AG915" s="64"/>
    </row>
    <row r="916" spans="1:33">
      <c r="A916" s="64"/>
      <c r="B916" s="64"/>
      <c r="C916" s="64"/>
      <c r="D916" s="64"/>
      <c r="E916" s="64"/>
      <c r="F916" s="70"/>
      <c r="G916" s="71"/>
      <c r="H916" s="72"/>
      <c r="I916" s="64"/>
      <c r="J916" s="64"/>
      <c r="K916" s="64"/>
      <c r="L916" s="64"/>
      <c r="M916" s="64"/>
      <c r="N916" s="64"/>
      <c r="O916" s="64"/>
      <c r="P916" s="64"/>
      <c r="Q916" s="64"/>
      <c r="R916" s="64"/>
      <c r="S916" s="64"/>
      <c r="T916" s="64"/>
      <c r="U916" s="64"/>
      <c r="V916" s="64"/>
      <c r="W916" s="64"/>
      <c r="X916" s="64"/>
      <c r="Y916" s="64"/>
      <c r="Z916" s="64"/>
      <c r="AA916" s="64"/>
      <c r="AB916" s="64"/>
      <c r="AC916" s="64"/>
      <c r="AD916" s="64"/>
      <c r="AE916" s="64"/>
      <c r="AF916" s="64"/>
      <c r="AG916" s="64"/>
    </row>
    <row r="917" spans="1:33">
      <c r="A917" s="64"/>
      <c r="B917" s="64"/>
      <c r="C917" s="64"/>
      <c r="D917" s="64"/>
      <c r="E917" s="64"/>
      <c r="F917" s="70"/>
      <c r="G917" s="71"/>
      <c r="H917" s="72"/>
      <c r="I917" s="64"/>
      <c r="J917" s="64"/>
      <c r="K917" s="64"/>
      <c r="L917" s="64"/>
      <c r="M917" s="64"/>
      <c r="N917" s="64"/>
      <c r="O917" s="64"/>
      <c r="P917" s="64"/>
      <c r="Q917" s="64"/>
      <c r="R917" s="64"/>
      <c r="S917" s="64"/>
      <c r="T917" s="64"/>
      <c r="U917" s="64"/>
      <c r="V917" s="64"/>
      <c r="W917" s="64"/>
      <c r="X917" s="64"/>
      <c r="Y917" s="64"/>
      <c r="Z917" s="64"/>
      <c r="AA917" s="64"/>
      <c r="AB917" s="64"/>
      <c r="AC917" s="64"/>
      <c r="AD917" s="64"/>
      <c r="AE917" s="64"/>
      <c r="AF917" s="64"/>
      <c r="AG917" s="64"/>
    </row>
    <row r="918" spans="1:33">
      <c r="A918" s="64"/>
      <c r="B918" s="64"/>
      <c r="C918" s="64"/>
      <c r="D918" s="64"/>
      <c r="E918" s="64"/>
      <c r="F918" s="70"/>
      <c r="G918" s="71"/>
      <c r="H918" s="72"/>
      <c r="I918" s="64"/>
      <c r="J918" s="64"/>
      <c r="K918" s="64"/>
      <c r="L918" s="64"/>
      <c r="M918" s="64"/>
      <c r="N918" s="64"/>
      <c r="O918" s="64"/>
      <c r="P918" s="64"/>
      <c r="Q918" s="64"/>
      <c r="R918" s="64"/>
      <c r="S918" s="64"/>
      <c r="T918" s="64"/>
      <c r="U918" s="64"/>
      <c r="V918" s="64"/>
      <c r="W918" s="64"/>
      <c r="X918" s="64"/>
      <c r="Y918" s="64"/>
      <c r="Z918" s="64"/>
      <c r="AA918" s="64"/>
      <c r="AB918" s="64"/>
      <c r="AC918" s="64"/>
      <c r="AD918" s="64"/>
      <c r="AE918" s="64"/>
      <c r="AF918" s="64"/>
      <c r="AG918" s="64"/>
    </row>
    <row r="919" spans="1:33">
      <c r="A919" s="64"/>
      <c r="B919" s="64"/>
      <c r="C919" s="64"/>
      <c r="D919" s="64"/>
      <c r="E919" s="64"/>
      <c r="F919" s="70"/>
      <c r="G919" s="71"/>
      <c r="H919" s="72"/>
      <c r="I919" s="64"/>
      <c r="J919" s="64"/>
      <c r="K919" s="64"/>
      <c r="L919" s="64"/>
      <c r="M919" s="64"/>
      <c r="N919" s="64"/>
      <c r="O919" s="64"/>
      <c r="P919" s="64"/>
      <c r="Q919" s="64"/>
      <c r="R919" s="64"/>
      <c r="S919" s="64"/>
      <c r="T919" s="64"/>
      <c r="U919" s="64"/>
      <c r="V919" s="64"/>
      <c r="W919" s="64"/>
      <c r="X919" s="64"/>
      <c r="Y919" s="64"/>
      <c r="Z919" s="64"/>
      <c r="AA919" s="64"/>
      <c r="AB919" s="64"/>
      <c r="AC919" s="64"/>
      <c r="AD919" s="64"/>
      <c r="AE919" s="64"/>
      <c r="AF919" s="64"/>
      <c r="AG919" s="64"/>
    </row>
    <row r="920" spans="1:33">
      <c r="A920" s="64"/>
      <c r="B920" s="64"/>
      <c r="C920" s="64"/>
      <c r="D920" s="64"/>
      <c r="E920" s="64"/>
      <c r="F920" s="70"/>
      <c r="G920" s="71"/>
      <c r="H920" s="72"/>
      <c r="I920" s="64"/>
      <c r="J920" s="64"/>
      <c r="K920" s="64"/>
      <c r="L920" s="64"/>
      <c r="M920" s="64"/>
      <c r="N920" s="64"/>
      <c r="O920" s="64"/>
      <c r="P920" s="64"/>
      <c r="Q920" s="64"/>
      <c r="R920" s="64"/>
      <c r="S920" s="64"/>
      <c r="T920" s="64"/>
      <c r="U920" s="64"/>
      <c r="V920" s="64"/>
      <c r="W920" s="64"/>
      <c r="X920" s="64"/>
      <c r="Y920" s="64"/>
      <c r="Z920" s="64"/>
      <c r="AA920" s="64"/>
      <c r="AB920" s="64"/>
      <c r="AC920" s="64"/>
      <c r="AD920" s="64"/>
      <c r="AE920" s="64"/>
      <c r="AF920" s="64"/>
      <c r="AG920" s="64"/>
    </row>
    <row r="921" spans="1:33">
      <c r="A921" s="64"/>
      <c r="B921" s="64"/>
      <c r="C921" s="64"/>
      <c r="D921" s="64"/>
      <c r="E921" s="64"/>
      <c r="F921" s="70"/>
      <c r="G921" s="71"/>
      <c r="H921" s="72"/>
      <c r="I921" s="64"/>
      <c r="J921" s="64"/>
      <c r="K921" s="64"/>
      <c r="L921" s="64"/>
      <c r="M921" s="64"/>
      <c r="N921" s="64"/>
      <c r="O921" s="64"/>
      <c r="P921" s="64"/>
      <c r="Q921" s="64"/>
      <c r="R921" s="64"/>
      <c r="S921" s="64"/>
      <c r="T921" s="64"/>
      <c r="U921" s="64"/>
      <c r="V921" s="64"/>
      <c r="W921" s="64"/>
      <c r="X921" s="64"/>
      <c r="Y921" s="64"/>
      <c r="Z921" s="64"/>
      <c r="AA921" s="64"/>
      <c r="AB921" s="64"/>
      <c r="AC921" s="64"/>
      <c r="AD921" s="64"/>
      <c r="AE921" s="64"/>
      <c r="AF921" s="64"/>
      <c r="AG921" s="64"/>
    </row>
    <row r="922" spans="1:33">
      <c r="A922" s="64"/>
      <c r="B922" s="64"/>
      <c r="C922" s="64"/>
      <c r="D922" s="64"/>
      <c r="E922" s="64"/>
      <c r="F922" s="70"/>
      <c r="G922" s="71"/>
      <c r="H922" s="72"/>
      <c r="I922" s="64"/>
      <c r="J922" s="64"/>
      <c r="K922" s="64"/>
      <c r="L922" s="64"/>
      <c r="M922" s="64"/>
      <c r="N922" s="64"/>
      <c r="O922" s="64"/>
      <c r="P922" s="64"/>
      <c r="Q922" s="64"/>
      <c r="R922" s="64"/>
      <c r="S922" s="64"/>
      <c r="T922" s="64"/>
      <c r="U922" s="64"/>
      <c r="V922" s="64"/>
      <c r="W922" s="64"/>
      <c r="X922" s="64"/>
      <c r="Y922" s="64"/>
      <c r="Z922" s="64"/>
      <c r="AA922" s="64"/>
      <c r="AB922" s="64"/>
      <c r="AC922" s="64"/>
      <c r="AD922" s="64"/>
      <c r="AE922" s="64"/>
      <c r="AF922" s="64"/>
      <c r="AG922" s="64"/>
    </row>
    <row r="923" spans="1:33">
      <c r="A923" s="64"/>
      <c r="B923" s="64"/>
      <c r="C923" s="64"/>
      <c r="D923" s="64"/>
      <c r="E923" s="64"/>
      <c r="F923" s="70"/>
      <c r="G923" s="71"/>
      <c r="H923" s="72"/>
      <c r="I923" s="64"/>
      <c r="J923" s="64"/>
      <c r="K923" s="64"/>
      <c r="L923" s="64"/>
      <c r="M923" s="64"/>
      <c r="N923" s="64"/>
      <c r="O923" s="64"/>
      <c r="P923" s="64"/>
      <c r="Q923" s="64"/>
      <c r="R923" s="64"/>
      <c r="S923" s="64"/>
      <c r="T923" s="64"/>
      <c r="U923" s="64"/>
      <c r="V923" s="64"/>
      <c r="W923" s="64"/>
      <c r="X923" s="64"/>
      <c r="Y923" s="64"/>
      <c r="Z923" s="64"/>
      <c r="AA923" s="64"/>
      <c r="AB923" s="64"/>
      <c r="AC923" s="64"/>
      <c r="AD923" s="64"/>
      <c r="AE923" s="64"/>
      <c r="AF923" s="64"/>
      <c r="AG923" s="64"/>
    </row>
    <row r="924" spans="1:33">
      <c r="A924" s="64"/>
      <c r="B924" s="64"/>
      <c r="C924" s="64"/>
      <c r="D924" s="64"/>
      <c r="E924" s="64"/>
      <c r="F924" s="70"/>
      <c r="G924" s="71"/>
      <c r="H924" s="72"/>
      <c r="I924" s="64"/>
      <c r="J924" s="64"/>
      <c r="K924" s="64"/>
      <c r="L924" s="64"/>
      <c r="M924" s="64"/>
      <c r="N924" s="64"/>
      <c r="O924" s="64"/>
      <c r="P924" s="64"/>
      <c r="Q924" s="64"/>
      <c r="R924" s="64"/>
      <c r="S924" s="64"/>
      <c r="T924" s="64"/>
      <c r="U924" s="64"/>
      <c r="V924" s="64"/>
      <c r="W924" s="64"/>
      <c r="X924" s="64"/>
      <c r="Y924" s="64"/>
      <c r="Z924" s="64"/>
      <c r="AA924" s="64"/>
      <c r="AB924" s="64"/>
      <c r="AC924" s="64"/>
      <c r="AD924" s="64"/>
      <c r="AE924" s="64"/>
      <c r="AF924" s="64"/>
      <c r="AG924" s="64"/>
    </row>
    <row r="925" spans="1:33">
      <c r="A925" s="64"/>
      <c r="B925" s="64"/>
      <c r="C925" s="64"/>
      <c r="D925" s="64"/>
      <c r="E925" s="64"/>
      <c r="F925" s="70"/>
      <c r="G925" s="71"/>
      <c r="H925" s="72"/>
      <c r="I925" s="64"/>
      <c r="J925" s="64"/>
      <c r="K925" s="64"/>
      <c r="L925" s="64"/>
      <c r="M925" s="64"/>
      <c r="N925" s="64"/>
      <c r="O925" s="64"/>
      <c r="P925" s="64"/>
      <c r="Q925" s="64"/>
      <c r="R925" s="64"/>
      <c r="S925" s="64"/>
      <c r="T925" s="64"/>
      <c r="U925" s="64"/>
      <c r="V925" s="64"/>
      <c r="W925" s="64"/>
      <c r="X925" s="64"/>
      <c r="Y925" s="64"/>
      <c r="Z925" s="64"/>
      <c r="AA925" s="64"/>
      <c r="AB925" s="64"/>
      <c r="AC925" s="64"/>
      <c r="AD925" s="64"/>
      <c r="AE925" s="64"/>
      <c r="AF925" s="64"/>
      <c r="AG925" s="64"/>
    </row>
    <row r="926" spans="1:33">
      <c r="A926" s="64"/>
      <c r="B926" s="64"/>
      <c r="C926" s="64"/>
      <c r="D926" s="64"/>
      <c r="E926" s="64"/>
      <c r="F926" s="70"/>
      <c r="G926" s="71"/>
      <c r="H926" s="72"/>
      <c r="I926" s="64"/>
      <c r="J926" s="64"/>
      <c r="K926" s="64"/>
      <c r="L926" s="64"/>
      <c r="M926" s="64"/>
      <c r="N926" s="64"/>
      <c r="O926" s="64"/>
      <c r="P926" s="64"/>
      <c r="Q926" s="64"/>
      <c r="R926" s="64"/>
      <c r="S926" s="64"/>
      <c r="T926" s="64"/>
      <c r="U926" s="64"/>
      <c r="V926" s="64"/>
      <c r="W926" s="64"/>
      <c r="X926" s="64"/>
      <c r="Y926" s="64"/>
      <c r="Z926" s="64"/>
      <c r="AA926" s="64"/>
      <c r="AB926" s="64"/>
      <c r="AC926" s="64"/>
      <c r="AD926" s="64"/>
      <c r="AE926" s="64"/>
      <c r="AF926" s="64"/>
      <c r="AG926" s="64"/>
    </row>
    <row r="927" spans="1:33">
      <c r="A927" s="64"/>
      <c r="B927" s="64"/>
      <c r="C927" s="64"/>
      <c r="D927" s="64"/>
      <c r="E927" s="64"/>
      <c r="F927" s="70"/>
      <c r="G927" s="71"/>
      <c r="H927" s="72"/>
      <c r="I927" s="64"/>
      <c r="J927" s="64"/>
      <c r="K927" s="64"/>
      <c r="L927" s="64"/>
      <c r="M927" s="64"/>
      <c r="N927" s="64"/>
      <c r="O927" s="64"/>
      <c r="P927" s="64"/>
      <c r="Q927" s="64"/>
      <c r="R927" s="64"/>
      <c r="S927" s="64"/>
      <c r="T927" s="64"/>
      <c r="U927" s="64"/>
      <c r="V927" s="64"/>
      <c r="W927" s="64"/>
      <c r="X927" s="64"/>
      <c r="Y927" s="64"/>
      <c r="Z927" s="64"/>
      <c r="AA927" s="64"/>
      <c r="AB927" s="64"/>
      <c r="AC927" s="64"/>
      <c r="AD927" s="64"/>
      <c r="AE927" s="64"/>
      <c r="AF927" s="64"/>
      <c r="AG927" s="64"/>
    </row>
    <row r="928" spans="1:33">
      <c r="A928" s="64"/>
      <c r="B928" s="64"/>
      <c r="C928" s="64"/>
      <c r="D928" s="64"/>
      <c r="E928" s="64"/>
      <c r="F928" s="70"/>
      <c r="G928" s="71"/>
      <c r="H928" s="72"/>
      <c r="I928" s="64"/>
      <c r="J928" s="64"/>
      <c r="K928" s="64"/>
      <c r="L928" s="64"/>
      <c r="M928" s="64"/>
      <c r="N928" s="64"/>
      <c r="O928" s="64"/>
      <c r="P928" s="64"/>
      <c r="Q928" s="64"/>
      <c r="R928" s="64"/>
      <c r="S928" s="64"/>
      <c r="T928" s="64"/>
      <c r="U928" s="64"/>
      <c r="V928" s="64"/>
      <c r="W928" s="64"/>
      <c r="X928" s="64"/>
      <c r="Y928" s="64"/>
      <c r="Z928" s="64"/>
      <c r="AA928" s="64"/>
      <c r="AB928" s="64"/>
      <c r="AC928" s="64"/>
      <c r="AD928" s="64"/>
      <c r="AE928" s="64"/>
      <c r="AF928" s="64"/>
      <c r="AG928" s="64"/>
    </row>
    <row r="929" spans="1:33">
      <c r="A929" s="64"/>
      <c r="B929" s="64"/>
      <c r="C929" s="64"/>
      <c r="D929" s="64"/>
      <c r="E929" s="64"/>
      <c r="F929" s="70"/>
      <c r="G929" s="71"/>
      <c r="H929" s="72"/>
      <c r="I929" s="64"/>
      <c r="J929" s="64"/>
      <c r="K929" s="64"/>
      <c r="L929" s="64"/>
      <c r="M929" s="64"/>
      <c r="N929" s="64"/>
      <c r="O929" s="64"/>
      <c r="P929" s="64"/>
      <c r="Q929" s="64"/>
      <c r="R929" s="64"/>
      <c r="S929" s="64"/>
      <c r="T929" s="64"/>
      <c r="U929" s="64"/>
      <c r="V929" s="64"/>
      <c r="W929" s="64"/>
      <c r="X929" s="64"/>
      <c r="Y929" s="64"/>
      <c r="Z929" s="64"/>
      <c r="AA929" s="64"/>
      <c r="AB929" s="64"/>
      <c r="AC929" s="64"/>
      <c r="AD929" s="64"/>
      <c r="AE929" s="64"/>
      <c r="AF929" s="64"/>
      <c r="AG929" s="64"/>
    </row>
    <row r="930" spans="1:33">
      <c r="A930" s="64"/>
      <c r="B930" s="64"/>
      <c r="C930" s="64"/>
      <c r="D930" s="64"/>
      <c r="E930" s="64"/>
      <c r="F930" s="70"/>
      <c r="G930" s="71"/>
      <c r="H930" s="72"/>
      <c r="I930" s="64"/>
      <c r="J930" s="64"/>
      <c r="K930" s="64"/>
      <c r="L930" s="64"/>
      <c r="M930" s="64"/>
      <c r="N930" s="64"/>
      <c r="O930" s="64"/>
      <c r="P930" s="64"/>
      <c r="Q930" s="64"/>
      <c r="R930" s="64"/>
      <c r="S930" s="64"/>
      <c r="T930" s="64"/>
      <c r="U930" s="64"/>
      <c r="V930" s="64"/>
      <c r="W930" s="64"/>
      <c r="X930" s="64"/>
      <c r="Y930" s="64"/>
      <c r="Z930" s="64"/>
      <c r="AA930" s="64"/>
      <c r="AB930" s="64"/>
      <c r="AC930" s="64"/>
      <c r="AD930" s="64"/>
      <c r="AE930" s="64"/>
      <c r="AF930" s="64"/>
      <c r="AG930" s="64"/>
    </row>
    <row r="931" spans="1:33">
      <c r="A931" s="64"/>
      <c r="B931" s="64"/>
      <c r="C931" s="64"/>
      <c r="D931" s="64"/>
      <c r="E931" s="64"/>
      <c r="F931" s="70"/>
      <c r="G931" s="71"/>
      <c r="H931" s="72"/>
      <c r="I931" s="64"/>
      <c r="J931" s="64"/>
      <c r="K931" s="64"/>
      <c r="L931" s="64"/>
      <c r="M931" s="64"/>
      <c r="N931" s="64"/>
      <c r="O931" s="64"/>
      <c r="P931" s="64"/>
      <c r="Q931" s="64"/>
      <c r="R931" s="64"/>
      <c r="S931" s="64"/>
      <c r="T931" s="64"/>
      <c r="U931" s="64"/>
      <c r="V931" s="64"/>
      <c r="W931" s="64"/>
      <c r="X931" s="64"/>
      <c r="Y931" s="64"/>
      <c r="Z931" s="64"/>
      <c r="AA931" s="64"/>
      <c r="AB931" s="64"/>
      <c r="AC931" s="64"/>
      <c r="AD931" s="64"/>
      <c r="AE931" s="64"/>
      <c r="AF931" s="64"/>
      <c r="AG931" s="64"/>
    </row>
    <row r="932" spans="1:33">
      <c r="A932" s="64"/>
      <c r="B932" s="64"/>
      <c r="C932" s="64"/>
      <c r="D932" s="64"/>
      <c r="E932" s="64"/>
      <c r="F932" s="70"/>
      <c r="G932" s="71"/>
      <c r="H932" s="72"/>
      <c r="I932" s="64"/>
      <c r="J932" s="64"/>
      <c r="K932" s="64"/>
      <c r="L932" s="64"/>
      <c r="M932" s="64"/>
      <c r="N932" s="64"/>
      <c r="O932" s="64"/>
      <c r="P932" s="64"/>
      <c r="Q932" s="64"/>
      <c r="R932" s="64"/>
      <c r="S932" s="64"/>
      <c r="T932" s="64"/>
      <c r="U932" s="64"/>
      <c r="V932" s="64"/>
      <c r="W932" s="64"/>
      <c r="X932" s="64"/>
      <c r="Y932" s="64"/>
      <c r="Z932" s="64"/>
      <c r="AA932" s="64"/>
      <c r="AB932" s="64"/>
      <c r="AC932" s="64"/>
      <c r="AD932" s="64"/>
      <c r="AE932" s="64"/>
      <c r="AF932" s="64"/>
      <c r="AG932" s="64"/>
    </row>
    <row r="933" spans="1:33">
      <c r="A933" s="64"/>
      <c r="B933" s="64"/>
      <c r="C933" s="64"/>
      <c r="D933" s="64"/>
      <c r="E933" s="64"/>
      <c r="F933" s="70"/>
      <c r="G933" s="71"/>
      <c r="H933" s="72"/>
      <c r="I933" s="64"/>
      <c r="J933" s="64"/>
      <c r="K933" s="64"/>
      <c r="L933" s="64"/>
      <c r="M933" s="64"/>
      <c r="N933" s="64"/>
      <c r="O933" s="64"/>
      <c r="P933" s="64"/>
      <c r="Q933" s="64"/>
      <c r="R933" s="64"/>
      <c r="S933" s="64"/>
      <c r="T933" s="64"/>
      <c r="U933" s="64"/>
      <c r="V933" s="64"/>
      <c r="W933" s="64"/>
      <c r="X933" s="64"/>
      <c r="Y933" s="64"/>
      <c r="Z933" s="64"/>
      <c r="AA933" s="64"/>
      <c r="AB933" s="64"/>
      <c r="AC933" s="64"/>
      <c r="AD933" s="64"/>
      <c r="AE933" s="64"/>
      <c r="AF933" s="64"/>
      <c r="AG933" s="64"/>
    </row>
    <row r="934" spans="1:33">
      <c r="A934" s="64"/>
      <c r="B934" s="64"/>
      <c r="C934" s="64"/>
      <c r="D934" s="64"/>
      <c r="E934" s="64"/>
      <c r="F934" s="70"/>
      <c r="G934" s="71"/>
      <c r="H934" s="72"/>
      <c r="I934" s="64"/>
      <c r="J934" s="64"/>
      <c r="K934" s="64"/>
      <c r="L934" s="64"/>
      <c r="M934" s="64"/>
      <c r="N934" s="64"/>
      <c r="O934" s="64"/>
      <c r="P934" s="64"/>
      <c r="Q934" s="64"/>
      <c r="R934" s="64"/>
      <c r="S934" s="64"/>
      <c r="T934" s="64"/>
      <c r="U934" s="64"/>
      <c r="V934" s="64"/>
      <c r="W934" s="64"/>
      <c r="X934" s="64"/>
      <c r="Y934" s="64"/>
      <c r="Z934" s="64"/>
      <c r="AA934" s="64"/>
      <c r="AB934" s="64"/>
      <c r="AC934" s="64"/>
      <c r="AD934" s="64"/>
      <c r="AE934" s="64"/>
      <c r="AF934" s="64"/>
      <c r="AG934" s="64"/>
    </row>
    <row r="935" spans="1:33">
      <c r="A935" s="64"/>
      <c r="B935" s="64"/>
      <c r="C935" s="64"/>
      <c r="D935" s="64"/>
      <c r="E935" s="64"/>
      <c r="F935" s="70"/>
      <c r="G935" s="71"/>
      <c r="H935" s="72"/>
      <c r="I935" s="64"/>
      <c r="J935" s="64"/>
      <c r="K935" s="64"/>
      <c r="L935" s="64"/>
      <c r="M935" s="64"/>
      <c r="N935" s="64"/>
      <c r="O935" s="64"/>
      <c r="P935" s="64"/>
      <c r="Q935" s="64"/>
      <c r="R935" s="64"/>
      <c r="S935" s="64"/>
      <c r="T935" s="64"/>
      <c r="U935" s="64"/>
      <c r="V935" s="64"/>
      <c r="W935" s="64"/>
      <c r="X935" s="64"/>
      <c r="Y935" s="64"/>
      <c r="Z935" s="64"/>
      <c r="AA935" s="64"/>
      <c r="AB935" s="64"/>
      <c r="AC935" s="64"/>
      <c r="AD935" s="64"/>
      <c r="AE935" s="64"/>
      <c r="AF935" s="64"/>
      <c r="AG935" s="64"/>
    </row>
    <row r="936" spans="1:33">
      <c r="A936" s="64"/>
      <c r="B936" s="64"/>
      <c r="C936" s="64"/>
      <c r="D936" s="64"/>
      <c r="E936" s="64"/>
      <c r="F936" s="70"/>
      <c r="G936" s="71"/>
      <c r="H936" s="72"/>
      <c r="I936" s="64"/>
      <c r="J936" s="64"/>
      <c r="K936" s="64"/>
      <c r="L936" s="64"/>
      <c r="M936" s="64"/>
      <c r="N936" s="64"/>
      <c r="O936" s="64"/>
      <c r="P936" s="64"/>
      <c r="Q936" s="64"/>
      <c r="R936" s="64"/>
      <c r="S936" s="64"/>
      <c r="T936" s="64"/>
      <c r="U936" s="64"/>
      <c r="V936" s="64"/>
      <c r="W936" s="64"/>
      <c r="X936" s="64"/>
      <c r="Y936" s="64"/>
      <c r="Z936" s="64"/>
      <c r="AA936" s="64"/>
      <c r="AB936" s="64"/>
      <c r="AC936" s="64"/>
      <c r="AD936" s="64"/>
      <c r="AE936" s="64"/>
      <c r="AF936" s="64"/>
      <c r="AG936" s="64"/>
    </row>
    <row r="937" spans="1:33">
      <c r="A937" s="64"/>
      <c r="B937" s="64"/>
      <c r="C937" s="64"/>
      <c r="D937" s="64"/>
      <c r="E937" s="64"/>
      <c r="F937" s="70"/>
      <c r="G937" s="71"/>
      <c r="H937" s="72"/>
      <c r="I937" s="64"/>
      <c r="J937" s="64"/>
      <c r="K937" s="64"/>
      <c r="L937" s="64"/>
      <c r="M937" s="64"/>
      <c r="N937" s="64"/>
      <c r="O937" s="64"/>
      <c r="P937" s="64"/>
      <c r="Q937" s="64"/>
      <c r="R937" s="64"/>
      <c r="S937" s="64"/>
      <c r="T937" s="64"/>
      <c r="U937" s="64"/>
      <c r="V937" s="64"/>
      <c r="W937" s="64"/>
      <c r="X937" s="64"/>
      <c r="Y937" s="64"/>
      <c r="Z937" s="64"/>
      <c r="AA937" s="64"/>
      <c r="AB937" s="64"/>
      <c r="AC937" s="64"/>
      <c r="AD937" s="64"/>
      <c r="AE937" s="64"/>
      <c r="AF937" s="64"/>
      <c r="AG937" s="64"/>
    </row>
    <row r="938" spans="1:33">
      <c r="A938" s="64"/>
      <c r="B938" s="64"/>
      <c r="C938" s="64"/>
      <c r="D938" s="64"/>
      <c r="E938" s="64"/>
      <c r="F938" s="70"/>
      <c r="G938" s="71"/>
      <c r="H938" s="72"/>
      <c r="I938" s="64"/>
      <c r="J938" s="64"/>
      <c r="K938" s="64"/>
      <c r="L938" s="64"/>
      <c r="M938" s="64"/>
      <c r="N938" s="64"/>
      <c r="O938" s="64"/>
      <c r="P938" s="64"/>
      <c r="Q938" s="64"/>
      <c r="R938" s="64"/>
      <c r="S938" s="64"/>
      <c r="T938" s="64"/>
      <c r="U938" s="64"/>
      <c r="V938" s="64"/>
      <c r="W938" s="64"/>
      <c r="X938" s="64"/>
      <c r="Y938" s="64"/>
      <c r="Z938" s="64"/>
      <c r="AA938" s="64"/>
      <c r="AB938" s="64"/>
      <c r="AC938" s="64"/>
      <c r="AD938" s="64"/>
      <c r="AE938" s="64"/>
      <c r="AF938" s="64"/>
      <c r="AG938" s="64"/>
    </row>
    <row r="939" spans="1:33">
      <c r="A939" s="64"/>
      <c r="B939" s="64"/>
      <c r="C939" s="64"/>
      <c r="D939" s="64"/>
      <c r="E939" s="64"/>
      <c r="F939" s="70"/>
      <c r="G939" s="71"/>
      <c r="H939" s="72"/>
      <c r="I939" s="64"/>
      <c r="J939" s="64"/>
      <c r="K939" s="64"/>
      <c r="L939" s="64"/>
      <c r="M939" s="64"/>
      <c r="N939" s="64"/>
      <c r="O939" s="64"/>
      <c r="P939" s="64"/>
      <c r="Q939" s="64"/>
      <c r="R939" s="64"/>
      <c r="S939" s="64"/>
      <c r="T939" s="64"/>
      <c r="U939" s="64"/>
      <c r="V939" s="64"/>
      <c r="W939" s="64"/>
      <c r="X939" s="64"/>
      <c r="Y939" s="64"/>
      <c r="Z939" s="64"/>
      <c r="AA939" s="64"/>
      <c r="AB939" s="64"/>
      <c r="AC939" s="64"/>
      <c r="AD939" s="64"/>
      <c r="AE939" s="64"/>
      <c r="AF939" s="64"/>
      <c r="AG939" s="64"/>
    </row>
    <row r="940" spans="1:33">
      <c r="A940" s="64"/>
      <c r="B940" s="64"/>
      <c r="C940" s="64"/>
      <c r="D940" s="64"/>
      <c r="E940" s="64"/>
      <c r="F940" s="70"/>
      <c r="G940" s="71"/>
      <c r="H940" s="72"/>
      <c r="I940" s="64"/>
      <c r="J940" s="64"/>
      <c r="K940" s="64"/>
      <c r="L940" s="64"/>
      <c r="M940" s="64"/>
      <c r="N940" s="64"/>
      <c r="O940" s="64"/>
      <c r="P940" s="64"/>
      <c r="Q940" s="64"/>
      <c r="R940" s="64"/>
      <c r="S940" s="64"/>
      <c r="T940" s="64"/>
      <c r="U940" s="64"/>
      <c r="V940" s="64"/>
      <c r="W940" s="64"/>
      <c r="X940" s="64"/>
      <c r="Y940" s="64"/>
      <c r="Z940" s="64"/>
      <c r="AA940" s="64"/>
      <c r="AB940" s="64"/>
      <c r="AC940" s="64"/>
      <c r="AD940" s="64"/>
      <c r="AE940" s="64"/>
      <c r="AF940" s="64"/>
      <c r="AG940" s="64"/>
    </row>
    <row r="941" spans="1:33">
      <c r="A941" s="64"/>
      <c r="B941" s="64"/>
      <c r="C941" s="64"/>
      <c r="D941" s="64"/>
      <c r="E941" s="64"/>
      <c r="F941" s="70"/>
      <c r="G941" s="71"/>
      <c r="H941" s="72"/>
      <c r="I941" s="64"/>
      <c r="J941" s="64"/>
      <c r="K941" s="64"/>
      <c r="L941" s="64"/>
      <c r="M941" s="64"/>
      <c r="N941" s="64"/>
      <c r="O941" s="64"/>
      <c r="P941" s="64"/>
      <c r="Q941" s="64"/>
      <c r="R941" s="64"/>
      <c r="S941" s="64"/>
      <c r="T941" s="64"/>
      <c r="U941" s="64"/>
      <c r="V941" s="64"/>
      <c r="W941" s="64"/>
      <c r="X941" s="64"/>
      <c r="Y941" s="64"/>
      <c r="Z941" s="64"/>
      <c r="AA941" s="64"/>
      <c r="AB941" s="64"/>
      <c r="AC941" s="64"/>
      <c r="AD941" s="64"/>
      <c r="AE941" s="64"/>
      <c r="AF941" s="64"/>
      <c r="AG941" s="64"/>
    </row>
    <row r="942" spans="1:33">
      <c r="A942" s="64"/>
      <c r="B942" s="64"/>
      <c r="C942" s="64"/>
      <c r="D942" s="64"/>
      <c r="E942" s="64"/>
      <c r="F942" s="70"/>
      <c r="G942" s="71"/>
      <c r="H942" s="72"/>
      <c r="I942" s="64"/>
      <c r="J942" s="64"/>
      <c r="K942" s="64"/>
      <c r="L942" s="64"/>
      <c r="M942" s="64"/>
      <c r="N942" s="64"/>
      <c r="O942" s="64"/>
      <c r="P942" s="64"/>
      <c r="Q942" s="64"/>
      <c r="R942" s="64"/>
      <c r="S942" s="64"/>
      <c r="T942" s="64"/>
      <c r="U942" s="64"/>
      <c r="V942" s="64"/>
      <c r="W942" s="64"/>
      <c r="X942" s="64"/>
      <c r="Y942" s="64"/>
      <c r="Z942" s="64"/>
      <c r="AA942" s="64"/>
      <c r="AB942" s="64"/>
      <c r="AC942" s="64"/>
      <c r="AD942" s="64"/>
      <c r="AE942" s="64"/>
      <c r="AF942" s="64"/>
      <c r="AG942" s="64"/>
    </row>
    <row r="943" spans="1:33">
      <c r="A943" s="64"/>
      <c r="B943" s="64"/>
      <c r="C943" s="64"/>
      <c r="D943" s="64"/>
      <c r="E943" s="64"/>
      <c r="F943" s="70"/>
      <c r="G943" s="71"/>
      <c r="H943" s="72"/>
      <c r="I943" s="64"/>
      <c r="J943" s="64"/>
      <c r="K943" s="64"/>
      <c r="L943" s="64"/>
      <c r="M943" s="64"/>
      <c r="N943" s="64"/>
      <c r="O943" s="64"/>
      <c r="P943" s="64"/>
      <c r="Q943" s="64"/>
      <c r="R943" s="64"/>
      <c r="S943" s="64"/>
      <c r="T943" s="64"/>
      <c r="U943" s="64"/>
      <c r="V943" s="64"/>
      <c r="W943" s="64"/>
      <c r="X943" s="64"/>
      <c r="Y943" s="64"/>
      <c r="Z943" s="64"/>
      <c r="AA943" s="64"/>
      <c r="AB943" s="64"/>
      <c r="AC943" s="64"/>
      <c r="AD943" s="64"/>
      <c r="AE943" s="64"/>
      <c r="AF943" s="64"/>
      <c r="AG943" s="64"/>
    </row>
    <row r="944" spans="1:33">
      <c r="A944" s="64"/>
      <c r="B944" s="64"/>
      <c r="C944" s="64"/>
      <c r="D944" s="64"/>
      <c r="E944" s="64"/>
      <c r="F944" s="70"/>
      <c r="G944" s="71"/>
      <c r="H944" s="72"/>
      <c r="I944" s="64"/>
      <c r="J944" s="64"/>
      <c r="K944" s="64"/>
      <c r="L944" s="64"/>
      <c r="M944" s="64"/>
      <c r="N944" s="64"/>
      <c r="O944" s="64"/>
      <c r="P944" s="64"/>
      <c r="Q944" s="64"/>
      <c r="R944" s="64"/>
      <c r="S944" s="64"/>
      <c r="T944" s="64"/>
      <c r="U944" s="64"/>
      <c r="V944" s="64"/>
      <c r="W944" s="64"/>
      <c r="X944" s="64"/>
      <c r="Y944" s="64"/>
      <c r="Z944" s="64"/>
      <c r="AA944" s="64"/>
      <c r="AB944" s="64"/>
      <c r="AC944" s="64"/>
      <c r="AD944" s="64"/>
      <c r="AE944" s="64"/>
      <c r="AF944" s="64"/>
      <c r="AG944" s="64"/>
    </row>
    <row r="945" spans="1:33">
      <c r="A945" s="64"/>
      <c r="B945" s="64"/>
      <c r="C945" s="64"/>
      <c r="D945" s="64"/>
      <c r="E945" s="64"/>
      <c r="F945" s="70"/>
      <c r="G945" s="71"/>
      <c r="H945" s="72"/>
      <c r="I945" s="64"/>
      <c r="J945" s="64"/>
      <c r="K945" s="64"/>
      <c r="L945" s="64"/>
      <c r="M945" s="64"/>
      <c r="N945" s="64"/>
      <c r="O945" s="64"/>
      <c r="P945" s="64"/>
      <c r="Q945" s="64"/>
      <c r="R945" s="64"/>
      <c r="S945" s="64"/>
      <c r="T945" s="64"/>
      <c r="U945" s="64"/>
      <c r="V945" s="64"/>
      <c r="W945" s="64"/>
      <c r="X945" s="64"/>
      <c r="Y945" s="64"/>
      <c r="Z945" s="64"/>
      <c r="AA945" s="64"/>
      <c r="AB945" s="64"/>
      <c r="AC945" s="64"/>
      <c r="AD945" s="64"/>
      <c r="AE945" s="64"/>
      <c r="AF945" s="64"/>
      <c r="AG945" s="64"/>
    </row>
    <row r="946" spans="1:33">
      <c r="A946" s="64"/>
      <c r="B946" s="64"/>
      <c r="C946" s="64"/>
      <c r="D946" s="64"/>
      <c r="E946" s="64"/>
      <c r="F946" s="70"/>
      <c r="G946" s="71"/>
      <c r="H946" s="72"/>
      <c r="I946" s="64"/>
      <c r="J946" s="64"/>
      <c r="K946" s="64"/>
      <c r="L946" s="64"/>
      <c r="M946" s="64"/>
      <c r="N946" s="64"/>
      <c r="O946" s="64"/>
      <c r="P946" s="64"/>
      <c r="Q946" s="64"/>
      <c r="R946" s="64"/>
      <c r="S946" s="64"/>
      <c r="T946" s="64"/>
      <c r="U946" s="64"/>
      <c r="V946" s="64"/>
      <c r="W946" s="64"/>
      <c r="X946" s="64"/>
      <c r="Y946" s="64"/>
      <c r="Z946" s="64"/>
      <c r="AA946" s="64"/>
      <c r="AB946" s="64"/>
      <c r="AC946" s="64"/>
      <c r="AD946" s="64"/>
      <c r="AE946" s="64"/>
      <c r="AF946" s="64"/>
      <c r="AG946" s="64"/>
    </row>
    <row r="947" spans="1:33">
      <c r="A947" s="64"/>
      <c r="B947" s="64"/>
      <c r="C947" s="64"/>
      <c r="D947" s="64"/>
      <c r="E947" s="64"/>
      <c r="F947" s="70"/>
      <c r="G947" s="71"/>
      <c r="H947" s="72"/>
      <c r="I947" s="64"/>
      <c r="J947" s="64"/>
      <c r="K947" s="64"/>
      <c r="L947" s="64"/>
      <c r="M947" s="64"/>
      <c r="N947" s="64"/>
      <c r="O947" s="64"/>
      <c r="P947" s="64"/>
      <c r="Q947" s="64"/>
      <c r="R947" s="64"/>
      <c r="S947" s="64"/>
      <c r="T947" s="64"/>
      <c r="U947" s="64"/>
      <c r="V947" s="64"/>
      <c r="W947" s="64"/>
      <c r="X947" s="64"/>
      <c r="Y947" s="64"/>
      <c r="Z947" s="64"/>
      <c r="AA947" s="64"/>
      <c r="AB947" s="64"/>
      <c r="AC947" s="64"/>
      <c r="AD947" s="64"/>
      <c r="AE947" s="64"/>
      <c r="AF947" s="64"/>
      <c r="AG947" s="64"/>
    </row>
    <row r="948" spans="1:33">
      <c r="A948" s="64"/>
      <c r="B948" s="64"/>
      <c r="C948" s="64"/>
      <c r="D948" s="64"/>
      <c r="E948" s="64"/>
      <c r="F948" s="70"/>
      <c r="G948" s="71"/>
      <c r="H948" s="72"/>
      <c r="I948" s="64"/>
      <c r="J948" s="64"/>
      <c r="K948" s="64"/>
      <c r="L948" s="64"/>
      <c r="M948" s="64"/>
      <c r="N948" s="64"/>
      <c r="O948" s="64"/>
      <c r="P948" s="64"/>
      <c r="Q948" s="64"/>
      <c r="R948" s="64"/>
      <c r="S948" s="64"/>
      <c r="T948" s="64"/>
      <c r="U948" s="64"/>
      <c r="V948" s="64"/>
      <c r="W948" s="64"/>
      <c r="X948" s="64"/>
      <c r="Y948" s="64"/>
      <c r="Z948" s="64"/>
      <c r="AA948" s="64"/>
      <c r="AB948" s="64"/>
      <c r="AC948" s="64"/>
      <c r="AD948" s="64"/>
      <c r="AE948" s="64"/>
      <c r="AF948" s="64"/>
      <c r="AG948" s="64"/>
    </row>
    <row r="949" spans="1:33">
      <c r="A949" s="64"/>
      <c r="B949" s="64"/>
      <c r="C949" s="64"/>
      <c r="D949" s="64"/>
      <c r="E949" s="64"/>
      <c r="F949" s="70"/>
      <c r="G949" s="71"/>
      <c r="H949" s="72"/>
      <c r="I949" s="64"/>
      <c r="J949" s="64"/>
      <c r="K949" s="64"/>
      <c r="L949" s="64"/>
      <c r="M949" s="64"/>
      <c r="N949" s="64"/>
      <c r="O949" s="64"/>
      <c r="P949" s="64"/>
      <c r="Q949" s="64"/>
      <c r="R949" s="64"/>
      <c r="S949" s="64"/>
      <c r="T949" s="64"/>
      <c r="U949" s="64"/>
      <c r="V949" s="64"/>
      <c r="W949" s="64"/>
      <c r="X949" s="64"/>
      <c r="Y949" s="64"/>
      <c r="Z949" s="64"/>
      <c r="AA949" s="64"/>
      <c r="AB949" s="64"/>
      <c r="AC949" s="64"/>
      <c r="AD949" s="64"/>
      <c r="AE949" s="64"/>
      <c r="AF949" s="64"/>
      <c r="AG949" s="64"/>
    </row>
    <row r="950" spans="1:33">
      <c r="A950" s="64"/>
      <c r="B950" s="64"/>
      <c r="C950" s="64"/>
      <c r="D950" s="64"/>
      <c r="E950" s="64"/>
      <c r="F950" s="70"/>
      <c r="G950" s="71"/>
      <c r="H950" s="72"/>
      <c r="I950" s="64"/>
      <c r="J950" s="64"/>
      <c r="K950" s="64"/>
      <c r="L950" s="64"/>
      <c r="M950" s="64"/>
      <c r="N950" s="64"/>
      <c r="O950" s="64"/>
      <c r="P950" s="64"/>
      <c r="Q950" s="64"/>
      <c r="R950" s="64"/>
      <c r="S950" s="64"/>
      <c r="T950" s="64"/>
      <c r="U950" s="64"/>
      <c r="V950" s="64"/>
      <c r="W950" s="64"/>
      <c r="X950" s="64"/>
      <c r="Y950" s="64"/>
      <c r="Z950" s="64"/>
      <c r="AA950" s="64"/>
      <c r="AB950" s="64"/>
      <c r="AC950" s="64"/>
      <c r="AD950" s="64"/>
      <c r="AE950" s="64"/>
      <c r="AF950" s="64"/>
      <c r="AG950" s="64"/>
    </row>
    <row r="951" spans="1:33">
      <c r="A951" s="64"/>
      <c r="B951" s="64"/>
      <c r="C951" s="64"/>
      <c r="D951" s="64"/>
      <c r="E951" s="64"/>
      <c r="F951" s="70"/>
      <c r="G951" s="71"/>
      <c r="H951" s="72"/>
      <c r="I951" s="64"/>
      <c r="J951" s="64"/>
      <c r="K951" s="64"/>
      <c r="L951" s="64"/>
      <c r="M951" s="64"/>
      <c r="N951" s="64"/>
      <c r="O951" s="64"/>
      <c r="P951" s="64"/>
      <c r="Q951" s="64"/>
      <c r="R951" s="64"/>
      <c r="S951" s="64"/>
      <c r="T951" s="64"/>
      <c r="U951" s="64"/>
      <c r="V951" s="64"/>
      <c r="W951" s="64"/>
      <c r="X951" s="64"/>
      <c r="Y951" s="64"/>
      <c r="Z951" s="64"/>
      <c r="AA951" s="64"/>
      <c r="AB951" s="64"/>
      <c r="AC951" s="64"/>
      <c r="AD951" s="64"/>
      <c r="AE951" s="64"/>
      <c r="AF951" s="64"/>
      <c r="AG951" s="64"/>
    </row>
    <row r="952" spans="1:33">
      <c r="A952" s="64"/>
      <c r="B952" s="64"/>
      <c r="C952" s="64"/>
      <c r="D952" s="64"/>
      <c r="E952" s="64"/>
      <c r="F952" s="70"/>
      <c r="G952" s="71"/>
      <c r="H952" s="72"/>
      <c r="I952" s="64"/>
      <c r="J952" s="64"/>
      <c r="K952" s="64"/>
      <c r="L952" s="64"/>
      <c r="M952" s="64"/>
      <c r="N952" s="64"/>
      <c r="O952" s="64"/>
      <c r="P952" s="64"/>
      <c r="Q952" s="64"/>
      <c r="R952" s="64"/>
      <c r="S952" s="64"/>
      <c r="T952" s="64"/>
      <c r="U952" s="64"/>
      <c r="V952" s="64"/>
      <c r="W952" s="64"/>
      <c r="X952" s="64"/>
      <c r="Y952" s="64"/>
      <c r="Z952" s="64"/>
      <c r="AA952" s="64"/>
      <c r="AB952" s="64"/>
      <c r="AC952" s="64"/>
      <c r="AD952" s="64"/>
      <c r="AE952" s="64"/>
      <c r="AF952" s="64"/>
      <c r="AG952" s="64"/>
    </row>
    <row r="953" spans="1:33">
      <c r="A953" s="64"/>
      <c r="B953" s="64"/>
      <c r="C953" s="64"/>
      <c r="D953" s="64"/>
      <c r="E953" s="64"/>
      <c r="F953" s="70"/>
      <c r="G953" s="71"/>
      <c r="H953" s="72"/>
      <c r="I953" s="64"/>
      <c r="J953" s="64"/>
      <c r="K953" s="64"/>
      <c r="L953" s="64"/>
      <c r="M953" s="64"/>
      <c r="N953" s="64"/>
      <c r="O953" s="64"/>
      <c r="P953" s="64"/>
      <c r="Q953" s="64"/>
      <c r="R953" s="64"/>
      <c r="S953" s="64"/>
      <c r="T953" s="64"/>
      <c r="U953" s="64"/>
      <c r="V953" s="64"/>
      <c r="W953" s="64"/>
      <c r="X953" s="64"/>
      <c r="Y953" s="64"/>
      <c r="Z953" s="64"/>
      <c r="AA953" s="64"/>
      <c r="AB953" s="64"/>
      <c r="AC953" s="64"/>
      <c r="AD953" s="64"/>
      <c r="AE953" s="64"/>
      <c r="AF953" s="64"/>
      <c r="AG953" s="64"/>
    </row>
    <row r="954" spans="1:33">
      <c r="A954" s="64"/>
      <c r="B954" s="64"/>
      <c r="C954" s="64"/>
      <c r="D954" s="64"/>
      <c r="E954" s="64"/>
      <c r="F954" s="70"/>
      <c r="G954" s="71"/>
      <c r="H954" s="72"/>
      <c r="I954" s="64"/>
      <c r="J954" s="64"/>
      <c r="K954" s="64"/>
      <c r="L954" s="64"/>
      <c r="M954" s="64"/>
      <c r="N954" s="64"/>
      <c r="O954" s="64"/>
      <c r="P954" s="64"/>
      <c r="Q954" s="64"/>
      <c r="R954" s="64"/>
      <c r="S954" s="64"/>
      <c r="T954" s="64"/>
      <c r="U954" s="64"/>
      <c r="V954" s="64"/>
      <c r="W954" s="64"/>
      <c r="X954" s="64"/>
      <c r="Y954" s="64"/>
      <c r="Z954" s="64"/>
      <c r="AA954" s="64"/>
      <c r="AB954" s="64"/>
      <c r="AC954" s="64"/>
      <c r="AD954" s="64"/>
      <c r="AE954" s="64"/>
      <c r="AF954" s="64"/>
      <c r="AG954" s="64"/>
    </row>
    <row r="955" spans="1:33">
      <c r="A955" s="64"/>
      <c r="B955" s="64"/>
      <c r="C955" s="64"/>
      <c r="D955" s="64"/>
      <c r="E955" s="64"/>
      <c r="F955" s="70"/>
      <c r="G955" s="71"/>
      <c r="H955" s="72"/>
      <c r="I955" s="64"/>
      <c r="J955" s="64"/>
      <c r="K955" s="64"/>
      <c r="L955" s="64"/>
      <c r="M955" s="64"/>
      <c r="N955" s="64"/>
      <c r="O955" s="64"/>
      <c r="P955" s="64"/>
      <c r="Q955" s="64"/>
      <c r="R955" s="64"/>
      <c r="S955" s="64"/>
      <c r="T955" s="64"/>
      <c r="U955" s="64"/>
      <c r="V955" s="64"/>
      <c r="W955" s="64"/>
      <c r="X955" s="64"/>
      <c r="Y955" s="64"/>
      <c r="Z955" s="64"/>
      <c r="AA955" s="64"/>
      <c r="AB955" s="64"/>
      <c r="AC955" s="64"/>
      <c r="AD955" s="64"/>
      <c r="AE955" s="64"/>
      <c r="AF955" s="64"/>
      <c r="AG955" s="64"/>
    </row>
    <row r="956" spans="1:33">
      <c r="A956" s="64"/>
      <c r="B956" s="64"/>
      <c r="C956" s="64"/>
      <c r="D956" s="64"/>
      <c r="E956" s="64"/>
      <c r="F956" s="70"/>
      <c r="G956" s="71"/>
      <c r="H956" s="72"/>
      <c r="I956" s="64"/>
      <c r="J956" s="64"/>
      <c r="K956" s="64"/>
      <c r="L956" s="64"/>
      <c r="M956" s="64"/>
      <c r="N956" s="64"/>
      <c r="O956" s="64"/>
      <c r="P956" s="64"/>
      <c r="Q956" s="64"/>
      <c r="R956" s="64"/>
      <c r="S956" s="64"/>
      <c r="T956" s="64"/>
      <c r="U956" s="64"/>
      <c r="V956" s="64"/>
      <c r="W956" s="64"/>
      <c r="X956" s="64"/>
      <c r="Y956" s="64"/>
      <c r="Z956" s="64"/>
      <c r="AA956" s="64"/>
      <c r="AB956" s="64"/>
      <c r="AC956" s="64"/>
      <c r="AD956" s="64"/>
      <c r="AE956" s="64"/>
      <c r="AF956" s="64"/>
      <c r="AG956" s="64"/>
    </row>
    <row r="957" spans="1:33">
      <c r="A957" s="64"/>
      <c r="B957" s="64"/>
      <c r="C957" s="64"/>
      <c r="D957" s="64"/>
      <c r="E957" s="64"/>
      <c r="F957" s="70"/>
      <c r="G957" s="71"/>
      <c r="H957" s="72"/>
      <c r="I957" s="64"/>
      <c r="J957" s="64"/>
      <c r="K957" s="64"/>
      <c r="L957" s="64"/>
      <c r="M957" s="64"/>
      <c r="N957" s="64"/>
      <c r="O957" s="64"/>
      <c r="P957" s="64"/>
      <c r="Q957" s="64"/>
      <c r="R957" s="64"/>
      <c r="S957" s="64"/>
      <c r="T957" s="64"/>
      <c r="U957" s="64"/>
      <c r="V957" s="64"/>
      <c r="W957" s="64"/>
      <c r="X957" s="64"/>
      <c r="Y957" s="64"/>
      <c r="Z957" s="64"/>
      <c r="AA957" s="64"/>
      <c r="AB957" s="64"/>
      <c r="AC957" s="64"/>
      <c r="AD957" s="64"/>
      <c r="AE957" s="64"/>
      <c r="AF957" s="64"/>
      <c r="AG957" s="64"/>
    </row>
    <row r="958" spans="1:33">
      <c r="A958" s="64"/>
      <c r="B958" s="64"/>
      <c r="C958" s="64"/>
      <c r="D958" s="64"/>
      <c r="E958" s="64"/>
      <c r="F958" s="70"/>
      <c r="G958" s="71"/>
      <c r="H958" s="72"/>
      <c r="I958" s="64"/>
      <c r="J958" s="64"/>
      <c r="K958" s="64"/>
      <c r="L958" s="64"/>
      <c r="M958" s="64"/>
      <c r="N958" s="64"/>
      <c r="O958" s="64"/>
      <c r="P958" s="64"/>
      <c r="Q958" s="64"/>
      <c r="R958" s="64"/>
      <c r="S958" s="64"/>
      <c r="T958" s="64"/>
      <c r="U958" s="64"/>
      <c r="V958" s="64"/>
      <c r="W958" s="64"/>
      <c r="X958" s="64"/>
      <c r="Y958" s="64"/>
      <c r="Z958" s="64"/>
      <c r="AA958" s="64"/>
      <c r="AB958" s="64"/>
      <c r="AC958" s="64"/>
      <c r="AD958" s="64"/>
      <c r="AE958" s="64"/>
      <c r="AF958" s="64"/>
      <c r="AG958" s="64"/>
    </row>
    <row r="959" spans="1:33">
      <c r="A959" s="64"/>
      <c r="B959" s="64"/>
      <c r="C959" s="64"/>
      <c r="D959" s="64"/>
      <c r="E959" s="64"/>
      <c r="F959" s="70"/>
      <c r="G959" s="71"/>
      <c r="H959" s="72"/>
      <c r="I959" s="64"/>
      <c r="J959" s="64"/>
      <c r="K959" s="64"/>
      <c r="L959" s="64"/>
      <c r="M959" s="64"/>
      <c r="N959" s="64"/>
      <c r="O959" s="64"/>
      <c r="P959" s="64"/>
      <c r="Q959" s="64"/>
      <c r="R959" s="64"/>
      <c r="S959" s="64"/>
      <c r="T959" s="64"/>
      <c r="U959" s="64"/>
      <c r="V959" s="64"/>
      <c r="W959" s="64"/>
      <c r="X959" s="64"/>
      <c r="Y959" s="64"/>
      <c r="Z959" s="64"/>
      <c r="AA959" s="64"/>
      <c r="AB959" s="64"/>
      <c r="AC959" s="64"/>
      <c r="AD959" s="64"/>
      <c r="AE959" s="64"/>
      <c r="AF959" s="64"/>
      <c r="AG959" s="64"/>
    </row>
    <row r="960" spans="1:33">
      <c r="A960" s="64"/>
      <c r="B960" s="64"/>
      <c r="C960" s="64"/>
      <c r="D960" s="64"/>
      <c r="E960" s="64"/>
      <c r="F960" s="70"/>
      <c r="G960" s="71"/>
      <c r="H960" s="72"/>
      <c r="I960" s="64"/>
      <c r="J960" s="64"/>
      <c r="K960" s="64"/>
      <c r="L960" s="64"/>
      <c r="M960" s="64"/>
      <c r="N960" s="64"/>
      <c r="O960" s="64"/>
      <c r="P960" s="64"/>
      <c r="Q960" s="64"/>
      <c r="R960" s="64"/>
      <c r="S960" s="64"/>
      <c r="T960" s="64"/>
      <c r="U960" s="64"/>
      <c r="V960" s="64"/>
      <c r="W960" s="64"/>
      <c r="X960" s="64"/>
      <c r="Y960" s="64"/>
      <c r="Z960" s="64"/>
      <c r="AA960" s="64"/>
      <c r="AB960" s="64"/>
      <c r="AC960" s="64"/>
      <c r="AD960" s="64"/>
      <c r="AE960" s="64"/>
      <c r="AF960" s="64"/>
      <c r="AG960" s="64"/>
    </row>
    <row r="961" spans="1:33">
      <c r="A961" s="64"/>
      <c r="B961" s="64"/>
      <c r="C961" s="64"/>
      <c r="D961" s="64"/>
      <c r="E961" s="64"/>
      <c r="F961" s="70"/>
      <c r="G961" s="71"/>
      <c r="H961" s="72"/>
      <c r="I961" s="64"/>
      <c r="J961" s="64"/>
      <c r="K961" s="64"/>
      <c r="L961" s="64"/>
      <c r="M961" s="64"/>
      <c r="N961" s="64"/>
      <c r="O961" s="64"/>
      <c r="P961" s="64"/>
      <c r="Q961" s="64"/>
      <c r="R961" s="64"/>
      <c r="S961" s="64"/>
      <c r="T961" s="64"/>
      <c r="U961" s="64"/>
      <c r="V961" s="64"/>
      <c r="W961" s="64"/>
      <c r="X961" s="64"/>
      <c r="Y961" s="64"/>
      <c r="Z961" s="64"/>
      <c r="AA961" s="64"/>
      <c r="AB961" s="64"/>
      <c r="AC961" s="64"/>
      <c r="AD961" s="64"/>
      <c r="AE961" s="64"/>
      <c r="AF961" s="64"/>
      <c r="AG961" s="64"/>
    </row>
    <row r="962" spans="1:33">
      <c r="A962" s="64"/>
      <c r="B962" s="64"/>
      <c r="C962" s="64"/>
      <c r="D962" s="64"/>
      <c r="E962" s="64"/>
      <c r="F962" s="70"/>
      <c r="G962" s="71"/>
      <c r="H962" s="72"/>
      <c r="I962" s="64"/>
      <c r="J962" s="64"/>
      <c r="K962" s="64"/>
      <c r="L962" s="64"/>
      <c r="M962" s="64"/>
      <c r="N962" s="64"/>
      <c r="O962" s="64"/>
      <c r="P962" s="64"/>
      <c r="Q962" s="64"/>
      <c r="R962" s="64"/>
      <c r="S962" s="64"/>
      <c r="T962" s="64"/>
      <c r="U962" s="64"/>
      <c r="V962" s="64"/>
      <c r="W962" s="64"/>
      <c r="X962" s="64"/>
      <c r="Y962" s="64"/>
      <c r="Z962" s="64"/>
      <c r="AA962" s="64"/>
      <c r="AB962" s="64"/>
      <c r="AC962" s="64"/>
      <c r="AD962" s="64"/>
      <c r="AE962" s="64"/>
      <c r="AF962" s="64"/>
      <c r="AG962" s="64"/>
    </row>
    <row r="963" spans="1:33">
      <c r="A963" s="64"/>
      <c r="B963" s="64"/>
      <c r="C963" s="64"/>
      <c r="D963" s="64"/>
      <c r="E963" s="64"/>
      <c r="F963" s="70"/>
      <c r="G963" s="71"/>
      <c r="H963" s="72"/>
      <c r="I963" s="64"/>
      <c r="J963" s="64"/>
      <c r="K963" s="64"/>
      <c r="L963" s="64"/>
      <c r="M963" s="64"/>
      <c r="N963" s="64"/>
      <c r="O963" s="64"/>
      <c r="P963" s="64"/>
      <c r="Q963" s="64"/>
      <c r="R963" s="64"/>
      <c r="S963" s="64"/>
      <c r="T963" s="64"/>
      <c r="U963" s="64"/>
      <c r="V963" s="64"/>
      <c r="W963" s="64"/>
      <c r="X963" s="64"/>
      <c r="Y963" s="64"/>
      <c r="Z963" s="64"/>
      <c r="AA963" s="64"/>
      <c r="AB963" s="64"/>
      <c r="AC963" s="64"/>
      <c r="AD963" s="64"/>
      <c r="AE963" s="64"/>
      <c r="AF963" s="64"/>
      <c r="AG963" s="64"/>
    </row>
    <row r="964" spans="1:33">
      <c r="A964" s="64"/>
      <c r="B964" s="64"/>
      <c r="C964" s="64"/>
      <c r="D964" s="64"/>
      <c r="E964" s="64"/>
      <c r="F964" s="70"/>
      <c r="G964" s="71"/>
      <c r="H964" s="72"/>
      <c r="I964" s="64"/>
      <c r="J964" s="64"/>
      <c r="K964" s="64"/>
      <c r="L964" s="64"/>
      <c r="M964" s="64"/>
      <c r="N964" s="64"/>
      <c r="O964" s="64"/>
      <c r="P964" s="64"/>
      <c r="Q964" s="64"/>
      <c r="R964" s="64"/>
      <c r="S964" s="64"/>
      <c r="T964" s="64"/>
      <c r="U964" s="64"/>
      <c r="V964" s="64"/>
      <c r="W964" s="64"/>
      <c r="X964" s="64"/>
      <c r="Y964" s="64"/>
      <c r="Z964" s="64"/>
      <c r="AA964" s="64"/>
      <c r="AB964" s="64"/>
      <c r="AC964" s="64"/>
      <c r="AD964" s="64"/>
      <c r="AE964" s="64"/>
      <c r="AF964" s="64"/>
      <c r="AG964" s="64"/>
    </row>
    <row r="965" spans="1:33">
      <c r="A965" s="64"/>
      <c r="B965" s="64"/>
      <c r="C965" s="64"/>
      <c r="D965" s="64"/>
      <c r="E965" s="64"/>
      <c r="F965" s="70"/>
      <c r="G965" s="71"/>
      <c r="H965" s="72"/>
      <c r="I965" s="64"/>
      <c r="J965" s="64"/>
      <c r="K965" s="64"/>
      <c r="L965" s="64"/>
      <c r="M965" s="64"/>
      <c r="N965" s="64"/>
      <c r="O965" s="64"/>
      <c r="P965" s="64"/>
      <c r="Q965" s="64"/>
      <c r="R965" s="64"/>
      <c r="S965" s="64"/>
      <c r="T965" s="64"/>
      <c r="U965" s="64"/>
      <c r="V965" s="64"/>
      <c r="W965" s="64"/>
      <c r="X965" s="64"/>
      <c r="Y965" s="64"/>
      <c r="Z965" s="64"/>
      <c r="AA965" s="64"/>
      <c r="AB965" s="64"/>
      <c r="AC965" s="64"/>
      <c r="AD965" s="64"/>
      <c r="AE965" s="64"/>
      <c r="AF965" s="64"/>
      <c r="AG965" s="64"/>
    </row>
    <row r="966" spans="1:33">
      <c r="A966" s="64"/>
      <c r="B966" s="64"/>
      <c r="C966" s="64"/>
      <c r="D966" s="64"/>
      <c r="E966" s="64"/>
      <c r="F966" s="70"/>
      <c r="G966" s="71"/>
      <c r="H966" s="72"/>
      <c r="I966" s="64"/>
      <c r="J966" s="64"/>
      <c r="K966" s="64"/>
      <c r="L966" s="64"/>
      <c r="M966" s="64"/>
      <c r="N966" s="64"/>
      <c r="O966" s="64"/>
      <c r="P966" s="64"/>
      <c r="Q966" s="64"/>
      <c r="R966" s="64"/>
      <c r="S966" s="64"/>
      <c r="T966" s="64"/>
      <c r="U966" s="64"/>
      <c r="V966" s="64"/>
      <c r="W966" s="64"/>
      <c r="X966" s="64"/>
      <c r="Y966" s="64"/>
      <c r="Z966" s="64"/>
      <c r="AA966" s="64"/>
      <c r="AB966" s="64"/>
      <c r="AC966" s="64"/>
      <c r="AD966" s="64"/>
      <c r="AE966" s="64"/>
      <c r="AF966" s="64"/>
      <c r="AG966" s="64"/>
    </row>
    <row r="967" spans="1:33">
      <c r="A967" s="64"/>
      <c r="B967" s="64"/>
      <c r="C967" s="64"/>
      <c r="D967" s="64"/>
      <c r="E967" s="64"/>
      <c r="F967" s="70"/>
      <c r="G967" s="71"/>
      <c r="H967" s="72"/>
      <c r="I967" s="64"/>
      <c r="J967" s="64"/>
      <c r="K967" s="64"/>
      <c r="L967" s="64"/>
      <c r="M967" s="64"/>
      <c r="N967" s="64"/>
      <c r="O967" s="64"/>
      <c r="P967" s="64"/>
      <c r="Q967" s="64"/>
      <c r="R967" s="64"/>
      <c r="S967" s="64"/>
      <c r="T967" s="64"/>
      <c r="U967" s="64"/>
      <c r="V967" s="64"/>
      <c r="W967" s="64"/>
      <c r="X967" s="64"/>
      <c r="Y967" s="64"/>
      <c r="Z967" s="64"/>
      <c r="AA967" s="64"/>
      <c r="AB967" s="64"/>
      <c r="AC967" s="64"/>
      <c r="AD967" s="64"/>
      <c r="AE967" s="64"/>
      <c r="AF967" s="64"/>
      <c r="AG967" s="64"/>
    </row>
    <row r="968" spans="1:33">
      <c r="A968" s="64"/>
      <c r="B968" s="64"/>
      <c r="C968" s="64"/>
      <c r="D968" s="64"/>
      <c r="E968" s="64"/>
      <c r="F968" s="70"/>
      <c r="G968" s="71"/>
      <c r="H968" s="72"/>
      <c r="I968" s="64"/>
      <c r="J968" s="64"/>
      <c r="K968" s="64"/>
      <c r="L968" s="64"/>
      <c r="M968" s="64"/>
      <c r="N968" s="64"/>
      <c r="O968" s="64"/>
      <c r="P968" s="64"/>
      <c r="Q968" s="64"/>
      <c r="R968" s="64"/>
      <c r="S968" s="64"/>
      <c r="T968" s="64"/>
      <c r="U968" s="64"/>
      <c r="V968" s="64"/>
      <c r="W968" s="64"/>
      <c r="X968" s="64"/>
      <c r="Y968" s="64"/>
      <c r="Z968" s="64"/>
      <c r="AA968" s="64"/>
      <c r="AB968" s="64"/>
      <c r="AC968" s="64"/>
      <c r="AD968" s="64"/>
      <c r="AE968" s="64"/>
      <c r="AF968" s="64"/>
      <c r="AG968" s="64"/>
    </row>
    <row r="969" spans="1:33">
      <c r="A969" s="64"/>
      <c r="B969" s="64"/>
      <c r="C969" s="64"/>
      <c r="D969" s="64"/>
      <c r="E969" s="64"/>
      <c r="F969" s="70"/>
      <c r="G969" s="71"/>
      <c r="H969" s="72"/>
      <c r="I969" s="64"/>
      <c r="J969" s="64"/>
      <c r="K969" s="64"/>
      <c r="L969" s="64"/>
      <c r="M969" s="64"/>
      <c r="N969" s="64"/>
      <c r="O969" s="64"/>
      <c r="P969" s="64"/>
      <c r="Q969" s="64"/>
      <c r="R969" s="64"/>
      <c r="S969" s="64"/>
      <c r="T969" s="64"/>
      <c r="U969" s="64"/>
      <c r="V969" s="64"/>
      <c r="W969" s="64"/>
      <c r="X969" s="64"/>
      <c r="Y969" s="64"/>
      <c r="Z969" s="64"/>
      <c r="AA969" s="64"/>
      <c r="AB969" s="64"/>
      <c r="AC969" s="64"/>
      <c r="AD969" s="64"/>
      <c r="AE969" s="64"/>
      <c r="AF969" s="64"/>
      <c r="AG969" s="64"/>
    </row>
    <row r="970" spans="1:33">
      <c r="A970" s="64"/>
      <c r="B970" s="64"/>
      <c r="C970" s="64"/>
      <c r="D970" s="64"/>
      <c r="E970" s="64"/>
      <c r="F970" s="70"/>
      <c r="G970" s="71"/>
      <c r="H970" s="72"/>
      <c r="I970" s="64"/>
      <c r="J970" s="64"/>
      <c r="K970" s="64"/>
      <c r="L970" s="64"/>
      <c r="M970" s="64"/>
      <c r="N970" s="64"/>
      <c r="O970" s="64"/>
      <c r="P970" s="64"/>
      <c r="Q970" s="64"/>
      <c r="R970" s="64"/>
      <c r="S970" s="64"/>
      <c r="T970" s="64"/>
      <c r="U970" s="64"/>
      <c r="V970" s="64"/>
      <c r="W970" s="64"/>
      <c r="X970" s="64"/>
      <c r="Y970" s="64"/>
      <c r="Z970" s="64"/>
      <c r="AA970" s="64"/>
      <c r="AB970" s="64"/>
      <c r="AC970" s="64"/>
      <c r="AD970" s="64"/>
      <c r="AE970" s="64"/>
      <c r="AF970" s="64"/>
      <c r="AG970" s="64"/>
    </row>
    <row r="971" spans="1:33">
      <c r="A971" s="64"/>
      <c r="B971" s="64"/>
      <c r="C971" s="64"/>
      <c r="D971" s="64"/>
      <c r="E971" s="64"/>
      <c r="F971" s="70"/>
      <c r="G971" s="71"/>
      <c r="H971" s="72"/>
      <c r="I971" s="64"/>
      <c r="J971" s="64"/>
      <c r="K971" s="64"/>
      <c r="L971" s="64"/>
      <c r="M971" s="64"/>
      <c r="N971" s="64"/>
      <c r="O971" s="64"/>
      <c r="P971" s="64"/>
      <c r="Q971" s="64"/>
      <c r="R971" s="64"/>
      <c r="S971" s="64"/>
      <c r="T971" s="64"/>
      <c r="U971" s="64"/>
      <c r="V971" s="64"/>
      <c r="W971" s="64"/>
      <c r="X971" s="64"/>
      <c r="Y971" s="64"/>
      <c r="Z971" s="64"/>
      <c r="AA971" s="64"/>
      <c r="AB971" s="64"/>
      <c r="AC971" s="64"/>
      <c r="AD971" s="64"/>
      <c r="AE971" s="64"/>
      <c r="AF971" s="64"/>
      <c r="AG971" s="64"/>
    </row>
    <row r="972" spans="1:33">
      <c r="A972" s="64"/>
      <c r="B972" s="64"/>
      <c r="C972" s="64"/>
      <c r="D972" s="64"/>
      <c r="E972" s="64"/>
      <c r="F972" s="70"/>
      <c r="G972" s="71"/>
      <c r="H972" s="72"/>
      <c r="I972" s="64"/>
      <c r="J972" s="64"/>
      <c r="K972" s="64"/>
      <c r="L972" s="64"/>
      <c r="M972" s="64"/>
      <c r="N972" s="64"/>
      <c r="O972" s="64"/>
      <c r="P972" s="64"/>
      <c r="Q972" s="64"/>
      <c r="R972" s="64"/>
      <c r="S972" s="64"/>
      <c r="T972" s="64"/>
      <c r="U972" s="64"/>
      <c r="V972" s="64"/>
      <c r="W972" s="64"/>
      <c r="X972" s="64"/>
      <c r="Y972" s="64"/>
      <c r="Z972" s="64"/>
      <c r="AA972" s="64"/>
      <c r="AB972" s="64"/>
      <c r="AC972" s="64"/>
      <c r="AD972" s="64"/>
      <c r="AE972" s="64"/>
      <c r="AF972" s="64"/>
      <c r="AG972" s="64"/>
    </row>
    <row r="973" spans="1:33">
      <c r="A973" s="64"/>
      <c r="B973" s="64"/>
      <c r="C973" s="64"/>
      <c r="D973" s="64"/>
      <c r="E973" s="64"/>
      <c r="F973" s="70"/>
      <c r="G973" s="71"/>
      <c r="H973" s="72"/>
      <c r="I973" s="64"/>
      <c r="J973" s="64"/>
      <c r="K973" s="64"/>
      <c r="L973" s="64"/>
      <c r="M973" s="64"/>
      <c r="N973" s="64"/>
      <c r="O973" s="64"/>
      <c r="P973" s="64"/>
      <c r="Q973" s="64"/>
      <c r="R973" s="64"/>
      <c r="S973" s="64"/>
      <c r="T973" s="64"/>
      <c r="U973" s="64"/>
      <c r="V973" s="64"/>
      <c r="W973" s="64"/>
      <c r="X973" s="64"/>
      <c r="Y973" s="64"/>
      <c r="Z973" s="64"/>
      <c r="AA973" s="64"/>
      <c r="AB973" s="64"/>
      <c r="AC973" s="64"/>
      <c r="AD973" s="64"/>
      <c r="AE973" s="64"/>
      <c r="AF973" s="64"/>
      <c r="AG973" s="64"/>
    </row>
    <row r="974" spans="1:33">
      <c r="A974" s="64"/>
      <c r="B974" s="64"/>
      <c r="C974" s="64"/>
      <c r="D974" s="64"/>
      <c r="E974" s="64"/>
      <c r="F974" s="70"/>
      <c r="G974" s="71"/>
      <c r="H974" s="72"/>
      <c r="I974" s="64"/>
      <c r="J974" s="64"/>
      <c r="K974" s="64"/>
      <c r="L974" s="64"/>
      <c r="M974" s="64"/>
      <c r="N974" s="64"/>
      <c r="O974" s="64"/>
      <c r="P974" s="64"/>
      <c r="Q974" s="64"/>
      <c r="R974" s="64"/>
      <c r="S974" s="64"/>
      <c r="T974" s="64"/>
      <c r="U974" s="64"/>
      <c r="V974" s="64"/>
      <c r="W974" s="64"/>
      <c r="X974" s="64"/>
      <c r="Y974" s="64"/>
      <c r="Z974" s="64"/>
      <c r="AA974" s="64"/>
      <c r="AB974" s="64"/>
      <c r="AC974" s="64"/>
      <c r="AD974" s="64"/>
      <c r="AE974" s="64"/>
      <c r="AF974" s="64"/>
      <c r="AG974" s="64"/>
    </row>
    <row r="975" spans="1:33">
      <c r="A975" s="64"/>
      <c r="B975" s="64"/>
      <c r="C975" s="64"/>
      <c r="D975" s="64"/>
      <c r="E975" s="64"/>
      <c r="F975" s="70"/>
      <c r="G975" s="71"/>
      <c r="H975" s="72"/>
      <c r="I975" s="64"/>
      <c r="J975" s="64"/>
      <c r="K975" s="64"/>
      <c r="L975" s="64"/>
      <c r="M975" s="64"/>
      <c r="N975" s="64"/>
      <c r="O975" s="64"/>
      <c r="P975" s="64"/>
      <c r="Q975" s="64"/>
      <c r="R975" s="64"/>
      <c r="S975" s="64"/>
      <c r="T975" s="64"/>
      <c r="U975" s="64"/>
      <c r="V975" s="64"/>
      <c r="W975" s="64"/>
      <c r="X975" s="64"/>
      <c r="Y975" s="64"/>
      <c r="Z975" s="64"/>
      <c r="AA975" s="64"/>
      <c r="AB975" s="64"/>
      <c r="AC975" s="64"/>
      <c r="AD975" s="64"/>
      <c r="AE975" s="64"/>
      <c r="AF975" s="64"/>
      <c r="AG975" s="64"/>
    </row>
    <row r="976" spans="1:33">
      <c r="A976" s="64"/>
      <c r="B976" s="64"/>
      <c r="C976" s="64"/>
      <c r="D976" s="64"/>
      <c r="E976" s="64"/>
      <c r="F976" s="70"/>
      <c r="G976" s="71"/>
      <c r="H976" s="72"/>
      <c r="I976" s="64"/>
      <c r="J976" s="64"/>
      <c r="K976" s="64"/>
      <c r="L976" s="64"/>
      <c r="M976" s="64"/>
      <c r="N976" s="64"/>
      <c r="O976" s="64"/>
      <c r="P976" s="64"/>
      <c r="Q976" s="64"/>
      <c r="R976" s="64"/>
      <c r="S976" s="64"/>
      <c r="T976" s="64"/>
      <c r="U976" s="64"/>
      <c r="V976" s="64"/>
      <c r="W976" s="64"/>
      <c r="X976" s="64"/>
      <c r="Y976" s="64"/>
      <c r="Z976" s="64"/>
      <c r="AA976" s="64"/>
      <c r="AB976" s="64"/>
      <c r="AC976" s="64"/>
      <c r="AD976" s="64"/>
      <c r="AE976" s="64"/>
      <c r="AF976" s="64"/>
      <c r="AG976" s="64"/>
    </row>
    <row r="977" spans="1:33">
      <c r="A977" s="64"/>
      <c r="B977" s="64"/>
      <c r="C977" s="64"/>
      <c r="D977" s="64"/>
      <c r="E977" s="64"/>
      <c r="F977" s="70"/>
      <c r="G977" s="71"/>
      <c r="H977" s="72"/>
      <c r="I977" s="64"/>
      <c r="J977" s="64"/>
      <c r="K977" s="64"/>
      <c r="L977" s="64"/>
      <c r="M977" s="64"/>
      <c r="N977" s="64"/>
      <c r="O977" s="64"/>
      <c r="P977" s="64"/>
      <c r="Q977" s="64"/>
      <c r="R977" s="64"/>
      <c r="S977" s="64"/>
      <c r="T977" s="64"/>
      <c r="U977" s="64"/>
      <c r="V977" s="64"/>
      <c r="W977" s="64"/>
      <c r="X977" s="64"/>
      <c r="Y977" s="64"/>
      <c r="Z977" s="64"/>
      <c r="AA977" s="64"/>
      <c r="AB977" s="64"/>
      <c r="AC977" s="64"/>
      <c r="AD977" s="64"/>
      <c r="AE977" s="64"/>
      <c r="AF977" s="64"/>
      <c r="AG977" s="64"/>
    </row>
    <row r="978" spans="1:33">
      <c r="A978" s="64"/>
      <c r="B978" s="64"/>
      <c r="C978" s="64"/>
      <c r="D978" s="64"/>
      <c r="E978" s="64"/>
      <c r="F978" s="70"/>
      <c r="G978" s="71"/>
      <c r="H978" s="72"/>
      <c r="I978" s="64"/>
      <c r="J978" s="64"/>
      <c r="K978" s="64"/>
      <c r="L978" s="64"/>
      <c r="M978" s="64"/>
      <c r="N978" s="64"/>
      <c r="O978" s="64"/>
      <c r="P978" s="64"/>
      <c r="Q978" s="64"/>
      <c r="R978" s="64"/>
      <c r="S978" s="64"/>
      <c r="T978" s="64"/>
      <c r="U978" s="64"/>
      <c r="V978" s="64"/>
      <c r="W978" s="64"/>
      <c r="X978" s="64"/>
      <c r="Y978" s="64"/>
      <c r="Z978" s="64"/>
      <c r="AA978" s="64"/>
      <c r="AB978" s="64"/>
      <c r="AC978" s="64"/>
      <c r="AD978" s="64"/>
      <c r="AE978" s="64"/>
      <c r="AF978" s="64"/>
      <c r="AG978" s="64"/>
    </row>
  </sheetData>
  <dataValidations count="3">
    <dataValidation type="list" allowBlank="1" showErrorMessage="1" sqref="B2:B189" xr:uid="{00000000-0002-0000-0500-000000000000}">
      <formula1>"ICSE"</formula1>
      <formula2>0</formula2>
    </dataValidation>
    <dataValidation type="list" allowBlank="1" showErrorMessage="1" sqref="C2:C189" xr:uid="{00000000-0002-0000-0500-000001000000}">
      <formula1>"Maths"</formula1>
      <formula2>0</formula2>
    </dataValidation>
    <dataValidation type="list" allowBlank="1" showErrorMessage="1" sqref="D2:D189" xr:uid="{00000000-0002-0000-0500-000002000000}">
      <formula1>"7"</formula1>
      <formula2>0</formula2>
    </dataValidation>
  </dataValidations>
  <pageMargins left="0.74791666666666701" right="0.74791666666666701" top="0.98402777777777795" bottom="0.98402777777777795" header="0.511811023622047" footer="0.511811023622047"/>
  <pageSetup paperSize="9" orientation="portrait" horizontalDpi="300" verticalDpi="300"/>
  <tableParts count="8">
    <tablePart r:id="rId1"/>
    <tablePart r:id="rId2"/>
    <tablePart r:id="rId3"/>
    <tablePart r:id="rId4"/>
    <tablePart r:id="rId5"/>
    <tablePart r:id="rId6"/>
    <tablePart r:id="rId7"/>
    <tablePart r:id="rId8"/>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G998"/>
  <sheetViews>
    <sheetView zoomScaleNormal="100" workbookViewId="0">
      <pane ySplit="1" topLeftCell="A155" activePane="bottomLeft" state="frozen"/>
      <selection activeCell="B1" sqref="B1"/>
      <selection pane="bottomLeft" activeCell="G10" sqref="G10"/>
    </sheetView>
  </sheetViews>
  <sheetFormatPr defaultColWidth="12.6640625" defaultRowHeight="13.2"/>
  <cols>
    <col min="5" max="5" width="16.44140625" customWidth="1"/>
    <col min="6" max="6" width="35" customWidth="1"/>
    <col min="8" max="8" width="48.88671875" customWidth="1"/>
    <col min="10" max="10" width="21.33203125" customWidth="1"/>
  </cols>
  <sheetData>
    <row r="1" spans="1:33" ht="27.6">
      <c r="A1" s="3" t="s">
        <v>0</v>
      </c>
      <c r="B1" s="96" t="s">
        <v>1</v>
      </c>
      <c r="C1" s="96" t="s">
        <v>2</v>
      </c>
      <c r="D1" s="96" t="s">
        <v>3</v>
      </c>
      <c r="E1" s="97" t="s">
        <v>1280</v>
      </c>
      <c r="F1" s="97" t="s">
        <v>4</v>
      </c>
      <c r="G1" s="96" t="s">
        <v>223</v>
      </c>
      <c r="H1" s="96" t="s">
        <v>307</v>
      </c>
      <c r="I1" s="64"/>
      <c r="J1" s="20" t="s">
        <v>5</v>
      </c>
      <c r="K1" s="20" t="s">
        <v>6</v>
      </c>
      <c r="L1" s="20" t="s">
        <v>7</v>
      </c>
      <c r="M1" s="20" t="s">
        <v>8</v>
      </c>
      <c r="N1" s="20" t="s">
        <v>9</v>
      </c>
      <c r="O1" s="20" t="s">
        <v>10</v>
      </c>
      <c r="P1" s="20" t="s">
        <v>11</v>
      </c>
      <c r="Q1" s="20" t="s">
        <v>12</v>
      </c>
      <c r="R1" s="20" t="s">
        <v>13</v>
      </c>
      <c r="S1" s="20" t="s">
        <v>14</v>
      </c>
      <c r="T1" s="20" t="s">
        <v>15</v>
      </c>
      <c r="U1" s="20" t="s">
        <v>16</v>
      </c>
      <c r="V1" s="98" t="s">
        <v>17</v>
      </c>
      <c r="W1" s="98" t="s">
        <v>18</v>
      </c>
      <c r="X1" s="98" t="s">
        <v>19</v>
      </c>
      <c r="Y1" s="10" t="s">
        <v>20</v>
      </c>
      <c r="Z1" s="98" t="s">
        <v>21</v>
      </c>
      <c r="AA1" s="98" t="s">
        <v>22</v>
      </c>
      <c r="AB1" s="98" t="s">
        <v>23</v>
      </c>
      <c r="AC1" s="10" t="s">
        <v>24</v>
      </c>
      <c r="AD1" s="99" t="s">
        <v>25</v>
      </c>
      <c r="AE1" s="99" t="s">
        <v>26</v>
      </c>
      <c r="AF1" s="99" t="s">
        <v>27</v>
      </c>
      <c r="AG1" s="12" t="s">
        <v>309</v>
      </c>
    </row>
    <row r="2" spans="1:33" ht="13.8">
      <c r="A2" s="25"/>
      <c r="B2" s="25" t="s">
        <v>29</v>
      </c>
      <c r="C2" s="25" t="s">
        <v>310</v>
      </c>
      <c r="D2" s="25">
        <v>8</v>
      </c>
      <c r="E2" s="70" t="s">
        <v>791</v>
      </c>
      <c r="F2" s="70" t="s">
        <v>1044</v>
      </c>
      <c r="G2" s="64" t="s">
        <v>1045</v>
      </c>
      <c r="H2" s="64" t="str">
        <f ca="1">IFERROR(__xludf.dummyfunction("IFERROR(
  VLOOKUP(G2, IMPORTRANGE(""https://docs.google.com/spreadsheets/d/14deopnvwcrKtEGCKuYXdUHJbeLDZlkiSSWWT0g7x2pM/edit#gid=849066331"", ""LU List Maths (Filter)!A:B""), 2, FALSE),
  IFERROR(
    VLOOKUP(G2, IMPORTRANGE(""https://docs.google.com/spr"&amp;"eadsheets/d/14deopnvwcrKtEGCKuYXdUHJbeLDZlkiSSWWT0g7x2pM/edit#gid=849066331"", ""LU List Science (Filter)!A:B""), 2, FALSE),
    ""Not Found""
  )
)
"),"Closure property for addition of rational numbers")</f>
        <v>Closure property for addition of rational numbers</v>
      </c>
      <c r="I2" s="64"/>
      <c r="J2" s="100" t="str">
        <f t="shared" ref="J2:J33" si="0">G2 &amp; ".001"</f>
        <v>LU001037.001</v>
      </c>
      <c r="K2" s="100" t="str">
        <f ca="1">IFERROR(__xludf.dummyfunction("VLOOKUP(J2, IMPORTRANGE(""https://docs.google.com/spreadsheets/d/1yDAaXNsi4Mr5FtRQL4tbmSdIzhx6_m4wkOD7IG-k_eo/edit#gid=0"", ""Maths!M:N""), 2, FALSE)"),"Recall the definition of the closure property for addition of rational numbers.")</f>
        <v>Recall the definition of the closure property for addition of rational numbers.</v>
      </c>
      <c r="L2" s="100" t="str">
        <f t="shared" ref="L2:L33" si="1">G2 &amp; ".002"</f>
        <v>LU001037.002</v>
      </c>
      <c r="M2" s="100" t="str">
        <f ca="1">IFERROR(__xludf.dummyfunction("VLOOKUP(L2, IMPORTRANGE(""https://docs.google.com/spreadsheets/d/1yDAaXNsi4Mr5FtRQL4tbmSdIzhx6_m4wkOD7IG-k_eo/edit#gid=0"", ""Maths!M:N""), 2, FALSE)"),"Explain why the closure property holds true for addition of rational numbers and its significance in mathematics.")</f>
        <v>Explain why the closure property holds true for addition of rational numbers and its significance in mathematics.</v>
      </c>
      <c r="N2" s="100" t="str">
        <f t="shared" ref="N2:N33" si="2">G2 &amp; ".003"</f>
        <v>LU001037.003</v>
      </c>
      <c r="O2" s="100" t="str">
        <f ca="1">IFERROR(__xludf.dummyfunction("VLOOKUP(N2, IMPORTRANGE(""https://docs.google.com/spreadsheets/d/1yDAaXNsi4Mr5FtRQL4tbmSdIzhx6_m4wkOD7IG-k_eo/edit#gid=0"", ""Maths!M:N""), 2, FALSE)"),"Apply the closure property to demonstrate that the sum of two rational numbers is also a rational number in practical examples.")</f>
        <v>Apply the closure property to demonstrate that the sum of two rational numbers is also a rational number in practical examples.</v>
      </c>
      <c r="P2" s="100" t="str">
        <f t="shared" ref="P2:P33" si="3">G2 &amp; ".004"</f>
        <v>LU001037.004</v>
      </c>
      <c r="Q2" s="100" t="str">
        <f ca="1">IFERROR(__xludf.dummyfunction("VLOOKUP(P2, IMPORTRANGE(""https://docs.google.com/spreadsheets/d/1yDAaXNsi4Mr5FtRQL4tbmSdIzhx6_m4wkOD7IG-k_eo/edit#gid=0"", ""Maths!M:N""), 2, FALSE)"),"Analyze mathematical expressions to verify the closure property for addition of rational numbers in various scenarios.")</f>
        <v>Analyze mathematical expressions to verify the closure property for addition of rational numbers in various scenarios.</v>
      </c>
      <c r="R2" s="100" t="str">
        <f t="shared" ref="R2:R33" si="4">G2 &amp; ".005"</f>
        <v>LU001037.005</v>
      </c>
      <c r="S2" s="100" t="str">
        <f ca="1">IFERROR(__xludf.dummyfunction("VLOOKUP(R2, IMPORTRANGE(""https://docs.google.com/spreadsheets/d/1yDAaXNsi4Mr5FtRQL4tbmSdIzhx6_m4wkOD7IG-k_eo/edit#gid=0"", ""Maths!M:N""), 2, FALSE)"),"Evaluate the validity of statements regarding the closure property and its application in rational number addition.")</f>
        <v>Evaluate the validity of statements regarding the closure property and its application in rational number addition.</v>
      </c>
      <c r="T2" s="100" t="str">
        <f t="shared" ref="T2:T33" si="5">G2 &amp; ".006"</f>
        <v>LU001037.006</v>
      </c>
      <c r="U2" s="100" t="str">
        <f ca="1">IFERROR(__xludf.dummyfunction("VLOOKUP(T2, IMPORTRANGE(""https://docs.google.com/spreadsheets/d/1yDAaXNsi4Mr5FtRQL4tbmSdIzhx6_m4wkOD7IG-k_eo/edit#gid=0"", ""Maths!M:N""), 2, FALSE)"),"#N/A")</f>
        <v>#N/A</v>
      </c>
      <c r="V2" s="16">
        <f ca="1">IFERROR(__xludf.dummyfunction("ArrayFormula(VLOOKUP(G2, IMPORTRANGE(""https://docs.google.com/spreadsheets/d/1p7R4vtkWt5VOBim4ltsDG9KTzSjrtKXsMtQGXPHyND0/edit#gid=795171502"", ""'Filter 30_05_2024'!A1:M2000""), {2, 3, 4, 5,6,7,8,9,10,11,12,13}, 0))"),4)</f>
        <v>4</v>
      </c>
      <c r="W2" s="16">
        <f ca="1">IFERROR(__xludf.dummyfunction("""COMPUTED_VALUE"""),6)</f>
        <v>6</v>
      </c>
      <c r="X2" s="16">
        <f ca="1">IFERROR(__xludf.dummyfunction("""COMPUTED_VALUE"""),2)</f>
        <v>2</v>
      </c>
      <c r="Y2" s="16">
        <f ca="1">IFERROR(__xludf.dummyfunction("""COMPUTED_VALUE"""),12)</f>
        <v>12</v>
      </c>
      <c r="Z2" s="16">
        <f ca="1">IFERROR(__xludf.dummyfunction("""COMPUTED_VALUE"""),4)</f>
        <v>4</v>
      </c>
      <c r="AA2" s="30">
        <f ca="1">IFERROR(__xludf.dummyfunction("""COMPUTED_VALUE"""),3)</f>
        <v>3</v>
      </c>
      <c r="AB2" s="30">
        <f ca="1">IFERROR(__xludf.dummyfunction("""COMPUTED_VALUE"""),1)</f>
        <v>1</v>
      </c>
      <c r="AC2" s="30">
        <f ca="1">IFERROR(__xludf.dummyfunction("""COMPUTED_VALUE"""),8)</f>
        <v>8</v>
      </c>
      <c r="AD2" s="16"/>
      <c r="AE2" s="30"/>
      <c r="AF2" s="30"/>
      <c r="AG2" s="30"/>
    </row>
    <row r="3" spans="1:33" ht="13.8">
      <c r="A3" s="25"/>
      <c r="B3" s="25" t="s">
        <v>29</v>
      </c>
      <c r="C3" s="25" t="s">
        <v>310</v>
      </c>
      <c r="D3" s="25">
        <v>8</v>
      </c>
      <c r="E3" s="70" t="s">
        <v>791</v>
      </c>
      <c r="F3" s="70" t="s">
        <v>1044</v>
      </c>
      <c r="G3" s="64" t="s">
        <v>1046</v>
      </c>
      <c r="H3" s="64" t="str">
        <f ca="1">IFERROR(__xludf.dummyfunction("IFERROR(
  VLOOKUP(G3, IMPORTRANGE(""https://docs.google.com/spreadsheets/d/14deopnvwcrKtEGCKuYXdUHJbeLDZlkiSSWWT0g7x2pM/edit#gid=849066331"", ""LU List Maths (Filter)!A:B""), 2, FALSE),
  IFERROR(
    VLOOKUP(G3, IMPORTRANGE(""https://docs.google.com/spr"&amp;"eadsheets/d/14deopnvwcrKtEGCKuYXdUHJbeLDZlkiSSWWT0g7x2pM/edit#gid=849066331"", ""LU List Science (Filter)!A:B""), 2, FALSE),
    ""Not Found""
  )
)
"),"Commutative property for addition of rational numbers")</f>
        <v>Commutative property for addition of rational numbers</v>
      </c>
      <c r="I3" s="64"/>
      <c r="J3" s="100" t="str">
        <f t="shared" si="0"/>
        <v>LU001041.001</v>
      </c>
      <c r="K3" s="100" t="str">
        <f ca="1">IFERROR(__xludf.dummyfunction("VLOOKUP(J3, IMPORTRANGE(""https://docs.google.com/spreadsheets/d/1yDAaXNsi4Mr5FtRQL4tbmSdIzhx6_m4wkOD7IG-k_eo/edit#gid=0"", ""Maths!M:N""), 2, FALSE)"),"Recall the commutative property for adding rational numbers.")</f>
        <v>Recall the commutative property for adding rational numbers.</v>
      </c>
      <c r="L3" s="100" t="str">
        <f t="shared" si="1"/>
        <v>LU001041.002</v>
      </c>
      <c r="M3" s="100" t="str">
        <f ca="1">IFERROR(__xludf.dummyfunction("VLOOKUP(L3, IMPORTRANGE(""https://docs.google.com/spreadsheets/d/1yDAaXNsi4Mr5FtRQL4tbmSdIzhx6_m4wkOD7IG-k_eo/edit#gid=0"", ""Maths!M:N""), 2, FALSE)"),"Explain why addition of rational numbers follows the commutative property.")</f>
        <v>Explain why addition of rational numbers follows the commutative property.</v>
      </c>
      <c r="N3" s="100" t="str">
        <f t="shared" si="2"/>
        <v>LU001041.003</v>
      </c>
      <c r="O3" s="100" t="str">
        <f ca="1">IFERROR(__xludf.dummyfunction("VLOOKUP(N3, IMPORTRANGE(""https://docs.google.com/spreadsheets/d/1yDAaXNsi4Mr5FtRQL4tbmSdIzhx6_m4wkOD7IG-k_eo/edit#gid=0"", ""Maths!M:N""), 2, FALSE)"),"Use the commutative property to change the order of adding rational numbers in calculations.")</f>
        <v>Use the commutative property to change the order of adding rational numbers in calculations.</v>
      </c>
      <c r="P3" s="100" t="str">
        <f t="shared" si="3"/>
        <v>LU001041.004</v>
      </c>
      <c r="Q3" s="100" t="str">
        <f ca="1">IFERROR(__xludf.dummyfunction("VLOOKUP(P3, IMPORTRANGE(""https://docs.google.com/spreadsheets/d/1yDAaXNsi4Mr5FtRQL4tbmSdIzhx6_m4wkOD7IG-k_eo/edit#gid=0"", ""Maths!M:N""), 2, FALSE)"),"Examine expressions to confirm the commutative property in rational number addition.")</f>
        <v>Examine expressions to confirm the commutative property in rational number addition.</v>
      </c>
      <c r="R3" s="100" t="str">
        <f t="shared" si="4"/>
        <v>LU001041.005</v>
      </c>
      <c r="S3" s="100" t="str">
        <f ca="1">IFERROR(__xludf.dummyfunction("VLOOKUP(R3, IMPORTRANGE(""https://docs.google.com/spreadsheets/d/1yDAaXNsi4Mr5FtRQL4tbmSdIzhx6_m4wkOD7IG-k_eo/edit#gid=0"", ""Maths!M:N""), 2, FALSE)"),"Assess the correctness of statements about the commutative property in rational number addition.")</f>
        <v>Assess the correctness of statements about the commutative property in rational number addition.</v>
      </c>
      <c r="T3" s="100" t="str">
        <f t="shared" si="5"/>
        <v>LU001041.006</v>
      </c>
      <c r="U3" s="100" t="str">
        <f ca="1">IFERROR(__xludf.dummyfunction("VLOOKUP(T3, IMPORTRANGE(""https://docs.google.com/spreadsheets/d/1yDAaXNsi4Mr5FtRQL4tbmSdIzhx6_m4wkOD7IG-k_eo/edit#gid=0"", ""Maths!M:N""), 2, FALSE)"),"#N/A")</f>
        <v>#N/A</v>
      </c>
      <c r="V3" s="16">
        <f ca="1">IFERROR(__xludf.dummyfunction("ArrayFormula(VLOOKUP(G3, IMPORTRANGE(""https://docs.google.com/spreadsheets/d/1p7R4vtkWt5VOBim4ltsDG9KTzSjrtKXsMtQGXPHyND0/edit#gid=795171502"", ""'Filter 30_05_2024'!A1:M2000""), {2, 3, 4, 5,6,7,8,9,10,11,12,13}, 0))"),4)</f>
        <v>4</v>
      </c>
      <c r="W3" s="16">
        <f ca="1">IFERROR(__xludf.dummyfunction("""COMPUTED_VALUE"""),6)</f>
        <v>6</v>
      </c>
      <c r="X3" s="16">
        <f ca="1">IFERROR(__xludf.dummyfunction("""COMPUTED_VALUE"""),2)</f>
        <v>2</v>
      </c>
      <c r="Y3" s="16">
        <f ca="1">IFERROR(__xludf.dummyfunction("""COMPUTED_VALUE"""),12)</f>
        <v>12</v>
      </c>
      <c r="Z3" s="16">
        <f ca="1">IFERROR(__xludf.dummyfunction("""COMPUTED_VALUE"""),4)</f>
        <v>4</v>
      </c>
      <c r="AA3" s="30">
        <f ca="1">IFERROR(__xludf.dummyfunction("""COMPUTED_VALUE"""),4)</f>
        <v>4</v>
      </c>
      <c r="AB3" s="30">
        <f ca="1">IFERROR(__xludf.dummyfunction("""COMPUTED_VALUE"""),1)</f>
        <v>1</v>
      </c>
      <c r="AC3" s="30">
        <f ca="1">IFERROR(__xludf.dummyfunction("""COMPUTED_VALUE"""),9)</f>
        <v>9</v>
      </c>
      <c r="AD3" s="16"/>
      <c r="AE3" s="30"/>
      <c r="AF3" s="30"/>
      <c r="AG3" s="30"/>
    </row>
    <row r="4" spans="1:33" ht="13.8">
      <c r="A4" s="25"/>
      <c r="B4" s="25" t="s">
        <v>29</v>
      </c>
      <c r="C4" s="25" t="s">
        <v>310</v>
      </c>
      <c r="D4" s="25">
        <v>8</v>
      </c>
      <c r="E4" s="70" t="s">
        <v>791</v>
      </c>
      <c r="F4" s="70" t="s">
        <v>1044</v>
      </c>
      <c r="G4" s="64" t="s">
        <v>1047</v>
      </c>
      <c r="H4" s="64" t="str">
        <f ca="1">IFERROR(__xludf.dummyfunction("IFERROR(
  VLOOKUP(G4, IMPORTRANGE(""https://docs.google.com/spreadsheets/d/14deopnvwcrKtEGCKuYXdUHJbeLDZlkiSSWWT0g7x2pM/edit#gid=849066331"", ""LU List Maths (Filter)!A:B""), 2, FALSE),
  IFERROR(
    VLOOKUP(G4, IMPORTRANGE(""https://docs.google.com/spr"&amp;"eadsheets/d/14deopnvwcrKtEGCKuYXdUHJbeLDZlkiSSWWT0g7x2pM/edit#gid=849066331"", ""LU List Science (Filter)!A:B""), 2, FALSE),
    ""Not Found""
  )
)
"),"Associative property for addition of rational numbers")</f>
        <v>Associative property for addition of rational numbers</v>
      </c>
      <c r="I4" s="64"/>
      <c r="J4" s="100" t="str">
        <f t="shared" si="0"/>
        <v>LU001045.001</v>
      </c>
      <c r="K4" s="100" t="str">
        <f ca="1">IFERROR(__xludf.dummyfunction("VLOOKUP(J4, IMPORTRANGE(""https://docs.google.com/spreadsheets/d/1yDAaXNsi4Mr5FtRQL4tbmSdIzhx6_m4wkOD7IG-k_eo/edit#gid=0"", ""Maths!M:N""), 2, FALSE)"),"Recall the associative property for adding rational numbers.")</f>
        <v>Recall the associative property for adding rational numbers.</v>
      </c>
      <c r="L4" s="100" t="str">
        <f t="shared" si="1"/>
        <v>LU001045.002</v>
      </c>
      <c r="M4" s="100" t="str">
        <f ca="1">IFERROR(__xludf.dummyfunction("VLOOKUP(L4, IMPORTRANGE(""https://docs.google.com/spreadsheets/d/1yDAaXNsi4Mr5FtRQL4tbmSdIzhx6_m4wkOD7IG-k_eo/edit#gid=0"", ""Maths!M:N""), 2, FALSE)"),"Explain how the associative property applies to adding rational numbers.")</f>
        <v>Explain how the associative property applies to adding rational numbers.</v>
      </c>
      <c r="N4" s="100" t="str">
        <f t="shared" si="2"/>
        <v>LU001045.003</v>
      </c>
      <c r="O4" s="100" t="str">
        <f ca="1">IFERROR(__xludf.dummyfunction("VLOOKUP(N4, IMPORTRANGE(""https://docs.google.com/spreadsheets/d/1yDAaXNsi4Mr5FtRQL4tbmSdIzhx6_m4wkOD7IG-k_eo/edit#gid=0"", ""Maths!M:N""), 2, FALSE)"),"Apply the associative property to group rational numbers in calculations, showing that the result remains consistent.")</f>
        <v>Apply the associative property to group rational numbers in calculations, showing that the result remains consistent.</v>
      </c>
      <c r="P4" s="100" t="str">
        <f t="shared" si="3"/>
        <v>LU001045.004</v>
      </c>
      <c r="Q4" s="100" t="str">
        <f ca="1">IFERROR(__xludf.dummyfunction("VLOOKUP(P4, IMPORTRANGE(""https://docs.google.com/spreadsheets/d/1yDAaXNsi4Mr5FtRQL4tbmSdIzhx6_m4wkOD7IG-k_eo/edit#gid=0"", ""Maths!M:N""), 2, FALSE)"),"Analyze expressions to confirm the associative property in rational number addition.")</f>
        <v>Analyze expressions to confirm the associative property in rational number addition.</v>
      </c>
      <c r="R4" s="100" t="str">
        <f t="shared" si="4"/>
        <v>LU001045.005</v>
      </c>
      <c r="S4" s="100" t="str">
        <f ca="1">IFERROR(__xludf.dummyfunction("VLOOKUP(R4, IMPORTRANGE(""https://docs.google.com/spreadsheets/d/1yDAaXNsi4Mr5FtRQL4tbmSdIzhx6_m4wkOD7IG-k_eo/edit#gid=0"", ""Maths!M:N""), 2, FALSE)"),"Assess the correctness of statements regarding the associative property and its application in rational number addition.")</f>
        <v>Assess the correctness of statements regarding the associative property and its application in rational number addition.</v>
      </c>
      <c r="T4" s="100" t="str">
        <f t="shared" si="5"/>
        <v>LU001045.006</v>
      </c>
      <c r="U4" s="100" t="str">
        <f ca="1">IFERROR(__xludf.dummyfunction("VLOOKUP(T4, IMPORTRANGE(""https://docs.google.com/spreadsheets/d/1yDAaXNsi4Mr5FtRQL4tbmSdIzhx6_m4wkOD7IG-k_eo/edit#gid=0"", ""Maths!M:N""), 2, FALSE)"),"#N/A")</f>
        <v>#N/A</v>
      </c>
      <c r="V4" s="16">
        <f ca="1">IFERROR(__xludf.dummyfunction("ArrayFormula(VLOOKUP(G4, IMPORTRANGE(""https://docs.google.com/spreadsheets/d/1p7R4vtkWt5VOBim4ltsDG9KTzSjrtKXsMtQGXPHyND0/edit#gid=795171502"", ""'Filter 30_05_2024'!A1:M2000""), {2, 3, 4, 5,6,7,8,9,10,11,12,13}, 0))"),4)</f>
        <v>4</v>
      </c>
      <c r="W4" s="16">
        <f ca="1">IFERROR(__xludf.dummyfunction("""COMPUTED_VALUE"""),6)</f>
        <v>6</v>
      </c>
      <c r="X4" s="16">
        <f ca="1">IFERROR(__xludf.dummyfunction("""COMPUTED_VALUE"""),2)</f>
        <v>2</v>
      </c>
      <c r="Y4" s="16">
        <f ca="1">IFERROR(__xludf.dummyfunction("""COMPUTED_VALUE"""),12)</f>
        <v>12</v>
      </c>
      <c r="Z4" s="16">
        <f ca="1">IFERROR(__xludf.dummyfunction("""COMPUTED_VALUE"""),4)</f>
        <v>4</v>
      </c>
      <c r="AA4" s="30">
        <f ca="1">IFERROR(__xludf.dummyfunction("""COMPUTED_VALUE"""),3)</f>
        <v>3</v>
      </c>
      <c r="AB4" s="30">
        <f ca="1">IFERROR(__xludf.dummyfunction("""COMPUTED_VALUE"""),2)</f>
        <v>2</v>
      </c>
      <c r="AC4" s="30">
        <f ca="1">IFERROR(__xludf.dummyfunction("""COMPUTED_VALUE"""),9)</f>
        <v>9</v>
      </c>
      <c r="AD4" s="16"/>
      <c r="AE4" s="30"/>
      <c r="AF4" s="30"/>
      <c r="AG4" s="30"/>
    </row>
    <row r="5" spans="1:33" ht="13.8">
      <c r="A5" s="25"/>
      <c r="B5" s="25" t="s">
        <v>29</v>
      </c>
      <c r="C5" s="25" t="s">
        <v>310</v>
      </c>
      <c r="D5" s="25">
        <v>8</v>
      </c>
      <c r="E5" s="70" t="s">
        <v>791</v>
      </c>
      <c r="F5" s="70" t="s">
        <v>1044</v>
      </c>
      <c r="G5" s="64" t="s">
        <v>1048</v>
      </c>
      <c r="H5" s="64" t="str">
        <f ca="1">IFERROR(__xludf.dummyfunction("IFERROR(
  VLOOKUP(G5, IMPORTRANGE(""https://docs.google.com/spreadsheets/d/14deopnvwcrKtEGCKuYXdUHJbeLDZlkiSSWWT0g7x2pM/edit#gid=849066331"", ""LU List Maths (Filter)!A:B""), 2, FALSE),
  IFERROR(
    VLOOKUP(G5, IMPORTRANGE(""https://docs.google.com/spr"&amp;"eadsheets/d/14deopnvwcrKtEGCKuYXdUHJbeLDZlkiSSWWT0g7x2pM/edit#gid=849066331"", ""LU List Science (Filter)!A:B""), 2, FALSE),
    ""Not Found""
  )
)
"),"Additive identity of rational numbers")</f>
        <v>Additive identity of rational numbers</v>
      </c>
      <c r="I5" s="64"/>
      <c r="J5" s="100" t="str">
        <f t="shared" si="0"/>
        <v>LU000578.001</v>
      </c>
      <c r="K5" s="100" t="str">
        <f ca="1">IFERROR(__xludf.dummyfunction("VLOOKUP(J5, IMPORTRANGE(""https://docs.google.com/spreadsheets/d/1yDAaXNsi4Mr5FtRQL4tbmSdIzhx6_m4wkOD7IG-k_eo/edit#gid=0"", ""Maths!M:N""), 2, FALSE)"),"Define the additive identity of rational numbers and its mathematical representation.")</f>
        <v>Define the additive identity of rational numbers and its mathematical representation.</v>
      </c>
      <c r="L5" s="100" t="str">
        <f t="shared" si="1"/>
        <v>LU000578.002</v>
      </c>
      <c r="M5" s="100" t="str">
        <f ca="1">IFERROR(__xludf.dummyfunction("VLOOKUP(L5, IMPORTRANGE(""https://docs.google.com/spreadsheets/d/1yDAaXNsi4Mr5FtRQL4tbmSdIzhx6_m4wkOD7IG-k_eo/edit#gid=0"", ""Maths!M:N""), 2, FALSE)"),"Explain the concept of additive identity in the context of rational numbers and its role in addition operations.")</f>
        <v>Explain the concept of additive identity in the context of rational numbers and its role in addition operations.</v>
      </c>
      <c r="N5" s="100" t="str">
        <f t="shared" si="2"/>
        <v>LU000578.003</v>
      </c>
      <c r="O5" s="100" t="str">
        <f ca="1">IFERROR(__xludf.dummyfunction("VLOOKUP(N5, IMPORTRANGE(""https://docs.google.com/spreadsheets/d/1yDAaXNsi4Mr5FtRQL4tbmSdIzhx6_m4wkOD7IG-k_eo/edit#gid=0"", ""Maths!M:N""), 2, FALSE)"),"Apply the additive identity property to simplify expressions involving rational numbers.")</f>
        <v>Apply the additive identity property to simplify expressions involving rational numbers.</v>
      </c>
      <c r="P5" s="100" t="str">
        <f t="shared" si="3"/>
        <v>LU000578.004</v>
      </c>
      <c r="Q5" s="100" t="str">
        <f ca="1">IFERROR(__xludf.dummyfunction("VLOOKUP(P5, IMPORTRANGE(""https://docs.google.com/spreadsheets/d/1yDAaXNsi4Mr5FtRQL4tbmSdIzhx6_m4wkOD7IG-k_eo/edit#gid=0"", ""Maths!M:N""), 2, FALSE)"),"Analyse a series of rational numbers operations and identify instances where the additive identity property is used.")</f>
        <v>Analyse a series of rational numbers operations and identify instances where the additive identity property is used.</v>
      </c>
      <c r="R5" s="100" t="str">
        <f t="shared" si="4"/>
        <v>LU000578.005</v>
      </c>
      <c r="S5" s="100" t="str">
        <f ca="1">IFERROR(__xludf.dummyfunction("VLOOKUP(R5, IMPORTRANGE(""https://docs.google.com/spreadsheets/d/1yDAaXNsi4Mr5FtRQL4tbmSdIzhx6_m4wkOD7IG-k_eo/edit#gid=0"", ""Maths!M:N""), 2, FALSE)"),"Evaluate the application of the additive identity property in a solution to an rational number addition problem.")</f>
        <v>Evaluate the application of the additive identity property in a solution to an rational number addition problem.</v>
      </c>
      <c r="T5" s="100" t="str">
        <f t="shared" si="5"/>
        <v>LU000578.006</v>
      </c>
      <c r="U5" s="100" t="str">
        <f ca="1">IFERROR(__xludf.dummyfunction("VLOOKUP(T5, IMPORTRANGE(""https://docs.google.com/spreadsheets/d/1yDAaXNsi4Mr5FtRQL4tbmSdIzhx6_m4wkOD7IG-k_eo/edit#gid=0"", ""Maths!M:N""), 2, FALSE)"),"Design scenarios where students must incorporate the additive identity property to solve problems involving rational numbers.")</f>
        <v>Design scenarios where students must incorporate the additive identity property to solve problems involving rational numbers.</v>
      </c>
      <c r="V5" s="16">
        <f ca="1">IFERROR(__xludf.dummyfunction("ArrayFormula(VLOOKUP(G5, IMPORTRANGE(""https://docs.google.com/spreadsheets/d/1p7R4vtkWt5VOBim4ltsDG9KTzSjrtKXsMtQGXPHyND0/edit#gid=795171502"", ""'Filter 30_05_2024'!A1:M2000""), {2, 3, 4, 5,6,7,8,9,10,11,12,13}, 0))"),4)</f>
        <v>4</v>
      </c>
      <c r="W5" s="16">
        <f ca="1">IFERROR(__xludf.dummyfunction("""COMPUTED_VALUE"""),6)</f>
        <v>6</v>
      </c>
      <c r="X5" s="16">
        <f ca="1">IFERROR(__xludf.dummyfunction("""COMPUTED_VALUE"""),2)</f>
        <v>2</v>
      </c>
      <c r="Y5" s="16">
        <f ca="1">IFERROR(__xludf.dummyfunction("""COMPUTED_VALUE"""),12)</f>
        <v>12</v>
      </c>
      <c r="Z5" s="16">
        <f ca="1">IFERROR(__xludf.dummyfunction("""COMPUTED_VALUE"""),4)</f>
        <v>4</v>
      </c>
      <c r="AA5" s="30">
        <f ca="1">IFERROR(__xludf.dummyfunction("""COMPUTED_VALUE"""),3)</f>
        <v>3</v>
      </c>
      <c r="AB5" s="30">
        <f ca="1">IFERROR(__xludf.dummyfunction("""COMPUTED_VALUE"""),1)</f>
        <v>1</v>
      </c>
      <c r="AC5" s="30">
        <f ca="1">IFERROR(__xludf.dummyfunction("""COMPUTED_VALUE"""),8)</f>
        <v>8</v>
      </c>
      <c r="AD5" s="16"/>
      <c r="AE5" s="30"/>
      <c r="AF5" s="30"/>
      <c r="AG5" s="30"/>
    </row>
    <row r="6" spans="1:33" ht="13.8">
      <c r="A6" s="25"/>
      <c r="B6" s="25" t="s">
        <v>29</v>
      </c>
      <c r="C6" s="25" t="s">
        <v>310</v>
      </c>
      <c r="D6" s="25">
        <v>8</v>
      </c>
      <c r="E6" s="70" t="s">
        <v>791</v>
      </c>
      <c r="F6" s="70" t="s">
        <v>1044</v>
      </c>
      <c r="G6" s="64" t="s">
        <v>1049</v>
      </c>
      <c r="H6" s="64" t="str">
        <f ca="1">IFERROR(__xludf.dummyfunction("IFERROR(
  VLOOKUP(G6, IMPORTRANGE(""https://docs.google.com/spreadsheets/d/14deopnvwcrKtEGCKuYXdUHJbeLDZlkiSSWWT0g7x2pM/edit#gid=849066331"", ""LU List Maths (Filter)!A:B""), 2, FALSE),
  IFERROR(
    VLOOKUP(G6, IMPORTRANGE(""https://docs.google.com/spr"&amp;"eadsheets/d/14deopnvwcrKtEGCKuYXdUHJbeLDZlkiSSWWT0g7x2pM/edit#gid=849066331"", ""LU List Science (Filter)!A:B""), 2, FALSE),
    ""Not Found""
  )
)
"),"Additive inverse of rational number")</f>
        <v>Additive inverse of rational number</v>
      </c>
      <c r="I6" s="64"/>
      <c r="J6" s="100" t="str">
        <f t="shared" si="0"/>
        <v>LU000479.001</v>
      </c>
      <c r="K6" s="100" t="str">
        <f ca="1">IFERROR(__xludf.dummyfunction("VLOOKUP(J6, IMPORTRANGE(""https://docs.google.com/spreadsheets/d/1yDAaXNsi4Mr5FtRQL4tbmSdIzhx6_m4wkOD7IG-k_eo/edit#gid=0"", ""Maths!M:N""), 2, FALSE)"),"State the definition of additive inverse of a rational number ""a/b"" as ""-a/b""")</f>
        <v>State the definition of additive inverse of a rational number "a/b" as "-a/b"</v>
      </c>
      <c r="L6" s="100" t="str">
        <f t="shared" si="1"/>
        <v>LU000479.002</v>
      </c>
      <c r="M6" s="100" t="str">
        <f ca="1">IFERROR(__xludf.dummyfunction("VLOOKUP(L6, IMPORTRANGE(""https://docs.google.com/spreadsheets/d/1yDAaXNsi4Mr5FtRQL4tbmSdIzhx6_m4wkOD7IG-k_eo/edit#gid=0"", ""Maths!M:N""), 2, FALSE)"),"Explain how the additive inverse of a rational number serves as its opposite and contributes to achieving a zero sum.")</f>
        <v>Explain how the additive inverse of a rational number serves as its opposite and contributes to achieving a zero sum.</v>
      </c>
      <c r="N6" s="100" t="str">
        <f t="shared" si="2"/>
        <v>LU000479.003</v>
      </c>
      <c r="O6" s="100" t="str">
        <f ca="1">IFERROR(__xludf.dummyfunction("VLOOKUP(N6, IMPORTRANGE(""https://docs.google.com/spreadsheets/d/1yDAaXNsi4Mr5FtRQL4tbmSdIzhx6_m4wkOD7IG-k_eo/edit#gid=0"", ""Maths!M:N""), 2, FALSE)"),"Determine the additive inverses of given rational numbers.")</f>
        <v>Determine the additive inverses of given rational numbers.</v>
      </c>
      <c r="P6" s="100" t="str">
        <f t="shared" si="3"/>
        <v>LU000479.004</v>
      </c>
      <c r="Q6" s="100" t="str">
        <f ca="1">IFERROR(__xludf.dummyfunction("VLOOKUP(P6, IMPORTRANGE(""https://docs.google.com/spreadsheets/d/1yDAaXNsi4Mr5FtRQL4tbmSdIzhx6_m4wkOD7IG-k_eo/edit#gid=0"", ""Maths!M:N""), 2, FALSE)"),"Analyse how the sum of a rational number and its additive inverse results in zero.")</f>
        <v>Analyse how the sum of a rational number and its additive inverse results in zero.</v>
      </c>
      <c r="R6" s="100" t="str">
        <f t="shared" si="4"/>
        <v>LU000479.005</v>
      </c>
      <c r="S6" s="100" t="str">
        <f ca="1">IFERROR(__xludf.dummyfunction("VLOOKUP(R6, IMPORTRANGE(""https://docs.google.com/spreadsheets/d/1yDAaXNsi4Mr5FtRQL4tbmSdIzhx6_m4wkOD7IG-k_eo/edit#gid=0"", ""Maths!M:N""), 2, FALSE)"),"Evaluate the significance of additive inverses in balancing quantities and solving equations.")</f>
        <v>Evaluate the significance of additive inverses in balancing quantities and solving equations.</v>
      </c>
      <c r="T6" s="100" t="str">
        <f t="shared" si="5"/>
        <v>LU000479.006</v>
      </c>
      <c r="U6" s="100" t="str">
        <f ca="1">IFERROR(__xludf.dummyfunction("VLOOKUP(T6, IMPORTRANGE(""https://docs.google.com/spreadsheets/d/1yDAaXNsi4Mr5FtRQL4tbmSdIzhx6_m4wkOD7IG-k_eo/edit#gid=0"", ""Maths!M:N""), 2, FALSE)"),"Construct a visual representation that illustrates the relationship between rational numbers and their additive inverses on a number line.")</f>
        <v>Construct a visual representation that illustrates the relationship between rational numbers and their additive inverses on a number line.</v>
      </c>
      <c r="V6" s="16">
        <f ca="1">IFERROR(__xludf.dummyfunction("ArrayFormula(VLOOKUP(G6, IMPORTRANGE(""https://docs.google.com/spreadsheets/d/1p7R4vtkWt5VOBim4ltsDG9KTzSjrtKXsMtQGXPHyND0/edit#gid=795171502"", ""'Filter 30_05_2024'!A1:M2000""), {2, 3, 4, 5,6,7,8,9,10,11,12,13}, 0))"),2)</f>
        <v>2</v>
      </c>
      <c r="W6" s="16">
        <f ca="1">IFERROR(__xludf.dummyfunction("""COMPUTED_VALUE"""),11)</f>
        <v>11</v>
      </c>
      <c r="X6" s="16">
        <f ca="1">IFERROR(__xludf.dummyfunction("""COMPUTED_VALUE"""),2)</f>
        <v>2</v>
      </c>
      <c r="Y6" s="16">
        <f ca="1">IFERROR(__xludf.dummyfunction("""COMPUTED_VALUE"""),15)</f>
        <v>15</v>
      </c>
      <c r="Z6" s="16">
        <f ca="1">IFERROR(__xludf.dummyfunction("""COMPUTED_VALUE"""),6)</f>
        <v>6</v>
      </c>
      <c r="AA6" s="30">
        <f ca="1">IFERROR(__xludf.dummyfunction("""COMPUTED_VALUE"""),4)</f>
        <v>4</v>
      </c>
      <c r="AB6" s="30">
        <f ca="1">IFERROR(__xludf.dummyfunction("""COMPUTED_VALUE"""),1)</f>
        <v>1</v>
      </c>
      <c r="AC6" s="30">
        <f ca="1">IFERROR(__xludf.dummyfunction("""COMPUTED_VALUE"""),11)</f>
        <v>11</v>
      </c>
      <c r="AD6" s="16"/>
      <c r="AE6" s="30"/>
      <c r="AF6" s="30"/>
      <c r="AG6" s="30"/>
    </row>
    <row r="7" spans="1:33" ht="26.4">
      <c r="A7" s="25"/>
      <c r="B7" s="25" t="s">
        <v>29</v>
      </c>
      <c r="C7" s="25" t="s">
        <v>310</v>
      </c>
      <c r="D7" s="25">
        <v>8</v>
      </c>
      <c r="E7" s="70" t="s">
        <v>791</v>
      </c>
      <c r="F7" s="70" t="s">
        <v>1050</v>
      </c>
      <c r="G7" s="64" t="s">
        <v>1051</v>
      </c>
      <c r="H7" s="64" t="str">
        <f ca="1">IFERROR(__xludf.dummyfunction("IFERROR(
  VLOOKUP(G7, IMPORTRANGE(""https://docs.google.com/spreadsheets/d/14deopnvwcrKtEGCKuYXdUHJbeLDZlkiSSWWT0g7x2pM/edit#gid=849066331"", ""LU List Maths (Filter)!A:B""), 2, FALSE),
  IFERROR(
    VLOOKUP(G7, IMPORTRANGE(""https://docs.google.com/spr"&amp;"eadsheets/d/14deopnvwcrKtEGCKuYXdUHJbeLDZlkiSSWWT0g7x2pM/edit#gid=849066331"", ""LU List Science (Filter)!A:B""), 2, FALSE),
    ""Not Found""
  )
)
"),"Closure property for subtraction of rational numbers")</f>
        <v>Closure property for subtraction of rational numbers</v>
      </c>
      <c r="I7" s="64"/>
      <c r="J7" s="100" t="str">
        <f t="shared" si="0"/>
        <v>LU001038.001</v>
      </c>
      <c r="K7" s="100" t="str">
        <f ca="1">IFERROR(__xludf.dummyfunction("VLOOKUP(J7, IMPORTRANGE(""https://docs.google.com/spreadsheets/d/1yDAaXNsi4Mr5FtRQL4tbmSdIzhx6_m4wkOD7IG-k_eo/edit#gid=0"", ""Maths!M:N""), 2, FALSE)"),"Recall the definition of the closure property for subtraction of rational numbers.")</f>
        <v>Recall the definition of the closure property for subtraction of rational numbers.</v>
      </c>
      <c r="L7" s="100" t="str">
        <f t="shared" si="1"/>
        <v>LU001038.002</v>
      </c>
      <c r="M7" s="100" t="str">
        <f ca="1">IFERROR(__xludf.dummyfunction("VLOOKUP(L7, IMPORTRANGE(""https://docs.google.com/spreadsheets/d/1yDAaXNsi4Mr5FtRQL4tbmSdIzhx6_m4wkOD7IG-k_eo/edit#gid=0"", ""Maths!M:N""), 2, FALSE)"),"Explain why the closure property holds true for subtraction of rational numbers and its mathematical significance.")</f>
        <v>Explain why the closure property holds true for subtraction of rational numbers and its mathematical significance.</v>
      </c>
      <c r="N7" s="100" t="str">
        <f t="shared" si="2"/>
        <v>LU001038.003</v>
      </c>
      <c r="O7" s="100" t="str">
        <f ca="1">IFERROR(__xludf.dummyfunction("VLOOKUP(N7, IMPORTRANGE(""https://docs.google.com/spreadsheets/d/1yDAaXNsi4Mr5FtRQL4tbmSdIzhx6_m4wkOD7IG-k_eo/edit#gid=0"", ""Maths!M:N""), 2, FALSE)"),"Apply the closure property to demonstrate that the difference between two rational numbers is also a rational number in practical examples.")</f>
        <v>Apply the closure property to demonstrate that the difference between two rational numbers is also a rational number in practical examples.</v>
      </c>
      <c r="P7" s="100" t="str">
        <f t="shared" si="3"/>
        <v>LU001038.004</v>
      </c>
      <c r="Q7" s="100" t="str">
        <f ca="1">IFERROR(__xludf.dummyfunction("VLOOKUP(P7, IMPORTRANGE(""https://docs.google.com/spreadsheets/d/1yDAaXNsi4Mr5FtRQL4tbmSdIzhx6_m4wkOD7IG-k_eo/edit#gid=0"", ""Maths!M:N""), 2, FALSE)"),"Analyze mathematical expressions to verify the closure property for subtraction of rational numbers in various scenarios.")</f>
        <v>Analyze mathematical expressions to verify the closure property for subtraction of rational numbers in various scenarios.</v>
      </c>
      <c r="R7" s="100" t="str">
        <f t="shared" si="4"/>
        <v>LU001038.005</v>
      </c>
      <c r="S7" s="100" t="str">
        <f ca="1">IFERROR(__xludf.dummyfunction("VLOOKUP(R7, IMPORTRANGE(""https://docs.google.com/spreadsheets/d/1yDAaXNsi4Mr5FtRQL4tbmSdIzhx6_m4wkOD7IG-k_eo/edit#gid=0"", ""Maths!M:N""), 2, FALSE)"),"Evaluate the correctness of statements related to the closure property and its application in rational number subtraction.")</f>
        <v>Evaluate the correctness of statements related to the closure property and its application in rational number subtraction.</v>
      </c>
      <c r="T7" s="100" t="str">
        <f t="shared" si="5"/>
        <v>LU001038.006</v>
      </c>
      <c r="U7" s="100" t="str">
        <f ca="1">IFERROR(__xludf.dummyfunction("VLOOKUP(T7, IMPORTRANGE(""https://docs.google.com/spreadsheets/d/1yDAaXNsi4Mr5FtRQL4tbmSdIzhx6_m4wkOD7IG-k_eo/edit#gid=0"", ""Maths!M:N""), 2, FALSE)"),"#N/A")</f>
        <v>#N/A</v>
      </c>
      <c r="V7" s="16">
        <f ca="1">IFERROR(__xludf.dummyfunction("ArrayFormula(VLOOKUP(G7, IMPORTRANGE(""https://docs.google.com/spreadsheets/d/1p7R4vtkWt5VOBim4ltsDG9KTzSjrtKXsMtQGXPHyND0/edit#gid=795171502"", ""'Filter 30_05_2024'!A1:M2000""), {2, 3, 4, 5,6,7,8,9,10,11,12,13}, 0))"),4)</f>
        <v>4</v>
      </c>
      <c r="W7" s="16">
        <f ca="1">IFERROR(__xludf.dummyfunction("""COMPUTED_VALUE"""),6)</f>
        <v>6</v>
      </c>
      <c r="X7" s="16">
        <f ca="1">IFERROR(__xludf.dummyfunction("""COMPUTED_VALUE"""),2)</f>
        <v>2</v>
      </c>
      <c r="Y7" s="16">
        <f ca="1">IFERROR(__xludf.dummyfunction("""COMPUTED_VALUE"""),12)</f>
        <v>12</v>
      </c>
      <c r="Z7" s="16">
        <f ca="1">IFERROR(__xludf.dummyfunction("""COMPUTED_VALUE"""),4)</f>
        <v>4</v>
      </c>
      <c r="AA7" s="30">
        <f ca="1">IFERROR(__xludf.dummyfunction("""COMPUTED_VALUE"""),3)</f>
        <v>3</v>
      </c>
      <c r="AB7" s="30">
        <f ca="1">IFERROR(__xludf.dummyfunction("""COMPUTED_VALUE"""),1)</f>
        <v>1</v>
      </c>
      <c r="AC7" s="30">
        <f ca="1">IFERROR(__xludf.dummyfunction("""COMPUTED_VALUE"""),8)</f>
        <v>8</v>
      </c>
      <c r="AD7" s="16"/>
      <c r="AE7" s="30"/>
      <c r="AF7" s="30"/>
      <c r="AG7" s="30"/>
    </row>
    <row r="8" spans="1:33" ht="26.4">
      <c r="A8" s="25"/>
      <c r="B8" s="25" t="s">
        <v>29</v>
      </c>
      <c r="C8" s="25" t="s">
        <v>310</v>
      </c>
      <c r="D8" s="25">
        <v>8</v>
      </c>
      <c r="E8" s="70" t="s">
        <v>791</v>
      </c>
      <c r="F8" s="70" t="s">
        <v>1050</v>
      </c>
      <c r="G8" s="64" t="s">
        <v>1052</v>
      </c>
      <c r="H8" s="64" t="str">
        <f ca="1">IFERROR(__xludf.dummyfunction("IFERROR(
  VLOOKUP(G8, IMPORTRANGE(""https://docs.google.com/spreadsheets/d/14deopnvwcrKtEGCKuYXdUHJbeLDZlkiSSWWT0g7x2pM/edit#gid=849066331"", ""LU List Maths (Filter)!A:B""), 2, FALSE),
  IFERROR(
    VLOOKUP(G8, IMPORTRANGE(""https://docs.google.com/spr"&amp;"eadsheets/d/14deopnvwcrKtEGCKuYXdUHJbeLDZlkiSSWWT0g7x2pM/edit#gid=849066331"", ""LU List Science (Filter)!A:B""), 2, FALSE),
    ""Not Found""
  )
)
"),"Examination of commutative property for subtraction of rational numbers")</f>
        <v>Examination of commutative property for subtraction of rational numbers</v>
      </c>
      <c r="I8" s="64"/>
      <c r="J8" s="100" t="str">
        <f t="shared" si="0"/>
        <v>LU001042.001</v>
      </c>
      <c r="K8" s="100" t="str">
        <f ca="1">IFERROR(__xludf.dummyfunction("VLOOKUP(J8, IMPORTRANGE(""https://docs.google.com/spreadsheets/d/1yDAaXNsi4Mr5FtRQL4tbmSdIzhx6_m4wkOD7IG-k_eo/edit#gid=0"", ""Maths!M:N""), 2, FALSE)"),"Recall that the commutative property does not apply to subtraction of rational numbers.")</f>
        <v>Recall that the commutative property does not apply to subtraction of rational numbers.</v>
      </c>
      <c r="L8" s="100" t="str">
        <f t="shared" si="1"/>
        <v>LU001042.002</v>
      </c>
      <c r="M8" s="100" t="str">
        <f ca="1">IFERROR(__xludf.dummyfunction("VLOOKUP(L8, IMPORTRANGE(""https://docs.google.com/spreadsheets/d/1yDAaXNsi4Mr5FtRQL4tbmSdIzhx6_m4wkOD7IG-k_eo/edit#gid=0"", ""Maths!M:N""), 2, FALSE)"),"Explain why the commutative property is not applicable to subtraction of rational numbers and its limitations.")</f>
        <v>Explain why the commutative property is not applicable to subtraction of rational numbers and its limitations.</v>
      </c>
      <c r="N8" s="100" t="str">
        <f t="shared" si="2"/>
        <v>LU001042.003</v>
      </c>
      <c r="O8" s="100" t="str">
        <f ca="1">IFERROR(__xludf.dummyfunction("VLOOKUP(N8, IMPORTRANGE(""https://docs.google.com/spreadsheets/d/1yDAaXNsi4Mr5FtRQL4tbmSdIzhx6_m4wkOD7IG-k_eo/edit#gid=0"", ""Maths!M:N""), 2, FALSE)"),"Identify examples where the subtraction of rational numbers demonstrates commutativity or non-commutativity.")</f>
        <v>Identify examples where the subtraction of rational numbers demonstrates commutativity or non-commutativity.</v>
      </c>
      <c r="P8" s="100" t="str">
        <f t="shared" si="3"/>
        <v>LU001042.004</v>
      </c>
      <c r="Q8" s="100" t="str">
        <f ca="1">IFERROR(__xludf.dummyfunction("VLOOKUP(P8, IMPORTRANGE(""https://docs.google.com/spreadsheets/d/1yDAaXNsi4Mr5FtRQL4tbmSdIzhx6_m4wkOD7IG-k_eo/edit#gid=0"", ""Maths!M:N""), 2, FALSE)"),"Analyse a range of subtraction problems involving rational numbers to highlight the failure of the commutative property.")</f>
        <v>Analyse a range of subtraction problems involving rational numbers to highlight the failure of the commutative property.</v>
      </c>
      <c r="R8" s="100" t="str">
        <f t="shared" si="4"/>
        <v>LU001042.005</v>
      </c>
      <c r="S8" s="100" t="str">
        <f ca="1">IFERROR(__xludf.dummyfunction("VLOOKUP(R8, IMPORTRANGE(""https://docs.google.com/spreadsheets/d/1yDAaXNsi4Mr5FtRQL4tbmSdIzhx6_m4wkOD7IG-k_eo/edit#gid=0"", ""Maths!M:N""), 2, FALSE)"),"Evaluate the correctness of statements regarding the commutative property and its non-applicability in rational number subtraction.")</f>
        <v>Evaluate the correctness of statements regarding the commutative property and its non-applicability in rational number subtraction.</v>
      </c>
      <c r="T8" s="100" t="str">
        <f t="shared" si="5"/>
        <v>LU001042.006</v>
      </c>
      <c r="U8" s="100" t="str">
        <f ca="1">IFERROR(__xludf.dummyfunction("VLOOKUP(T8, IMPORTRANGE(""https://docs.google.com/spreadsheets/d/1yDAaXNsi4Mr5FtRQL4tbmSdIzhx6_m4wkOD7IG-k_eo/edit#gid=0"", ""Maths!M:N""), 2, FALSE)"),"#N/A")</f>
        <v>#N/A</v>
      </c>
      <c r="V8" s="16">
        <f ca="1">IFERROR(__xludf.dummyfunction("ArrayFormula(VLOOKUP(G8, IMPORTRANGE(""https://docs.google.com/spreadsheets/d/1p7R4vtkWt5VOBim4ltsDG9KTzSjrtKXsMtQGXPHyND0/edit#gid=795171502"", ""'Filter 30_05_2024'!A1:M2000""), {2, 3, 4, 5,6,7,8,9,10,11,12,13}, 0))"),4)</f>
        <v>4</v>
      </c>
      <c r="W8" s="16">
        <f ca="1">IFERROR(__xludf.dummyfunction("""COMPUTED_VALUE"""),6)</f>
        <v>6</v>
      </c>
      <c r="X8" s="16">
        <f ca="1">IFERROR(__xludf.dummyfunction("""COMPUTED_VALUE"""),2)</f>
        <v>2</v>
      </c>
      <c r="Y8" s="16">
        <f ca="1">IFERROR(__xludf.dummyfunction("""COMPUTED_VALUE"""),12)</f>
        <v>12</v>
      </c>
      <c r="Z8" s="16">
        <f ca="1">IFERROR(__xludf.dummyfunction("""COMPUTED_VALUE"""),4)</f>
        <v>4</v>
      </c>
      <c r="AA8" s="30">
        <f ca="1">IFERROR(__xludf.dummyfunction("""COMPUTED_VALUE"""),3)</f>
        <v>3</v>
      </c>
      <c r="AB8" s="30">
        <f ca="1">IFERROR(__xludf.dummyfunction("""COMPUTED_VALUE"""),1)</f>
        <v>1</v>
      </c>
      <c r="AC8" s="30">
        <f ca="1">IFERROR(__xludf.dummyfunction("""COMPUTED_VALUE"""),8)</f>
        <v>8</v>
      </c>
      <c r="AD8" s="16"/>
      <c r="AE8" s="30"/>
      <c r="AF8" s="30"/>
      <c r="AG8" s="30"/>
    </row>
    <row r="9" spans="1:33" ht="26.4">
      <c r="A9" s="25"/>
      <c r="B9" s="25" t="s">
        <v>29</v>
      </c>
      <c r="C9" s="25" t="s">
        <v>310</v>
      </c>
      <c r="D9" s="25">
        <v>8</v>
      </c>
      <c r="E9" s="70" t="s">
        <v>791</v>
      </c>
      <c r="F9" s="70" t="s">
        <v>1050</v>
      </c>
      <c r="G9" s="64" t="s">
        <v>1053</v>
      </c>
      <c r="H9" s="64" t="str">
        <f ca="1">IFERROR(__xludf.dummyfunction("IFERROR(
  VLOOKUP(G9, IMPORTRANGE(""https://docs.google.com/spreadsheets/d/14deopnvwcrKtEGCKuYXdUHJbeLDZlkiSSWWT0g7x2pM/edit#gid=849066331"", ""LU List Maths (Filter)!A:B""), 2, FALSE),
  IFERROR(
    VLOOKUP(G9, IMPORTRANGE(""https://docs.google.com/spr"&amp;"eadsheets/d/14deopnvwcrKtEGCKuYXdUHJbeLDZlkiSSWWT0g7x2pM/edit#gid=849066331"", ""LU List Science (Filter)!A:B""), 2, FALSE),
    ""Not Found""
  )
)
"),"Examination of associative property for subtraction of rational numbers")</f>
        <v>Examination of associative property for subtraction of rational numbers</v>
      </c>
      <c r="I9" s="64"/>
      <c r="J9" s="100" t="str">
        <f t="shared" si="0"/>
        <v>LU001046.001</v>
      </c>
      <c r="K9" s="100" t="str">
        <f ca="1">IFERROR(__xludf.dummyfunction("VLOOKUP(J9, IMPORTRANGE(""https://docs.google.com/spreadsheets/d/1yDAaXNsi4Mr5FtRQL4tbmSdIzhx6_m4wkOD7IG-k_eo/edit#gid=0"", ""Maths!M:N""), 2, FALSE)"),"Recall that the associative property does not apply to subtraction of rational numbers.")</f>
        <v>Recall that the associative property does not apply to subtraction of rational numbers.</v>
      </c>
      <c r="L9" s="100" t="str">
        <f t="shared" si="1"/>
        <v>LU001046.002</v>
      </c>
      <c r="M9" s="100" t="str">
        <f ca="1">IFERROR(__xludf.dummyfunction("VLOOKUP(L9, IMPORTRANGE(""https://docs.google.com/spreadsheets/d/1yDAaXNsi4Mr5FtRQL4tbmSdIzhx6_m4wkOD7IG-k_eo/edit#gid=0"", ""Maths!M:N""), 2, FALSE)"),"Explain why the associative property is inapplicable to rational number subtraction.")</f>
        <v>Explain why the associative property is inapplicable to rational number subtraction.</v>
      </c>
      <c r="N9" s="100" t="str">
        <f t="shared" si="2"/>
        <v>LU001046.003</v>
      </c>
      <c r="O9" s="100" t="str">
        <f ca="1">IFERROR(__xludf.dummyfunction("VLOOKUP(N9, IMPORTRANGE(""https://docs.google.com/spreadsheets/d/1yDAaXNsi4Mr5FtRQL4tbmSdIzhx6_m4wkOD7IG-k_eo/edit#gid=0"", ""Maths!M:N""), 2, FALSE)"),"Identify examples where subtraction of rational numbers demonstrates the non-associativity.")</f>
        <v>Identify examples where subtraction of rational numbers demonstrates the non-associativity.</v>
      </c>
      <c r="P9" s="100" t="str">
        <f t="shared" si="3"/>
        <v>LU001046.004</v>
      </c>
      <c r="Q9" s="100" t="str">
        <f ca="1">IFERROR(__xludf.dummyfunction("VLOOKUP(P9, IMPORTRANGE(""https://docs.google.com/spreadsheets/d/1yDAaXNsi4Mr5FtRQL4tbmSdIzhx6_m4wkOD7IG-k_eo/edit#gid=0"", ""Maths!M:N""), 2, FALSE)"),"Analyse a range of subtraction problems involving rational numbers to highlight the failure of the associative property.")</f>
        <v>Analyse a range of subtraction problems involving rational numbers to highlight the failure of the associative property.</v>
      </c>
      <c r="R9" s="100" t="str">
        <f t="shared" si="4"/>
        <v>LU001046.005</v>
      </c>
      <c r="S9" s="100" t="str">
        <f ca="1">IFERROR(__xludf.dummyfunction("VLOOKUP(R9, IMPORTRANGE(""https://docs.google.com/spreadsheets/d/1yDAaXNsi4Mr5FtRQL4tbmSdIzhx6_m4wkOD7IG-k_eo/edit#gid=0"", ""Maths!M:N""), 2, FALSE)"),"Evaluate the correctness of statements regarding the associative property and its non-applicability in rational number subtraction.")</f>
        <v>Evaluate the correctness of statements regarding the associative property and its non-applicability in rational number subtraction.</v>
      </c>
      <c r="T9" s="100" t="str">
        <f t="shared" si="5"/>
        <v>LU001046.006</v>
      </c>
      <c r="U9" s="100" t="str">
        <f ca="1">IFERROR(__xludf.dummyfunction("VLOOKUP(T9, IMPORTRANGE(""https://docs.google.com/spreadsheets/d/1yDAaXNsi4Mr5FtRQL4tbmSdIzhx6_m4wkOD7IG-k_eo/edit#gid=0"", ""Maths!M:N""), 2, FALSE)"),"#N/A")</f>
        <v>#N/A</v>
      </c>
      <c r="V9" s="16">
        <f ca="1">IFERROR(__xludf.dummyfunction("ArrayFormula(VLOOKUP(G9, IMPORTRANGE(""https://docs.google.com/spreadsheets/d/1p7R4vtkWt5VOBim4ltsDG9KTzSjrtKXsMtQGXPHyND0/edit#gid=795171502"", ""'Filter 30_05_2024'!A1:M2000""), {2, 3, 4, 5,6,7,8,9,10,11,12,13}, 0))"),4)</f>
        <v>4</v>
      </c>
      <c r="W9" s="16">
        <f ca="1">IFERROR(__xludf.dummyfunction("""COMPUTED_VALUE"""),6)</f>
        <v>6</v>
      </c>
      <c r="X9" s="16">
        <f ca="1">IFERROR(__xludf.dummyfunction("""COMPUTED_VALUE"""),2)</f>
        <v>2</v>
      </c>
      <c r="Y9" s="16">
        <f ca="1">IFERROR(__xludf.dummyfunction("""COMPUTED_VALUE"""),12)</f>
        <v>12</v>
      </c>
      <c r="Z9" s="16">
        <f ca="1">IFERROR(__xludf.dummyfunction("""COMPUTED_VALUE"""),4)</f>
        <v>4</v>
      </c>
      <c r="AA9" s="30">
        <f ca="1">IFERROR(__xludf.dummyfunction("""COMPUTED_VALUE"""),3)</f>
        <v>3</v>
      </c>
      <c r="AB9" s="30">
        <f ca="1">IFERROR(__xludf.dummyfunction("""COMPUTED_VALUE"""),2)</f>
        <v>2</v>
      </c>
      <c r="AC9" s="30">
        <f ca="1">IFERROR(__xludf.dummyfunction("""COMPUTED_VALUE"""),9)</f>
        <v>9</v>
      </c>
      <c r="AD9" s="16"/>
      <c r="AE9" s="30"/>
      <c r="AF9" s="30"/>
      <c r="AG9" s="30"/>
    </row>
    <row r="10" spans="1:33" ht="26.4">
      <c r="A10" s="25"/>
      <c r="B10" s="25" t="s">
        <v>29</v>
      </c>
      <c r="C10" s="25" t="s">
        <v>310</v>
      </c>
      <c r="D10" s="25">
        <v>8</v>
      </c>
      <c r="E10" s="70" t="s">
        <v>791</v>
      </c>
      <c r="F10" s="70" t="s">
        <v>1054</v>
      </c>
      <c r="G10" s="64" t="s">
        <v>1055</v>
      </c>
      <c r="H10" s="64" t="str">
        <f ca="1">IFERROR(__xludf.dummyfunction("IFERROR(
  VLOOKUP(G10, IMPORTRANGE(""https://docs.google.com/spreadsheets/d/14deopnvwcrKtEGCKuYXdUHJbeLDZlkiSSWWT0g7x2pM/edit#gid=849066331"", ""LU List Maths (Filter)!A:B""), 2, FALSE),
  IFERROR(
    VLOOKUP(G10, IMPORTRANGE(""https://docs.google.com/s"&amp;"preadsheets/d/14deopnvwcrKtEGCKuYXdUHJbeLDZlkiSSWWT0g7x2pM/edit#gid=849066331"", ""LU List Science (Filter)!A:B""), 2, FALSE),
    ""Not Found""
  )
)
"),"Closure property for multiplication of rational numbers")</f>
        <v>Closure property for multiplication of rational numbers</v>
      </c>
      <c r="I10" s="64"/>
      <c r="J10" s="100" t="str">
        <f t="shared" si="0"/>
        <v>LU001039.001</v>
      </c>
      <c r="K10" s="100" t="str">
        <f ca="1">IFERROR(__xludf.dummyfunction("VLOOKUP(J10, IMPORTRANGE(""https://docs.google.com/spreadsheets/d/1yDAaXNsi4Mr5FtRQL4tbmSdIzhx6_m4wkOD7IG-k_eo/edit#gid=0"", ""Maths!M:N""), 2, FALSE)"),"Recall the definition of the closure property for multiplication of rational numbers.")</f>
        <v>Recall the definition of the closure property for multiplication of rational numbers.</v>
      </c>
      <c r="L10" s="100" t="str">
        <f t="shared" si="1"/>
        <v>LU001039.002</v>
      </c>
      <c r="M10" s="100" t="str">
        <f ca="1">IFERROR(__xludf.dummyfunction("VLOOKUP(L10, IMPORTRANGE(""https://docs.google.com/spreadsheets/d/1yDAaXNsi4Mr5FtRQL4tbmSdIzhx6_m4wkOD7IG-k_eo/edit#gid=0"", ""Maths!M:N""), 2, FALSE)"),"Explain why the closure property holds true for multiplication of rational numbers and its significance in mathematics.")</f>
        <v>Explain why the closure property holds true for multiplication of rational numbers and its significance in mathematics.</v>
      </c>
      <c r="N10" s="100" t="str">
        <f t="shared" si="2"/>
        <v>LU001039.003</v>
      </c>
      <c r="O10" s="100" t="str">
        <f ca="1">IFERROR(__xludf.dummyfunction("VLOOKUP(N10, IMPORTRANGE(""https://docs.google.com/spreadsheets/d/1yDAaXNsi4Mr5FtRQL4tbmSdIzhx6_m4wkOD7IG-k_eo/edit#gid=0"", ""Maths!M:N""), 2, FALSE)"),"Apply the closure property to demonstrate that the product of two rational numbers is also a rational number in practical examples.")</f>
        <v>Apply the closure property to demonstrate that the product of two rational numbers is also a rational number in practical examples.</v>
      </c>
      <c r="P10" s="100" t="str">
        <f t="shared" si="3"/>
        <v>LU001039.004</v>
      </c>
      <c r="Q10" s="100" t="str">
        <f ca="1">IFERROR(__xludf.dummyfunction("VLOOKUP(P10, IMPORTRANGE(""https://docs.google.com/spreadsheets/d/1yDAaXNsi4Mr5FtRQL4tbmSdIzhx6_m4wkOD7IG-k_eo/edit#gid=0"", ""Maths!M:N""), 2, FALSE)"),"Analyze mathematical expressions to verify the closure property for multiplication of rational numbers in various scenarios.")</f>
        <v>Analyze mathematical expressions to verify the closure property for multiplication of rational numbers in various scenarios.</v>
      </c>
      <c r="R10" s="100" t="str">
        <f t="shared" si="4"/>
        <v>LU001039.005</v>
      </c>
      <c r="S10" s="100" t="str">
        <f ca="1">IFERROR(__xludf.dummyfunction("VLOOKUP(R10, IMPORTRANGE(""https://docs.google.com/spreadsheets/d/1yDAaXNsi4Mr5FtRQL4tbmSdIzhx6_m4wkOD7IG-k_eo/edit#gid=0"", ""Maths!M:N""), 2, FALSE)"),"Evaluate the validity of statements regarding the closure property and its application in rational number multiplication.")</f>
        <v>Evaluate the validity of statements regarding the closure property and its application in rational number multiplication.</v>
      </c>
      <c r="T10" s="100" t="str">
        <f t="shared" si="5"/>
        <v>LU001039.006</v>
      </c>
      <c r="U10" s="100" t="str">
        <f ca="1">IFERROR(__xludf.dummyfunction("VLOOKUP(T10, IMPORTRANGE(""https://docs.google.com/spreadsheets/d/1yDAaXNsi4Mr5FtRQL4tbmSdIzhx6_m4wkOD7IG-k_eo/edit#gid=0"", ""Maths!M:N""), 2, FALSE)"),"#N/A")</f>
        <v>#N/A</v>
      </c>
      <c r="V10" s="16">
        <f ca="1">IFERROR(__xludf.dummyfunction("ArrayFormula(VLOOKUP(G10, IMPORTRANGE(""https://docs.google.com/spreadsheets/d/1p7R4vtkWt5VOBim4ltsDG9KTzSjrtKXsMtQGXPHyND0/edit#gid=795171502"", ""'Filter 30_05_2024'!A1:M2000""), {2, 3, 4, 5,6,7,8,9,10,11,12,13}, 0))"),4)</f>
        <v>4</v>
      </c>
      <c r="W10" s="16">
        <f ca="1">IFERROR(__xludf.dummyfunction("""COMPUTED_VALUE"""),6)</f>
        <v>6</v>
      </c>
      <c r="X10" s="16">
        <f ca="1">IFERROR(__xludf.dummyfunction("""COMPUTED_VALUE"""),2)</f>
        <v>2</v>
      </c>
      <c r="Y10" s="16">
        <f ca="1">IFERROR(__xludf.dummyfunction("""COMPUTED_VALUE"""),12)</f>
        <v>12</v>
      </c>
      <c r="Z10" s="16">
        <f ca="1">IFERROR(__xludf.dummyfunction("""COMPUTED_VALUE"""),4)</f>
        <v>4</v>
      </c>
      <c r="AA10" s="30">
        <f ca="1">IFERROR(__xludf.dummyfunction("""COMPUTED_VALUE"""),3)</f>
        <v>3</v>
      </c>
      <c r="AB10" s="30">
        <f ca="1">IFERROR(__xludf.dummyfunction("""COMPUTED_VALUE"""),1)</f>
        <v>1</v>
      </c>
      <c r="AC10" s="30">
        <f ca="1">IFERROR(__xludf.dummyfunction("""COMPUTED_VALUE"""),8)</f>
        <v>8</v>
      </c>
      <c r="AD10" s="16"/>
      <c r="AE10" s="30"/>
      <c r="AF10" s="30"/>
      <c r="AG10" s="30"/>
    </row>
    <row r="11" spans="1:33" ht="26.4">
      <c r="A11" s="25"/>
      <c r="B11" s="25" t="s">
        <v>29</v>
      </c>
      <c r="C11" s="25" t="s">
        <v>310</v>
      </c>
      <c r="D11" s="25">
        <v>8</v>
      </c>
      <c r="E11" s="70" t="s">
        <v>791</v>
      </c>
      <c r="F11" s="70" t="s">
        <v>1054</v>
      </c>
      <c r="G11" s="64" t="s">
        <v>1056</v>
      </c>
      <c r="H11" s="64" t="str">
        <f ca="1">IFERROR(__xludf.dummyfunction("IFERROR(
  VLOOKUP(G11, IMPORTRANGE(""https://docs.google.com/spreadsheets/d/14deopnvwcrKtEGCKuYXdUHJbeLDZlkiSSWWT0g7x2pM/edit#gid=849066331"", ""LU List Maths (Filter)!A:B""), 2, FALSE),
  IFERROR(
    VLOOKUP(G11, IMPORTRANGE(""https://docs.google.com/s"&amp;"preadsheets/d/14deopnvwcrKtEGCKuYXdUHJbeLDZlkiSSWWT0g7x2pM/edit#gid=849066331"", ""LU List Science (Filter)!A:B""), 2, FALSE),
    ""Not Found""
  )
)
"),"Commutative property for multiplication of rational numbers")</f>
        <v>Commutative property for multiplication of rational numbers</v>
      </c>
      <c r="I11" s="64"/>
      <c r="J11" s="100" t="str">
        <f t="shared" si="0"/>
        <v>LU001043.001</v>
      </c>
      <c r="K11" s="100" t="str">
        <f ca="1">IFERROR(__xludf.dummyfunction("VLOOKUP(J11, IMPORTRANGE(""https://docs.google.com/spreadsheets/d/1yDAaXNsi4Mr5FtRQL4tbmSdIzhx6_m4wkOD7IG-k_eo/edit#gid=0"", ""Maths!M:N""), 2, FALSE)"),"Recall the commutative property for multiplying rational numbers.")</f>
        <v>Recall the commutative property for multiplying rational numbers.</v>
      </c>
      <c r="L11" s="100" t="str">
        <f t="shared" si="1"/>
        <v>LU001043.002</v>
      </c>
      <c r="M11" s="100" t="str">
        <f ca="1">IFERROR(__xludf.dummyfunction("VLOOKUP(L11, IMPORTRANGE(""https://docs.google.com/spreadsheets/d/1yDAaXNsi4Mr5FtRQL4tbmSdIzhx6_m4wkOD7IG-k_eo/edit#gid=0"", ""Maths!M:N""), 2, FALSE)"),"Explain how the commutative property applies to multiplying rational numbers.")</f>
        <v>Explain how the commutative property applies to multiplying rational numbers.</v>
      </c>
      <c r="N11" s="100" t="str">
        <f t="shared" si="2"/>
        <v>LU001043.003</v>
      </c>
      <c r="O11" s="100" t="str">
        <f ca="1">IFERROR(__xludf.dummyfunction("VLOOKUP(N11, IMPORTRANGE(""https://docs.google.com/spreadsheets/d/1yDAaXNsi4Mr5FtRQL4tbmSdIzhx6_m4wkOD7IG-k_eo/edit#gid=0"", ""Maths!M:N""), 2, FALSE)"),"Apply the commutative property to show that the order of multiplication of rational numbers doesn't affect the result in practical calculations.")</f>
        <v>Apply the commutative property to show that the order of multiplication of rational numbers doesn't affect the result in practical calculations.</v>
      </c>
      <c r="P11" s="100" t="str">
        <f t="shared" si="3"/>
        <v>LU001043.004</v>
      </c>
      <c r="Q11" s="100" t="str">
        <f ca="1">IFERROR(__xludf.dummyfunction("VLOOKUP(P11, IMPORTRANGE(""https://docs.google.com/spreadsheets/d/1yDAaXNsi4Mr5FtRQL4tbmSdIzhx6_m4wkOD7IG-k_eo/edit#gid=0"", ""Maths!M:N""), 2, FALSE)"),"Analyze expressions to confirm the commutative property in rational number multiplication.")</f>
        <v>Analyze expressions to confirm the commutative property in rational number multiplication.</v>
      </c>
      <c r="R11" s="100" t="str">
        <f t="shared" si="4"/>
        <v>LU001043.005</v>
      </c>
      <c r="S11" s="100" t="str">
        <f ca="1">IFERROR(__xludf.dummyfunction("VLOOKUP(R11, IMPORTRANGE(""https://docs.google.com/spreadsheets/d/1yDAaXNsi4Mr5FtRQL4tbmSdIzhx6_m4wkOD7IG-k_eo/edit#gid=0"", ""Maths!M:N""), 2, FALSE)"),"Assess the correctness of statements about the commutative property in rational number multiplication.")</f>
        <v>Assess the correctness of statements about the commutative property in rational number multiplication.</v>
      </c>
      <c r="T11" s="100" t="str">
        <f t="shared" si="5"/>
        <v>LU001043.006</v>
      </c>
      <c r="U11" s="100" t="str">
        <f ca="1">IFERROR(__xludf.dummyfunction("VLOOKUP(T11, IMPORTRANGE(""https://docs.google.com/spreadsheets/d/1yDAaXNsi4Mr5FtRQL4tbmSdIzhx6_m4wkOD7IG-k_eo/edit#gid=0"", ""Maths!M:N""), 2, FALSE)"),"#N/A")</f>
        <v>#N/A</v>
      </c>
      <c r="V11" s="16">
        <f ca="1">IFERROR(__xludf.dummyfunction("ArrayFormula(VLOOKUP(G11, IMPORTRANGE(""https://docs.google.com/spreadsheets/d/1p7R4vtkWt5VOBim4ltsDG9KTzSjrtKXsMtQGXPHyND0/edit#gid=795171502"", ""'Filter 30_05_2024'!A1:M2000""), {2, 3, 4, 5,6,7,8,9,10,11,12,13}, 0))"),4)</f>
        <v>4</v>
      </c>
      <c r="W11" s="16">
        <f ca="1">IFERROR(__xludf.dummyfunction("""COMPUTED_VALUE"""),6)</f>
        <v>6</v>
      </c>
      <c r="X11" s="16">
        <f ca="1">IFERROR(__xludf.dummyfunction("""COMPUTED_VALUE"""),2)</f>
        <v>2</v>
      </c>
      <c r="Y11" s="16">
        <f ca="1">IFERROR(__xludf.dummyfunction("""COMPUTED_VALUE"""),12)</f>
        <v>12</v>
      </c>
      <c r="Z11" s="16">
        <f ca="1">IFERROR(__xludf.dummyfunction("""COMPUTED_VALUE"""),4)</f>
        <v>4</v>
      </c>
      <c r="AA11" s="30">
        <f ca="1">IFERROR(__xludf.dummyfunction("""COMPUTED_VALUE"""),3)</f>
        <v>3</v>
      </c>
      <c r="AB11" s="30">
        <f ca="1">IFERROR(__xludf.dummyfunction("""COMPUTED_VALUE"""),1)</f>
        <v>1</v>
      </c>
      <c r="AC11" s="30">
        <f ca="1">IFERROR(__xludf.dummyfunction("""COMPUTED_VALUE"""),8)</f>
        <v>8</v>
      </c>
      <c r="AD11" s="16"/>
      <c r="AE11" s="30"/>
      <c r="AF11" s="30"/>
      <c r="AG11" s="30"/>
    </row>
    <row r="12" spans="1:33" ht="26.4">
      <c r="A12" s="25"/>
      <c r="B12" s="25" t="s">
        <v>29</v>
      </c>
      <c r="C12" s="25" t="s">
        <v>310</v>
      </c>
      <c r="D12" s="25">
        <v>8</v>
      </c>
      <c r="E12" s="70" t="s">
        <v>791</v>
      </c>
      <c r="F12" s="70" t="s">
        <v>1054</v>
      </c>
      <c r="G12" s="64" t="s">
        <v>1057</v>
      </c>
      <c r="H12" s="64" t="str">
        <f ca="1">IFERROR(__xludf.dummyfunction("IFERROR(
  VLOOKUP(G12, IMPORTRANGE(""https://docs.google.com/spreadsheets/d/14deopnvwcrKtEGCKuYXdUHJbeLDZlkiSSWWT0g7x2pM/edit#gid=849066331"", ""LU List Maths (Filter)!A:B""), 2, FALSE),
  IFERROR(
    VLOOKUP(G12, IMPORTRANGE(""https://docs.google.com/s"&amp;"preadsheets/d/14deopnvwcrKtEGCKuYXdUHJbeLDZlkiSSWWT0g7x2pM/edit#gid=849066331"", ""LU List Science (Filter)!A:B""), 2, FALSE),
    ""Not Found""
  )
)
"),"Associative property for multiplication of rational numbers")</f>
        <v>Associative property for multiplication of rational numbers</v>
      </c>
      <c r="I12" s="64"/>
      <c r="J12" s="100" t="str">
        <f t="shared" si="0"/>
        <v>LU001047.001</v>
      </c>
      <c r="K12" s="100" t="str">
        <f ca="1">IFERROR(__xludf.dummyfunction("VLOOKUP(J12, IMPORTRANGE(""https://docs.google.com/spreadsheets/d/1yDAaXNsi4Mr5FtRQL4tbmSdIzhx6_m4wkOD7IG-k_eo/edit#gid=0"", ""Maths!M:N""), 2, FALSE)"),"Recall the statement of the associative property for multiplication of rational numbers.")</f>
        <v>Recall the statement of the associative property for multiplication of rational numbers.</v>
      </c>
      <c r="L12" s="100" t="str">
        <f t="shared" si="1"/>
        <v>LU001047.002</v>
      </c>
      <c r="M12" s="100" t="str">
        <f ca="1">IFERROR(__xludf.dummyfunction("VLOOKUP(L12, IMPORTRANGE(""https://docs.google.com/spreadsheets/d/1yDAaXNsi4Mr5FtRQL4tbmSdIzhx6_m4wkOD7IG-k_eo/edit#gid=0"", ""Maths!M:N""), 2, FALSE)"),"Explain the concept of the associative property and its application to multiplication of rational numbers.")</f>
        <v>Explain the concept of the associative property and its application to multiplication of rational numbers.</v>
      </c>
      <c r="N12" s="100" t="str">
        <f t="shared" si="2"/>
        <v>LU001047.003</v>
      </c>
      <c r="O12" s="100" t="str">
        <f ca="1">IFERROR(__xludf.dummyfunction("VLOOKUP(N12, IMPORTRANGE(""https://docs.google.com/spreadsheets/d/1yDAaXNsi4Mr5FtRQL4tbmSdIzhx6_m4wkOD7IG-k_eo/edit#gid=0"", ""Maths!M:N""), 2, FALSE)"),"Apply the associative property to re-group and simplify rational number multiplication expressions.")</f>
        <v>Apply the associative property to re-group and simplify rational number multiplication expressions.</v>
      </c>
      <c r="P12" s="100" t="str">
        <f t="shared" si="3"/>
        <v>LU001047.004</v>
      </c>
      <c r="Q12" s="100" t="str">
        <f ca="1">IFERROR(__xludf.dummyfunction("VLOOKUP(P12, IMPORTRANGE(""https://docs.google.com/spreadsheets/d/1yDAaXNsi4Mr5FtRQL4tbmSdIzhx6_m4wkOD7IG-k_eo/edit#gid=0"", ""Maths!M:N""), 2, FALSE)"),"Analyze mathematical equations to demonstrate the use of the associative property and how it affects the grouping of rational numbers in multiplication.")</f>
        <v>Analyze mathematical equations to demonstrate the use of the associative property and how it affects the grouping of rational numbers in multiplication.</v>
      </c>
      <c r="R12" s="100" t="str">
        <f t="shared" si="4"/>
        <v>LU001047.005</v>
      </c>
      <c r="S12" s="100" t="str">
        <f ca="1">IFERROR(__xludf.dummyfunction("VLOOKUP(R12, IMPORTRANGE(""https://docs.google.com/spreadsheets/d/1yDAaXNsi4Mr5FtRQL4tbmSdIzhx6_m4wkOD7IG-k_eo/edit#gid=0"", ""Maths!M:N""), 2, FALSE)"),"Evaluate the correctness of solutions obtained using the associative property in rational number multiplication problems and identify any errors.")</f>
        <v>Evaluate the correctness of solutions obtained using the associative property in rational number multiplication problems and identify any errors.</v>
      </c>
      <c r="T12" s="100" t="str">
        <f t="shared" si="5"/>
        <v>LU001047.006</v>
      </c>
      <c r="U12" s="100" t="str">
        <f ca="1">IFERROR(__xludf.dummyfunction("VLOOKUP(T12, IMPORTRANGE(""https://docs.google.com/spreadsheets/d/1yDAaXNsi4Mr5FtRQL4tbmSdIzhx6_m4wkOD7IG-k_eo/edit#gid=0"", ""Maths!M:N""), 2, FALSE)"),"#N/A")</f>
        <v>#N/A</v>
      </c>
      <c r="V12" s="16">
        <f ca="1">IFERROR(__xludf.dummyfunction("ArrayFormula(VLOOKUP(G12, IMPORTRANGE(""https://docs.google.com/spreadsheets/d/1p7R4vtkWt5VOBim4ltsDG9KTzSjrtKXsMtQGXPHyND0/edit#gid=795171502"", ""'Filter 30_05_2024'!A1:M2000""), {2, 3, 4, 5,6,7,8,9,10,11,12,13}, 0))"),4)</f>
        <v>4</v>
      </c>
      <c r="W12" s="16">
        <f ca="1">IFERROR(__xludf.dummyfunction("""COMPUTED_VALUE"""),6)</f>
        <v>6</v>
      </c>
      <c r="X12" s="16">
        <f ca="1">IFERROR(__xludf.dummyfunction("""COMPUTED_VALUE"""),2)</f>
        <v>2</v>
      </c>
      <c r="Y12" s="16">
        <f ca="1">IFERROR(__xludf.dummyfunction("""COMPUTED_VALUE"""),12)</f>
        <v>12</v>
      </c>
      <c r="Z12" s="16">
        <f ca="1">IFERROR(__xludf.dummyfunction("""COMPUTED_VALUE"""),4)</f>
        <v>4</v>
      </c>
      <c r="AA12" s="30">
        <f ca="1">IFERROR(__xludf.dummyfunction("""COMPUTED_VALUE"""),3)</f>
        <v>3</v>
      </c>
      <c r="AB12" s="30">
        <f ca="1">IFERROR(__xludf.dummyfunction("""COMPUTED_VALUE"""),1)</f>
        <v>1</v>
      </c>
      <c r="AC12" s="30">
        <f ca="1">IFERROR(__xludf.dummyfunction("""COMPUTED_VALUE"""),8)</f>
        <v>8</v>
      </c>
      <c r="AD12" s="16"/>
      <c r="AE12" s="30"/>
      <c r="AF12" s="30"/>
      <c r="AG12" s="30"/>
    </row>
    <row r="13" spans="1:33" ht="26.4">
      <c r="A13" s="25"/>
      <c r="B13" s="25" t="s">
        <v>29</v>
      </c>
      <c r="C13" s="25" t="s">
        <v>310</v>
      </c>
      <c r="D13" s="25">
        <v>8</v>
      </c>
      <c r="E13" s="70" t="s">
        <v>791</v>
      </c>
      <c r="F13" s="70" t="s">
        <v>1054</v>
      </c>
      <c r="G13" s="64" t="s">
        <v>1058</v>
      </c>
      <c r="H13" s="64" t="str">
        <f ca="1">IFERROR(__xludf.dummyfunction("IFERROR(
  VLOOKUP(G13, IMPORTRANGE(""https://docs.google.com/spreadsheets/d/14deopnvwcrKtEGCKuYXdUHJbeLDZlkiSSWWT0g7x2pM/edit#gid=849066331"", ""LU List Maths (Filter)!A:B""), 2, FALSE),
  IFERROR(
    VLOOKUP(G13, IMPORTRANGE(""https://docs.google.com/s"&amp;"preadsheets/d/14deopnvwcrKtEGCKuYXdUHJbeLDZlkiSSWWT0g7x2pM/edit#gid=849066331"", ""LU List Science (Filter)!A:B""), 2, FALSE),
    ""Not Found""
  )
)
"),"Multiplicative identity of rational numbers")</f>
        <v>Multiplicative identity of rational numbers</v>
      </c>
      <c r="I13" s="64"/>
      <c r="J13" s="100" t="str">
        <f t="shared" si="0"/>
        <v>LU000579.001</v>
      </c>
      <c r="K13" s="100" t="str">
        <f ca="1">IFERROR(__xludf.dummyfunction("VLOOKUP(J13, IMPORTRANGE(""https://docs.google.com/spreadsheets/d/1yDAaXNsi4Mr5FtRQL4tbmSdIzhx6_m4wkOD7IG-k_eo/edit#gid=0"", ""Maths!M:N""), 2, FALSE)"),"Define the multiplicative identity of rational numbers and its mathematical representation.")</f>
        <v>Define the multiplicative identity of rational numbers and its mathematical representation.</v>
      </c>
      <c r="L13" s="100" t="str">
        <f t="shared" si="1"/>
        <v>LU000579.002</v>
      </c>
      <c r="M13" s="100" t="str">
        <f ca="1">IFERROR(__xludf.dummyfunction("VLOOKUP(L13, IMPORTRANGE(""https://docs.google.com/spreadsheets/d/1yDAaXNsi4Mr5FtRQL4tbmSdIzhx6_m4wkOD7IG-k_eo/edit#gid=0"", ""Maths!M:N""), 2, FALSE)"),"Explain the concept of the multiplicative identity and its role in rational numbers multiplication.")</f>
        <v>Explain the concept of the multiplicative identity and its role in rational numbers multiplication.</v>
      </c>
      <c r="N13" s="100" t="str">
        <f t="shared" si="2"/>
        <v>LU000579.003</v>
      </c>
      <c r="O13" s="100" t="str">
        <f ca="1">IFERROR(__xludf.dummyfunction("VLOOKUP(N13, IMPORTRANGE(""https://docs.google.com/spreadsheets/d/1yDAaXNsi4Mr5FtRQL4tbmSdIzhx6_m4wkOD7IG-k_eo/edit#gid=0"", ""Maths!M:N""), 2, FALSE)"),"Simplify the expression involving rational numbers using the multiplicative identity property.")</f>
        <v>Simplify the expression involving rational numbers using the multiplicative identity property.</v>
      </c>
      <c r="P13" s="100" t="str">
        <f t="shared" si="3"/>
        <v>LU000579.004</v>
      </c>
      <c r="Q13" s="100" t="str">
        <f ca="1">IFERROR(__xludf.dummyfunction("VLOOKUP(P13, IMPORTRANGE(""https://docs.google.com/spreadsheets/d/1yDAaXNsi4Mr5FtRQL4tbmSdIzhx6_m4wkOD7IG-k_eo/edit#gid=0"", ""Maths!M:N""), 2, FALSE)"),"Analyse a series of rational numbers operations and identify instances where the multiplicative identity property is used.")</f>
        <v>Analyse a series of rational numbers operations and identify instances where the multiplicative identity property is used.</v>
      </c>
      <c r="R13" s="100" t="str">
        <f t="shared" si="4"/>
        <v>LU000579.005</v>
      </c>
      <c r="S13" s="100" t="str">
        <f ca="1">IFERROR(__xludf.dummyfunction("VLOOKUP(R13, IMPORTRANGE(""https://docs.google.com/spreadsheets/d/1yDAaXNsi4Mr5FtRQL4tbmSdIzhx6_m4wkOD7IG-k_eo/edit#gid=0"", ""Maths!M:N""), 2, FALSE)"),"Evaluate the correctness of a solution to a multiplication problem involving the multiplicative identity.")</f>
        <v>Evaluate the correctness of a solution to a multiplication problem involving the multiplicative identity.</v>
      </c>
      <c r="T13" s="100" t="str">
        <f t="shared" si="5"/>
        <v>LU000579.006</v>
      </c>
      <c r="U13" s="100" t="str">
        <f ca="1">IFERROR(__xludf.dummyfunction("VLOOKUP(T13, IMPORTRANGE(""https://docs.google.com/spreadsheets/d/1yDAaXNsi4Mr5FtRQL4tbmSdIzhx6_m4wkOD7IG-k_eo/edit#gid=0"", ""Maths!M:N""), 2, FALSE)"),"Design scenarios where students must incorporate the multiplicative identity property to solve problems involving rational numbers.")</f>
        <v>Design scenarios where students must incorporate the multiplicative identity property to solve problems involving rational numbers.</v>
      </c>
      <c r="V13" s="16">
        <f ca="1">IFERROR(__xludf.dummyfunction("ArrayFormula(VLOOKUP(G13, IMPORTRANGE(""https://docs.google.com/spreadsheets/d/1p7R4vtkWt5VOBim4ltsDG9KTzSjrtKXsMtQGXPHyND0/edit#gid=795171502"", ""'Filter 30_05_2024'!A1:M2000""), {2, 3, 4, 5,6,7,8,9,10,11,12,13}, 0))"),4)</f>
        <v>4</v>
      </c>
      <c r="W13" s="16">
        <f ca="1">IFERROR(__xludf.dummyfunction("""COMPUTED_VALUE"""),6)</f>
        <v>6</v>
      </c>
      <c r="X13" s="16">
        <f ca="1">IFERROR(__xludf.dummyfunction("""COMPUTED_VALUE"""),2)</f>
        <v>2</v>
      </c>
      <c r="Y13" s="16">
        <f ca="1">IFERROR(__xludf.dummyfunction("""COMPUTED_VALUE"""),12)</f>
        <v>12</v>
      </c>
      <c r="Z13" s="16">
        <f ca="1">IFERROR(__xludf.dummyfunction("""COMPUTED_VALUE"""),4)</f>
        <v>4</v>
      </c>
      <c r="AA13" s="30">
        <f ca="1">IFERROR(__xludf.dummyfunction("""COMPUTED_VALUE"""),3)</f>
        <v>3</v>
      </c>
      <c r="AB13" s="30">
        <f ca="1">IFERROR(__xludf.dummyfunction("""COMPUTED_VALUE"""),2)</f>
        <v>2</v>
      </c>
      <c r="AC13" s="30">
        <f ca="1">IFERROR(__xludf.dummyfunction("""COMPUTED_VALUE"""),9)</f>
        <v>9</v>
      </c>
      <c r="AD13" s="16"/>
      <c r="AE13" s="30"/>
      <c r="AF13" s="30"/>
      <c r="AG13" s="30"/>
    </row>
    <row r="14" spans="1:33" ht="26.4">
      <c r="A14" s="25"/>
      <c r="B14" s="25" t="s">
        <v>29</v>
      </c>
      <c r="C14" s="25" t="s">
        <v>310</v>
      </c>
      <c r="D14" s="25">
        <v>8</v>
      </c>
      <c r="E14" s="70" t="s">
        <v>791</v>
      </c>
      <c r="F14" s="70" t="s">
        <v>1054</v>
      </c>
      <c r="G14" s="64" t="s">
        <v>1059</v>
      </c>
      <c r="H14" s="64" t="str">
        <f ca="1">IFERROR(__xludf.dummyfunction("IFERROR(
  VLOOKUP(G14, IMPORTRANGE(""https://docs.google.com/spreadsheets/d/14deopnvwcrKtEGCKuYXdUHJbeLDZlkiSSWWT0g7x2pM/edit#gid=849066331"", ""LU List Maths (Filter)!A:B""), 2, FALSE),
  IFERROR(
    VLOOKUP(G14, IMPORTRANGE(""https://docs.google.com/s"&amp;"preadsheets/d/14deopnvwcrKtEGCKuYXdUHJbeLDZlkiSSWWT0g7x2pM/edit#gid=849066331"", ""LU List Science (Filter)!A:B""), 2, FALSE),
    ""Not Found""
  )
)
"),"Multiplicative inverse or reciprocal of rational number")</f>
        <v>Multiplicative inverse or reciprocal of rational number</v>
      </c>
      <c r="I14" s="64"/>
      <c r="J14" s="100" t="str">
        <f t="shared" si="0"/>
        <v>LU000478.001</v>
      </c>
      <c r="K14" s="100" t="str">
        <f ca="1">IFERROR(__xludf.dummyfunction("VLOOKUP(J14, IMPORTRANGE(""https://docs.google.com/spreadsheets/d/1yDAaXNsi4Mr5FtRQL4tbmSdIzhx6_m4wkOD7IG-k_eo/edit#gid=0"", ""Maths!M:N""), 2, FALSE)"),"State the definition of reciprocal or multiplicative inverse of a rational number")</f>
        <v>State the definition of reciprocal or multiplicative inverse of a rational number</v>
      </c>
      <c r="L14" s="100" t="str">
        <f t="shared" si="1"/>
        <v>LU000478.002</v>
      </c>
      <c r="M14" s="100" t="str">
        <f ca="1">IFERROR(__xludf.dummyfunction("VLOOKUP(L14, IMPORTRANGE(""https://docs.google.com/spreadsheets/d/1yDAaXNsi4Mr5FtRQL4tbmSdIzhx6_m4wkOD7IG-k_eo/edit#gid=0"", ""Maths!M:N""), 2, FALSE)"),"Explain how the reciprocal or multiplicative inverse of a rational number relates to the original number.")</f>
        <v>Explain how the reciprocal or multiplicative inverse of a rational number relates to the original number.</v>
      </c>
      <c r="N14" s="100" t="str">
        <f t="shared" si="2"/>
        <v>LU000478.003</v>
      </c>
      <c r="O14" s="100" t="str">
        <f ca="1">IFERROR(__xludf.dummyfunction("VLOOKUP(N14, IMPORTRANGE(""https://docs.google.com/spreadsheets/d/1yDAaXNsi4Mr5FtRQL4tbmSdIzhx6_m4wkOD7IG-k_eo/edit#gid=0"", ""Maths!M:N""), 2, FALSE)"),"Find the reciprocal or multiplicative inverse of given rational numbers.")</f>
        <v>Find the reciprocal or multiplicative inverse of given rational numbers.</v>
      </c>
      <c r="P14" s="100" t="str">
        <f t="shared" si="3"/>
        <v>LU000478.004</v>
      </c>
      <c r="Q14" s="100" t="str">
        <f ca="1">IFERROR(__xludf.dummyfunction("VLOOKUP(P14, IMPORTRANGE(""https://docs.google.com/spreadsheets/d/1yDAaXNsi4Mr5FtRQL4tbmSdIzhx6_m4wkOD7IG-k_eo/edit#gid=0"", ""Maths!M:N""), 2, FALSE)"),"Analyse how the product of a rational number and its reciprocal or multiplicative inverse is always equal to 1.")</f>
        <v>Analyse how the product of a rational number and its reciprocal or multiplicative inverse is always equal to 1.</v>
      </c>
      <c r="R14" s="100" t="str">
        <f t="shared" si="4"/>
        <v>LU000478.005</v>
      </c>
      <c r="S14" s="100" t="str">
        <f ca="1">IFERROR(__xludf.dummyfunction("VLOOKUP(R14, IMPORTRANGE(""https://docs.google.com/spreadsheets/d/1yDAaXNsi4Mr5FtRQL4tbmSdIzhx6_m4wkOD7IG-k_eo/edit#gid=0"", ""Maths!M:N""), 2, FALSE)"),"Evaluate the significance of understanding reciprocals or multiplicative inverse when dealing with fractions and proportions.")</f>
        <v>Evaluate the significance of understanding reciprocals or multiplicative inverse when dealing with fractions and proportions.</v>
      </c>
      <c r="T14" s="100" t="str">
        <f t="shared" si="5"/>
        <v>LU000478.006</v>
      </c>
      <c r="U14" s="100" t="str">
        <f ca="1">IFERROR(__xludf.dummyfunction("VLOOKUP(T14, IMPORTRANGE(""https://docs.google.com/spreadsheets/d/1yDAaXNsi4Mr5FtRQL4tbmSdIzhx6_m4wkOD7IG-k_eo/edit#gid=0"", ""Maths!M:N""), 2, FALSE)"),"Design a visual representation that illustrates the relationship between a rational number and its reciprocal or multiplicative inverse.")</f>
        <v>Design a visual representation that illustrates the relationship between a rational number and its reciprocal or multiplicative inverse.</v>
      </c>
      <c r="V14" s="16">
        <f ca="1">IFERROR(__xludf.dummyfunction("ArrayFormula(VLOOKUP(G14, IMPORTRANGE(""https://docs.google.com/spreadsheets/d/1p7R4vtkWt5VOBim4ltsDG9KTzSjrtKXsMtQGXPHyND0/edit#gid=795171502"", ""'Filter 30_05_2024'!A1:M2000""), {2, 3, 4, 5,6,7,8,9,10,11,12,13}, 0))"),4)</f>
        <v>4</v>
      </c>
      <c r="W14" s="16">
        <f ca="1">IFERROR(__xludf.dummyfunction("""COMPUTED_VALUE"""),6)</f>
        <v>6</v>
      </c>
      <c r="X14" s="16">
        <f ca="1">IFERROR(__xludf.dummyfunction("""COMPUTED_VALUE"""),1)</f>
        <v>1</v>
      </c>
      <c r="Y14" s="16">
        <f ca="1">IFERROR(__xludf.dummyfunction("""COMPUTED_VALUE"""),11)</f>
        <v>11</v>
      </c>
      <c r="Z14" s="16">
        <f ca="1">IFERROR(__xludf.dummyfunction("""COMPUTED_VALUE"""),4)</f>
        <v>4</v>
      </c>
      <c r="AA14" s="30">
        <f ca="1">IFERROR(__xludf.dummyfunction("""COMPUTED_VALUE"""),3)</f>
        <v>3</v>
      </c>
      <c r="AB14" s="30">
        <f ca="1">IFERROR(__xludf.dummyfunction("""COMPUTED_VALUE"""),2)</f>
        <v>2</v>
      </c>
      <c r="AC14" s="30">
        <f ca="1">IFERROR(__xludf.dummyfunction("""COMPUTED_VALUE"""),9)</f>
        <v>9</v>
      </c>
      <c r="AD14" s="16"/>
      <c r="AE14" s="30"/>
      <c r="AF14" s="30"/>
      <c r="AG14" s="30"/>
    </row>
    <row r="15" spans="1:33" ht="13.8">
      <c r="A15" s="25"/>
      <c r="B15" s="25" t="s">
        <v>29</v>
      </c>
      <c r="C15" s="25" t="s">
        <v>310</v>
      </c>
      <c r="D15" s="25">
        <v>8</v>
      </c>
      <c r="E15" s="70" t="s">
        <v>791</v>
      </c>
      <c r="F15" s="70" t="s">
        <v>1060</v>
      </c>
      <c r="G15" s="64" t="s">
        <v>1061</v>
      </c>
      <c r="H15" s="64" t="str">
        <f ca="1">IFERROR(__xludf.dummyfunction("IFERROR(
  VLOOKUP(G15, IMPORTRANGE(""https://docs.google.com/spreadsheets/d/14deopnvwcrKtEGCKuYXdUHJbeLDZlkiSSWWT0g7x2pM/edit#gid=849066331"", ""LU List Maths (Filter)!A:B""), 2, FALSE),
  IFERROR(
    VLOOKUP(G15, IMPORTRANGE(""https://docs.google.com/s"&amp;"preadsheets/d/14deopnvwcrKtEGCKuYXdUHJbeLDZlkiSSWWT0g7x2pM/edit#gid=849066331"", ""LU List Science (Filter)!A:B""), 2, FALSE),
    ""Not Found""
  )
)
"),"Examination of closure property for division of rational numbers")</f>
        <v>Examination of closure property for division of rational numbers</v>
      </c>
      <c r="I15" s="64"/>
      <c r="J15" s="100" t="str">
        <f t="shared" si="0"/>
        <v>LU001040.001</v>
      </c>
      <c r="K15" s="100" t="str">
        <f ca="1">IFERROR(__xludf.dummyfunction("VLOOKUP(J15, IMPORTRANGE(""https://docs.google.com/spreadsheets/d/1yDAaXNsi4Mr5FtRQL4tbmSdIzhx6_m4wkOD7IG-k_eo/edit#gid=0"", ""Maths!M:N""), 2, FALSE)"),"State that the closure property generally holds for the division of rational numbers, except when dividing by zero.")</f>
        <v>State that the closure property generally holds for the division of rational numbers, except when dividing by zero.</v>
      </c>
      <c r="L15" s="100" t="str">
        <f t="shared" si="1"/>
        <v>LU001040.002</v>
      </c>
      <c r="M15" s="100" t="str">
        <f ca="1">IFERROR(__xludf.dummyfunction("VLOOKUP(L15, IMPORTRANGE(""https://docs.google.com/spreadsheets/d/1yDAaXNsi4Mr5FtRQL4tbmSdIzhx6_m4wkOD7IG-k_eo/edit#gid=0"", ""Maths!M:N""), 2, FALSE)"),"Explain why the closure property holds for the division of rational numbers, except in cases involving division by zero.")</f>
        <v>Explain why the closure property holds for the division of rational numbers, except in cases involving division by zero.</v>
      </c>
      <c r="N15" s="100" t="str">
        <f t="shared" si="2"/>
        <v>LU001040.003</v>
      </c>
      <c r="O15" s="100" t="str">
        <f ca="1">IFERROR(__xludf.dummyfunction("VLOOKUP(N15, IMPORTRANGE(""https://docs.google.com/spreadsheets/d/1yDAaXNsi4Mr5FtRQL4tbmSdIzhx6_m4wkOD7IG-k_eo/edit#gid=0"", ""Maths!M:N""), 2, FALSE)"),"Identify examples where division of rational numbers upholds the closure property, and examples where it fails due to division by zero.")</f>
        <v>Identify examples where division of rational numbers upholds the closure property, and examples where it fails due to division by zero.</v>
      </c>
      <c r="P15" s="100" t="str">
        <f t="shared" si="3"/>
        <v>LU001040.004</v>
      </c>
      <c r="Q15" s="100" t="str">
        <f ca="1">IFERROR(__xludf.dummyfunction("VLOOKUP(P15, IMPORTRANGE(""https://docs.google.com/spreadsheets/d/1yDAaXNsi4Mr5FtRQL4tbmSdIzhx6_m4wkOD7IG-k_eo/edit#gid=0"", ""Maths!M:N""), 2, FALSE)"),"Analyse a range of division problems involving rational numbers to demonstrate the closure property, and identify cases of division by zero.")</f>
        <v>Analyse a range of division problems involving rational numbers to demonstrate the closure property, and identify cases of division by zero.</v>
      </c>
      <c r="R15" s="100" t="str">
        <f t="shared" si="4"/>
        <v>LU001040.005</v>
      </c>
      <c r="S15" s="100" t="str">
        <f ca="1">IFERROR(__xludf.dummyfunction("VLOOKUP(R15, IMPORTRANGE(""https://docs.google.com/spreadsheets/d/1yDAaXNsi4Mr5FtRQL4tbmSdIzhx6_m4wkOD7IG-k_eo/edit#gid=0"", ""Maths!M:N""), 2, FALSE)"),"Evaluate the correctness of statements regarding the closure property in the context of dividing rational numbers, with special attention to division by zero.")</f>
        <v>Evaluate the correctness of statements regarding the closure property in the context of dividing rational numbers, with special attention to division by zero.</v>
      </c>
      <c r="T15" s="100" t="str">
        <f t="shared" si="5"/>
        <v>LU001040.006</v>
      </c>
      <c r="U15" s="100" t="str">
        <f ca="1">IFERROR(__xludf.dummyfunction("VLOOKUP(T15, IMPORTRANGE(""https://docs.google.com/spreadsheets/d/1yDAaXNsi4Mr5FtRQL4tbmSdIzhx6_m4wkOD7IG-k_eo/edit#gid=0"", ""Maths!M:N""), 2, FALSE)"),"#N/A")</f>
        <v>#N/A</v>
      </c>
      <c r="V15" s="16">
        <f ca="1">IFERROR(__xludf.dummyfunction("ArrayFormula(VLOOKUP(G15, IMPORTRANGE(""https://docs.google.com/spreadsheets/d/1p7R4vtkWt5VOBim4ltsDG9KTzSjrtKXsMtQGXPHyND0/edit#gid=795171502"", ""'Filter 30_05_2024'!A1:M2000""), {2, 3, 4, 5,6,7,8,9,10,11,12,13}, 0))"),4)</f>
        <v>4</v>
      </c>
      <c r="W15" s="16">
        <f ca="1">IFERROR(__xludf.dummyfunction("""COMPUTED_VALUE"""),6)</f>
        <v>6</v>
      </c>
      <c r="X15" s="16">
        <f ca="1">IFERROR(__xludf.dummyfunction("""COMPUTED_VALUE"""),2)</f>
        <v>2</v>
      </c>
      <c r="Y15" s="16">
        <f ca="1">IFERROR(__xludf.dummyfunction("""COMPUTED_VALUE"""),12)</f>
        <v>12</v>
      </c>
      <c r="Z15" s="16">
        <f ca="1">IFERROR(__xludf.dummyfunction("""COMPUTED_VALUE"""),4)</f>
        <v>4</v>
      </c>
      <c r="AA15" s="30">
        <f ca="1">IFERROR(__xludf.dummyfunction("""COMPUTED_VALUE"""),3)</f>
        <v>3</v>
      </c>
      <c r="AB15" s="30">
        <f ca="1">IFERROR(__xludf.dummyfunction("""COMPUTED_VALUE"""),1)</f>
        <v>1</v>
      </c>
      <c r="AC15" s="30">
        <f ca="1">IFERROR(__xludf.dummyfunction("""COMPUTED_VALUE"""),8)</f>
        <v>8</v>
      </c>
      <c r="AD15" s="16"/>
      <c r="AE15" s="30"/>
      <c r="AF15" s="30"/>
      <c r="AG15" s="30"/>
    </row>
    <row r="16" spans="1:33" ht="13.8">
      <c r="A16" s="25"/>
      <c r="B16" s="25" t="s">
        <v>29</v>
      </c>
      <c r="C16" s="25" t="s">
        <v>310</v>
      </c>
      <c r="D16" s="25">
        <v>8</v>
      </c>
      <c r="E16" s="70" t="s">
        <v>791</v>
      </c>
      <c r="F16" s="70" t="s">
        <v>1060</v>
      </c>
      <c r="G16" s="64" t="s">
        <v>1062</v>
      </c>
      <c r="H16" s="64" t="str">
        <f ca="1">IFERROR(__xludf.dummyfunction("IFERROR(
  VLOOKUP(G16, IMPORTRANGE(""https://docs.google.com/spreadsheets/d/14deopnvwcrKtEGCKuYXdUHJbeLDZlkiSSWWT0g7x2pM/edit#gid=849066331"", ""LU List Maths (Filter)!A:B""), 2, FALSE),
  IFERROR(
    VLOOKUP(G16, IMPORTRANGE(""https://docs.google.com/s"&amp;"preadsheets/d/14deopnvwcrKtEGCKuYXdUHJbeLDZlkiSSWWT0g7x2pM/edit#gid=849066331"", ""LU List Science (Filter)!A:B""), 2, FALSE),
    ""Not Found""
  )
)
"),"Examination of commutative property for division of rational numbers")</f>
        <v>Examination of commutative property for division of rational numbers</v>
      </c>
      <c r="I16" s="64"/>
      <c r="J16" s="100" t="str">
        <f t="shared" si="0"/>
        <v>LU001044.001</v>
      </c>
      <c r="K16" s="100" t="str">
        <f ca="1">IFERROR(__xludf.dummyfunction("VLOOKUP(J16, IMPORTRANGE(""https://docs.google.com/spreadsheets/d/1yDAaXNsi4Mr5FtRQL4tbmSdIzhx6_m4wkOD7IG-k_eo/edit#gid=0"", ""Maths!M:N""), 2, FALSE)"),"Recall that the commutative property does not apply to division of rational numbers.")</f>
        <v>Recall that the commutative property does not apply to division of rational numbers.</v>
      </c>
      <c r="L16" s="100" t="str">
        <f t="shared" si="1"/>
        <v>LU001044.002</v>
      </c>
      <c r="M16" s="100" t="str">
        <f ca="1">IFERROR(__xludf.dummyfunction("VLOOKUP(L16, IMPORTRANGE(""https://docs.google.com/spreadsheets/d/1yDAaXNsi4Mr5FtRQL4tbmSdIzhx6_m4wkOD7IG-k_eo/edit#gid=0"", ""Maths!M:N""), 2, FALSE)"),"Explain why the commutative property is not applicable to division of rational numbers and the mathematical reasons behind it.")</f>
        <v>Explain why the commutative property is not applicable to division of rational numbers and the mathematical reasons behind it.</v>
      </c>
      <c r="N16" s="100" t="str">
        <f t="shared" si="2"/>
        <v>LU001044.003</v>
      </c>
      <c r="O16" s="100" t="str">
        <f ca="1">IFERROR(__xludf.dummyfunction("VLOOKUP(N16, IMPORTRANGE(""https://docs.google.com/spreadsheets/d/1yDAaXNsi4Mr5FtRQL4tbmSdIzhx6_m4wkOD7IG-k_eo/edit#gid=0"", ""Maths!M:N""), 2, FALSE)"),"Identify examples where the division of rational numbers demonstrates commutativity or non-commutativity.")</f>
        <v>Identify examples where the division of rational numbers demonstrates commutativity or non-commutativity.</v>
      </c>
      <c r="P16" s="100" t="str">
        <f t="shared" si="3"/>
        <v>LU001044.004</v>
      </c>
      <c r="Q16" s="100" t="str">
        <f ca="1">IFERROR(__xludf.dummyfunction("VLOOKUP(P16, IMPORTRANGE(""https://docs.google.com/spreadsheets/d/1yDAaXNsi4Mr5FtRQL4tbmSdIzhx6_m4wkOD7IG-k_eo/edit#gid=0"", ""Maths!M:N""), 2, FALSE)"),"Analyse a range of division problems involving rational numbers to highlight the failure of the commutative property.")</f>
        <v>Analyse a range of division problems involving rational numbers to highlight the failure of the commutative property.</v>
      </c>
      <c r="R16" s="100" t="str">
        <f t="shared" si="4"/>
        <v>LU001044.005</v>
      </c>
      <c r="S16" s="100" t="str">
        <f ca="1">IFERROR(__xludf.dummyfunction("VLOOKUP(R16, IMPORTRANGE(""https://docs.google.com/spreadsheets/d/1yDAaXNsi4Mr5FtRQL4tbmSdIzhx6_m4wkOD7IG-k_eo/edit#gid=0"", ""Maths!M:N""), 2, FALSE)"),"Evaluate the correctness of statements regarding the commutative property and its non-applicability in rational number division.")</f>
        <v>Evaluate the correctness of statements regarding the commutative property and its non-applicability in rational number division.</v>
      </c>
      <c r="T16" s="100" t="str">
        <f t="shared" si="5"/>
        <v>LU001044.006</v>
      </c>
      <c r="U16" s="100" t="str">
        <f ca="1">IFERROR(__xludf.dummyfunction("VLOOKUP(T16, IMPORTRANGE(""https://docs.google.com/spreadsheets/d/1yDAaXNsi4Mr5FtRQL4tbmSdIzhx6_m4wkOD7IG-k_eo/edit#gid=0"", ""Maths!M:N""), 2, FALSE)"),"#N/A")</f>
        <v>#N/A</v>
      </c>
      <c r="V16" s="16">
        <f ca="1">IFERROR(__xludf.dummyfunction("ArrayFormula(VLOOKUP(G16, IMPORTRANGE(""https://docs.google.com/spreadsheets/d/1p7R4vtkWt5VOBim4ltsDG9KTzSjrtKXsMtQGXPHyND0/edit#gid=795171502"", ""'Filter 30_05_2024'!A1:M2000""), {2, 3, 4, 5,6,7,8,9,10,11,12,13}, 0))"),4)</f>
        <v>4</v>
      </c>
      <c r="W16" s="16">
        <f ca="1">IFERROR(__xludf.dummyfunction("""COMPUTED_VALUE"""),6)</f>
        <v>6</v>
      </c>
      <c r="X16" s="16">
        <f ca="1">IFERROR(__xludf.dummyfunction("""COMPUTED_VALUE"""),2)</f>
        <v>2</v>
      </c>
      <c r="Y16" s="16">
        <f ca="1">IFERROR(__xludf.dummyfunction("""COMPUTED_VALUE"""),12)</f>
        <v>12</v>
      </c>
      <c r="Z16" s="16">
        <f ca="1">IFERROR(__xludf.dummyfunction("""COMPUTED_VALUE"""),4)</f>
        <v>4</v>
      </c>
      <c r="AA16" s="30">
        <f ca="1">IFERROR(__xludf.dummyfunction("""COMPUTED_VALUE"""),3)</f>
        <v>3</v>
      </c>
      <c r="AB16" s="30">
        <f ca="1">IFERROR(__xludf.dummyfunction("""COMPUTED_VALUE"""),1)</f>
        <v>1</v>
      </c>
      <c r="AC16" s="30">
        <f ca="1">IFERROR(__xludf.dummyfunction("""COMPUTED_VALUE"""),8)</f>
        <v>8</v>
      </c>
      <c r="AD16" s="16"/>
      <c r="AE16" s="30"/>
      <c r="AF16" s="30"/>
      <c r="AG16" s="30"/>
    </row>
    <row r="17" spans="1:33" ht="13.8">
      <c r="A17" s="25"/>
      <c r="B17" s="25" t="s">
        <v>29</v>
      </c>
      <c r="C17" s="25" t="s">
        <v>310</v>
      </c>
      <c r="D17" s="25">
        <v>8</v>
      </c>
      <c r="E17" s="70" t="s">
        <v>791</v>
      </c>
      <c r="F17" s="70" t="s">
        <v>1060</v>
      </c>
      <c r="G17" s="64" t="s">
        <v>1063</v>
      </c>
      <c r="H17" s="64" t="str">
        <f ca="1">IFERROR(__xludf.dummyfunction("IFERROR(
  VLOOKUP(G17, IMPORTRANGE(""https://docs.google.com/spreadsheets/d/14deopnvwcrKtEGCKuYXdUHJbeLDZlkiSSWWT0g7x2pM/edit#gid=849066331"", ""LU List Maths (Filter)!A:B""), 2, FALSE),
  IFERROR(
    VLOOKUP(G17, IMPORTRANGE(""https://docs.google.com/s"&amp;"preadsheets/d/14deopnvwcrKtEGCKuYXdUHJbeLDZlkiSSWWT0g7x2pM/edit#gid=849066331"", ""LU List Science (Filter)!A:B""), 2, FALSE),
    ""Not Found""
  )
)
"),"Examination of associative property for division of rational numbers")</f>
        <v>Examination of associative property for division of rational numbers</v>
      </c>
      <c r="I17" s="64"/>
      <c r="J17" s="100" t="str">
        <f t="shared" si="0"/>
        <v>LU001048.001</v>
      </c>
      <c r="K17" s="100" t="str">
        <f ca="1">IFERROR(__xludf.dummyfunction("VLOOKUP(J17, IMPORTRANGE(""https://docs.google.com/spreadsheets/d/1yDAaXNsi4Mr5FtRQL4tbmSdIzhx6_m4wkOD7IG-k_eo/edit#gid=0"", ""Maths!M:N""), 2, FALSE)"),"Recall that the associative property does not apply to division of rational numbers.")</f>
        <v>Recall that the associative property does not apply to division of rational numbers.</v>
      </c>
      <c r="L17" s="100" t="str">
        <f t="shared" si="1"/>
        <v>LU001048.002</v>
      </c>
      <c r="M17" s="100" t="str">
        <f ca="1">IFERROR(__xludf.dummyfunction("VLOOKUP(L17, IMPORTRANGE(""https://docs.google.com/spreadsheets/d/1yDAaXNsi4Mr5FtRQL4tbmSdIzhx6_m4wkOD7IG-k_eo/edit#gid=0"", ""Maths!M:N""), 2, FALSE)"),"Explain why the associative property is inapplicable to rational number division.")</f>
        <v>Explain why the associative property is inapplicable to rational number division.</v>
      </c>
      <c r="N17" s="100" t="str">
        <f t="shared" si="2"/>
        <v>LU001048.003</v>
      </c>
      <c r="O17" s="100" t="str">
        <f ca="1">IFERROR(__xludf.dummyfunction("VLOOKUP(N17, IMPORTRANGE(""https://docs.google.com/spreadsheets/d/1yDAaXNsi4Mr5FtRQL4tbmSdIzhx6_m4wkOD7IG-k_eo/edit#gid=0"", ""Maths!M:N""), 2, FALSE)"),"Identify examples where the division of rational numbers demonstrates the non-associativity.")</f>
        <v>Identify examples where the division of rational numbers demonstrates the non-associativity.</v>
      </c>
      <c r="P17" s="100" t="str">
        <f t="shared" si="3"/>
        <v>LU001048.004</v>
      </c>
      <c r="Q17" s="100" t="str">
        <f ca="1">IFERROR(__xludf.dummyfunction("VLOOKUP(P17, IMPORTRANGE(""https://docs.google.com/spreadsheets/d/1yDAaXNsi4Mr5FtRQL4tbmSdIzhx6_m4wkOD7IG-k_eo/edit#gid=0"", ""Maths!M:N""), 2, FALSE)"),"Analyse a range of division problems involving rational numbers to highlight the failure of the associative property.")</f>
        <v>Analyse a range of division problems involving rational numbers to highlight the failure of the associative property.</v>
      </c>
      <c r="R17" s="100" t="str">
        <f t="shared" si="4"/>
        <v>LU001048.005</v>
      </c>
      <c r="S17" s="100" t="str">
        <f ca="1">IFERROR(__xludf.dummyfunction("VLOOKUP(R17, IMPORTRANGE(""https://docs.google.com/spreadsheets/d/1yDAaXNsi4Mr5FtRQL4tbmSdIzhx6_m4wkOD7IG-k_eo/edit#gid=0"", ""Maths!M:N""), 2, FALSE)"),"Evaluate the correctness of statements regarding the associative property and its non-applicability in rational number division.")</f>
        <v>Evaluate the correctness of statements regarding the associative property and its non-applicability in rational number division.</v>
      </c>
      <c r="T17" s="100" t="str">
        <f t="shared" si="5"/>
        <v>LU001048.006</v>
      </c>
      <c r="U17" s="100" t="str">
        <f ca="1">IFERROR(__xludf.dummyfunction("VLOOKUP(T17, IMPORTRANGE(""https://docs.google.com/spreadsheets/d/1yDAaXNsi4Mr5FtRQL4tbmSdIzhx6_m4wkOD7IG-k_eo/edit#gid=0"", ""Maths!M:N""), 2, FALSE)"),"#N/A")</f>
        <v>#N/A</v>
      </c>
      <c r="V17" s="16">
        <f ca="1">IFERROR(__xludf.dummyfunction("ArrayFormula(VLOOKUP(G17, IMPORTRANGE(""https://docs.google.com/spreadsheets/d/1p7R4vtkWt5VOBim4ltsDG9KTzSjrtKXsMtQGXPHyND0/edit#gid=795171502"", ""'Filter 30_05_2024'!A1:M2000""), {2, 3, 4, 5,6,7,8,9,10,11,12,13}, 0))"),4)</f>
        <v>4</v>
      </c>
      <c r="W17" s="16">
        <f ca="1">IFERROR(__xludf.dummyfunction("""COMPUTED_VALUE"""),6)</f>
        <v>6</v>
      </c>
      <c r="X17" s="16">
        <f ca="1">IFERROR(__xludf.dummyfunction("""COMPUTED_VALUE"""),2)</f>
        <v>2</v>
      </c>
      <c r="Y17" s="16">
        <f ca="1">IFERROR(__xludf.dummyfunction("""COMPUTED_VALUE"""),12)</f>
        <v>12</v>
      </c>
      <c r="Z17" s="16">
        <f ca="1">IFERROR(__xludf.dummyfunction("""COMPUTED_VALUE"""),4)</f>
        <v>4</v>
      </c>
      <c r="AA17" s="30">
        <f ca="1">IFERROR(__xludf.dummyfunction("""COMPUTED_VALUE"""),3)</f>
        <v>3</v>
      </c>
      <c r="AB17" s="30">
        <f ca="1">IFERROR(__xludf.dummyfunction("""COMPUTED_VALUE"""),1)</f>
        <v>1</v>
      </c>
      <c r="AC17" s="30">
        <f ca="1">IFERROR(__xludf.dummyfunction("""COMPUTED_VALUE"""),8)</f>
        <v>8</v>
      </c>
      <c r="AD17" s="16"/>
      <c r="AE17" s="30"/>
      <c r="AF17" s="30"/>
      <c r="AG17" s="30"/>
    </row>
    <row r="18" spans="1:33" ht="26.4">
      <c r="A18" s="25"/>
      <c r="B18" s="25" t="s">
        <v>29</v>
      </c>
      <c r="C18" s="25" t="s">
        <v>310</v>
      </c>
      <c r="D18" s="25">
        <v>8</v>
      </c>
      <c r="E18" s="70" t="s">
        <v>791</v>
      </c>
      <c r="F18" s="70" t="s">
        <v>1064</v>
      </c>
      <c r="G18" s="64" t="s">
        <v>1065</v>
      </c>
      <c r="H18" s="64" t="str">
        <f ca="1">IFERROR(__xludf.dummyfunction("IFERROR(
  VLOOKUP(G18, IMPORTRANGE(""https://docs.google.com/spreadsheets/d/14deopnvwcrKtEGCKuYXdUHJbeLDZlkiSSWWT0g7x2pM/edit#gid=849066331"", ""LU List Maths (Filter)!A:B""), 2, FALSE),
  IFERROR(
    VLOOKUP(G18, IMPORTRANGE(""https://docs.google.com/s"&amp;"preadsheets/d/14deopnvwcrKtEGCKuYXdUHJbeLDZlkiSSWWT0g7x2pM/edit#gid=849066331"", ""LU List Science (Filter)!A:B""), 2, FALSE),
    ""Not Found""
  )
)
"),"Distributive property of multiplication over addition of rational numbers")</f>
        <v>Distributive property of multiplication over addition of rational numbers</v>
      </c>
      <c r="I18" s="64"/>
      <c r="J18" s="100" t="str">
        <f t="shared" si="0"/>
        <v>LU000580.001</v>
      </c>
      <c r="K18" s="100" t="str">
        <f ca="1">IFERROR(__xludf.dummyfunction("VLOOKUP(J18, IMPORTRANGE(""https://docs.google.com/spreadsheets/d/1yDAaXNsi4Mr5FtRQL4tbmSdIzhx6_m4wkOD7IG-k_eo/edit#gid=0"", ""Maths!M:N""), 2, FALSE)"),"State the distributive property of multiplication over addition for rational numbers.")</f>
        <v>State the distributive property of multiplication over addition for rational numbers.</v>
      </c>
      <c r="L18" s="100" t="str">
        <f t="shared" si="1"/>
        <v>LU000580.002</v>
      </c>
      <c r="M18" s="100" t="str">
        <f ca="1">IFERROR(__xludf.dummyfunction("VLOOKUP(L18, IMPORTRANGE(""https://docs.google.com/spreadsheets/d/1yDAaXNsi4Mr5FtRQL4tbmSdIzhx6_m4wkOD7IG-k_eo/edit#gid=0"", ""Maths!M:N""), 2, FALSE)"),"Describe the significance of the distributive property in simplifying complex multiplication expressions involving addition for rational numbers.")</f>
        <v>Describe the significance of the distributive property in simplifying complex multiplication expressions involving addition for rational numbers.</v>
      </c>
      <c r="N18" s="100" t="str">
        <f t="shared" si="2"/>
        <v>LU000580.003</v>
      </c>
      <c r="O18" s="100" t="str">
        <f ca="1">IFERROR(__xludf.dummyfunction("VLOOKUP(N18, IMPORTRANGE(""https://docs.google.com/spreadsheets/d/1yDAaXNsi4Mr5FtRQL4tbmSdIzhx6_m4wkOD7IG-k_eo/edit#gid=0"", ""Maths!M:N""), 2, FALSE)"),"Apply the distributive property to rewrite multiplication expressions involving addition of rational numbers.")</f>
        <v>Apply the distributive property to rewrite multiplication expressions involving addition of rational numbers.</v>
      </c>
      <c r="P18" s="100" t="str">
        <f t="shared" si="3"/>
        <v>LU000580.004</v>
      </c>
      <c r="Q18" s="100" t="str">
        <f ca="1">IFERROR(__xludf.dummyfunction("VLOOKUP(P18, IMPORTRANGE(""https://docs.google.com/spreadsheets/d/1yDAaXNsi4Mr5FtRQL4tbmSdIzhx6_m4wkOD7IG-k_eo/edit#gid=0"", ""Maths!M:N""), 2, FALSE)"),"Write numerical examples to demonstrate the application of the distributive property in multiplication of rational numbers over addition")</f>
        <v>Write numerical examples to demonstrate the application of the distributive property in multiplication of rational numbers over addition</v>
      </c>
      <c r="R18" s="100" t="str">
        <f t="shared" si="4"/>
        <v>LU000580.005</v>
      </c>
      <c r="S18" s="100" t="str">
        <f ca="1">IFERROR(__xludf.dummyfunction("VLOOKUP(R18, IMPORTRANGE(""https://docs.google.com/spreadsheets/d/1yDAaXNsi4Mr5FtRQL4tbmSdIzhx6_m4wkOD7IG-k_eo/edit#gid=0"", ""Maths!M:N""), 2, FALSE)"),"Judge the usefulness of the distributive property in providing an alternative method for solving multiplication problems for rational numbers involving addition")</f>
        <v>Judge the usefulness of the distributive property in providing an alternative method for solving multiplication problems for rational numbers involving addition</v>
      </c>
      <c r="T18" s="100" t="str">
        <f t="shared" si="5"/>
        <v>LU000580.006</v>
      </c>
      <c r="U18" s="100" t="str">
        <f ca="1">IFERROR(__xludf.dummyfunction("VLOOKUP(T18, IMPORTRANGE(""https://docs.google.com/spreadsheets/d/1yDAaXNsi4Mr5FtRQL4tbmSdIzhx6_m4wkOD7IG-k_eo/edit#gid=0"", ""Maths!M:N""), 2, FALSE)"),"Devise word problems to utilise the distributive property over addition to simplify real-world situations involving rational numbers.")</f>
        <v>Devise word problems to utilise the distributive property over addition to simplify real-world situations involving rational numbers.</v>
      </c>
      <c r="V18" s="16">
        <f ca="1">IFERROR(__xludf.dummyfunction("ArrayFormula(VLOOKUP(G18, IMPORTRANGE(""https://docs.google.com/spreadsheets/d/1p7R4vtkWt5VOBim4ltsDG9KTzSjrtKXsMtQGXPHyND0/edit#gid=795171502"", ""'Filter 30_05_2024'!A1:M2000""), {2, 3, 4, 5,6,7,8,9,10,11,12,13}, 0))"),4)</f>
        <v>4</v>
      </c>
      <c r="W18" s="16">
        <f ca="1">IFERROR(__xludf.dummyfunction("""COMPUTED_VALUE"""),6)</f>
        <v>6</v>
      </c>
      <c r="X18" s="16">
        <f ca="1">IFERROR(__xludf.dummyfunction("""COMPUTED_VALUE"""),2)</f>
        <v>2</v>
      </c>
      <c r="Y18" s="16">
        <f ca="1">IFERROR(__xludf.dummyfunction("""COMPUTED_VALUE"""),12)</f>
        <v>12</v>
      </c>
      <c r="Z18" s="16">
        <f ca="1">IFERROR(__xludf.dummyfunction("""COMPUTED_VALUE"""),4)</f>
        <v>4</v>
      </c>
      <c r="AA18" s="30">
        <f ca="1">IFERROR(__xludf.dummyfunction("""COMPUTED_VALUE"""),3)</f>
        <v>3</v>
      </c>
      <c r="AB18" s="30">
        <f ca="1">IFERROR(__xludf.dummyfunction("""COMPUTED_VALUE"""),1)</f>
        <v>1</v>
      </c>
      <c r="AC18" s="30">
        <f ca="1">IFERROR(__xludf.dummyfunction("""COMPUTED_VALUE"""),8)</f>
        <v>8</v>
      </c>
      <c r="AD18" s="16"/>
      <c r="AE18" s="30"/>
      <c r="AF18" s="30"/>
      <c r="AG18" s="30"/>
    </row>
    <row r="19" spans="1:33" ht="26.4">
      <c r="A19" s="25"/>
      <c r="B19" s="25" t="s">
        <v>29</v>
      </c>
      <c r="C19" s="25" t="s">
        <v>310</v>
      </c>
      <c r="D19" s="25">
        <v>8</v>
      </c>
      <c r="E19" s="70" t="s">
        <v>791</v>
      </c>
      <c r="F19" s="70" t="s">
        <v>1064</v>
      </c>
      <c r="G19" s="64" t="s">
        <v>1066</v>
      </c>
      <c r="H19" s="64" t="str">
        <f ca="1">IFERROR(__xludf.dummyfunction("IFERROR(
  VLOOKUP(G19, IMPORTRANGE(""https://docs.google.com/spreadsheets/d/14deopnvwcrKtEGCKuYXdUHJbeLDZlkiSSWWT0g7x2pM/edit#gid=849066331"", ""LU List Maths (Filter)!A:B""), 2, FALSE),
  IFERROR(
    VLOOKUP(G19, IMPORTRANGE(""https://docs.google.com/s"&amp;"preadsheets/d/14deopnvwcrKtEGCKuYXdUHJbeLDZlkiSSWWT0g7x2pM/edit#gid=849066331"", ""LU List Science (Filter)!A:B""), 2, FALSE),
    ""Not Found""
  )
)
"),"Distributive property of multiplication over subtraction of rational numbers")</f>
        <v>Distributive property of multiplication over subtraction of rational numbers</v>
      </c>
      <c r="I19" s="64"/>
      <c r="J19" s="100" t="str">
        <f t="shared" si="0"/>
        <v>LU000901.001</v>
      </c>
      <c r="K19" s="100" t="str">
        <f ca="1">IFERROR(__xludf.dummyfunction("VLOOKUP(J19, IMPORTRANGE(""https://docs.google.com/spreadsheets/d/1yDAaXNsi4Mr5FtRQL4tbmSdIzhx6_m4wkOD7IG-k_eo/edit#gid=0"", ""Maths!M:N""), 2, FALSE)"),"State the distributive property of multiplication over subtraction for rational numbers.")</f>
        <v>State the distributive property of multiplication over subtraction for rational numbers.</v>
      </c>
      <c r="L19" s="100" t="str">
        <f t="shared" si="1"/>
        <v>LU000901.002</v>
      </c>
      <c r="M19" s="100" t="str">
        <f ca="1">IFERROR(__xludf.dummyfunction("VLOOKUP(L19, IMPORTRANGE(""https://docs.google.com/spreadsheets/d/1yDAaXNsi4Mr5FtRQL4tbmSdIzhx6_m4wkOD7IG-k_eo/edit#gid=0"", ""Maths!M:N""), 2, FALSE)"),"Describe the significance of the distributive property in simplifying complex multiplication expressions involving subtraction for rational numbers.")</f>
        <v>Describe the significance of the distributive property in simplifying complex multiplication expressions involving subtraction for rational numbers.</v>
      </c>
      <c r="N19" s="100" t="str">
        <f t="shared" si="2"/>
        <v>LU000901.003</v>
      </c>
      <c r="O19" s="100" t="str">
        <f ca="1">IFERROR(__xludf.dummyfunction("VLOOKUP(N19, IMPORTRANGE(""https://docs.google.com/spreadsheets/d/1yDAaXNsi4Mr5FtRQL4tbmSdIzhx6_m4wkOD7IG-k_eo/edit#gid=0"", ""Maths!M:N""), 2, FALSE)"),"Apply the distributive property to rewrite multiplication expressions involving subtraction of rational numbers.")</f>
        <v>Apply the distributive property to rewrite multiplication expressions involving subtraction of rational numbers.</v>
      </c>
      <c r="P19" s="100" t="str">
        <f t="shared" si="3"/>
        <v>LU000901.004</v>
      </c>
      <c r="Q19" s="100" t="str">
        <f ca="1">IFERROR(__xludf.dummyfunction("VLOOKUP(P19, IMPORTRANGE(""https://docs.google.com/spreadsheets/d/1yDAaXNsi4Mr5FtRQL4tbmSdIzhx6_m4wkOD7IG-k_eo/edit#gid=0"", ""Maths!M:N""), 2, FALSE)"),"Write numerical examples to demonstrate the application of the distributive property in multiplication of rational numbers over subtraction")</f>
        <v>Write numerical examples to demonstrate the application of the distributive property in multiplication of rational numbers over subtraction</v>
      </c>
      <c r="R19" s="100" t="str">
        <f t="shared" si="4"/>
        <v>LU000901.005</v>
      </c>
      <c r="S19" s="100" t="str">
        <f ca="1">IFERROR(__xludf.dummyfunction("VLOOKUP(R19, IMPORTRANGE(""https://docs.google.com/spreadsheets/d/1yDAaXNsi4Mr5FtRQL4tbmSdIzhx6_m4wkOD7IG-k_eo/edit#gid=0"", ""Maths!M:N""), 2, FALSE)"),"Judge the usefulness of the distributive property in providing an alternative method for solving multiplication problems for rational numbers involving subtraction")</f>
        <v>Judge the usefulness of the distributive property in providing an alternative method for solving multiplication problems for rational numbers involving subtraction</v>
      </c>
      <c r="T19" s="100" t="str">
        <f t="shared" si="5"/>
        <v>LU000901.006</v>
      </c>
      <c r="U19" s="100" t="str">
        <f ca="1">IFERROR(__xludf.dummyfunction("VLOOKUP(T19, IMPORTRANGE(""https://docs.google.com/spreadsheets/d/1yDAaXNsi4Mr5FtRQL4tbmSdIzhx6_m4wkOD7IG-k_eo/edit#gid=0"", ""Maths!M:N""), 2, FALSE)"),"Devise word problems to utilise the distributive property over subtraction to simplify real-world situations involving rational numbers.")</f>
        <v>Devise word problems to utilise the distributive property over subtraction to simplify real-world situations involving rational numbers.</v>
      </c>
      <c r="V19" s="16">
        <f ca="1">IFERROR(__xludf.dummyfunction("ArrayFormula(VLOOKUP(G19, IMPORTRANGE(""https://docs.google.com/spreadsheets/d/1p7R4vtkWt5VOBim4ltsDG9KTzSjrtKXsMtQGXPHyND0/edit#gid=795171502"", ""'Filter 30_05_2024'!A1:M2000""), {2, 3, 4, 5,6,7,8,9,10,11,12,13}, 0))"),4)</f>
        <v>4</v>
      </c>
      <c r="W19" s="16">
        <f ca="1">IFERROR(__xludf.dummyfunction("""COMPUTED_VALUE"""),6)</f>
        <v>6</v>
      </c>
      <c r="X19" s="16">
        <f ca="1">IFERROR(__xludf.dummyfunction("""COMPUTED_VALUE"""),2)</f>
        <v>2</v>
      </c>
      <c r="Y19" s="16">
        <f ca="1">IFERROR(__xludf.dummyfunction("""COMPUTED_VALUE"""),12)</f>
        <v>12</v>
      </c>
      <c r="Z19" s="16">
        <f ca="1">IFERROR(__xludf.dummyfunction("""COMPUTED_VALUE"""),4)</f>
        <v>4</v>
      </c>
      <c r="AA19" s="30">
        <f ca="1">IFERROR(__xludf.dummyfunction("""COMPUTED_VALUE"""),3)</f>
        <v>3</v>
      </c>
      <c r="AB19" s="30">
        <f ca="1">IFERROR(__xludf.dummyfunction("""COMPUTED_VALUE"""),1)</f>
        <v>1</v>
      </c>
      <c r="AC19" s="30">
        <f ca="1">IFERROR(__xludf.dummyfunction("""COMPUTED_VALUE"""),8)</f>
        <v>8</v>
      </c>
      <c r="AD19" s="16"/>
      <c r="AE19" s="30"/>
      <c r="AF19" s="30"/>
      <c r="AG19" s="30"/>
    </row>
    <row r="20" spans="1:33" ht="26.4">
      <c r="A20" s="43"/>
      <c r="B20" s="43" t="s">
        <v>29</v>
      </c>
      <c r="C20" s="43" t="s">
        <v>310</v>
      </c>
      <c r="D20" s="43">
        <v>8</v>
      </c>
      <c r="E20" s="74" t="s">
        <v>791</v>
      </c>
      <c r="F20" s="74" t="s">
        <v>800</v>
      </c>
      <c r="G20" s="73" t="s">
        <v>801</v>
      </c>
      <c r="H20" s="73" t="str">
        <f ca="1">IFERROR(__xludf.dummyfunction("IFERROR(
  VLOOKUP(G20, IMPORTRANGE(""https://docs.google.com/spreadsheets/d/14deopnvwcrKtEGCKuYXdUHJbeLDZlkiSSWWT0g7x2pM/edit#gid=849066331"", ""LU List Maths (Filter)!A:B""), 2, FALSE),
  IFERROR(
    VLOOKUP(G20, IMPORTRANGE(""https://docs.google.com/s"&amp;"preadsheets/d/14deopnvwcrKtEGCKuYXdUHJbeLDZlkiSSWWT0g7x2pM/edit#gid=849066331"", ""LU List Science (Filter)!A:B""), 2, FALSE),
    ""Not Found""
  )
)
"),"Representation of rational numbers on a number line")</f>
        <v>Representation of rational numbers on a number line</v>
      </c>
      <c r="I20" s="73"/>
      <c r="J20" s="100" t="str">
        <f t="shared" si="0"/>
        <v>LU000470.001</v>
      </c>
      <c r="K20" s="100" t="str">
        <f ca="1">IFERROR(__xludf.dummyfunction("VLOOKUP(J20, IMPORTRANGE(""https://docs.google.com/spreadsheets/d/1yDAaXNsi4Mr5FtRQL4tbmSdIzhx6_m4wkOD7IG-k_eo/edit#gid=0"", ""Maths!M:N""), 2, FALSE)"),"Recall the concept of representing rational numbers on a number line.")</f>
        <v>Recall the concept of representing rational numbers on a number line.</v>
      </c>
      <c r="L20" s="100" t="str">
        <f t="shared" si="1"/>
        <v>LU000470.002</v>
      </c>
      <c r="M20" s="100" t="str">
        <f ca="1">IFERROR(__xludf.dummyfunction("VLOOKUP(L20, IMPORTRANGE(""https://docs.google.com/spreadsheets/d/1yDAaXNsi4Mr5FtRQL4tbmSdIzhx6_m4wkOD7IG-k_eo/edit#gid=0"", ""Maths!M:N""), 2, FALSE)"),"Explain how rational numbers are located and ordered on a number line.")</f>
        <v>Explain how rational numbers are located and ordered on a number line.</v>
      </c>
      <c r="N20" s="100" t="str">
        <f t="shared" si="2"/>
        <v>LU000470.003</v>
      </c>
      <c r="O20" s="100" t="str">
        <f ca="1">IFERROR(__xludf.dummyfunction("VLOOKUP(N20, IMPORTRANGE(""https://docs.google.com/spreadsheets/d/1yDAaXNsi4Mr5FtRQL4tbmSdIzhx6_m4wkOD7IG-k_eo/edit#gid=0"", ""Maths!M:N""), 2, FALSE)"),"Place given rational numbers on a number line.")</f>
        <v>Place given rational numbers on a number line.</v>
      </c>
      <c r="P20" s="100" t="str">
        <f t="shared" si="3"/>
        <v>LU000470.004</v>
      </c>
      <c r="Q20" s="100" t="str">
        <f ca="1">IFERROR(__xludf.dummyfunction("VLOOKUP(P20, IMPORTRANGE(""https://docs.google.com/spreadsheets/d/1yDAaXNsi4Mr5FtRQL4tbmSdIzhx6_m4wkOD7IG-k_eo/edit#gid=0"", ""Maths!M:N""), 2, FALSE)"),"Compare positive and negative rational numbers on a number line.")</f>
        <v>Compare positive and negative rational numbers on a number line.</v>
      </c>
      <c r="R20" s="100" t="str">
        <f t="shared" si="4"/>
        <v>LU000470.005</v>
      </c>
      <c r="S20" s="100" t="str">
        <f ca="1">IFERROR(__xludf.dummyfunction("VLOOKUP(R20, IMPORTRANGE(""https://docs.google.com/spreadsheets/d/1yDAaXNsi4Mr5FtRQL4tbmSdIzhx6_m4wkOD7IG-k_eo/edit#gid=0"", ""Maths!M:N""), 2, FALSE)"),"Evaluate the effectiveness of using a number line to visualise the relationships between rational numbers.")</f>
        <v>Evaluate the effectiveness of using a number line to visualise the relationships between rational numbers.</v>
      </c>
      <c r="T20" s="100" t="str">
        <f t="shared" si="5"/>
        <v>LU000470.006</v>
      </c>
      <c r="U20" s="100" t="str">
        <f ca="1">IFERROR(__xludf.dummyfunction("VLOOKUP(T20, IMPORTRANGE(""https://docs.google.com/spreadsheets/d/1yDAaXNsi4Mr5FtRQL4tbmSdIzhx6_m4wkOD7IG-k_eo/edit#gid=0"", ""Maths!M:N""), 2, FALSE)"),"Create a number line with a range of rational numbers, then use it to solve a problem.")</f>
        <v>Create a number line with a range of rational numbers, then use it to solve a problem.</v>
      </c>
      <c r="V20" s="16">
        <f ca="1">IFERROR(__xludf.dummyfunction("ArrayFormula(VLOOKUP(G20, IMPORTRANGE(""https://docs.google.com/spreadsheets/d/1p7R4vtkWt5VOBim4ltsDG9KTzSjrtKXsMtQGXPHyND0/edit#gid=795171502"", ""'Filter 30_05_2024'!A1:M2000""), {2, 3, 4, 5,6,7,8,9,10,11,12,13}, 0))"),4)</f>
        <v>4</v>
      </c>
      <c r="W20" s="16">
        <f ca="1">IFERROR(__xludf.dummyfunction("""COMPUTED_VALUE"""),2)</f>
        <v>2</v>
      </c>
      <c r="X20" s="16">
        <f ca="1">IFERROR(__xludf.dummyfunction("""COMPUTED_VALUE"""),15)</f>
        <v>15</v>
      </c>
      <c r="Y20" s="16">
        <f ca="1">IFERROR(__xludf.dummyfunction("""COMPUTED_VALUE"""),21)</f>
        <v>21</v>
      </c>
      <c r="Z20" s="16">
        <f ca="1">IFERROR(__xludf.dummyfunction("""COMPUTED_VALUE"""),4)</f>
        <v>4</v>
      </c>
      <c r="AA20" s="30">
        <f ca="1">IFERROR(__xludf.dummyfunction("""COMPUTED_VALUE"""),7)</f>
        <v>7</v>
      </c>
      <c r="AB20" s="30">
        <f ca="1">IFERROR(__xludf.dummyfunction("""COMPUTED_VALUE"""),3)</f>
        <v>3</v>
      </c>
      <c r="AC20" s="30">
        <f ca="1">IFERROR(__xludf.dummyfunction("""COMPUTED_VALUE"""),14)</f>
        <v>14</v>
      </c>
      <c r="AD20" s="16"/>
      <c r="AE20" s="30"/>
      <c r="AF20" s="30"/>
      <c r="AG20" s="30"/>
    </row>
    <row r="21" spans="1:33" ht="39.6">
      <c r="A21" s="43"/>
      <c r="B21" s="43" t="s">
        <v>29</v>
      </c>
      <c r="C21" s="43" t="s">
        <v>310</v>
      </c>
      <c r="D21" s="43">
        <v>8</v>
      </c>
      <c r="E21" s="74" t="s">
        <v>791</v>
      </c>
      <c r="F21" s="74" t="s">
        <v>805</v>
      </c>
      <c r="G21" s="73" t="s">
        <v>806</v>
      </c>
      <c r="H21" s="73" t="str">
        <f ca="1">IFERROR(__xludf.dummyfunction("IFERROR(
  VLOOKUP(G21, IMPORTRANGE(""https://docs.google.com/spreadsheets/d/14deopnvwcrKtEGCKuYXdUHJbeLDZlkiSSWWT0g7x2pM/edit#gid=849066331"", ""LU List Maths (Filter)!A:B""), 2, FALSE),
  IFERROR(
    VLOOKUP(G21, IMPORTRANGE(""https://docs.google.com/s"&amp;"preadsheets/d/14deopnvwcrKtEGCKuYXdUHJbeLDZlkiSSWWT0g7x2pM/edit#gid=849066331"", ""LU List Science (Filter)!A:B""), 2, FALSE),
    ""Not Found""
  )
)
"),"Rational numbers between two rational numbers")</f>
        <v>Rational numbers between two rational numbers</v>
      </c>
      <c r="I21" s="73"/>
      <c r="J21" s="100" t="str">
        <f t="shared" si="0"/>
        <v>LU000473.001</v>
      </c>
      <c r="K21" s="100" t="str">
        <f ca="1">IFERROR(__xludf.dummyfunction("VLOOKUP(J21, IMPORTRANGE(""https://docs.google.com/spreadsheets/d/1yDAaXNsi4Mr5FtRQL4tbmSdIzhx6_m4wkOD7IG-k_eo/edit#gid=0"", ""Maths!M:N""), 2, FALSE)"),"State the idea of finding rational numbers that lie between two specified rational numbers on the number line.")</f>
        <v>State the idea of finding rational numbers that lie between two specified rational numbers on the number line.</v>
      </c>
      <c r="L21" s="100" t="str">
        <f t="shared" si="1"/>
        <v>LU000473.002</v>
      </c>
      <c r="M21" s="100" t="str">
        <f ca="1">IFERROR(__xludf.dummyfunction("VLOOKUP(L21, IMPORTRANGE(""https://docs.google.com/spreadsheets/d/1yDAaXNsi4Mr5FtRQL4tbmSdIzhx6_m4wkOD7IG-k_eo/edit#gid=0"", ""Maths!M:N""), 2, FALSE)"),"Explain why there are infinitely many rational numbers between any two given rational numbers.")</f>
        <v>Explain why there are infinitely many rational numbers between any two given rational numbers.</v>
      </c>
      <c r="N21" s="100" t="str">
        <f t="shared" si="2"/>
        <v>LU000473.003</v>
      </c>
      <c r="O21" s="100" t="str">
        <f ca="1">IFERROR(__xludf.dummyfunction("VLOOKUP(N21, IMPORTRANGE(""https://docs.google.com/spreadsheets/d/1yDAaXNsi4Mr5FtRQL4tbmSdIzhx6_m4wkOD7IG-k_eo/edit#gid=0"", ""Maths!M:N""), 2, FALSE)"),"Determine rational numbers between given pairs of rational numbers.")</f>
        <v>Determine rational numbers between given pairs of rational numbers.</v>
      </c>
      <c r="P21" s="100" t="str">
        <f t="shared" si="3"/>
        <v>LU000473.004</v>
      </c>
      <c r="Q21" s="100" t="str">
        <f ca="1">IFERROR(__xludf.dummyfunction("VLOOKUP(P21, IMPORTRANGE(""https://docs.google.com/spreadsheets/d/1yDAaXNsi4Mr5FtRQL4tbmSdIzhx6_m4wkOD7IG-k_eo/edit#gid=0"", ""Maths!M:N""), 2, FALSE)"),"Analyse the patterns and relationships among rational numbers located between two given values.")</f>
        <v>Analyse the patterns and relationships among rational numbers located between two given values.</v>
      </c>
      <c r="R21" s="100" t="str">
        <f t="shared" si="4"/>
        <v>LU000473.005</v>
      </c>
      <c r="S21" s="100" t="str">
        <f ca="1">IFERROR(__xludf.dummyfunction("VLOOKUP(R21, IMPORTRANGE(""https://docs.google.com/spreadsheets/d/1yDAaXNsi4Mr5FtRQL4tbmSdIzhx6_m4wkOD7IG-k_eo/edit#gid=0"", ""Maths!M:N""), 2, FALSE)"),"Evaluate the concept of finding rational numbers between two given ones in terms of its practical applications.")</f>
        <v>Evaluate the concept of finding rational numbers between two given ones in terms of its practical applications.</v>
      </c>
      <c r="T21" s="100" t="str">
        <f t="shared" si="5"/>
        <v>LU000473.006</v>
      </c>
      <c r="U21" s="100" t="str">
        <f ca="1">IFERROR(__xludf.dummyfunction("VLOOKUP(T21, IMPORTRANGE(""https://docs.google.com/spreadsheets/d/1yDAaXNsi4Mr5FtRQL4tbmSdIzhx6_m4wkOD7IG-k_eo/edit#gid=0"", ""Maths!M:N""), 2, FALSE)"),"Create a visual representation of a number line segment that illustrates rational numbers between rational numbers, indicating their positions.")</f>
        <v>Create a visual representation of a number line segment that illustrates rational numbers between rational numbers, indicating their positions.</v>
      </c>
      <c r="V21" s="16">
        <f ca="1">IFERROR(__xludf.dummyfunction("ArrayFormula(VLOOKUP(G21, IMPORTRANGE(""https://docs.google.com/spreadsheets/d/1p7R4vtkWt5VOBim4ltsDG9KTzSjrtKXsMtQGXPHyND0/edit#gid=795171502"", ""'Filter 30_05_2024'!A1:M2000""), {2, 3, 4, 5,6,7,8,9,10,11,12,13}, 0))"),5)</f>
        <v>5</v>
      </c>
      <c r="W21" s="16">
        <f ca="1">IFERROR(__xludf.dummyfunction("""COMPUTED_VALUE"""),12)</f>
        <v>12</v>
      </c>
      <c r="X21" s="16">
        <f ca="1">IFERROR(__xludf.dummyfunction("""COMPUTED_VALUE"""),11)</f>
        <v>11</v>
      </c>
      <c r="Y21" s="16">
        <f ca="1">IFERROR(__xludf.dummyfunction("""COMPUTED_VALUE"""),28)</f>
        <v>28</v>
      </c>
      <c r="Z21" s="16">
        <f ca="1">IFERROR(__xludf.dummyfunction("""COMPUTED_VALUE"""),4)</f>
        <v>4</v>
      </c>
      <c r="AA21" s="30">
        <f ca="1">IFERROR(__xludf.dummyfunction("""COMPUTED_VALUE"""),6)</f>
        <v>6</v>
      </c>
      <c r="AB21" s="30">
        <f ca="1">IFERROR(__xludf.dummyfunction("""COMPUTED_VALUE"""),3)</f>
        <v>3</v>
      </c>
      <c r="AC21" s="30">
        <f ca="1">IFERROR(__xludf.dummyfunction("""COMPUTED_VALUE"""),13)</f>
        <v>13</v>
      </c>
      <c r="AD21" s="16"/>
      <c r="AE21" s="30"/>
      <c r="AF21" s="30"/>
      <c r="AG21" s="30"/>
    </row>
    <row r="22" spans="1:33" ht="26.4">
      <c r="A22" s="25"/>
      <c r="B22" s="25" t="s">
        <v>29</v>
      </c>
      <c r="C22" s="25" t="s">
        <v>310</v>
      </c>
      <c r="D22" s="25">
        <v>8</v>
      </c>
      <c r="E22" s="70" t="s">
        <v>791</v>
      </c>
      <c r="F22" s="70" t="s">
        <v>1067</v>
      </c>
      <c r="G22" s="64" t="s">
        <v>1068</v>
      </c>
      <c r="H22" s="64" t="str">
        <f ca="1">IFERROR(__xludf.dummyfunction("IFERROR(
  VLOOKUP(G22, IMPORTRANGE(""https://docs.google.com/spreadsheets/d/14deopnvwcrKtEGCKuYXdUHJbeLDZlkiSSWWT0g7x2pM/edit#gid=849066331"", ""LU List Maths (Filter)!A:B""), 2, FALSE),
  IFERROR(
    VLOOKUP(G22, IMPORTRANGE(""https://docs.google.com/s"&amp;"preadsheets/d/14deopnvwcrKtEGCKuYXdUHJbeLDZlkiSSWWT0g7x2pM/edit#gid=849066331"", ""LU List Science (Filter)!A:B""), 2, FALSE),
    ""Not Found""
  )
)
"),"Application of combination of properties of rational numbers")</f>
        <v>Application of combination of properties of rational numbers</v>
      </c>
      <c r="I22" s="64"/>
      <c r="J22" s="100" t="str">
        <f t="shared" si="0"/>
        <v>LU000910.001</v>
      </c>
      <c r="K22" s="100" t="str">
        <f ca="1">IFERROR(__xludf.dummyfunction("VLOOKUP(J22, IMPORTRANGE(""https://docs.google.com/spreadsheets/d/1yDAaXNsi4Mr5FtRQL4tbmSdIzhx6_m4wkOD7IG-k_eo/edit#gid=0"", ""Maths!M:N""), 2, FALSE)"),"State the properties of rational numbers (like commutative, associative, distributive properties) and basic operations involving them.")</f>
        <v>State the properties of rational numbers (like commutative, associative, distributive properties) and basic operations involving them.</v>
      </c>
      <c r="L22" s="100" t="str">
        <f t="shared" si="1"/>
        <v>LU000910.002</v>
      </c>
      <c r="M22" s="100" t="str">
        <f ca="1">IFERROR(__xludf.dummyfunction("VLOOKUP(L22, IMPORTRANGE(""https://docs.google.com/spreadsheets/d/1yDAaXNsi4Mr5FtRQL4tbmSdIzhx6_m4wkOD7IG-k_eo/edit#gid=0"", ""Maths!M:N""), 2, FALSE)"),"Explain and interpret how these properties work individually and in combination when applied to rational numbers.")</f>
        <v>Explain and interpret how these properties work individually and in combination when applied to rational numbers.</v>
      </c>
      <c r="N22" s="100" t="str">
        <f t="shared" si="2"/>
        <v>LU000910.003</v>
      </c>
      <c r="O22" s="100" t="str">
        <f ca="1">IFERROR(__xludf.dummyfunction("VLOOKUP(N22, IMPORTRANGE(""https://docs.google.com/spreadsheets/d/1yDAaXNsi4Mr5FtRQL4tbmSdIzhx6_m4wkOD7IG-k_eo/edit#gid=0"", ""Maths!M:N""), 2, FALSE)"),"Use different properties to perform calculations and solve problems involving rational numbers.")</f>
        <v>Use different properties to perform calculations and solve problems involving rational numbers.</v>
      </c>
      <c r="P22" s="100" t="str">
        <f t="shared" si="3"/>
        <v>LU000910.004</v>
      </c>
      <c r="Q22" s="100" t="str">
        <f ca="1">IFERROR(__xludf.dummyfunction("VLOOKUP(P22, IMPORTRANGE(""https://docs.google.com/spreadsheets/d/1yDAaXNsi4Mr5FtRQL4tbmSdIzhx6_m4wkOD7IG-k_eo/edit#gid=0"", ""Maths!M:N""), 2, FALSE)"),"Break down complex problems to identify how different combinations of properties of rational numbers are being used")</f>
        <v>Break down complex problems to identify how different combinations of properties of rational numbers are being used</v>
      </c>
      <c r="R22" s="100" t="str">
        <f t="shared" si="4"/>
        <v>LU000910.005</v>
      </c>
      <c r="S22" s="100" t="str">
        <f ca="1">IFERROR(__xludf.dummyfunction("VLOOKUP(R22, IMPORTRANGE(""https://docs.google.com/spreadsheets/d/1yDAaXNsi4Mr5FtRQL4tbmSdIzhx6_m4wkOD7IG-k_eo/edit#gid=0"", ""Maths!M:N""), 2, FALSE)"),"Assess and justify the use of particular properties in solving specific problems")</f>
        <v>Assess and justify the use of particular properties in solving specific problems</v>
      </c>
      <c r="T22" s="100" t="str">
        <f t="shared" si="5"/>
        <v>LU000910.006</v>
      </c>
      <c r="U22" s="100" t="str">
        <f ca="1">IFERROR(__xludf.dummyfunction("VLOOKUP(T22, IMPORTRANGE(""https://docs.google.com/spreadsheets/d/1yDAaXNsi4Mr5FtRQL4tbmSdIzhx6_m4wkOD7IG-k_eo/edit#gid=0"", ""Maths!M:N""), 2, FALSE)"),"Formulate new problems or scenarios that involve the combined application of properties of rational numbers")</f>
        <v>Formulate new problems or scenarios that involve the combined application of properties of rational numbers</v>
      </c>
      <c r="V22" s="16">
        <f ca="1">IFERROR(__xludf.dummyfunction("ArrayFormula(VLOOKUP(G22, IMPORTRANGE(""https://docs.google.com/spreadsheets/d/1p7R4vtkWt5VOBim4ltsDG9KTzSjrtKXsMtQGXPHyND0/edit#gid=795171502"", ""'Filter 30_05_2024'!A1:M2000""), {2, 3, 4, 5,6,7,8,9,10,11,12,13}, 0))"),4)</f>
        <v>4</v>
      </c>
      <c r="W22" s="16">
        <f ca="1">IFERROR(__xludf.dummyfunction("""COMPUTED_VALUE"""),6)</f>
        <v>6</v>
      </c>
      <c r="X22" s="16">
        <f ca="1">IFERROR(__xludf.dummyfunction("""COMPUTED_VALUE"""),2)</f>
        <v>2</v>
      </c>
      <c r="Y22" s="16">
        <f ca="1">IFERROR(__xludf.dummyfunction("""COMPUTED_VALUE"""),12)</f>
        <v>12</v>
      </c>
      <c r="Z22" s="16">
        <f ca="1">IFERROR(__xludf.dummyfunction("""COMPUTED_VALUE"""),4)</f>
        <v>4</v>
      </c>
      <c r="AA22" s="30">
        <f ca="1">IFERROR(__xludf.dummyfunction("""COMPUTED_VALUE"""),3)</f>
        <v>3</v>
      </c>
      <c r="AB22" s="30">
        <f ca="1">IFERROR(__xludf.dummyfunction("""COMPUTED_VALUE"""),1)</f>
        <v>1</v>
      </c>
      <c r="AC22" s="30">
        <f ca="1">IFERROR(__xludf.dummyfunction("""COMPUTED_VALUE"""),8)</f>
        <v>8</v>
      </c>
      <c r="AD22" s="16"/>
      <c r="AE22" s="30"/>
      <c r="AF22" s="30"/>
      <c r="AG22" s="30"/>
    </row>
    <row r="23" spans="1:33" ht="26.4">
      <c r="A23" s="25"/>
      <c r="B23" s="25" t="s">
        <v>29</v>
      </c>
      <c r="C23" s="25" t="s">
        <v>310</v>
      </c>
      <c r="D23" s="25">
        <v>8</v>
      </c>
      <c r="E23" s="70" t="s">
        <v>1069</v>
      </c>
      <c r="F23" s="70" t="s">
        <v>860</v>
      </c>
      <c r="G23" s="64" t="s">
        <v>1070</v>
      </c>
      <c r="H23" s="64" t="str">
        <f ca="1">IFERROR(__xludf.dummyfunction("IFERROR(
  VLOOKUP(G23, IMPORTRANGE(""https://docs.google.com/spreadsheets/d/14deopnvwcrKtEGCKuYXdUHJbeLDZlkiSSWWT0g7x2pM/edit#gid=849066331"", ""LU List Maths (Filter)!A:B""), 2, FALSE),
  IFERROR(
    VLOOKUP(G23, IMPORTRANGE(""https://docs.google.com/s"&amp;"preadsheets/d/14deopnvwcrKtEGCKuYXdUHJbeLDZlkiSSWWT0g7x2pM/edit#gid=849066331"", ""LU List Science (Filter)!A:B""), 2, FALSE),
    ""Not Found""
  )
)
"),"Law of power with negative exponent for whole numbers")</f>
        <v>Law of power with negative exponent for whole numbers</v>
      </c>
      <c r="I23" s="64"/>
      <c r="J23" s="100" t="str">
        <f t="shared" si="0"/>
        <v>LU000535.001</v>
      </c>
      <c r="K23" s="100" t="str">
        <f ca="1">IFERROR(__xludf.dummyfunction("VLOOKUP(J23, IMPORTRANGE(""https://docs.google.com/spreadsheets/d/1yDAaXNsi4Mr5FtRQL4tbmSdIzhx6_m4wkOD7IG-k_eo/edit#gid=0"", ""Maths!M:N""), 2, FALSE)"),"State the law of power with negative exponent for whole numbers.")</f>
        <v>State the law of power with negative exponent for whole numbers.</v>
      </c>
      <c r="L23" s="100" t="str">
        <f t="shared" si="1"/>
        <v>LU000535.002</v>
      </c>
      <c r="M23" s="100" t="str">
        <f ca="1">IFERROR(__xludf.dummyfunction("VLOOKUP(L23, IMPORTRANGE(""https://docs.google.com/spreadsheets/d/1yDAaXNsi4Mr5FtRQL4tbmSdIzhx6_m4wkOD7IG-k_eo/edit#gid=0"", ""Maths!M:N""), 2, FALSE)"),"Describe how the law of power with negative exponent for whole numbers convert a power with a negative exponent into its reciprocal with a positive exponent")</f>
        <v>Describe how the law of power with negative exponent for whole numbers convert a power with a negative exponent into its reciprocal with a positive exponent</v>
      </c>
      <c r="N23" s="100" t="str">
        <f t="shared" si="2"/>
        <v>LU000535.003</v>
      </c>
      <c r="O23" s="100" t="str">
        <f ca="1">IFERROR(__xludf.dummyfunction("VLOOKUP(N23, IMPORTRANGE(""https://docs.google.com/spreadsheets/d/1yDAaXNsi4Mr5FtRQL4tbmSdIzhx6_m4wkOD7IG-k_eo/edit#gid=0"", ""Maths!M:N""), 2, FALSE)"),"Apply the law of power with a negative exponent to simplify expressions involving whole number.")</f>
        <v>Apply the law of power with a negative exponent to simplify expressions involving whole number.</v>
      </c>
      <c r="P23" s="100" t="str">
        <f t="shared" si="3"/>
        <v>LU000535.004</v>
      </c>
      <c r="Q23" s="100" t="str">
        <f ca="1">IFERROR(__xludf.dummyfunction("VLOOKUP(P23, IMPORTRANGE(""https://docs.google.com/spreadsheets/d/1yDAaXNsi4Mr5FtRQL4tbmSdIzhx6_m4wkOD7IG-k_eo/edit#gid=0"", ""Maths!M:N""), 2, FALSE)"),"Deduce the law of power with a negative exponent for whole numbers.")</f>
        <v>Deduce the law of power with a negative exponent for whole numbers.</v>
      </c>
      <c r="R23" s="100" t="str">
        <f t="shared" si="4"/>
        <v>LU000535.005</v>
      </c>
      <c r="S23" s="100" t="str">
        <f ca="1">IFERROR(__xludf.dummyfunction("VLOOKUP(R23, IMPORTRANGE(""https://docs.google.com/spreadsheets/d/1yDAaXNsi4Mr5FtRQL4tbmSdIzhx6_m4wkOD7IG-k_eo/edit#gid=0"", ""Maths!M:N""), 2, FALSE)"),"#N/A")</f>
        <v>#N/A</v>
      </c>
      <c r="T23" s="100" t="str">
        <f t="shared" si="5"/>
        <v>LU000535.006</v>
      </c>
      <c r="U23" s="100" t="str">
        <f ca="1">IFERROR(__xludf.dummyfunction("VLOOKUP(T23, IMPORTRANGE(""https://docs.google.com/spreadsheets/d/1yDAaXNsi4Mr5FtRQL4tbmSdIzhx6_m4wkOD7IG-k_eo/edit#gid=0"", ""Maths!M:N""), 2, FALSE)"),"Design a set of practice problems that require applying the law of power with a negative exponent for whole numbers to simplify and solve.")</f>
        <v>Design a set of practice problems that require applying the law of power with a negative exponent for whole numbers to simplify and solve.</v>
      </c>
      <c r="V23" s="16">
        <f ca="1">IFERROR(__xludf.dummyfunction("ArrayFormula(VLOOKUP(G23, IMPORTRANGE(""https://docs.google.com/spreadsheets/d/1p7R4vtkWt5VOBim4ltsDG9KTzSjrtKXsMtQGXPHyND0/edit#gid=795171502"", ""'Filter 30_05_2024'!A1:M2000""), {2, 3, 4, 5,6,7,8,9,10,11,12,13}, 0))"),4)</f>
        <v>4</v>
      </c>
      <c r="W23" s="16">
        <f ca="1">IFERROR(__xludf.dummyfunction("""COMPUTED_VALUE"""),6)</f>
        <v>6</v>
      </c>
      <c r="X23" s="16">
        <f ca="1">IFERROR(__xludf.dummyfunction("""COMPUTED_VALUE"""),2)</f>
        <v>2</v>
      </c>
      <c r="Y23" s="16">
        <f ca="1">IFERROR(__xludf.dummyfunction("""COMPUTED_VALUE"""),12)</f>
        <v>12</v>
      </c>
      <c r="Z23" s="16">
        <f ca="1">IFERROR(__xludf.dummyfunction("""COMPUTED_VALUE"""),4)</f>
        <v>4</v>
      </c>
      <c r="AA23" s="30">
        <f ca="1">IFERROR(__xludf.dummyfunction("""COMPUTED_VALUE"""),3)</f>
        <v>3</v>
      </c>
      <c r="AB23" s="30">
        <f ca="1">IFERROR(__xludf.dummyfunction("""COMPUTED_VALUE"""),1)</f>
        <v>1</v>
      </c>
      <c r="AC23" s="30">
        <f ca="1">IFERROR(__xludf.dummyfunction("""COMPUTED_VALUE"""),8)</f>
        <v>8</v>
      </c>
      <c r="AD23" s="16"/>
      <c r="AE23" s="30"/>
      <c r="AF23" s="30"/>
      <c r="AG23" s="30"/>
    </row>
    <row r="24" spans="1:33" ht="26.4">
      <c r="A24" s="25"/>
      <c r="B24" s="25" t="s">
        <v>29</v>
      </c>
      <c r="C24" s="25" t="s">
        <v>310</v>
      </c>
      <c r="D24" s="25">
        <v>8</v>
      </c>
      <c r="E24" s="70" t="s">
        <v>1069</v>
      </c>
      <c r="F24" s="70" t="s">
        <v>860</v>
      </c>
      <c r="G24" s="64" t="s">
        <v>1071</v>
      </c>
      <c r="H24" s="64" t="str">
        <f ca="1">IFERROR(__xludf.dummyfunction("IFERROR(
  VLOOKUP(G24, IMPORTRANGE(""https://docs.google.com/spreadsheets/d/14deopnvwcrKtEGCKuYXdUHJbeLDZlkiSSWWT0g7x2pM/edit#gid=849066331"", ""LU List Maths (Filter)!A:B""), 2, FALSE),
  IFERROR(
    VLOOKUP(G24, IMPORTRANGE(""https://docs.google.com/s"&amp;"preadsheets/d/14deopnvwcrKtEGCKuYXdUHJbeLDZlkiSSWWT0g7x2pM/edit#gid=849066331"", ""LU List Science (Filter)!A:B""), 2, FALSE),
    ""Not Found""
  )
)
"),"Law of power with negative exponent for integers")</f>
        <v>Law of power with negative exponent for integers</v>
      </c>
      <c r="I24" s="64"/>
      <c r="J24" s="100" t="str">
        <f t="shared" si="0"/>
        <v>LU000536.001</v>
      </c>
      <c r="K24" s="100" t="str">
        <f ca="1">IFERROR(__xludf.dummyfunction("VLOOKUP(J24, IMPORTRANGE(""https://docs.google.com/spreadsheets/d/1yDAaXNsi4Mr5FtRQL4tbmSdIzhx6_m4wkOD7IG-k_eo/edit#gid=0"", ""Maths!M:N""), 2, FALSE)"),"State the law of power with negative exponent for integers.")</f>
        <v>State the law of power with negative exponent for integers.</v>
      </c>
      <c r="L24" s="100" t="str">
        <f t="shared" si="1"/>
        <v>LU000536.002</v>
      </c>
      <c r="M24" s="100" t="str">
        <f ca="1">IFERROR(__xludf.dummyfunction("VLOOKUP(L24, IMPORTRANGE(""https://docs.google.com/spreadsheets/d/1yDAaXNsi4Mr5FtRQL4tbmSdIzhx6_m4wkOD7IG-k_eo/edit#gid=0"", ""Maths!M:N""), 2, FALSE)"),"Describe how the law of power with negative exponent for integers convert a power with a negative exponent into its reciprocal with a positive exponent")</f>
        <v>Describe how the law of power with negative exponent for integers convert a power with a negative exponent into its reciprocal with a positive exponent</v>
      </c>
      <c r="N24" s="100" t="str">
        <f t="shared" si="2"/>
        <v>LU000536.003</v>
      </c>
      <c r="O24" s="100" t="str">
        <f ca="1">IFERROR(__xludf.dummyfunction("VLOOKUP(N24, IMPORTRANGE(""https://docs.google.com/spreadsheets/d/1yDAaXNsi4Mr5FtRQL4tbmSdIzhx6_m4wkOD7IG-k_eo/edit#gid=0"", ""Maths!M:N""), 2, FALSE)"),"Apply the law of power with a negative exponent to simplify expressions involving integers.")</f>
        <v>Apply the law of power with a negative exponent to simplify expressions involving integers.</v>
      </c>
      <c r="P24" s="100" t="str">
        <f t="shared" si="3"/>
        <v>LU000536.004</v>
      </c>
      <c r="Q24" s="100" t="str">
        <f ca="1">IFERROR(__xludf.dummyfunction("VLOOKUP(P24, IMPORTRANGE(""https://docs.google.com/spreadsheets/d/1yDAaXNsi4Mr5FtRQL4tbmSdIzhx6_m4wkOD7IG-k_eo/edit#gid=0"", ""Maths!M:N""), 2, FALSE)"),"Deduce the law of power with a negative exponent for integers.")</f>
        <v>Deduce the law of power with a negative exponent for integers.</v>
      </c>
      <c r="R24" s="100" t="str">
        <f t="shared" si="4"/>
        <v>LU000536.005</v>
      </c>
      <c r="S24" s="100" t="str">
        <f ca="1">IFERROR(__xludf.dummyfunction("VLOOKUP(R24, IMPORTRANGE(""https://docs.google.com/spreadsheets/d/1yDAaXNsi4Mr5FtRQL4tbmSdIzhx6_m4wkOD7IG-k_eo/edit#gid=0"", ""Maths!M:N""), 2, FALSE)"),"#N/A")</f>
        <v>#N/A</v>
      </c>
      <c r="T24" s="100" t="str">
        <f t="shared" si="5"/>
        <v>LU000536.006</v>
      </c>
      <c r="U24" s="100" t="str">
        <f ca="1">IFERROR(__xludf.dummyfunction("VLOOKUP(T24, IMPORTRANGE(""https://docs.google.com/spreadsheets/d/1yDAaXNsi4Mr5FtRQL4tbmSdIzhx6_m4wkOD7IG-k_eo/edit#gid=0"", ""Maths!M:N""), 2, FALSE)"),"Design a set of practice problems that require applying the law of power with a negative exponent for integers to simplify and solve.")</f>
        <v>Design a set of practice problems that require applying the law of power with a negative exponent for integers to simplify and solve.</v>
      </c>
      <c r="V24" s="16">
        <f ca="1">IFERROR(__xludf.dummyfunction("ArrayFormula(VLOOKUP(G24, IMPORTRANGE(""https://docs.google.com/spreadsheets/d/1p7R4vtkWt5VOBim4ltsDG9KTzSjrtKXsMtQGXPHyND0/edit#gid=795171502"", ""'Filter 30_05_2024'!A1:M2000""), {2, 3, 4, 5,6,7,8,9,10,11,12,13}, 0))"),4)</f>
        <v>4</v>
      </c>
      <c r="W24" s="16">
        <f ca="1">IFERROR(__xludf.dummyfunction("""COMPUTED_VALUE"""),6)</f>
        <v>6</v>
      </c>
      <c r="X24" s="16">
        <f ca="1">IFERROR(__xludf.dummyfunction("""COMPUTED_VALUE"""),2)</f>
        <v>2</v>
      </c>
      <c r="Y24" s="16">
        <f ca="1">IFERROR(__xludf.dummyfunction("""COMPUTED_VALUE"""),12)</f>
        <v>12</v>
      </c>
      <c r="Z24" s="16">
        <f ca="1">IFERROR(__xludf.dummyfunction("""COMPUTED_VALUE"""),4)</f>
        <v>4</v>
      </c>
      <c r="AA24" s="30">
        <f ca="1">IFERROR(__xludf.dummyfunction("""COMPUTED_VALUE"""),3)</f>
        <v>3</v>
      </c>
      <c r="AB24" s="30">
        <f ca="1">IFERROR(__xludf.dummyfunction("""COMPUTED_VALUE"""),1)</f>
        <v>1</v>
      </c>
      <c r="AC24" s="30">
        <f ca="1">IFERROR(__xludf.dummyfunction("""COMPUTED_VALUE"""),8)</f>
        <v>8</v>
      </c>
      <c r="AD24" s="16"/>
      <c r="AE24" s="30"/>
      <c r="AF24" s="30"/>
      <c r="AG24" s="30"/>
    </row>
    <row r="25" spans="1:33" ht="26.4">
      <c r="A25" s="25"/>
      <c r="B25" s="25" t="s">
        <v>29</v>
      </c>
      <c r="C25" s="25" t="s">
        <v>310</v>
      </c>
      <c r="D25" s="25">
        <v>8</v>
      </c>
      <c r="E25" s="70" t="s">
        <v>1069</v>
      </c>
      <c r="F25" s="70" t="s">
        <v>860</v>
      </c>
      <c r="G25" s="64" t="s">
        <v>1072</v>
      </c>
      <c r="H25" s="64" t="str">
        <f ca="1">IFERROR(__xludf.dummyfunction("IFERROR(
  VLOOKUP(G25, IMPORTRANGE(""https://docs.google.com/spreadsheets/d/14deopnvwcrKtEGCKuYXdUHJbeLDZlkiSSWWT0g7x2pM/edit#gid=849066331"", ""LU List Maths (Filter)!A:B""), 2, FALSE),
  IFERROR(
    VLOOKUP(G25, IMPORTRANGE(""https://docs.google.com/s"&amp;"preadsheets/d/14deopnvwcrKtEGCKuYXdUHJbeLDZlkiSSWWT0g7x2pM/edit#gid=849066331"", ""LU List Science (Filter)!A:B""), 2, FALSE),
    ""Not Found""
  )
)
"),"Multiplicative inverse of numbers in exponential form")</f>
        <v>Multiplicative inverse of numbers in exponential form</v>
      </c>
      <c r="I25" s="64"/>
      <c r="J25" s="100" t="str">
        <f t="shared" si="0"/>
        <v>LU000736.001</v>
      </c>
      <c r="K25" s="100" t="str">
        <f ca="1">IFERROR(__xludf.dummyfunction("VLOOKUP(J25, IMPORTRANGE(""https://docs.google.com/spreadsheets/d/1yDAaXNsi4Mr5FtRQL4tbmSdIzhx6_m4wkOD7IG-k_eo/edit#gid=0"", ""Maths!M:N""), 2, FALSE)"),"State the concept of multiplicative inverse of numbers in exponential form")</f>
        <v>State the concept of multiplicative inverse of numbers in exponential form</v>
      </c>
      <c r="L25" s="100" t="str">
        <f t="shared" si="1"/>
        <v>LU000736.002</v>
      </c>
      <c r="M25" s="100" t="str">
        <f ca="1">IFERROR(__xludf.dummyfunction("VLOOKUP(L25, IMPORTRANGE(""https://docs.google.com/spreadsheets/d/1yDAaXNsi4Mr5FtRQL4tbmSdIzhx6_m4wkOD7IG-k_eo/edit#gid=0"", ""Maths!M:N""), 2, FALSE)"),"Understand the concept of a multiplicative inverse in the context of numbers expressed in exponential form")</f>
        <v>Understand the concept of a multiplicative inverse in the context of numbers expressed in exponential form</v>
      </c>
      <c r="N25" s="100" t="str">
        <f t="shared" si="2"/>
        <v>LU000736.003</v>
      </c>
      <c r="O25" s="100" t="str">
        <f ca="1">IFERROR(__xludf.dummyfunction("VLOOKUP(N25, IMPORTRANGE(""https://docs.google.com/spreadsheets/d/1yDAaXNsi4Mr5FtRQL4tbmSdIzhx6_m4wkOD7IG-k_eo/edit#gid=0"", ""Maths!M:N""), 2, FALSE)"),"Apply knowledge of multiplicative inverses to find the multiplicative inverse of numbers represented in exponential form")</f>
        <v>Apply knowledge of multiplicative inverses to find the multiplicative inverse of numbers represented in exponential form</v>
      </c>
      <c r="P25" s="100" t="str">
        <f t="shared" si="3"/>
        <v>LU000736.004</v>
      </c>
      <c r="Q25" s="100" t="str">
        <f ca="1">IFERROR(__xludf.dummyfunction("VLOOKUP(P25, IMPORTRANGE(""https://docs.google.com/spreadsheets/d/1yDAaXNsi4Mr5FtRQL4tbmSdIzhx6_m4wkOD7IG-k_eo/edit#gid=0"", ""Maths!M:N""), 2, FALSE)"),"Analyze the properties of numbers in exponential form and their multiplicative inverses")</f>
        <v>Analyze the properties of numbers in exponential form and their multiplicative inverses</v>
      </c>
      <c r="R25" s="100" t="str">
        <f t="shared" si="4"/>
        <v>LU000736.005</v>
      </c>
      <c r="S25" s="100" t="str">
        <f ca="1">IFERROR(__xludf.dummyfunction("VLOOKUP(R25, IMPORTRANGE(""https://docs.google.com/spreadsheets/d/1yDAaXNsi4Mr5FtRQL4tbmSdIzhx6_m4wkOD7IG-k_eo/edit#gid=0"", ""Maths!M:N""), 2, FALSE)"),"Evaluate the practical significance of determining multiplicative inverses for numbers represented in exponential form")</f>
        <v>Evaluate the practical significance of determining multiplicative inverses for numbers represented in exponential form</v>
      </c>
      <c r="T25" s="100" t="str">
        <f t="shared" si="5"/>
        <v>LU000736.006</v>
      </c>
      <c r="U25" s="100" t="str">
        <f ca="1">IFERROR(__xludf.dummyfunction("VLOOKUP(T25, IMPORTRANGE(""https://docs.google.com/spreadsheets/d/1yDAaXNsi4Mr5FtRQL4tbmSdIzhx6_m4wkOD7IG-k_eo/edit#gid=0"", ""Maths!M:N""), 2, FALSE)"),"#N/A")</f>
        <v>#N/A</v>
      </c>
      <c r="V25" s="16">
        <f ca="1">IFERROR(__xludf.dummyfunction("ArrayFormula(VLOOKUP(G25, IMPORTRANGE(""https://docs.google.com/spreadsheets/d/1p7R4vtkWt5VOBim4ltsDG9KTzSjrtKXsMtQGXPHyND0/edit#gid=795171502"", ""'Filter 30_05_2024'!A1:M2000""), {2, 3, 4, 5,6,7,8,9,10,11,12,13}, 0))"),4)</f>
        <v>4</v>
      </c>
      <c r="W25" s="16">
        <f ca="1">IFERROR(__xludf.dummyfunction("""COMPUTED_VALUE"""),6)</f>
        <v>6</v>
      </c>
      <c r="X25" s="16">
        <f ca="1">IFERROR(__xludf.dummyfunction("""COMPUTED_VALUE"""),2)</f>
        <v>2</v>
      </c>
      <c r="Y25" s="16">
        <f ca="1">IFERROR(__xludf.dummyfunction("""COMPUTED_VALUE"""),12)</f>
        <v>12</v>
      </c>
      <c r="Z25" s="16">
        <f ca="1">IFERROR(__xludf.dummyfunction("""COMPUTED_VALUE"""),4)</f>
        <v>4</v>
      </c>
      <c r="AA25" s="30">
        <f ca="1">IFERROR(__xludf.dummyfunction("""COMPUTED_VALUE"""),3)</f>
        <v>3</v>
      </c>
      <c r="AB25" s="30">
        <f ca="1">IFERROR(__xludf.dummyfunction("""COMPUTED_VALUE"""),1)</f>
        <v>1</v>
      </c>
      <c r="AC25" s="30">
        <f ca="1">IFERROR(__xludf.dummyfunction("""COMPUTED_VALUE"""),8)</f>
        <v>8</v>
      </c>
      <c r="AD25" s="16"/>
      <c r="AE25" s="30"/>
      <c r="AF25" s="30"/>
      <c r="AG25" s="30"/>
    </row>
    <row r="26" spans="1:33" ht="26.4">
      <c r="A26" s="25"/>
      <c r="B26" s="25" t="s">
        <v>29</v>
      </c>
      <c r="C26" s="25" t="s">
        <v>310</v>
      </c>
      <c r="D26" s="25">
        <v>8</v>
      </c>
      <c r="E26" s="70" t="s">
        <v>1069</v>
      </c>
      <c r="F26" s="70" t="s">
        <v>860</v>
      </c>
      <c r="G26" s="64" t="s">
        <v>1073</v>
      </c>
      <c r="H26" s="64" t="str">
        <f ca="1">IFERROR(__xludf.dummyfunction("IFERROR(
  VLOOKUP(G26, IMPORTRANGE(""https://docs.google.com/spreadsheets/d/14deopnvwcrKtEGCKuYXdUHJbeLDZlkiSSWWT0g7x2pM/edit#gid=849066331"", ""LU List Maths (Filter)!A:B""), 2, FALSE),
  IFERROR(
    VLOOKUP(G26, IMPORTRANGE(""https://docs.google.com/s"&amp;"preadsheets/d/14deopnvwcrKtEGCKuYXdUHJbeLDZlkiSSWWT0g7x2pM/edit#gid=849066331"", ""LU List Science (Filter)!A:B""), 2, FALSE),
    ""Not Found""
  )
)
"),"Application of multiple laws of exponent (exponent is integer)")</f>
        <v>Application of multiple laws of exponent (exponent is integer)</v>
      </c>
      <c r="I26" s="64"/>
      <c r="J26" s="100" t="str">
        <f t="shared" si="0"/>
        <v>LU000928.001</v>
      </c>
      <c r="K26" s="100" t="str">
        <f ca="1">IFERROR(__xludf.dummyfunction("VLOOKUP(J26, IMPORTRANGE(""https://docs.google.com/spreadsheets/d/1yDAaXNsi4Mr5FtRQL4tbmSdIzhx6_m4wkOD7IG-k_eo/edit#gid=0"", ""Maths!M:N""), 2, FALSE)"),"#N/A")</f>
        <v>#N/A</v>
      </c>
      <c r="L26" s="100" t="str">
        <f t="shared" si="1"/>
        <v>LU000928.002</v>
      </c>
      <c r="M26" s="100" t="str">
        <f ca="1">IFERROR(__xludf.dummyfunction("VLOOKUP(L26, IMPORTRANGE(""https://docs.google.com/spreadsheets/d/1yDAaXNsi4Mr5FtRQL4tbmSdIzhx6_m4wkOD7IG-k_eo/edit#gid=0"", ""Maths!M:N""), 2, FALSE)"),"Explain the use of multiple laws of exponents with different/same bases and integral exponent.")</f>
        <v>Explain the use of multiple laws of exponents with different/same bases and integral exponent.</v>
      </c>
      <c r="N26" s="100" t="str">
        <f t="shared" si="2"/>
        <v>LU000928.003</v>
      </c>
      <c r="O26" s="100" t="str">
        <f ca="1">IFERROR(__xludf.dummyfunction("VLOOKUP(N26, IMPORTRANGE(""https://docs.google.com/spreadsheets/d/1yDAaXNsi4Mr5FtRQL4tbmSdIzhx6_m4wkOD7IG-k_eo/edit#gid=0"", ""Maths!M:N""), 2, FALSE)"),"Apply the different laws of exponents to solve numerical problems involving expressions with different/same bases and integral exponent.")</f>
        <v>Apply the different laws of exponents to solve numerical problems involving expressions with different/same bases and integral exponent.</v>
      </c>
      <c r="P26" s="100" t="str">
        <f t="shared" si="3"/>
        <v>LU000928.004</v>
      </c>
      <c r="Q26" s="100" t="str">
        <f ca="1">IFERROR(__xludf.dummyfunction("VLOOKUP(P26, IMPORTRANGE(""https://docs.google.com/spreadsheets/d/1yDAaXNsi4Mr5FtRQL4tbmSdIzhx6_m4wkOD7IG-k_eo/edit#gid=0"", ""Maths!M:N""), 2, FALSE)"),"Analyze expressions involving integral exponents to identify the application of specific exponent laws.")</f>
        <v>Analyze expressions involving integral exponents to identify the application of specific exponent laws.</v>
      </c>
      <c r="R26" s="100" t="str">
        <f t="shared" si="4"/>
        <v>LU000928.005</v>
      </c>
      <c r="S26" s="100" t="str">
        <f ca="1">IFERROR(__xludf.dummyfunction("VLOOKUP(R26, IMPORTRANGE(""https://docs.google.com/spreadsheets/d/1yDAaXNsi4Mr5FtRQL4tbmSdIzhx6_m4wkOD7IG-k_eo/edit#gid=0"", ""Maths!M:N""), 2, FALSE)"),"Evaluate the effectiveness of using the laws of exponents with integral exponent in solving real-world mathematical problems.")</f>
        <v>Evaluate the effectiveness of using the laws of exponents with integral exponent in solving real-world mathematical problems.</v>
      </c>
      <c r="T26" s="100" t="str">
        <f t="shared" si="5"/>
        <v>LU000928.006</v>
      </c>
      <c r="U26" s="100" t="str">
        <f ca="1">IFERROR(__xludf.dummyfunction("VLOOKUP(T26, IMPORTRANGE(""https://docs.google.com/spreadsheets/d/1yDAaXNsi4Mr5FtRQL4tbmSdIzhx6_m4wkOD7IG-k_eo/edit#gid=0"", ""Maths!M:N""), 2, FALSE)"),"#N/A")</f>
        <v>#N/A</v>
      </c>
      <c r="V26" s="16">
        <f ca="1">IFERROR(__xludf.dummyfunction("ArrayFormula(VLOOKUP(G26, IMPORTRANGE(""https://docs.google.com/spreadsheets/d/1p7R4vtkWt5VOBim4ltsDG9KTzSjrtKXsMtQGXPHyND0/edit#gid=795171502"", ""'Filter 30_05_2024'!A1:M2000""), {2, 3, 4, 5,6,7,8,9,10,11,12,13}, 0))"),4)</f>
        <v>4</v>
      </c>
      <c r="W26" s="16">
        <f ca="1">IFERROR(__xludf.dummyfunction("""COMPUTED_VALUE"""),6)</f>
        <v>6</v>
      </c>
      <c r="X26" s="16">
        <f ca="1">IFERROR(__xludf.dummyfunction("""COMPUTED_VALUE"""),2)</f>
        <v>2</v>
      </c>
      <c r="Y26" s="16">
        <f ca="1">IFERROR(__xludf.dummyfunction("""COMPUTED_VALUE"""),12)</f>
        <v>12</v>
      </c>
      <c r="Z26" s="16">
        <f ca="1">IFERROR(__xludf.dummyfunction("""COMPUTED_VALUE"""),4)</f>
        <v>4</v>
      </c>
      <c r="AA26" s="30">
        <f ca="1">IFERROR(__xludf.dummyfunction("""COMPUTED_VALUE"""),3)</f>
        <v>3</v>
      </c>
      <c r="AB26" s="30">
        <f ca="1">IFERROR(__xludf.dummyfunction("""COMPUTED_VALUE"""),1)</f>
        <v>1</v>
      </c>
      <c r="AC26" s="30">
        <f ca="1">IFERROR(__xludf.dummyfunction("""COMPUTED_VALUE"""),8)</f>
        <v>8</v>
      </c>
      <c r="AD26" s="16"/>
      <c r="AE26" s="30"/>
      <c r="AF26" s="30"/>
      <c r="AG26" s="30"/>
    </row>
    <row r="27" spans="1:33" ht="26.4">
      <c r="A27" s="25"/>
      <c r="B27" s="25" t="s">
        <v>29</v>
      </c>
      <c r="C27" s="25" t="s">
        <v>310</v>
      </c>
      <c r="D27" s="25">
        <v>8</v>
      </c>
      <c r="E27" s="70" t="s">
        <v>1069</v>
      </c>
      <c r="F27" s="70" t="s">
        <v>860</v>
      </c>
      <c r="G27" s="64" t="s">
        <v>1074</v>
      </c>
      <c r="H27" s="64" t="str">
        <f ca="1">IFERROR(__xludf.dummyfunction("IFERROR(
  VLOOKUP(G27, IMPORTRANGE(""https://docs.google.com/spreadsheets/d/14deopnvwcrKtEGCKuYXdUHJbeLDZlkiSSWWT0g7x2pM/edit#gid=849066331"", ""LU List Maths (Filter)!A:B""), 2, FALSE),
  IFERROR(
    VLOOKUP(G27, IMPORTRANGE(""https://docs.google.com/s"&amp;"preadsheets/d/14deopnvwcrKtEGCKuYXdUHJbeLDZlkiSSWWT0g7x2pM/edit#gid=849066331"", ""LU List Science (Filter)!A:B""), 2, FALSE),
    ""Not Found""
  )
)
"),"Application of multiple laws of exponent (exponent is rational number)")</f>
        <v>Application of multiple laws of exponent (exponent is rational number)</v>
      </c>
      <c r="I27" s="64"/>
      <c r="J27" s="100" t="str">
        <f t="shared" si="0"/>
        <v>LU000929.001</v>
      </c>
      <c r="K27" s="100" t="str">
        <f ca="1">IFERROR(__xludf.dummyfunction("VLOOKUP(J27, IMPORTRANGE(""https://docs.google.com/spreadsheets/d/1yDAaXNsi4Mr5FtRQL4tbmSdIzhx6_m4wkOD7IG-k_eo/edit#gid=0"", ""Maths!M:N""), 2, FALSE)"),"#N/A")</f>
        <v>#N/A</v>
      </c>
      <c r="L27" s="100" t="str">
        <f t="shared" si="1"/>
        <v>LU000929.002</v>
      </c>
      <c r="M27" s="100" t="str">
        <f ca="1">IFERROR(__xludf.dummyfunction("VLOOKUP(L27, IMPORTRANGE(""https://docs.google.com/spreadsheets/d/1yDAaXNsi4Mr5FtRQL4tbmSdIzhx6_m4wkOD7IG-k_eo/edit#gid=0"", ""Maths!M:N""), 2, FALSE)"),"Explain the use of multiple laws of exponents with different/same bases and rational number exponent.")</f>
        <v>Explain the use of multiple laws of exponents with different/same bases and rational number exponent.</v>
      </c>
      <c r="N27" s="100" t="str">
        <f t="shared" si="2"/>
        <v>LU000929.003</v>
      </c>
      <c r="O27" s="100" t="str">
        <f ca="1">IFERROR(__xludf.dummyfunction("VLOOKUP(N27, IMPORTRANGE(""https://docs.google.com/spreadsheets/d/1yDAaXNsi4Mr5FtRQL4tbmSdIzhx6_m4wkOD7IG-k_eo/edit#gid=0"", ""Maths!M:N""), 2, FALSE)"),"Apply the different laws of exponents to solve numerical problems involving expressions with different/same bases and rational number exponent.")</f>
        <v>Apply the different laws of exponents to solve numerical problems involving expressions with different/same bases and rational number exponent.</v>
      </c>
      <c r="P27" s="100" t="str">
        <f t="shared" si="3"/>
        <v>LU000929.004</v>
      </c>
      <c r="Q27" s="100" t="str">
        <f ca="1">IFERROR(__xludf.dummyfunction("VLOOKUP(P27, IMPORTRANGE(""https://docs.google.com/spreadsheets/d/1yDAaXNsi4Mr5FtRQL4tbmSdIzhx6_m4wkOD7IG-k_eo/edit#gid=0"", ""Maths!M:N""), 2, FALSE)"),"Analyze expressions involving rational number exponents to identify the application of specific exponent laws.")</f>
        <v>Analyze expressions involving rational number exponents to identify the application of specific exponent laws.</v>
      </c>
      <c r="R27" s="100" t="str">
        <f t="shared" si="4"/>
        <v>LU000929.005</v>
      </c>
      <c r="S27" s="100" t="str">
        <f ca="1">IFERROR(__xludf.dummyfunction("VLOOKUP(R27, IMPORTRANGE(""https://docs.google.com/spreadsheets/d/1yDAaXNsi4Mr5FtRQL4tbmSdIzhx6_m4wkOD7IG-k_eo/edit#gid=0"", ""Maths!M:N""), 2, FALSE)"),"Evaluate the effectiveness of using the laws of exponents with rational number exponent in solving real-world mathematical problems.")</f>
        <v>Evaluate the effectiveness of using the laws of exponents with rational number exponent in solving real-world mathematical problems.</v>
      </c>
      <c r="T27" s="100" t="str">
        <f t="shared" si="5"/>
        <v>LU000929.006</v>
      </c>
      <c r="U27" s="100" t="str">
        <f ca="1">IFERROR(__xludf.dummyfunction("VLOOKUP(T27, IMPORTRANGE(""https://docs.google.com/spreadsheets/d/1yDAaXNsi4Mr5FtRQL4tbmSdIzhx6_m4wkOD7IG-k_eo/edit#gid=0"", ""Maths!M:N""), 2, FALSE)"),"#N/A")</f>
        <v>#N/A</v>
      </c>
      <c r="V27" s="16">
        <f ca="1">IFERROR(__xludf.dummyfunction("ArrayFormula(VLOOKUP(G27, IMPORTRANGE(""https://docs.google.com/spreadsheets/d/1p7R4vtkWt5VOBim4ltsDG9KTzSjrtKXsMtQGXPHyND0/edit#gid=795171502"", ""'Filter 30_05_2024'!A1:M2000""), {2, 3, 4, 5,6,7,8,9,10,11,12,13}, 0))"),4)</f>
        <v>4</v>
      </c>
      <c r="W27" s="16">
        <f ca="1">IFERROR(__xludf.dummyfunction("""COMPUTED_VALUE"""),6)</f>
        <v>6</v>
      </c>
      <c r="X27" s="16">
        <f ca="1">IFERROR(__xludf.dummyfunction("""COMPUTED_VALUE"""),2)</f>
        <v>2</v>
      </c>
      <c r="Y27" s="16">
        <f ca="1">IFERROR(__xludf.dummyfunction("""COMPUTED_VALUE"""),12)</f>
        <v>12</v>
      </c>
      <c r="Z27" s="16">
        <f ca="1">IFERROR(__xludf.dummyfunction("""COMPUTED_VALUE"""),5)</f>
        <v>5</v>
      </c>
      <c r="AA27" s="30">
        <f ca="1">IFERROR(__xludf.dummyfunction("""COMPUTED_VALUE"""),3)</f>
        <v>3</v>
      </c>
      <c r="AB27" s="30">
        <f ca="1">IFERROR(__xludf.dummyfunction("""COMPUTED_VALUE"""),1)</f>
        <v>1</v>
      </c>
      <c r="AC27" s="30">
        <f ca="1">IFERROR(__xludf.dummyfunction("""COMPUTED_VALUE"""),9)</f>
        <v>9</v>
      </c>
      <c r="AD27" s="16"/>
      <c r="AE27" s="30"/>
      <c r="AF27" s="30"/>
      <c r="AG27" s="30"/>
    </row>
    <row r="28" spans="1:33" ht="26.4">
      <c r="A28" s="25"/>
      <c r="B28" s="25" t="s">
        <v>29</v>
      </c>
      <c r="C28" s="25" t="s">
        <v>310</v>
      </c>
      <c r="D28" s="25">
        <v>8</v>
      </c>
      <c r="E28" s="70" t="s">
        <v>1075</v>
      </c>
      <c r="F28" s="70" t="s">
        <v>1076</v>
      </c>
      <c r="G28" s="64" t="s">
        <v>1077</v>
      </c>
      <c r="H28" s="64" t="str">
        <f ca="1">IFERROR(__xludf.dummyfunction("IFERROR(
  VLOOKUP(G28, IMPORTRANGE(""https://docs.google.com/spreadsheets/d/14deopnvwcrKtEGCKuYXdUHJbeLDZlkiSSWWT0g7x2pM/edit#gid=849066331"", ""LU List Maths (Filter)!A:B""), 2, FALSE),
  IFERROR(
    VLOOKUP(G28, IMPORTRANGE(""https://docs.google.com/s"&amp;"preadsheets/d/14deopnvwcrKtEGCKuYXdUHJbeLDZlkiSSWWT0g7x2pM/edit#gid=849066331"", ""LU List Science (Filter)!A:B""), 2, FALSE),
    ""Not Found""
  )
)
"),"Definition and representation of square numbers/perfect square numbers")</f>
        <v>Definition and representation of square numbers/perfect square numbers</v>
      </c>
      <c r="I28" s="64"/>
      <c r="J28" s="100" t="str">
        <f t="shared" si="0"/>
        <v>LU000636.001</v>
      </c>
      <c r="K28" s="100" t="str">
        <f ca="1">IFERROR(__xludf.dummyfunction("VLOOKUP(J28, IMPORTRANGE(""https://docs.google.com/spreadsheets/d/1yDAaXNsi4Mr5FtRQL4tbmSdIzhx6_m4wkOD7IG-k_eo/edit#gid=0"", ""Maths!M:N""), 2, FALSE)"),"State the definition of a square number.")</f>
        <v>State the definition of a square number.</v>
      </c>
      <c r="L28" s="100" t="str">
        <f t="shared" si="1"/>
        <v>LU000636.002</v>
      </c>
      <c r="M28" s="100" t="str">
        <f ca="1">IFERROR(__xludf.dummyfunction("VLOOKUP(L28, IMPORTRANGE(""https://docs.google.com/spreadsheets/d/1yDAaXNsi4Mr5FtRQL4tbmSdIzhx6_m4wkOD7IG-k_eo/edit#gid=0"", ""Maths!M:N""), 2, FALSE)"),"Describe what a perfect square number is and how it is obtained.")</f>
        <v>Describe what a perfect square number is and how it is obtained.</v>
      </c>
      <c r="N28" s="100" t="str">
        <f t="shared" si="2"/>
        <v>LU000636.003</v>
      </c>
      <c r="O28" s="100" t="str">
        <f ca="1">IFERROR(__xludf.dummyfunction("VLOOKUP(N28, IMPORTRANGE(""https://docs.google.com/spreadsheets/d/1yDAaXNsi4Mr5FtRQL4tbmSdIzhx6_m4wkOD7IG-k_eo/edit#gid=0"", ""Maths!M:N""), 2, FALSE)"),"Calculate the square of numbers.")</f>
        <v>Calculate the square of numbers.</v>
      </c>
      <c r="P28" s="100" t="str">
        <f t="shared" si="3"/>
        <v>LU000636.004</v>
      </c>
      <c r="Q28" s="100" t="str">
        <f ca="1">IFERROR(__xludf.dummyfunction("VLOOKUP(P28, IMPORTRANGE(""https://docs.google.com/spreadsheets/d/1yDAaXNsi4Mr5FtRQL4tbmSdIzhx6_m4wkOD7IG-k_eo/edit#gid=0"", ""Maths!M:N""), 2, FALSE)"),"Compare and contrast square numbers with other types of numbers.")</f>
        <v>Compare and contrast square numbers with other types of numbers.</v>
      </c>
      <c r="R28" s="100" t="str">
        <f t="shared" si="4"/>
        <v>LU000636.005</v>
      </c>
      <c r="S28" s="100" t="str">
        <f ca="1">IFERROR(__xludf.dummyfunction("VLOOKUP(R28, IMPORTRANGE(""https://docs.google.com/spreadsheets/d/1yDAaXNsi4Mr5FtRQL4tbmSdIzhx6_m4wkOD7IG-k_eo/edit#gid=0"", ""Maths!M:N""), 2, FALSE)"),"Assess the significance of square numbers in real-world applications.")</f>
        <v>Assess the significance of square numbers in real-world applications.</v>
      </c>
      <c r="T28" s="100" t="str">
        <f t="shared" si="5"/>
        <v>LU000636.006</v>
      </c>
      <c r="U28" s="100" t="str">
        <f ca="1">IFERROR(__xludf.dummyfunction("VLOOKUP(T28, IMPORTRANGE(""https://docs.google.com/spreadsheets/d/1yDAaXNsi4Mr5FtRQL4tbmSdIzhx6_m4wkOD7IG-k_eo/edit#gid=0"", ""Maths!M:N""), 2, FALSE)"),"Design a creative representation or visual aid to explain square numbers.")</f>
        <v>Design a creative representation or visual aid to explain square numbers.</v>
      </c>
      <c r="V28" s="16">
        <f ca="1">IFERROR(__xludf.dummyfunction("ArrayFormula(VLOOKUP(G28, IMPORTRANGE(""https://docs.google.com/spreadsheets/d/1p7R4vtkWt5VOBim4ltsDG9KTzSjrtKXsMtQGXPHyND0/edit#gid=795171502"", ""'Filter 30_05_2024'!A1:M2000""), {2, 3, 4, 5,6,7,8,9,10,11,12,13}, 0))"),4)</f>
        <v>4</v>
      </c>
      <c r="W28" s="16">
        <f ca="1">IFERROR(__xludf.dummyfunction("""COMPUTED_VALUE"""),5)</f>
        <v>5</v>
      </c>
      <c r="X28" s="16">
        <f ca="1">IFERROR(__xludf.dummyfunction("""COMPUTED_VALUE"""),2)</f>
        <v>2</v>
      </c>
      <c r="Y28" s="16">
        <f ca="1">IFERROR(__xludf.dummyfunction("""COMPUTED_VALUE"""),11)</f>
        <v>11</v>
      </c>
      <c r="Z28" s="16">
        <f ca="1">IFERROR(__xludf.dummyfunction("""COMPUTED_VALUE"""),4)</f>
        <v>4</v>
      </c>
      <c r="AA28" s="30">
        <f ca="1">IFERROR(__xludf.dummyfunction("""COMPUTED_VALUE"""),4)</f>
        <v>4</v>
      </c>
      <c r="AB28" s="30">
        <f ca="1">IFERROR(__xludf.dummyfunction("""COMPUTED_VALUE"""),1)</f>
        <v>1</v>
      </c>
      <c r="AC28" s="30">
        <f ca="1">IFERROR(__xludf.dummyfunction("""COMPUTED_VALUE"""),9)</f>
        <v>9</v>
      </c>
      <c r="AD28" s="16"/>
      <c r="AE28" s="30"/>
      <c r="AF28" s="30"/>
      <c r="AG28" s="30"/>
    </row>
    <row r="29" spans="1:33" ht="26.4">
      <c r="A29" s="25"/>
      <c r="B29" s="25" t="s">
        <v>29</v>
      </c>
      <c r="C29" s="25" t="s">
        <v>310</v>
      </c>
      <c r="D29" s="25">
        <v>8</v>
      </c>
      <c r="E29" s="70" t="s">
        <v>1075</v>
      </c>
      <c r="F29" s="70" t="s">
        <v>1076</v>
      </c>
      <c r="G29" s="64" t="s">
        <v>1078</v>
      </c>
      <c r="H29" s="64" t="str">
        <f ca="1">IFERROR(__xludf.dummyfunction("IFERROR(
  VLOOKUP(G29, IMPORTRANGE(""https://docs.google.com/spreadsheets/d/14deopnvwcrKtEGCKuYXdUHJbeLDZlkiSSWWT0g7x2pM/edit#gid=849066331"", ""LU List Maths (Filter)!A:B""), 2, FALSE),
  IFERROR(
    VLOOKUP(G29, IMPORTRANGE(""https://docs.google.com/s"&amp;"preadsheets/d/14deopnvwcrKtEGCKuYXdUHJbeLDZlkiSSWWT0g7x2pM/edit#gid=849066331"", ""LU List Science (Filter)!A:B""), 2, FALSE),
    ""Not Found""
  )
)
"),"Properties of square numbers ")</f>
        <v xml:space="preserve">Properties of square numbers </v>
      </c>
      <c r="I29" s="64"/>
      <c r="J29" s="100" t="str">
        <f t="shared" si="0"/>
        <v>LU000933.001</v>
      </c>
      <c r="K29" s="100" t="str">
        <f ca="1">IFERROR(__xludf.dummyfunction("VLOOKUP(J29, IMPORTRANGE(""https://docs.google.com/spreadsheets/d/1yDAaXNsi4Mr5FtRQL4tbmSdIzhx6_m4wkOD7IG-k_eo/edit#gid=0"", ""Maths!M:N""), 2, FALSE)"),"State the properties of square numbers.")</f>
        <v>State the properties of square numbers.</v>
      </c>
      <c r="L29" s="100" t="str">
        <f t="shared" si="1"/>
        <v>LU000933.002</v>
      </c>
      <c r="M29" s="100" t="str">
        <f ca="1">IFERROR(__xludf.dummyfunction("VLOOKUP(L29, IMPORTRANGE(""https://docs.google.com/spreadsheets/d/1yDAaXNsi4Mr5FtRQL4tbmSdIzhx6_m4wkOD7IG-k_eo/edit#gid=0"", ""Maths!M:N""), 2, FALSE)"),"Describe the properties of a square number")</f>
        <v>Describe the properties of a square number</v>
      </c>
      <c r="N29" s="100" t="str">
        <f t="shared" si="2"/>
        <v>LU000933.003</v>
      </c>
      <c r="O29" s="100" t="str">
        <f ca="1">IFERROR(__xludf.dummyfunction("VLOOKUP(N29, IMPORTRANGE(""https://docs.google.com/spreadsheets/d/1yDAaXNsi4Mr5FtRQL4tbmSdIzhx6_m4wkOD7IG-k_eo/edit#gid=0"", ""Maths!M:N""), 2, FALSE)"),"Use properties of square numbers to solve mathematical problems")</f>
        <v>Use properties of square numbers to solve mathematical problems</v>
      </c>
      <c r="P29" s="100" t="str">
        <f t="shared" si="3"/>
        <v>LU000933.004</v>
      </c>
      <c r="Q29" s="100" t="str">
        <f ca="1">IFERROR(__xludf.dummyfunction("VLOOKUP(P29, IMPORTRANGE(""https://docs.google.com/spreadsheets/d/1yDAaXNsi4Mr5FtRQL4tbmSdIzhx6_m4wkOD7IG-k_eo/edit#gid=0"", ""Maths!M:N""), 2, FALSE)"),"Analyze the properties of square numbers")</f>
        <v>Analyze the properties of square numbers</v>
      </c>
      <c r="R29" s="100" t="str">
        <f t="shared" si="4"/>
        <v>LU000933.005</v>
      </c>
      <c r="S29" s="100" t="str">
        <f ca="1">IFERROR(__xludf.dummyfunction("VLOOKUP(R29, IMPORTRANGE(""https://docs.google.com/spreadsheets/d/1yDAaXNsi4Mr5FtRQL4tbmSdIzhx6_m4wkOD7IG-k_eo/edit#gid=0"", ""Maths!M:N""), 2, FALSE)"),"Assess the validity of solutions to problems involving the properties of square numbers.")</f>
        <v>Assess the validity of solutions to problems involving the properties of square numbers.</v>
      </c>
      <c r="T29" s="100" t="str">
        <f t="shared" si="5"/>
        <v>LU000933.006</v>
      </c>
      <c r="U29" s="100" t="str">
        <f ca="1">IFERROR(__xludf.dummyfunction("VLOOKUP(T29, IMPORTRANGE(""https://docs.google.com/spreadsheets/d/1yDAaXNsi4Mr5FtRQL4tbmSdIzhx6_m4wkOD7IG-k_eo/edit#gid=0"", ""Maths!M:N""), 2, FALSE)"),"#N/A")</f>
        <v>#N/A</v>
      </c>
      <c r="V29" s="16">
        <f ca="1">IFERROR(__xludf.dummyfunction("ArrayFormula(VLOOKUP(G29, IMPORTRANGE(""https://docs.google.com/spreadsheets/d/1p7R4vtkWt5VOBim4ltsDG9KTzSjrtKXsMtQGXPHyND0/edit#gid=795171502"", ""'Filter 30_05_2024'!A1:M2000""), {2, 3, 4, 5,6,7,8,9,10,11,12,13}, 0))"),4)</f>
        <v>4</v>
      </c>
      <c r="W29" s="16">
        <f ca="1">IFERROR(__xludf.dummyfunction("""COMPUTED_VALUE"""),6)</f>
        <v>6</v>
      </c>
      <c r="X29" s="16">
        <f ca="1">IFERROR(__xludf.dummyfunction("""COMPUTED_VALUE"""),2)</f>
        <v>2</v>
      </c>
      <c r="Y29" s="16">
        <f ca="1">IFERROR(__xludf.dummyfunction("""COMPUTED_VALUE"""),12)</f>
        <v>12</v>
      </c>
      <c r="Z29" s="16">
        <f ca="1">IFERROR(__xludf.dummyfunction("""COMPUTED_VALUE"""),4)</f>
        <v>4</v>
      </c>
      <c r="AA29" s="30">
        <f ca="1">IFERROR(__xludf.dummyfunction("""COMPUTED_VALUE"""),3)</f>
        <v>3</v>
      </c>
      <c r="AB29" s="30">
        <f ca="1">IFERROR(__xludf.dummyfunction("""COMPUTED_VALUE"""),1)</f>
        <v>1</v>
      </c>
      <c r="AC29" s="30">
        <f ca="1">IFERROR(__xludf.dummyfunction("""COMPUTED_VALUE"""),8)</f>
        <v>8</v>
      </c>
      <c r="AD29" s="16"/>
      <c r="AE29" s="30"/>
      <c r="AF29" s="30"/>
      <c r="AG29" s="30"/>
    </row>
    <row r="30" spans="1:33" ht="26.4">
      <c r="A30" s="25"/>
      <c r="B30" s="25" t="s">
        <v>29</v>
      </c>
      <c r="C30" s="25" t="s">
        <v>310</v>
      </c>
      <c r="D30" s="25">
        <v>8</v>
      </c>
      <c r="E30" s="70" t="s">
        <v>1075</v>
      </c>
      <c r="F30" s="70" t="s">
        <v>1079</v>
      </c>
      <c r="G30" s="64" t="s">
        <v>1080</v>
      </c>
      <c r="H30" s="64" t="str">
        <f ca="1">IFERROR(__xludf.dummyfunction("IFERROR(
  VLOOKUP(G30, IMPORTRANGE(""https://docs.google.com/spreadsheets/d/14deopnvwcrKtEGCKuYXdUHJbeLDZlkiSSWWT0g7x2pM/edit#gid=849066331"", ""LU List Maths (Filter)!A:B""), 2, FALSE),
  IFERROR(
    VLOOKUP(G30, IMPORTRANGE(""https://docs.google.com/s"&amp;"preadsheets/d/14deopnvwcrKtEGCKuYXdUHJbeLDZlkiSSWWT0g7x2pM/edit#gid=849066331"", ""LU List Science (Filter)!A:B""), 2, FALSE),
    ""Not Found""
  )
)
"),"Difference between two consecutive square numbers")</f>
        <v>Difference between two consecutive square numbers</v>
      </c>
      <c r="I30" s="64"/>
      <c r="J30" s="100" t="str">
        <f t="shared" si="0"/>
        <v>LU000915.001</v>
      </c>
      <c r="K30" s="100" t="str">
        <f ca="1">IFERROR(__xludf.dummyfunction("VLOOKUP(J30, IMPORTRANGE(""https://docs.google.com/spreadsheets/d/1yDAaXNsi4Mr5FtRQL4tbmSdIzhx6_m4wkOD7IG-k_eo/edit#gid=0"", ""Maths!M:N""), 2, FALSE)"),"State the pattern in the difference between squares of consecutive numbers")</f>
        <v>State the pattern in the difference between squares of consecutive numbers</v>
      </c>
      <c r="L30" s="100" t="str">
        <f t="shared" si="1"/>
        <v>LU000915.002</v>
      </c>
      <c r="M30" s="100" t="str">
        <f ca="1">IFERROR(__xludf.dummyfunction("VLOOKUP(L30, IMPORTRANGE(""https://docs.google.com/spreadsheets/d/1yDAaXNsi4Mr5FtRQL4tbmSdIzhx6_m4wkOD7IG-k_eo/edit#gid=0"", ""Maths!M:N""), 2, FALSE)"),"Explain why the difference between two consecutive square numbers follows a particular pattern")</f>
        <v>Explain why the difference between two consecutive square numbers follows a particular pattern</v>
      </c>
      <c r="N30" s="100" t="str">
        <f t="shared" si="2"/>
        <v>LU000915.003</v>
      </c>
      <c r="O30" s="100" t="str">
        <f ca="1">IFERROR(__xludf.dummyfunction("VLOOKUP(N30, IMPORTRANGE(""https://docs.google.com/spreadsheets/d/1yDAaXNsi4Mr5FtRQL4tbmSdIzhx6_m4wkOD7IG-k_eo/edit#gid=0"", ""Maths!M:N""), 2, FALSE)"),"Apply the knowledge of finding the difference between two consecutive square numbers to calculate the difference between squares of consecutive numbers in various problems")</f>
        <v>Apply the knowledge of finding the difference between two consecutive square numbers to calculate the difference between squares of consecutive numbers in various problems</v>
      </c>
      <c r="P30" s="100" t="str">
        <f t="shared" si="3"/>
        <v>LU000915.004</v>
      </c>
      <c r="Q30" s="100" t="str">
        <f ca="1">IFERROR(__xludf.dummyfunction("VLOOKUP(P30, IMPORTRANGE(""https://docs.google.com/spreadsheets/d/1yDAaXNsi4Mr5FtRQL4tbmSdIzhx6_m4wkOD7IG-k_eo/edit#gid=0"", ""Maths!M:N""), 2, FALSE)"),"Analyze the pattern of finding difference between two consecutive square numbers in different contexts")</f>
        <v>Analyze the pattern of finding difference between two consecutive square numbers in different contexts</v>
      </c>
      <c r="R30" s="100" t="str">
        <f t="shared" si="4"/>
        <v>LU000915.005</v>
      </c>
      <c r="S30" s="100" t="str">
        <f ca="1">IFERROR(__xludf.dummyfunction("VLOOKUP(R30, IMPORTRANGE(""https://docs.google.com/spreadsheets/d/1yDAaXNsi4Mr5FtRQL4tbmSdIzhx6_m4wkOD7IG-k_eo/edit#gid=0"", ""Maths!M:N""), 2, FALSE)"),"Evaluate the application of the concept of finding the difference between two consecutive square numbers in solving problems")</f>
        <v>Evaluate the application of the concept of finding the difference between two consecutive square numbers in solving problems</v>
      </c>
      <c r="T30" s="100" t="str">
        <f t="shared" si="5"/>
        <v>LU000915.006</v>
      </c>
      <c r="U30" s="100" t="str">
        <f ca="1">IFERROR(__xludf.dummyfunction("VLOOKUP(T30, IMPORTRANGE(""https://docs.google.com/spreadsheets/d/1yDAaXNsi4Mr5FtRQL4tbmSdIzhx6_m4wkOD7IG-k_eo/edit#gid=0"", ""Maths!M:N""), 2, FALSE)"),"Create new problems that involve the difference between consecutive square numbers")</f>
        <v>Create new problems that involve the difference between consecutive square numbers</v>
      </c>
      <c r="V30" s="16">
        <f ca="1">IFERROR(__xludf.dummyfunction("ArrayFormula(VLOOKUP(G30, IMPORTRANGE(""https://docs.google.com/spreadsheets/d/1p7R4vtkWt5VOBim4ltsDG9KTzSjrtKXsMtQGXPHyND0/edit#gid=795171502"", ""'Filter 30_05_2024'!A1:M2000""), {2, 3, 4, 5,6,7,8,9,10,11,12,13}, 0))"),4)</f>
        <v>4</v>
      </c>
      <c r="W30" s="16">
        <f ca="1">IFERROR(__xludf.dummyfunction("""COMPUTED_VALUE"""),6)</f>
        <v>6</v>
      </c>
      <c r="X30" s="16">
        <f ca="1">IFERROR(__xludf.dummyfunction("""COMPUTED_VALUE"""),2)</f>
        <v>2</v>
      </c>
      <c r="Y30" s="16">
        <f ca="1">IFERROR(__xludf.dummyfunction("""COMPUTED_VALUE"""),12)</f>
        <v>12</v>
      </c>
      <c r="Z30" s="16">
        <f ca="1">IFERROR(__xludf.dummyfunction("""COMPUTED_VALUE"""),4)</f>
        <v>4</v>
      </c>
      <c r="AA30" s="30">
        <f ca="1">IFERROR(__xludf.dummyfunction("""COMPUTED_VALUE"""),3)</f>
        <v>3</v>
      </c>
      <c r="AB30" s="30">
        <f ca="1">IFERROR(__xludf.dummyfunction("""COMPUTED_VALUE"""),1)</f>
        <v>1</v>
      </c>
      <c r="AC30" s="30">
        <f ca="1">IFERROR(__xludf.dummyfunction("""COMPUTED_VALUE"""),8)</f>
        <v>8</v>
      </c>
      <c r="AD30" s="16"/>
      <c r="AE30" s="30"/>
      <c r="AF30" s="30"/>
      <c r="AG30" s="30"/>
    </row>
    <row r="31" spans="1:33" ht="26.4">
      <c r="A31" s="25"/>
      <c r="B31" s="25" t="s">
        <v>29</v>
      </c>
      <c r="C31" s="25" t="s">
        <v>310</v>
      </c>
      <c r="D31" s="25">
        <v>8</v>
      </c>
      <c r="E31" s="70" t="s">
        <v>1075</v>
      </c>
      <c r="F31" s="70" t="s">
        <v>1079</v>
      </c>
      <c r="G31" s="64" t="s">
        <v>1081</v>
      </c>
      <c r="H31" s="64" t="str">
        <f ca="1">IFERROR(__xludf.dummyfunction("IFERROR(
  VLOOKUP(G31, IMPORTRANGE(""https://docs.google.com/spreadsheets/d/14deopnvwcrKtEGCKuYXdUHJbeLDZlkiSSWWT0g7x2pM/edit#gid=849066331"", ""LU List Maths (Filter)!A:B""), 2, FALSE),
  IFERROR(
    VLOOKUP(G31, IMPORTRANGE(""https://docs.google.com/s"&amp;"preadsheets/d/14deopnvwcrKtEGCKuYXdUHJbeLDZlkiSSWWT0g7x2pM/edit#gid=849066331"", ""LU List Science (Filter)!A:B""), 2, FALSE),
    ""Not Found""
  )
)
"),"Addition of first n odd numbers result to square number n^2")</f>
        <v>Addition of first n odd numbers result to square number n^2</v>
      </c>
      <c r="I31" s="64"/>
      <c r="J31" s="100" t="str">
        <f t="shared" si="0"/>
        <v>LU000640.001</v>
      </c>
      <c r="K31" s="100" t="str">
        <f ca="1">IFERROR(__xludf.dummyfunction("VLOOKUP(J31, IMPORTRANGE(""https://docs.google.com/spreadsheets/d/1yDAaXNsi4Mr5FtRQL4tbmSdIzhx6_m4wkOD7IG-k_eo/edit#gid=0"", ""Maths!M:N""), 2, FALSE)"),"State the formula for the sum of the first n odd numbers.")</f>
        <v>State the formula for the sum of the first n odd numbers.</v>
      </c>
      <c r="L31" s="100" t="str">
        <f t="shared" si="1"/>
        <v>LU000640.002</v>
      </c>
      <c r="M31" s="100" t="str">
        <f ca="1">IFERROR(__xludf.dummyfunction("VLOOKUP(L31, IMPORTRANGE(""https://docs.google.com/spreadsheets/d/1yDAaXNsi4Mr5FtRQL4tbmSdIzhx6_m4wkOD7IG-k_eo/edit#gid=0"", ""Maths!M:N""), 2, FALSE)"),"Describe why the sum of the first n odd numbers always results in a square number.")</f>
        <v>Describe why the sum of the first n odd numbers always results in a square number.</v>
      </c>
      <c r="N31" s="100" t="str">
        <f t="shared" si="2"/>
        <v>LU000640.003</v>
      </c>
      <c r="O31" s="100" t="str">
        <f ca="1">IFERROR(__xludf.dummyfunction("VLOOKUP(N31, IMPORTRANGE(""https://docs.google.com/spreadsheets/d/1yDAaXNsi4Mr5FtRQL4tbmSdIzhx6_m4wkOD7IG-k_eo/edit#gid=0"", ""Maths!M:N""), 2, FALSE)"),"Utilise the formula for the sum of the first n odd numbers to find specific examples of square numbers.")</f>
        <v>Utilise the formula for the sum of the first n odd numbers to find specific examples of square numbers.</v>
      </c>
      <c r="P31" s="100" t="str">
        <f t="shared" si="3"/>
        <v>LU000640.004</v>
      </c>
      <c r="Q31" s="100" t="str">
        <f ca="1">IFERROR(__xludf.dummyfunction("VLOOKUP(P31, IMPORTRANGE(""https://docs.google.com/spreadsheets/d/1yDAaXNsi4Mr5FtRQL4tbmSdIzhx6_m4wkOD7IG-k_eo/edit#gid=0"", ""Maths!M:N""), 2, FALSE)"),"Analyse patterns in the sums of the first n odd numbers to understand their relationship with square numbers.")</f>
        <v>Analyse patterns in the sums of the first n odd numbers to understand their relationship with square numbers.</v>
      </c>
      <c r="R31" s="100" t="str">
        <f t="shared" si="4"/>
        <v>LU000640.005</v>
      </c>
      <c r="S31" s="100" t="str">
        <f ca="1">IFERROR(__xludf.dummyfunction("VLOOKUP(R31, IMPORTRANGE(""https://docs.google.com/spreadsheets/d/1yDAaXNsi4Mr5FtRQL4tbmSdIzhx6_m4wkOD7IG-k_eo/edit#gid=0"", ""Maths!M:N""), 2, FALSE)"),"Assess the validity of the statement that the sum of the first n odd numbers is always a square number.")</f>
        <v>Assess the validity of the statement that the sum of the first n odd numbers is always a square number.</v>
      </c>
      <c r="T31" s="100" t="str">
        <f t="shared" si="5"/>
        <v>LU000640.006</v>
      </c>
      <c r="U31" s="100" t="str">
        <f ca="1">IFERROR(__xludf.dummyfunction("VLOOKUP(T31, IMPORTRANGE(""https://docs.google.com/spreadsheets/d/1yDAaXNsi4Mr5FtRQL4tbmSdIzhx6_m4wkOD7IG-k_eo/edit#gid=0"", ""Maths!M:N""), 2, FALSE)"),"#N/A")</f>
        <v>#N/A</v>
      </c>
      <c r="V31" s="16">
        <f ca="1">IFERROR(__xludf.dummyfunction("ArrayFormula(VLOOKUP(G31, IMPORTRANGE(""https://docs.google.com/spreadsheets/d/1p7R4vtkWt5VOBim4ltsDG9KTzSjrtKXsMtQGXPHyND0/edit#gid=795171502"", ""'Filter 30_05_2024'!A1:M2000""), {2, 3, 4, 5,6,7,8,9,10,11,12,13}, 0))"),4)</f>
        <v>4</v>
      </c>
      <c r="W31" s="16">
        <f ca="1">IFERROR(__xludf.dummyfunction("""COMPUTED_VALUE"""),6)</f>
        <v>6</v>
      </c>
      <c r="X31" s="16">
        <f ca="1">IFERROR(__xludf.dummyfunction("""COMPUTED_VALUE"""),2)</f>
        <v>2</v>
      </c>
      <c r="Y31" s="16">
        <f ca="1">IFERROR(__xludf.dummyfunction("""COMPUTED_VALUE"""),12)</f>
        <v>12</v>
      </c>
      <c r="Z31" s="16">
        <f ca="1">IFERROR(__xludf.dummyfunction("""COMPUTED_VALUE"""),4)</f>
        <v>4</v>
      </c>
      <c r="AA31" s="30">
        <f ca="1">IFERROR(__xludf.dummyfunction("""COMPUTED_VALUE"""),3)</f>
        <v>3</v>
      </c>
      <c r="AB31" s="30">
        <f ca="1">IFERROR(__xludf.dummyfunction("""COMPUTED_VALUE"""),1)</f>
        <v>1</v>
      </c>
      <c r="AC31" s="30">
        <f ca="1">IFERROR(__xludf.dummyfunction("""COMPUTED_VALUE"""),8)</f>
        <v>8</v>
      </c>
      <c r="AD31" s="16"/>
      <c r="AE31" s="30"/>
      <c r="AF31" s="30"/>
      <c r="AG31" s="30"/>
    </row>
    <row r="32" spans="1:33" ht="26.4">
      <c r="A32" s="25"/>
      <c r="B32" s="25" t="s">
        <v>29</v>
      </c>
      <c r="C32" s="25" t="s">
        <v>310</v>
      </c>
      <c r="D32" s="25">
        <v>8</v>
      </c>
      <c r="E32" s="70" t="s">
        <v>1075</v>
      </c>
      <c r="F32" s="70" t="s">
        <v>1079</v>
      </c>
      <c r="G32" s="64" t="s">
        <v>1082</v>
      </c>
      <c r="H32" s="64" t="str">
        <f ca="1">IFERROR(__xludf.dummyfunction("IFERROR(
  VLOOKUP(G32, IMPORTRANGE(""https://docs.google.com/spreadsheets/d/14deopnvwcrKtEGCKuYXdUHJbeLDZlkiSSWWT0g7x2pM/edit#gid=849066331"", ""LU List Maths (Filter)!A:B""), 2, FALSE),
  IFERROR(
    VLOOKUP(G32, IMPORTRANGE(""https://docs.google.com/s"&amp;"preadsheets/d/14deopnvwcrKtEGCKuYXdUHJbeLDZlkiSSWWT0g7x2pM/edit#gid=849066331"", ""LU List Science (Filter)!A:B""), 2, FALSE),
    ""Not Found""
  )
)
"),"Patterns in square numbers with certain digit at place value(s)")</f>
        <v>Patterns in square numbers with certain digit at place value(s)</v>
      </c>
      <c r="I32" s="64"/>
      <c r="J32" s="100" t="str">
        <f t="shared" si="0"/>
        <v>LU000643.001</v>
      </c>
      <c r="K32" s="100" t="str">
        <f ca="1">IFERROR(__xludf.dummyfunction("VLOOKUP(J32, IMPORTRANGE(""https://docs.google.com/spreadsheets/d/1yDAaXNsi4Mr5FtRQL4tbmSdIzhx6_m4wkOD7IG-k_eo/edit#gid=0"", ""Maths!M:N""), 2, FALSE)"),"Recall specific square numbers with designated digits at particular place values.")</f>
        <v>Recall specific square numbers with designated digits at particular place values.</v>
      </c>
      <c r="L32" s="100" t="str">
        <f t="shared" si="1"/>
        <v>LU000643.002</v>
      </c>
      <c r="M32" s="100" t="str">
        <f ca="1">IFERROR(__xludf.dummyfunction("VLOOKUP(L32, IMPORTRANGE(""https://docs.google.com/spreadsheets/d/1yDAaXNsi4Mr5FtRQL4tbmSdIzhx6_m4wkOD7IG-k_eo/edit#gid=0"", ""Maths!M:N""), 2, FALSE)"),"Explain how certain digits at specific place values influence the pattern in square numbers.")</f>
        <v>Explain how certain digits at specific place values influence the pattern in square numbers.</v>
      </c>
      <c r="N32" s="100" t="str">
        <f t="shared" si="2"/>
        <v>LU000643.003</v>
      </c>
      <c r="O32" s="100" t="str">
        <f ca="1">IFERROR(__xludf.dummyfunction("VLOOKUP(N32, IMPORTRANGE(""https://docs.google.com/spreadsheets/d/1yDAaXNsi4Mr5FtRQL4tbmSdIzhx6_m4wkOD7IG-k_eo/edit#gid=0"", ""Maths!M:N""), 2, FALSE)"),"Apply knowledge of the pattern to identify square numbers with given digits at designated place values.")</f>
        <v>Apply knowledge of the pattern to identify square numbers with given digits at designated place values.</v>
      </c>
      <c r="P32" s="100" t="str">
        <f t="shared" si="3"/>
        <v>LU000643.004</v>
      </c>
      <c r="Q32" s="100" t="str">
        <f ca="1">IFERROR(__xludf.dummyfunction("VLOOKUP(P32, IMPORTRANGE(""https://docs.google.com/spreadsheets/d/1yDAaXNsi4Mr5FtRQL4tbmSdIzhx6_m4wkOD7IG-k_eo/edit#gid=0"", ""Maths!M:N""), 2, FALSE)"),"Analyse the patterns in square numbers with designated digits at place values to recognize any commonalities or rules.")</f>
        <v>Analyse the patterns in square numbers with designated digits at place values to recognize any commonalities or rules.</v>
      </c>
      <c r="R32" s="100" t="str">
        <f t="shared" si="4"/>
        <v>LU000643.005</v>
      </c>
      <c r="S32" s="100" t="str">
        <f ca="1">IFERROR(__xludf.dummyfunction("VLOOKUP(R32, IMPORTRANGE(""https://docs.google.com/spreadsheets/d/1yDAaXNsi4Mr5FtRQL4tbmSdIzhx6_m4wkOD7IG-k_eo/edit#gid=0"", ""Maths!M:N""), 2, FALSE)"),"Evaluate the validity of patterns in square numbers with specific digits at place values, considering different scenarios.")</f>
        <v>Evaluate the validity of patterns in square numbers with specific digits at place values, considering different scenarios.</v>
      </c>
      <c r="T32" s="100" t="str">
        <f t="shared" si="5"/>
        <v>LU000643.006</v>
      </c>
      <c r="U32" s="100" t="str">
        <f ca="1">IFERROR(__xludf.dummyfunction("VLOOKUP(T32, IMPORTRANGE(""https://docs.google.com/spreadsheets/d/1yDAaXNsi4Mr5FtRQL4tbmSdIzhx6_m4wkOD7IG-k_eo/edit#gid=0"", ""Maths!M:N""), 2, FALSE)"),"#N/A")</f>
        <v>#N/A</v>
      </c>
      <c r="V32" s="16">
        <f ca="1">IFERROR(__xludf.dummyfunction("ArrayFormula(VLOOKUP(G32, IMPORTRANGE(""https://docs.google.com/spreadsheets/d/1p7R4vtkWt5VOBim4ltsDG9KTzSjrtKXsMtQGXPHyND0/edit#gid=795171502"", ""'Filter 30_05_2024'!A1:M2000""), {2, 3, 4, 5,6,7,8,9,10,11,12,13}, 0))"),4)</f>
        <v>4</v>
      </c>
      <c r="W32" s="16">
        <f ca="1">IFERROR(__xludf.dummyfunction("""COMPUTED_VALUE"""),6)</f>
        <v>6</v>
      </c>
      <c r="X32" s="16">
        <f ca="1">IFERROR(__xludf.dummyfunction("""COMPUTED_VALUE"""),2)</f>
        <v>2</v>
      </c>
      <c r="Y32" s="16">
        <f ca="1">IFERROR(__xludf.dummyfunction("""COMPUTED_VALUE"""),12)</f>
        <v>12</v>
      </c>
      <c r="Z32" s="16">
        <f ca="1">IFERROR(__xludf.dummyfunction("""COMPUTED_VALUE"""),4)</f>
        <v>4</v>
      </c>
      <c r="AA32" s="30">
        <f ca="1">IFERROR(__xludf.dummyfunction("""COMPUTED_VALUE"""),3)</f>
        <v>3</v>
      </c>
      <c r="AB32" s="30">
        <f ca="1">IFERROR(__xludf.dummyfunction("""COMPUTED_VALUE"""),1)</f>
        <v>1</v>
      </c>
      <c r="AC32" s="30">
        <f ca="1">IFERROR(__xludf.dummyfunction("""COMPUTED_VALUE"""),8)</f>
        <v>8</v>
      </c>
      <c r="AD32" s="16"/>
      <c r="AE32" s="30"/>
      <c r="AF32" s="30"/>
      <c r="AG32" s="30"/>
    </row>
    <row r="33" spans="1:33" ht="26.4">
      <c r="A33" s="43"/>
      <c r="B33" s="43" t="s">
        <v>29</v>
      </c>
      <c r="C33" s="43" t="s">
        <v>310</v>
      </c>
      <c r="D33" s="43">
        <v>8</v>
      </c>
      <c r="E33" s="74" t="s">
        <v>1075</v>
      </c>
      <c r="F33" s="70" t="s">
        <v>1079</v>
      </c>
      <c r="G33" s="73" t="s">
        <v>989</v>
      </c>
      <c r="H33" s="73" t="str">
        <f ca="1">IFERROR(__xludf.dummyfunction("IFERROR(
  VLOOKUP(G33, IMPORTRANGE(""https://docs.google.com/spreadsheets/d/14deopnvwcrKtEGCKuYXdUHJbeLDZlkiSSWWT0g7x2pM/edit#gid=849066331"", ""LU List Maths (Filter)!A:B""), 2, FALSE),
  IFERROR(
    VLOOKUP(G33, IMPORTRANGE(""https://docs.google.com/s"&amp;"preadsheets/d/14deopnvwcrKtEGCKuYXdUHJbeLDZlkiSSWWT0g7x2pM/edit#gid=849066331"", ""LU List Science (Filter)!A:B""), 2, FALSE),
    ""Not Found""
  )
)
"),"Pythagorean triplets")</f>
        <v>Pythagorean triplets</v>
      </c>
      <c r="I33" s="73"/>
      <c r="J33" s="100" t="str">
        <f t="shared" si="0"/>
        <v>LU000432.001</v>
      </c>
      <c r="K33" s="100" t="str">
        <f ca="1">IFERROR(__xludf.dummyfunction("VLOOKUP(J33, IMPORTRANGE(""https://docs.google.com/spreadsheets/d/1yDAaXNsi4Mr5FtRQL4tbmSdIzhx6_m4wkOD7IG-k_eo/edit#gid=0"", ""Maths!M:N""), 2, FALSE)"),"Recall the definition of Pythagorean triplets.")</f>
        <v>Recall the definition of Pythagorean triplets.</v>
      </c>
      <c r="L33" s="100" t="str">
        <f t="shared" si="1"/>
        <v>LU000432.002</v>
      </c>
      <c r="M33" s="100" t="str">
        <f ca="1">IFERROR(__xludf.dummyfunction("VLOOKUP(L33, IMPORTRANGE(""https://docs.google.com/spreadsheets/d/1yDAaXNsi4Mr5FtRQL4tbmSdIzhx6_m4wkOD7IG-k_eo/edit#gid=0"", ""Maths!M:N""), 2, FALSE)"),"Explain the relationship between the sides of a right triangle in a Pythagorean triplet.")</f>
        <v>Explain the relationship between the sides of a right triangle in a Pythagorean triplet.</v>
      </c>
      <c r="N33" s="100" t="str">
        <f t="shared" si="2"/>
        <v>LU000432.003</v>
      </c>
      <c r="O33" s="100" t="str">
        <f ca="1">IFERROR(__xludf.dummyfunction("VLOOKUP(N33, IMPORTRANGE(""https://docs.google.com/spreadsheets/d/1yDAaXNsi4Mr5FtRQL4tbmSdIzhx6_m4wkOD7IG-k_eo/edit#gid=0"", ""Maths!M:N""), 2, FALSE)"),"Apply knowledge to identify Pythagorean triplets and verify their validity.")</f>
        <v>Apply knowledge to identify Pythagorean triplets and verify their validity.</v>
      </c>
      <c r="P33" s="100" t="str">
        <f t="shared" si="3"/>
        <v>LU000432.004</v>
      </c>
      <c r="Q33" s="100" t="str">
        <f ca="1">IFERROR(__xludf.dummyfunction("VLOOKUP(P33, IMPORTRANGE(""https://docs.google.com/spreadsheets/d/1yDAaXNsi4Mr5FtRQL4tbmSdIzhx6_m4wkOD7IG-k_eo/edit#gid=0"", ""Maths!M:N""), 2, FALSE)"),"Analyse the characteristics of different Pythagorean triplets and their implications for triangle sides.")</f>
        <v>Analyse the characteristics of different Pythagorean triplets and their implications for triangle sides.</v>
      </c>
      <c r="R33" s="100" t="str">
        <f t="shared" si="4"/>
        <v>LU000432.005</v>
      </c>
      <c r="S33" s="100" t="str">
        <f ca="1">IFERROR(__xludf.dummyfunction("VLOOKUP(R33, IMPORTRANGE(""https://docs.google.com/spreadsheets/d/1yDAaXNsi4Mr5FtRQL4tbmSdIzhx6_m4wkOD7IG-k_eo/edit#gid=0"", ""Maths!M:N""), 2, FALSE)"),"Evaluate whether a given set of numbers forms a Pythagorean triplet.")</f>
        <v>Evaluate whether a given set of numbers forms a Pythagorean triplet.</v>
      </c>
      <c r="T33" s="100" t="str">
        <f t="shared" si="5"/>
        <v>LU000432.006</v>
      </c>
      <c r="U33" s="100" t="str">
        <f ca="1">IFERROR(__xludf.dummyfunction("VLOOKUP(T33, IMPORTRANGE(""https://docs.google.com/spreadsheets/d/1yDAaXNsi4Mr5FtRQL4tbmSdIzhx6_m4wkOD7IG-k_eo/edit#gid=0"", ""Maths!M:N""), 2, FALSE)"),"Create a list of Pythagorean triplets, showcasing their unique properties and relationships.")</f>
        <v>Create a list of Pythagorean triplets, showcasing their unique properties and relationships.</v>
      </c>
      <c r="V33" s="16">
        <f ca="1">IFERROR(__xludf.dummyfunction("ArrayFormula(VLOOKUP(G33, IMPORTRANGE(""https://docs.google.com/spreadsheets/d/1p7R4vtkWt5VOBim4ltsDG9KTzSjrtKXsMtQGXPHyND0/edit#gid=795171502"", ""'Filter 30_05_2024'!A1:M2000""), {2, 3, 4, 5,6,7,8,9,10,11,12,13}, 0))"),4)</f>
        <v>4</v>
      </c>
      <c r="W33" s="16">
        <f ca="1">IFERROR(__xludf.dummyfunction("""COMPUTED_VALUE"""),6)</f>
        <v>6</v>
      </c>
      <c r="X33" s="16">
        <f ca="1">IFERROR(__xludf.dummyfunction("""COMPUTED_VALUE"""),2)</f>
        <v>2</v>
      </c>
      <c r="Y33" s="16">
        <f ca="1">IFERROR(__xludf.dummyfunction("""COMPUTED_VALUE"""),12)</f>
        <v>12</v>
      </c>
      <c r="Z33" s="16">
        <f ca="1">IFERROR(__xludf.dummyfunction("""COMPUTED_VALUE"""),4)</f>
        <v>4</v>
      </c>
      <c r="AA33" s="30">
        <f ca="1">IFERROR(__xludf.dummyfunction("""COMPUTED_VALUE"""),3)</f>
        <v>3</v>
      </c>
      <c r="AB33" s="30">
        <f ca="1">IFERROR(__xludf.dummyfunction("""COMPUTED_VALUE"""),1)</f>
        <v>1</v>
      </c>
      <c r="AC33" s="30">
        <f ca="1">IFERROR(__xludf.dummyfunction("""COMPUTED_VALUE"""),8)</f>
        <v>8</v>
      </c>
      <c r="AD33" s="16"/>
      <c r="AE33" s="30"/>
      <c r="AF33" s="30"/>
      <c r="AG33" s="30"/>
    </row>
    <row r="34" spans="1:33" ht="26.4">
      <c r="A34" s="25"/>
      <c r="B34" s="25" t="s">
        <v>29</v>
      </c>
      <c r="C34" s="25" t="s">
        <v>310</v>
      </c>
      <c r="D34" s="25">
        <v>8</v>
      </c>
      <c r="E34" s="70" t="s">
        <v>1075</v>
      </c>
      <c r="F34" s="70" t="s">
        <v>1083</v>
      </c>
      <c r="G34" s="64" t="s">
        <v>1084</v>
      </c>
      <c r="H34" s="64" t="str">
        <f ca="1">IFERROR(__xludf.dummyfunction("IFERROR(
  VLOOKUP(G34, IMPORTRANGE(""https://docs.google.com/spreadsheets/d/14deopnvwcrKtEGCKuYXdUHJbeLDZlkiSSWWT0g7x2pM/edit#gid=849066331"", ""LU List Maths (Filter)!A:B""), 2, FALSE),
  IFERROR(
    VLOOKUP(G34, IMPORTRANGE(""https://docs.google.com/s"&amp;"preadsheets/d/14deopnvwcrKtEGCKuYXdUHJbeLDZlkiSSWWT0g7x2pM/edit#gid=849066331"", ""LU List Science (Filter)!A:B""), 2, FALSE),
    ""Not Found""
  )
)
"),"Definition of square root")</f>
        <v>Definition of square root</v>
      </c>
      <c r="I34" s="64"/>
      <c r="J34" s="100" t="str">
        <f t="shared" ref="J34:J65" si="6">G34 &amp; ".001"</f>
        <v>LU000647.001</v>
      </c>
      <c r="K34" s="100" t="str">
        <f ca="1">IFERROR(__xludf.dummyfunction("VLOOKUP(J34, IMPORTRANGE(""https://docs.google.com/spreadsheets/d/1yDAaXNsi4Mr5FtRQL4tbmSdIzhx6_m4wkOD7IG-k_eo/edit#gid=0"", ""Maths!M:N""), 2, FALSE)"),"State the definition of a square root.")</f>
        <v>State the definition of a square root.</v>
      </c>
      <c r="L34" s="100" t="str">
        <f t="shared" ref="L34:L65" si="7">G34 &amp; ".002"</f>
        <v>LU000647.002</v>
      </c>
      <c r="M34" s="100" t="str">
        <f ca="1">IFERROR(__xludf.dummyfunction("VLOOKUP(L34, IMPORTRANGE(""https://docs.google.com/spreadsheets/d/1yDAaXNsi4Mr5FtRQL4tbmSdIzhx6_m4wkOD7IG-k_eo/edit#gid=0"", ""Maths!M:N""), 2, FALSE)"),"Explain the concept of a square root and its relationship with squaring a number.")</f>
        <v>Explain the concept of a square root and its relationship with squaring a number.</v>
      </c>
      <c r="N34" s="100" t="str">
        <f t="shared" ref="N34:N65" si="8">G34 &amp; ".003"</f>
        <v>LU000647.003</v>
      </c>
      <c r="O34" s="100" t="str">
        <f ca="1">IFERROR(__xludf.dummyfunction("VLOOKUP(N34, IMPORTRANGE(""https://docs.google.com/spreadsheets/d/1yDAaXNsi4Mr5FtRQL4tbmSdIzhx6_m4wkOD7IG-k_eo/edit#gid=0"", ""Maths!M:N""), 2, FALSE)"),"Apply the convention that the square root symbol (√) generally refers to the positive square root.")</f>
        <v>Apply the convention that the square root symbol (√) generally refers to the positive square root.</v>
      </c>
      <c r="P34" s="100" t="str">
        <f t="shared" ref="P34:P65" si="9">G34 &amp; ".004"</f>
        <v>LU000647.004</v>
      </c>
      <c r="Q34" s="100" t="str">
        <f ca="1">IFERROR(__xludf.dummyfunction("VLOOKUP(P34, IMPORTRANGE(""https://docs.google.com/spreadsheets/d/1yDAaXNsi4Mr5FtRQL4tbmSdIzhx6_m4wkOD7IG-k_eo/edit#gid=0"", ""Maths!M:N""), 2, FALSE)"),"Analyse the properties and characteristics of square roots and explain why they are important in mathematics.")</f>
        <v>Analyse the properties and characteristics of square roots and explain why they are important in mathematics.</v>
      </c>
      <c r="R34" s="100" t="str">
        <f t="shared" ref="R34:R65" si="10">G34 &amp; ".005"</f>
        <v>LU000647.005</v>
      </c>
      <c r="S34" s="100" t="str">
        <f ca="1">IFERROR(__xludf.dummyfunction("VLOOKUP(R34, IMPORTRANGE(""https://docs.google.com/spreadsheets/d/1yDAaXNsi4Mr5FtRQL4tbmSdIzhx6_m4wkOD7IG-k_eo/edit#gid=0"", ""Maths!M:N""), 2, FALSE)"),"Evaluate the significance of square roots in practical scenarios, such as in measuring distances or calculating areas.")</f>
        <v>Evaluate the significance of square roots in practical scenarios, such as in measuring distances or calculating areas.</v>
      </c>
      <c r="T34" s="100" t="str">
        <f t="shared" ref="T34:T65" si="11">G34 &amp; ".006"</f>
        <v>LU000647.006</v>
      </c>
      <c r="U34" s="100" t="str">
        <f ca="1">IFERROR(__xludf.dummyfunction("VLOOKUP(T34, IMPORTRANGE(""https://docs.google.com/spreadsheets/d/1yDAaXNsi4Mr5FtRQL4tbmSdIzhx6_m4wkOD7IG-k_eo/edit#gid=0"", ""Maths!M:N""), 2, FALSE)"),"Create examples that demonstrate the concept of square roots in various contexts.")</f>
        <v>Create examples that demonstrate the concept of square roots in various contexts.</v>
      </c>
      <c r="V34" s="16">
        <f ca="1">IFERROR(__xludf.dummyfunction("ArrayFormula(VLOOKUP(G34, IMPORTRANGE(""https://docs.google.com/spreadsheets/d/1p7R4vtkWt5VOBim4ltsDG9KTzSjrtKXsMtQGXPHyND0/edit#gid=795171502"", ""'Filter 30_05_2024'!A1:M2000""), {2, 3, 4, 5,6,7,8,9,10,11,12,13}, 0))"),4)</f>
        <v>4</v>
      </c>
      <c r="W34" s="16">
        <f ca="1">IFERROR(__xludf.dummyfunction("""COMPUTED_VALUE"""),6)</f>
        <v>6</v>
      </c>
      <c r="X34" s="16">
        <f ca="1">IFERROR(__xludf.dummyfunction("""COMPUTED_VALUE"""),2)</f>
        <v>2</v>
      </c>
      <c r="Y34" s="16">
        <f ca="1">IFERROR(__xludf.dummyfunction("""COMPUTED_VALUE"""),12)</f>
        <v>12</v>
      </c>
      <c r="Z34" s="16">
        <f ca="1">IFERROR(__xludf.dummyfunction("""COMPUTED_VALUE"""),4)</f>
        <v>4</v>
      </c>
      <c r="AA34" s="30">
        <f ca="1">IFERROR(__xludf.dummyfunction("""COMPUTED_VALUE"""),3)</f>
        <v>3</v>
      </c>
      <c r="AB34" s="30">
        <f ca="1">IFERROR(__xludf.dummyfunction("""COMPUTED_VALUE"""),1)</f>
        <v>1</v>
      </c>
      <c r="AC34" s="30">
        <f ca="1">IFERROR(__xludf.dummyfunction("""COMPUTED_VALUE"""),8)</f>
        <v>8</v>
      </c>
      <c r="AD34" s="16"/>
      <c r="AE34" s="30"/>
      <c r="AF34" s="30"/>
      <c r="AG34" s="30"/>
    </row>
    <row r="35" spans="1:33" ht="26.4">
      <c r="A35" s="25"/>
      <c r="B35" s="25" t="s">
        <v>29</v>
      </c>
      <c r="C35" s="25" t="s">
        <v>310</v>
      </c>
      <c r="D35" s="25">
        <v>8</v>
      </c>
      <c r="E35" s="70" t="s">
        <v>1075</v>
      </c>
      <c r="F35" s="70" t="s">
        <v>1083</v>
      </c>
      <c r="G35" s="64" t="s">
        <v>1085</v>
      </c>
      <c r="H35" s="64" t="str">
        <f ca="1">IFERROR(__xludf.dummyfunction("IFERROR(
  VLOOKUP(G35, IMPORTRANGE(""https://docs.google.com/spreadsheets/d/14deopnvwcrKtEGCKuYXdUHJbeLDZlkiSSWWT0g7x2pM/edit#gid=849066331"", ""LU List Maths (Filter)!A:B""), 2, FALSE),
  IFERROR(
    VLOOKUP(G35, IMPORTRANGE(""https://docs.google.com/s"&amp;"preadsheets/d/14deopnvwcrKtEGCKuYXdUHJbeLDZlkiSSWWT0g7x2pM/edit#gid=849066331"", ""LU List Science (Filter)!A:B""), 2, FALSE),
    ""Not Found""
  )
)
"),"Relationship between number of digits in perfect square and its square root")</f>
        <v>Relationship between number of digits in perfect square and its square root</v>
      </c>
      <c r="I35" s="64"/>
      <c r="J35" s="100" t="str">
        <f t="shared" si="6"/>
        <v>LU000652.001</v>
      </c>
      <c r="K35" s="100" t="str">
        <f ca="1">IFERROR(__xludf.dummyfunction("VLOOKUP(J35, IMPORTRANGE(""https://docs.google.com/spreadsheets/d/1yDAaXNsi4Mr5FtRQL4tbmSdIzhx6_m4wkOD7IG-k_eo/edit#gid=0"", ""Maths!M:N""), 2, FALSE)"),"List the properties of a perfect square number.")</f>
        <v>List the properties of a perfect square number.</v>
      </c>
      <c r="L35" s="100" t="str">
        <f t="shared" si="7"/>
        <v>LU000652.002</v>
      </c>
      <c r="M35" s="100" t="str">
        <f ca="1">IFERROR(__xludf.dummyfunction("VLOOKUP(L35, IMPORTRANGE(""https://docs.google.com/spreadsheets/d/1yDAaXNsi4Mr5FtRQL4tbmSdIzhx6_m4wkOD7IG-k_eo/edit#gid=0"", ""Maths!M:N""), 2, FALSE)"),"Explain the concept of square roots and how they relate to perfect squares in terms of the number of digits.")</f>
        <v>Explain the concept of square roots and how they relate to perfect squares in terms of the number of digits.</v>
      </c>
      <c r="N35" s="100" t="str">
        <f t="shared" si="8"/>
        <v>LU000652.003</v>
      </c>
      <c r="O35" s="100" t="str">
        <f ca="1">IFERROR(__xludf.dummyfunction("VLOOKUP(N35, IMPORTRANGE(""https://docs.google.com/spreadsheets/d/1yDAaXNsi4Mr5FtRQL4tbmSdIzhx6_m4wkOD7IG-k_eo/edit#gid=0"", ""Maths!M:N""), 2, FALSE)"),"Apply the knowledge of square roots and perfect squares to check the number of digits in square root.")</f>
        <v>Apply the knowledge of square roots and perfect squares to check the number of digits in square root.</v>
      </c>
      <c r="P35" s="100" t="str">
        <f t="shared" si="9"/>
        <v>LU000652.004</v>
      </c>
      <c r="Q35" s="100" t="str">
        <f ca="1">IFERROR(__xludf.dummyfunction("VLOOKUP(P35, IMPORTRANGE(""https://docs.google.com/spreadsheets/d/1yDAaXNsi4Mr5FtRQL4tbmSdIzhx6_m4wkOD7IG-k_eo/edit#gid=0"", ""Maths!M:N""), 2, FALSE)"),"Analyse the patterns in the number of digits of square roots for perfect squares with different numbers of digits.")</f>
        <v>Analyse the patterns in the number of digits of square roots for perfect squares with different numbers of digits.</v>
      </c>
      <c r="R35" s="100" t="str">
        <f t="shared" si="10"/>
        <v>LU000652.005</v>
      </c>
      <c r="S35" s="100" t="str">
        <f ca="1">IFERROR(__xludf.dummyfunction("VLOOKUP(R35, IMPORTRANGE(""https://docs.google.com/spreadsheets/d/1yDAaXNsi4Mr5FtRQL4tbmSdIzhx6_m4wkOD7IG-k_eo/edit#gid=0"", ""Maths!M:N""), 2, FALSE)"),"Evaluate the relationships between the number of digits in perfect squares and their square roots by comparing various examples.")</f>
        <v>Evaluate the relationships between the number of digits in perfect squares and their square roots by comparing various examples.</v>
      </c>
      <c r="T35" s="100" t="str">
        <f t="shared" si="11"/>
        <v>LU000652.006</v>
      </c>
      <c r="U35" s="100" t="str">
        <f ca="1">IFERROR(__xludf.dummyfunction("VLOOKUP(T35, IMPORTRANGE(""https://docs.google.com/spreadsheets/d/1yDAaXNsi4Mr5FtRQL4tbmSdIzhx6_m4wkOD7IG-k_eo/edit#gid=0"", ""Maths!M:N""), 2, FALSE)"),"Create a visual representation or chart that illustrates the relationship between the number of digits in perfect squares and their square roots.")</f>
        <v>Create a visual representation or chart that illustrates the relationship between the number of digits in perfect squares and their square roots.</v>
      </c>
      <c r="V35" s="16">
        <f ca="1">IFERROR(__xludf.dummyfunction("ArrayFormula(VLOOKUP(G35, IMPORTRANGE(""https://docs.google.com/spreadsheets/d/1p7R4vtkWt5VOBim4ltsDG9KTzSjrtKXsMtQGXPHyND0/edit#gid=795171502"", ""'Filter 30_05_2024'!A1:M2000""), {2, 3, 4, 5,6,7,8,9,10,11,12,13}, 0))"),4)</f>
        <v>4</v>
      </c>
      <c r="W35" s="16">
        <f ca="1">IFERROR(__xludf.dummyfunction("""COMPUTED_VALUE"""),6)</f>
        <v>6</v>
      </c>
      <c r="X35" s="16">
        <f ca="1">IFERROR(__xludf.dummyfunction("""COMPUTED_VALUE"""),2)</f>
        <v>2</v>
      </c>
      <c r="Y35" s="16">
        <f ca="1">IFERROR(__xludf.dummyfunction("""COMPUTED_VALUE"""),12)</f>
        <v>12</v>
      </c>
      <c r="Z35" s="16">
        <f ca="1">IFERROR(__xludf.dummyfunction("""COMPUTED_VALUE"""),5)</f>
        <v>5</v>
      </c>
      <c r="AA35" s="30">
        <f ca="1">IFERROR(__xludf.dummyfunction("""COMPUTED_VALUE"""),2)</f>
        <v>2</v>
      </c>
      <c r="AB35" s="30">
        <f ca="1">IFERROR(__xludf.dummyfunction("""COMPUTED_VALUE"""),1)</f>
        <v>1</v>
      </c>
      <c r="AC35" s="30">
        <f ca="1">IFERROR(__xludf.dummyfunction("""COMPUTED_VALUE"""),8)</f>
        <v>8</v>
      </c>
      <c r="AD35" s="16"/>
      <c r="AE35" s="30"/>
      <c r="AF35" s="30"/>
      <c r="AG35" s="30"/>
    </row>
    <row r="36" spans="1:33" ht="26.4">
      <c r="A36" s="25"/>
      <c r="B36" s="25" t="s">
        <v>29</v>
      </c>
      <c r="C36" s="25" t="s">
        <v>310</v>
      </c>
      <c r="D36" s="25">
        <v>8</v>
      </c>
      <c r="E36" s="70" t="s">
        <v>1075</v>
      </c>
      <c r="F36" s="70" t="s">
        <v>1075</v>
      </c>
      <c r="G36" s="64" t="s">
        <v>1086</v>
      </c>
      <c r="H36" s="64" t="str">
        <f ca="1">IFERROR(__xludf.dummyfunction("IFERROR(
  VLOOKUP(G36, IMPORTRANGE(""https://docs.google.com/spreadsheets/d/14deopnvwcrKtEGCKuYXdUHJbeLDZlkiSSWWT0g7x2pM/edit#gid=849066331"", ""LU List Maths (Filter)!A:B""), 2, FALSE),
  IFERROR(
    VLOOKUP(G36, IMPORTRANGE(""https://docs.google.com/s"&amp;"preadsheets/d/14deopnvwcrKtEGCKuYXdUHJbeLDZlkiSSWWT0g7x2pM/edit#gid=849066331"", ""LU List Science (Filter)!A:B""), 2, FALSE),
    ""Not Found""
  )
)
"),"Square root of perfect square numbers through prime factorisation")</f>
        <v>Square root of perfect square numbers through prime factorisation</v>
      </c>
      <c r="I36" s="64"/>
      <c r="J36" s="100" t="str">
        <f t="shared" si="6"/>
        <v>LU000649.001</v>
      </c>
      <c r="K36" s="100" t="str">
        <f ca="1">IFERROR(__xludf.dummyfunction("VLOOKUP(J36, IMPORTRANGE(""https://docs.google.com/spreadsheets/d/1yDAaXNsi4Mr5FtRQL4tbmSdIzhx6_m4wkOD7IG-k_eo/edit#gid=0"", ""Maths!M:N""), 2, FALSE)"),"Recall the steps involved in finding the square root of a perfect square number using prime factorisation.")</f>
        <v>Recall the steps involved in finding the square root of a perfect square number using prime factorisation.</v>
      </c>
      <c r="L36" s="100" t="str">
        <f t="shared" si="7"/>
        <v>LU000649.002</v>
      </c>
      <c r="M36" s="100" t="str">
        <f ca="1">IFERROR(__xludf.dummyfunction("VLOOKUP(L36, IMPORTRANGE(""https://docs.google.com/spreadsheets/d/1yDAaXNsi4Mr5FtRQL4tbmSdIzhx6_m4wkOD7IG-k_eo/edit#gid=0"", ""Maths!M:N""), 2, FALSE)"),"Explain the concept of prime factorisation and how it is used to find the square root of a perfect square number.")</f>
        <v>Explain the concept of prime factorisation and how it is used to find the square root of a perfect square number.</v>
      </c>
      <c r="N36" s="100" t="str">
        <f t="shared" si="8"/>
        <v>LU000649.003</v>
      </c>
      <c r="O36" s="100" t="str">
        <f ca="1">IFERROR(__xludf.dummyfunction("VLOOKUP(N36, IMPORTRANGE(""https://docs.google.com/spreadsheets/d/1yDAaXNsi4Mr5FtRQL4tbmSdIzhx6_m4wkOD7IG-k_eo/edit#gid=0"", ""Maths!M:N""), 2, FALSE)"),"Apply the prime factorisation method to find the square root of various perfect square numbers.")</f>
        <v>Apply the prime factorisation method to find the square root of various perfect square numbers.</v>
      </c>
      <c r="P36" s="100" t="str">
        <f t="shared" si="9"/>
        <v>LU000649.004</v>
      </c>
      <c r="Q36" s="100" t="str">
        <f ca="1">IFERROR(__xludf.dummyfunction("VLOOKUP(P36, IMPORTRANGE(""https://docs.google.com/spreadsheets/d/1yDAaXNsi4Mr5FtRQL4tbmSdIzhx6_m4wkOD7IG-k_eo/edit#gid=0"", ""Maths!M:N""), 2, FALSE)"),"Analyse the efficiency of the prime factorisation method in finding square roots and compare it to other methods.")</f>
        <v>Analyse the efficiency of the prime factorisation method in finding square roots and compare it to other methods.</v>
      </c>
      <c r="R36" s="100" t="str">
        <f t="shared" si="10"/>
        <v>LU000649.005</v>
      </c>
      <c r="S36" s="100" t="str">
        <f ca="1">IFERROR(__xludf.dummyfunction("VLOOKUP(R36, IMPORTRANGE(""https://docs.google.com/spreadsheets/d/1yDAaXNsi4Mr5FtRQL4tbmSdIzhx6_m4wkOD7IG-k_eo/edit#gid=0"", ""Maths!M:N""), 2, FALSE)"),"Evaluate the accuracy of the prime factorisation method by checking the obtained square root against the actual value.")</f>
        <v>Evaluate the accuracy of the prime factorisation method by checking the obtained square root against the actual value.</v>
      </c>
      <c r="T36" s="100" t="str">
        <f t="shared" si="11"/>
        <v>LU000649.006</v>
      </c>
      <c r="U36" s="100" t="str">
        <f ca="1">IFERROR(__xludf.dummyfunction("VLOOKUP(T36, IMPORTRANGE(""https://docs.google.com/spreadsheets/d/1yDAaXNsi4Mr5FtRQL4tbmSdIzhx6_m4wkOD7IG-k_eo/edit#gid=0"", ""Maths!M:N""), 2, FALSE)"),"Construct an alternate method or algorithm for finding square roots of perfect square numbers and compare it with the prime factorisation method.")</f>
        <v>Construct an alternate method or algorithm for finding square roots of perfect square numbers and compare it with the prime factorisation method.</v>
      </c>
      <c r="V36" s="16">
        <f ca="1">IFERROR(__xludf.dummyfunction("ArrayFormula(VLOOKUP(G36, IMPORTRANGE(""https://docs.google.com/spreadsheets/d/1p7R4vtkWt5VOBim4ltsDG9KTzSjrtKXsMtQGXPHyND0/edit#gid=795171502"", ""'Filter 30_05_2024'!A1:M2000""), {2, 3, 4, 5,6,7,8,9,10,11,12,13}, 0))"),4)</f>
        <v>4</v>
      </c>
      <c r="W36" s="16">
        <f ca="1">IFERROR(__xludf.dummyfunction("""COMPUTED_VALUE"""),6)</f>
        <v>6</v>
      </c>
      <c r="X36" s="16">
        <f ca="1">IFERROR(__xludf.dummyfunction("""COMPUTED_VALUE"""),2)</f>
        <v>2</v>
      </c>
      <c r="Y36" s="16">
        <f ca="1">IFERROR(__xludf.dummyfunction("""COMPUTED_VALUE"""),12)</f>
        <v>12</v>
      </c>
      <c r="Z36" s="16">
        <f ca="1">IFERROR(__xludf.dummyfunction("""COMPUTED_VALUE"""),4)</f>
        <v>4</v>
      </c>
      <c r="AA36" s="30">
        <f ca="1">IFERROR(__xludf.dummyfunction("""COMPUTED_VALUE"""),3)</f>
        <v>3</v>
      </c>
      <c r="AB36" s="30">
        <f ca="1">IFERROR(__xludf.dummyfunction("""COMPUTED_VALUE"""),1)</f>
        <v>1</v>
      </c>
      <c r="AC36" s="30">
        <f ca="1">IFERROR(__xludf.dummyfunction("""COMPUTED_VALUE"""),8)</f>
        <v>8</v>
      </c>
      <c r="AD36" s="16"/>
      <c r="AE36" s="30"/>
      <c r="AF36" s="30"/>
      <c r="AG36" s="30"/>
    </row>
    <row r="37" spans="1:33" ht="26.4">
      <c r="A37" s="25"/>
      <c r="B37" s="25" t="s">
        <v>29</v>
      </c>
      <c r="C37" s="25" t="s">
        <v>310</v>
      </c>
      <c r="D37" s="25">
        <v>8</v>
      </c>
      <c r="E37" s="70" t="s">
        <v>1075</v>
      </c>
      <c r="F37" s="70" t="s">
        <v>1075</v>
      </c>
      <c r="G37" s="64" t="s">
        <v>1087</v>
      </c>
      <c r="H37" s="64" t="str">
        <f ca="1">IFERROR(__xludf.dummyfunction("IFERROR(
  VLOOKUP(G37, IMPORTRANGE(""https://docs.google.com/spreadsheets/d/14deopnvwcrKtEGCKuYXdUHJbeLDZlkiSSWWT0g7x2pM/edit#gid=849066331"", ""LU List Maths (Filter)!A:B""), 2, FALSE),
  IFERROR(
    VLOOKUP(G37, IMPORTRANGE(""https://docs.google.com/s"&amp;"preadsheets/d/14deopnvwcrKtEGCKuYXdUHJbeLDZlkiSSWWT0g7x2pM/edit#gid=849066331"", ""LU List Science (Filter)!A:B""), 2, FALSE),
    ""Not Found""
  )
)
"),"Square root of perfect square number (whole number) by division method")</f>
        <v>Square root of perfect square number (whole number) by division method</v>
      </c>
      <c r="I37" s="64"/>
      <c r="J37" s="100" t="str">
        <f t="shared" si="6"/>
        <v>LU000650.001</v>
      </c>
      <c r="K37" s="100" t="str">
        <f ca="1">IFERROR(__xludf.dummyfunction("VLOOKUP(J37, IMPORTRANGE(""https://docs.google.com/spreadsheets/d/1yDAaXNsi4Mr5FtRQL4tbmSdIzhx6_m4wkOD7IG-k_eo/edit#gid=0"", ""Maths!M:N""), 2, FALSE)"),"State the sequence of steps to apply the division method for extracting the square root of whole numbers.")</f>
        <v>State the sequence of steps to apply the division method for extracting the square root of whole numbers.</v>
      </c>
      <c r="L37" s="100" t="str">
        <f t="shared" si="7"/>
        <v>LU000650.002</v>
      </c>
      <c r="M37" s="100" t="str">
        <f ca="1">IFERROR(__xludf.dummyfunction("VLOOKUP(L37, IMPORTRANGE(""https://docs.google.com/spreadsheets/d/1yDAaXNsi4Mr5FtRQL4tbmSdIzhx6_m4wkOD7IG-k_eo/edit#gid=0"", ""Maths!M:N""), 2, FALSE)"),"Describe why the division method involves grouping digits and finding factors to find square root of whole numbers.")</f>
        <v>Describe why the division method involves grouping digits and finding factors to find square root of whole numbers.</v>
      </c>
      <c r="N37" s="100" t="str">
        <f t="shared" si="8"/>
        <v>LU000650.003</v>
      </c>
      <c r="O37" s="100" t="str">
        <f ca="1">IFERROR(__xludf.dummyfunction("VLOOKUP(N37, IMPORTRANGE(""https://docs.google.com/spreadsheets/d/1yDAaXNsi4Mr5FtRQL4tbmSdIzhx6_m4wkOD7IG-k_eo/edit#gid=0"", ""Maths!M:N""), 2, FALSE)"),"Utilize the division method to compute the square root of given perfect square whole numbers.")</f>
        <v>Utilize the division method to compute the square root of given perfect square whole numbers.</v>
      </c>
      <c r="P37" s="100" t="str">
        <f t="shared" si="9"/>
        <v>LU000650.004</v>
      </c>
      <c r="Q37" s="100" t="str">
        <f ca="1">IFERROR(__xludf.dummyfunction("VLOOKUP(P37, IMPORTRANGE(""https://docs.google.com/spreadsheets/d/1yDAaXNsi4Mr5FtRQL4tbmSdIzhx6_m4wkOD7IG-k_eo/edit#gid=0"", ""Maths!M:N""), 2, FALSE)"),"Analyze and compare the division method with other methods of finding square roots of whole numbers, highlighting its advantages and limitations.")</f>
        <v>Analyze and compare the division method with other methods of finding square roots of whole numbers, highlighting its advantages and limitations.</v>
      </c>
      <c r="R37" s="100" t="str">
        <f t="shared" si="10"/>
        <v>LU000650.005</v>
      </c>
      <c r="S37" s="100" t="str">
        <f ca="1">IFERROR(__xludf.dummyfunction("VLOOKUP(R37, IMPORTRANGE(""https://docs.google.com/spreadsheets/d/1yDAaXNsi4Mr5FtRQL4tbmSdIzhx6_m4wkOD7IG-k_eo/edit#gid=0"", ""Maths!M:N""), 2, FALSE)"),"Evaluate the accuracy of the square root of whole numbers obtained through the division method by squaring it and comparing with the original number.")</f>
        <v>Evaluate the accuracy of the square root of whole numbers obtained through the division method by squaring it and comparing with the original number.</v>
      </c>
      <c r="T37" s="100" t="str">
        <f t="shared" si="11"/>
        <v>LU000650.006</v>
      </c>
      <c r="U37" s="100" t="str">
        <f ca="1">IFERROR(__xludf.dummyfunction("VLOOKUP(T37, IMPORTRANGE(""https://docs.google.com/spreadsheets/d/1yDAaXNsi4Mr5FtRQL4tbmSdIzhx6_m4wkOD7IG-k_eo/edit#gid=0"", ""Maths!M:N""), 2, FALSE)"),"Develop a step-by-step video tutorial demonstrating the division method for finding square roots of whole numbers, including clear explanations and examples.")</f>
        <v>Develop a step-by-step video tutorial demonstrating the division method for finding square roots of whole numbers, including clear explanations and examples.</v>
      </c>
      <c r="V37" s="16">
        <f ca="1">IFERROR(__xludf.dummyfunction("ArrayFormula(VLOOKUP(G37, IMPORTRANGE(""https://docs.google.com/spreadsheets/d/1p7R4vtkWt5VOBim4ltsDG9KTzSjrtKXsMtQGXPHyND0/edit#gid=795171502"", ""'Filter 30_05_2024'!A1:M2000""), {2, 3, 4, 5,6,7,8,9,10,11,12,13}, 0))"),4)</f>
        <v>4</v>
      </c>
      <c r="W37" s="16">
        <f ca="1">IFERROR(__xludf.dummyfunction("""COMPUTED_VALUE"""),6)</f>
        <v>6</v>
      </c>
      <c r="X37" s="16">
        <f ca="1">IFERROR(__xludf.dummyfunction("""COMPUTED_VALUE"""),2)</f>
        <v>2</v>
      </c>
      <c r="Y37" s="16">
        <f ca="1">IFERROR(__xludf.dummyfunction("""COMPUTED_VALUE"""),12)</f>
        <v>12</v>
      </c>
      <c r="Z37" s="16">
        <f ca="1">IFERROR(__xludf.dummyfunction("""COMPUTED_VALUE"""),4)</f>
        <v>4</v>
      </c>
      <c r="AA37" s="30">
        <f ca="1">IFERROR(__xludf.dummyfunction("""COMPUTED_VALUE"""),3)</f>
        <v>3</v>
      </c>
      <c r="AB37" s="30">
        <f ca="1">IFERROR(__xludf.dummyfunction("""COMPUTED_VALUE"""),1)</f>
        <v>1</v>
      </c>
      <c r="AC37" s="30">
        <f ca="1">IFERROR(__xludf.dummyfunction("""COMPUTED_VALUE"""),8)</f>
        <v>8</v>
      </c>
      <c r="AD37" s="16"/>
      <c r="AE37" s="30"/>
      <c r="AF37" s="30"/>
      <c r="AG37" s="30"/>
    </row>
    <row r="38" spans="1:33" ht="26.4">
      <c r="A38" s="25"/>
      <c r="B38" s="25" t="s">
        <v>29</v>
      </c>
      <c r="C38" s="25" t="s">
        <v>310</v>
      </c>
      <c r="D38" s="25">
        <v>8</v>
      </c>
      <c r="E38" s="70" t="s">
        <v>1075</v>
      </c>
      <c r="F38" s="70" t="s">
        <v>1075</v>
      </c>
      <c r="G38" s="64" t="s">
        <v>1088</v>
      </c>
      <c r="H38" s="64" t="str">
        <f ca="1">IFERROR(__xludf.dummyfunction("IFERROR(
  VLOOKUP(G38, IMPORTRANGE(""https://docs.google.com/spreadsheets/d/14deopnvwcrKtEGCKuYXdUHJbeLDZlkiSSWWT0g7x2pM/edit#gid=849066331"", ""LU List Maths (Filter)!A:B""), 2, FALSE),
  IFERROR(
    VLOOKUP(G38, IMPORTRANGE(""https://docs.google.com/s"&amp;"preadsheets/d/14deopnvwcrKtEGCKuYXdUHJbeLDZlkiSSWWT0g7x2pM/edit#gid=849066331"", ""LU List Science (Filter)!A:B""), 2, FALSE),
    ""Not Found""
  )
)
"),"Square of terminating decimals")</f>
        <v>Square of terminating decimals</v>
      </c>
      <c r="I38" s="64"/>
      <c r="J38" s="100" t="str">
        <f t="shared" si="6"/>
        <v>LU000655.001</v>
      </c>
      <c r="K38" s="100" t="str">
        <f ca="1">IFERROR(__xludf.dummyfunction("VLOOKUP(J38, IMPORTRANGE(""https://docs.google.com/spreadsheets/d/1yDAaXNsi4Mr5FtRQL4tbmSdIzhx6_m4wkOD7IG-k_eo/edit#gid=0"", ""Maths!M:N""), 2, FALSE)"),"State the steps to find the square of terminating decimals")</f>
        <v>State the steps to find the square of terminating decimals</v>
      </c>
      <c r="L38" s="100" t="str">
        <f t="shared" si="7"/>
        <v>LU000655.002</v>
      </c>
      <c r="M38" s="100" t="str">
        <f ca="1">IFERROR(__xludf.dummyfunction("VLOOKUP(L38, IMPORTRANGE(""https://docs.google.com/spreadsheets/d/1yDAaXNsi4Mr5FtRQL4tbmSdIzhx6_m4wkOD7IG-k_eo/edit#gid=0"", ""Maths!M:N""), 2, FALSE)"),"Explain the concept of squaring a terminating decimal and how it's related to the original decimal.")</f>
        <v>Explain the concept of squaring a terminating decimal and how it's related to the original decimal.</v>
      </c>
      <c r="N38" s="100" t="str">
        <f t="shared" si="8"/>
        <v>LU000655.003</v>
      </c>
      <c r="O38" s="100" t="str">
        <f ca="1">IFERROR(__xludf.dummyfunction("VLOOKUP(N38, IMPORTRANGE(""https://docs.google.com/spreadsheets/d/1yDAaXNsi4Mr5FtRQL4tbmSdIzhx6_m4wkOD7IG-k_eo/edit#gid=0"", ""Maths!M:N""), 2, FALSE)"),"Apply the knowledge of squaring to calculate the square of terminating decimals accurately.")</f>
        <v>Apply the knowledge of squaring to calculate the square of terminating decimals accurately.</v>
      </c>
      <c r="P38" s="100" t="str">
        <f t="shared" si="9"/>
        <v>LU000655.004</v>
      </c>
      <c r="Q38" s="100" t="str">
        <f ca="1">IFERROR(__xludf.dummyfunction("VLOOKUP(P38, IMPORTRANGE(""https://docs.google.com/spreadsheets/d/1yDAaXNsi4Mr5FtRQL4tbmSdIzhx6_m4wkOD7IG-k_eo/edit#gid=0"", ""Maths!M:N""), 2, FALSE)"),"Analyse patterns and relationships between the original terminating decimal and its square.")</f>
        <v>Analyse patterns and relationships between the original terminating decimal and its square.</v>
      </c>
      <c r="R38" s="100" t="str">
        <f t="shared" si="10"/>
        <v>LU000655.005</v>
      </c>
      <c r="S38" s="100" t="str">
        <f ca="1">IFERROR(__xludf.dummyfunction("VLOOKUP(R38, IMPORTRANGE(""https://docs.google.com/spreadsheets/d/1yDAaXNsi4Mr5FtRQL4tbmSdIzhx6_m4wkOD7IG-k_eo/edit#gid=0"", ""Maths!M:N""), 2, FALSE)"),"Evaluate the correctness of square calculations for terminating decimals and provide explanations for any errors.")</f>
        <v>Evaluate the correctness of square calculations for terminating decimals and provide explanations for any errors.</v>
      </c>
      <c r="T38" s="100" t="str">
        <f t="shared" si="11"/>
        <v>LU000655.006</v>
      </c>
      <c r="U38" s="100" t="str">
        <f ca="1">IFERROR(__xludf.dummyfunction("VLOOKUP(T38, IMPORTRANGE(""https://docs.google.com/spreadsheets/d/1yDAaXNsi4Mr5FtRQL4tbmSdIzhx6_m4wkOD7IG-k_eo/edit#gid=0"", ""Maths!M:N""), 2, FALSE)"),"Create a set of practice problems that require students to square various terminating decimals.")</f>
        <v>Create a set of practice problems that require students to square various terminating decimals.</v>
      </c>
      <c r="V38" s="16">
        <f ca="1">IFERROR(__xludf.dummyfunction("ArrayFormula(VLOOKUP(G38, IMPORTRANGE(""https://docs.google.com/spreadsheets/d/1p7R4vtkWt5VOBim4ltsDG9KTzSjrtKXsMtQGXPHyND0/edit#gid=795171502"", ""'Filter 30_05_2024'!A1:M2000""), {2, 3, 4, 5,6,7,8,9,10,11,12,13}, 0))"),4)</f>
        <v>4</v>
      </c>
      <c r="W38" s="16">
        <f ca="1">IFERROR(__xludf.dummyfunction("""COMPUTED_VALUE"""),6)</f>
        <v>6</v>
      </c>
      <c r="X38" s="16">
        <f ca="1">IFERROR(__xludf.dummyfunction("""COMPUTED_VALUE"""),2)</f>
        <v>2</v>
      </c>
      <c r="Y38" s="16">
        <f ca="1">IFERROR(__xludf.dummyfunction("""COMPUTED_VALUE"""),12)</f>
        <v>12</v>
      </c>
      <c r="Z38" s="16">
        <f ca="1">IFERROR(__xludf.dummyfunction("""COMPUTED_VALUE"""),4)</f>
        <v>4</v>
      </c>
      <c r="AA38" s="30">
        <f ca="1">IFERROR(__xludf.dummyfunction("""COMPUTED_VALUE"""),3)</f>
        <v>3</v>
      </c>
      <c r="AB38" s="30">
        <f ca="1">IFERROR(__xludf.dummyfunction("""COMPUTED_VALUE"""),1)</f>
        <v>1</v>
      </c>
      <c r="AC38" s="30">
        <f ca="1">IFERROR(__xludf.dummyfunction("""COMPUTED_VALUE"""),8)</f>
        <v>8</v>
      </c>
      <c r="AD38" s="16"/>
      <c r="AE38" s="30"/>
      <c r="AF38" s="30"/>
      <c r="AG38" s="30"/>
    </row>
    <row r="39" spans="1:33" ht="26.4">
      <c r="A39" s="25"/>
      <c r="B39" s="25" t="s">
        <v>29</v>
      </c>
      <c r="C39" s="25" t="s">
        <v>310</v>
      </c>
      <c r="D39" s="25">
        <v>8</v>
      </c>
      <c r="E39" s="70" t="s">
        <v>1075</v>
      </c>
      <c r="F39" s="70" t="s">
        <v>1075</v>
      </c>
      <c r="G39" s="64" t="s">
        <v>1089</v>
      </c>
      <c r="H39" s="64" t="str">
        <f ca="1">IFERROR(__xludf.dummyfunction("IFERROR(
  VLOOKUP(G39, IMPORTRANGE(""https://docs.google.com/spreadsheets/d/14deopnvwcrKtEGCKuYXdUHJbeLDZlkiSSWWT0g7x2pM/edit#gid=849066331"", ""LU List Maths (Filter)!A:B""), 2, FALSE),
  IFERROR(
    VLOOKUP(G39, IMPORTRANGE(""https://docs.google.com/s"&amp;"preadsheets/d/14deopnvwcrKtEGCKuYXdUHJbeLDZlkiSSWWT0g7x2pM/edit#gid=849066331"", ""LU List Science (Filter)!A:B""), 2, FALSE),
    ""Not Found""
  )
)
"),"Square root of perfect square number (decimals) by division method")</f>
        <v>Square root of perfect square number (decimals) by division method</v>
      </c>
      <c r="I39" s="64"/>
      <c r="J39" s="100" t="str">
        <f t="shared" si="6"/>
        <v>LU000651.001</v>
      </c>
      <c r="K39" s="100" t="str">
        <f ca="1">IFERROR(__xludf.dummyfunction("VLOOKUP(J39, IMPORTRANGE(""https://docs.google.com/spreadsheets/d/1yDAaXNsi4Mr5FtRQL4tbmSdIzhx6_m4wkOD7IG-k_eo/edit#gid=0"", ""Maths!M:N""), 2, FALSE)"),"List the key steps involved in using the division method to find the square root of perfect square numbers in decimal form.")</f>
        <v>List the key steps involved in using the division method to find the square root of perfect square numbers in decimal form.</v>
      </c>
      <c r="L39" s="100" t="str">
        <f t="shared" si="7"/>
        <v>LU000651.002</v>
      </c>
      <c r="M39" s="100" t="str">
        <f ca="1">IFERROR(__xludf.dummyfunction("VLOOKUP(L39, IMPORTRANGE(""https://docs.google.com/spreadsheets/d/1yDAaXNsi4Mr5FtRQL4tbmSdIzhx6_m4wkOD7IG-k_eo/edit#gid=0"", ""Maths!M:N""), 2, FALSE)"),"Explain the significance of the decimal point's placement when using the division method for square roots.")</f>
        <v>Explain the significance of the decimal point's placement when using the division method for square roots.</v>
      </c>
      <c r="N39" s="100" t="str">
        <f t="shared" si="8"/>
        <v>LU000651.003</v>
      </c>
      <c r="O39" s="100" t="str">
        <f ca="1">IFERROR(__xludf.dummyfunction("VLOOKUP(N39, IMPORTRANGE(""https://docs.google.com/spreadsheets/d/1yDAaXNsi4Mr5FtRQL4tbmSdIzhx6_m4wkOD7IG-k_eo/edit#gid=0"", ""Maths!M:N""), 2, FALSE)"),"Apply the division method to find the square root of given perfect square numbers expressed as decimals.")</f>
        <v>Apply the division method to find the square root of given perfect square numbers expressed as decimals.</v>
      </c>
      <c r="P39" s="100" t="str">
        <f t="shared" si="9"/>
        <v>LU000651.004</v>
      </c>
      <c r="Q39" s="100" t="str">
        <f ca="1">IFERROR(__xludf.dummyfunction("VLOOKUP(P39, IMPORTRANGE(""https://docs.google.com/spreadsheets/d/1yDAaXNsi4Mr5FtRQL4tbmSdIzhx6_m4wkOD7IG-k_eo/edit#gid=0"", ""Maths!M:N""), 2, FALSE)"),"Analyse the division method's suitability for finding square roots of decimals compared to other methods, discussing its advantages and drawbacks.")</f>
        <v>Analyse the division method's suitability for finding square roots of decimals compared to other methods, discussing its advantages and drawbacks.</v>
      </c>
      <c r="R39" s="100" t="str">
        <f t="shared" si="10"/>
        <v>LU000651.005</v>
      </c>
      <c r="S39" s="100" t="str">
        <f ca="1">IFERROR(__xludf.dummyfunction("VLOOKUP(R39, IMPORTRANGE(""https://docs.google.com/spreadsheets/d/1yDAaXNsi4Mr5FtRQL4tbmSdIzhx6_m4wkOD7IG-k_eo/edit#gid=0"", ""Maths!M:N""), 2, FALSE)"),"Evaluate the accuracy of the decimal square root obtained through the division method by squaring it and comparing it with the original decimal number.")</f>
        <v>Evaluate the accuracy of the decimal square root obtained through the division method by squaring it and comparing it with the original decimal number.</v>
      </c>
      <c r="T39" s="100" t="str">
        <f t="shared" si="11"/>
        <v>LU000651.006</v>
      </c>
      <c r="U39" s="100" t="str">
        <f ca="1">IFERROR(__xludf.dummyfunction("VLOOKUP(T39, IMPORTRANGE(""https://docs.google.com/spreadsheets/d/1yDAaXNsi4Mr5FtRQL4tbmSdIzhx6_m4wkOD7IG-k_eo/edit#gid=0"", ""Maths!M:N""), 2, FALSE)"),"Design a set of practice problems involving various perfect square decimals to solve using the division method.")</f>
        <v>Design a set of practice problems involving various perfect square decimals to solve using the division method.</v>
      </c>
      <c r="V39" s="16">
        <f ca="1">IFERROR(__xludf.dummyfunction("ArrayFormula(VLOOKUP(G39, IMPORTRANGE(""https://docs.google.com/spreadsheets/d/1p7R4vtkWt5VOBim4ltsDG9KTzSjrtKXsMtQGXPHyND0/edit#gid=795171502"", ""'Filter 30_05_2024'!A1:M2000""), {2, 3, 4, 5,6,7,8,9,10,11,12,13}, 0))"),4)</f>
        <v>4</v>
      </c>
      <c r="W39" s="16">
        <f ca="1">IFERROR(__xludf.dummyfunction("""COMPUTED_VALUE"""),6)</f>
        <v>6</v>
      </c>
      <c r="X39" s="16">
        <f ca="1">IFERROR(__xludf.dummyfunction("""COMPUTED_VALUE"""),2)</f>
        <v>2</v>
      </c>
      <c r="Y39" s="16">
        <f ca="1">IFERROR(__xludf.dummyfunction("""COMPUTED_VALUE"""),12)</f>
        <v>12</v>
      </c>
      <c r="Z39" s="16">
        <f ca="1">IFERROR(__xludf.dummyfunction("""COMPUTED_VALUE"""),4)</f>
        <v>4</v>
      </c>
      <c r="AA39" s="30">
        <f ca="1">IFERROR(__xludf.dummyfunction("""COMPUTED_VALUE"""),3)</f>
        <v>3</v>
      </c>
      <c r="AB39" s="30">
        <f ca="1">IFERROR(__xludf.dummyfunction("""COMPUTED_VALUE"""),1)</f>
        <v>1</v>
      </c>
      <c r="AC39" s="30">
        <f ca="1">IFERROR(__xludf.dummyfunction("""COMPUTED_VALUE"""),8)</f>
        <v>8</v>
      </c>
      <c r="AD39" s="16"/>
      <c r="AE39" s="30"/>
      <c r="AF39" s="30"/>
      <c r="AG39" s="30"/>
    </row>
    <row r="40" spans="1:33" ht="26.4">
      <c r="A40" s="25"/>
      <c r="B40" s="25" t="s">
        <v>29</v>
      </c>
      <c r="C40" s="25" t="s">
        <v>310</v>
      </c>
      <c r="D40" s="25">
        <v>8</v>
      </c>
      <c r="E40" s="70" t="s">
        <v>1090</v>
      </c>
      <c r="F40" s="70" t="s">
        <v>1091</v>
      </c>
      <c r="G40" s="64" t="s">
        <v>1092</v>
      </c>
      <c r="H40" s="64" t="str">
        <f ca="1">IFERROR(__xludf.dummyfunction("IFERROR(
  VLOOKUP(G40, IMPORTRANGE(""https://docs.google.com/spreadsheets/d/14deopnvwcrKtEGCKuYXdUHJbeLDZlkiSSWWT0g7x2pM/edit#gid=849066331"", ""LU List Maths (Filter)!A:B""), 2, FALSE),
  IFERROR(
    VLOOKUP(G40, IMPORTRANGE(""https://docs.google.com/s"&amp;"preadsheets/d/14deopnvwcrKtEGCKuYXdUHJbeLDZlkiSSWWT0g7x2pM/edit#gid=849066331"", ""LU List Science (Filter)!A:B""), 2, FALSE),
    ""Not Found""
  )
)
"),"Definition and representation of perfect cubes or cube numbers")</f>
        <v>Definition and representation of perfect cubes or cube numbers</v>
      </c>
      <c r="I40" s="64"/>
      <c r="J40" s="100" t="str">
        <f t="shared" si="6"/>
        <v>LU000658.001</v>
      </c>
      <c r="K40" s="100" t="str">
        <f ca="1">IFERROR(__xludf.dummyfunction("VLOOKUP(J40, IMPORTRANGE(""https://docs.google.com/spreadsheets/d/1yDAaXNsi4Mr5FtRQL4tbmSdIzhx6_m4wkOD7IG-k_eo/edit#gid=0"", ""Maths!M:N""), 2, FALSE)"),"State the definition of a perfect cube as a number that can be expressed as the cube of an integer.")</f>
        <v>State the definition of a perfect cube as a number that can be expressed as the cube of an integer.</v>
      </c>
      <c r="L40" s="100" t="str">
        <f t="shared" si="7"/>
        <v>LU000658.002</v>
      </c>
      <c r="M40" s="100" t="str">
        <f ca="1">IFERROR(__xludf.dummyfunction("VLOOKUP(L40, IMPORTRANGE(""https://docs.google.com/spreadsheets/d/1yDAaXNsi4Mr5FtRQL4tbmSdIzhx6_m4wkOD7IG-k_eo/edit#gid=0"", ""Maths!M:N""), 2, FALSE)"),"Explain the concept of perfect cubes and their significance in mathematics.")</f>
        <v>Explain the concept of perfect cubes and their significance in mathematics.</v>
      </c>
      <c r="N40" s="100" t="str">
        <f t="shared" si="8"/>
        <v>LU000658.003</v>
      </c>
      <c r="O40" s="100" t="str">
        <f ca="1">IFERROR(__xludf.dummyfunction("VLOOKUP(N40, IMPORTRANGE(""https://docs.google.com/spreadsheets/d/1yDAaXNsi4Mr5FtRQL4tbmSdIzhx6_m4wkOD7IG-k_eo/edit#gid=0"", ""Maths!M:N""), 2, FALSE)"),"Apply the knowledge of perfect cubes to identify perfect cube numbers and calculate their values.")</f>
        <v>Apply the knowledge of perfect cubes to identify perfect cube numbers and calculate their values.</v>
      </c>
      <c r="P40" s="100" t="str">
        <f t="shared" si="9"/>
        <v>LU000658.004</v>
      </c>
      <c r="Q40" s="100" t="str">
        <f ca="1">IFERROR(__xludf.dummyfunction("VLOOKUP(P40, IMPORTRANGE(""https://docs.google.com/spreadsheets/d/1yDAaXNsi4Mr5FtRQL4tbmSdIzhx6_m4wkOD7IG-k_eo/edit#gid=0"", ""Maths!M:N""), 2, FALSE)"),"Analyse the properties of perfect cubes, such as identifying patterns in their digits.")</f>
        <v>Analyse the properties of perfect cubes, such as identifying patterns in their digits.</v>
      </c>
      <c r="R40" s="100" t="str">
        <f t="shared" si="10"/>
        <v>LU000658.005</v>
      </c>
      <c r="S40" s="100" t="str">
        <f ca="1">IFERROR(__xludf.dummyfunction("VLOOKUP(R40, IMPORTRANGE(""https://docs.google.com/spreadsheets/d/1yDAaXNsi4Mr5FtRQL4tbmSdIzhx6_m4wkOD7IG-k_eo/edit#gid=0"", ""Maths!M:N""), 2, FALSE)"),"Evaluate the use of perfect cubes in practical scenarios or problem-solving, highlighting their relevance.")</f>
        <v>Evaluate the use of perfect cubes in practical scenarios or problem-solving, highlighting their relevance.</v>
      </c>
      <c r="T40" s="100" t="str">
        <f t="shared" si="11"/>
        <v>LU000658.006</v>
      </c>
      <c r="U40" s="100" t="str">
        <f ca="1">IFERROR(__xludf.dummyfunction("VLOOKUP(T40, IMPORTRANGE(""https://docs.google.com/spreadsheets/d/1yDAaXNsi4Mr5FtRQL4tbmSdIzhx6_m4wkOD7IG-k_eo/edit#gid=0"", ""Maths!M:N""), 2, FALSE)"),"Create a visual representation or model to illustrate the concept of perfect cubes.")</f>
        <v>Create a visual representation or model to illustrate the concept of perfect cubes.</v>
      </c>
      <c r="V40" s="16">
        <f ca="1">IFERROR(__xludf.dummyfunction("ArrayFormula(VLOOKUP(G40, IMPORTRANGE(""https://docs.google.com/spreadsheets/d/1p7R4vtkWt5VOBim4ltsDG9KTzSjrtKXsMtQGXPHyND0/edit#gid=795171502"", ""'Filter 30_05_2024'!A1:M2000""), {2, 3, 4, 5,6,7,8,9,10,11,12,13}, 0))"),4)</f>
        <v>4</v>
      </c>
      <c r="W40" s="16">
        <f ca="1">IFERROR(__xludf.dummyfunction("""COMPUTED_VALUE"""),6)</f>
        <v>6</v>
      </c>
      <c r="X40" s="16">
        <f ca="1">IFERROR(__xludf.dummyfunction("""COMPUTED_VALUE"""),2)</f>
        <v>2</v>
      </c>
      <c r="Y40" s="16">
        <f ca="1">IFERROR(__xludf.dummyfunction("""COMPUTED_VALUE"""),12)</f>
        <v>12</v>
      </c>
      <c r="Z40" s="16">
        <f ca="1">IFERROR(__xludf.dummyfunction("""COMPUTED_VALUE"""),4)</f>
        <v>4</v>
      </c>
      <c r="AA40" s="30">
        <f ca="1">IFERROR(__xludf.dummyfunction("""COMPUTED_VALUE"""),3)</f>
        <v>3</v>
      </c>
      <c r="AB40" s="30">
        <f ca="1">IFERROR(__xludf.dummyfunction("""COMPUTED_VALUE"""),1)</f>
        <v>1</v>
      </c>
      <c r="AC40" s="30">
        <f ca="1">IFERROR(__xludf.dummyfunction("""COMPUTED_VALUE"""),8)</f>
        <v>8</v>
      </c>
      <c r="AD40" s="16"/>
      <c r="AE40" s="30"/>
      <c r="AF40" s="30"/>
      <c r="AG40" s="30"/>
    </row>
    <row r="41" spans="1:33" ht="26.4">
      <c r="A41" s="25"/>
      <c r="B41" s="25" t="s">
        <v>29</v>
      </c>
      <c r="C41" s="25" t="s">
        <v>310</v>
      </c>
      <c r="D41" s="25">
        <v>8</v>
      </c>
      <c r="E41" s="70" t="s">
        <v>1090</v>
      </c>
      <c r="F41" s="70" t="s">
        <v>1093</v>
      </c>
      <c r="G41" s="87" t="s">
        <v>1094</v>
      </c>
      <c r="H41" s="64" t="str">
        <f ca="1">IFERROR(__xludf.dummyfunction("IFERROR(
  VLOOKUP(G41, IMPORTRANGE(""https://docs.google.com/spreadsheets/d/14deopnvwcrKtEGCKuYXdUHJbeLDZlkiSSWWT0g7x2pM/edit#gid=849066331"", ""LU List Maths (Filter)!A:B""), 2, FALSE),
  IFERROR(
    VLOOKUP(G41, IMPORTRANGE(""https://docs.google.com/s"&amp;"preadsheets/d/14deopnvwcrKtEGCKuYXdUHJbeLDZlkiSSWWT0g7x2pM/edit#gid=849066331"", ""LU List Science (Filter)!A:B""), 2, FALSE),
    ""Not Found""
  )
)
"),"Prime factorisation of cube numbers")</f>
        <v>Prime factorisation of cube numbers</v>
      </c>
      <c r="I41" s="64"/>
      <c r="J41" s="100" t="str">
        <f t="shared" si="6"/>
        <v>LU000663.001</v>
      </c>
      <c r="K41" s="100" t="str">
        <f ca="1">IFERROR(__xludf.dummyfunction("VLOOKUP(J41, IMPORTRANGE(""https://docs.google.com/spreadsheets/d/1yDAaXNsi4Mr5FtRQL4tbmSdIzhx6_m4wkOD7IG-k_eo/edit#gid=0"", ""Maths!M:N""), 2, FALSE)"),"List the prime factors of specific cube numbers.")</f>
        <v>List the prime factors of specific cube numbers.</v>
      </c>
      <c r="L41" s="100" t="str">
        <f t="shared" si="7"/>
        <v>LU000663.002</v>
      </c>
      <c r="M41" s="100" t="str">
        <f ca="1">IFERROR(__xludf.dummyfunction("VLOOKUP(L41, IMPORTRANGE(""https://docs.google.com/spreadsheets/d/1yDAaXNsi4Mr5FtRQL4tbmSdIzhx6_m4wkOD7IG-k_eo/edit#gid=0"", ""Maths!M:N""), 2, FALSE)"),"State the prime factorisation process for cube numbers")</f>
        <v>State the prime factorisation process for cube numbers</v>
      </c>
      <c r="N41" s="100" t="str">
        <f t="shared" si="8"/>
        <v>LU000663.003</v>
      </c>
      <c r="O41" s="100" t="str">
        <f ca="1">IFERROR(__xludf.dummyfunction("VLOOKUP(N41, IMPORTRANGE(""https://docs.google.com/spreadsheets/d/1yDAaXNsi4Mr5FtRQL4tbmSdIzhx6_m4wkOD7IG-k_eo/edit#gid=0"", ""Maths!M:N""), 2, FALSE)"),"Apply the knowledge of prime factorisation to find the prime factors of various cube numbers and express them in their prime factored form.")</f>
        <v>Apply the knowledge of prime factorisation to find the prime factors of various cube numbers and express them in their prime factored form.</v>
      </c>
      <c r="P41" s="100" t="str">
        <f t="shared" si="9"/>
        <v>LU000663.004</v>
      </c>
      <c r="Q41" s="100" t="str">
        <f ca="1">IFERROR(__xludf.dummyfunction("VLOOKUP(P41, IMPORTRANGE(""https://docs.google.com/spreadsheets/d/1yDAaXNsi4Mr5FtRQL4tbmSdIzhx6_m4wkOD7IG-k_eo/edit#gid=0"", ""Maths!M:N""), 2, FALSE)"),"Analyse the prime factorisation of cube numbers to identify common factors or patterns among different cube numbers.")</f>
        <v>Analyse the prime factorisation of cube numbers to identify common factors or patterns among different cube numbers.</v>
      </c>
      <c r="R41" s="100" t="str">
        <f t="shared" si="10"/>
        <v>LU000663.005</v>
      </c>
      <c r="S41" s="100" t="str">
        <f ca="1">IFERROR(__xludf.dummyfunction("VLOOKUP(R41, IMPORTRANGE(""https://docs.google.com/spreadsheets/d/1yDAaXNsi4Mr5FtRQL4tbmSdIzhx6_m4wkOD7IG-k_eo/edit#gid=0"", ""Maths!M:N""), 2, FALSE)"),"Evaluate the prime factorisation of cube numbers to determine if they are perfect cubes or not, and explain the criteria for a cube number to be a perfect cube.")</f>
        <v>Evaluate the prime factorisation of cube numbers to determine if they are perfect cubes or not, and explain the criteria for a cube number to be a perfect cube.</v>
      </c>
      <c r="T41" s="100" t="str">
        <f t="shared" si="11"/>
        <v>LU000663.006</v>
      </c>
      <c r="U41" s="100" t="str">
        <f ca="1">IFERROR(__xludf.dummyfunction("VLOOKUP(T41, IMPORTRANGE(""https://docs.google.com/spreadsheets/d/1yDAaXNsi4Mr5FtRQL4tbmSdIzhx6_m4wkOD7IG-k_eo/edit#gid=0"", ""Maths!M:N""), 2, FALSE)"),"#N/A")</f>
        <v>#N/A</v>
      </c>
      <c r="V41" s="16">
        <f ca="1">IFERROR(__xludf.dummyfunction("ArrayFormula(VLOOKUP(G41, IMPORTRANGE(""https://docs.google.com/spreadsheets/d/1p7R4vtkWt5VOBim4ltsDG9KTzSjrtKXsMtQGXPHyND0/edit#gid=795171502"", ""'Filter 30_05_2024'!A1:M2000""), {2, 3, 4, 5,6,7,8,9,10,11,12,13}, 0))"),4)</f>
        <v>4</v>
      </c>
      <c r="W41" s="16">
        <f ca="1">IFERROR(__xludf.dummyfunction("""COMPUTED_VALUE"""),6)</f>
        <v>6</v>
      </c>
      <c r="X41" s="16">
        <f ca="1">IFERROR(__xludf.dummyfunction("""COMPUTED_VALUE"""),2)</f>
        <v>2</v>
      </c>
      <c r="Y41" s="16">
        <f ca="1">IFERROR(__xludf.dummyfunction("""COMPUTED_VALUE"""),12)</f>
        <v>12</v>
      </c>
      <c r="Z41" s="16">
        <f ca="1">IFERROR(__xludf.dummyfunction("""COMPUTED_VALUE"""),4)</f>
        <v>4</v>
      </c>
      <c r="AA41" s="30">
        <f ca="1">IFERROR(__xludf.dummyfunction("""COMPUTED_VALUE"""),3)</f>
        <v>3</v>
      </c>
      <c r="AB41" s="30">
        <f ca="1">IFERROR(__xludf.dummyfunction("""COMPUTED_VALUE"""),1)</f>
        <v>1</v>
      </c>
      <c r="AC41" s="30">
        <f ca="1">IFERROR(__xludf.dummyfunction("""COMPUTED_VALUE"""),8)</f>
        <v>8</v>
      </c>
      <c r="AD41" s="16"/>
      <c r="AE41" s="30"/>
      <c r="AF41" s="30"/>
      <c r="AG41" s="30"/>
    </row>
    <row r="42" spans="1:33" ht="26.4">
      <c r="A42" s="25"/>
      <c r="B42" s="25" t="s">
        <v>29</v>
      </c>
      <c r="C42" s="25" t="s">
        <v>310</v>
      </c>
      <c r="D42" s="25">
        <v>8</v>
      </c>
      <c r="E42" s="70" t="s">
        <v>1090</v>
      </c>
      <c r="F42" s="70" t="s">
        <v>1093</v>
      </c>
      <c r="G42" s="87" t="s">
        <v>1095</v>
      </c>
      <c r="H42" s="64" t="str">
        <f ca="1">IFERROR(__xludf.dummyfunction("IFERROR(
  VLOOKUP(G42, IMPORTRANGE(""https://docs.google.com/spreadsheets/d/14deopnvwcrKtEGCKuYXdUHJbeLDZlkiSSWWT0g7x2pM/edit#gid=849066331"", ""LU List Maths (Filter)!A:B""), 2, FALSE),
  IFERROR(
    VLOOKUP(G42, IMPORTRANGE(""https://docs.google.com/s"&amp;"preadsheets/d/14deopnvwcrKtEGCKuYXdUHJbeLDZlkiSSWWT0g7x2pM/edit#gid=849066331"", ""LU List Science (Filter)!A:B""), 2, FALSE),
    ""Not Found""
  )
)
"),"Use of prime factorisation to make a perfect cube")</f>
        <v>Use of prime factorisation to make a perfect cube</v>
      </c>
      <c r="I42" s="64"/>
      <c r="J42" s="100" t="str">
        <f t="shared" si="6"/>
        <v>LU000664.001</v>
      </c>
      <c r="K42" s="100" t="str">
        <f ca="1">IFERROR(__xludf.dummyfunction("VLOOKUP(J42, IMPORTRANGE(""https://docs.google.com/spreadsheets/d/1yDAaXNsi4Mr5FtRQL4tbmSdIzhx6_m4wkOD7IG-k_eo/edit#gid=0"", ""Maths!M:N""), 2, FALSE)"),"Recall how to utilise prime factorisation to create a perfect cube.")</f>
        <v>Recall how to utilise prime factorisation to create a perfect cube.</v>
      </c>
      <c r="L42" s="100" t="str">
        <f t="shared" si="7"/>
        <v>LU000664.002</v>
      </c>
      <c r="M42" s="100" t="str">
        <f ca="1">IFERROR(__xludf.dummyfunction("VLOOKUP(L42, IMPORTRANGE(""https://docs.google.com/spreadsheets/d/1yDAaXNsi4Mr5FtRQL4tbmSdIzhx6_m4wkOD7IG-k_eo/edit#gid=0"", ""Maths!M:N""), 2, FALSE)"),"Describe how prime factorization can be used to identify missing factors needed to make a non-perfect cube into a perfect cube.")</f>
        <v>Describe how prime factorization can be used to identify missing factors needed to make a non-perfect cube into a perfect cube.</v>
      </c>
      <c r="N42" s="100" t="str">
        <f t="shared" si="8"/>
        <v>LU000664.003</v>
      </c>
      <c r="O42" s="100" t="str">
        <f ca="1">IFERROR(__xludf.dummyfunction("VLOOKUP(N42, IMPORTRANGE(""https://docs.google.com/spreadsheets/d/1yDAaXNsi4Mr5FtRQL4tbmSdIzhx6_m4wkOD7IG-k_eo/edit#gid=0"", ""Maths!M:N""), 2, FALSE)"),"Use prime factorization to identify the missing factors needed to convert a number into a perfect cube.")</f>
        <v>Use prime factorization to identify the missing factors needed to convert a number into a perfect cube.</v>
      </c>
      <c r="P42" s="100" t="str">
        <f t="shared" si="9"/>
        <v>LU000664.004</v>
      </c>
      <c r="Q42" s="100" t="str">
        <f ca="1">IFERROR(__xludf.dummyfunction("VLOOKUP(P42, IMPORTRANGE(""https://docs.google.com/spreadsheets/d/1yDAaXNsi4Mr5FtRQL4tbmSdIzhx6_m4wkOD7IG-k_eo/edit#gid=0"", ""Maths!M:N""), 2, FALSE)"),"Analyse the process of converting a non-perfect cube numbers into a perfect cube. ")</f>
        <v xml:space="preserve">Analyse the process of converting a non-perfect cube numbers into a perfect cube. </v>
      </c>
      <c r="R42" s="100" t="str">
        <f t="shared" si="10"/>
        <v>LU000664.005</v>
      </c>
      <c r="S42" s="100" t="str">
        <f ca="1">IFERROR(__xludf.dummyfunction("VLOOKUP(R42, IMPORTRANGE(""https://docs.google.com/spreadsheets/d/1yDAaXNsi4Mr5FtRQL4tbmSdIzhx6_m4wkOD7IG-k_eo/edit#gid=0"", ""Maths!M:N""), 2, FALSE)"),"Evaluate the effectiveness of using prime factorization to make non-perfect cubes into perfect cubes")</f>
        <v>Evaluate the effectiveness of using prime factorization to make non-perfect cubes into perfect cubes</v>
      </c>
      <c r="T42" s="100" t="str">
        <f t="shared" si="11"/>
        <v>LU000664.006</v>
      </c>
      <c r="U42" s="100" t="str">
        <f ca="1">IFERROR(__xludf.dummyfunction("VLOOKUP(T42, IMPORTRANGE(""https://docs.google.com/spreadsheets/d/1yDAaXNsi4Mr5FtRQL4tbmSdIzhx6_m4wkOD7IG-k_eo/edit#gid=0"", ""Maths!M:N""), 2, FALSE)"),"#N/A")</f>
        <v>#N/A</v>
      </c>
      <c r="V42" s="16">
        <f ca="1">IFERROR(__xludf.dummyfunction("ArrayFormula(VLOOKUP(G42, IMPORTRANGE(""https://docs.google.com/spreadsheets/d/1p7R4vtkWt5VOBim4ltsDG9KTzSjrtKXsMtQGXPHyND0/edit#gid=795171502"", ""'Filter 30_05_2024'!A1:M2000""), {2, 3, 4, 5,6,7,8,9,10,11,12,13}, 0))"),4)</f>
        <v>4</v>
      </c>
      <c r="W42" s="16">
        <f ca="1">IFERROR(__xludf.dummyfunction("""COMPUTED_VALUE"""),6)</f>
        <v>6</v>
      </c>
      <c r="X42" s="16">
        <f ca="1">IFERROR(__xludf.dummyfunction("""COMPUTED_VALUE"""),2)</f>
        <v>2</v>
      </c>
      <c r="Y42" s="16">
        <f ca="1">IFERROR(__xludf.dummyfunction("""COMPUTED_VALUE"""),12)</f>
        <v>12</v>
      </c>
      <c r="Z42" s="16">
        <f ca="1">IFERROR(__xludf.dummyfunction("""COMPUTED_VALUE"""),4)</f>
        <v>4</v>
      </c>
      <c r="AA42" s="30">
        <f ca="1">IFERROR(__xludf.dummyfunction("""COMPUTED_VALUE"""),3)</f>
        <v>3</v>
      </c>
      <c r="AB42" s="30">
        <f ca="1">IFERROR(__xludf.dummyfunction("""COMPUTED_VALUE"""),1)</f>
        <v>1</v>
      </c>
      <c r="AC42" s="30">
        <f ca="1">IFERROR(__xludf.dummyfunction("""COMPUTED_VALUE"""),8)</f>
        <v>8</v>
      </c>
      <c r="AD42" s="16"/>
      <c r="AE42" s="30"/>
      <c r="AF42" s="30"/>
      <c r="AG42" s="30"/>
    </row>
    <row r="43" spans="1:33" ht="26.4">
      <c r="A43" s="25"/>
      <c r="B43" s="25" t="s">
        <v>29</v>
      </c>
      <c r="C43" s="25" t="s">
        <v>310</v>
      </c>
      <c r="D43" s="25">
        <v>8</v>
      </c>
      <c r="E43" s="70" t="s">
        <v>1090</v>
      </c>
      <c r="F43" s="70" t="s">
        <v>1096</v>
      </c>
      <c r="G43" s="87" t="s">
        <v>1097</v>
      </c>
      <c r="H43" s="64" t="str">
        <f ca="1">IFERROR(__xludf.dummyfunction("IFERROR(
  VLOOKUP(G43, IMPORTRANGE(""https://docs.google.com/spreadsheets/d/14deopnvwcrKtEGCKuYXdUHJbeLDZlkiSSWWT0g7x2pM/edit#gid=849066331"", ""LU List Maths (Filter)!A:B""), 2, FALSE),
  IFERROR(
    VLOOKUP(G43, IMPORTRANGE(""https://docs.google.com/s"&amp;"preadsheets/d/14deopnvwcrKtEGCKuYXdUHJbeLDZlkiSSWWT0g7x2pM/edit#gid=849066331"", ""LU List Science (Filter)!A:B""), 2, FALSE),
    ""Not Found""
  )
)
"),"Definition and representation of cube root of a number")</f>
        <v>Definition and representation of cube root of a number</v>
      </c>
      <c r="I43" s="64"/>
      <c r="J43" s="100" t="str">
        <f t="shared" si="6"/>
        <v>LU000659.001</v>
      </c>
      <c r="K43" s="100" t="str">
        <f ca="1">IFERROR(__xludf.dummyfunction("VLOOKUP(J43, IMPORTRANGE(""https://docs.google.com/spreadsheets/d/1yDAaXNsi4Mr5FtRQL4tbmSdIzhx6_m4wkOD7IG-k_eo/edit#gid=0"", ""Maths!M:N""), 2, FALSE)"),"State the definition of cube root as the value that, when multiplied by itself three times, equals a given number.")</f>
        <v>State the definition of cube root as the value that, when multiplied by itself three times, equals a given number.</v>
      </c>
      <c r="L43" s="100" t="str">
        <f t="shared" si="7"/>
        <v>LU000659.002</v>
      </c>
      <c r="M43" s="100" t="str">
        <f ca="1">IFERROR(__xludf.dummyfunction("VLOOKUP(L43, IMPORTRANGE(""https://docs.google.com/spreadsheets/d/1yDAaXNsi4Mr5FtRQL4tbmSdIzhx6_m4wkOD7IG-k_eo/edit#gid=0"", ""Maths!M:N""), 2, FALSE)"),"Explain the concept of cube roots and their significance in mathematics.")</f>
        <v>Explain the concept of cube roots and their significance in mathematics.</v>
      </c>
      <c r="N43" s="100" t="str">
        <f t="shared" si="8"/>
        <v>LU000659.003</v>
      </c>
      <c r="O43" s="100" t="str">
        <f ca="1">IFERROR(__xludf.dummyfunction("VLOOKUP(N43, IMPORTRANGE(""https://docs.google.com/spreadsheets/d/1yDAaXNsi4Mr5FtRQL4tbmSdIzhx6_m4wkOD7IG-k_eo/edit#gid=0"", ""Maths!M:N""), 2, FALSE)"),"Apply the knowledge of cube roots to calculate the cube root of numbers.")</f>
        <v>Apply the knowledge of cube roots to calculate the cube root of numbers.</v>
      </c>
      <c r="P43" s="100" t="str">
        <f t="shared" si="9"/>
        <v>LU000659.004</v>
      </c>
      <c r="Q43" s="100" t="str">
        <f ca="1">IFERROR(__xludf.dummyfunction("VLOOKUP(P43, IMPORTRANGE(""https://docs.google.com/spreadsheets/d/1yDAaXNsi4Mr5FtRQL4tbmSdIzhx6_m4wkOD7IG-k_eo/edit#gid=0"", ""Maths!M:N""), 2, FALSE)"),"Analyse the properties of cube roots, such as identifying patterns in their values.")</f>
        <v>Analyse the properties of cube roots, such as identifying patterns in their values.</v>
      </c>
      <c r="R43" s="100" t="str">
        <f t="shared" si="10"/>
        <v>LU000659.005</v>
      </c>
      <c r="S43" s="100" t="str">
        <f ca="1">IFERROR(__xludf.dummyfunction("VLOOKUP(R43, IMPORTRANGE(""https://docs.google.com/spreadsheets/d/1yDAaXNsi4Mr5FtRQL4tbmSdIzhx6_m4wkOD7IG-k_eo/edit#gid=0"", ""Maths!M:N""), 2, FALSE)"),"Evaluate the use of cube roots in real-life situations and problem-solving.")</f>
        <v>Evaluate the use of cube roots in real-life situations and problem-solving.</v>
      </c>
      <c r="T43" s="100" t="str">
        <f t="shared" si="11"/>
        <v>LU000659.006</v>
      </c>
      <c r="U43" s="100" t="str">
        <f ca="1">IFERROR(__xludf.dummyfunction("VLOOKUP(T43, IMPORTRANGE(""https://docs.google.com/spreadsheets/d/1yDAaXNsi4Mr5FtRQL4tbmSdIzhx6_m4wkOD7IG-k_eo/edit#gid=0"", ""Maths!M:N""), 2, FALSE)"),"Design word problems that require students to calculate cube roots and apply them in practical scenarios.")</f>
        <v>Design word problems that require students to calculate cube roots and apply them in practical scenarios.</v>
      </c>
      <c r="V43" s="16">
        <f ca="1">IFERROR(__xludf.dummyfunction("ArrayFormula(VLOOKUP(G43, IMPORTRANGE(""https://docs.google.com/spreadsheets/d/1p7R4vtkWt5VOBim4ltsDG9KTzSjrtKXsMtQGXPHyND0/edit#gid=795171502"", ""'Filter 30_05_2024'!A1:M2000""), {2, 3, 4, 5,6,7,8,9,10,11,12,13}, 0))"),4)</f>
        <v>4</v>
      </c>
      <c r="W43" s="16">
        <f ca="1">IFERROR(__xludf.dummyfunction("""COMPUTED_VALUE"""),6)</f>
        <v>6</v>
      </c>
      <c r="X43" s="16">
        <f ca="1">IFERROR(__xludf.dummyfunction("""COMPUTED_VALUE"""),2)</f>
        <v>2</v>
      </c>
      <c r="Y43" s="16">
        <f ca="1">IFERROR(__xludf.dummyfunction("""COMPUTED_VALUE"""),12)</f>
        <v>12</v>
      </c>
      <c r="Z43" s="16">
        <f ca="1">IFERROR(__xludf.dummyfunction("""COMPUTED_VALUE"""),4)</f>
        <v>4</v>
      </c>
      <c r="AA43" s="30">
        <f ca="1">IFERROR(__xludf.dummyfunction("""COMPUTED_VALUE"""),3)</f>
        <v>3</v>
      </c>
      <c r="AB43" s="30">
        <f ca="1">IFERROR(__xludf.dummyfunction("""COMPUTED_VALUE"""),1)</f>
        <v>1</v>
      </c>
      <c r="AC43" s="30">
        <f ca="1">IFERROR(__xludf.dummyfunction("""COMPUTED_VALUE"""),8)</f>
        <v>8</v>
      </c>
      <c r="AD43" s="16"/>
      <c r="AE43" s="30"/>
      <c r="AF43" s="30"/>
      <c r="AG43" s="30"/>
    </row>
    <row r="44" spans="1:33" ht="26.4">
      <c r="A44" s="25"/>
      <c r="B44" s="25" t="s">
        <v>29</v>
      </c>
      <c r="C44" s="25" t="s">
        <v>310</v>
      </c>
      <c r="D44" s="25">
        <v>8</v>
      </c>
      <c r="E44" s="70" t="s">
        <v>1090</v>
      </c>
      <c r="F44" s="70" t="s">
        <v>1096</v>
      </c>
      <c r="G44" s="87" t="s">
        <v>1098</v>
      </c>
      <c r="H44" s="64" t="str">
        <f ca="1">IFERROR(__xludf.dummyfunction("IFERROR(
  VLOOKUP(G44, IMPORTRANGE(""https://docs.google.com/spreadsheets/d/14deopnvwcrKtEGCKuYXdUHJbeLDZlkiSSWWT0g7x2pM/edit#gid=849066331"", ""LU List Maths (Filter)!A:B""), 2, FALSE),
  IFERROR(
    VLOOKUP(G44, IMPORTRANGE(""https://docs.google.com/s"&amp;"preadsheets/d/14deopnvwcrKtEGCKuYXdUHJbeLDZlkiSSWWT0g7x2pM/edit#gid=849066331"", ""LU List Science (Filter)!A:B""), 2, FALSE),
    ""Not Found""
  )
)
"),"Cube root through prime factorisation")</f>
        <v>Cube root through prime factorisation</v>
      </c>
      <c r="I44" s="64"/>
      <c r="J44" s="100" t="str">
        <f t="shared" si="6"/>
        <v>LU000666.001</v>
      </c>
      <c r="K44" s="100" t="str">
        <f ca="1">IFERROR(__xludf.dummyfunction("VLOOKUP(J44, IMPORTRANGE(""https://docs.google.com/spreadsheets/d/1yDAaXNsi4Mr5FtRQL4tbmSdIzhx6_m4wkOD7IG-k_eo/edit#gid=0"", ""Maths!M:N""), 2, FALSE)"),"Recall the concept of prime factorisation and its importance in mathematics.")</f>
        <v>Recall the concept of prime factorisation and its importance in mathematics.</v>
      </c>
      <c r="L44" s="100" t="str">
        <f t="shared" si="7"/>
        <v>LU000666.002</v>
      </c>
      <c r="M44" s="100" t="str">
        <f ca="1">IFERROR(__xludf.dummyfunction("VLOOKUP(L44, IMPORTRANGE(""https://docs.google.com/spreadsheets/d/1yDAaXNsi4Mr5FtRQL4tbmSdIzhx6_m4wkOD7IG-k_eo/edit#gid=0"", ""Maths!M:N""), 2, FALSE)"),"Understand the relationship between prime factorisation and cube roots, and how prime factors contribute to finding cube roots.")</f>
        <v>Understand the relationship between prime factorisation and cube roots, and how prime factors contribute to finding cube roots.</v>
      </c>
      <c r="N44" s="100" t="str">
        <f t="shared" si="8"/>
        <v>LU000666.003</v>
      </c>
      <c r="O44" s="100" t="str">
        <f ca="1">IFERROR(__xludf.dummyfunction("VLOOKUP(N44, IMPORTRANGE(""https://docs.google.com/spreadsheets/d/1yDAaXNsi4Mr5FtRQL4tbmSdIzhx6_m4wkOD7IG-k_eo/edit#gid=0"", ""Maths!M:N""), 2, FALSE)"),"Apply the prime factorisation method to find the cube root of a given cube number using its prime factors.")</f>
        <v>Apply the prime factorisation method to find the cube root of a given cube number using its prime factors.</v>
      </c>
      <c r="P44" s="100" t="str">
        <f t="shared" si="9"/>
        <v>LU000666.004</v>
      </c>
      <c r="Q44" s="100" t="str">
        <f ca="1">IFERROR(__xludf.dummyfunction("VLOOKUP(P44, IMPORTRANGE(""https://docs.google.com/spreadsheets/d/1yDAaXNsi4Mr5FtRQL4tbmSdIzhx6_m4wkOD7IG-k_eo/edit#gid=0"", ""Maths!M:N""), 2, FALSE)"),"Analyse how the prime factors of a cube number influence the determination of its cube root and the accuracy of the result.")</f>
        <v>Analyse how the prime factors of a cube number influence the determination of its cube root and the accuracy of the result.</v>
      </c>
      <c r="R44" s="100" t="str">
        <f t="shared" si="10"/>
        <v>LU000666.005</v>
      </c>
      <c r="S44" s="100" t="str">
        <f ca="1">IFERROR(__xludf.dummyfunction("VLOOKUP(R44, IMPORTRANGE(""https://docs.google.com/spreadsheets/d/1yDAaXNsi4Mr5FtRQL4tbmSdIzhx6_m4wkOD7IG-k_eo/edit#gid=0"", ""Maths!M:N""), 2, FALSE)"),"Evaluate the efficiency of using prime factorisation for finding cube roots, considering its advantages and limitations compared to other methods.")</f>
        <v>Evaluate the efficiency of using prime factorisation for finding cube roots, considering its advantages and limitations compared to other methods.</v>
      </c>
      <c r="T44" s="100" t="str">
        <f t="shared" si="11"/>
        <v>LU000666.006</v>
      </c>
      <c r="U44" s="100" t="str">
        <f ca="1">IFERROR(__xludf.dummyfunction("VLOOKUP(T44, IMPORTRANGE(""https://docs.google.com/spreadsheets/d/1yDAaXNsi4Mr5FtRQL4tbmSdIzhx6_m4wkOD7IG-k_eo/edit#gid=0"", ""Maths!M:N""), 2, FALSE)"),"Develop a clear and detailed set of instructions for using prime factorisation to determine the cube root of a specific cube number.")</f>
        <v>Develop a clear and detailed set of instructions for using prime factorisation to determine the cube root of a specific cube number.</v>
      </c>
      <c r="V44" s="16">
        <f ca="1">IFERROR(__xludf.dummyfunction("ArrayFormula(VLOOKUP(G44, IMPORTRANGE(""https://docs.google.com/spreadsheets/d/1p7R4vtkWt5VOBim4ltsDG9KTzSjrtKXsMtQGXPHyND0/edit#gid=795171502"", ""'Filter 30_05_2024'!A1:M2000""), {2, 3, 4, 5,6,7,8,9,10,11,12,13}, 0))"),4)</f>
        <v>4</v>
      </c>
      <c r="W44" s="16">
        <f ca="1">IFERROR(__xludf.dummyfunction("""COMPUTED_VALUE"""),6)</f>
        <v>6</v>
      </c>
      <c r="X44" s="16">
        <f ca="1">IFERROR(__xludf.dummyfunction("""COMPUTED_VALUE"""),2)</f>
        <v>2</v>
      </c>
      <c r="Y44" s="16">
        <f ca="1">IFERROR(__xludf.dummyfunction("""COMPUTED_VALUE"""),12)</f>
        <v>12</v>
      </c>
      <c r="Z44" s="16">
        <f ca="1">IFERROR(__xludf.dummyfunction("""COMPUTED_VALUE"""),4)</f>
        <v>4</v>
      </c>
      <c r="AA44" s="30">
        <f ca="1">IFERROR(__xludf.dummyfunction("""COMPUTED_VALUE"""),3)</f>
        <v>3</v>
      </c>
      <c r="AB44" s="30">
        <f ca="1">IFERROR(__xludf.dummyfunction("""COMPUTED_VALUE"""),1)</f>
        <v>1</v>
      </c>
      <c r="AC44" s="30">
        <f ca="1">IFERROR(__xludf.dummyfunction("""COMPUTED_VALUE"""),8)</f>
        <v>8</v>
      </c>
      <c r="AD44" s="16"/>
      <c r="AE44" s="30"/>
      <c r="AF44" s="30"/>
      <c r="AG44" s="30"/>
    </row>
    <row r="45" spans="1:33" ht="26.4">
      <c r="A45" s="25"/>
      <c r="B45" s="25" t="s">
        <v>29</v>
      </c>
      <c r="C45" s="25" t="s">
        <v>310</v>
      </c>
      <c r="D45" s="25">
        <v>8</v>
      </c>
      <c r="E45" s="70" t="s">
        <v>1090</v>
      </c>
      <c r="F45" s="70" t="s">
        <v>1096</v>
      </c>
      <c r="G45" s="87" t="s">
        <v>1099</v>
      </c>
      <c r="H45" s="64" t="str">
        <f ca="1">IFERROR(__xludf.dummyfunction("IFERROR(
  VLOOKUP(G45, IMPORTRANGE(""https://docs.google.com/spreadsheets/d/14deopnvwcrKtEGCKuYXdUHJbeLDZlkiSSWWT0g7x2pM/edit#gid=849066331"", ""LU List Maths (Filter)!A:B""), 2, FALSE),
  IFERROR(
    VLOOKUP(G45, IMPORTRANGE(""https://docs.google.com/s"&amp;"preadsheets/d/14deopnvwcrKtEGCKuYXdUHJbeLDZlkiSSWWT0g7x2pM/edit#gid=849066331"", ""LU List Science (Filter)!A:B""), 2, FALSE),
    ""Not Found""
  )
)
"),"Cube root of products")</f>
        <v>Cube root of products</v>
      </c>
      <c r="I45" s="64"/>
      <c r="J45" s="100" t="str">
        <f t="shared" si="6"/>
        <v>LU001124.001</v>
      </c>
      <c r="K45" s="100" t="str">
        <f ca="1">IFERROR(__xludf.dummyfunction("VLOOKUP(J45, IMPORTRANGE(""https://docs.google.com/spreadsheets/d/1yDAaXNsi4Mr5FtRQL4tbmSdIzhx6_m4wkOD7IG-k_eo/edit#gid=0"", ""Maths!M:N""), 2, FALSE)"),"Identify the cube root of a product of numbers.")</f>
        <v>Identify the cube root of a product of numbers.</v>
      </c>
      <c r="L45" s="100" t="str">
        <f t="shared" si="7"/>
        <v>LU001124.002</v>
      </c>
      <c r="M45" s="100" t="str">
        <f ca="1">IFERROR(__xludf.dummyfunction("VLOOKUP(L45, IMPORTRANGE(""https://docs.google.com/spreadsheets/d/1yDAaXNsi4Mr5FtRQL4tbmSdIzhx6_m4wkOD7IG-k_eo/edit#gid=0"", ""Maths!M:N""), 2, FALSE)"),"Describe how to find the cube root of a product.")</f>
        <v>Describe how to find the cube root of a product.</v>
      </c>
      <c r="N45" s="100" t="str">
        <f t="shared" si="8"/>
        <v>LU001124.003</v>
      </c>
      <c r="O45" s="100" t="str">
        <f ca="1">IFERROR(__xludf.dummyfunction("VLOOKUP(N45, IMPORTRANGE(""https://docs.google.com/spreadsheets/d/1yDAaXNsi4Mr5FtRQL4tbmSdIzhx6_m4wkOD7IG-k_eo/edit#gid=0"", ""Maths!M:N""), 2, FALSE)"),"Apply the cube root operation to the product of numbers.")</f>
        <v>Apply the cube root operation to the product of numbers.</v>
      </c>
      <c r="P45" s="100" t="str">
        <f t="shared" si="9"/>
        <v>LU001124.004</v>
      </c>
      <c r="Q45" s="100" t="str">
        <f ca="1">IFERROR(__xludf.dummyfunction("VLOOKUP(P45, IMPORTRANGE(""https://docs.google.com/spreadsheets/d/1yDAaXNsi4Mr5FtRQL4tbmSdIzhx6_m4wkOD7IG-k_eo/edit#gid=0"", ""Maths!M:N""), 2, FALSE)"),"Analyse the relationship between the cube roots of individual factors and the cube root of their product.")</f>
        <v>Analyse the relationship between the cube roots of individual factors and the cube root of their product.</v>
      </c>
      <c r="R45" s="100" t="str">
        <f t="shared" si="10"/>
        <v>LU001124.005</v>
      </c>
      <c r="S45" s="100" t="str">
        <f ca="1">IFERROR(__xludf.dummyfunction("VLOOKUP(R45, IMPORTRANGE(""https://docs.google.com/spreadsheets/d/1yDAaXNsi4Mr5FtRQL4tbmSdIzhx6_m4wkOD7IG-k_eo/edit#gid=0"", ""Maths!M:N""), 2, FALSE)"),"Evaluate the accuracy of calculated cube roots of products.")</f>
        <v>Evaluate the accuracy of calculated cube roots of products.</v>
      </c>
      <c r="T45" s="100" t="str">
        <f t="shared" si="11"/>
        <v>LU001124.006</v>
      </c>
      <c r="U45" s="100" t="str">
        <f ca="1">IFERROR(__xludf.dummyfunction("VLOOKUP(T45, IMPORTRANGE(""https://docs.google.com/spreadsheets/d/1yDAaXNsi4Mr5FtRQL4tbmSdIzhx6_m4wkOD7IG-k_eo/edit#gid=0"", ""Maths!M:N""), 2, FALSE)"),"Construct problems involving the cube root of products for peer-solving activities.")</f>
        <v>Construct problems involving the cube root of products for peer-solving activities.</v>
      </c>
      <c r="V45" s="16" t="str">
        <f ca="1">IFERROR(__xludf.dummyfunction("ArrayFormula(VLOOKUP(G45, IMPORTRANGE(""https://docs.google.com/spreadsheets/d/1p7R4vtkWt5VOBim4ltsDG9KTzSjrtKXsMtQGXPHyND0/edit#gid=795171502"", ""'Filter 30_05_2024'!A1:M2000""), {2, 3, 4, 5,6,7,8,9,10,11,12,13}, 0))"),"#N/A")</f>
        <v>#N/A</v>
      </c>
      <c r="W45" s="16" t="str">
        <f ca="1">IFERROR(__xludf.dummyfunction("""COMPUTED_VALUE"""),"#N/A")</f>
        <v>#N/A</v>
      </c>
      <c r="X45" s="16" t="str">
        <f ca="1">IFERROR(__xludf.dummyfunction("""COMPUTED_VALUE"""),"#N/A")</f>
        <v>#N/A</v>
      </c>
      <c r="Y45" s="16" t="str">
        <f ca="1">IFERROR(__xludf.dummyfunction("""COMPUTED_VALUE"""),"#N/A")</f>
        <v>#N/A</v>
      </c>
      <c r="Z45" s="16" t="str">
        <f ca="1">IFERROR(__xludf.dummyfunction("""COMPUTED_VALUE"""),"#N/A")</f>
        <v>#N/A</v>
      </c>
      <c r="AA45" s="30" t="str">
        <f ca="1">IFERROR(__xludf.dummyfunction("""COMPUTED_VALUE"""),"#N/A")</f>
        <v>#N/A</v>
      </c>
      <c r="AB45" s="30" t="str">
        <f ca="1">IFERROR(__xludf.dummyfunction("""COMPUTED_VALUE"""),"#N/A")</f>
        <v>#N/A</v>
      </c>
      <c r="AC45" s="30" t="str">
        <f ca="1">IFERROR(__xludf.dummyfunction("""COMPUTED_VALUE"""),"#N/A")</f>
        <v>#N/A</v>
      </c>
      <c r="AD45" s="16" t="str">
        <f ca="1">IFERROR(__xludf.dummyfunction("""COMPUTED_VALUE"""),"#N/A")</f>
        <v>#N/A</v>
      </c>
      <c r="AE45" s="30" t="str">
        <f ca="1">IFERROR(__xludf.dummyfunction("""COMPUTED_VALUE"""),"#N/A")</f>
        <v>#N/A</v>
      </c>
      <c r="AF45" s="30" t="str">
        <f ca="1">IFERROR(__xludf.dummyfunction("""COMPUTED_VALUE"""),"#N/A")</f>
        <v>#N/A</v>
      </c>
      <c r="AG45" s="30" t="str">
        <f ca="1">IFERROR(__xludf.dummyfunction("""COMPUTED_VALUE"""),"#N/A")</f>
        <v>#N/A</v>
      </c>
    </row>
    <row r="46" spans="1:33" ht="26.4">
      <c r="A46" s="25"/>
      <c r="B46" s="25" t="s">
        <v>29</v>
      </c>
      <c r="C46" s="25" t="s">
        <v>310</v>
      </c>
      <c r="D46" s="25">
        <v>8</v>
      </c>
      <c r="E46" s="70" t="s">
        <v>1090</v>
      </c>
      <c r="F46" s="70" t="s">
        <v>1096</v>
      </c>
      <c r="G46" s="87" t="s">
        <v>1100</v>
      </c>
      <c r="H46" s="64" t="str">
        <f ca="1">IFERROR(__xludf.dummyfunction("IFERROR(
  VLOOKUP(G46, IMPORTRANGE(""https://docs.google.com/spreadsheets/d/14deopnvwcrKtEGCKuYXdUHJbeLDZlkiSSWWT0g7x2pM/edit#gid=849066331"", ""LU List Maths (Filter)!A:B""), 2, FALSE),
  IFERROR(
    VLOOKUP(G46, IMPORTRANGE(""https://docs.google.com/s"&amp;"preadsheets/d/14deopnvwcrKtEGCKuYXdUHJbeLDZlkiSSWWT0g7x2pM/edit#gid=849066331"", ""LU List Science (Filter)!A:B""), 2, FALSE),
    ""Not Found""
  )
)
"),"Cube root of perfect cube number (decimals)")</f>
        <v>Cube root of perfect cube number (decimals)</v>
      </c>
      <c r="I46" s="64"/>
      <c r="J46" s="100" t="str">
        <f t="shared" si="6"/>
        <v>LU001125.001</v>
      </c>
      <c r="K46" s="100" t="str">
        <f ca="1">IFERROR(__xludf.dummyfunction("VLOOKUP(J46, IMPORTRANGE(""https://docs.google.com/spreadsheets/d/1yDAaXNsi4Mr5FtRQL4tbmSdIzhx6_m4wkOD7IG-k_eo/edit#gid=0"", ""Maths!M:N""), 2, FALSE)"),"Identify perfect cube numbers and their cube roots, including decimal values.")</f>
        <v>Identify perfect cube numbers and their cube roots, including decimal values.</v>
      </c>
      <c r="L46" s="100" t="str">
        <f t="shared" si="7"/>
        <v>LU001125.002</v>
      </c>
      <c r="M46" s="100" t="str">
        <f ca="1">IFERROR(__xludf.dummyfunction("VLOOKUP(L46, IMPORTRANGE(""https://docs.google.com/spreadsheets/d/1yDAaXNsi4Mr5FtRQL4tbmSdIzhx6_m4wkOD7IG-k_eo/edit#gid=0"", ""Maths!M:N""), 2, FALSE)"),"Explain the process of finding the cube root of a perfect cube number with decimals.")</f>
        <v>Explain the process of finding the cube root of a perfect cube number with decimals.</v>
      </c>
      <c r="N46" s="100" t="str">
        <f t="shared" si="8"/>
        <v>LU001125.003</v>
      </c>
      <c r="O46" s="100" t="str">
        <f ca="1">IFERROR(__xludf.dummyfunction("VLOOKUP(N46, IMPORTRANGE(""https://docs.google.com/spreadsheets/d/1yDAaXNsi4Mr5FtRQL4tbmSdIzhx6_m4wkOD7IG-k_eo/edit#gid=0"", ""Maths!M:N""), 2, FALSE)"),"Calculate the cube root of a given perfect cube number that includes decimals.")</f>
        <v>Calculate the cube root of a given perfect cube number that includes decimals.</v>
      </c>
      <c r="P46" s="100" t="str">
        <f t="shared" si="9"/>
        <v>LU001125.004</v>
      </c>
      <c r="Q46" s="100" t="str">
        <f ca="1">IFERROR(__xludf.dummyfunction("VLOOKUP(P46, IMPORTRANGE(""https://docs.google.com/spreadsheets/d/1yDAaXNsi4Mr5FtRQL4tbmSdIzhx6_m4wkOD7IG-k_eo/edit#gid=0"", ""Maths!M:N""), 2, FALSE)"),"Analyse the relationship between cube roots and perfect cube numbers in decimal form.")</f>
        <v>Analyse the relationship between cube roots and perfect cube numbers in decimal form.</v>
      </c>
      <c r="R46" s="100" t="str">
        <f t="shared" si="10"/>
        <v>LU001125.005</v>
      </c>
      <c r="S46" s="100" t="str">
        <f ca="1">IFERROR(__xludf.dummyfunction("VLOOKUP(R46, IMPORTRANGE(""https://docs.google.com/spreadsheets/d/1yDAaXNsi4Mr5FtRQL4tbmSdIzhx6_m4wkOD7IG-k_eo/edit#gid=0"", ""Maths!M:N""), 2, FALSE)"),"Evaluate different methods for finding cube roots of perfect cube numbers with decimals and determine the most efficient one.")</f>
        <v>Evaluate different methods for finding cube roots of perfect cube numbers with decimals and determine the most efficient one.</v>
      </c>
      <c r="T46" s="100" t="str">
        <f t="shared" si="11"/>
        <v>LU001125.006</v>
      </c>
      <c r="U46" s="100" t="str">
        <f ca="1">IFERROR(__xludf.dummyfunction("VLOOKUP(T46, IMPORTRANGE(""https://docs.google.com/spreadsheets/d/1yDAaXNsi4Mr5FtRQL4tbmSdIzhx6_m4wkOD7IG-k_eo/edit#gid=0"", ""Maths!M:N""), 2, FALSE)"),"Create and solve complex problems involving the cube root of perfect cube numbers with decimals.")</f>
        <v>Create and solve complex problems involving the cube root of perfect cube numbers with decimals.</v>
      </c>
      <c r="V46" s="16" t="str">
        <f ca="1">IFERROR(__xludf.dummyfunction("ArrayFormula(VLOOKUP(G46, IMPORTRANGE(""https://docs.google.com/spreadsheets/d/1p7R4vtkWt5VOBim4ltsDG9KTzSjrtKXsMtQGXPHyND0/edit#gid=795171502"", ""'Filter 30_05_2024'!A1:M2000""), {2, 3, 4, 5,6,7,8,9,10,11,12,13}, 0))"),"#N/A")</f>
        <v>#N/A</v>
      </c>
      <c r="W46" s="16" t="str">
        <f ca="1">IFERROR(__xludf.dummyfunction("""COMPUTED_VALUE"""),"#N/A")</f>
        <v>#N/A</v>
      </c>
      <c r="X46" s="16" t="str">
        <f ca="1">IFERROR(__xludf.dummyfunction("""COMPUTED_VALUE"""),"#N/A")</f>
        <v>#N/A</v>
      </c>
      <c r="Y46" s="16" t="str">
        <f ca="1">IFERROR(__xludf.dummyfunction("""COMPUTED_VALUE"""),"#N/A")</f>
        <v>#N/A</v>
      </c>
      <c r="Z46" s="16" t="str">
        <f ca="1">IFERROR(__xludf.dummyfunction("""COMPUTED_VALUE"""),"#N/A")</f>
        <v>#N/A</v>
      </c>
      <c r="AA46" s="30" t="str">
        <f ca="1">IFERROR(__xludf.dummyfunction("""COMPUTED_VALUE"""),"#N/A")</f>
        <v>#N/A</v>
      </c>
      <c r="AB46" s="30" t="str">
        <f ca="1">IFERROR(__xludf.dummyfunction("""COMPUTED_VALUE"""),"#N/A")</f>
        <v>#N/A</v>
      </c>
      <c r="AC46" s="30" t="str">
        <f ca="1">IFERROR(__xludf.dummyfunction("""COMPUTED_VALUE"""),"#N/A")</f>
        <v>#N/A</v>
      </c>
      <c r="AD46" s="16" t="str">
        <f ca="1">IFERROR(__xludf.dummyfunction("""COMPUTED_VALUE"""),"#N/A")</f>
        <v>#N/A</v>
      </c>
      <c r="AE46" s="30" t="str">
        <f ca="1">IFERROR(__xludf.dummyfunction("""COMPUTED_VALUE"""),"#N/A")</f>
        <v>#N/A</v>
      </c>
      <c r="AF46" s="30" t="str">
        <f ca="1">IFERROR(__xludf.dummyfunction("""COMPUTED_VALUE"""),"#N/A")</f>
        <v>#N/A</v>
      </c>
      <c r="AG46" s="30" t="str">
        <f ca="1">IFERROR(__xludf.dummyfunction("""COMPUTED_VALUE"""),"#N/A")</f>
        <v>#N/A</v>
      </c>
    </row>
    <row r="47" spans="1:33" ht="26.4">
      <c r="A47" s="25"/>
      <c r="B47" s="25" t="s">
        <v>29</v>
      </c>
      <c r="C47" s="25" t="s">
        <v>310</v>
      </c>
      <c r="D47" s="25">
        <v>8</v>
      </c>
      <c r="E47" s="70" t="s">
        <v>1090</v>
      </c>
      <c r="F47" s="70" t="s">
        <v>1096</v>
      </c>
      <c r="G47" s="64" t="s">
        <v>1101</v>
      </c>
      <c r="H47" s="64" t="str">
        <f ca="1">IFERROR(__xludf.dummyfunction("IFERROR(
  VLOOKUP(G47, IMPORTRANGE(""https://docs.google.com/spreadsheets/d/14deopnvwcrKtEGCKuYXdUHJbeLDZlkiSSWWT0g7x2pM/edit#gid=849066331"", ""LU List Maths (Filter)!A:B""), 2, FALSE),
  IFERROR(
    VLOOKUP(G47, IMPORTRANGE(""https://docs.google.com/s"&amp;"preadsheets/d/14deopnvwcrKtEGCKuYXdUHJbeLDZlkiSSWWT0g7x2pM/edit#gid=849066331"", ""LU List Science (Filter)!A:B""), 2, FALSE),
    ""Not Found""
  )
)
"),"Cube root of negative numbers")</f>
        <v>Cube root of negative numbers</v>
      </c>
      <c r="I47" s="64"/>
      <c r="J47" s="100" t="str">
        <f t="shared" si="6"/>
        <v>LU000918.001</v>
      </c>
      <c r="K47" s="100" t="str">
        <f ca="1">IFERROR(__xludf.dummyfunction("VLOOKUP(J47, IMPORTRANGE(""https://docs.google.com/spreadsheets/d/1yDAaXNsi4Mr5FtRQL4tbmSdIzhx6_m4wkOD7IG-k_eo/edit#gid=0"", ""Maths!M:N""), 2, FALSE)"),"State the definition of cube roots and recognize that negative numbers can have real cube roots.")</f>
        <v>State the definition of cube roots and recognize that negative numbers can have real cube roots.</v>
      </c>
      <c r="L47" s="100" t="str">
        <f t="shared" si="7"/>
        <v>LU000918.002</v>
      </c>
      <c r="M47" s="100" t="str">
        <f ca="1">IFERROR(__xludf.dummyfunction("VLOOKUP(L47, IMPORTRANGE(""https://docs.google.com/spreadsheets/d/1yDAaXNsi4Mr5FtRQL4tbmSdIzhx6_m4wkOD7IG-k_eo/edit#gid=0"", ""Maths!M:N""), 2, FALSE)"),"Explain the concept of cube roots for negative numbers")</f>
        <v>Explain the concept of cube roots for negative numbers</v>
      </c>
      <c r="N47" s="100" t="str">
        <f t="shared" si="8"/>
        <v>LU000918.003</v>
      </c>
      <c r="O47" s="100" t="str">
        <f ca="1">IFERROR(__xludf.dummyfunction("VLOOKUP(N47, IMPORTRANGE(""https://docs.google.com/spreadsheets/d/1yDAaXNsi4Mr5FtRQL4tbmSdIzhx6_m4wkOD7IG-k_eo/edit#gid=0"", ""Maths!M:N""), 2, FALSE)"),"Apply the concept to calculate the cube root of negative numbers in various problems")</f>
        <v>Apply the concept to calculate the cube root of negative numbers in various problems</v>
      </c>
      <c r="P47" s="100" t="str">
        <f t="shared" si="9"/>
        <v>LU000918.004</v>
      </c>
      <c r="Q47" s="100" t="str">
        <f ca="1">IFERROR(__xludf.dummyfunction("VLOOKUP(P47, IMPORTRANGE(""https://docs.google.com/spreadsheets/d/1yDAaXNsi4Mr5FtRQL4tbmSdIzhx6_m4wkOD7IG-k_eo/edit#gid=0"", ""Maths!M:N""), 2, FALSE)"),"Analyze and differentiate between cube roots of negative and positive numbers")</f>
        <v>Analyze and differentiate between cube roots of negative and positive numbers</v>
      </c>
      <c r="R47" s="100" t="str">
        <f t="shared" si="10"/>
        <v>LU000918.005</v>
      </c>
      <c r="S47" s="100" t="str">
        <f ca="1">IFERROR(__xludf.dummyfunction("VLOOKUP(R47, IMPORTRANGE(""https://docs.google.com/spreadsheets/d/1yDAaXNsi4Mr5FtRQL4tbmSdIzhx6_m4wkOD7IG-k_eo/edit#gid=0"", ""Maths!M:N""), 2, FALSE)"),"Evaluate the methods used for finding cube roots of negative numbers")</f>
        <v>Evaluate the methods used for finding cube roots of negative numbers</v>
      </c>
      <c r="T47" s="100" t="str">
        <f t="shared" si="11"/>
        <v>LU000918.006</v>
      </c>
      <c r="U47" s="100" t="str">
        <f ca="1">IFERROR(__xludf.dummyfunction("VLOOKUP(T47, IMPORTRANGE(""https://docs.google.com/spreadsheets/d/1yDAaXNsi4Mr5FtRQL4tbmSdIzhx6_m4wkOD7IG-k_eo/edit#gid=0"", ""Maths!M:N""), 2, FALSE)"),"Create new problems or scenarios involving the cube root of negative numbers")</f>
        <v>Create new problems or scenarios involving the cube root of negative numbers</v>
      </c>
      <c r="V47" s="16" t="str">
        <f ca="1">IFERROR(__xludf.dummyfunction("ArrayFormula(VLOOKUP(G47, IMPORTRANGE(""https://docs.google.com/spreadsheets/d/1p7R4vtkWt5VOBim4ltsDG9KTzSjrtKXsMtQGXPHyND0/edit#gid=795171502"", ""'Filter 30_05_2024'!A1:M2000""), {2, 3, 4, 5,6,7,8,9,10,11,12,13}, 0))"),"#N/A")</f>
        <v>#N/A</v>
      </c>
      <c r="W47" s="16" t="str">
        <f ca="1">IFERROR(__xludf.dummyfunction("""COMPUTED_VALUE"""),"#N/A")</f>
        <v>#N/A</v>
      </c>
      <c r="X47" s="16" t="str">
        <f ca="1">IFERROR(__xludf.dummyfunction("""COMPUTED_VALUE"""),"#N/A")</f>
        <v>#N/A</v>
      </c>
      <c r="Y47" s="16" t="str">
        <f ca="1">IFERROR(__xludf.dummyfunction("""COMPUTED_VALUE"""),"#N/A")</f>
        <v>#N/A</v>
      </c>
      <c r="Z47" s="16" t="str">
        <f ca="1">IFERROR(__xludf.dummyfunction("""COMPUTED_VALUE"""),"#N/A")</f>
        <v>#N/A</v>
      </c>
      <c r="AA47" s="30" t="str">
        <f ca="1">IFERROR(__xludf.dummyfunction("""COMPUTED_VALUE"""),"#N/A")</f>
        <v>#N/A</v>
      </c>
      <c r="AB47" s="30" t="str">
        <f ca="1">IFERROR(__xludf.dummyfunction("""COMPUTED_VALUE"""),"#N/A")</f>
        <v>#N/A</v>
      </c>
      <c r="AC47" s="30" t="str">
        <f ca="1">IFERROR(__xludf.dummyfunction("""COMPUTED_VALUE"""),"#N/A")</f>
        <v>#N/A</v>
      </c>
      <c r="AD47" s="16" t="str">
        <f ca="1">IFERROR(__xludf.dummyfunction("""COMPUTED_VALUE"""),"#N/A")</f>
        <v>#N/A</v>
      </c>
      <c r="AE47" s="30" t="str">
        <f ca="1">IFERROR(__xludf.dummyfunction("""COMPUTED_VALUE"""),"#N/A")</f>
        <v>#N/A</v>
      </c>
      <c r="AF47" s="30" t="str">
        <f ca="1">IFERROR(__xludf.dummyfunction("""COMPUTED_VALUE"""),"#N/A")</f>
        <v>#N/A</v>
      </c>
      <c r="AG47" s="30" t="str">
        <f ca="1">IFERROR(__xludf.dummyfunction("""COMPUTED_VALUE"""),"#N/A")</f>
        <v>#N/A</v>
      </c>
    </row>
    <row r="48" spans="1:33" ht="26.4">
      <c r="A48" s="25"/>
      <c r="B48" s="25" t="s">
        <v>29</v>
      </c>
      <c r="C48" s="25" t="s">
        <v>310</v>
      </c>
      <c r="D48" s="25">
        <v>8</v>
      </c>
      <c r="E48" s="70" t="s">
        <v>1090</v>
      </c>
      <c r="F48" s="70" t="s">
        <v>1096</v>
      </c>
      <c r="G48" s="64" t="s">
        <v>1102</v>
      </c>
      <c r="H48" s="64" t="str">
        <f ca="1">IFERROR(__xludf.dummyfunction("IFERROR(
  VLOOKUP(G48, IMPORTRANGE(""https://docs.google.com/spreadsheets/d/14deopnvwcrKtEGCKuYXdUHJbeLDZlkiSSWWT0g7x2pM/edit#gid=849066331"", ""LU List Maths (Filter)!A:B""), 2, FALSE),
  IFERROR(
    VLOOKUP(G48, IMPORTRANGE(""https://docs.google.com/s"&amp;"preadsheets/d/14deopnvwcrKtEGCKuYXdUHJbeLDZlkiSSWWT0g7x2pM/edit#gid=849066331"", ""LU List Science (Filter)!A:B""), 2, FALSE),
    ""Not Found""
  )
)
"),"Cube root of rational numbers")</f>
        <v>Cube root of rational numbers</v>
      </c>
      <c r="I48" s="64"/>
      <c r="J48" s="100" t="str">
        <f t="shared" si="6"/>
        <v>LU000919.001</v>
      </c>
      <c r="K48" s="100" t="str">
        <f ca="1">IFERROR(__xludf.dummyfunction("VLOOKUP(J48, IMPORTRANGE(""https://docs.google.com/spreadsheets/d/1yDAaXNsi4Mr5FtRQL4tbmSdIzhx6_m4wkOD7IG-k_eo/edit#gid=0"", ""Maths!M:N""), 2, FALSE)"),"#N/A")</f>
        <v>#N/A</v>
      </c>
      <c r="L48" s="100" t="str">
        <f t="shared" si="7"/>
        <v>LU000919.002</v>
      </c>
      <c r="M48" s="100" t="str">
        <f ca="1">IFERROR(__xludf.dummyfunction("VLOOKUP(L48, IMPORTRANGE(""https://docs.google.com/spreadsheets/d/1yDAaXNsi4Mr5FtRQL4tbmSdIzhx6_m4wkOD7IG-k_eo/edit#gid=0"", ""Maths!M:N""), 2, FALSE)"),"Explain the process of finding the cube root of rational numbers")</f>
        <v>Explain the process of finding the cube root of rational numbers</v>
      </c>
      <c r="N48" s="100" t="str">
        <f t="shared" si="8"/>
        <v>LU000919.003</v>
      </c>
      <c r="O48" s="100" t="str">
        <f ca="1">IFERROR(__xludf.dummyfunction("VLOOKUP(N48, IMPORTRANGE(""https://docs.google.com/spreadsheets/d/1yDAaXNsi4Mr5FtRQL4tbmSdIzhx6_m4wkOD7IG-k_eo/edit#gid=0"", ""Maths!M:N""), 2, FALSE)"),"Apply knowledge to calculate the cube root of various rational numbers")</f>
        <v>Apply knowledge to calculate the cube root of various rational numbers</v>
      </c>
      <c r="P48" s="100" t="str">
        <f t="shared" si="9"/>
        <v>LU000919.004</v>
      </c>
      <c r="Q48" s="100" t="str">
        <f ca="1">IFERROR(__xludf.dummyfunction("VLOOKUP(P48, IMPORTRANGE(""https://docs.google.com/spreadsheets/d/1yDAaXNsi4Mr5FtRQL4tbmSdIzhx6_m4wkOD7IG-k_eo/edit#gid=0"", ""Maths!M:N""), 2, FALSE)"),"Analyze the relationship between rational numbers and their cube roots")</f>
        <v>Analyze the relationship between rational numbers and their cube roots</v>
      </c>
      <c r="R48" s="100" t="str">
        <f t="shared" si="10"/>
        <v>LU000919.005</v>
      </c>
      <c r="S48" s="100" t="str">
        <f ca="1">IFERROR(__xludf.dummyfunction("VLOOKUP(R48, IMPORTRANGE(""https://docs.google.com/spreadsheets/d/1yDAaXNsi4Mr5FtRQL4tbmSdIzhx6_m4wkOD7IG-k_eo/edit#gid=0"", ""Maths!M:N""), 2, FALSE)"),"Assess different methods for finding cube roots of rational numbers")</f>
        <v>Assess different methods for finding cube roots of rational numbers</v>
      </c>
      <c r="T48" s="100" t="str">
        <f t="shared" si="11"/>
        <v>LU000919.006</v>
      </c>
      <c r="U48" s="100" t="str">
        <f ca="1">IFERROR(__xludf.dummyfunction("VLOOKUP(T48, IMPORTRANGE(""https://docs.google.com/spreadsheets/d/1yDAaXNsi4Mr5FtRQL4tbmSdIzhx6_m4wkOD7IG-k_eo/edit#gid=0"", ""Maths!M:N""), 2, FALSE)"),"Devise new problems involving the cube root of rational numbers")</f>
        <v>Devise new problems involving the cube root of rational numbers</v>
      </c>
      <c r="V48" s="16" t="str">
        <f ca="1">IFERROR(__xludf.dummyfunction("ArrayFormula(VLOOKUP(G48, IMPORTRANGE(""https://docs.google.com/spreadsheets/d/1p7R4vtkWt5VOBim4ltsDG9KTzSjrtKXsMtQGXPHyND0/edit#gid=795171502"", ""'Filter 30_05_2024'!A1:M2000""), {2, 3, 4, 5,6,7,8,9,10,11,12,13}, 0))"),"#N/A")</f>
        <v>#N/A</v>
      </c>
      <c r="W48" s="16" t="str">
        <f ca="1">IFERROR(__xludf.dummyfunction("""COMPUTED_VALUE"""),"#N/A")</f>
        <v>#N/A</v>
      </c>
      <c r="X48" s="16" t="str">
        <f ca="1">IFERROR(__xludf.dummyfunction("""COMPUTED_VALUE"""),"#N/A")</f>
        <v>#N/A</v>
      </c>
      <c r="Y48" s="16" t="str">
        <f ca="1">IFERROR(__xludf.dummyfunction("""COMPUTED_VALUE"""),"#N/A")</f>
        <v>#N/A</v>
      </c>
      <c r="Z48" s="16" t="str">
        <f ca="1">IFERROR(__xludf.dummyfunction("""COMPUTED_VALUE"""),"#N/A")</f>
        <v>#N/A</v>
      </c>
      <c r="AA48" s="30" t="str">
        <f ca="1">IFERROR(__xludf.dummyfunction("""COMPUTED_VALUE"""),"#N/A")</f>
        <v>#N/A</v>
      </c>
      <c r="AB48" s="30" t="str">
        <f ca="1">IFERROR(__xludf.dummyfunction("""COMPUTED_VALUE"""),"#N/A")</f>
        <v>#N/A</v>
      </c>
      <c r="AC48" s="30" t="str">
        <f ca="1">IFERROR(__xludf.dummyfunction("""COMPUTED_VALUE"""),"#N/A")</f>
        <v>#N/A</v>
      </c>
      <c r="AD48" s="16" t="str">
        <f ca="1">IFERROR(__xludf.dummyfunction("""COMPUTED_VALUE"""),"#N/A")</f>
        <v>#N/A</v>
      </c>
      <c r="AE48" s="30" t="str">
        <f ca="1">IFERROR(__xludf.dummyfunction("""COMPUTED_VALUE"""),"#N/A")</f>
        <v>#N/A</v>
      </c>
      <c r="AF48" s="30" t="str">
        <f ca="1">IFERROR(__xludf.dummyfunction("""COMPUTED_VALUE"""),"#N/A")</f>
        <v>#N/A</v>
      </c>
      <c r="AG48" s="30" t="str">
        <f ca="1">IFERROR(__xludf.dummyfunction("""COMPUTED_VALUE"""),"#N/A")</f>
        <v>#N/A</v>
      </c>
    </row>
    <row r="49" spans="1:33" ht="26.4">
      <c r="A49" s="25"/>
      <c r="B49" s="25" t="s">
        <v>29</v>
      </c>
      <c r="C49" s="25" t="s">
        <v>310</v>
      </c>
      <c r="D49" s="25">
        <v>8</v>
      </c>
      <c r="E49" s="70" t="s">
        <v>1103</v>
      </c>
      <c r="F49" s="70" t="s">
        <v>1104</v>
      </c>
      <c r="G49" s="87" t="s">
        <v>1105</v>
      </c>
      <c r="H49" s="64" t="str">
        <f ca="1">IFERROR(__xludf.dummyfunction("IFERROR(
  VLOOKUP(G49, IMPORTRANGE(""https://docs.google.com/spreadsheets/d/14deopnvwcrKtEGCKuYXdUHJbeLDZlkiSSWWT0g7x2pM/edit#gid=849066331"", ""LU List Maths (Filter)!A:B""), 2, FALSE),
  IFERROR(
    VLOOKUP(G49, IMPORTRANGE(""https://docs.google.com/s"&amp;"preadsheets/d/14deopnvwcrKtEGCKuYXdUHJbeLDZlkiSSWWT0g7x2pM/edit#gid=849066331"", ""LU List Science (Filter)!A:B""), 2, FALSE),
    ""Not Found""
  )
)
"),"Numbers in general form")</f>
        <v>Numbers in general form</v>
      </c>
      <c r="I49" s="89"/>
      <c r="J49" s="100" t="str">
        <f t="shared" si="6"/>
        <v>LU000880.001</v>
      </c>
      <c r="K49" s="100" t="str">
        <f ca="1">IFERROR(__xludf.dummyfunction("VLOOKUP(J49, IMPORTRANGE(""https://docs.google.com/spreadsheets/d/1yDAaXNsi4Mr5FtRQL4tbmSdIzhx6_m4wkOD7IG-k_eo/edit#gid=0"", ""Maths!M:N""), 2, FALSE)"),"State the key concepts related to numbers in general form (like 23=2x10+3)")</f>
        <v>State the key concepts related to numbers in general form (like 23=2x10+3)</v>
      </c>
      <c r="L49" s="100" t="str">
        <f t="shared" si="7"/>
        <v>LU000880.002</v>
      </c>
      <c r="M49" s="100" t="str">
        <f ca="1">IFERROR(__xludf.dummyfunction("VLOOKUP(L49, IMPORTRANGE(""https://docs.google.com/spreadsheets/d/1yDAaXNsi4Mr5FtRQL4tbmSdIzhx6_m4wkOD7IG-k_eo/edit#gid=0"", ""Maths!M:N""), 2, FALSE)"),"Explain the significance of writing numbers in general form")</f>
        <v>Explain the significance of writing numbers in general form</v>
      </c>
      <c r="N49" s="100" t="str">
        <f t="shared" si="8"/>
        <v>LU000880.003</v>
      </c>
      <c r="O49" s="100" t="str">
        <f ca="1">IFERROR(__xludf.dummyfunction("VLOOKUP(N49, IMPORTRANGE(""https://docs.google.com/spreadsheets/d/1yDAaXNsi4Mr5FtRQL4tbmSdIzhx6_m4wkOD7IG-k_eo/edit#gid=0"", ""Maths!M:N""), 2, FALSE)"),"Apply the knowledge of numbers in general form to solve problems")</f>
        <v>Apply the knowledge of numbers in general form to solve problems</v>
      </c>
      <c r="P49" s="100" t="str">
        <f t="shared" si="9"/>
        <v>LU000880.004</v>
      </c>
      <c r="Q49" s="100" t="str">
        <f ca="1">IFERROR(__xludf.dummyfunction("VLOOKUP(P49, IMPORTRANGE(""https://docs.google.com/spreadsheets/d/1yDAaXNsi4Mr5FtRQL4tbmSdIzhx6_m4wkOD7IG-k_eo/edit#gid=0"", ""Maths!M:N""), 2, FALSE)"),"Analyze the relationship between the digits and place values in numbers expressed in general form")</f>
        <v>Analyze the relationship between the digits and place values in numbers expressed in general form</v>
      </c>
      <c r="R49" s="100" t="str">
        <f t="shared" si="10"/>
        <v>LU000880.005</v>
      </c>
      <c r="S49" s="100" t="str">
        <f ca="1">IFERROR(__xludf.dummyfunction("VLOOKUP(R49, IMPORTRANGE(""https://docs.google.com/spreadsheets/d/1yDAaXNsi4Mr5FtRQL4tbmSdIzhx6_m4wkOD7IG-k_eo/edit#gid=0"", ""Maths!M:N""), 2, FALSE)"),"Evaluate the effectiveness of using numbers in general form for different mathematical operations and problem-solving scenarios")</f>
        <v>Evaluate the effectiveness of using numbers in general form for different mathematical operations and problem-solving scenarios</v>
      </c>
      <c r="T49" s="100" t="str">
        <f t="shared" si="11"/>
        <v>LU000880.006</v>
      </c>
      <c r="U49" s="100" t="str">
        <f ca="1">IFERROR(__xludf.dummyfunction("VLOOKUP(T49, IMPORTRANGE(""https://docs.google.com/spreadsheets/d/1yDAaXNsi4Mr5FtRQL4tbmSdIzhx6_m4wkOD7IG-k_eo/edit#gid=0"", ""Maths!M:N""), 2, FALSE)"),"Create mathematical expressions in the general form for given numbers and develop word problems that require students to express numbers in this form")</f>
        <v>Create mathematical expressions in the general form for given numbers and develop word problems that require students to express numbers in this form</v>
      </c>
      <c r="V49" s="16" t="str">
        <f ca="1">IFERROR(__xludf.dummyfunction("ArrayFormula(VLOOKUP(G49, IMPORTRANGE(""https://docs.google.com/spreadsheets/d/1p7R4vtkWt5VOBim4ltsDG9KTzSjrtKXsMtQGXPHyND0/edit#gid=795171502"", ""'Filter 30_05_2024'!A1:M2000""), {2, 3, 4, 5,6,7,8,9,10,11,12,13}, 0))"),"#N/A")</f>
        <v>#N/A</v>
      </c>
      <c r="W49" s="16" t="str">
        <f ca="1">IFERROR(__xludf.dummyfunction("""COMPUTED_VALUE"""),"#N/A")</f>
        <v>#N/A</v>
      </c>
      <c r="X49" s="16" t="str">
        <f ca="1">IFERROR(__xludf.dummyfunction("""COMPUTED_VALUE"""),"#N/A")</f>
        <v>#N/A</v>
      </c>
      <c r="Y49" s="16" t="str">
        <f ca="1">IFERROR(__xludf.dummyfunction("""COMPUTED_VALUE"""),"#N/A")</f>
        <v>#N/A</v>
      </c>
      <c r="Z49" s="16" t="str">
        <f ca="1">IFERROR(__xludf.dummyfunction("""COMPUTED_VALUE"""),"#N/A")</f>
        <v>#N/A</v>
      </c>
      <c r="AA49" s="30" t="str">
        <f ca="1">IFERROR(__xludf.dummyfunction("""COMPUTED_VALUE"""),"#N/A")</f>
        <v>#N/A</v>
      </c>
      <c r="AB49" s="30" t="str">
        <f ca="1">IFERROR(__xludf.dummyfunction("""COMPUTED_VALUE"""),"#N/A")</f>
        <v>#N/A</v>
      </c>
      <c r="AC49" s="30" t="str">
        <f ca="1">IFERROR(__xludf.dummyfunction("""COMPUTED_VALUE"""),"#N/A")</f>
        <v>#N/A</v>
      </c>
      <c r="AD49" s="16" t="str">
        <f ca="1">IFERROR(__xludf.dummyfunction("""COMPUTED_VALUE"""),"#N/A")</f>
        <v>#N/A</v>
      </c>
      <c r="AE49" s="30" t="str">
        <f ca="1">IFERROR(__xludf.dummyfunction("""COMPUTED_VALUE"""),"#N/A")</f>
        <v>#N/A</v>
      </c>
      <c r="AF49" s="30" t="str">
        <f ca="1">IFERROR(__xludf.dummyfunction("""COMPUTED_VALUE"""),"#N/A")</f>
        <v>#N/A</v>
      </c>
      <c r="AG49" s="30" t="str">
        <f ca="1">IFERROR(__xludf.dummyfunction("""COMPUTED_VALUE"""),"#N/A")</f>
        <v>#N/A</v>
      </c>
    </row>
    <row r="50" spans="1:33" ht="26.4">
      <c r="A50" s="25"/>
      <c r="B50" s="25" t="s">
        <v>29</v>
      </c>
      <c r="C50" s="25" t="s">
        <v>310</v>
      </c>
      <c r="D50" s="25">
        <v>8</v>
      </c>
      <c r="E50" s="70" t="s">
        <v>1103</v>
      </c>
      <c r="F50" s="70" t="s">
        <v>1104</v>
      </c>
      <c r="G50" s="101" t="s">
        <v>1106</v>
      </c>
      <c r="H50" s="64" t="str">
        <f ca="1">IFERROR(__xludf.dummyfunction("IFERROR(
  VLOOKUP(G50, IMPORTRANGE(""https://docs.google.com/spreadsheets/d/14deopnvwcrKtEGCKuYXdUHJbeLDZlkiSSWWT0g7x2pM/edit#gid=849066331"", ""LU List Maths (Filter)!A:B""), 2, FALSE),
  IFERROR(
    VLOOKUP(G50, IMPORTRANGE(""https://docs.google.com/s"&amp;"preadsheets/d/14deopnvwcrKtEGCKuYXdUHJbeLDZlkiSSWWT0g7x2pM/edit#gid=849066331"", ""LU List Science (Filter)!A:B""), 2, FALSE),
    ""Not Found""
  )
)
"),"Rule of addition of two digit number and number obtained after reversing its digits being divisible by 11")</f>
        <v>Rule of addition of two digit number and number obtained after reversing its digits being divisible by 11</v>
      </c>
      <c r="I50" s="87"/>
      <c r="J50" s="100" t="str">
        <f t="shared" si="6"/>
        <v>LU000881.001</v>
      </c>
      <c r="K50" s="100" t="str">
        <f ca="1">IFERROR(__xludf.dummyfunction("VLOOKUP(J50, IMPORTRANGE(""https://docs.google.com/spreadsheets/d/1yDAaXNsi4Mr5FtRQL4tbmSdIzhx6_m4wkOD7IG-k_eo/edit#gid=0"", ""Maths!M:N""), 2, FALSE)"),"State the rule for checking divisibility by 11, where the sum of the digits in a two-digit number and the number obtained by reversing its digits should be divisible by 11.")</f>
        <v>State the rule for checking divisibility by 11, where the sum of the digits in a two-digit number and the number obtained by reversing its digits should be divisible by 11.</v>
      </c>
      <c r="L50" s="100" t="str">
        <f t="shared" si="7"/>
        <v>LU000881.002</v>
      </c>
      <c r="M50" s="100" t="str">
        <f ca="1">IFERROR(__xludf.dummyfunction("VLOOKUP(L50, IMPORTRANGE(""https://docs.google.com/spreadsheets/d/1yDAaXNsi4Mr5FtRQL4tbmSdIzhx6_m4wkOD7IG-k_eo/edit#gid=0"", ""Maths!M:N""), 2, FALSE)"),"Explain the concept of the rule for divisibility by 11 using a two-digit number and provide examples to illustrate how it works.")</f>
        <v>Explain the concept of the rule for divisibility by 11 using a two-digit number and provide examples to illustrate how it works.</v>
      </c>
      <c r="N50" s="100" t="str">
        <f t="shared" si="8"/>
        <v>LU000881.003</v>
      </c>
      <c r="O50" s="100" t="str">
        <f ca="1">IFERROR(__xludf.dummyfunction("VLOOKUP(N50, IMPORTRANGE(""https://docs.google.com/spreadsheets/d/1yDAaXNsi4Mr5FtRQL4tbmSdIzhx6_m4wkOD7IG-k_eo/edit#gid=0"", ""Maths!M:N""), 2, FALSE)"),"Apply the rule of divisibility by 11 to determine if a given two-digit number meets the criterion")</f>
        <v>Apply the rule of divisibility by 11 to determine if a given two-digit number meets the criterion</v>
      </c>
      <c r="P50" s="100" t="str">
        <f t="shared" si="9"/>
        <v>LU000881.004</v>
      </c>
      <c r="Q50" s="100" t="str">
        <f ca="1">IFERROR(__xludf.dummyfunction("VLOOKUP(P50, IMPORTRANGE(""https://docs.google.com/spreadsheets/d/1yDAaXNsi4Mr5FtRQL4tbmSdIzhx6_m4wkOD7IG-k_eo/edit#gid=0"", ""Maths!M:N""), 2, FALSE)"),"Analyze the properties of numbers that satisfy the rule of divisibility by 11")</f>
        <v>Analyze the properties of numbers that satisfy the rule of divisibility by 11</v>
      </c>
      <c r="R50" s="100" t="str">
        <f t="shared" si="10"/>
        <v>LU000881.005</v>
      </c>
      <c r="S50" s="100" t="str">
        <f ca="1">IFERROR(__xludf.dummyfunction("VLOOKUP(R50, IMPORTRANGE(""https://docs.google.com/spreadsheets/d/1yDAaXNsi4Mr5FtRQL4tbmSdIzhx6_m4wkOD7IG-k_eo/edit#gid=0"", ""Maths!M:N""), 2, FALSE)"),"Evaluate the effectiveness of the rule for divisibility by 11 as a quick way to check whether a two-digit number meets this criterion")</f>
        <v>Evaluate the effectiveness of the rule for divisibility by 11 as a quick way to check whether a two-digit number meets this criterion</v>
      </c>
      <c r="T50" s="100" t="str">
        <f t="shared" si="11"/>
        <v>LU000881.006</v>
      </c>
      <c r="U50" s="100" t="str">
        <f ca="1">IFERROR(__xludf.dummyfunction("VLOOKUP(T50, IMPORTRANGE(""https://docs.google.com/spreadsheets/d/1yDAaXNsi4Mr5FtRQL4tbmSdIzhx6_m4wkOD7IG-k_eo/edit#gid=0"", ""Maths!M:N""), 2, FALSE)"),"#N/A")</f>
        <v>#N/A</v>
      </c>
      <c r="V50" s="16" t="str">
        <f ca="1">IFERROR(__xludf.dummyfunction("ArrayFormula(VLOOKUP(G50, IMPORTRANGE(""https://docs.google.com/spreadsheets/d/1p7R4vtkWt5VOBim4ltsDG9KTzSjrtKXsMtQGXPHyND0/edit#gid=795171502"", ""'Filter 30_05_2024'!A1:M2000""), {2, 3, 4, 5,6,7,8,9,10,11,12,13}, 0))"),"#N/A")</f>
        <v>#N/A</v>
      </c>
      <c r="W50" s="16" t="str">
        <f ca="1">IFERROR(__xludf.dummyfunction("""COMPUTED_VALUE"""),"#N/A")</f>
        <v>#N/A</v>
      </c>
      <c r="X50" s="16" t="str">
        <f ca="1">IFERROR(__xludf.dummyfunction("""COMPUTED_VALUE"""),"#N/A")</f>
        <v>#N/A</v>
      </c>
      <c r="Y50" s="16" t="str">
        <f ca="1">IFERROR(__xludf.dummyfunction("""COMPUTED_VALUE"""),"#N/A")</f>
        <v>#N/A</v>
      </c>
      <c r="Z50" s="16" t="str">
        <f ca="1">IFERROR(__xludf.dummyfunction("""COMPUTED_VALUE"""),"#N/A")</f>
        <v>#N/A</v>
      </c>
      <c r="AA50" s="30" t="str">
        <f ca="1">IFERROR(__xludf.dummyfunction("""COMPUTED_VALUE"""),"#N/A")</f>
        <v>#N/A</v>
      </c>
      <c r="AB50" s="30" t="str">
        <f ca="1">IFERROR(__xludf.dummyfunction("""COMPUTED_VALUE"""),"#N/A")</f>
        <v>#N/A</v>
      </c>
      <c r="AC50" s="30" t="str">
        <f ca="1">IFERROR(__xludf.dummyfunction("""COMPUTED_VALUE"""),"#N/A")</f>
        <v>#N/A</v>
      </c>
      <c r="AD50" s="16" t="str">
        <f ca="1">IFERROR(__xludf.dummyfunction("""COMPUTED_VALUE"""),"#N/A")</f>
        <v>#N/A</v>
      </c>
      <c r="AE50" s="30" t="str">
        <f ca="1">IFERROR(__xludf.dummyfunction("""COMPUTED_VALUE"""),"#N/A")</f>
        <v>#N/A</v>
      </c>
      <c r="AF50" s="30" t="str">
        <f ca="1">IFERROR(__xludf.dummyfunction("""COMPUTED_VALUE"""),"#N/A")</f>
        <v>#N/A</v>
      </c>
      <c r="AG50" s="30" t="str">
        <f ca="1">IFERROR(__xludf.dummyfunction("""COMPUTED_VALUE"""),"#N/A")</f>
        <v>#N/A</v>
      </c>
    </row>
    <row r="51" spans="1:33" ht="26.4">
      <c r="A51" s="25"/>
      <c r="B51" s="25" t="s">
        <v>29</v>
      </c>
      <c r="C51" s="25" t="s">
        <v>310</v>
      </c>
      <c r="D51" s="25">
        <v>8</v>
      </c>
      <c r="E51" s="70" t="s">
        <v>1103</v>
      </c>
      <c r="F51" s="70" t="s">
        <v>1104</v>
      </c>
      <c r="G51" s="87" t="s">
        <v>1107</v>
      </c>
      <c r="H51" s="64" t="str">
        <f ca="1">IFERROR(__xludf.dummyfunction("IFERROR(
  VLOOKUP(G51, IMPORTRANGE(""https://docs.google.com/spreadsheets/d/14deopnvwcrKtEGCKuYXdUHJbeLDZlkiSSWWT0g7x2pM/edit#gid=849066331"", ""LU List Maths (Filter)!A:B""), 2, FALSE),
  IFERROR(
    VLOOKUP(G51, IMPORTRANGE(""https://docs.google.com/s"&amp;"preadsheets/d/14deopnvwcrKtEGCKuYXdUHJbeLDZlkiSSWWT0g7x2pM/edit#gid=849066331"", ""LU List Science (Filter)!A:B""), 2, FALSE),
    ""Not Found""
  )
)
"),"Rule of subtraction of smaller two digit number from its reversed larger two digit number being divisible by 9")</f>
        <v>Rule of subtraction of smaller two digit number from its reversed larger two digit number being divisible by 9</v>
      </c>
      <c r="I51" s="87"/>
      <c r="J51" s="100" t="str">
        <f t="shared" si="6"/>
        <v>LU000882.001</v>
      </c>
      <c r="K51" s="100" t="str">
        <f ca="1">IFERROR(__xludf.dummyfunction("VLOOKUP(J51, IMPORTRANGE(""https://docs.google.com/spreadsheets/d/1yDAaXNsi4Mr5FtRQL4tbmSdIzhx6_m4wkOD7IG-k_eo/edit#gid=0"", ""Maths!M:N""), 2, FALSE)"),"State the rule for checking divisibility by 9 where the result of subtracting a smaller two-digit number from its reversed larger two-digit number should be divisible by 9.")</f>
        <v>State the rule for checking divisibility by 9 where the result of subtracting a smaller two-digit number from its reversed larger two-digit number should be divisible by 9.</v>
      </c>
      <c r="L51" s="100" t="str">
        <f t="shared" si="7"/>
        <v>LU000882.002</v>
      </c>
      <c r="M51" s="100" t="str">
        <f ca="1">IFERROR(__xludf.dummyfunction("VLOOKUP(L51, IMPORTRANGE(""https://docs.google.com/spreadsheets/d/1yDAaXNsi4Mr5FtRQL4tbmSdIzhx6_m4wkOD7IG-k_eo/edit#gid=0"", ""Maths!M:N""), 2, FALSE)"),"Explain the concept of the rule for divisibility by 9 using two-digit numbers")</f>
        <v>Explain the concept of the rule for divisibility by 9 using two-digit numbers</v>
      </c>
      <c r="N51" s="100" t="str">
        <f t="shared" si="8"/>
        <v>LU000882.003</v>
      </c>
      <c r="O51" s="100" t="str">
        <f ca="1">IFERROR(__xludf.dummyfunction("VLOOKUP(N51, IMPORTRANGE(""https://docs.google.com/spreadsheets/d/1yDAaXNsi4Mr5FtRQL4tbmSdIzhx6_m4wkOD7IG-k_eo/edit#gid=0"", ""Maths!M:N""), 2, FALSE)"),"Apply the rule of divisibility by 9 to determine if a given pair of two-digit numbers meets the criterion")</f>
        <v>Apply the rule of divisibility by 9 to determine if a given pair of two-digit numbers meets the criterion</v>
      </c>
      <c r="P51" s="100" t="str">
        <f t="shared" si="9"/>
        <v>LU000882.004</v>
      </c>
      <c r="Q51" s="100" t="str">
        <f ca="1">IFERROR(__xludf.dummyfunction("VLOOKUP(P51, IMPORTRANGE(""https://docs.google.com/spreadsheets/d/1yDAaXNsi4Mr5FtRQL4tbmSdIzhx6_m4wkOD7IG-k_eo/edit#gid=0"", ""Maths!M:N""), 2, FALSE)"),"Analyze the properties of numbers that satisfy the rule of divisibility by 9")</f>
        <v>Analyze the properties of numbers that satisfy the rule of divisibility by 9</v>
      </c>
      <c r="R51" s="100" t="str">
        <f t="shared" si="10"/>
        <v>LU000882.005</v>
      </c>
      <c r="S51" s="100" t="str">
        <f ca="1">IFERROR(__xludf.dummyfunction("VLOOKUP(R51, IMPORTRANGE(""https://docs.google.com/spreadsheets/d/1yDAaXNsi4Mr5FtRQL4tbmSdIzhx6_m4wkOD7IG-k_eo/edit#gid=0"", ""Maths!M:N""), 2, FALSE)"),"Evaluate the effectiveness of the rule for divisibility by 9 through subtraction as a quick method to check whether a pair of two-digit numbers meets this criterion")</f>
        <v>Evaluate the effectiveness of the rule for divisibility by 9 through subtraction as a quick method to check whether a pair of two-digit numbers meets this criterion</v>
      </c>
      <c r="T51" s="100" t="str">
        <f t="shared" si="11"/>
        <v>LU000882.006</v>
      </c>
      <c r="U51" s="100" t="str">
        <f ca="1">IFERROR(__xludf.dummyfunction("VLOOKUP(T51, IMPORTRANGE(""https://docs.google.com/spreadsheets/d/1yDAaXNsi4Mr5FtRQL4tbmSdIzhx6_m4wkOD7IG-k_eo/edit#gid=0"", ""Maths!M:N""), 2, FALSE)"),"Create a set of mathematical problems or puzzles that require students to use the rule of divisibility by 9 through subtraction with two-digit numbers")</f>
        <v>Create a set of mathematical problems or puzzles that require students to use the rule of divisibility by 9 through subtraction with two-digit numbers</v>
      </c>
      <c r="V51" s="16" t="str">
        <f ca="1">IFERROR(__xludf.dummyfunction("ArrayFormula(VLOOKUP(G51, IMPORTRANGE(""https://docs.google.com/spreadsheets/d/1p7R4vtkWt5VOBim4ltsDG9KTzSjrtKXsMtQGXPHyND0/edit#gid=795171502"", ""'Filter 30_05_2024'!A1:M2000""), {2, 3, 4, 5,6,7,8,9,10,11,12,13}, 0))"),"#N/A")</f>
        <v>#N/A</v>
      </c>
      <c r="W51" s="16" t="str">
        <f ca="1">IFERROR(__xludf.dummyfunction("""COMPUTED_VALUE"""),"#N/A")</f>
        <v>#N/A</v>
      </c>
      <c r="X51" s="16" t="str">
        <f ca="1">IFERROR(__xludf.dummyfunction("""COMPUTED_VALUE"""),"#N/A")</f>
        <v>#N/A</v>
      </c>
      <c r="Y51" s="16" t="str">
        <f ca="1">IFERROR(__xludf.dummyfunction("""COMPUTED_VALUE"""),"#N/A")</f>
        <v>#N/A</v>
      </c>
      <c r="Z51" s="16" t="str">
        <f ca="1">IFERROR(__xludf.dummyfunction("""COMPUTED_VALUE"""),"#N/A")</f>
        <v>#N/A</v>
      </c>
      <c r="AA51" s="30" t="str">
        <f ca="1">IFERROR(__xludf.dummyfunction("""COMPUTED_VALUE"""),"#N/A")</f>
        <v>#N/A</v>
      </c>
      <c r="AB51" s="30" t="str">
        <f ca="1">IFERROR(__xludf.dummyfunction("""COMPUTED_VALUE"""),"#N/A")</f>
        <v>#N/A</v>
      </c>
      <c r="AC51" s="30" t="str">
        <f ca="1">IFERROR(__xludf.dummyfunction("""COMPUTED_VALUE"""),"#N/A")</f>
        <v>#N/A</v>
      </c>
      <c r="AD51" s="16" t="str">
        <f ca="1">IFERROR(__xludf.dummyfunction("""COMPUTED_VALUE"""),"#N/A")</f>
        <v>#N/A</v>
      </c>
      <c r="AE51" s="30" t="str">
        <f ca="1">IFERROR(__xludf.dummyfunction("""COMPUTED_VALUE"""),"#N/A")</f>
        <v>#N/A</v>
      </c>
      <c r="AF51" s="30" t="str">
        <f ca="1">IFERROR(__xludf.dummyfunction("""COMPUTED_VALUE"""),"#N/A")</f>
        <v>#N/A</v>
      </c>
      <c r="AG51" s="30" t="str">
        <f ca="1">IFERROR(__xludf.dummyfunction("""COMPUTED_VALUE"""),"#N/A")</f>
        <v>#N/A</v>
      </c>
    </row>
    <row r="52" spans="1:33" ht="26.4">
      <c r="A52" s="25"/>
      <c r="B52" s="25" t="s">
        <v>29</v>
      </c>
      <c r="C52" s="25" t="s">
        <v>310</v>
      </c>
      <c r="D52" s="25">
        <v>8</v>
      </c>
      <c r="E52" s="70" t="s">
        <v>1103</v>
      </c>
      <c r="F52" s="89" t="s">
        <v>1108</v>
      </c>
      <c r="G52" s="87" t="s">
        <v>1109</v>
      </c>
      <c r="H52" s="64" t="str">
        <f ca="1">IFERROR(__xludf.dummyfunction("IFERROR(
  VLOOKUP(G52, IMPORTRANGE(""https://docs.google.com/spreadsheets/d/14deopnvwcrKtEGCKuYXdUHJbeLDZlkiSSWWT0g7x2pM/edit#gid=849066331"", ""LU List Maths (Filter)!A:B""), 2, FALSE),
  IFERROR(
    VLOOKUP(G52, IMPORTRANGE(""https://docs.google.com/s"&amp;"preadsheets/d/14deopnvwcrKtEGCKuYXdUHJbeLDZlkiSSWWT0g7x2pM/edit#gid=849066331"", ""LU List Science (Filter)!A:B""), 2, FALSE),
    ""Not Found""
  )
)
"),"Solution of cryptarithms")</f>
        <v>Solution of cryptarithms</v>
      </c>
      <c r="I52" s="87"/>
      <c r="J52" s="100" t="str">
        <f t="shared" si="6"/>
        <v>LU000884.001</v>
      </c>
      <c r="K52" s="100" t="str">
        <f ca="1">IFERROR(__xludf.dummyfunction("VLOOKUP(J52, IMPORTRANGE(""https://docs.google.com/spreadsheets/d/1yDAaXNsi4Mr5FtRQL4tbmSdIzhx6_m4wkOD7IG-k_eo/edit#gid=0"", ""Maths!M:N""), 2, FALSE)"),"State the fundamental rules and techniques for identifying missing digits in numbers when performing arithmetic operations")</f>
        <v>State the fundamental rules and techniques for identifying missing digits in numbers when performing arithmetic operations</v>
      </c>
      <c r="L52" s="100" t="str">
        <f t="shared" si="7"/>
        <v>LU000884.002</v>
      </c>
      <c r="M52" s="100" t="str">
        <f ca="1">IFERROR(__xludf.dummyfunction("VLOOKUP(L52, IMPORTRANGE(""https://docs.google.com/spreadsheets/d/1yDAaXNsi4Mr5FtRQL4tbmSdIzhx6_m4wkOD7IG-k_eo/edit#gid=0"", ""Maths!M:N""), 2, FALSE)"),"Explain the concept of identifying missing digits in numbers during arithmetic operations and provide examples")</f>
        <v>Explain the concept of identifying missing digits in numbers during arithmetic operations and provide examples</v>
      </c>
      <c r="N52" s="100" t="str">
        <f t="shared" si="8"/>
        <v>LU000884.003</v>
      </c>
      <c r="O52" s="100" t="str">
        <f ca="1">IFERROR(__xludf.dummyfunction("VLOOKUP(N52, IMPORTRANGE(""https://docs.google.com/spreadsheets/d/1yDAaXNsi4Mr5FtRQL4tbmSdIzhx6_m4wkOD7IG-k_eo/edit#gid=0"", ""Maths!M:N""), 2, FALSE)"),"Apply the rules for identifying missing digits to solve arithmetic problems that involve numbers with one or more unknown digits")</f>
        <v>Apply the rules for identifying missing digits to solve arithmetic problems that involve numbers with one or more unknown digits</v>
      </c>
      <c r="P52" s="100" t="str">
        <f t="shared" si="9"/>
        <v>LU000884.004</v>
      </c>
      <c r="Q52" s="100" t="str">
        <f ca="1">IFERROR(__xludf.dummyfunction("VLOOKUP(P52, IMPORTRANGE(""https://docs.google.com/spreadsheets/d/1yDAaXNsi4Mr5FtRQL4tbmSdIzhx6_m4wkOD7IG-k_eo/edit#gid=0"", ""Maths!M:N""), 2, FALSE)"),"#N/A")</f>
        <v>#N/A</v>
      </c>
      <c r="R52" s="100" t="str">
        <f t="shared" si="10"/>
        <v>LU000884.005</v>
      </c>
      <c r="S52" s="100" t="str">
        <f ca="1">IFERROR(__xludf.dummyfunction("VLOOKUP(R52, IMPORTRANGE(""https://docs.google.com/spreadsheets/d/1yDAaXNsi4Mr5FtRQL4tbmSdIzhx6_m4wkOD7IG-k_eo/edit#gid=0"", ""Maths!M:N""), 2, FALSE)"),"Evaluate the accuracy and efficiency of the rules for identifying missing digits in arithmetic operations")</f>
        <v>Evaluate the accuracy and efficiency of the rules for identifying missing digits in arithmetic operations</v>
      </c>
      <c r="T52" s="100" t="str">
        <f t="shared" si="11"/>
        <v>LU000884.006</v>
      </c>
      <c r="U52" s="100" t="str">
        <f ca="1">IFERROR(__xludf.dummyfunction("VLOOKUP(T52, IMPORTRANGE(""https://docs.google.com/spreadsheets/d/1yDAaXNsi4Mr5FtRQL4tbmSdIzhx6_m4wkOD7IG-k_eo/edit#gid=0"", ""Maths!M:N""), 2, FALSE)"),"#N/A")</f>
        <v>#N/A</v>
      </c>
      <c r="V52" s="16" t="str">
        <f ca="1">IFERROR(__xludf.dummyfunction("ArrayFormula(VLOOKUP(G52, IMPORTRANGE(""https://docs.google.com/spreadsheets/d/1p7R4vtkWt5VOBim4ltsDG9KTzSjrtKXsMtQGXPHyND0/edit#gid=795171502"", ""'Filter 30_05_2024'!A1:M2000""), {2, 3, 4, 5,6,7,8,9,10,11,12,13}, 0))"),"#N/A")</f>
        <v>#N/A</v>
      </c>
      <c r="W52" s="16" t="str">
        <f ca="1">IFERROR(__xludf.dummyfunction("""COMPUTED_VALUE"""),"#N/A")</f>
        <v>#N/A</v>
      </c>
      <c r="X52" s="16" t="str">
        <f ca="1">IFERROR(__xludf.dummyfunction("""COMPUTED_VALUE"""),"#N/A")</f>
        <v>#N/A</v>
      </c>
      <c r="Y52" s="16" t="str">
        <f ca="1">IFERROR(__xludf.dummyfunction("""COMPUTED_VALUE"""),"#N/A")</f>
        <v>#N/A</v>
      </c>
      <c r="Z52" s="16" t="str">
        <f ca="1">IFERROR(__xludf.dummyfunction("""COMPUTED_VALUE"""),"#N/A")</f>
        <v>#N/A</v>
      </c>
      <c r="AA52" s="30" t="str">
        <f ca="1">IFERROR(__xludf.dummyfunction("""COMPUTED_VALUE"""),"#N/A")</f>
        <v>#N/A</v>
      </c>
      <c r="AB52" s="30" t="str">
        <f ca="1">IFERROR(__xludf.dummyfunction("""COMPUTED_VALUE"""),"#N/A")</f>
        <v>#N/A</v>
      </c>
      <c r="AC52" s="30" t="str">
        <f ca="1">IFERROR(__xludf.dummyfunction("""COMPUTED_VALUE"""),"#N/A")</f>
        <v>#N/A</v>
      </c>
      <c r="AD52" s="16" t="str">
        <f ca="1">IFERROR(__xludf.dummyfunction("""COMPUTED_VALUE"""),"#N/A")</f>
        <v>#N/A</v>
      </c>
      <c r="AE52" s="30" t="str">
        <f ca="1">IFERROR(__xludf.dummyfunction("""COMPUTED_VALUE"""),"#N/A")</f>
        <v>#N/A</v>
      </c>
      <c r="AF52" s="30" t="str">
        <f ca="1">IFERROR(__xludf.dummyfunction("""COMPUTED_VALUE"""),"#N/A")</f>
        <v>#N/A</v>
      </c>
      <c r="AG52" s="30" t="str">
        <f ca="1">IFERROR(__xludf.dummyfunction("""COMPUTED_VALUE"""),"#N/A")</f>
        <v>#N/A</v>
      </c>
    </row>
    <row r="53" spans="1:33" ht="27">
      <c r="A53" s="25"/>
      <c r="B53" s="25" t="s">
        <v>29</v>
      </c>
      <c r="C53" s="25" t="s">
        <v>310</v>
      </c>
      <c r="D53" s="25">
        <v>8</v>
      </c>
      <c r="E53" s="70" t="s">
        <v>1103</v>
      </c>
      <c r="F53" s="94" t="s">
        <v>1110</v>
      </c>
      <c r="G53" s="79" t="s">
        <v>1111</v>
      </c>
      <c r="H53" s="64" t="str">
        <f ca="1">IFERROR(__xludf.dummyfunction("IFERROR(
  VLOOKUP(G53, IMPORTRANGE(""https://docs.google.com/spreadsheets/d/14deopnvwcrKtEGCKuYXdUHJbeLDZlkiSSWWT0g7x2pM/edit#gid=849066331"", ""LU List Maths (Filter)!A:B""), 2, FALSE),
  IFERROR(
    VLOOKUP(G53, IMPORTRANGE(""https://docs.google.com/s"&amp;"preadsheets/d/14deopnvwcrKtEGCKuYXdUHJbeLDZlkiSSWWT0g7x2pM/edit#gid=849066331"", ""LU List Science (Filter)!A:B""), 2, FALSE),
    ""Not Found""
  )
)
"),"Deduction of divisibility rules for 2, 3, 5, 9, and 10 for a number given in general form")</f>
        <v>Deduction of divisibility rules for 2, 3, 5, 9, and 10 for a number given in general form</v>
      </c>
      <c r="I53" s="64"/>
      <c r="J53" s="100" t="str">
        <f t="shared" si="6"/>
        <v>LU001412.001</v>
      </c>
      <c r="K53" s="100" t="str">
        <f ca="1">IFERROR(__xludf.dummyfunction("VLOOKUP(J53, IMPORTRANGE(""https://docs.google.com/spreadsheets/d/1yDAaXNsi4Mr5FtRQL4tbmSdIzhx6_m4wkOD7IG-k_eo/edit#gid=0"", ""Maths!M:N""), 2, FALSE)"),"(LU001412.001); Default - Remember")</f>
        <v>(LU001412.001); Default - Remember</v>
      </c>
      <c r="L53" s="100" t="str">
        <f t="shared" si="7"/>
        <v>LU001412.002</v>
      </c>
      <c r="M53" s="100" t="str">
        <f ca="1">IFERROR(__xludf.dummyfunction("VLOOKUP(L53, IMPORTRANGE(""https://docs.google.com/spreadsheets/d/1yDAaXNsi4Mr5FtRQL4tbmSdIzhx6_m4wkOD7IG-k_eo/edit#gid=0"", ""Maths!M:N""), 2, FALSE)"),"(LU001412.002); Default - Understand")</f>
        <v>(LU001412.002); Default - Understand</v>
      </c>
      <c r="N53" s="100" t="str">
        <f t="shared" si="8"/>
        <v>LU001412.003</v>
      </c>
      <c r="O53" s="100" t="str">
        <f ca="1">IFERROR(__xludf.dummyfunction("VLOOKUP(N53, IMPORTRANGE(""https://docs.google.com/spreadsheets/d/1yDAaXNsi4Mr5FtRQL4tbmSdIzhx6_m4wkOD7IG-k_eo/edit#gid=0"", ""Maths!M:N""), 2, FALSE)"),"(LU001412.003); Default - Apply")</f>
        <v>(LU001412.003); Default - Apply</v>
      </c>
      <c r="P53" s="100" t="str">
        <f t="shared" si="9"/>
        <v>LU001412.004</v>
      </c>
      <c r="Q53" s="100" t="str">
        <f ca="1">IFERROR(__xludf.dummyfunction("VLOOKUP(P53, IMPORTRANGE(""https://docs.google.com/spreadsheets/d/1yDAaXNsi4Mr5FtRQL4tbmSdIzhx6_m4wkOD7IG-k_eo/edit#gid=0"", ""Maths!M:N""), 2, FALSE)"),"(LU001412.004); Default - Analyse")</f>
        <v>(LU001412.004); Default - Analyse</v>
      </c>
      <c r="R53" s="100" t="str">
        <f t="shared" si="10"/>
        <v>LU001412.005</v>
      </c>
      <c r="S53" s="100" t="str">
        <f ca="1">IFERROR(__xludf.dummyfunction("VLOOKUP(R53, IMPORTRANGE(""https://docs.google.com/spreadsheets/d/1yDAaXNsi4Mr5FtRQL4tbmSdIzhx6_m4wkOD7IG-k_eo/edit#gid=0"", ""Maths!M:N""), 2, FALSE)"),"(LU001412.005); Default - Evaluate")</f>
        <v>(LU001412.005); Default - Evaluate</v>
      </c>
      <c r="T53" s="100" t="str">
        <f t="shared" si="11"/>
        <v>LU001412.006</v>
      </c>
      <c r="U53" s="100" t="str">
        <f ca="1">IFERROR(__xludf.dummyfunction("VLOOKUP(T53, IMPORTRANGE(""https://docs.google.com/spreadsheets/d/1yDAaXNsi4Mr5FtRQL4tbmSdIzhx6_m4wkOD7IG-k_eo/edit#gid=0"", ""Maths!M:N""), 2, FALSE)"),"(LU001412.006); Default - Create")</f>
        <v>(LU001412.006); Default - Create</v>
      </c>
      <c r="V53" s="16" t="str">
        <f ca="1">IFERROR(__xludf.dummyfunction("ArrayFormula(VLOOKUP(G53, IMPORTRANGE(""https://docs.google.com/spreadsheets/d/1p7R4vtkWt5VOBim4ltsDG9KTzSjrtKXsMtQGXPHyND0/edit#gid=795171502"", ""'Filter 30_05_2024'!A1:M2000""), {2, 3, 4, 5,6,7,8,9,10,11,12,13}, 0))"),"#N/A")</f>
        <v>#N/A</v>
      </c>
      <c r="W53" s="16" t="str">
        <f ca="1">IFERROR(__xludf.dummyfunction("""COMPUTED_VALUE"""),"#N/A")</f>
        <v>#N/A</v>
      </c>
      <c r="X53" s="16" t="str">
        <f ca="1">IFERROR(__xludf.dummyfunction("""COMPUTED_VALUE"""),"#N/A")</f>
        <v>#N/A</v>
      </c>
      <c r="Y53" s="16" t="str">
        <f ca="1">IFERROR(__xludf.dummyfunction("""COMPUTED_VALUE"""),"#N/A")</f>
        <v>#N/A</v>
      </c>
      <c r="Z53" s="16" t="str">
        <f ca="1">IFERROR(__xludf.dummyfunction("""COMPUTED_VALUE"""),"#N/A")</f>
        <v>#N/A</v>
      </c>
      <c r="AA53" s="30" t="str">
        <f ca="1">IFERROR(__xludf.dummyfunction("""COMPUTED_VALUE"""),"#N/A")</f>
        <v>#N/A</v>
      </c>
      <c r="AB53" s="30" t="str">
        <f ca="1">IFERROR(__xludf.dummyfunction("""COMPUTED_VALUE"""),"#N/A")</f>
        <v>#N/A</v>
      </c>
      <c r="AC53" s="30" t="str">
        <f ca="1">IFERROR(__xludf.dummyfunction("""COMPUTED_VALUE"""),"#N/A")</f>
        <v>#N/A</v>
      </c>
      <c r="AD53" s="16" t="str">
        <f ca="1">IFERROR(__xludf.dummyfunction("""COMPUTED_VALUE"""),"#N/A")</f>
        <v>#N/A</v>
      </c>
      <c r="AE53" s="30" t="str">
        <f ca="1">IFERROR(__xludf.dummyfunction("""COMPUTED_VALUE"""),"#N/A")</f>
        <v>#N/A</v>
      </c>
      <c r="AF53" s="30" t="str">
        <f ca="1">IFERROR(__xludf.dummyfunction("""COMPUTED_VALUE"""),"#N/A")</f>
        <v>#N/A</v>
      </c>
      <c r="AG53" s="30" t="str">
        <f ca="1">IFERROR(__xludf.dummyfunction("""COMPUTED_VALUE"""),"#N/A")</f>
        <v>#N/A</v>
      </c>
    </row>
    <row r="54" spans="1:33" ht="15.6">
      <c r="A54" s="25"/>
      <c r="B54" s="25" t="s">
        <v>29</v>
      </c>
      <c r="C54" s="25" t="s">
        <v>310</v>
      </c>
      <c r="D54" s="25">
        <v>8</v>
      </c>
      <c r="E54" s="70" t="s">
        <v>1112</v>
      </c>
      <c r="F54" s="80" t="s">
        <v>887</v>
      </c>
      <c r="G54" s="79" t="s">
        <v>1113</v>
      </c>
      <c r="H54" s="64" t="str">
        <f ca="1">IFERROR(__xludf.dummyfunction("IFERROR(
  VLOOKUP(G54, IMPORTRANGE(""https://docs.google.com/spreadsheets/d/14deopnvwcrKtEGCKuYXdUHJbeLDZlkiSSWWT0g7x2pM/edit#gid=849066331"", ""LU List Maths (Filter)!A:B""), 2, FALSE),
  IFERROR(
    VLOOKUP(G54, IMPORTRANGE(""https://docs.google.com/s"&amp;"preadsheets/d/14deopnvwcrKtEGCKuYXdUHJbeLDZlkiSSWWT0g7x2pM/edit#gid=849066331"", ""LU List Science (Filter)!A:B""), 2, FALSE),
    ""Not Found""
  )
)
"),"Types of sets: Joint or Overlapping sets")</f>
        <v>Types of sets: Joint or Overlapping sets</v>
      </c>
      <c r="I54" s="87"/>
      <c r="J54" s="100" t="str">
        <f t="shared" si="6"/>
        <v>LU001413.001</v>
      </c>
      <c r="K54" s="100" t="str">
        <f ca="1">IFERROR(__xludf.dummyfunction("VLOOKUP(J54, IMPORTRANGE(""https://docs.google.com/spreadsheets/d/1yDAaXNsi4Mr5FtRQL4tbmSdIzhx6_m4wkOD7IG-k_eo/edit#gid=0"", ""Maths!M:N""), 2, FALSE)"),"(LU001413.001); Default - Remember")</f>
        <v>(LU001413.001); Default - Remember</v>
      </c>
      <c r="L54" s="100" t="str">
        <f t="shared" si="7"/>
        <v>LU001413.002</v>
      </c>
      <c r="M54" s="100" t="str">
        <f ca="1">IFERROR(__xludf.dummyfunction("VLOOKUP(L54, IMPORTRANGE(""https://docs.google.com/spreadsheets/d/1yDAaXNsi4Mr5FtRQL4tbmSdIzhx6_m4wkOD7IG-k_eo/edit#gid=0"", ""Maths!M:N""), 2, FALSE)"),"(LU001413.002); Default - Understand")</f>
        <v>(LU001413.002); Default - Understand</v>
      </c>
      <c r="N54" s="100" t="str">
        <f t="shared" si="8"/>
        <v>LU001413.003</v>
      </c>
      <c r="O54" s="100" t="str">
        <f ca="1">IFERROR(__xludf.dummyfunction("VLOOKUP(N54, IMPORTRANGE(""https://docs.google.com/spreadsheets/d/1yDAaXNsi4Mr5FtRQL4tbmSdIzhx6_m4wkOD7IG-k_eo/edit#gid=0"", ""Maths!M:N""), 2, FALSE)"),"(LU001413.003); Default - Apply")</f>
        <v>(LU001413.003); Default - Apply</v>
      </c>
      <c r="P54" s="100" t="str">
        <f t="shared" si="9"/>
        <v>LU001413.004</v>
      </c>
      <c r="Q54" s="100" t="str">
        <f ca="1">IFERROR(__xludf.dummyfunction("VLOOKUP(P54, IMPORTRANGE(""https://docs.google.com/spreadsheets/d/1yDAaXNsi4Mr5FtRQL4tbmSdIzhx6_m4wkOD7IG-k_eo/edit#gid=0"", ""Maths!M:N""), 2, FALSE)"),"(LU001413.004); Default - Analyse")</f>
        <v>(LU001413.004); Default - Analyse</v>
      </c>
      <c r="R54" s="100" t="str">
        <f t="shared" si="10"/>
        <v>LU001413.005</v>
      </c>
      <c r="S54" s="100" t="str">
        <f ca="1">IFERROR(__xludf.dummyfunction("VLOOKUP(R54, IMPORTRANGE(""https://docs.google.com/spreadsheets/d/1yDAaXNsi4Mr5FtRQL4tbmSdIzhx6_m4wkOD7IG-k_eo/edit#gid=0"", ""Maths!M:N""), 2, FALSE)"),"(LU001413.005); Default - Evaluate")</f>
        <v>(LU001413.005); Default - Evaluate</v>
      </c>
      <c r="T54" s="100" t="str">
        <f t="shared" si="11"/>
        <v>LU001413.006</v>
      </c>
      <c r="U54" s="100" t="str">
        <f ca="1">IFERROR(__xludf.dummyfunction("VLOOKUP(T54, IMPORTRANGE(""https://docs.google.com/spreadsheets/d/1yDAaXNsi4Mr5FtRQL4tbmSdIzhx6_m4wkOD7IG-k_eo/edit#gid=0"", ""Maths!M:N""), 2, FALSE)"),"(LU001413.006); Default - Create")</f>
        <v>(LU001413.006); Default - Create</v>
      </c>
      <c r="V54" s="16" t="str">
        <f ca="1">IFERROR(__xludf.dummyfunction("ArrayFormula(VLOOKUP(G54, IMPORTRANGE(""https://docs.google.com/spreadsheets/d/1p7R4vtkWt5VOBim4ltsDG9KTzSjrtKXsMtQGXPHyND0/edit#gid=795171502"", ""'Filter 30_05_2024'!A1:M2000""), {2, 3, 4, 5,6,7,8,9,10,11,12,13}, 0))"),"#N/A")</f>
        <v>#N/A</v>
      </c>
      <c r="W54" s="16" t="str">
        <f ca="1">IFERROR(__xludf.dummyfunction("""COMPUTED_VALUE"""),"#N/A")</f>
        <v>#N/A</v>
      </c>
      <c r="X54" s="16" t="str">
        <f ca="1">IFERROR(__xludf.dummyfunction("""COMPUTED_VALUE"""),"#N/A")</f>
        <v>#N/A</v>
      </c>
      <c r="Y54" s="16" t="str">
        <f ca="1">IFERROR(__xludf.dummyfunction("""COMPUTED_VALUE"""),"#N/A")</f>
        <v>#N/A</v>
      </c>
      <c r="Z54" s="16" t="str">
        <f ca="1">IFERROR(__xludf.dummyfunction("""COMPUTED_VALUE"""),"#N/A")</f>
        <v>#N/A</v>
      </c>
      <c r="AA54" s="30" t="str">
        <f ca="1">IFERROR(__xludf.dummyfunction("""COMPUTED_VALUE"""),"#N/A")</f>
        <v>#N/A</v>
      </c>
      <c r="AB54" s="30" t="str">
        <f ca="1">IFERROR(__xludf.dummyfunction("""COMPUTED_VALUE"""),"#N/A")</f>
        <v>#N/A</v>
      </c>
      <c r="AC54" s="30" t="str">
        <f ca="1">IFERROR(__xludf.dummyfunction("""COMPUTED_VALUE"""),"#N/A")</f>
        <v>#N/A</v>
      </c>
      <c r="AD54" s="16" t="str">
        <f ca="1">IFERROR(__xludf.dummyfunction("""COMPUTED_VALUE"""),"#N/A")</f>
        <v>#N/A</v>
      </c>
      <c r="AE54" s="30" t="str">
        <f ca="1">IFERROR(__xludf.dummyfunction("""COMPUTED_VALUE"""),"#N/A")</f>
        <v>#N/A</v>
      </c>
      <c r="AF54" s="30" t="str">
        <f ca="1">IFERROR(__xludf.dummyfunction("""COMPUTED_VALUE"""),"#N/A")</f>
        <v>#N/A</v>
      </c>
      <c r="AG54" s="30" t="str">
        <f ca="1">IFERROR(__xludf.dummyfunction("""COMPUTED_VALUE"""),"#N/A")</f>
        <v>#N/A</v>
      </c>
    </row>
    <row r="55" spans="1:33" ht="15.6">
      <c r="A55" s="25"/>
      <c r="B55" s="25" t="s">
        <v>29</v>
      </c>
      <c r="C55" s="25" t="s">
        <v>310</v>
      </c>
      <c r="D55" s="25">
        <v>8</v>
      </c>
      <c r="E55" s="70" t="s">
        <v>1112</v>
      </c>
      <c r="F55" s="80" t="s">
        <v>887</v>
      </c>
      <c r="G55" s="79" t="s">
        <v>1114</v>
      </c>
      <c r="H55" s="64" t="str">
        <f ca="1">IFERROR(__xludf.dummyfunction("IFERROR(
  VLOOKUP(G55, IMPORTRANGE(""https://docs.google.com/spreadsheets/d/14deopnvwcrKtEGCKuYXdUHJbeLDZlkiSSWWT0g7x2pM/edit#gid=849066331"", ""LU List Maths (Filter)!A:B""), 2, FALSE),
  IFERROR(
    VLOOKUP(G55, IMPORTRANGE(""https://docs.google.com/s"&amp;"preadsheets/d/14deopnvwcrKtEGCKuYXdUHJbeLDZlkiSSWWT0g7x2pM/edit#gid=849066331"", ""LU List Science (Filter)!A:B""), 2, FALSE),
    ""Not Found""
  )
)
"),"Types of sets: Disjoint sets")</f>
        <v>Types of sets: Disjoint sets</v>
      </c>
      <c r="I55" s="87"/>
      <c r="J55" s="100" t="str">
        <f t="shared" si="6"/>
        <v>LU001414.001</v>
      </c>
      <c r="K55" s="100" t="str">
        <f ca="1">IFERROR(__xludf.dummyfunction("VLOOKUP(J55, IMPORTRANGE(""https://docs.google.com/spreadsheets/d/1yDAaXNsi4Mr5FtRQL4tbmSdIzhx6_m4wkOD7IG-k_eo/edit#gid=0"", ""Maths!M:N""), 2, FALSE)"),"(LU001414.001); Default - Remember")</f>
        <v>(LU001414.001); Default - Remember</v>
      </c>
      <c r="L55" s="100" t="str">
        <f t="shared" si="7"/>
        <v>LU001414.002</v>
      </c>
      <c r="M55" s="100" t="str">
        <f ca="1">IFERROR(__xludf.dummyfunction("VLOOKUP(L55, IMPORTRANGE(""https://docs.google.com/spreadsheets/d/1yDAaXNsi4Mr5FtRQL4tbmSdIzhx6_m4wkOD7IG-k_eo/edit#gid=0"", ""Maths!M:N""), 2, FALSE)"),"(LU001414.002); Default - Understand")</f>
        <v>(LU001414.002); Default - Understand</v>
      </c>
      <c r="N55" s="100" t="str">
        <f t="shared" si="8"/>
        <v>LU001414.003</v>
      </c>
      <c r="O55" s="100" t="str">
        <f ca="1">IFERROR(__xludf.dummyfunction("VLOOKUP(N55, IMPORTRANGE(""https://docs.google.com/spreadsheets/d/1yDAaXNsi4Mr5FtRQL4tbmSdIzhx6_m4wkOD7IG-k_eo/edit#gid=0"", ""Maths!M:N""), 2, FALSE)"),"(LU001414.003); Default - Apply")</f>
        <v>(LU001414.003); Default - Apply</v>
      </c>
      <c r="P55" s="100" t="str">
        <f t="shared" si="9"/>
        <v>LU001414.004</v>
      </c>
      <c r="Q55" s="100" t="str">
        <f ca="1">IFERROR(__xludf.dummyfunction("VLOOKUP(P55, IMPORTRANGE(""https://docs.google.com/spreadsheets/d/1yDAaXNsi4Mr5FtRQL4tbmSdIzhx6_m4wkOD7IG-k_eo/edit#gid=0"", ""Maths!M:N""), 2, FALSE)"),"(LU001414.004); Default - Analyse")</f>
        <v>(LU001414.004); Default - Analyse</v>
      </c>
      <c r="R55" s="100" t="str">
        <f t="shared" si="10"/>
        <v>LU001414.005</v>
      </c>
      <c r="S55" s="100" t="str">
        <f ca="1">IFERROR(__xludf.dummyfunction("VLOOKUP(R55, IMPORTRANGE(""https://docs.google.com/spreadsheets/d/1yDAaXNsi4Mr5FtRQL4tbmSdIzhx6_m4wkOD7IG-k_eo/edit#gid=0"", ""Maths!M:N""), 2, FALSE)"),"(LU001414.005); Default - Evaluate")</f>
        <v>(LU001414.005); Default - Evaluate</v>
      </c>
      <c r="T55" s="100" t="str">
        <f t="shared" si="11"/>
        <v>LU001414.006</v>
      </c>
      <c r="U55" s="100" t="str">
        <f ca="1">IFERROR(__xludf.dummyfunction("VLOOKUP(T55, IMPORTRANGE(""https://docs.google.com/spreadsheets/d/1yDAaXNsi4Mr5FtRQL4tbmSdIzhx6_m4wkOD7IG-k_eo/edit#gid=0"", ""Maths!M:N""), 2, FALSE)"),"(LU001414.006); Default - Create")</f>
        <v>(LU001414.006); Default - Create</v>
      </c>
      <c r="V55" s="16" t="str">
        <f ca="1">IFERROR(__xludf.dummyfunction("ArrayFormula(VLOOKUP(G55, IMPORTRANGE(""https://docs.google.com/spreadsheets/d/1p7R4vtkWt5VOBim4ltsDG9KTzSjrtKXsMtQGXPHyND0/edit#gid=795171502"", ""'Filter 30_05_2024'!A1:M2000""), {2, 3, 4, 5,6,7,8,9,10,11,12,13}, 0))"),"#N/A")</f>
        <v>#N/A</v>
      </c>
      <c r="W55" s="16" t="str">
        <f ca="1">IFERROR(__xludf.dummyfunction("""COMPUTED_VALUE"""),"#N/A")</f>
        <v>#N/A</v>
      </c>
      <c r="X55" s="16" t="str">
        <f ca="1">IFERROR(__xludf.dummyfunction("""COMPUTED_VALUE"""),"#N/A")</f>
        <v>#N/A</v>
      </c>
      <c r="Y55" s="16" t="str">
        <f ca="1">IFERROR(__xludf.dummyfunction("""COMPUTED_VALUE"""),"#N/A")</f>
        <v>#N/A</v>
      </c>
      <c r="Z55" s="16" t="str">
        <f ca="1">IFERROR(__xludf.dummyfunction("""COMPUTED_VALUE"""),"#N/A")</f>
        <v>#N/A</v>
      </c>
      <c r="AA55" s="30" t="str">
        <f ca="1">IFERROR(__xludf.dummyfunction("""COMPUTED_VALUE"""),"#N/A")</f>
        <v>#N/A</v>
      </c>
      <c r="AB55" s="30" t="str">
        <f ca="1">IFERROR(__xludf.dummyfunction("""COMPUTED_VALUE"""),"#N/A")</f>
        <v>#N/A</v>
      </c>
      <c r="AC55" s="30" t="str">
        <f ca="1">IFERROR(__xludf.dummyfunction("""COMPUTED_VALUE"""),"#N/A")</f>
        <v>#N/A</v>
      </c>
      <c r="AD55" s="16" t="str">
        <f ca="1">IFERROR(__xludf.dummyfunction("""COMPUTED_VALUE"""),"#N/A")</f>
        <v>#N/A</v>
      </c>
      <c r="AE55" s="30" t="str">
        <f ca="1">IFERROR(__xludf.dummyfunction("""COMPUTED_VALUE"""),"#N/A")</f>
        <v>#N/A</v>
      </c>
      <c r="AF55" s="30" t="str">
        <f ca="1">IFERROR(__xludf.dummyfunction("""COMPUTED_VALUE"""),"#N/A")</f>
        <v>#N/A</v>
      </c>
      <c r="AG55" s="30" t="str">
        <f ca="1">IFERROR(__xludf.dummyfunction("""COMPUTED_VALUE"""),"#N/A")</f>
        <v>#N/A</v>
      </c>
    </row>
    <row r="56" spans="1:33" ht="15.6">
      <c r="A56" s="25"/>
      <c r="B56" s="25" t="s">
        <v>29</v>
      </c>
      <c r="C56" s="25" t="s">
        <v>310</v>
      </c>
      <c r="D56" s="25">
        <v>8</v>
      </c>
      <c r="E56" s="70" t="s">
        <v>1112</v>
      </c>
      <c r="F56" s="80" t="s">
        <v>1115</v>
      </c>
      <c r="G56" s="79" t="s">
        <v>1116</v>
      </c>
      <c r="H56" s="64" t="str">
        <f ca="1">IFERROR(__xludf.dummyfunction("IFERROR(
  VLOOKUP(G56, IMPORTRANGE(""https://docs.google.com/spreadsheets/d/14deopnvwcrKtEGCKuYXdUHJbeLDZlkiSSWWT0g7x2pM/edit#gid=849066331"", ""LU List Maths (Filter)!A:B""), 2, FALSE),
  IFERROR(
    VLOOKUP(G56, IMPORTRANGE(""https://docs.google.com/s"&amp;"preadsheets/d/14deopnvwcrKtEGCKuYXdUHJbeLDZlkiSSWWT0g7x2pM/edit#gid=849066331"", ""LU List Science (Filter)!A:B""), 2, FALSE),
    ""Not Found""
  )
)
"),"Subsets, proper subsets, supersets, and their notations")</f>
        <v>Subsets, proper subsets, supersets, and their notations</v>
      </c>
      <c r="I56" s="87"/>
      <c r="J56" s="100" t="str">
        <f t="shared" si="6"/>
        <v>LU001415.001</v>
      </c>
      <c r="K56" s="100" t="str">
        <f ca="1">IFERROR(__xludf.dummyfunction("VLOOKUP(J56, IMPORTRANGE(""https://docs.google.com/spreadsheets/d/1yDAaXNsi4Mr5FtRQL4tbmSdIzhx6_m4wkOD7IG-k_eo/edit#gid=0"", ""Maths!M:N""), 2, FALSE)"),"(LU001415.001); Default - Remember")</f>
        <v>(LU001415.001); Default - Remember</v>
      </c>
      <c r="L56" s="100" t="str">
        <f t="shared" si="7"/>
        <v>LU001415.002</v>
      </c>
      <c r="M56" s="100" t="str">
        <f ca="1">IFERROR(__xludf.dummyfunction("VLOOKUP(L56, IMPORTRANGE(""https://docs.google.com/spreadsheets/d/1yDAaXNsi4Mr5FtRQL4tbmSdIzhx6_m4wkOD7IG-k_eo/edit#gid=0"", ""Maths!M:N""), 2, FALSE)"),"(LU001415.002); Default - Understand")</f>
        <v>(LU001415.002); Default - Understand</v>
      </c>
      <c r="N56" s="100" t="str">
        <f t="shared" si="8"/>
        <v>LU001415.003</v>
      </c>
      <c r="O56" s="100" t="str">
        <f ca="1">IFERROR(__xludf.dummyfunction("VLOOKUP(N56, IMPORTRANGE(""https://docs.google.com/spreadsheets/d/1yDAaXNsi4Mr5FtRQL4tbmSdIzhx6_m4wkOD7IG-k_eo/edit#gid=0"", ""Maths!M:N""), 2, FALSE)"),"(LU001415.003); Default - Apply")</f>
        <v>(LU001415.003); Default - Apply</v>
      </c>
      <c r="P56" s="100" t="str">
        <f t="shared" si="9"/>
        <v>LU001415.004</v>
      </c>
      <c r="Q56" s="100" t="str">
        <f ca="1">IFERROR(__xludf.dummyfunction("VLOOKUP(P56, IMPORTRANGE(""https://docs.google.com/spreadsheets/d/1yDAaXNsi4Mr5FtRQL4tbmSdIzhx6_m4wkOD7IG-k_eo/edit#gid=0"", ""Maths!M:N""), 2, FALSE)"),"(LU001415.004); Default - Analyse")</f>
        <v>(LU001415.004); Default - Analyse</v>
      </c>
      <c r="R56" s="100" t="str">
        <f t="shared" si="10"/>
        <v>LU001415.005</v>
      </c>
      <c r="S56" s="100" t="str">
        <f ca="1">IFERROR(__xludf.dummyfunction("VLOOKUP(R56, IMPORTRANGE(""https://docs.google.com/spreadsheets/d/1yDAaXNsi4Mr5FtRQL4tbmSdIzhx6_m4wkOD7IG-k_eo/edit#gid=0"", ""Maths!M:N""), 2, FALSE)"),"(LU001415.005); Default - Evaluate")</f>
        <v>(LU001415.005); Default - Evaluate</v>
      </c>
      <c r="T56" s="100" t="str">
        <f t="shared" si="11"/>
        <v>LU001415.006</v>
      </c>
      <c r="U56" s="100" t="str">
        <f ca="1">IFERROR(__xludf.dummyfunction("VLOOKUP(T56, IMPORTRANGE(""https://docs.google.com/spreadsheets/d/1yDAaXNsi4Mr5FtRQL4tbmSdIzhx6_m4wkOD7IG-k_eo/edit#gid=0"", ""Maths!M:N""), 2, FALSE)"),"(LU001415.006); Default - Create")</f>
        <v>(LU001415.006); Default - Create</v>
      </c>
      <c r="V56" s="16" t="str">
        <f ca="1">IFERROR(__xludf.dummyfunction("ArrayFormula(VLOOKUP(G56, IMPORTRANGE(""https://docs.google.com/spreadsheets/d/1p7R4vtkWt5VOBim4ltsDG9KTzSjrtKXsMtQGXPHyND0/edit#gid=795171502"", ""'Filter 30_05_2024'!A1:M2000""), {2, 3, 4, 5,6,7,8,9,10,11,12,13}, 0))"),"#N/A")</f>
        <v>#N/A</v>
      </c>
      <c r="W56" s="16" t="str">
        <f ca="1">IFERROR(__xludf.dummyfunction("""COMPUTED_VALUE"""),"#N/A")</f>
        <v>#N/A</v>
      </c>
      <c r="X56" s="16" t="str">
        <f ca="1">IFERROR(__xludf.dummyfunction("""COMPUTED_VALUE"""),"#N/A")</f>
        <v>#N/A</v>
      </c>
      <c r="Y56" s="16" t="str">
        <f ca="1">IFERROR(__xludf.dummyfunction("""COMPUTED_VALUE"""),"#N/A")</f>
        <v>#N/A</v>
      </c>
      <c r="Z56" s="16" t="str">
        <f ca="1">IFERROR(__xludf.dummyfunction("""COMPUTED_VALUE"""),"#N/A")</f>
        <v>#N/A</v>
      </c>
      <c r="AA56" s="30" t="str">
        <f ca="1">IFERROR(__xludf.dummyfunction("""COMPUTED_VALUE"""),"#N/A")</f>
        <v>#N/A</v>
      </c>
      <c r="AB56" s="30" t="str">
        <f ca="1">IFERROR(__xludf.dummyfunction("""COMPUTED_VALUE"""),"#N/A")</f>
        <v>#N/A</v>
      </c>
      <c r="AC56" s="30" t="str">
        <f ca="1">IFERROR(__xludf.dummyfunction("""COMPUTED_VALUE"""),"#N/A")</f>
        <v>#N/A</v>
      </c>
      <c r="AD56" s="16" t="str">
        <f ca="1">IFERROR(__xludf.dummyfunction("""COMPUTED_VALUE"""),"#N/A")</f>
        <v>#N/A</v>
      </c>
      <c r="AE56" s="30" t="str">
        <f ca="1">IFERROR(__xludf.dummyfunction("""COMPUTED_VALUE"""),"#N/A")</f>
        <v>#N/A</v>
      </c>
      <c r="AF56" s="30" t="str">
        <f ca="1">IFERROR(__xludf.dummyfunction("""COMPUTED_VALUE"""),"#N/A")</f>
        <v>#N/A</v>
      </c>
      <c r="AG56" s="30" t="str">
        <f ca="1">IFERROR(__xludf.dummyfunction("""COMPUTED_VALUE"""),"#N/A")</f>
        <v>#N/A</v>
      </c>
    </row>
    <row r="57" spans="1:33" ht="15.6">
      <c r="A57" s="25"/>
      <c r="B57" s="25" t="s">
        <v>29</v>
      </c>
      <c r="C57" s="25" t="s">
        <v>310</v>
      </c>
      <c r="D57" s="25">
        <v>8</v>
      </c>
      <c r="E57" s="70" t="s">
        <v>1112</v>
      </c>
      <c r="F57" s="80" t="s">
        <v>1115</v>
      </c>
      <c r="G57" s="79" t="s">
        <v>1117</v>
      </c>
      <c r="H57" s="64" t="str">
        <f ca="1">IFERROR(__xludf.dummyfunction("IFERROR(
  VLOOKUP(G57, IMPORTRANGE(""https://docs.google.com/spreadsheets/d/14deopnvwcrKtEGCKuYXdUHJbeLDZlkiSSWWT0g7x2pM/edit#gid=849066331"", ""LU List Maths (Filter)!A:B""), 2, FALSE),
  IFERROR(
    VLOOKUP(G57, IMPORTRANGE(""https://docs.google.com/s"&amp;"preadsheets/d/14deopnvwcrKtEGCKuYXdUHJbeLDZlkiSSWWT0g7x2pM/edit#gid=849066331"", ""LU List Science (Filter)!A:B""), 2, FALSE),
    ""Not Found""
  )
)
"),"Number of subsets and proper subsets of a given set")</f>
        <v>Number of subsets and proper subsets of a given set</v>
      </c>
      <c r="I57" s="87"/>
      <c r="J57" s="100" t="str">
        <f t="shared" si="6"/>
        <v>LU001416.001</v>
      </c>
      <c r="K57" s="100" t="str">
        <f ca="1">IFERROR(__xludf.dummyfunction("VLOOKUP(J57, IMPORTRANGE(""https://docs.google.com/spreadsheets/d/1yDAaXNsi4Mr5FtRQL4tbmSdIzhx6_m4wkOD7IG-k_eo/edit#gid=0"", ""Maths!M:N""), 2, FALSE)"),"(LU001416.001); Default - Remember")</f>
        <v>(LU001416.001); Default - Remember</v>
      </c>
      <c r="L57" s="100" t="str">
        <f t="shared" si="7"/>
        <v>LU001416.002</v>
      </c>
      <c r="M57" s="100" t="str">
        <f ca="1">IFERROR(__xludf.dummyfunction("VLOOKUP(L57, IMPORTRANGE(""https://docs.google.com/spreadsheets/d/1yDAaXNsi4Mr5FtRQL4tbmSdIzhx6_m4wkOD7IG-k_eo/edit#gid=0"", ""Maths!M:N""), 2, FALSE)"),"(LU001416.002); Default - Understand")</f>
        <v>(LU001416.002); Default - Understand</v>
      </c>
      <c r="N57" s="100" t="str">
        <f t="shared" si="8"/>
        <v>LU001416.003</v>
      </c>
      <c r="O57" s="100" t="str">
        <f ca="1">IFERROR(__xludf.dummyfunction("VLOOKUP(N57, IMPORTRANGE(""https://docs.google.com/spreadsheets/d/1yDAaXNsi4Mr5FtRQL4tbmSdIzhx6_m4wkOD7IG-k_eo/edit#gid=0"", ""Maths!M:N""), 2, FALSE)"),"(LU001416.003); Default - Apply")</f>
        <v>(LU001416.003); Default - Apply</v>
      </c>
      <c r="P57" s="100" t="str">
        <f t="shared" si="9"/>
        <v>LU001416.004</v>
      </c>
      <c r="Q57" s="100" t="str">
        <f ca="1">IFERROR(__xludf.dummyfunction("VLOOKUP(P57, IMPORTRANGE(""https://docs.google.com/spreadsheets/d/1yDAaXNsi4Mr5FtRQL4tbmSdIzhx6_m4wkOD7IG-k_eo/edit#gid=0"", ""Maths!M:N""), 2, FALSE)"),"(LU001416.004); Default - Analyse")</f>
        <v>(LU001416.004); Default - Analyse</v>
      </c>
      <c r="R57" s="100" t="str">
        <f t="shared" si="10"/>
        <v>LU001416.005</v>
      </c>
      <c r="S57" s="100" t="str">
        <f ca="1">IFERROR(__xludf.dummyfunction("VLOOKUP(R57, IMPORTRANGE(""https://docs.google.com/spreadsheets/d/1yDAaXNsi4Mr5FtRQL4tbmSdIzhx6_m4wkOD7IG-k_eo/edit#gid=0"", ""Maths!M:N""), 2, FALSE)"),"(LU001416.005); Default - Evaluate")</f>
        <v>(LU001416.005); Default - Evaluate</v>
      </c>
      <c r="T57" s="100" t="str">
        <f t="shared" si="11"/>
        <v>LU001416.006</v>
      </c>
      <c r="U57" s="100" t="str">
        <f ca="1">IFERROR(__xludf.dummyfunction("VLOOKUP(T57, IMPORTRANGE(""https://docs.google.com/spreadsheets/d/1yDAaXNsi4Mr5FtRQL4tbmSdIzhx6_m4wkOD7IG-k_eo/edit#gid=0"", ""Maths!M:N""), 2, FALSE)"),"(LU001416.006); Default - Create")</f>
        <v>(LU001416.006); Default - Create</v>
      </c>
      <c r="V57" s="16" t="str">
        <f ca="1">IFERROR(__xludf.dummyfunction("ArrayFormula(VLOOKUP(G57, IMPORTRANGE(""https://docs.google.com/spreadsheets/d/1p7R4vtkWt5VOBim4ltsDG9KTzSjrtKXsMtQGXPHyND0/edit#gid=795171502"", ""'Filter 30_05_2024'!A1:M2000""), {2, 3, 4, 5,6,7,8,9,10,11,12,13}, 0))"),"#N/A")</f>
        <v>#N/A</v>
      </c>
      <c r="W57" s="16" t="str">
        <f ca="1">IFERROR(__xludf.dummyfunction("""COMPUTED_VALUE"""),"#N/A")</f>
        <v>#N/A</v>
      </c>
      <c r="X57" s="16" t="str">
        <f ca="1">IFERROR(__xludf.dummyfunction("""COMPUTED_VALUE"""),"#N/A")</f>
        <v>#N/A</v>
      </c>
      <c r="Y57" s="16" t="str">
        <f ca="1">IFERROR(__xludf.dummyfunction("""COMPUTED_VALUE"""),"#N/A")</f>
        <v>#N/A</v>
      </c>
      <c r="Z57" s="16" t="str">
        <f ca="1">IFERROR(__xludf.dummyfunction("""COMPUTED_VALUE"""),"#N/A")</f>
        <v>#N/A</v>
      </c>
      <c r="AA57" s="30" t="str">
        <f ca="1">IFERROR(__xludf.dummyfunction("""COMPUTED_VALUE"""),"#N/A")</f>
        <v>#N/A</v>
      </c>
      <c r="AB57" s="30" t="str">
        <f ca="1">IFERROR(__xludf.dummyfunction("""COMPUTED_VALUE"""),"#N/A")</f>
        <v>#N/A</v>
      </c>
      <c r="AC57" s="30" t="str">
        <f ca="1">IFERROR(__xludf.dummyfunction("""COMPUTED_VALUE"""),"#N/A")</f>
        <v>#N/A</v>
      </c>
      <c r="AD57" s="16" t="str">
        <f ca="1">IFERROR(__xludf.dummyfunction("""COMPUTED_VALUE"""),"#N/A")</f>
        <v>#N/A</v>
      </c>
      <c r="AE57" s="30" t="str">
        <f ca="1">IFERROR(__xludf.dummyfunction("""COMPUTED_VALUE"""),"#N/A")</f>
        <v>#N/A</v>
      </c>
      <c r="AF57" s="30" t="str">
        <f ca="1">IFERROR(__xludf.dummyfunction("""COMPUTED_VALUE"""),"#N/A")</f>
        <v>#N/A</v>
      </c>
      <c r="AG57" s="30" t="str">
        <f ca="1">IFERROR(__xludf.dummyfunction("""COMPUTED_VALUE"""),"#N/A")</f>
        <v>#N/A</v>
      </c>
    </row>
    <row r="58" spans="1:33" ht="15.6">
      <c r="A58" s="25"/>
      <c r="B58" s="25" t="s">
        <v>29</v>
      </c>
      <c r="C58" s="25" t="s">
        <v>310</v>
      </c>
      <c r="D58" s="25">
        <v>8</v>
      </c>
      <c r="E58" s="70" t="s">
        <v>1112</v>
      </c>
      <c r="F58" s="80" t="s">
        <v>1118</v>
      </c>
      <c r="G58" s="79" t="s">
        <v>1119</v>
      </c>
      <c r="H58" s="64" t="str">
        <f ca="1">IFERROR(__xludf.dummyfunction("IFERROR(
  VLOOKUP(G58, IMPORTRANGE(""https://docs.google.com/spreadsheets/d/14deopnvwcrKtEGCKuYXdUHJbeLDZlkiSSWWT0g7x2pM/edit#gid=849066331"", ""LU List Maths (Filter)!A:B""), 2, FALSE),
  IFERROR(
    VLOOKUP(G58, IMPORTRANGE(""https://docs.google.com/s"&amp;"preadsheets/d/14deopnvwcrKtEGCKuYXdUHJbeLDZlkiSSWWT0g7x2pM/edit#gid=849066331"", ""LU List Science (Filter)!A:B""), 2, FALSE),
    ""Not Found""
  )
)
"),"Complement of a set")</f>
        <v>Complement of a set</v>
      </c>
      <c r="I58" s="87"/>
      <c r="J58" s="100" t="str">
        <f t="shared" si="6"/>
        <v>LU001417.001</v>
      </c>
      <c r="K58" s="100" t="str">
        <f ca="1">IFERROR(__xludf.dummyfunction("VLOOKUP(J58, IMPORTRANGE(""https://docs.google.com/spreadsheets/d/1yDAaXNsi4Mr5FtRQL4tbmSdIzhx6_m4wkOD7IG-k_eo/edit#gid=0"", ""Maths!M:N""), 2, FALSE)"),"(LU001417.001); Default - Remember")</f>
        <v>(LU001417.001); Default - Remember</v>
      </c>
      <c r="L58" s="100" t="str">
        <f t="shared" si="7"/>
        <v>LU001417.002</v>
      </c>
      <c r="M58" s="100" t="str">
        <f ca="1">IFERROR(__xludf.dummyfunction("VLOOKUP(L58, IMPORTRANGE(""https://docs.google.com/spreadsheets/d/1yDAaXNsi4Mr5FtRQL4tbmSdIzhx6_m4wkOD7IG-k_eo/edit#gid=0"", ""Maths!M:N""), 2, FALSE)"),"(LU001417.002); Default - Understand")</f>
        <v>(LU001417.002); Default - Understand</v>
      </c>
      <c r="N58" s="100" t="str">
        <f t="shared" si="8"/>
        <v>LU001417.003</v>
      </c>
      <c r="O58" s="100" t="str">
        <f ca="1">IFERROR(__xludf.dummyfunction("VLOOKUP(N58, IMPORTRANGE(""https://docs.google.com/spreadsheets/d/1yDAaXNsi4Mr5FtRQL4tbmSdIzhx6_m4wkOD7IG-k_eo/edit#gid=0"", ""Maths!M:N""), 2, FALSE)"),"(LU001417.003); Default - Apply")</f>
        <v>(LU001417.003); Default - Apply</v>
      </c>
      <c r="P58" s="100" t="str">
        <f t="shared" si="9"/>
        <v>LU001417.004</v>
      </c>
      <c r="Q58" s="100" t="str">
        <f ca="1">IFERROR(__xludf.dummyfunction("VLOOKUP(P58, IMPORTRANGE(""https://docs.google.com/spreadsheets/d/1yDAaXNsi4Mr5FtRQL4tbmSdIzhx6_m4wkOD7IG-k_eo/edit#gid=0"", ""Maths!M:N""), 2, FALSE)"),"(LU001417.004); Default - Analyse")</f>
        <v>(LU001417.004); Default - Analyse</v>
      </c>
      <c r="R58" s="100" t="str">
        <f t="shared" si="10"/>
        <v>LU001417.005</v>
      </c>
      <c r="S58" s="100" t="str">
        <f ca="1">IFERROR(__xludf.dummyfunction("VLOOKUP(R58, IMPORTRANGE(""https://docs.google.com/spreadsheets/d/1yDAaXNsi4Mr5FtRQL4tbmSdIzhx6_m4wkOD7IG-k_eo/edit#gid=0"", ""Maths!M:N""), 2, FALSE)"),"(LU001417.005); Default - Evaluate")</f>
        <v>(LU001417.005); Default - Evaluate</v>
      </c>
      <c r="T58" s="100" t="str">
        <f t="shared" si="11"/>
        <v>LU001417.006</v>
      </c>
      <c r="U58" s="100" t="str">
        <f ca="1">IFERROR(__xludf.dummyfunction("VLOOKUP(T58, IMPORTRANGE(""https://docs.google.com/spreadsheets/d/1yDAaXNsi4Mr5FtRQL4tbmSdIzhx6_m4wkOD7IG-k_eo/edit#gid=0"", ""Maths!M:N""), 2, FALSE)"),"(LU001417.006); Default - Create")</f>
        <v>(LU001417.006); Default - Create</v>
      </c>
      <c r="V58" s="16" t="str">
        <f ca="1">IFERROR(__xludf.dummyfunction("ArrayFormula(VLOOKUP(G58, IMPORTRANGE(""https://docs.google.com/spreadsheets/d/1p7R4vtkWt5VOBim4ltsDG9KTzSjrtKXsMtQGXPHyND0/edit#gid=795171502"", ""'Filter 30_05_2024'!A1:M2000""), {2, 3, 4, 5,6,7,8,9,10,11,12,13}, 0))"),"#N/A")</f>
        <v>#N/A</v>
      </c>
      <c r="W58" s="16" t="str">
        <f ca="1">IFERROR(__xludf.dummyfunction("""COMPUTED_VALUE"""),"#N/A")</f>
        <v>#N/A</v>
      </c>
      <c r="X58" s="16" t="str">
        <f ca="1">IFERROR(__xludf.dummyfunction("""COMPUTED_VALUE"""),"#N/A")</f>
        <v>#N/A</v>
      </c>
      <c r="Y58" s="16" t="str">
        <f ca="1">IFERROR(__xludf.dummyfunction("""COMPUTED_VALUE"""),"#N/A")</f>
        <v>#N/A</v>
      </c>
      <c r="Z58" s="16" t="str">
        <f ca="1">IFERROR(__xludf.dummyfunction("""COMPUTED_VALUE"""),"#N/A")</f>
        <v>#N/A</v>
      </c>
      <c r="AA58" s="30" t="str">
        <f ca="1">IFERROR(__xludf.dummyfunction("""COMPUTED_VALUE"""),"#N/A")</f>
        <v>#N/A</v>
      </c>
      <c r="AB58" s="30" t="str">
        <f ca="1">IFERROR(__xludf.dummyfunction("""COMPUTED_VALUE"""),"#N/A")</f>
        <v>#N/A</v>
      </c>
      <c r="AC58" s="30" t="str">
        <f ca="1">IFERROR(__xludf.dummyfunction("""COMPUTED_VALUE"""),"#N/A")</f>
        <v>#N/A</v>
      </c>
      <c r="AD58" s="16" t="str">
        <f ca="1">IFERROR(__xludf.dummyfunction("""COMPUTED_VALUE"""),"#N/A")</f>
        <v>#N/A</v>
      </c>
      <c r="AE58" s="30" t="str">
        <f ca="1">IFERROR(__xludf.dummyfunction("""COMPUTED_VALUE"""),"#N/A")</f>
        <v>#N/A</v>
      </c>
      <c r="AF58" s="30" t="str">
        <f ca="1">IFERROR(__xludf.dummyfunction("""COMPUTED_VALUE"""),"#N/A")</f>
        <v>#N/A</v>
      </c>
      <c r="AG58" s="30" t="str">
        <f ca="1">IFERROR(__xludf.dummyfunction("""COMPUTED_VALUE"""),"#N/A")</f>
        <v>#N/A</v>
      </c>
    </row>
    <row r="59" spans="1:33" ht="15.6">
      <c r="A59" s="25"/>
      <c r="B59" s="25" t="s">
        <v>29</v>
      </c>
      <c r="C59" s="25" t="s">
        <v>310</v>
      </c>
      <c r="D59" s="25">
        <v>8</v>
      </c>
      <c r="E59" s="70" t="s">
        <v>1112</v>
      </c>
      <c r="F59" s="80" t="s">
        <v>1120</v>
      </c>
      <c r="G59" s="79" t="s">
        <v>1121</v>
      </c>
      <c r="H59" s="64" t="str">
        <f ca="1">IFERROR(__xludf.dummyfunction("IFERROR(
  VLOOKUP(G59, IMPORTRANGE(""https://docs.google.com/spreadsheets/d/14deopnvwcrKtEGCKuYXdUHJbeLDZlkiSSWWT0g7x2pM/edit#gid=849066331"", ""LU List Maths (Filter)!A:B""), 2, FALSE),
  IFERROR(
    VLOOKUP(G59, IMPORTRANGE(""https://docs.google.com/s"&amp;"preadsheets/d/14deopnvwcrKtEGCKuYXdUHJbeLDZlkiSSWWT0g7x2pM/edit#gid=849066331"", ""LU List Science (Filter)!A:B""), 2, FALSE),
    ""Not Found""
  )
)
"),"Set operations: Union of sets")</f>
        <v>Set operations: Union of sets</v>
      </c>
      <c r="I59" s="87"/>
      <c r="J59" s="100" t="str">
        <f t="shared" si="6"/>
        <v>LU001418.001</v>
      </c>
      <c r="K59" s="100" t="str">
        <f ca="1">IFERROR(__xludf.dummyfunction("VLOOKUP(J59, IMPORTRANGE(""https://docs.google.com/spreadsheets/d/1yDAaXNsi4Mr5FtRQL4tbmSdIzhx6_m4wkOD7IG-k_eo/edit#gid=0"", ""Maths!M:N""), 2, FALSE)"),"(LU001418.001); Default - Remember")</f>
        <v>(LU001418.001); Default - Remember</v>
      </c>
      <c r="L59" s="100" t="str">
        <f t="shared" si="7"/>
        <v>LU001418.002</v>
      </c>
      <c r="M59" s="100" t="str">
        <f ca="1">IFERROR(__xludf.dummyfunction("VLOOKUP(L59, IMPORTRANGE(""https://docs.google.com/spreadsheets/d/1yDAaXNsi4Mr5FtRQL4tbmSdIzhx6_m4wkOD7IG-k_eo/edit#gid=0"", ""Maths!M:N""), 2, FALSE)"),"(LU001418.002); Default - Understand")</f>
        <v>(LU001418.002); Default - Understand</v>
      </c>
      <c r="N59" s="100" t="str">
        <f t="shared" si="8"/>
        <v>LU001418.003</v>
      </c>
      <c r="O59" s="100" t="str">
        <f ca="1">IFERROR(__xludf.dummyfunction("VLOOKUP(N59, IMPORTRANGE(""https://docs.google.com/spreadsheets/d/1yDAaXNsi4Mr5FtRQL4tbmSdIzhx6_m4wkOD7IG-k_eo/edit#gid=0"", ""Maths!M:N""), 2, FALSE)"),"(LU001418.003); Default - Apply")</f>
        <v>(LU001418.003); Default - Apply</v>
      </c>
      <c r="P59" s="100" t="str">
        <f t="shared" si="9"/>
        <v>LU001418.004</v>
      </c>
      <c r="Q59" s="100" t="str">
        <f ca="1">IFERROR(__xludf.dummyfunction("VLOOKUP(P59, IMPORTRANGE(""https://docs.google.com/spreadsheets/d/1yDAaXNsi4Mr5FtRQL4tbmSdIzhx6_m4wkOD7IG-k_eo/edit#gid=0"", ""Maths!M:N""), 2, FALSE)"),"(LU001418.004); Default - Analyse")</f>
        <v>(LU001418.004); Default - Analyse</v>
      </c>
      <c r="R59" s="100" t="str">
        <f t="shared" si="10"/>
        <v>LU001418.005</v>
      </c>
      <c r="S59" s="100" t="str">
        <f ca="1">IFERROR(__xludf.dummyfunction("VLOOKUP(R59, IMPORTRANGE(""https://docs.google.com/spreadsheets/d/1yDAaXNsi4Mr5FtRQL4tbmSdIzhx6_m4wkOD7IG-k_eo/edit#gid=0"", ""Maths!M:N""), 2, FALSE)"),"(LU001418.005); Default - Evaluate")</f>
        <v>(LU001418.005); Default - Evaluate</v>
      </c>
      <c r="T59" s="100" t="str">
        <f t="shared" si="11"/>
        <v>LU001418.006</v>
      </c>
      <c r="U59" s="100" t="str">
        <f ca="1">IFERROR(__xludf.dummyfunction("VLOOKUP(T59, IMPORTRANGE(""https://docs.google.com/spreadsheets/d/1yDAaXNsi4Mr5FtRQL4tbmSdIzhx6_m4wkOD7IG-k_eo/edit#gid=0"", ""Maths!M:N""), 2, FALSE)"),"(LU001418.006); Default - Create")</f>
        <v>(LU001418.006); Default - Create</v>
      </c>
      <c r="V59" s="16" t="str">
        <f ca="1">IFERROR(__xludf.dummyfunction("ArrayFormula(VLOOKUP(G59, IMPORTRANGE(""https://docs.google.com/spreadsheets/d/1p7R4vtkWt5VOBim4ltsDG9KTzSjrtKXsMtQGXPHyND0/edit#gid=795171502"", ""'Filter 30_05_2024'!A1:M2000""), {2, 3, 4, 5,6,7,8,9,10,11,12,13}, 0))"),"#N/A")</f>
        <v>#N/A</v>
      </c>
      <c r="W59" s="16" t="str">
        <f ca="1">IFERROR(__xludf.dummyfunction("""COMPUTED_VALUE"""),"#N/A")</f>
        <v>#N/A</v>
      </c>
      <c r="X59" s="16" t="str">
        <f ca="1">IFERROR(__xludf.dummyfunction("""COMPUTED_VALUE"""),"#N/A")</f>
        <v>#N/A</v>
      </c>
      <c r="Y59" s="16" t="str">
        <f ca="1">IFERROR(__xludf.dummyfunction("""COMPUTED_VALUE"""),"#N/A")</f>
        <v>#N/A</v>
      </c>
      <c r="Z59" s="16" t="str">
        <f ca="1">IFERROR(__xludf.dummyfunction("""COMPUTED_VALUE"""),"#N/A")</f>
        <v>#N/A</v>
      </c>
      <c r="AA59" s="30" t="str">
        <f ca="1">IFERROR(__xludf.dummyfunction("""COMPUTED_VALUE"""),"#N/A")</f>
        <v>#N/A</v>
      </c>
      <c r="AB59" s="30" t="str">
        <f ca="1">IFERROR(__xludf.dummyfunction("""COMPUTED_VALUE"""),"#N/A")</f>
        <v>#N/A</v>
      </c>
      <c r="AC59" s="30" t="str">
        <f ca="1">IFERROR(__xludf.dummyfunction("""COMPUTED_VALUE"""),"#N/A")</f>
        <v>#N/A</v>
      </c>
      <c r="AD59" s="16" t="str">
        <f ca="1">IFERROR(__xludf.dummyfunction("""COMPUTED_VALUE"""),"#N/A")</f>
        <v>#N/A</v>
      </c>
      <c r="AE59" s="30" t="str">
        <f ca="1">IFERROR(__xludf.dummyfunction("""COMPUTED_VALUE"""),"#N/A")</f>
        <v>#N/A</v>
      </c>
      <c r="AF59" s="30" t="str">
        <f ca="1">IFERROR(__xludf.dummyfunction("""COMPUTED_VALUE"""),"#N/A")</f>
        <v>#N/A</v>
      </c>
      <c r="AG59" s="30" t="str">
        <f ca="1">IFERROR(__xludf.dummyfunction("""COMPUTED_VALUE"""),"#N/A")</f>
        <v>#N/A</v>
      </c>
    </row>
    <row r="60" spans="1:33" ht="15.6">
      <c r="A60" s="25"/>
      <c r="B60" s="25" t="s">
        <v>29</v>
      </c>
      <c r="C60" s="25" t="s">
        <v>310</v>
      </c>
      <c r="D60" s="25">
        <v>8</v>
      </c>
      <c r="E60" s="70" t="s">
        <v>1112</v>
      </c>
      <c r="F60" s="80" t="s">
        <v>1120</v>
      </c>
      <c r="G60" s="79" t="s">
        <v>1122</v>
      </c>
      <c r="H60" s="64" t="str">
        <f ca="1">IFERROR(__xludf.dummyfunction("IFERROR(
  VLOOKUP(G60, IMPORTRANGE(""https://docs.google.com/spreadsheets/d/14deopnvwcrKtEGCKuYXdUHJbeLDZlkiSSWWT0g7x2pM/edit#gid=849066331"", ""LU List Maths (Filter)!A:B""), 2, FALSE),
  IFERROR(
    VLOOKUP(G60, IMPORTRANGE(""https://docs.google.com/s"&amp;"preadsheets/d/14deopnvwcrKtEGCKuYXdUHJbeLDZlkiSSWWT0g7x2pM/edit#gid=849066331"", ""LU List Science (Filter)!A:B""), 2, FALSE),
    ""Not Found""
  )
)
"),"Set operations: Intersection of sets")</f>
        <v>Set operations: Intersection of sets</v>
      </c>
      <c r="I60" s="87"/>
      <c r="J60" s="100" t="str">
        <f t="shared" si="6"/>
        <v>LU001419.001</v>
      </c>
      <c r="K60" s="100" t="str">
        <f ca="1">IFERROR(__xludf.dummyfunction("VLOOKUP(J60, IMPORTRANGE(""https://docs.google.com/spreadsheets/d/1yDAaXNsi4Mr5FtRQL4tbmSdIzhx6_m4wkOD7IG-k_eo/edit#gid=0"", ""Maths!M:N""), 2, FALSE)"),"(LU001419.001); Default - Remember")</f>
        <v>(LU001419.001); Default - Remember</v>
      </c>
      <c r="L60" s="100" t="str">
        <f t="shared" si="7"/>
        <v>LU001419.002</v>
      </c>
      <c r="M60" s="100" t="str">
        <f ca="1">IFERROR(__xludf.dummyfunction("VLOOKUP(L60, IMPORTRANGE(""https://docs.google.com/spreadsheets/d/1yDAaXNsi4Mr5FtRQL4tbmSdIzhx6_m4wkOD7IG-k_eo/edit#gid=0"", ""Maths!M:N""), 2, FALSE)"),"(LU001419.002); Default - Understand")</f>
        <v>(LU001419.002); Default - Understand</v>
      </c>
      <c r="N60" s="100" t="str">
        <f t="shared" si="8"/>
        <v>LU001419.003</v>
      </c>
      <c r="O60" s="100" t="str">
        <f ca="1">IFERROR(__xludf.dummyfunction("VLOOKUP(N60, IMPORTRANGE(""https://docs.google.com/spreadsheets/d/1yDAaXNsi4Mr5FtRQL4tbmSdIzhx6_m4wkOD7IG-k_eo/edit#gid=0"", ""Maths!M:N""), 2, FALSE)"),"(LU001419.003); Default - Apply")</f>
        <v>(LU001419.003); Default - Apply</v>
      </c>
      <c r="P60" s="100" t="str">
        <f t="shared" si="9"/>
        <v>LU001419.004</v>
      </c>
      <c r="Q60" s="100" t="str">
        <f ca="1">IFERROR(__xludf.dummyfunction("VLOOKUP(P60, IMPORTRANGE(""https://docs.google.com/spreadsheets/d/1yDAaXNsi4Mr5FtRQL4tbmSdIzhx6_m4wkOD7IG-k_eo/edit#gid=0"", ""Maths!M:N""), 2, FALSE)"),"(LU001419.004); Default - Analyse")</f>
        <v>(LU001419.004); Default - Analyse</v>
      </c>
      <c r="R60" s="100" t="str">
        <f t="shared" si="10"/>
        <v>LU001419.005</v>
      </c>
      <c r="S60" s="100" t="str">
        <f ca="1">IFERROR(__xludf.dummyfunction("VLOOKUP(R60, IMPORTRANGE(""https://docs.google.com/spreadsheets/d/1yDAaXNsi4Mr5FtRQL4tbmSdIzhx6_m4wkOD7IG-k_eo/edit#gid=0"", ""Maths!M:N""), 2, FALSE)"),"(LU001419.005); Default - Evaluate")</f>
        <v>(LU001419.005); Default - Evaluate</v>
      </c>
      <c r="T60" s="100" t="str">
        <f t="shared" si="11"/>
        <v>LU001419.006</v>
      </c>
      <c r="U60" s="100" t="str">
        <f ca="1">IFERROR(__xludf.dummyfunction("VLOOKUP(T60, IMPORTRANGE(""https://docs.google.com/spreadsheets/d/1yDAaXNsi4Mr5FtRQL4tbmSdIzhx6_m4wkOD7IG-k_eo/edit#gid=0"", ""Maths!M:N""), 2, FALSE)"),"(LU001419.006); Default - Create")</f>
        <v>(LU001419.006); Default - Create</v>
      </c>
      <c r="V60" s="16" t="str">
        <f ca="1">IFERROR(__xludf.dummyfunction("ArrayFormula(VLOOKUP(G60, IMPORTRANGE(""https://docs.google.com/spreadsheets/d/1p7R4vtkWt5VOBim4ltsDG9KTzSjrtKXsMtQGXPHyND0/edit#gid=795171502"", ""'Filter 30_05_2024'!A1:M2000""), {2, 3, 4, 5,6,7,8,9,10,11,12,13}, 0))"),"#N/A")</f>
        <v>#N/A</v>
      </c>
      <c r="W60" s="16" t="str">
        <f ca="1">IFERROR(__xludf.dummyfunction("""COMPUTED_VALUE"""),"#N/A")</f>
        <v>#N/A</v>
      </c>
      <c r="X60" s="16" t="str">
        <f ca="1">IFERROR(__xludf.dummyfunction("""COMPUTED_VALUE"""),"#N/A")</f>
        <v>#N/A</v>
      </c>
      <c r="Y60" s="16" t="str">
        <f ca="1">IFERROR(__xludf.dummyfunction("""COMPUTED_VALUE"""),"#N/A")</f>
        <v>#N/A</v>
      </c>
      <c r="Z60" s="16" t="str">
        <f ca="1">IFERROR(__xludf.dummyfunction("""COMPUTED_VALUE"""),"#N/A")</f>
        <v>#N/A</v>
      </c>
      <c r="AA60" s="30" t="str">
        <f ca="1">IFERROR(__xludf.dummyfunction("""COMPUTED_VALUE"""),"#N/A")</f>
        <v>#N/A</v>
      </c>
      <c r="AB60" s="30" t="str">
        <f ca="1">IFERROR(__xludf.dummyfunction("""COMPUTED_VALUE"""),"#N/A")</f>
        <v>#N/A</v>
      </c>
      <c r="AC60" s="30" t="str">
        <f ca="1">IFERROR(__xludf.dummyfunction("""COMPUTED_VALUE"""),"#N/A")</f>
        <v>#N/A</v>
      </c>
      <c r="AD60" s="16" t="str">
        <f ca="1">IFERROR(__xludf.dummyfunction("""COMPUTED_VALUE"""),"#N/A")</f>
        <v>#N/A</v>
      </c>
      <c r="AE60" s="30" t="str">
        <f ca="1">IFERROR(__xludf.dummyfunction("""COMPUTED_VALUE"""),"#N/A")</f>
        <v>#N/A</v>
      </c>
      <c r="AF60" s="30" t="str">
        <f ca="1">IFERROR(__xludf.dummyfunction("""COMPUTED_VALUE"""),"#N/A")</f>
        <v>#N/A</v>
      </c>
      <c r="AG60" s="30" t="str">
        <f ca="1">IFERROR(__xludf.dummyfunction("""COMPUTED_VALUE"""),"#N/A")</f>
        <v>#N/A</v>
      </c>
    </row>
    <row r="61" spans="1:33" ht="26.4">
      <c r="A61" s="25"/>
      <c r="B61" s="25" t="s">
        <v>29</v>
      </c>
      <c r="C61" s="25" t="s">
        <v>310</v>
      </c>
      <c r="D61" s="25">
        <v>8</v>
      </c>
      <c r="E61" s="70" t="s">
        <v>1123</v>
      </c>
      <c r="F61" s="70" t="s">
        <v>1124</v>
      </c>
      <c r="G61" s="64" t="s">
        <v>1125</v>
      </c>
      <c r="H61" s="64" t="str">
        <f ca="1">IFERROR(__xludf.dummyfunction("IFERROR(
  VLOOKUP(G61, IMPORTRANGE(""https://docs.google.com/spreadsheets/d/14deopnvwcrKtEGCKuYXdUHJbeLDZlkiSSWWT0g7x2pM/edit#gid=849066331"", ""LU List Maths (Filter)!A:B""), 2, FALSE),
  IFERROR(
    VLOOKUP(G61, IMPORTRANGE(""https://docs.google.com/s"&amp;"preadsheets/d/14deopnvwcrKtEGCKuYXdUHJbeLDZlkiSSWWT0g7x2pM/edit#gid=849066331"", ""LU List Science (Filter)!A:B""), 2, FALSE),
    ""Not Found""
  )
)
"),"Definition of discount")</f>
        <v>Definition of discount</v>
      </c>
      <c r="I61" s="64"/>
      <c r="J61" s="100" t="str">
        <f t="shared" si="6"/>
        <v>LU000677.001</v>
      </c>
      <c r="K61" s="100" t="str">
        <f ca="1">IFERROR(__xludf.dummyfunction("VLOOKUP(J61, IMPORTRANGE(""https://docs.google.com/spreadsheets/d/1yDAaXNsi4Mr5FtRQL4tbmSdIzhx6_m4wkOD7IG-k_eo/edit#gid=0"", ""Maths!M:N""), 2, FALSE)"),"Recall the fundamental concept of a discount as a reduction in the original price or cost of an item or service.")</f>
        <v>Recall the fundamental concept of a discount as a reduction in the original price or cost of an item or service.</v>
      </c>
      <c r="L61" s="100" t="str">
        <f t="shared" si="7"/>
        <v>LU000677.002</v>
      </c>
      <c r="M61" s="100" t="str">
        <f ca="1">IFERROR(__xludf.dummyfunction("VLOOKUP(L61, IMPORTRANGE(""https://docs.google.com/spreadsheets/d/1yDAaXNsi4Mr5FtRQL4tbmSdIzhx6_m4wkOD7IG-k_eo/edit#gid=0"", ""Maths!M:N""), 2, FALSE)"),"Explain the purpose and significance of discounts in various contexts, such as retail, sales, and pricing strategies.")</f>
        <v>Explain the purpose and significance of discounts in various contexts, such as retail, sales, and pricing strategies.</v>
      </c>
      <c r="N61" s="100" t="str">
        <f t="shared" si="8"/>
        <v>LU000677.003</v>
      </c>
      <c r="O61" s="100" t="str">
        <f ca="1">IFERROR(__xludf.dummyfunction("VLOOKUP(N61, IMPORTRANGE(""https://docs.google.com/spreadsheets/d/1yDAaXNsi4Mr5FtRQL4tbmSdIzhx6_m4wkOD7IG-k_eo/edit#gid=0"", ""Maths!M:N""), 2, FALSE)"),"Apply knowledge of discounts to calculate the reduced price of an item or the amount saved when given the original price and discount percentage.")</f>
        <v>Apply knowledge of discounts to calculate the reduced price of an item or the amount saved when given the original price and discount percentage.</v>
      </c>
      <c r="P61" s="100" t="str">
        <f t="shared" si="9"/>
        <v>LU000677.004</v>
      </c>
      <c r="Q61" s="100" t="str">
        <f ca="1">IFERROR(__xludf.dummyfunction("VLOOKUP(P61, IMPORTRANGE(""https://docs.google.com/spreadsheets/d/1yDAaXNsi4Mr5FtRQL4tbmSdIzhx6_m4wkOD7IG-k_eo/edit#gid=0"", ""Maths!M:N""), 2, FALSE)"),"Analyze different discount scenarios to determine the final cost of items.")</f>
        <v>Analyze different discount scenarios to determine the final cost of items.</v>
      </c>
      <c r="R61" s="100" t="str">
        <f t="shared" si="10"/>
        <v>LU000677.005</v>
      </c>
      <c r="S61" s="100" t="str">
        <f ca="1">IFERROR(__xludf.dummyfunction("VLOOKUP(R61, IMPORTRANGE(""https://docs.google.com/spreadsheets/d/1yDAaXNsi4Mr5FtRQL4tbmSdIzhx6_m4wkOD7IG-k_eo/edit#gid=0"", ""Maths!M:N""), 2, FALSE)"),"Evaluate the effectiveness of discounts in attracting customers and boosting sales")</f>
        <v>Evaluate the effectiveness of discounts in attracting customers and boosting sales</v>
      </c>
      <c r="T61" s="100" t="str">
        <f t="shared" si="11"/>
        <v>LU000677.006</v>
      </c>
      <c r="U61" s="100" t="str">
        <f ca="1">IFERROR(__xludf.dummyfunction("VLOOKUP(T61, IMPORTRANGE(""https://docs.google.com/spreadsheets/d/1yDAaXNsi4Mr5FtRQL4tbmSdIzhx6_m4wkOD7IG-k_eo/edit#gid=0"", ""Maths!M:N""), 2, FALSE)"),"Create scenarios for products or services that involve the application of discounts.")</f>
        <v>Create scenarios for products or services that involve the application of discounts.</v>
      </c>
      <c r="V61" s="16">
        <f ca="1">IFERROR(__xludf.dummyfunction("ArrayFormula(VLOOKUP(G61, IMPORTRANGE(""https://docs.google.com/spreadsheets/d/1p7R4vtkWt5VOBim4ltsDG9KTzSjrtKXsMtQGXPHyND0/edit#gid=795171502"", ""'Filter 30_05_2024'!A1:M2000""), {2, 3, 4, 5,6,7,8,9,10,11,12,13}, 0))"),4)</f>
        <v>4</v>
      </c>
      <c r="W61" s="16">
        <f ca="1">IFERROR(__xludf.dummyfunction("""COMPUTED_VALUE"""),6)</f>
        <v>6</v>
      </c>
      <c r="X61" s="16">
        <f ca="1">IFERROR(__xludf.dummyfunction("""COMPUTED_VALUE"""),2)</f>
        <v>2</v>
      </c>
      <c r="Y61" s="16">
        <f ca="1">IFERROR(__xludf.dummyfunction("""COMPUTED_VALUE"""),12)</f>
        <v>12</v>
      </c>
      <c r="Z61" s="16">
        <f ca="1">IFERROR(__xludf.dummyfunction("""COMPUTED_VALUE"""),4)</f>
        <v>4</v>
      </c>
      <c r="AA61" s="30">
        <f ca="1">IFERROR(__xludf.dummyfunction("""COMPUTED_VALUE"""),3)</f>
        <v>3</v>
      </c>
      <c r="AB61" s="30">
        <f ca="1">IFERROR(__xludf.dummyfunction("""COMPUTED_VALUE"""),1)</f>
        <v>1</v>
      </c>
      <c r="AC61" s="30">
        <f ca="1">IFERROR(__xludf.dummyfunction("""COMPUTED_VALUE"""),8)</f>
        <v>8</v>
      </c>
      <c r="AD61" s="16"/>
      <c r="AE61" s="30"/>
      <c r="AF61" s="30"/>
      <c r="AG61" s="30"/>
    </row>
    <row r="62" spans="1:33" ht="26.4">
      <c r="A62" s="25"/>
      <c r="B62" s="25" t="s">
        <v>29</v>
      </c>
      <c r="C62" s="25" t="s">
        <v>310</v>
      </c>
      <c r="D62" s="25">
        <v>8</v>
      </c>
      <c r="E62" s="70" t="s">
        <v>1123</v>
      </c>
      <c r="F62" s="70" t="s">
        <v>1124</v>
      </c>
      <c r="G62" s="64" t="s">
        <v>1126</v>
      </c>
      <c r="H62" s="64" t="str">
        <f ca="1">IFERROR(__xludf.dummyfunction("IFERROR(
  VLOOKUP(G62, IMPORTRANGE(""https://docs.google.com/spreadsheets/d/14deopnvwcrKtEGCKuYXdUHJbeLDZlkiSSWWT0g7x2pM/edit#gid=849066331"", ""LU List Maths (Filter)!A:B""), 2, FALSE),
  IFERROR(
    VLOOKUP(G62, IMPORTRANGE(""https://docs.google.com/s"&amp;"preadsheets/d/14deopnvwcrKtEGCKuYXdUHJbeLDZlkiSSWWT0g7x2pM/edit#gid=849066331"", ""LU List Science (Filter)!A:B""), 2, FALSE),
    ""Not Found""
  )
)
"),"Definition of marked/list price")</f>
        <v>Definition of marked/list price</v>
      </c>
      <c r="I62" s="64"/>
      <c r="J62" s="100" t="str">
        <f t="shared" si="6"/>
        <v>LU000678.001</v>
      </c>
      <c r="K62" s="100" t="str">
        <f ca="1">IFERROR(__xludf.dummyfunction("VLOOKUP(J62, IMPORTRANGE(""https://docs.google.com/spreadsheets/d/1yDAaXNsi4Mr5FtRQL4tbmSdIzhx6_m4wkOD7IG-k_eo/edit#gid=0"", ""Maths!M:N""), 2, FALSE)"),"State the basic definition of marked/list price.")</f>
        <v>State the basic definition of marked/list price.</v>
      </c>
      <c r="L62" s="100" t="str">
        <f t="shared" si="7"/>
        <v>LU000678.002</v>
      </c>
      <c r="M62" s="100" t="str">
        <f ca="1">IFERROR(__xludf.dummyfunction("VLOOKUP(L62, IMPORTRANGE(""https://docs.google.com/spreadsheets/d/1yDAaXNsi4Mr5FtRQL4tbmSdIzhx6_m4wkOD7IG-k_eo/edit#gid=0"", ""Maths!M:N""), 2, FALSE)"),"Explain the purpose and significance of marked/list price in pricing strategies")</f>
        <v>Explain the purpose and significance of marked/list price in pricing strategies</v>
      </c>
      <c r="N62" s="100" t="str">
        <f t="shared" si="8"/>
        <v>LU000678.003</v>
      </c>
      <c r="O62" s="100" t="str">
        <f ca="1">IFERROR(__xludf.dummyfunction("VLOOKUP(N62, IMPORTRANGE(""https://docs.google.com/spreadsheets/d/1yDAaXNsi4Mr5FtRQL4tbmSdIzhx6_m4wkOD7IG-k_eo/edit#gid=0"", ""Maths!M:N""), 2, FALSE)"),"Use marked/list price to find the final price after applying discounts.")</f>
        <v>Use marked/list price to find the final price after applying discounts.</v>
      </c>
      <c r="P62" s="100" t="str">
        <f t="shared" si="9"/>
        <v>LU000678.004</v>
      </c>
      <c r="Q62" s="100" t="str">
        <f ca="1">IFERROR(__xludf.dummyfunction("VLOOKUP(P62, IMPORTRANGE(""https://docs.google.com/spreadsheets/d/1yDAaXNsi4Mr5FtRQL4tbmSdIzhx6_m4wkOD7IG-k_eo/edit#gid=0"", ""Maths!M:N""), 2, FALSE)"),"Analyze how marked/list prices and discounts affect what customers pay.")</f>
        <v>Analyze how marked/list prices and discounts affect what customers pay.</v>
      </c>
      <c r="R62" s="100" t="str">
        <f t="shared" si="10"/>
        <v>LU000678.005</v>
      </c>
      <c r="S62" s="100" t="str">
        <f ca="1">IFERROR(__xludf.dummyfunction("VLOOKUP(R62, IMPORTRANGE(""https://docs.google.com/spreadsheets/d/1yDAaXNsi4Mr5FtRQL4tbmSdIzhx6_m4wkOD7IG-k_eo/edit#gid=0"", ""Maths!M:N""), 2, FALSE)"),"Evaluate whether marked/list prices and discounts are effective in attracting customers.")</f>
        <v>Evaluate whether marked/list prices and discounts are effective in attracting customers.</v>
      </c>
      <c r="T62" s="100" t="str">
        <f t="shared" si="11"/>
        <v>LU000678.006</v>
      </c>
      <c r="U62" s="100" t="str">
        <f ca="1">IFERROR(__xludf.dummyfunction("VLOOKUP(T62, IMPORTRANGE(""https://docs.google.com/spreadsheets/d/1yDAaXNsi4Mr5FtRQL4tbmSdIzhx6_m4wkOD7IG-k_eo/edit#gid=0"", ""Maths!M:N""), 2, FALSE)"),"Create examples of products or services with marked/list prices and discounts, and calculate the final prices.")</f>
        <v>Create examples of products or services with marked/list prices and discounts, and calculate the final prices.</v>
      </c>
      <c r="V62" s="16">
        <f ca="1">IFERROR(__xludf.dummyfunction("ArrayFormula(VLOOKUP(G62, IMPORTRANGE(""https://docs.google.com/spreadsheets/d/1p7R4vtkWt5VOBim4ltsDG9KTzSjrtKXsMtQGXPHyND0/edit#gid=795171502"", ""'Filter 30_05_2024'!A1:M2000""), {2, 3, 4, 5,6,7,8,9,10,11,12,13}, 0))"),4)</f>
        <v>4</v>
      </c>
      <c r="W62" s="16">
        <f ca="1">IFERROR(__xludf.dummyfunction("""COMPUTED_VALUE"""),6)</f>
        <v>6</v>
      </c>
      <c r="X62" s="16">
        <f ca="1">IFERROR(__xludf.dummyfunction("""COMPUTED_VALUE"""),2)</f>
        <v>2</v>
      </c>
      <c r="Y62" s="16">
        <f ca="1">IFERROR(__xludf.dummyfunction("""COMPUTED_VALUE"""),12)</f>
        <v>12</v>
      </c>
      <c r="Z62" s="16">
        <f ca="1">IFERROR(__xludf.dummyfunction("""COMPUTED_VALUE"""),4)</f>
        <v>4</v>
      </c>
      <c r="AA62" s="30">
        <f ca="1">IFERROR(__xludf.dummyfunction("""COMPUTED_VALUE"""),3)</f>
        <v>3</v>
      </c>
      <c r="AB62" s="30">
        <f ca="1">IFERROR(__xludf.dummyfunction("""COMPUTED_VALUE"""),1)</f>
        <v>1</v>
      </c>
      <c r="AC62" s="30">
        <f ca="1">IFERROR(__xludf.dummyfunction("""COMPUTED_VALUE"""),8)</f>
        <v>8</v>
      </c>
      <c r="AD62" s="16"/>
      <c r="AE62" s="30"/>
      <c r="AF62" s="30"/>
      <c r="AG62" s="30"/>
    </row>
    <row r="63" spans="1:33" ht="26.4">
      <c r="A63" s="25"/>
      <c r="B63" s="25" t="s">
        <v>29</v>
      </c>
      <c r="C63" s="25" t="s">
        <v>310</v>
      </c>
      <c r="D63" s="25">
        <v>8</v>
      </c>
      <c r="E63" s="70" t="s">
        <v>1123</v>
      </c>
      <c r="F63" s="70" t="s">
        <v>1124</v>
      </c>
      <c r="G63" s="64" t="s">
        <v>1127</v>
      </c>
      <c r="H63" s="64" t="str">
        <f ca="1">IFERROR(__xludf.dummyfunction("IFERROR(
  VLOOKUP(G63, IMPORTRANGE(""https://docs.google.com/spreadsheets/d/14deopnvwcrKtEGCKuYXdUHJbeLDZlkiSSWWT0g7x2pM/edit#gid=849066331"", ""LU List Maths (Filter)!A:B""), 2, FALSE),
  IFERROR(
    VLOOKUP(G63, IMPORTRANGE(""https://docs.google.com/s"&amp;"preadsheets/d/14deopnvwcrKtEGCKuYXdUHJbeLDZlkiSSWWT0g7x2pM/edit#gid=849066331"", ""LU List Science (Filter)!A:B""), 2, FALSE),
    ""Not Found""
  )
)
"),"Definition of sale price")</f>
        <v>Definition of sale price</v>
      </c>
      <c r="I63" s="64"/>
      <c r="J63" s="100" t="str">
        <f t="shared" si="6"/>
        <v>LU000679.001</v>
      </c>
      <c r="K63" s="100" t="str">
        <f ca="1">IFERROR(__xludf.dummyfunction("VLOOKUP(J63, IMPORTRANGE(""https://docs.google.com/spreadsheets/d/1yDAaXNsi4Mr5FtRQL4tbmSdIzhx6_m4wkOD7IG-k_eo/edit#gid=0"", ""Maths!M:N""), 2, FALSE)"),"Recognise that the sale price is the lower price during a special offer.")</f>
        <v>Recognise that the sale price is the lower price during a special offer.</v>
      </c>
      <c r="L63" s="100" t="str">
        <f t="shared" si="7"/>
        <v>LU000679.002</v>
      </c>
      <c r="M63" s="100" t="str">
        <f ca="1">IFERROR(__xludf.dummyfunction("VLOOKUP(L63, IMPORTRANGE(""https://docs.google.com/spreadsheets/d/1yDAaXNsi4Mr5FtRQL4tbmSdIzhx6_m4wkOD7IG-k_eo/edit#gid=0"", ""Maths!M:N""), 2, FALSE)"),"Understand the purpose of a sale price and how it differs from the regular price.")</f>
        <v>Understand the purpose of a sale price and how it differs from the regular price.</v>
      </c>
      <c r="N63" s="100" t="str">
        <f t="shared" si="8"/>
        <v>LU000679.003</v>
      </c>
      <c r="O63" s="100" t="str">
        <f ca="1">IFERROR(__xludf.dummyfunction("VLOOKUP(N63, IMPORTRANGE(""https://docs.google.com/spreadsheets/d/1yDAaXNsi4Mr5FtRQL4tbmSdIzhx6_m4wkOD7IG-k_eo/edit#gid=0"", ""Maths!M:N""), 2, FALSE)"),"Use the sale price to figure out how much you save or the final cost during a sale.")</f>
        <v>Use the sale price to figure out how much you save or the final cost during a sale.</v>
      </c>
      <c r="P63" s="100" t="str">
        <f t="shared" si="9"/>
        <v>LU000679.004</v>
      </c>
      <c r="Q63" s="100" t="str">
        <f ca="1">IFERROR(__xludf.dummyfunction("VLOOKUP(P63, IMPORTRANGE(""https://docs.google.com/spreadsheets/d/1yDAaXNsi4Mr5FtRQL4tbmSdIzhx6_m4wkOD7IG-k_eo/edit#gid=0"", ""Maths!M:N""), 2, FALSE)"),"Look at different sale price situations and see how discounts affect what people buy.")</f>
        <v>Look at different sale price situations and see how discounts affect what people buy.</v>
      </c>
      <c r="R63" s="100" t="str">
        <f t="shared" si="10"/>
        <v>LU000679.005</v>
      </c>
      <c r="S63" s="100" t="str">
        <f ca="1">IFERROR(__xludf.dummyfunction("VLOOKUP(R63, IMPORTRANGE(""https://docs.google.com/spreadsheets/d/1yDAaXNsi4Mr5FtRQL4tbmSdIzhx6_m4wkOD7IG-k_eo/edit#gid=0"", ""Maths!M:N""), 2, FALSE)"),"Decide if using sale prices is a good idea for businesses to get more customers.")</f>
        <v>Decide if using sale prices is a good idea for businesses to get more customers.</v>
      </c>
      <c r="T63" s="100" t="str">
        <f t="shared" si="11"/>
        <v>LU000679.006</v>
      </c>
      <c r="U63" s="100" t="str">
        <f ca="1">IFERROR(__xludf.dummyfunction("VLOOKUP(T63, IMPORTRANGE(""https://docs.google.com/spreadsheets/d/1yDAaXNsi4Mr5FtRQL4tbmSdIzhx6_m4wkOD7IG-k_eo/edit#gid=0"", ""Maths!M:N""), 2, FALSE)"),"Make up examples with sale prices, discounts, and regular prices to find the savings or final costs. Think about how businesses use sales to get people to buy.")</f>
        <v>Make up examples with sale prices, discounts, and regular prices to find the savings or final costs. Think about how businesses use sales to get people to buy.</v>
      </c>
      <c r="V63" s="16">
        <f ca="1">IFERROR(__xludf.dummyfunction("ArrayFormula(VLOOKUP(G63, IMPORTRANGE(""https://docs.google.com/spreadsheets/d/1p7R4vtkWt5VOBim4ltsDG9KTzSjrtKXsMtQGXPHyND0/edit#gid=795171502"", ""'Filter 30_05_2024'!A1:M2000""), {2, 3, 4, 5,6,7,8,9,10,11,12,13}, 0))"),4)</f>
        <v>4</v>
      </c>
      <c r="W63" s="16">
        <f ca="1">IFERROR(__xludf.dummyfunction("""COMPUTED_VALUE"""),6)</f>
        <v>6</v>
      </c>
      <c r="X63" s="16">
        <f ca="1">IFERROR(__xludf.dummyfunction("""COMPUTED_VALUE"""),2)</f>
        <v>2</v>
      </c>
      <c r="Y63" s="16">
        <f ca="1">IFERROR(__xludf.dummyfunction("""COMPUTED_VALUE"""),12)</f>
        <v>12</v>
      </c>
      <c r="Z63" s="16">
        <f ca="1">IFERROR(__xludf.dummyfunction("""COMPUTED_VALUE"""),4)</f>
        <v>4</v>
      </c>
      <c r="AA63" s="30">
        <f ca="1">IFERROR(__xludf.dummyfunction("""COMPUTED_VALUE"""),3)</f>
        <v>3</v>
      </c>
      <c r="AB63" s="30">
        <f ca="1">IFERROR(__xludf.dummyfunction("""COMPUTED_VALUE"""),1)</f>
        <v>1</v>
      </c>
      <c r="AC63" s="30">
        <f ca="1">IFERROR(__xludf.dummyfunction("""COMPUTED_VALUE"""),8)</f>
        <v>8</v>
      </c>
      <c r="AD63" s="16"/>
      <c r="AE63" s="30"/>
      <c r="AF63" s="30"/>
      <c r="AG63" s="30"/>
    </row>
    <row r="64" spans="1:33" ht="26.4">
      <c r="A64" s="25"/>
      <c r="B64" s="25" t="s">
        <v>29</v>
      </c>
      <c r="C64" s="25" t="s">
        <v>310</v>
      </c>
      <c r="D64" s="25">
        <v>8</v>
      </c>
      <c r="E64" s="70" t="s">
        <v>1123</v>
      </c>
      <c r="F64" s="70" t="s">
        <v>1124</v>
      </c>
      <c r="G64" s="64" t="s">
        <v>1128</v>
      </c>
      <c r="H64" s="64" t="str">
        <f ca="1">IFERROR(__xludf.dummyfunction("IFERROR(
  VLOOKUP(G64, IMPORTRANGE(""https://docs.google.com/spreadsheets/d/14deopnvwcrKtEGCKuYXdUHJbeLDZlkiSSWWT0g7x2pM/edit#gid=849066331"", ""LU List Maths (Filter)!A:B""), 2, FALSE),
  IFERROR(
    VLOOKUP(G64, IMPORTRANGE(""https://docs.google.com/s"&amp;"preadsheets/d/14deopnvwcrKtEGCKuYXdUHJbeLDZlkiSSWWT0g7x2pM/edit#gid=849066331"", ""LU List Science (Filter)!A:B""), 2, FALSE),
    ""Not Found""
  )
)
"),"Calculation of discount percent")</f>
        <v>Calculation of discount percent</v>
      </c>
      <c r="I64" s="64"/>
      <c r="J64" s="100" t="str">
        <f t="shared" si="6"/>
        <v>LU000693.001</v>
      </c>
      <c r="K64" s="100" t="str">
        <f ca="1">IFERROR(__xludf.dummyfunction("VLOOKUP(J64, IMPORTRANGE(""https://docs.google.com/spreadsheets/d/1yDAaXNsi4Mr5FtRQL4tbmSdIzhx6_m4wkOD7IG-k_eo/edit#gid=0"", ""Maths!M:N""), 2, FALSE)"),"Describe that the ""discount percent"" is the amount by which the original price of an item is reduced.")</f>
        <v>Describe that the "discount percent" is the amount by which the original price of an item is reduced.</v>
      </c>
      <c r="L64" s="100" t="str">
        <f t="shared" si="7"/>
        <v>LU000693.002</v>
      </c>
      <c r="M64" s="100" t="str">
        <f ca="1">IFERROR(__xludf.dummyfunction("VLOOKUP(L64, IMPORTRANGE(""https://docs.google.com/spreadsheets/d/1yDAaXNsi4Mr5FtRQL4tbmSdIzhx6_m4wkOD7IG-k_eo/edit#gid=0"", ""Maths!M:N""), 2, FALSE)"),"Understand the concept of discount percent and how it represents the reduction in the price of a product.")</f>
        <v>Understand the concept of discount percent and how it represents the reduction in the price of a product.</v>
      </c>
      <c r="N64" s="100" t="str">
        <f t="shared" si="8"/>
        <v>LU000693.003</v>
      </c>
      <c r="O64" s="100" t="str">
        <f ca="1">IFERROR(__xludf.dummyfunction("VLOOKUP(N64, IMPORTRANGE(""https://docs.google.com/spreadsheets/d/1yDAaXNsi4Mr5FtRQL4tbmSdIzhx6_m4wkOD7IG-k_eo/edit#gid=0"", ""Maths!M:N""), 2, FALSE)"),"Apply the formula of discount percent to calculate the discount and vice versa.")</f>
        <v>Apply the formula of discount percent to calculate the discount and vice versa.</v>
      </c>
      <c r="P64" s="100" t="str">
        <f t="shared" si="9"/>
        <v>LU000693.004</v>
      </c>
      <c r="Q64" s="100" t="str">
        <f ca="1">IFERROR(__xludf.dummyfunction("VLOOKUP(P64, IMPORTRANGE(""https://docs.google.com/spreadsheets/d/1yDAaXNsi4Mr5FtRQL4tbmSdIzhx6_m4wkOD7IG-k_eo/edit#gid=0"", ""Maths!M:N""), 2, FALSE)"),"Analyze different discount percentages to determine their impact on the final price of a product")</f>
        <v>Analyze different discount percentages to determine their impact on the final price of a product</v>
      </c>
      <c r="R64" s="100" t="str">
        <f t="shared" si="10"/>
        <v>LU000693.005</v>
      </c>
      <c r="S64" s="100" t="str">
        <f ca="1">IFERROR(__xludf.dummyfunction("VLOOKUP(R64, IMPORTRANGE(""https://docs.google.com/spreadsheets/d/1yDAaXNsi4Mr5FtRQL4tbmSdIzhx6_m4wkOD7IG-k_eo/edit#gid=0"", ""Maths!M:N""), 2, FALSE)"),"Evaluate the effectiveness of varying discount percentages")</f>
        <v>Evaluate the effectiveness of varying discount percentages</v>
      </c>
      <c r="T64" s="100" t="str">
        <f t="shared" si="11"/>
        <v>LU000693.006</v>
      </c>
      <c r="U64" s="100" t="str">
        <f ca="1">IFERROR(__xludf.dummyfunction("VLOOKUP(T64, IMPORTRANGE(""https://docs.google.com/spreadsheets/d/1yDAaXNsi4Mr5FtRQL4tbmSdIzhx6_m4wkOD7IG-k_eo/edit#gid=0"", ""Maths!M:N""), 2, FALSE)"),"Create pricing scenarios with different discount percentages, prompting others to calculate savings")</f>
        <v>Create pricing scenarios with different discount percentages, prompting others to calculate savings</v>
      </c>
      <c r="V64" s="16">
        <f ca="1">IFERROR(__xludf.dummyfunction("ArrayFormula(VLOOKUP(G64, IMPORTRANGE(""https://docs.google.com/spreadsheets/d/1p7R4vtkWt5VOBim4ltsDG9KTzSjrtKXsMtQGXPHyND0/edit#gid=795171502"", ""'Filter 30_05_2024'!A1:M2000""), {2, 3, 4, 5,6,7,8,9,10,11,12,13}, 0))"),4)</f>
        <v>4</v>
      </c>
      <c r="W64" s="16">
        <f ca="1">IFERROR(__xludf.dummyfunction("""COMPUTED_VALUE"""),6)</f>
        <v>6</v>
      </c>
      <c r="X64" s="16">
        <f ca="1">IFERROR(__xludf.dummyfunction("""COMPUTED_VALUE"""),2)</f>
        <v>2</v>
      </c>
      <c r="Y64" s="16">
        <f ca="1">IFERROR(__xludf.dummyfunction("""COMPUTED_VALUE"""),12)</f>
        <v>12</v>
      </c>
      <c r="Z64" s="16">
        <f ca="1">IFERROR(__xludf.dummyfunction("""COMPUTED_VALUE"""),4)</f>
        <v>4</v>
      </c>
      <c r="AA64" s="30">
        <f ca="1">IFERROR(__xludf.dummyfunction("""COMPUTED_VALUE"""),3)</f>
        <v>3</v>
      </c>
      <c r="AB64" s="30">
        <f ca="1">IFERROR(__xludf.dummyfunction("""COMPUTED_VALUE"""),1)</f>
        <v>1</v>
      </c>
      <c r="AC64" s="30">
        <f ca="1">IFERROR(__xludf.dummyfunction("""COMPUTED_VALUE"""),8)</f>
        <v>8</v>
      </c>
      <c r="AD64" s="16"/>
      <c r="AE64" s="30"/>
      <c r="AF64" s="30"/>
      <c r="AG64" s="30"/>
    </row>
    <row r="65" spans="1:33" ht="26.4">
      <c r="A65" s="25"/>
      <c r="B65" s="25" t="s">
        <v>29</v>
      </c>
      <c r="C65" s="25" t="s">
        <v>310</v>
      </c>
      <c r="D65" s="25">
        <v>8</v>
      </c>
      <c r="E65" s="70" t="s">
        <v>1123</v>
      </c>
      <c r="F65" s="70" t="s">
        <v>1129</v>
      </c>
      <c r="G65" s="64" t="s">
        <v>1130</v>
      </c>
      <c r="H65" s="64" t="str">
        <f ca="1">IFERROR(__xludf.dummyfunction("IFERROR(
  VLOOKUP(G65, IMPORTRANGE(""https://docs.google.com/spreadsheets/d/14deopnvwcrKtEGCKuYXdUHJbeLDZlkiSSWWT0g7x2pM/edit#gid=849066331"", ""LU List Maths (Filter)!A:B""), 2, FALSE),
  IFERROR(
    VLOOKUP(G65, IMPORTRANGE(""https://docs.google.com/s"&amp;"preadsheets/d/14deopnvwcrKtEGCKuYXdUHJbeLDZlkiSSWWT0g7x2pM/edit#gid=849066331"", ""LU List Science (Filter)!A:B""), 2, FALSE),
    ""Not Found""
  )
)
"),"Contextual problems relating to combination of marked price, rate of discount, profit, loss, cost price and selling price")</f>
        <v>Contextual problems relating to combination of marked price, rate of discount, profit, loss, cost price and selling price</v>
      </c>
      <c r="I65" s="64"/>
      <c r="J65" s="100" t="str">
        <f t="shared" si="6"/>
        <v>LU000932.001</v>
      </c>
      <c r="K65" s="100" t="str">
        <f ca="1">IFERROR(__xludf.dummyfunction("VLOOKUP(J65, IMPORTRANGE(""https://docs.google.com/spreadsheets/d/1yDAaXNsi4Mr5FtRQL4tbmSdIzhx6_m4wkOD7IG-k_eo/edit#gid=0"", ""Maths!M:N""), 2, FALSE)"),"Recall how to solve contextual problems involving marked price, rate of discount, profit, loss, cost price, and selling price combinations.")</f>
        <v>Recall how to solve contextual problems involving marked price, rate of discount, profit, loss, cost price, and selling price combinations.</v>
      </c>
      <c r="L65" s="100" t="str">
        <f t="shared" si="7"/>
        <v>LU000932.002</v>
      </c>
      <c r="M65" s="100" t="str">
        <f ca="1">IFERROR(__xludf.dummyfunction("VLOOKUP(L65, IMPORTRANGE(""https://docs.google.com/spreadsheets/d/1yDAaXNsi4Mr5FtRQL4tbmSdIzhx6_m4wkOD7IG-k_eo/edit#gid=0"", ""Maths!M:N""), 2, FALSE)"),"Explain the relationship between marked price, rate of discount, and the resulting selling price.")</f>
        <v>Explain the relationship between marked price, rate of discount, and the resulting selling price.</v>
      </c>
      <c r="N65" s="100" t="str">
        <f t="shared" si="8"/>
        <v>LU000932.003</v>
      </c>
      <c r="O65" s="100" t="str">
        <f ca="1">IFERROR(__xludf.dummyfunction("VLOOKUP(N65, IMPORTRANGE(""https://docs.google.com/spreadsheets/d/1yDAaXNsi4Mr5FtRQL4tbmSdIzhx6_m4wkOD7IG-k_eo/edit#gid=0"", ""Maths!M:N""), 2, FALSE)"),"Apply the formulas for calculating the marked price, rate of discount, profit, and cost price to solve problems.")</f>
        <v>Apply the formulas for calculating the marked price, rate of discount, profit, and cost price to solve problems.</v>
      </c>
      <c r="P65" s="100" t="str">
        <f t="shared" si="9"/>
        <v>LU000932.004</v>
      </c>
      <c r="Q65" s="100" t="str">
        <f ca="1">IFERROR(__xludf.dummyfunction("VLOOKUP(P65, IMPORTRANGE(""https://docs.google.com/spreadsheets/d/1yDAaXNsi4Mr5FtRQL4tbmSdIzhx6_m4wkOD7IG-k_eo/edit#gid=0"", ""Maths!M:N""), 2, FALSE)"),"Examine contextual problems integrating marked price, discount rate, profit, loss, cost price, and selling price to discern patterns and optimize decision-making.")</f>
        <v>Examine contextual problems integrating marked price, discount rate, profit, loss, cost price, and selling price to discern patterns and optimize decision-making.</v>
      </c>
      <c r="R65" s="100" t="str">
        <f t="shared" si="10"/>
        <v>LU000932.005</v>
      </c>
      <c r="S65" s="100" t="str">
        <f ca="1">IFERROR(__xludf.dummyfunction("VLOOKUP(R65, IMPORTRANGE(""https://docs.google.com/spreadsheets/d/1yDAaXNsi4Mr5FtRQL4tbmSdIzhx6_m4wkOD7IG-k_eo/edit#gid=0"", ""Maths!M:N""), 2, FALSE)"),"Evaluate the efficiency of using various methods to determine the marked price, cost price, rate of discount, profit in different problem contexts.")</f>
        <v>Evaluate the efficiency of using various methods to determine the marked price, cost price, rate of discount, profit in different problem contexts.</v>
      </c>
      <c r="T65" s="100" t="str">
        <f t="shared" si="11"/>
        <v>LU000932.006</v>
      </c>
      <c r="U65" s="100" t="str">
        <f ca="1">IFERROR(__xludf.dummyfunction("VLOOKUP(T65, IMPORTRANGE(""https://docs.google.com/spreadsheets/d/1yDAaXNsi4Mr5FtRQL4tbmSdIzhx6_m4wkOD7IG-k_eo/edit#gid=0"", ""Maths!M:N""), 2, FALSE)"),"Develop a set of original problems that involve determining marked price, calculating the rate of discount, linking it with profit, and finding the cost price.")</f>
        <v>Develop a set of original problems that involve determining marked price, calculating the rate of discount, linking it with profit, and finding the cost price.</v>
      </c>
      <c r="V65" s="16">
        <f ca="1">IFERROR(__xludf.dummyfunction("ArrayFormula(VLOOKUP(G65, IMPORTRANGE(""https://docs.google.com/spreadsheets/d/1p7R4vtkWt5VOBim4ltsDG9KTzSjrtKXsMtQGXPHyND0/edit#gid=795171502"", ""'Filter 30_05_2024'!A1:M2000""), {2, 3, 4, 5,6,7,8,9,10,11,12,13}, 0))"),4)</f>
        <v>4</v>
      </c>
      <c r="W65" s="16">
        <f ca="1">IFERROR(__xludf.dummyfunction("""COMPUTED_VALUE"""),6)</f>
        <v>6</v>
      </c>
      <c r="X65" s="16">
        <f ca="1">IFERROR(__xludf.dummyfunction("""COMPUTED_VALUE"""),2)</f>
        <v>2</v>
      </c>
      <c r="Y65" s="16">
        <f ca="1">IFERROR(__xludf.dummyfunction("""COMPUTED_VALUE"""),12)</f>
        <v>12</v>
      </c>
      <c r="Z65" s="16">
        <f ca="1">IFERROR(__xludf.dummyfunction("""COMPUTED_VALUE"""),4)</f>
        <v>4</v>
      </c>
      <c r="AA65" s="30">
        <f ca="1">IFERROR(__xludf.dummyfunction("""COMPUTED_VALUE"""),4)</f>
        <v>4</v>
      </c>
      <c r="AB65" s="30">
        <f ca="1">IFERROR(__xludf.dummyfunction("""COMPUTED_VALUE"""),1)</f>
        <v>1</v>
      </c>
      <c r="AC65" s="30">
        <f ca="1">IFERROR(__xludf.dummyfunction("""COMPUTED_VALUE"""),9)</f>
        <v>9</v>
      </c>
      <c r="AD65" s="16"/>
      <c r="AE65" s="30"/>
      <c r="AF65" s="30"/>
      <c r="AG65" s="30"/>
    </row>
    <row r="66" spans="1:33" ht="26.4">
      <c r="A66" s="25"/>
      <c r="B66" s="25" t="s">
        <v>29</v>
      </c>
      <c r="C66" s="25" t="s">
        <v>310</v>
      </c>
      <c r="D66" s="25">
        <v>8</v>
      </c>
      <c r="E66" s="70" t="s">
        <v>1123</v>
      </c>
      <c r="F66" s="70" t="s">
        <v>1131</v>
      </c>
      <c r="G66" s="64" t="s">
        <v>1132</v>
      </c>
      <c r="H66" s="64" t="str">
        <f ca="1">IFERROR(__xludf.dummyfunction("IFERROR(
  VLOOKUP(G66, IMPORTRANGE(""https://docs.google.com/spreadsheets/d/14deopnvwcrKtEGCKuYXdUHJbeLDZlkiSSWWT0g7x2pM/edit#gid=849066331"", ""LU List Maths (Filter)!A:B""), 2, FALSE),
  IFERROR(
    VLOOKUP(G66, IMPORTRANGE(""https://docs.google.com/s"&amp;"preadsheets/d/14deopnvwcrKtEGCKuYXdUHJbeLDZlkiSSWWT0g7x2pM/edit#gid=849066331"", ""LU List Science (Filter)!A:B""), 2, FALSE),
    ""Not Found""
  )
)
"),"Definition of overhead charges")</f>
        <v>Definition of overhead charges</v>
      </c>
      <c r="I66" s="64"/>
      <c r="J66" s="100" t="str">
        <f t="shared" ref="J66:J97" si="12">G66 &amp; ".001"</f>
        <v>LU000681.001</v>
      </c>
      <c r="K66" s="100" t="str">
        <f ca="1">IFERROR(__xludf.dummyfunction("VLOOKUP(J66, IMPORTRANGE(""https://docs.google.com/spreadsheets/d/1yDAaXNsi4Mr5FtRQL4tbmSdIzhx6_m4wkOD7IG-k_eo/edit#gid=0"", ""Maths!M:N""), 2, FALSE)"),"State that overhead charges are additional costs or expenses incurred by a business beyond direct production costs.")</f>
        <v>State that overhead charges are additional costs or expenses incurred by a business beyond direct production costs.</v>
      </c>
      <c r="L66" s="100" t="str">
        <f t="shared" ref="L66:L97" si="13">G66 &amp; ".002"</f>
        <v>LU000681.002</v>
      </c>
      <c r="M66" s="100" t="str">
        <f ca="1">IFERROR(__xludf.dummyfunction("VLOOKUP(L66, IMPORTRANGE(""https://docs.google.com/spreadsheets/d/1yDAaXNsi4Mr5FtRQL4tbmSdIzhx6_m4wkOD7IG-k_eo/edit#gid=0"", ""Maths!M:N""), 2, FALSE)"),"Understand the purpose and significance of overhead charges in business operations")</f>
        <v>Understand the purpose and significance of overhead charges in business operations</v>
      </c>
      <c r="N66" s="100" t="str">
        <f t="shared" ref="N66:N97" si="14">G66 &amp; ".003"</f>
        <v>LU000681.003</v>
      </c>
      <c r="O66" s="100" t="str">
        <f ca="1">IFERROR(__xludf.dummyfunction("VLOOKUP(N66, IMPORTRANGE(""https://docs.google.com/spreadsheets/d/1yDAaXNsi4Mr5FtRQL4tbmSdIzhx6_m4wkOD7IG-k_eo/edit#gid=0"", ""Maths!M:N""), 2, FALSE)"),"Apply knowledge of overhead charges to identify different types of overhead expenses")</f>
        <v>Apply knowledge of overhead charges to identify different types of overhead expenses</v>
      </c>
      <c r="P66" s="100" t="str">
        <f t="shared" ref="P66:P97" si="15">G66 &amp; ".004"</f>
        <v>LU000681.004</v>
      </c>
      <c r="Q66" s="100" t="str">
        <f ca="1">IFERROR(__xludf.dummyfunction("VLOOKUP(P66, IMPORTRANGE(""https://docs.google.com/spreadsheets/d/1yDAaXNsi4Mr5FtRQL4tbmSdIzhx6_m4wkOD7IG-k_eo/edit#gid=0"", ""Maths!M:N""), 2, FALSE)"),"Analyze the impact of overhead charges on a company's financial statements and cost structures.")</f>
        <v>Analyze the impact of overhead charges on a company's financial statements and cost structures.</v>
      </c>
      <c r="R66" s="100" t="str">
        <f t="shared" ref="R66:R97" si="16">G66 &amp; ".005"</f>
        <v>LU000681.005</v>
      </c>
      <c r="S66" s="100" t="str">
        <f ca="1">IFERROR(__xludf.dummyfunction("VLOOKUP(R66, IMPORTRANGE(""https://docs.google.com/spreadsheets/d/1yDAaXNsi4Mr5FtRQL4tbmSdIzhx6_m4wkOD7IG-k_eo/edit#gid=0"", ""Maths!M:N""), 2, FALSE)"),"Evaluate the effectiveness of controlling overhead charges in optimizing business costs and profitability")</f>
        <v>Evaluate the effectiveness of controlling overhead charges in optimizing business costs and profitability</v>
      </c>
      <c r="T66" s="100" t="str">
        <f t="shared" ref="T66:T97" si="17">G66 &amp; ".006"</f>
        <v>LU000681.006</v>
      </c>
      <c r="U66" s="100" t="str">
        <f ca="1">IFERROR(__xludf.dummyfunction("VLOOKUP(T66, IMPORTRANGE(""https://docs.google.com/spreadsheets/d/1yDAaXNsi4Mr5FtRQL4tbmSdIzhx6_m4wkOD7IG-k_eo/edit#gid=0"", ""Maths!M:N""), 2, FALSE)"),"Create examples of overhead charges for different businesses and industries, and discuss strategies to manage or minimize them.")</f>
        <v>Create examples of overhead charges for different businesses and industries, and discuss strategies to manage or minimize them.</v>
      </c>
      <c r="V66" s="16">
        <f ca="1">IFERROR(__xludf.dummyfunction("ArrayFormula(VLOOKUP(G66, IMPORTRANGE(""https://docs.google.com/spreadsheets/d/1p7R4vtkWt5VOBim4ltsDG9KTzSjrtKXsMtQGXPHyND0/edit#gid=795171502"", ""'Filter 30_05_2024'!A1:M2000""), {2, 3, 4, 5,6,7,8,9,10,11,12,13}, 0))"),4)</f>
        <v>4</v>
      </c>
      <c r="W66" s="16">
        <f ca="1">IFERROR(__xludf.dummyfunction("""COMPUTED_VALUE"""),6)</f>
        <v>6</v>
      </c>
      <c r="X66" s="16">
        <f ca="1">IFERROR(__xludf.dummyfunction("""COMPUTED_VALUE"""),2)</f>
        <v>2</v>
      </c>
      <c r="Y66" s="16">
        <f ca="1">IFERROR(__xludf.dummyfunction("""COMPUTED_VALUE"""),12)</f>
        <v>12</v>
      </c>
      <c r="Z66" s="16">
        <f ca="1">IFERROR(__xludf.dummyfunction("""COMPUTED_VALUE"""),4)</f>
        <v>4</v>
      </c>
      <c r="AA66" s="30">
        <f ca="1">IFERROR(__xludf.dummyfunction("""COMPUTED_VALUE"""),3)</f>
        <v>3</v>
      </c>
      <c r="AB66" s="30">
        <f ca="1">IFERROR(__xludf.dummyfunction("""COMPUTED_VALUE"""),1)</f>
        <v>1</v>
      </c>
      <c r="AC66" s="30">
        <f ca="1">IFERROR(__xludf.dummyfunction("""COMPUTED_VALUE"""),8)</f>
        <v>8</v>
      </c>
      <c r="AD66" s="16"/>
      <c r="AE66" s="30"/>
      <c r="AF66" s="30"/>
      <c r="AG66" s="30"/>
    </row>
    <row r="67" spans="1:33" ht="26.4">
      <c r="A67" s="25"/>
      <c r="B67" s="25" t="s">
        <v>29</v>
      </c>
      <c r="C67" s="25" t="s">
        <v>310</v>
      </c>
      <c r="D67" s="25">
        <v>8</v>
      </c>
      <c r="E67" s="70" t="s">
        <v>1123</v>
      </c>
      <c r="F67" s="70" t="s">
        <v>1131</v>
      </c>
      <c r="G67" s="64" t="s">
        <v>1133</v>
      </c>
      <c r="H67" s="64" t="str">
        <f ca="1">IFERROR(__xludf.dummyfunction("IFERROR(
  VLOOKUP(G67, IMPORTRANGE(""https://docs.google.com/spreadsheets/d/14deopnvwcrKtEGCKuYXdUHJbeLDZlkiSSWWT0g7x2pM/edit#gid=849066331"", ""LU List Maths (Filter)!A:B""), 2, FALSE),
  IFERROR(
    VLOOKUP(G67, IMPORTRANGE(""https://docs.google.com/s"&amp;"preadsheets/d/14deopnvwcrKtEGCKuYXdUHJbeLDZlkiSSWWT0g7x2pM/edit#gid=849066331"", ""LU List Science (Filter)!A:B""), 2, FALSE),
    ""Not Found""
  )
)
"),"Definition of sales tax")</f>
        <v>Definition of sales tax</v>
      </c>
      <c r="I67" s="64"/>
      <c r="J67" s="100" t="str">
        <f t="shared" si="12"/>
        <v>LU000682.001</v>
      </c>
      <c r="K67" s="100" t="str">
        <f ca="1">IFERROR(__xludf.dummyfunction("VLOOKUP(J67, IMPORTRANGE(""https://docs.google.com/spreadsheets/d/1yDAaXNsi4Mr5FtRQL4tbmSdIzhx6_m4wkOD7IG-k_eo/edit#gid=0"", ""Maths!M:N""), 2, FALSE)"),"State that sales tax is an additional charge imposed by the government on the sale of goods and services.")</f>
        <v>State that sales tax is an additional charge imposed by the government on the sale of goods and services.</v>
      </c>
      <c r="L67" s="100" t="str">
        <f t="shared" si="13"/>
        <v>LU000682.002</v>
      </c>
      <c r="M67" s="100" t="str">
        <f ca="1">IFERROR(__xludf.dummyfunction("VLOOKUP(L67, IMPORTRANGE(""https://docs.google.com/spreadsheets/d/1yDAaXNsi4Mr5FtRQL4tbmSdIzhx6_m4wkOD7IG-k_eo/edit#gid=0"", ""Maths!M:N""), 2, FALSE)"),"Understand the purpose of sales tax as a source of government revenue and how it affects the cost of goods and services for consumers.")</f>
        <v>Understand the purpose of sales tax as a source of government revenue and how it affects the cost of goods and services for consumers.</v>
      </c>
      <c r="N67" s="100" t="str">
        <f t="shared" si="14"/>
        <v>LU000682.003</v>
      </c>
      <c r="O67" s="100" t="str">
        <f ca="1">IFERROR(__xludf.dummyfunction("VLOOKUP(N67, IMPORTRANGE(""https://docs.google.com/spreadsheets/d/1yDAaXNsi4Mr5FtRQL4tbmSdIzhx6_m4wkOD7IG-k_eo/edit#gid=0"", ""Maths!M:N""), 2, FALSE)"),"Apply knowledge of sales tax to calculate the total cost of items including tax, considering the tax rate and the original price.")</f>
        <v>Apply knowledge of sales tax to calculate the total cost of items including tax, considering the tax rate and the original price.</v>
      </c>
      <c r="P67" s="100" t="str">
        <f t="shared" si="15"/>
        <v>LU000682.004</v>
      </c>
      <c r="Q67" s="100" t="str">
        <f ca="1">IFERROR(__xludf.dummyfunction("VLOOKUP(P67, IMPORTRANGE(""https://docs.google.com/spreadsheets/d/1yDAaXNsi4Mr5FtRQL4tbmSdIzhx6_m4wkOD7IG-k_eo/edit#gid=0"", ""Maths!M:N""), 2, FALSE)"),"Analyze the impact of sales tax on consumer purchasing decisions and its role in government finances.")</f>
        <v>Analyze the impact of sales tax on consumer purchasing decisions and its role in government finances.</v>
      </c>
      <c r="R67" s="100" t="str">
        <f t="shared" si="16"/>
        <v>LU000682.005</v>
      </c>
      <c r="S67" s="100" t="str">
        <f ca="1">IFERROR(__xludf.dummyfunction("VLOOKUP(R67, IMPORTRANGE(""https://docs.google.com/spreadsheets/d/1yDAaXNsi4Mr5FtRQL4tbmSdIzhx6_m4wkOD7IG-k_eo/edit#gid=0"", ""Maths!M:N""), 2, FALSE)"),"Evaluate the fairness and efficiency of sales tax systems")</f>
        <v>Evaluate the fairness and efficiency of sales tax systems</v>
      </c>
      <c r="T67" s="100" t="str">
        <f t="shared" si="17"/>
        <v>LU000682.006</v>
      </c>
      <c r="U67" s="100" t="str">
        <f ca="1">IFERROR(__xludf.dummyfunction("VLOOKUP(T67, IMPORTRANGE(""https://docs.google.com/spreadsheets/d/1yDAaXNsi4Mr5FtRQL4tbmSdIzhx6_m4wkOD7IG-k_eo/edit#gid=0"", ""Maths!M:N""), 2, FALSE)"),"Create hypothetical scenarios involving sales tax (such as calculating the tax on different items or proposing changes to sales tax rates) to analyse its effects on pricing and government revenue.")</f>
        <v>Create hypothetical scenarios involving sales tax (such as calculating the tax on different items or proposing changes to sales tax rates) to analyse its effects on pricing and government revenue.</v>
      </c>
      <c r="V67" s="16">
        <f ca="1">IFERROR(__xludf.dummyfunction("ArrayFormula(VLOOKUP(G67, IMPORTRANGE(""https://docs.google.com/spreadsheets/d/1p7R4vtkWt5VOBim4ltsDG9KTzSjrtKXsMtQGXPHyND0/edit#gid=795171502"", ""'Filter 30_05_2024'!A1:M2000""), {2, 3, 4, 5,6,7,8,9,10,11,12,13}, 0))"),4)</f>
        <v>4</v>
      </c>
      <c r="W67" s="16">
        <f ca="1">IFERROR(__xludf.dummyfunction("""COMPUTED_VALUE"""),6)</f>
        <v>6</v>
      </c>
      <c r="X67" s="16">
        <f ca="1">IFERROR(__xludf.dummyfunction("""COMPUTED_VALUE"""),2)</f>
        <v>2</v>
      </c>
      <c r="Y67" s="16">
        <f ca="1">IFERROR(__xludf.dummyfunction("""COMPUTED_VALUE"""),12)</f>
        <v>12</v>
      </c>
      <c r="Z67" s="16">
        <f ca="1">IFERROR(__xludf.dummyfunction("""COMPUTED_VALUE"""),4)</f>
        <v>4</v>
      </c>
      <c r="AA67" s="30">
        <f ca="1">IFERROR(__xludf.dummyfunction("""COMPUTED_VALUE"""),3)</f>
        <v>3</v>
      </c>
      <c r="AB67" s="30">
        <f ca="1">IFERROR(__xludf.dummyfunction("""COMPUTED_VALUE"""),1)</f>
        <v>1</v>
      </c>
      <c r="AC67" s="30">
        <f ca="1">IFERROR(__xludf.dummyfunction("""COMPUTED_VALUE"""),8)</f>
        <v>8</v>
      </c>
      <c r="AD67" s="16"/>
      <c r="AE67" s="30"/>
      <c r="AF67" s="30"/>
      <c r="AG67" s="30"/>
    </row>
    <row r="68" spans="1:33" ht="26.4">
      <c r="A68" s="25"/>
      <c r="B68" s="25" t="s">
        <v>29</v>
      </c>
      <c r="C68" s="25" t="s">
        <v>310</v>
      </c>
      <c r="D68" s="25">
        <v>8</v>
      </c>
      <c r="E68" s="70" t="s">
        <v>1123</v>
      </c>
      <c r="F68" s="70" t="s">
        <v>1131</v>
      </c>
      <c r="G68" s="64" t="s">
        <v>1134</v>
      </c>
      <c r="H68" s="64" t="str">
        <f ca="1">IFERROR(__xludf.dummyfunction("IFERROR(
  VLOOKUP(G68, IMPORTRANGE(""https://docs.google.com/spreadsheets/d/14deopnvwcrKtEGCKuYXdUHJbeLDZlkiSSWWT0g7x2pM/edit#gid=849066331"", ""LU List Maths (Filter)!A:B""), 2, FALSE),
  IFERROR(
    VLOOKUP(G68, IMPORTRANGE(""https://docs.google.com/s"&amp;"preadsheets/d/14deopnvwcrKtEGCKuYXdUHJbeLDZlkiSSWWT0g7x2pM/edit#gid=849066331"", ""LU List Science (Filter)!A:B""), 2, FALSE),
    ""Not Found""
  )
)
"),"Definition of value-added tax")</f>
        <v>Definition of value-added tax</v>
      </c>
      <c r="I68" s="64"/>
      <c r="J68" s="100" t="str">
        <f t="shared" si="12"/>
        <v>LU000683.001</v>
      </c>
      <c r="K68" s="100" t="str">
        <f ca="1">IFERROR(__xludf.dummyfunction("VLOOKUP(J68, IMPORTRANGE(""https://docs.google.com/spreadsheets/d/1yDAaXNsi4Mr5FtRQL4tbmSdIzhx6_m4wkOD7IG-k_eo/edit#gid=0"", ""Maths!M:N""), 2, FALSE)"),"State that value-added tax (VAT) is a consumption tax levied at each stage of the production and distribution of goods and services,")</f>
        <v>State that value-added tax (VAT) is a consumption tax levied at each stage of the production and distribution of goods and services,</v>
      </c>
      <c r="L68" s="100" t="str">
        <f t="shared" si="13"/>
        <v>LU000683.002</v>
      </c>
      <c r="M68" s="100" t="str">
        <f ca="1">IFERROR(__xludf.dummyfunction("VLOOKUP(L68, IMPORTRANGE(""https://docs.google.com/spreadsheets/d/1yDAaXNsi4Mr5FtRQL4tbmSdIzhx6_m4wkOD7IG-k_eo/edit#gid=0"", ""Maths!M:N""), 2, FALSE)"),"Describe that VAT helps the government get money and is added to the price of things we buy.")</f>
        <v>Describe that VAT helps the government get money and is added to the price of things we buy.</v>
      </c>
      <c r="N68" s="100" t="str">
        <f t="shared" si="14"/>
        <v>LU000683.003</v>
      </c>
      <c r="O68" s="100" t="str">
        <f ca="1">IFERROR(__xludf.dummyfunction("VLOOKUP(N68, IMPORTRANGE(""https://docs.google.com/spreadsheets/d/1yDAaXNsi4Mr5FtRQL4tbmSdIzhx6_m4wkOD7IG-k_eo/edit#gid=0"", ""Maths!M:N""), 2, FALSE)"),"Apply knowledge of VAT to calculate the total cost of items before VAT was added.")</f>
        <v>Apply knowledge of VAT to calculate the total cost of items before VAT was added.</v>
      </c>
      <c r="P68" s="100" t="str">
        <f t="shared" si="15"/>
        <v>LU000683.004</v>
      </c>
      <c r="Q68" s="100" t="str">
        <f ca="1">IFERROR(__xludf.dummyfunction("VLOOKUP(P68, IMPORTRANGE(""https://docs.google.com/spreadsheets/d/1yDAaXNsi4Mr5FtRQL4tbmSdIzhx6_m4wkOD7IG-k_eo/edit#gid=0"", ""Maths!M:N""), 2, FALSE)"),"Analyze the concept of VAT in a business context")</f>
        <v>Analyze the concept of VAT in a business context</v>
      </c>
      <c r="R68" s="100" t="str">
        <f t="shared" si="16"/>
        <v>LU000683.005</v>
      </c>
      <c r="S68" s="100" t="str">
        <f ca="1">IFERROR(__xludf.dummyfunction("VLOOKUP(R68, IMPORTRANGE(""https://docs.google.com/spreadsheets/d/1yDAaXNsi4Mr5FtRQL4tbmSdIzhx6_m4wkOD7IG-k_eo/edit#gid=0"", ""Maths!M:N""), 2, FALSE)"),"Evaluate the advantages and disadvantages of VAT as a tax system")</f>
        <v>Evaluate the advantages and disadvantages of VAT as a tax system</v>
      </c>
      <c r="T68" s="100" t="str">
        <f t="shared" si="17"/>
        <v>LU000683.006</v>
      </c>
      <c r="U68" s="100" t="str">
        <f ca="1">IFERROR(__xludf.dummyfunction("VLOOKUP(T68, IMPORTRANGE(""https://docs.google.com/spreadsheets/d/1yDAaXNsi4Mr5FtRQL4tbmSdIzhx6_m4wkOD7IG-k_eo/edit#gid=0"", ""Maths!M:N""), 2, FALSE)"),"Create scenarios involving VAT, such as calculating the VAT amount at different stages of a product's production and distribution")</f>
        <v>Create scenarios involving VAT, such as calculating the VAT amount at different stages of a product's production and distribution</v>
      </c>
      <c r="V68" s="16">
        <f ca="1">IFERROR(__xludf.dummyfunction("ArrayFormula(VLOOKUP(G68, IMPORTRANGE(""https://docs.google.com/spreadsheets/d/1p7R4vtkWt5VOBim4ltsDG9KTzSjrtKXsMtQGXPHyND0/edit#gid=795171502"", ""'Filter 30_05_2024'!A1:M2000""), {2, 3, 4, 5,6,7,8,9,10,11,12,13}, 0))"),4)</f>
        <v>4</v>
      </c>
      <c r="W68" s="16">
        <f ca="1">IFERROR(__xludf.dummyfunction("""COMPUTED_VALUE"""),6)</f>
        <v>6</v>
      </c>
      <c r="X68" s="16">
        <f ca="1">IFERROR(__xludf.dummyfunction("""COMPUTED_VALUE"""),2)</f>
        <v>2</v>
      </c>
      <c r="Y68" s="16">
        <f ca="1">IFERROR(__xludf.dummyfunction("""COMPUTED_VALUE"""),12)</f>
        <v>12</v>
      </c>
      <c r="Z68" s="16">
        <f ca="1">IFERROR(__xludf.dummyfunction("""COMPUTED_VALUE"""),4)</f>
        <v>4</v>
      </c>
      <c r="AA68" s="30">
        <f ca="1">IFERROR(__xludf.dummyfunction("""COMPUTED_VALUE"""),3)</f>
        <v>3</v>
      </c>
      <c r="AB68" s="30">
        <f ca="1">IFERROR(__xludf.dummyfunction("""COMPUTED_VALUE"""),1)</f>
        <v>1</v>
      </c>
      <c r="AC68" s="30">
        <f ca="1">IFERROR(__xludf.dummyfunction("""COMPUTED_VALUE"""),8)</f>
        <v>8</v>
      </c>
      <c r="AD68" s="16"/>
      <c r="AE68" s="30"/>
      <c r="AF68" s="30"/>
      <c r="AG68" s="30"/>
    </row>
    <row r="69" spans="1:33" ht="26.4">
      <c r="A69" s="25"/>
      <c r="B69" s="25" t="s">
        <v>29</v>
      </c>
      <c r="C69" s="25" t="s">
        <v>310</v>
      </c>
      <c r="D69" s="25">
        <v>8</v>
      </c>
      <c r="E69" s="70" t="s">
        <v>1123</v>
      </c>
      <c r="F69" s="70" t="s">
        <v>1131</v>
      </c>
      <c r="G69" s="64" t="s">
        <v>1135</v>
      </c>
      <c r="H69" s="64" t="str">
        <f ca="1">IFERROR(__xludf.dummyfunction("IFERROR(
  VLOOKUP(G69, IMPORTRANGE(""https://docs.google.com/spreadsheets/d/14deopnvwcrKtEGCKuYXdUHJbeLDZlkiSSWWT0g7x2pM/edit#gid=849066331"", ""LU List Maths (Filter)!A:B""), 2, FALSE),
  IFERROR(
    VLOOKUP(G69, IMPORTRANGE(""https://docs.google.com/s"&amp;"preadsheets/d/14deopnvwcrKtEGCKuYXdUHJbeLDZlkiSSWWT0g7x2pM/edit#gid=849066331"", ""LU List Science (Filter)!A:B""), 2, FALSE),
    ""Not Found""
  )
)
"),"Definition of goods and services tax")</f>
        <v>Definition of goods and services tax</v>
      </c>
      <c r="I69" s="64"/>
      <c r="J69" s="100" t="str">
        <f t="shared" si="12"/>
        <v>LU000684.001</v>
      </c>
      <c r="K69" s="100" t="str">
        <f ca="1">IFERROR(__xludf.dummyfunction("VLOOKUP(J69, IMPORTRANGE(""https://docs.google.com/spreadsheets/d/1yDAaXNsi4Mr5FtRQL4tbmSdIzhx6_m4wkOD7IG-k_eo/edit#gid=0"", ""Maths!M:N""), 2, FALSE)"),"Define GST as a type of tax on the consumption of goods and services")</f>
        <v>Define GST as a type of tax on the consumption of goods and services</v>
      </c>
      <c r="L69" s="100" t="str">
        <f t="shared" si="13"/>
        <v>LU000684.002</v>
      </c>
      <c r="M69" s="100" t="str">
        <f ca="1">IFERROR(__xludf.dummyfunction("VLOOKUP(L69, IMPORTRANGE(""https://docs.google.com/spreadsheets/d/1yDAaXNsi4Mr5FtRQL4tbmSdIzhx6_m4wkOD7IG-k_eo/edit#gid=0"", ""Maths!M:N""), 2, FALSE)"),"Understand the purpose and structure of GST as a tax system that replaces multiple indirect taxes")</f>
        <v>Understand the purpose and structure of GST as a tax system that replaces multiple indirect taxes</v>
      </c>
      <c r="N69" s="100" t="str">
        <f t="shared" si="14"/>
        <v>LU000684.003</v>
      </c>
      <c r="O69" s="100" t="str">
        <f ca="1">IFERROR(__xludf.dummyfunction("VLOOKUP(N69, IMPORTRANGE(""https://docs.google.com/spreadsheets/d/1yDAaXNsi4Mr5FtRQL4tbmSdIzhx6_m4wkOD7IG-k_eo/edit#gid=0"", ""Maths!M:N""), 2, FALSE)"),"Apply knowledge of GST to calculate the total tax amount paid at various stages of production and distribution")</f>
        <v>Apply knowledge of GST to calculate the total tax amount paid at various stages of production and distribution</v>
      </c>
      <c r="P69" s="100" t="str">
        <f t="shared" si="15"/>
        <v>LU000684.004</v>
      </c>
      <c r="Q69" s="100" t="str">
        <f ca="1">IFERROR(__xludf.dummyfunction("VLOOKUP(P69, IMPORTRANGE(""https://docs.google.com/spreadsheets/d/1yDAaXNsi4Mr5FtRQL4tbmSdIzhx6_m4wkOD7IG-k_eo/edit#gid=0"", ""Maths!M:N""), 2, FALSE)"),"Analyze the concept of GST in a business context")</f>
        <v>Analyze the concept of GST in a business context</v>
      </c>
      <c r="R69" s="100" t="str">
        <f t="shared" si="16"/>
        <v>LU000684.005</v>
      </c>
      <c r="S69" s="100" t="str">
        <f ca="1">IFERROR(__xludf.dummyfunction("VLOOKUP(R69, IMPORTRANGE(""https://docs.google.com/spreadsheets/d/1yDAaXNsi4Mr5FtRQL4tbmSdIzhx6_m4wkOD7IG-k_eo/edit#gid=0"", ""Maths!M:N""), 2, FALSE)"),"Evaluate the advantages and disadvantages of GST as a tax system")</f>
        <v>Evaluate the advantages and disadvantages of GST as a tax system</v>
      </c>
      <c r="T69" s="100" t="str">
        <f t="shared" si="17"/>
        <v>LU000684.006</v>
      </c>
      <c r="U69" s="100" t="str">
        <f ca="1">IFERROR(__xludf.dummyfunction("VLOOKUP(T69, IMPORTRANGE(""https://docs.google.com/spreadsheets/d/1yDAaXNsi4Mr5FtRQL4tbmSdIzhx6_m4wkOD7IG-k_eo/edit#gid=0"", ""Maths!M:N""), 2, FALSE)"),"Create hypothetical scenarios involving GST, such as calculating tax amounts for different goods and services, or proposing changes to GST rates")</f>
        <v>Create hypothetical scenarios involving GST, such as calculating tax amounts for different goods and services, or proposing changes to GST rates</v>
      </c>
      <c r="V69" s="16">
        <f ca="1">IFERROR(__xludf.dummyfunction("ArrayFormula(VLOOKUP(G69, IMPORTRANGE(""https://docs.google.com/spreadsheets/d/1p7R4vtkWt5VOBim4ltsDG9KTzSjrtKXsMtQGXPHyND0/edit#gid=795171502"", ""'Filter 30_05_2024'!A1:M2000""), {2, 3, 4, 5,6,7,8,9,10,11,12,13}, 0))"),4)</f>
        <v>4</v>
      </c>
      <c r="W69" s="16">
        <f ca="1">IFERROR(__xludf.dummyfunction("""COMPUTED_VALUE"""),6)</f>
        <v>6</v>
      </c>
      <c r="X69" s="16">
        <f ca="1">IFERROR(__xludf.dummyfunction("""COMPUTED_VALUE"""),2)</f>
        <v>2</v>
      </c>
      <c r="Y69" s="16">
        <f ca="1">IFERROR(__xludf.dummyfunction("""COMPUTED_VALUE"""),12)</f>
        <v>12</v>
      </c>
      <c r="Z69" s="16">
        <f ca="1">IFERROR(__xludf.dummyfunction("""COMPUTED_VALUE"""),4)</f>
        <v>4</v>
      </c>
      <c r="AA69" s="30">
        <f ca="1">IFERROR(__xludf.dummyfunction("""COMPUTED_VALUE"""),3)</f>
        <v>3</v>
      </c>
      <c r="AB69" s="30">
        <f ca="1">IFERROR(__xludf.dummyfunction("""COMPUTED_VALUE"""),1)</f>
        <v>1</v>
      </c>
      <c r="AC69" s="30">
        <f ca="1">IFERROR(__xludf.dummyfunction("""COMPUTED_VALUE"""),8)</f>
        <v>8</v>
      </c>
      <c r="AD69" s="16"/>
      <c r="AE69" s="30"/>
      <c r="AF69" s="30"/>
      <c r="AG69" s="30"/>
    </row>
    <row r="70" spans="1:33" ht="26.4">
      <c r="A70" s="25"/>
      <c r="B70" s="25" t="s">
        <v>29</v>
      </c>
      <c r="C70" s="25" t="s">
        <v>310</v>
      </c>
      <c r="D70" s="25">
        <v>8</v>
      </c>
      <c r="E70" s="70" t="s">
        <v>1843</v>
      </c>
      <c r="F70" s="70" t="s">
        <v>1136</v>
      </c>
      <c r="G70" s="64" t="s">
        <v>1137</v>
      </c>
      <c r="H70" s="64" t="str">
        <f ca="1">IFERROR(__xludf.dummyfunction("IFERROR(
  VLOOKUP(G70, IMPORTRANGE(""https://docs.google.com/spreadsheets/d/14deopnvwcrKtEGCKuYXdUHJbeLDZlkiSSWWT0g7x2pM/edit#gid=849066331"", ""LU List Maths (Filter)!A:B""), 2, FALSE),
  IFERROR(
    VLOOKUP(G70, IMPORTRANGE(""https://docs.google.com/s"&amp;"preadsheets/d/14deopnvwcrKtEGCKuYXdUHJbeLDZlkiSSWWT0g7x2pM/edit#gid=849066331"", ""LU List Science (Filter)!A:B""), 2, FALSE),
    ""Not Found""
  )
)
"),"Definition of compound interest")</f>
        <v>Definition of compound interest</v>
      </c>
      <c r="I70" s="64"/>
      <c r="J70" s="100" t="str">
        <f t="shared" si="12"/>
        <v>LU000685.001</v>
      </c>
      <c r="K70" s="100" t="str">
        <f ca="1">IFERROR(__xludf.dummyfunction("VLOOKUP(J70, IMPORTRANGE(""https://docs.google.com/spreadsheets/d/1yDAaXNsi4Mr5FtRQL4tbmSdIzhx6_m4wkOD7IG-k_eo/edit#gid=0"", ""Maths!M:N""), 2, FALSE)"),"State the definition of compound interest")</f>
        <v>State the definition of compound interest</v>
      </c>
      <c r="L70" s="100" t="str">
        <f t="shared" si="13"/>
        <v>LU000685.002</v>
      </c>
      <c r="M70" s="100" t="str">
        <f ca="1">IFERROR(__xludf.dummyfunction("VLOOKUP(L70, IMPORTRANGE(""https://docs.google.com/spreadsheets/d/1yDAaXNsi4Mr5FtRQL4tbmSdIzhx6_m4wkOD7IG-k_eo/edit#gid=0"", ""Maths!M:N""), 2, FALSE)"),"Understand the concept of compound interest, including how it differs from simple interest and its relevance in financial calculations.")</f>
        <v>Understand the concept of compound interest, including how it differs from simple interest and its relevance in financial calculations.</v>
      </c>
      <c r="N70" s="100" t="str">
        <f t="shared" si="14"/>
        <v>LU000685.003</v>
      </c>
      <c r="O70" s="100" t="str">
        <f ca="1">IFERROR(__xludf.dummyfunction("VLOOKUP(N70, IMPORTRANGE(""https://docs.google.com/spreadsheets/d/1yDAaXNsi4Mr5FtRQL4tbmSdIzhx6_m4wkOD7IG-k_eo/edit#gid=0"", ""Maths!M:N""), 2, FALSE)"),"Apply the formula of amount in real life situation to calculate compound interest. ")</f>
        <v xml:space="preserve">Apply the formula of amount in real life situation to calculate compound interest. </v>
      </c>
      <c r="P70" s="100" t="str">
        <f t="shared" si="15"/>
        <v>LU000685.004</v>
      </c>
      <c r="Q70" s="100" t="str">
        <f ca="1">IFERROR(__xludf.dummyfunction("VLOOKUP(P70, IMPORTRANGE(""https://docs.google.com/spreadsheets/d/1yDAaXNsi4Mr5FtRQL4tbmSdIzhx6_m4wkOD7IG-k_eo/edit#gid=0"", ""Maths!M:N""), 2, FALSE)"),"Analyse different situations with compound interest to see how it changes when you save or owe money for a longer time")</f>
        <v>Analyse different situations with compound interest to see how it changes when you save or owe money for a longer time</v>
      </c>
      <c r="R70" s="100" t="str">
        <f t="shared" si="16"/>
        <v>LU000685.005</v>
      </c>
      <c r="S70" s="100" t="str">
        <f ca="1">IFERROR(__xludf.dummyfunction("VLOOKUP(R70, IMPORTRANGE(""https://docs.google.com/spreadsheets/d/1yDAaXNsi4Mr5FtRQL4tbmSdIzhx6_m4wkOD7IG-k_eo/edit#gid=0"", ""Maths!M:N""), 2, FALSE)"),"Evaluate the benefits and drawbacks of compound interest, considering its potential for exponential growth in savings or the cost of borrowing")</f>
        <v>Evaluate the benefits and drawbacks of compound interest, considering its potential for exponential growth in savings or the cost of borrowing</v>
      </c>
      <c r="T70" s="100" t="str">
        <f t="shared" si="17"/>
        <v>LU000685.006</v>
      </c>
      <c r="U70" s="100" t="str">
        <f ca="1">IFERROR(__xludf.dummyfunction("VLOOKUP(T70, IMPORTRANGE(""https://docs.google.com/spreadsheets/d/1yDAaXNsi4Mr5FtRQL4tbmSdIzhx6_m4wkOD7IG-k_eo/edit#gid=0"", ""Maths!M:N""), 2, FALSE)"),"Create compound interest problems to calculate the future value of investments or debts.")</f>
        <v>Create compound interest problems to calculate the future value of investments or debts.</v>
      </c>
      <c r="V70" s="16">
        <f ca="1">IFERROR(__xludf.dummyfunction("ArrayFormula(VLOOKUP(G70, IMPORTRANGE(""https://docs.google.com/spreadsheets/d/1p7R4vtkWt5VOBim4ltsDG9KTzSjrtKXsMtQGXPHyND0/edit#gid=795171502"", ""'Filter 30_05_2024'!A1:M2000""), {2, 3, 4, 5,6,7,8,9,10,11,12,13}, 0))"),4)</f>
        <v>4</v>
      </c>
      <c r="W70" s="16">
        <f ca="1">IFERROR(__xludf.dummyfunction("""COMPUTED_VALUE"""),6)</f>
        <v>6</v>
      </c>
      <c r="X70" s="16">
        <f ca="1">IFERROR(__xludf.dummyfunction("""COMPUTED_VALUE"""),2)</f>
        <v>2</v>
      </c>
      <c r="Y70" s="16">
        <f ca="1">IFERROR(__xludf.dummyfunction("""COMPUTED_VALUE"""),12)</f>
        <v>12</v>
      </c>
      <c r="Z70" s="16">
        <f ca="1">IFERROR(__xludf.dummyfunction("""COMPUTED_VALUE"""),4)</f>
        <v>4</v>
      </c>
      <c r="AA70" s="30">
        <f ca="1">IFERROR(__xludf.dummyfunction("""COMPUTED_VALUE"""),3)</f>
        <v>3</v>
      </c>
      <c r="AB70" s="30">
        <f ca="1">IFERROR(__xludf.dummyfunction("""COMPUTED_VALUE"""),1)</f>
        <v>1</v>
      </c>
      <c r="AC70" s="30">
        <f ca="1">IFERROR(__xludf.dummyfunction("""COMPUTED_VALUE"""),8)</f>
        <v>8</v>
      </c>
      <c r="AD70" s="16"/>
      <c r="AE70" s="30"/>
      <c r="AF70" s="30"/>
      <c r="AG70" s="30"/>
    </row>
    <row r="71" spans="1:33" ht="26.4">
      <c r="A71" s="25"/>
      <c r="B71" s="25" t="s">
        <v>29</v>
      </c>
      <c r="C71" s="25" t="s">
        <v>310</v>
      </c>
      <c r="D71" s="25">
        <v>8</v>
      </c>
      <c r="E71" s="70" t="s">
        <v>1843</v>
      </c>
      <c r="F71" s="70" t="s">
        <v>1136</v>
      </c>
      <c r="G71" s="87" t="s">
        <v>1138</v>
      </c>
      <c r="H71" s="64" t="str">
        <f ca="1">IFERROR(__xludf.dummyfunction("IFERROR(
  VLOOKUP(G71, IMPORTRANGE(""https://docs.google.com/spreadsheets/d/14deopnvwcrKtEGCKuYXdUHJbeLDZlkiSSWWT0g7x2pM/edit#gid=849066331"", ""LU List Maths (Filter)!A:B""), 2, FALSE),
  IFERROR(
    VLOOKUP(G71, IMPORTRANGE(""https://docs.google.com/s"&amp;"preadsheets/d/14deopnvwcrKtEGCKuYXdUHJbeLDZlkiSSWWT0g7x2pM/edit#gid=849066331"", ""LU List Science (Filter)!A:B""), 2, FALSE),
    ""Not Found""
  )
)
"),"Calculation of compound interest with rate compounded annually using the simple interest formula")</f>
        <v>Calculation of compound interest with rate compounded annually using the simple interest formula</v>
      </c>
      <c r="I71" s="64"/>
      <c r="J71" s="100" t="str">
        <f t="shared" si="12"/>
        <v>LU001138.001</v>
      </c>
      <c r="K71" s="100" t="str">
        <f ca="1">IFERROR(__xludf.dummyfunction("VLOOKUP(J71, IMPORTRANGE(""https://docs.google.com/spreadsheets/d/1yDAaXNsi4Mr5FtRQL4tbmSdIzhx6_m4wkOD7IG-k_eo/edit#gid=0"", ""Maths!M:N""), 2, FALSE)"),"Memorise the formula for calculating simple interest.")</f>
        <v>Memorise the formula for calculating simple interest.</v>
      </c>
      <c r="L71" s="100" t="str">
        <f t="shared" si="13"/>
        <v>LU001138.002</v>
      </c>
      <c r="M71" s="100" t="str">
        <f ca="1">IFERROR(__xludf.dummyfunction("VLOOKUP(L71, IMPORTRANGE(""https://docs.google.com/spreadsheets/d/1yDAaXNsi4Mr5FtRQL4tbmSdIzhx6_m4wkOD7IG-k_eo/edit#gid=0"", ""Maths!M:N""), 2, FALSE)"),"Explain the difference between simple interest and compound interest, and the limitation of using the simple interest formula for compound interest calculations.")</f>
        <v>Explain the difference between simple interest and compound interest, and the limitation of using the simple interest formula for compound interest calculations.</v>
      </c>
      <c r="N71" s="100" t="str">
        <f t="shared" si="14"/>
        <v>LU001138.003</v>
      </c>
      <c r="O71" s="100" t="str">
        <f ca="1">IFERROR(__xludf.dummyfunction("VLOOKUP(N71, IMPORTRANGE(""https://docs.google.com/spreadsheets/d/1yDAaXNsi4Mr5FtRQL4tbmSdIzhx6_m4wkOD7IG-k_eo/edit#gid=0"", ""Maths!M:N""), 2, FALSE)"),"Calculate compound interest for an annual compounding rate using an adapted simple interest approach.")</f>
        <v>Calculate compound interest for an annual compounding rate using an adapted simple interest approach.</v>
      </c>
      <c r="P71" s="100" t="str">
        <f t="shared" si="15"/>
        <v>LU001138.004</v>
      </c>
      <c r="Q71" s="100" t="str">
        <f ca="1">IFERROR(__xludf.dummyfunction("VLOOKUP(P71, IMPORTRANGE(""https://docs.google.com/spreadsheets/d/1yDAaXNsi4Mr5FtRQL4tbmSdIzhx6_m4wkOD7IG-k_eo/edit#gid=0"", ""Maths!M:N""), 2, FALSE)"),"Analyse the mathematical relationship between simple interest and compound interest when the rate is compounded annually.")</f>
        <v>Analyse the mathematical relationship between simple interest and compound interest when the rate is compounded annually.</v>
      </c>
      <c r="R71" s="100" t="str">
        <f t="shared" si="16"/>
        <v>LU001138.005</v>
      </c>
      <c r="S71" s="100" t="str">
        <f ca="1">IFERROR(__xludf.dummyfunction("VLOOKUP(R71, IMPORTRANGE(""https://docs.google.com/spreadsheets/d/1yDAaXNsi4Mr5FtRQL4tbmSdIzhx6_m4wkOD7IG-k_eo/edit#gid=0"", ""Maths!M:N""), 2, FALSE)"),"Evaluate the accuracy and practical implications of approximating compound interest with the simple interest formula.")</f>
        <v>Evaluate the accuracy and practical implications of approximating compound interest with the simple interest formula.</v>
      </c>
      <c r="T71" s="100" t="str">
        <f t="shared" si="17"/>
        <v>LU001138.006</v>
      </c>
      <c r="U71" s="100" t="str">
        <f ca="1">IFERROR(__xludf.dummyfunction("VLOOKUP(T71, IMPORTRANGE(""https://docs.google.com/spreadsheets/d/1yDAaXNsi4Mr5FtRQL4tbmSdIzhx6_m4wkOD7IG-k_eo/edit#gid=0"", ""Maths!M:N""), 2, FALSE)"),"Design a problem set that challenges the application of the simple interest formula to approximate annual compound interest, encouraging critical thinking about interest calculations.")</f>
        <v>Design a problem set that challenges the application of the simple interest formula to approximate annual compound interest, encouraging critical thinking about interest calculations.</v>
      </c>
      <c r="V71" s="16" t="str">
        <f ca="1">IFERROR(__xludf.dummyfunction("ArrayFormula(VLOOKUP(G71, IMPORTRANGE(""https://docs.google.com/spreadsheets/d/1p7R4vtkWt5VOBim4ltsDG9KTzSjrtKXsMtQGXPHyND0/edit#gid=795171502"", ""'Filter 30_05_2024'!A1:M2000""), {2, 3, 4, 5,6,7,8,9,10,11,12,13}, 0))"),"#N/A")</f>
        <v>#N/A</v>
      </c>
      <c r="W71" s="16" t="str">
        <f ca="1">IFERROR(__xludf.dummyfunction("""COMPUTED_VALUE"""),"#N/A")</f>
        <v>#N/A</v>
      </c>
      <c r="X71" s="16" t="str">
        <f ca="1">IFERROR(__xludf.dummyfunction("""COMPUTED_VALUE"""),"#N/A")</f>
        <v>#N/A</v>
      </c>
      <c r="Y71" s="16" t="str">
        <f ca="1">IFERROR(__xludf.dummyfunction("""COMPUTED_VALUE"""),"#N/A")</f>
        <v>#N/A</v>
      </c>
      <c r="Z71" s="16" t="str">
        <f ca="1">IFERROR(__xludf.dummyfunction("""COMPUTED_VALUE"""),"#N/A")</f>
        <v>#N/A</v>
      </c>
      <c r="AA71" s="30" t="str">
        <f ca="1">IFERROR(__xludf.dummyfunction("""COMPUTED_VALUE"""),"#N/A")</f>
        <v>#N/A</v>
      </c>
      <c r="AB71" s="30" t="str">
        <f ca="1">IFERROR(__xludf.dummyfunction("""COMPUTED_VALUE"""),"#N/A")</f>
        <v>#N/A</v>
      </c>
      <c r="AC71" s="30" t="str">
        <f ca="1">IFERROR(__xludf.dummyfunction("""COMPUTED_VALUE"""),"#N/A")</f>
        <v>#N/A</v>
      </c>
      <c r="AD71" s="16" t="str">
        <f ca="1">IFERROR(__xludf.dummyfunction("""COMPUTED_VALUE"""),"#N/A")</f>
        <v>#N/A</v>
      </c>
      <c r="AE71" s="30" t="str">
        <f ca="1">IFERROR(__xludf.dummyfunction("""COMPUTED_VALUE"""),"#N/A")</f>
        <v>#N/A</v>
      </c>
      <c r="AF71" s="30" t="str">
        <f ca="1">IFERROR(__xludf.dummyfunction("""COMPUTED_VALUE"""),"#N/A")</f>
        <v>#N/A</v>
      </c>
      <c r="AG71" s="30" t="str">
        <f ca="1">IFERROR(__xludf.dummyfunction("""COMPUTED_VALUE"""),"#N/A")</f>
        <v>#N/A</v>
      </c>
    </row>
    <row r="72" spans="1:33" ht="26.4">
      <c r="A72" s="25"/>
      <c r="B72" s="25" t="s">
        <v>29</v>
      </c>
      <c r="C72" s="25" t="s">
        <v>310</v>
      </c>
      <c r="D72" s="25">
        <v>8</v>
      </c>
      <c r="E72" s="70" t="s">
        <v>1843</v>
      </c>
      <c r="F72" s="70" t="s">
        <v>1136</v>
      </c>
      <c r="G72" s="87" t="s">
        <v>1139</v>
      </c>
      <c r="H72" s="64" t="str">
        <f ca="1">IFERROR(__xludf.dummyfunction("IFERROR(
  VLOOKUP(G72, IMPORTRANGE(""https://docs.google.com/spreadsheets/d/14deopnvwcrKtEGCKuYXdUHJbeLDZlkiSSWWT0g7x2pM/edit#gid=849066331"", ""LU List Maths (Filter)!A:B""), 2, FALSE),
  IFERROR(
    VLOOKUP(G72, IMPORTRANGE(""https://docs.google.com/s"&amp;"preadsheets/d/14deopnvwcrKtEGCKuYXdUHJbeLDZlkiSSWWT0g7x2pM/edit#gid=849066331"", ""LU List Science (Filter)!A:B""), 2, FALSE),
    ""Not Found""
  )
)
"),"Calculation of compound interest with rate compounded half yearly using the simple interest formula")</f>
        <v>Calculation of compound interest with rate compounded half yearly using the simple interest formula</v>
      </c>
      <c r="I72" s="64"/>
      <c r="J72" s="100" t="str">
        <f t="shared" si="12"/>
        <v>LU001139.001</v>
      </c>
      <c r="K72" s="100" t="str">
        <f ca="1">IFERROR(__xludf.dummyfunction("VLOOKUP(J72, IMPORTRANGE(""https://docs.google.com/spreadsheets/d/1yDAaXNsi4Mr5FtRQL4tbmSdIzhx6_m4wkOD7IG-k_eo/edit#gid=0"", ""Maths!M:N""), 2, FALSE)"),"Recall the formula for calculating simple interest and the concept of half-yearly compounding.")</f>
        <v>Recall the formula for calculating simple interest and the concept of half-yearly compounding.</v>
      </c>
      <c r="L72" s="100" t="str">
        <f t="shared" si="13"/>
        <v>LU001139.002</v>
      </c>
      <c r="M72" s="100" t="str">
        <f ca="1">IFERROR(__xludf.dummyfunction("VLOOKUP(L72, IMPORTRANGE(""https://docs.google.com/spreadsheets/d/1yDAaXNsi4Mr5FtRQL4tbmSdIzhx6_m4wkOD7IG-k_eo/edit#gid=0"", ""Maths!M:N""), 2, FALSE)"),"Explain the limitations of using the simple interest formula for calculating compound interest with half-yearly compounding.")</f>
        <v>Explain the limitations of using the simple interest formula for calculating compound interest with half-yearly compounding.</v>
      </c>
      <c r="N72" s="100" t="str">
        <f t="shared" si="14"/>
        <v>LU001139.003</v>
      </c>
      <c r="O72" s="100" t="str">
        <f ca="1">IFERROR(__xludf.dummyfunction("VLOOKUP(N72, IMPORTRANGE(""https://docs.google.com/spreadsheets/d/1yDAaXNsi4Mr5FtRQL4tbmSdIzhx6_m4wkOD7IG-k_eo/edit#gid=0"", ""Maths!M:N""), 2, FALSE)"),"Apply an adapted simple interest formula to find compound interest with the rate compounded half-yearly.")</f>
        <v>Apply an adapted simple interest formula to find compound interest with the rate compounded half-yearly.</v>
      </c>
      <c r="P72" s="100" t="str">
        <f t="shared" si="15"/>
        <v>LU001139.004</v>
      </c>
      <c r="Q72" s="100" t="str">
        <f ca="1">IFERROR(__xludf.dummyfunction("VLOOKUP(P72, IMPORTRANGE(""https://docs.google.com/spreadsheets/d/1yDAaXNsi4Mr5FtRQL4tbmSdIzhx6_m4wkOD7IG-k_eo/edit#gid=0"", ""Maths!M:N""), 2, FALSE)"),"Analyse how compound interest calculations are affected when interest is compounded half-yearly instead of annually, using the simple interest formula as a basis.")</f>
        <v>Analyse how compound interest calculations are affected when interest is compounded half-yearly instead of annually, using the simple interest formula as a basis.</v>
      </c>
      <c r="R72" s="100" t="str">
        <f t="shared" si="16"/>
        <v>LU001139.005</v>
      </c>
      <c r="S72" s="100" t="str">
        <f ca="1">IFERROR(__xludf.dummyfunction("VLOOKUP(R72, IMPORTRANGE(""https://docs.google.com/spreadsheets/d/1yDAaXNsi4Mr5FtRQL4tbmSdIzhx6_m4wkOD7IG-k_eo/edit#gid=0"", ""Maths!M:N""), 2, FALSE)"),"Evaluate the differences in outcomes when using the actual compound interest formula versus an adapted simple interest approach for half-yearly compounding.")</f>
        <v>Evaluate the differences in outcomes when using the actual compound interest formula versus an adapted simple interest approach for half-yearly compounding.</v>
      </c>
      <c r="T72" s="100" t="str">
        <f t="shared" si="17"/>
        <v>LU001139.006</v>
      </c>
      <c r="U72" s="100" t="str">
        <f ca="1">IFERROR(__xludf.dummyfunction("VLOOKUP(T72, IMPORTRANGE(""https://docs.google.com/spreadsheets/d/1yDAaXNsi4Mr5FtRQL4tbmSdIzhx6_m4wkOD7IG-k_eo/edit#gid=0"", ""Maths!M:N""), 2, FALSE)"),"Design mathematical problems that require approximating compound interest with half-yearly compounding using the simple interest formula, highlighting the limitations and applicability of this method.")</f>
        <v>Design mathematical problems that require approximating compound interest with half-yearly compounding using the simple interest formula, highlighting the limitations and applicability of this method.</v>
      </c>
      <c r="V72" s="16" t="str">
        <f ca="1">IFERROR(__xludf.dummyfunction("ArrayFormula(VLOOKUP(G72, IMPORTRANGE(""https://docs.google.com/spreadsheets/d/1p7R4vtkWt5VOBim4ltsDG9KTzSjrtKXsMtQGXPHyND0/edit#gid=795171502"", ""'Filter 30_05_2024'!A1:M2000""), {2, 3, 4, 5,6,7,8,9,10,11,12,13}, 0))"),"#N/A")</f>
        <v>#N/A</v>
      </c>
      <c r="W72" s="16" t="str">
        <f ca="1">IFERROR(__xludf.dummyfunction("""COMPUTED_VALUE"""),"#N/A")</f>
        <v>#N/A</v>
      </c>
      <c r="X72" s="16" t="str">
        <f ca="1">IFERROR(__xludf.dummyfunction("""COMPUTED_VALUE"""),"#N/A")</f>
        <v>#N/A</v>
      </c>
      <c r="Y72" s="16" t="str">
        <f ca="1">IFERROR(__xludf.dummyfunction("""COMPUTED_VALUE"""),"#N/A")</f>
        <v>#N/A</v>
      </c>
      <c r="Z72" s="16" t="str">
        <f ca="1">IFERROR(__xludf.dummyfunction("""COMPUTED_VALUE"""),"#N/A")</f>
        <v>#N/A</v>
      </c>
      <c r="AA72" s="30" t="str">
        <f ca="1">IFERROR(__xludf.dummyfunction("""COMPUTED_VALUE"""),"#N/A")</f>
        <v>#N/A</v>
      </c>
      <c r="AB72" s="30" t="str">
        <f ca="1">IFERROR(__xludf.dummyfunction("""COMPUTED_VALUE"""),"#N/A")</f>
        <v>#N/A</v>
      </c>
      <c r="AC72" s="30" t="str">
        <f ca="1">IFERROR(__xludf.dummyfunction("""COMPUTED_VALUE"""),"#N/A")</f>
        <v>#N/A</v>
      </c>
      <c r="AD72" s="16" t="str">
        <f ca="1">IFERROR(__xludf.dummyfunction("""COMPUTED_VALUE"""),"#N/A")</f>
        <v>#N/A</v>
      </c>
      <c r="AE72" s="30" t="str">
        <f ca="1">IFERROR(__xludf.dummyfunction("""COMPUTED_VALUE"""),"#N/A")</f>
        <v>#N/A</v>
      </c>
      <c r="AF72" s="30" t="str">
        <f ca="1">IFERROR(__xludf.dummyfunction("""COMPUTED_VALUE"""),"#N/A")</f>
        <v>#N/A</v>
      </c>
      <c r="AG72" s="30" t="str">
        <f ca="1">IFERROR(__xludf.dummyfunction("""COMPUTED_VALUE"""),"#N/A")</f>
        <v>#N/A</v>
      </c>
    </row>
    <row r="73" spans="1:33" ht="26.4">
      <c r="A73" s="25"/>
      <c r="B73" s="25" t="s">
        <v>29</v>
      </c>
      <c r="C73" s="25" t="s">
        <v>310</v>
      </c>
      <c r="D73" s="25">
        <v>8</v>
      </c>
      <c r="E73" s="70" t="s">
        <v>1843</v>
      </c>
      <c r="F73" s="70" t="s">
        <v>1136</v>
      </c>
      <c r="G73" s="64" t="s">
        <v>1140</v>
      </c>
      <c r="H73" s="64" t="str">
        <f ca="1">IFERROR(__xludf.dummyfunction("IFERROR(
  VLOOKUP(G73, IMPORTRANGE(""https://docs.google.com/spreadsheets/d/14deopnvwcrKtEGCKuYXdUHJbeLDZlkiSSWWT0g7x2pM/edit#gid=849066331"", ""LU List Maths (Filter)!A:B""), 2, FALSE),
  IFERROR(
    VLOOKUP(G73, IMPORTRANGE(""https://docs.google.com/s"&amp;"preadsheets/d/14deopnvwcrKtEGCKuYXdUHJbeLDZlkiSSWWT0g7x2pM/edit#gid=849066331"", ""LU List Science (Filter)!A:B""), 2, FALSE),
    ""Not Found""
  )
)
"),"Rate compounded annually")</f>
        <v>Rate compounded annually</v>
      </c>
      <c r="I73" s="64"/>
      <c r="J73" s="100" t="str">
        <f t="shared" si="12"/>
        <v>LU000687.001</v>
      </c>
      <c r="K73" s="100" t="str">
        <f ca="1">IFERROR(__xludf.dummyfunction("VLOOKUP(J73, IMPORTRANGE(""https://docs.google.com/spreadsheets/d/1yDAaXNsi4Mr5FtRQL4tbmSdIzhx6_m4wkOD7IG-k_eo/edit#gid=0"", ""Maths!M:N""), 2, FALSE)"),"Describe the ""rate compounded annually"" as the interest rate being applied once a year to the original amount.")</f>
        <v>Describe the "rate compounded annually" as the interest rate being applied once a year to the original amount.</v>
      </c>
      <c r="L73" s="100" t="str">
        <f t="shared" si="13"/>
        <v>LU000687.002</v>
      </c>
      <c r="M73" s="100" t="str">
        <f ca="1">IFERROR(__xludf.dummyfunction("VLOOKUP(L73, IMPORTRANGE(""https://docs.google.com/spreadsheets/d/1yDAaXNsi4Mr5FtRQL4tbmSdIzhx6_m4wkOD7IG-k_eo/edit#gid=0"", ""Maths!M:N""), 2, FALSE)"),"Explain the concept of an annual compounding rate and how it affects the growth of an investment or the cost of a loan over time.")</f>
        <v>Explain the concept of an annual compounding rate and how it affects the growth of an investment or the cost of a loan over time.</v>
      </c>
      <c r="N73" s="100" t="str">
        <f t="shared" si="14"/>
        <v>LU000687.003</v>
      </c>
      <c r="O73" s="100" t="str">
        <f ca="1">IFERROR(__xludf.dummyfunction("VLOOKUP(N73, IMPORTRANGE(""https://docs.google.com/spreadsheets/d/1yDAaXNsi4Mr5FtRQL4tbmSdIzhx6_m4wkOD7IG-k_eo/edit#gid=0"", ""Maths!M:N""), 2, FALSE)"),"Apply the annual compounding rate to calculate compound interest for a given principal amount and time period.")</f>
        <v>Apply the annual compounding rate to calculate compound interest for a given principal amount and time period.</v>
      </c>
      <c r="P73" s="100" t="str">
        <f t="shared" si="15"/>
        <v>LU000687.004</v>
      </c>
      <c r="Q73" s="100" t="str">
        <f ca="1">IFERROR(__xludf.dummyfunction("VLOOKUP(P73, IMPORTRANGE(""https://docs.google.com/spreadsheets/d/1yDAaXNsi4Mr5FtRQL4tbmSdIzhx6_m4wkOD7IG-k_eo/edit#gid=0"", ""Maths!M:N""), 2, FALSE)"),"Analyze the differences in outcomes when different annual compounding rates are used")</f>
        <v>Analyze the differences in outcomes when different annual compounding rates are used</v>
      </c>
      <c r="R73" s="100" t="str">
        <f t="shared" si="16"/>
        <v>LU000687.005</v>
      </c>
      <c r="S73" s="100" t="str">
        <f ca="1">IFERROR(__xludf.dummyfunction("VLOOKUP(R73, IMPORTRANGE(""https://docs.google.com/spreadsheets/d/1yDAaXNsi4Mr5FtRQL4tbmSdIzhx6_m4wkOD7IG-k_eo/edit#gid=0"", ""Maths!M:N""), 2, FALSE)"),"Evaluate the advantages and disadvantages of using an annual compounding rate in financial decisions")</f>
        <v>Evaluate the advantages and disadvantages of using an annual compounding rate in financial decisions</v>
      </c>
      <c r="T73" s="100" t="str">
        <f t="shared" si="17"/>
        <v>LU000687.006</v>
      </c>
      <c r="U73" s="100" t="str">
        <f ca="1">IFERROR(__xludf.dummyfunction("VLOOKUP(T73, IMPORTRANGE(""https://docs.google.com/spreadsheets/d/1yDAaXNsi4Mr5FtRQL4tbmSdIzhx6_m4wkOD7IG-k_eo/edit#gid=0"", ""Maths!M:N""), 2, FALSE)"),"Create scenarios where the annual compounding rate is applied to savings or loans")</f>
        <v>Create scenarios where the annual compounding rate is applied to savings or loans</v>
      </c>
      <c r="V73" s="16">
        <f ca="1">IFERROR(__xludf.dummyfunction("ArrayFormula(VLOOKUP(G73, IMPORTRANGE(""https://docs.google.com/spreadsheets/d/1p7R4vtkWt5VOBim4ltsDG9KTzSjrtKXsMtQGXPHyND0/edit#gid=795171502"", ""'Filter 30_05_2024'!A1:M2000""), {2, 3, 4, 5,6,7,8,9,10,11,12,13}, 0))"),4)</f>
        <v>4</v>
      </c>
      <c r="W73" s="16">
        <f ca="1">IFERROR(__xludf.dummyfunction("""COMPUTED_VALUE"""),6)</f>
        <v>6</v>
      </c>
      <c r="X73" s="16">
        <f ca="1">IFERROR(__xludf.dummyfunction("""COMPUTED_VALUE"""),2)</f>
        <v>2</v>
      </c>
      <c r="Y73" s="16">
        <f ca="1">IFERROR(__xludf.dummyfunction("""COMPUTED_VALUE"""),12)</f>
        <v>12</v>
      </c>
      <c r="Z73" s="16">
        <f ca="1">IFERROR(__xludf.dummyfunction("""COMPUTED_VALUE"""),4)</f>
        <v>4</v>
      </c>
      <c r="AA73" s="30">
        <f ca="1">IFERROR(__xludf.dummyfunction("""COMPUTED_VALUE"""),3)</f>
        <v>3</v>
      </c>
      <c r="AB73" s="30">
        <f ca="1">IFERROR(__xludf.dummyfunction("""COMPUTED_VALUE"""),1)</f>
        <v>1</v>
      </c>
      <c r="AC73" s="30">
        <f ca="1">IFERROR(__xludf.dummyfunction("""COMPUTED_VALUE"""),8)</f>
        <v>8</v>
      </c>
      <c r="AD73" s="16"/>
      <c r="AE73" s="30"/>
      <c r="AF73" s="30"/>
      <c r="AG73" s="30"/>
    </row>
    <row r="74" spans="1:33" ht="26.4">
      <c r="A74" s="25"/>
      <c r="B74" s="25" t="s">
        <v>29</v>
      </c>
      <c r="C74" s="25" t="s">
        <v>310</v>
      </c>
      <c r="D74" s="25">
        <v>8</v>
      </c>
      <c r="E74" s="70" t="s">
        <v>1843</v>
      </c>
      <c r="F74" s="70" t="s">
        <v>1136</v>
      </c>
      <c r="G74" s="87" t="s">
        <v>1141</v>
      </c>
      <c r="H74" s="64" t="str">
        <f ca="1">IFERROR(__xludf.dummyfunction("IFERROR(
  VLOOKUP(G74, IMPORTRANGE(""https://docs.google.com/spreadsheets/d/14deopnvwcrKtEGCKuYXdUHJbeLDZlkiSSWWT0g7x2pM/edit#gid=849066331"", ""LU List Maths (Filter)!A:B""), 2, FALSE),
  IFERROR(
    VLOOKUP(G74, IMPORTRANGE(""https://docs.google.com/s"&amp;"preadsheets/d/14deopnvwcrKtEGCKuYXdUHJbeLDZlkiSSWWT0g7x2pM/edit#gid=849066331"", ""LU List Science (Filter)!A:B""), 2, FALSE),
    ""Not Found""
  )
)
"),"Rate compounded half yearly")</f>
        <v>Rate compounded half yearly</v>
      </c>
      <c r="I74" s="64"/>
      <c r="J74" s="100" t="str">
        <f t="shared" si="12"/>
        <v>LU000688.001</v>
      </c>
      <c r="K74" s="100" t="str">
        <f ca="1">IFERROR(__xludf.dummyfunction("VLOOKUP(J74, IMPORTRANGE(""https://docs.google.com/spreadsheets/d/1yDAaXNsi4Mr5FtRQL4tbmSdIzhx6_m4wkOD7IG-k_eo/edit#gid=0"", ""Maths!M:N""), 2, FALSE)"),"Describe the ""rate compounded half-yearly"" as the interest rate being applied twice a year to the original amount.")</f>
        <v>Describe the "rate compounded half-yearly" as the interest rate being applied twice a year to the original amount.</v>
      </c>
      <c r="L74" s="100" t="str">
        <f t="shared" si="13"/>
        <v>LU000688.002</v>
      </c>
      <c r="M74" s="100" t="str">
        <f ca="1">IFERROR(__xludf.dummyfunction("VLOOKUP(L74, IMPORTRANGE(""https://docs.google.com/spreadsheets/d/1yDAaXNsi4Mr5FtRQL4tbmSdIzhx6_m4wkOD7IG-k_eo/edit#gid=0"", ""Maths!M:N""), 2, FALSE)"),"Understand the concept of half-yearly compounding and how it differs from annual compounding")</f>
        <v>Understand the concept of half-yearly compounding and how it differs from annual compounding</v>
      </c>
      <c r="N74" s="100" t="str">
        <f t="shared" si="14"/>
        <v>LU000688.003</v>
      </c>
      <c r="O74" s="100" t="str">
        <f ca="1">IFERROR(__xludf.dummyfunction("VLOOKUP(N74, IMPORTRANGE(""https://docs.google.com/spreadsheets/d/1yDAaXNsi4Mr5FtRQL4tbmSdIzhx6_m4wkOD7IG-k_eo/edit#gid=0"", ""Maths!M:N""), 2, FALSE)"),"Apply the half-yearly compounding rate to calculate compound interest for a given principal amount and time period.")</f>
        <v>Apply the half-yearly compounding rate to calculate compound interest for a given principal amount and time period.</v>
      </c>
      <c r="P74" s="100" t="str">
        <f t="shared" si="15"/>
        <v>LU000688.004</v>
      </c>
      <c r="Q74" s="100" t="str">
        <f ca="1">IFERROR(__xludf.dummyfunction("VLOOKUP(P74, IMPORTRANGE(""https://docs.google.com/spreadsheets/d/1yDAaXNsi4Mr5FtRQL4tbmSdIzhx6_m4wkOD7IG-k_eo/edit#gid=0"", ""Maths!M:N""), 2, FALSE)"),"Analyze the impact of half-yearly compounding on financial calculations, comparing it to annual compounding")</f>
        <v>Analyze the impact of half-yearly compounding on financial calculations, comparing it to annual compounding</v>
      </c>
      <c r="R74" s="100" t="str">
        <f t="shared" si="16"/>
        <v>LU000688.005</v>
      </c>
      <c r="S74" s="100" t="str">
        <f ca="1">IFERROR(__xludf.dummyfunction("VLOOKUP(R74, IMPORTRANGE(""https://docs.google.com/spreadsheets/d/1yDAaXNsi4Mr5FtRQL4tbmSdIzhx6_m4wkOD7IG-k_eo/edit#gid=0"", ""Maths!M:N""), 2, FALSE)"),"Evaluate the advantages and disadvantages of using a half-yearly compounding rate in financial decisions")</f>
        <v>Evaluate the advantages and disadvantages of using a half-yearly compounding rate in financial decisions</v>
      </c>
      <c r="T74" s="100" t="str">
        <f t="shared" si="17"/>
        <v>LU000688.006</v>
      </c>
      <c r="U74" s="100" t="str">
        <f ca="1">IFERROR(__xludf.dummyfunction("VLOOKUP(T74, IMPORTRANGE(""https://docs.google.com/spreadsheets/d/1yDAaXNsi4Mr5FtRQL4tbmSdIzhx6_m4wkOD7IG-k_eo/edit#gid=0"", ""Maths!M:N""), 2, FALSE)"),"Create scenarios where the half-yearly compounding rate is applied to savings or loans")</f>
        <v>Create scenarios where the half-yearly compounding rate is applied to savings or loans</v>
      </c>
      <c r="V74" s="16" t="str">
        <f ca="1">IFERROR(__xludf.dummyfunction("ArrayFormula(VLOOKUP(G74, IMPORTRANGE(""https://docs.google.com/spreadsheets/d/1p7R4vtkWt5VOBim4ltsDG9KTzSjrtKXsMtQGXPHyND0/edit#gid=795171502"", ""'Filter 30_05_2024'!A1:M2000""), {2, 3, 4, 5,6,7,8,9,10,11,12,13}, 0))"),"#N/A")</f>
        <v>#N/A</v>
      </c>
      <c r="W74" s="16" t="str">
        <f ca="1">IFERROR(__xludf.dummyfunction("""COMPUTED_VALUE"""),"#N/A")</f>
        <v>#N/A</v>
      </c>
      <c r="X74" s="16" t="str">
        <f ca="1">IFERROR(__xludf.dummyfunction("""COMPUTED_VALUE"""),"#N/A")</f>
        <v>#N/A</v>
      </c>
      <c r="Y74" s="16" t="str">
        <f ca="1">IFERROR(__xludf.dummyfunction("""COMPUTED_VALUE"""),"#N/A")</f>
        <v>#N/A</v>
      </c>
      <c r="Z74" s="16" t="str">
        <f ca="1">IFERROR(__xludf.dummyfunction("""COMPUTED_VALUE"""),"#N/A")</f>
        <v>#N/A</v>
      </c>
      <c r="AA74" s="30" t="str">
        <f ca="1">IFERROR(__xludf.dummyfunction("""COMPUTED_VALUE"""),"#N/A")</f>
        <v>#N/A</v>
      </c>
      <c r="AB74" s="30" t="str">
        <f ca="1">IFERROR(__xludf.dummyfunction("""COMPUTED_VALUE"""),"#N/A")</f>
        <v>#N/A</v>
      </c>
      <c r="AC74" s="30" t="str">
        <f ca="1">IFERROR(__xludf.dummyfunction("""COMPUTED_VALUE"""),"#N/A")</f>
        <v>#N/A</v>
      </c>
      <c r="AD74" s="16" t="str">
        <f ca="1">IFERROR(__xludf.dummyfunction("""COMPUTED_VALUE"""),"#N/A")</f>
        <v>#N/A</v>
      </c>
      <c r="AE74" s="30" t="str">
        <f ca="1">IFERROR(__xludf.dummyfunction("""COMPUTED_VALUE"""),"#N/A")</f>
        <v>#N/A</v>
      </c>
      <c r="AF74" s="30" t="str">
        <f ca="1">IFERROR(__xludf.dummyfunction("""COMPUTED_VALUE"""),"#N/A")</f>
        <v>#N/A</v>
      </c>
      <c r="AG74" s="30" t="str">
        <f ca="1">IFERROR(__xludf.dummyfunction("""COMPUTED_VALUE"""),"#N/A")</f>
        <v>#N/A</v>
      </c>
    </row>
    <row r="75" spans="1:33" ht="39.6">
      <c r="A75" s="25"/>
      <c r="B75" s="25" t="s">
        <v>29</v>
      </c>
      <c r="C75" s="25" t="s">
        <v>310</v>
      </c>
      <c r="D75" s="25">
        <v>8</v>
      </c>
      <c r="E75" s="70" t="s">
        <v>1142</v>
      </c>
      <c r="F75" s="70" t="s">
        <v>1143</v>
      </c>
      <c r="G75" s="70" t="s">
        <v>1144</v>
      </c>
      <c r="H75" s="64" t="str">
        <f ca="1">IFERROR(__xludf.dummyfunction("IFERROR(
  VLOOKUP(G75, IMPORTRANGE(""https://docs.google.com/spreadsheets/d/14deopnvwcrKtEGCKuYXdUHJbeLDZlkiSSWWT0g7x2pM/edit#gid=849066331"", ""LU List Maths (Filter)!A:B""), 2, FALSE),
  IFERROR(
    VLOOKUP(G75, IMPORTRANGE(""https://docs.google.com/s"&amp;"preadsheets/d/14deopnvwcrKtEGCKuYXdUHJbeLDZlkiSSWWT0g7x2pM/edit#gid=849066331"", ""LU List Science (Filter)!A:B""), 2, FALSE),
    ""Not Found""
  )
)
"),"Definition of direct proportion")</f>
        <v>Definition of direct proportion</v>
      </c>
      <c r="I75" s="64"/>
      <c r="J75" s="100" t="str">
        <f t="shared" si="12"/>
        <v>LU000748.001</v>
      </c>
      <c r="K75" s="100" t="str">
        <f ca="1">IFERROR(__xludf.dummyfunction("VLOOKUP(J75, IMPORTRANGE(""https://docs.google.com/spreadsheets/d/1yDAaXNsi4Mr5FtRQL4tbmSdIzhx6_m4wkOD7IG-k_eo/edit#gid=0"", ""Maths!M:N""), 2, FALSE)"),"Recall the definition of direct proportion.")</f>
        <v>Recall the definition of direct proportion.</v>
      </c>
      <c r="L75" s="100" t="str">
        <f t="shared" si="13"/>
        <v>LU000748.002</v>
      </c>
      <c r="M75" s="100" t="str">
        <f ca="1">IFERROR(__xludf.dummyfunction("VLOOKUP(L75, IMPORTRANGE(""https://docs.google.com/spreadsheets/d/1yDAaXNsi4Mr5FtRQL4tbmSdIzhx6_m4wkOD7IG-k_eo/edit#gid=0"", ""Maths!M:N""), 2, FALSE)"),"Identify examples of direct proportion from real-life scenarios.")</f>
        <v>Identify examples of direct proportion from real-life scenarios.</v>
      </c>
      <c r="N75" s="100" t="str">
        <f t="shared" si="14"/>
        <v>LU000748.003</v>
      </c>
      <c r="O75" s="100" t="str">
        <f ca="1">IFERROR(__xludf.dummyfunction("VLOOKUP(N75, IMPORTRANGE(""https://docs.google.com/spreadsheets/d/1yDAaXNsi4Mr5FtRQL4tbmSdIzhx6_m4wkOD7IG-k_eo/edit#gid=0"", ""Maths!M:N""), 2, FALSE)"),"Solve mathematical problems involving direct proportion.")</f>
        <v>Solve mathematical problems involving direct proportion.</v>
      </c>
      <c r="P75" s="100" t="str">
        <f t="shared" si="15"/>
        <v>LU000748.004</v>
      </c>
      <c r="Q75" s="100" t="str">
        <f ca="1">IFERROR(__xludf.dummyfunction("VLOOKUP(P75, IMPORTRANGE(""https://docs.google.com/spreadsheets/d/1yDAaXNsi4Mr5FtRQL4tbmSdIzhx6_m4wkOD7IG-k_eo/edit#gid=0"", ""Maths!M:N""), 2, FALSE)"),"Analyze data sets to determine if two variables are in direct proportion.")</f>
        <v>Analyze data sets to determine if two variables are in direct proportion.</v>
      </c>
      <c r="R75" s="100" t="str">
        <f t="shared" si="16"/>
        <v>LU000748.005</v>
      </c>
      <c r="S75" s="100" t="str">
        <f ca="1">IFERROR(__xludf.dummyfunction("VLOOKUP(R75, IMPORTRANGE(""https://docs.google.com/spreadsheets/d/1yDAaXNsi4Mr5FtRQL4tbmSdIzhx6_m4wkOD7IG-k_eo/edit#gid=0"", ""Maths!M:N""), 2, FALSE)"),"Evaluate the validity of a given statement about direct proportion")</f>
        <v>Evaluate the validity of a given statement about direct proportion</v>
      </c>
      <c r="T75" s="100" t="str">
        <f t="shared" si="17"/>
        <v>LU000748.006</v>
      </c>
      <c r="U75" s="100" t="str">
        <f ca="1">IFERROR(__xludf.dummyfunction("VLOOKUP(T75, IMPORTRANGE(""https://docs.google.com/spreadsheets/d/1yDAaXNsi4Mr5FtRQL4tbmSdIzhx6_m4wkOD7IG-k_eo/edit#gid=0"", ""Maths!M:N""), 2, FALSE)"),"Design visual representations or diagrams to illustrate direct proportion concepts.")</f>
        <v>Design visual representations or diagrams to illustrate direct proportion concepts.</v>
      </c>
      <c r="V75" s="16">
        <f ca="1">IFERROR(__xludf.dummyfunction("ArrayFormula(VLOOKUP(G75, IMPORTRANGE(""https://docs.google.com/spreadsheets/d/1p7R4vtkWt5VOBim4ltsDG9KTzSjrtKXsMtQGXPHyND0/edit#gid=795171502"", ""'Filter 30_05_2024'!A1:M2000""), {2, 3, 4, 5,6,7,8,9,10,11,12,13}, 0))"),4)</f>
        <v>4</v>
      </c>
      <c r="W75" s="16">
        <f ca="1">IFERROR(__xludf.dummyfunction("""COMPUTED_VALUE"""),6)</f>
        <v>6</v>
      </c>
      <c r="X75" s="16">
        <f ca="1">IFERROR(__xludf.dummyfunction("""COMPUTED_VALUE"""),2)</f>
        <v>2</v>
      </c>
      <c r="Y75" s="16">
        <f ca="1">IFERROR(__xludf.dummyfunction("""COMPUTED_VALUE"""),12)</f>
        <v>12</v>
      </c>
      <c r="Z75" s="16">
        <f ca="1">IFERROR(__xludf.dummyfunction("""COMPUTED_VALUE"""),4)</f>
        <v>4</v>
      </c>
      <c r="AA75" s="30">
        <f ca="1">IFERROR(__xludf.dummyfunction("""COMPUTED_VALUE"""),3)</f>
        <v>3</v>
      </c>
      <c r="AB75" s="30">
        <f ca="1">IFERROR(__xludf.dummyfunction("""COMPUTED_VALUE"""),1)</f>
        <v>1</v>
      </c>
      <c r="AC75" s="30">
        <f ca="1">IFERROR(__xludf.dummyfunction("""COMPUTED_VALUE"""),8)</f>
        <v>8</v>
      </c>
      <c r="AD75" s="16"/>
      <c r="AE75" s="30"/>
      <c r="AF75" s="30"/>
      <c r="AG75" s="30"/>
    </row>
    <row r="76" spans="1:33" ht="39.6">
      <c r="A76" s="25"/>
      <c r="B76" s="25" t="s">
        <v>29</v>
      </c>
      <c r="C76" s="25" t="s">
        <v>310</v>
      </c>
      <c r="D76" s="25">
        <v>8</v>
      </c>
      <c r="E76" s="70" t="s">
        <v>1142</v>
      </c>
      <c r="F76" s="70" t="s">
        <v>1143</v>
      </c>
      <c r="G76" s="64" t="s">
        <v>1145</v>
      </c>
      <c r="H76" s="64" t="str">
        <f ca="1">IFERROR(__xludf.dummyfunction("IFERROR(
  VLOOKUP(G76, IMPORTRANGE(""https://docs.google.com/spreadsheets/d/14deopnvwcrKtEGCKuYXdUHJbeLDZlkiSSWWT0g7x2pM/edit#gid=849066331"", ""LU List Maths (Filter)!A:B""), 2, FALSE),
  IFERROR(
    VLOOKUP(G76, IMPORTRANGE(""https://docs.google.com/s"&amp;"preadsheets/d/14deopnvwcrKtEGCKuYXdUHJbeLDZlkiSSWWT0g7x2pM/edit#gid=849066331"", ""LU List Science (Filter)!A:B""), 2, FALSE),
    ""Not Found""
  )
)
"),"Constant of proportionality for direct proportional relationships")</f>
        <v>Constant of proportionality for direct proportional relationships</v>
      </c>
      <c r="I76" s="64"/>
      <c r="J76" s="100" t="str">
        <f t="shared" si="12"/>
        <v>LU000750.001</v>
      </c>
      <c r="K76" s="100" t="str">
        <f ca="1">IFERROR(__xludf.dummyfunction("VLOOKUP(J76, IMPORTRANGE(""https://docs.google.com/spreadsheets/d/1yDAaXNsi4Mr5FtRQL4tbmSdIzhx6_m4wkOD7IG-k_eo/edit#gid=0"", ""Maths!M:N""), 2, FALSE)"),"Memorize the formula to calculate the constant of proportionality in a direct proportional relationship.")</f>
        <v>Memorize the formula to calculate the constant of proportionality in a direct proportional relationship.</v>
      </c>
      <c r="L76" s="100" t="str">
        <f t="shared" si="13"/>
        <v>LU000750.002</v>
      </c>
      <c r="M76" s="100" t="str">
        <f ca="1">IFERROR(__xludf.dummyfunction("VLOOKUP(L76, IMPORTRANGE(""https://docs.google.com/spreadsheets/d/1yDAaXNsi4Mr5FtRQL4tbmSdIzhx6_m4wkOD7IG-k_eo/edit#gid=0"", ""Maths!M:N""), 2, FALSE)"),"Describe how two quantities in direct proportion maintain a constant ratio.")</f>
        <v>Describe how two quantities in direct proportion maintain a constant ratio.</v>
      </c>
      <c r="N76" s="100" t="str">
        <f t="shared" si="14"/>
        <v>LU000750.003</v>
      </c>
      <c r="O76" s="100" t="str">
        <f ca="1">IFERROR(__xludf.dummyfunction("VLOOKUP(N76, IMPORTRANGE(""https://docs.google.com/spreadsheets/d/1yDAaXNsi4Mr5FtRQL4tbmSdIzhx6_m4wkOD7IG-k_eo/edit#gid=0"", ""Maths!M:N""), 2, FALSE)"),"Calculate the constant of proportionality for a given set of data in a direct proportional relationship.")</f>
        <v>Calculate the constant of proportionality for a given set of data in a direct proportional relationship.</v>
      </c>
      <c r="P76" s="100" t="str">
        <f t="shared" si="15"/>
        <v>LU000750.004</v>
      </c>
      <c r="Q76" s="100" t="str">
        <f ca="1">IFERROR(__xludf.dummyfunction("VLOOKUP(P76, IMPORTRANGE(""https://docs.google.com/spreadsheets/d/1yDAaXNsi4Mr5FtRQL4tbmSdIzhx6_m4wkOD7IG-k_eo/edit#gid=0"", ""Maths!M:N""), 2, FALSE)"),"Analyse real-world scenarios that exhibit direct proportional relationships.")</f>
        <v>Analyse real-world scenarios that exhibit direct proportional relationships.</v>
      </c>
      <c r="R76" s="100" t="str">
        <f t="shared" si="16"/>
        <v>LU000750.005</v>
      </c>
      <c r="S76" s="100" t="str">
        <f ca="1">IFERROR(__xludf.dummyfunction("VLOOKUP(R76, IMPORTRANGE(""https://docs.google.com/spreadsheets/d/1yDAaXNsi4Mr5FtRQL4tbmSdIzhx6_m4wkOD7IG-k_eo/edit#gid=0"", ""Maths!M:N""), 2, FALSE)"),"Assess the reliability of using the constant of proportionality to make predictions and solve problems in various contexts.")</f>
        <v>Assess the reliability of using the constant of proportionality to make predictions and solve problems in various contexts.</v>
      </c>
      <c r="T76" s="100" t="str">
        <f t="shared" si="17"/>
        <v>LU000750.006</v>
      </c>
      <c r="U76" s="100" t="str">
        <f ca="1">IFERROR(__xludf.dummyfunction("VLOOKUP(T76, IMPORTRANGE(""https://docs.google.com/spreadsheets/d/1yDAaXNsi4Mr5FtRQL4tbmSdIzhx6_m4wkOD7IG-k_eo/edit#gid=0"", ""Maths!M:N""), 2, FALSE)"),"Invent a visual representation or model to illustrate how the constant of proportionality works in direct proportional relationships.")</f>
        <v>Invent a visual representation or model to illustrate how the constant of proportionality works in direct proportional relationships.</v>
      </c>
      <c r="V76" s="16">
        <f ca="1">IFERROR(__xludf.dummyfunction("ArrayFormula(VLOOKUP(G76, IMPORTRANGE(""https://docs.google.com/spreadsheets/d/1p7R4vtkWt5VOBim4ltsDG9KTzSjrtKXsMtQGXPHyND0/edit#gid=795171502"", ""'Filter 30_05_2024'!A1:M2000""), {2, 3, 4, 5,6,7,8,9,10,11,12,13}, 0))"),4)</f>
        <v>4</v>
      </c>
      <c r="W76" s="16">
        <f ca="1">IFERROR(__xludf.dummyfunction("""COMPUTED_VALUE"""),6)</f>
        <v>6</v>
      </c>
      <c r="X76" s="16">
        <f ca="1">IFERROR(__xludf.dummyfunction("""COMPUTED_VALUE"""),2)</f>
        <v>2</v>
      </c>
      <c r="Y76" s="16">
        <f ca="1">IFERROR(__xludf.dummyfunction("""COMPUTED_VALUE"""),12)</f>
        <v>12</v>
      </c>
      <c r="Z76" s="16">
        <f ca="1">IFERROR(__xludf.dummyfunction("""COMPUTED_VALUE"""),4)</f>
        <v>4</v>
      </c>
      <c r="AA76" s="30">
        <f ca="1">IFERROR(__xludf.dummyfunction("""COMPUTED_VALUE"""),3)</f>
        <v>3</v>
      </c>
      <c r="AB76" s="30">
        <f ca="1">IFERROR(__xludf.dummyfunction("""COMPUTED_VALUE"""),1)</f>
        <v>1</v>
      </c>
      <c r="AC76" s="30">
        <f ca="1">IFERROR(__xludf.dummyfunction("""COMPUTED_VALUE"""),8)</f>
        <v>8</v>
      </c>
      <c r="AD76" s="16"/>
      <c r="AE76" s="30"/>
      <c r="AF76" s="30"/>
      <c r="AG76" s="30"/>
    </row>
    <row r="77" spans="1:33" ht="39.6">
      <c r="A77" s="25"/>
      <c r="B77" s="25" t="s">
        <v>29</v>
      </c>
      <c r="C77" s="25" t="s">
        <v>310</v>
      </c>
      <c r="D77" s="25">
        <v>8</v>
      </c>
      <c r="E77" s="70" t="s">
        <v>1142</v>
      </c>
      <c r="F77" s="70" t="s">
        <v>1143</v>
      </c>
      <c r="G77" s="64" t="s">
        <v>1146</v>
      </c>
      <c r="H77" s="64" t="str">
        <f ca="1">IFERROR(__xludf.dummyfunction("IFERROR(
  VLOOKUP(G77, IMPORTRANGE(""https://docs.google.com/spreadsheets/d/14deopnvwcrKtEGCKuYXdUHJbeLDZlkiSSWWT0g7x2pM/edit#gid=849066331"", ""LU List Maths (Filter)!A:B""), 2, FALSE),
  IFERROR(
    VLOOKUP(G77, IMPORTRANGE(""https://docs.google.com/s"&amp;"preadsheets/d/14deopnvwcrKtEGCKuYXdUHJbeLDZlkiSSWWT0g7x2pM/edit#gid=849066331"", ""LU List Science (Filter)!A:B""), 2, FALSE),
    ""Not Found""
  )
)
"),"Interpret tables of direct proportional relationships")</f>
        <v>Interpret tables of direct proportional relationships</v>
      </c>
      <c r="I77" s="64"/>
      <c r="J77" s="100" t="str">
        <f t="shared" si="12"/>
        <v>LU000754.001</v>
      </c>
      <c r="K77" s="100" t="str">
        <f ca="1">IFERROR(__xludf.dummyfunction("VLOOKUP(J77, IMPORTRANGE(""https://docs.google.com/spreadsheets/d/1yDAaXNsi4Mr5FtRQL4tbmSdIzhx6_m4wkOD7IG-k_eo/edit#gid=0"", ""Maths!M:N""), 2, FALSE)"),"#N/A")</f>
        <v>#N/A</v>
      </c>
      <c r="L77" s="100" t="str">
        <f t="shared" si="13"/>
        <v>LU000754.002</v>
      </c>
      <c r="M77" s="100" t="str">
        <f ca="1">IFERROR(__xludf.dummyfunction("VLOOKUP(L77, IMPORTRANGE(""https://docs.google.com/spreadsheets/d/1yDAaXNsi4Mr5FtRQL4tbmSdIzhx6_m4wkOD7IG-k_eo/edit#gid=0"", ""Maths!M:N""), 2, FALSE)"),"Understand the concept of direct proportional relationships and how they are represented in tabular form.")</f>
        <v>Understand the concept of direct proportional relationships and how they are represented in tabular form.</v>
      </c>
      <c r="N77" s="100" t="str">
        <f t="shared" si="14"/>
        <v>LU000754.003</v>
      </c>
      <c r="O77" s="100" t="str">
        <f ca="1">IFERROR(__xludf.dummyfunction("VLOOKUP(N77, IMPORTRANGE(""https://docs.google.com/spreadsheets/d/1yDAaXNsi4Mr5FtRQL4tbmSdIzhx6_m4wkOD7IG-k_eo/edit#gid=0"", ""Maths!M:N""), 2, FALSE)"),"Observe the data in the tabular form and determine which pair of variables are directly proportional")</f>
        <v>Observe the data in the tabular form and determine which pair of variables are directly proportional</v>
      </c>
      <c r="P77" s="100" t="str">
        <f t="shared" si="15"/>
        <v>LU000754.004</v>
      </c>
      <c r="Q77" s="100" t="str">
        <f ca="1">IFERROR(__xludf.dummyfunction("VLOOKUP(P77, IMPORTRANGE(""https://docs.google.com/spreadsheets/d/1yDAaXNsi4Mr5FtRQL4tbmSdIzhx6_m4wkOD7IG-k_eo/edit#gid=0"", ""Maths!M:N""), 2, FALSE)"),"Complete a given table showing two direct proportional quantities and answer questions based on them.")</f>
        <v>Complete a given table showing two direct proportional quantities and answer questions based on them.</v>
      </c>
      <c r="R77" s="100" t="str">
        <f t="shared" si="16"/>
        <v>LU000754.005</v>
      </c>
      <c r="S77" s="100" t="str">
        <f ca="1">IFERROR(__xludf.dummyfunction("VLOOKUP(R77, IMPORTRANGE(""https://docs.google.com/spreadsheets/d/1yDAaXNsi4Mr5FtRQL4tbmSdIzhx6_m4wkOD7IG-k_eo/edit#gid=0"", ""Maths!M:N""), 2, FALSE)"),"Evaluate the completeness and accuracy of a given table that represents two directly proportional quantities.")</f>
        <v>Evaluate the completeness and accuracy of a given table that represents two directly proportional quantities.</v>
      </c>
      <c r="T77" s="100" t="str">
        <f t="shared" si="17"/>
        <v>LU000754.006</v>
      </c>
      <c r="U77" s="100" t="str">
        <f ca="1">IFERROR(__xludf.dummyfunction("VLOOKUP(T77, IMPORTRANGE(""https://docs.google.com/spreadsheets/d/1yDAaXNsi4Mr5FtRQL4tbmSdIzhx6_m4wkOD7IG-k_eo/edit#gid=0"", ""Maths!M:N""), 2, FALSE)"),"Create a table that represents two quantities in a direct proportional relationship, ensuring that the table format accurately reflects the concept of direct proportionality.")</f>
        <v>Create a table that represents two quantities in a direct proportional relationship, ensuring that the table format accurately reflects the concept of direct proportionality.</v>
      </c>
      <c r="V77" s="16">
        <f ca="1">IFERROR(__xludf.dummyfunction("ArrayFormula(VLOOKUP(G77, IMPORTRANGE(""https://docs.google.com/spreadsheets/d/1p7R4vtkWt5VOBim4ltsDG9KTzSjrtKXsMtQGXPHyND0/edit#gid=795171502"", ""'Filter 30_05_2024'!A1:M2000""), {2, 3, 4, 5,6,7,8,9,10,11,12,13}, 0))"),4)</f>
        <v>4</v>
      </c>
      <c r="W77" s="16">
        <f ca="1">IFERROR(__xludf.dummyfunction("""COMPUTED_VALUE"""),6)</f>
        <v>6</v>
      </c>
      <c r="X77" s="16">
        <f ca="1">IFERROR(__xludf.dummyfunction("""COMPUTED_VALUE"""),2)</f>
        <v>2</v>
      </c>
      <c r="Y77" s="16">
        <f ca="1">IFERROR(__xludf.dummyfunction("""COMPUTED_VALUE"""),12)</f>
        <v>12</v>
      </c>
      <c r="Z77" s="16">
        <f ca="1">IFERROR(__xludf.dummyfunction("""COMPUTED_VALUE"""),4)</f>
        <v>4</v>
      </c>
      <c r="AA77" s="30">
        <f ca="1">IFERROR(__xludf.dummyfunction("""COMPUTED_VALUE"""),3)</f>
        <v>3</v>
      </c>
      <c r="AB77" s="30">
        <f ca="1">IFERROR(__xludf.dummyfunction("""COMPUTED_VALUE"""),1)</f>
        <v>1</v>
      </c>
      <c r="AC77" s="30">
        <f ca="1">IFERROR(__xludf.dummyfunction("""COMPUTED_VALUE"""),8)</f>
        <v>8</v>
      </c>
      <c r="AD77" s="16"/>
      <c r="AE77" s="30"/>
      <c r="AF77" s="30"/>
      <c r="AG77" s="30"/>
    </row>
    <row r="78" spans="1:33" ht="39.6">
      <c r="A78" s="25"/>
      <c r="B78" s="25" t="s">
        <v>29</v>
      </c>
      <c r="C78" s="25" t="s">
        <v>310</v>
      </c>
      <c r="D78" s="25">
        <v>8</v>
      </c>
      <c r="E78" s="70" t="s">
        <v>1142</v>
      </c>
      <c r="F78" s="70" t="s">
        <v>1147</v>
      </c>
      <c r="G78" s="64" t="s">
        <v>1148</v>
      </c>
      <c r="H78" s="64" t="str">
        <f ca="1">IFERROR(__xludf.dummyfunction("IFERROR(
  VLOOKUP(G78, IMPORTRANGE(""https://docs.google.com/spreadsheets/d/14deopnvwcrKtEGCKuYXdUHJbeLDZlkiSSWWT0g7x2pM/edit#gid=849066331"", ""LU List Maths (Filter)!A:B""), 2, FALSE),
  IFERROR(
    VLOOKUP(G78, IMPORTRANGE(""https://docs.google.com/s"&amp;"preadsheets/d/14deopnvwcrKtEGCKuYXdUHJbeLDZlkiSSWWT0g7x2pM/edit#gid=849066331"", ""LU List Science (Filter)!A:B""), 2, FALSE),
    ""Not Found""
  )
)
"),"Definition of inverse proportion")</f>
        <v>Definition of inverse proportion</v>
      </c>
      <c r="I78" s="64"/>
      <c r="J78" s="100" t="str">
        <f t="shared" si="12"/>
        <v>LU000749.001</v>
      </c>
      <c r="K78" s="100" t="str">
        <f ca="1">IFERROR(__xludf.dummyfunction("VLOOKUP(J78, IMPORTRANGE(""https://docs.google.com/spreadsheets/d/1yDAaXNsi4Mr5FtRQL4tbmSdIzhx6_m4wkOD7IG-k_eo/edit#gid=0"", ""Maths!M:N""), 2, FALSE)"),"Recall the definition of inverse proportion.")</f>
        <v>Recall the definition of inverse proportion.</v>
      </c>
      <c r="L78" s="100" t="str">
        <f t="shared" si="13"/>
        <v>LU000749.002</v>
      </c>
      <c r="M78" s="100" t="str">
        <f ca="1">IFERROR(__xludf.dummyfunction("VLOOKUP(L78, IMPORTRANGE(""https://docs.google.com/spreadsheets/d/1yDAaXNsi4Mr5FtRQL4tbmSdIzhx6_m4wkOD7IG-k_eo/edit#gid=0"", ""Maths!M:N""), 2, FALSE)"),"Identify examples of inverse proportion from real-life scenarios.")</f>
        <v>Identify examples of inverse proportion from real-life scenarios.</v>
      </c>
      <c r="N78" s="100" t="str">
        <f t="shared" si="14"/>
        <v>LU000749.003</v>
      </c>
      <c r="O78" s="100" t="str">
        <f ca="1">IFERROR(__xludf.dummyfunction("VLOOKUP(N78, IMPORTRANGE(""https://docs.google.com/spreadsheets/d/1yDAaXNsi4Mr5FtRQL4tbmSdIzhx6_m4wkOD7IG-k_eo/edit#gid=0"", ""Maths!M:N""), 2, FALSE)"),"Solve mathematical problems involving inverse proportion.")</f>
        <v>Solve mathematical problems involving inverse proportion.</v>
      </c>
      <c r="P78" s="100" t="str">
        <f t="shared" si="15"/>
        <v>LU000749.004</v>
      </c>
      <c r="Q78" s="100" t="str">
        <f ca="1">IFERROR(__xludf.dummyfunction("VLOOKUP(P78, IMPORTRANGE(""https://docs.google.com/spreadsheets/d/1yDAaXNsi4Mr5FtRQL4tbmSdIzhx6_m4wkOD7IG-k_eo/edit#gid=0"", ""Maths!M:N""), 2, FALSE)"),"Analyze data sets to determine if two variables are in inverse proportion.")</f>
        <v>Analyze data sets to determine if two variables are in inverse proportion.</v>
      </c>
      <c r="R78" s="100" t="str">
        <f t="shared" si="16"/>
        <v>LU000749.005</v>
      </c>
      <c r="S78" s="100" t="str">
        <f ca="1">IFERROR(__xludf.dummyfunction("VLOOKUP(R78, IMPORTRANGE(""https://docs.google.com/spreadsheets/d/1yDAaXNsi4Mr5FtRQL4tbmSdIzhx6_m4wkOD7IG-k_eo/edit#gid=0"", ""Maths!M:N""), 2, FALSE)"),"Evaluate the validity of a given statement about inverse proportion")</f>
        <v>Evaluate the validity of a given statement about inverse proportion</v>
      </c>
      <c r="T78" s="100" t="str">
        <f t="shared" si="17"/>
        <v>LU000749.006</v>
      </c>
      <c r="U78" s="100" t="str">
        <f ca="1">IFERROR(__xludf.dummyfunction("VLOOKUP(T78, IMPORTRANGE(""https://docs.google.com/spreadsheets/d/1yDAaXNsi4Mr5FtRQL4tbmSdIzhx6_m4wkOD7IG-k_eo/edit#gid=0"", ""Maths!M:N""), 2, FALSE)"),"Design visual representations or diagrams to illustrate inverse proportion concepts.")</f>
        <v>Design visual representations or diagrams to illustrate inverse proportion concepts.</v>
      </c>
      <c r="V78" s="16">
        <f ca="1">IFERROR(__xludf.dummyfunction("ArrayFormula(VLOOKUP(G78, IMPORTRANGE(""https://docs.google.com/spreadsheets/d/1p7R4vtkWt5VOBim4ltsDG9KTzSjrtKXsMtQGXPHyND0/edit#gid=795171502"", ""'Filter 30_05_2024'!A1:M2000""), {2, 3, 4, 5,6,7,8,9,10,11,12,13}, 0))"),4)</f>
        <v>4</v>
      </c>
      <c r="W78" s="16">
        <f ca="1">IFERROR(__xludf.dummyfunction("""COMPUTED_VALUE"""),6)</f>
        <v>6</v>
      </c>
      <c r="X78" s="16">
        <f ca="1">IFERROR(__xludf.dummyfunction("""COMPUTED_VALUE"""),2)</f>
        <v>2</v>
      </c>
      <c r="Y78" s="16">
        <f ca="1">IFERROR(__xludf.dummyfunction("""COMPUTED_VALUE"""),12)</f>
        <v>12</v>
      </c>
      <c r="Z78" s="16">
        <f ca="1">IFERROR(__xludf.dummyfunction("""COMPUTED_VALUE"""),4)</f>
        <v>4</v>
      </c>
      <c r="AA78" s="30">
        <f ca="1">IFERROR(__xludf.dummyfunction("""COMPUTED_VALUE"""),3)</f>
        <v>3</v>
      </c>
      <c r="AB78" s="30">
        <f ca="1">IFERROR(__xludf.dummyfunction("""COMPUTED_VALUE"""),1)</f>
        <v>1</v>
      </c>
      <c r="AC78" s="30">
        <f ca="1">IFERROR(__xludf.dummyfunction("""COMPUTED_VALUE"""),8)</f>
        <v>8</v>
      </c>
      <c r="AD78" s="16"/>
      <c r="AE78" s="30"/>
      <c r="AF78" s="30"/>
      <c r="AG78" s="30"/>
    </row>
    <row r="79" spans="1:33" ht="39.6">
      <c r="A79" s="25"/>
      <c r="B79" s="25" t="s">
        <v>29</v>
      </c>
      <c r="C79" s="25" t="s">
        <v>310</v>
      </c>
      <c r="D79" s="25">
        <v>8</v>
      </c>
      <c r="E79" s="70" t="s">
        <v>1142</v>
      </c>
      <c r="F79" s="70" t="s">
        <v>1147</v>
      </c>
      <c r="G79" s="64" t="s">
        <v>1149</v>
      </c>
      <c r="H79" s="64" t="str">
        <f ca="1">IFERROR(__xludf.dummyfunction("IFERROR(
  VLOOKUP(G79, IMPORTRANGE(""https://docs.google.com/spreadsheets/d/14deopnvwcrKtEGCKuYXdUHJbeLDZlkiSSWWT0g7x2pM/edit#gid=849066331"", ""LU List Maths (Filter)!A:B""), 2, FALSE),
  IFERROR(
    VLOOKUP(G79, IMPORTRANGE(""https://docs.google.com/s"&amp;"preadsheets/d/14deopnvwcrKtEGCKuYXdUHJbeLDZlkiSSWWT0g7x2pM/edit#gid=849066331"", ""LU List Science (Filter)!A:B""), 2, FALSE),
    ""Not Found""
  )
)
"),"Constant of proportionality for inverse proportional relationships")</f>
        <v>Constant of proportionality for inverse proportional relationships</v>
      </c>
      <c r="I79" s="64"/>
      <c r="J79" s="100" t="str">
        <f t="shared" si="12"/>
        <v>LU000753.001</v>
      </c>
      <c r="K79" s="100" t="str">
        <f ca="1">IFERROR(__xludf.dummyfunction("VLOOKUP(J79, IMPORTRANGE(""https://docs.google.com/spreadsheets/d/1yDAaXNsi4Mr5FtRQL4tbmSdIzhx6_m4wkOD7IG-k_eo/edit#gid=0"", ""Maths!M:N""), 2, FALSE)"),"Memorize the formula to calculate the constant of proportionality in a inverse proportional relationship.")</f>
        <v>Memorize the formula to calculate the constant of proportionality in a inverse proportional relationship.</v>
      </c>
      <c r="L79" s="100" t="str">
        <f t="shared" si="13"/>
        <v>LU000753.002</v>
      </c>
      <c r="M79" s="100" t="str">
        <f ca="1">IFERROR(__xludf.dummyfunction("VLOOKUP(L79, IMPORTRANGE(""https://docs.google.com/spreadsheets/d/1yDAaXNsi4Mr5FtRQL4tbmSdIzhx6_m4wkOD7IG-k_eo/edit#gid=0"", ""Maths!M:N""), 2, FALSE)"),"Describe how two quantities in inverse proportion maintain a constant ratio.")</f>
        <v>Describe how two quantities in inverse proportion maintain a constant ratio.</v>
      </c>
      <c r="N79" s="100" t="str">
        <f t="shared" si="14"/>
        <v>LU000753.003</v>
      </c>
      <c r="O79" s="100" t="str">
        <f ca="1">IFERROR(__xludf.dummyfunction("VLOOKUP(N79, IMPORTRANGE(""https://docs.google.com/spreadsheets/d/1yDAaXNsi4Mr5FtRQL4tbmSdIzhx6_m4wkOD7IG-k_eo/edit#gid=0"", ""Maths!M:N""), 2, FALSE)"),"Calculate the constant of proportionality for a given set of data in a inverse proportional relationship.")</f>
        <v>Calculate the constant of proportionality for a given set of data in a inverse proportional relationship.</v>
      </c>
      <c r="P79" s="100" t="str">
        <f t="shared" si="15"/>
        <v>LU000753.004</v>
      </c>
      <c r="Q79" s="100" t="str">
        <f ca="1">IFERROR(__xludf.dummyfunction("VLOOKUP(P79, IMPORTRANGE(""https://docs.google.com/spreadsheets/d/1yDAaXNsi4Mr5FtRQL4tbmSdIzhx6_m4wkOD7IG-k_eo/edit#gid=0"", ""Maths!M:N""), 2, FALSE)"),"Analyse real-world scenarios that exhibit inverse proportional relationships")</f>
        <v>Analyse real-world scenarios that exhibit inverse proportional relationships</v>
      </c>
      <c r="R79" s="100" t="str">
        <f t="shared" si="16"/>
        <v>LU000753.005</v>
      </c>
      <c r="S79" s="100" t="str">
        <f ca="1">IFERROR(__xludf.dummyfunction("VLOOKUP(R79, IMPORTRANGE(""https://docs.google.com/spreadsheets/d/1yDAaXNsi4Mr5FtRQL4tbmSdIzhx6_m4wkOD7IG-k_eo/edit#gid=0"", ""Maths!M:N""), 2, FALSE)"),"Assess the reliability of using the constant of proportionality in a inverse proportional relationship to make predictions and solve problems in various contexts.")</f>
        <v>Assess the reliability of using the constant of proportionality in a inverse proportional relationship to make predictions and solve problems in various contexts.</v>
      </c>
      <c r="T79" s="100" t="str">
        <f t="shared" si="17"/>
        <v>LU000753.006</v>
      </c>
      <c r="U79" s="100" t="str">
        <f ca="1">IFERROR(__xludf.dummyfunction("VLOOKUP(T79, IMPORTRANGE(""https://docs.google.com/spreadsheets/d/1yDAaXNsi4Mr5FtRQL4tbmSdIzhx6_m4wkOD7IG-k_eo/edit#gid=0"", ""Maths!M:N""), 2, FALSE)"),"Invent a visual representation or model to illustrate how the constant of proportionality works in inverse proportional relationships.")</f>
        <v>Invent a visual representation or model to illustrate how the constant of proportionality works in inverse proportional relationships.</v>
      </c>
      <c r="V79" s="16">
        <f ca="1">IFERROR(__xludf.dummyfunction("ArrayFormula(VLOOKUP(G79, IMPORTRANGE(""https://docs.google.com/spreadsheets/d/1p7R4vtkWt5VOBim4ltsDG9KTzSjrtKXsMtQGXPHyND0/edit#gid=795171502"", ""'Filter 30_05_2024'!A1:M2000""), {2, 3, 4, 5,6,7,8,9,10,11,12,13}, 0))"),4)</f>
        <v>4</v>
      </c>
      <c r="W79" s="16">
        <f ca="1">IFERROR(__xludf.dummyfunction("""COMPUTED_VALUE"""),6)</f>
        <v>6</v>
      </c>
      <c r="X79" s="16">
        <f ca="1">IFERROR(__xludf.dummyfunction("""COMPUTED_VALUE"""),2)</f>
        <v>2</v>
      </c>
      <c r="Y79" s="16">
        <f ca="1">IFERROR(__xludf.dummyfunction("""COMPUTED_VALUE"""),12)</f>
        <v>12</v>
      </c>
      <c r="Z79" s="16">
        <f ca="1">IFERROR(__xludf.dummyfunction("""COMPUTED_VALUE"""),4)</f>
        <v>4</v>
      </c>
      <c r="AA79" s="30">
        <f ca="1">IFERROR(__xludf.dummyfunction("""COMPUTED_VALUE"""),3)</f>
        <v>3</v>
      </c>
      <c r="AB79" s="30">
        <f ca="1">IFERROR(__xludf.dummyfunction("""COMPUTED_VALUE"""),1)</f>
        <v>1</v>
      </c>
      <c r="AC79" s="30">
        <f ca="1">IFERROR(__xludf.dummyfunction("""COMPUTED_VALUE"""),8)</f>
        <v>8</v>
      </c>
      <c r="AD79" s="16"/>
      <c r="AE79" s="30"/>
      <c r="AF79" s="30"/>
      <c r="AG79" s="30"/>
    </row>
    <row r="80" spans="1:33" ht="39.6">
      <c r="A80" s="25"/>
      <c r="B80" s="25" t="s">
        <v>29</v>
      </c>
      <c r="C80" s="25" t="s">
        <v>310</v>
      </c>
      <c r="D80" s="25">
        <v>8</v>
      </c>
      <c r="E80" s="70" t="s">
        <v>1142</v>
      </c>
      <c r="F80" s="70" t="s">
        <v>1147</v>
      </c>
      <c r="G80" s="64" t="s">
        <v>1150</v>
      </c>
      <c r="H80" s="64" t="str">
        <f ca="1">IFERROR(__xludf.dummyfunction("IFERROR(
  VLOOKUP(G80, IMPORTRANGE(""https://docs.google.com/spreadsheets/d/14deopnvwcrKtEGCKuYXdUHJbeLDZlkiSSWWT0g7x2pM/edit#gid=849066331"", ""LU List Maths (Filter)!A:B""), 2, FALSE),
  IFERROR(
    VLOOKUP(G80, IMPORTRANGE(""https://docs.google.com/s"&amp;"preadsheets/d/14deopnvwcrKtEGCKuYXdUHJbeLDZlkiSSWWT0g7x2pM/edit#gid=849066331"", ""LU List Science (Filter)!A:B""), 2, FALSE),
    ""Not Found""
  )
)
"),"Interpret tables of inverse proportional relationships")</f>
        <v>Interpret tables of inverse proportional relationships</v>
      </c>
      <c r="I80" s="64"/>
      <c r="J80" s="100" t="str">
        <f t="shared" si="12"/>
        <v>LU000755.001</v>
      </c>
      <c r="K80" s="100" t="str">
        <f ca="1">IFERROR(__xludf.dummyfunction("VLOOKUP(J80, IMPORTRANGE(""https://docs.google.com/spreadsheets/d/1yDAaXNsi4Mr5FtRQL4tbmSdIzhx6_m4wkOD7IG-k_eo/edit#gid=0"", ""Maths!M:N""), 2, FALSE)"),"#N/A")</f>
        <v>#N/A</v>
      </c>
      <c r="L80" s="100" t="str">
        <f t="shared" si="13"/>
        <v>LU000755.002</v>
      </c>
      <c r="M80" s="100" t="str">
        <f ca="1">IFERROR(__xludf.dummyfunction("VLOOKUP(L80, IMPORTRANGE(""https://docs.google.com/spreadsheets/d/1yDAaXNsi4Mr5FtRQL4tbmSdIzhx6_m4wkOD7IG-k_eo/edit#gid=0"", ""Maths!M:N""), 2, FALSE)"),"Understand the concept of inverse proportional relationships and how they are represented in tabular form.")</f>
        <v>Understand the concept of inverse proportional relationships and how they are represented in tabular form.</v>
      </c>
      <c r="N80" s="100" t="str">
        <f t="shared" si="14"/>
        <v>LU000755.003</v>
      </c>
      <c r="O80" s="100" t="str">
        <f ca="1">IFERROR(__xludf.dummyfunction("VLOOKUP(N80, IMPORTRANGE(""https://docs.google.com/spreadsheets/d/1yDAaXNsi4Mr5FtRQL4tbmSdIzhx6_m4wkOD7IG-k_eo/edit#gid=0"", ""Maths!M:N""), 2, FALSE)"),"Observe the data in the tabular form and determine which pair of variables are inversely proportional")</f>
        <v>Observe the data in the tabular form and determine which pair of variables are inversely proportional</v>
      </c>
      <c r="P80" s="100" t="str">
        <f t="shared" si="15"/>
        <v>LU000755.004</v>
      </c>
      <c r="Q80" s="100" t="str">
        <f ca="1">IFERROR(__xludf.dummyfunction("VLOOKUP(P80, IMPORTRANGE(""https://docs.google.com/spreadsheets/d/1yDAaXNsi4Mr5FtRQL4tbmSdIzhx6_m4wkOD7IG-k_eo/edit#gid=0"", ""Maths!M:N""), 2, FALSE)"),"Complete a given table showing two inverse proportional quantities and answer questions based on them.")</f>
        <v>Complete a given table showing two inverse proportional quantities and answer questions based on them.</v>
      </c>
      <c r="R80" s="100" t="str">
        <f t="shared" si="16"/>
        <v>LU000755.005</v>
      </c>
      <c r="S80" s="100" t="str">
        <f ca="1">IFERROR(__xludf.dummyfunction("VLOOKUP(R80, IMPORTRANGE(""https://docs.google.com/spreadsheets/d/1yDAaXNsi4Mr5FtRQL4tbmSdIzhx6_m4wkOD7IG-k_eo/edit#gid=0"", ""Maths!M:N""), 2, FALSE)"),"Evaluate the completeness and accuracy of a given table that represents two inversely proportional quantities.")</f>
        <v>Evaluate the completeness and accuracy of a given table that represents two inversely proportional quantities.</v>
      </c>
      <c r="T80" s="100" t="str">
        <f t="shared" si="17"/>
        <v>LU000755.006</v>
      </c>
      <c r="U80" s="100" t="str">
        <f ca="1">IFERROR(__xludf.dummyfunction("VLOOKUP(T80, IMPORTRANGE(""https://docs.google.com/spreadsheets/d/1yDAaXNsi4Mr5FtRQL4tbmSdIzhx6_m4wkOD7IG-k_eo/edit#gid=0"", ""Maths!M:N""), 2, FALSE)"),"Create a table that represents two quantities in a inverse proportional relationship, ensuring that the table format accurately reflects the concept of direct proportionality.")</f>
        <v>Create a table that represents two quantities in a inverse proportional relationship, ensuring that the table format accurately reflects the concept of direct proportionality.</v>
      </c>
      <c r="V80" s="16">
        <f ca="1">IFERROR(__xludf.dummyfunction("ArrayFormula(VLOOKUP(G80, IMPORTRANGE(""https://docs.google.com/spreadsheets/d/1p7R4vtkWt5VOBim4ltsDG9KTzSjrtKXsMtQGXPHyND0/edit#gid=795171502"", ""'Filter 30_05_2024'!A1:M2000""), {2, 3, 4, 5,6,7,8,9,10,11,12,13}, 0))"),4)</f>
        <v>4</v>
      </c>
      <c r="W80" s="16">
        <f ca="1">IFERROR(__xludf.dummyfunction("""COMPUTED_VALUE"""),6)</f>
        <v>6</v>
      </c>
      <c r="X80" s="16">
        <f ca="1">IFERROR(__xludf.dummyfunction("""COMPUTED_VALUE"""),2)</f>
        <v>2</v>
      </c>
      <c r="Y80" s="16">
        <f ca="1">IFERROR(__xludf.dummyfunction("""COMPUTED_VALUE"""),12)</f>
        <v>12</v>
      </c>
      <c r="Z80" s="16">
        <f ca="1">IFERROR(__xludf.dummyfunction("""COMPUTED_VALUE"""),4)</f>
        <v>4</v>
      </c>
      <c r="AA80" s="30">
        <f ca="1">IFERROR(__xludf.dummyfunction("""COMPUTED_VALUE"""),3)</f>
        <v>3</v>
      </c>
      <c r="AB80" s="30">
        <f ca="1">IFERROR(__xludf.dummyfunction("""COMPUTED_VALUE"""),1)</f>
        <v>1</v>
      </c>
      <c r="AC80" s="30">
        <f ca="1">IFERROR(__xludf.dummyfunction("""COMPUTED_VALUE"""),8)</f>
        <v>8</v>
      </c>
      <c r="AD80" s="16"/>
      <c r="AE80" s="30"/>
      <c r="AF80" s="30"/>
      <c r="AG80" s="30"/>
    </row>
    <row r="81" spans="1:33" ht="39.6">
      <c r="A81" s="25"/>
      <c r="B81" s="25" t="s">
        <v>29</v>
      </c>
      <c r="C81" s="25" t="s">
        <v>310</v>
      </c>
      <c r="D81" s="25">
        <v>8</v>
      </c>
      <c r="E81" s="70" t="s">
        <v>1142</v>
      </c>
      <c r="F81" s="70" t="s">
        <v>1151</v>
      </c>
      <c r="G81" s="64" t="s">
        <v>1152</v>
      </c>
      <c r="H81" s="64" t="str">
        <f ca="1">IFERROR(__xludf.dummyfunction("IFERROR(
  VLOOKUP(G81, IMPORTRANGE(""https://docs.google.com/spreadsheets/d/14deopnvwcrKtEGCKuYXdUHJbeLDZlkiSSWWT0g7x2pM/edit#gid=849066331"", ""LU List Maths (Filter)!A:B""), 2, FALSE),
  IFERROR(
    VLOOKUP(G81, IMPORTRANGE(""https://docs.google.com/s"&amp;"preadsheets/d/14deopnvwcrKtEGCKuYXdUHJbeLDZlkiSSWWT0g7x2pM/edit#gid=849066331"", ""LU List Science (Filter)!A:B""), 2, FALSE),
    ""Not Found""
  )
)
"),"Applications of inverse proportional relationships in real-life scenarios")</f>
        <v>Applications of inverse proportional relationships in real-life scenarios</v>
      </c>
      <c r="I81" s="64"/>
      <c r="J81" s="100" t="str">
        <f t="shared" si="12"/>
        <v>LU000752.001</v>
      </c>
      <c r="K81" s="100" t="str">
        <f ca="1">IFERROR(__xludf.dummyfunction("VLOOKUP(J81, IMPORTRANGE(""https://docs.google.com/spreadsheets/d/1yDAaXNsi4Mr5FtRQL4tbmSdIzhx6_m4wkOD7IG-k_eo/edit#gid=0"", ""Maths!M:N""), 2, FALSE)"),"Recall examples of real-life situations where inverse proportional relationships are applied.")</f>
        <v>Recall examples of real-life situations where inverse proportional relationships are applied.</v>
      </c>
      <c r="L81" s="100" t="str">
        <f t="shared" si="13"/>
        <v>LU000752.002</v>
      </c>
      <c r="M81" s="100" t="str">
        <f ca="1">IFERROR(__xludf.dummyfunction("VLOOKUP(L81, IMPORTRANGE(""https://docs.google.com/spreadsheets/d/1yDAaXNsi4Mr5FtRQL4tbmSdIzhx6_m4wkOD7IG-k_eo/edit#gid=0"", ""Maths!M:N""), 2, FALSE)"),"Explain the concept of inverse proportionality and how it relates to real-life scenarios")</f>
        <v>Explain the concept of inverse proportionality and how it relates to real-life scenarios</v>
      </c>
      <c r="N81" s="100" t="str">
        <f t="shared" si="14"/>
        <v>LU000752.003</v>
      </c>
      <c r="O81" s="100" t="str">
        <f ca="1">IFERROR(__xludf.dummyfunction("VLOOKUP(N81, IMPORTRANGE(""https://docs.google.com/spreadsheets/d/1yDAaXNsi4Mr5FtRQL4tbmSdIzhx6_m4wkOD7IG-k_eo/edit#gid=0"", ""Maths!M:N""), 2, FALSE)"),"Apply inverse proportional relationships to solve practical problems in various contexts.")</f>
        <v>Apply inverse proportional relationships to solve practical problems in various contexts.</v>
      </c>
      <c r="P81" s="100" t="str">
        <f t="shared" si="15"/>
        <v>LU000752.004</v>
      </c>
      <c r="Q81" s="100" t="str">
        <f ca="1">IFERROR(__xludf.dummyfunction("VLOOKUP(P81, IMPORTRANGE(""https://docs.google.com/spreadsheets/d/1yDAaXNsi4Mr5FtRQL4tbmSdIzhx6_m4wkOD7IG-k_eo/edit#gid=0"", ""Maths!M:N""), 2, FALSE)"),"Analyze complex real-world scenarios and identify variables that exhibit inverse proportional relationships, discerning patterns within data.")</f>
        <v>Analyze complex real-world scenarios and identify variables that exhibit inverse proportional relationships, discerning patterns within data.</v>
      </c>
      <c r="R81" s="100" t="str">
        <f t="shared" si="16"/>
        <v>LU000752.005</v>
      </c>
      <c r="S81" s="100" t="str">
        <f ca="1">IFERROR(__xludf.dummyfunction("VLOOKUP(R81, IMPORTRANGE(""https://docs.google.com/spreadsheets/d/1yDAaXNsi4Mr5FtRQL4tbmSdIzhx6_m4wkOD7IG-k_eo/edit#gid=0"", ""Maths!M:N""), 2, FALSE)"),"Evaluate the effectiveness of using inverse proportional relationships to make predictions and solve problems in various practical situations.")</f>
        <v>Evaluate the effectiveness of using inverse proportional relationships to make predictions and solve problems in various practical situations.</v>
      </c>
      <c r="T81" s="100" t="str">
        <f t="shared" si="17"/>
        <v>LU000752.006</v>
      </c>
      <c r="U81" s="100" t="str">
        <f ca="1">IFERROR(__xludf.dummyfunction("VLOOKUP(T81, IMPORTRANGE(""https://docs.google.com/spreadsheets/d/1yDAaXNsi4Mr5FtRQL4tbmSdIzhx6_m4wkOD7IG-k_eo/edit#gid=0"", ""Maths!M:N""), 2, FALSE)"),"Design and implement a real-life experiment or project that explores inverse proportional relationships, collect data, and draw conclusions based on the findings, demonstrating the ability to apply and analyze the concept in a novel context.")</f>
        <v>Design and implement a real-life experiment or project that explores inverse proportional relationships, collect data, and draw conclusions based on the findings, demonstrating the ability to apply and analyze the concept in a novel context.</v>
      </c>
      <c r="V81" s="16">
        <f ca="1">IFERROR(__xludf.dummyfunction("ArrayFormula(VLOOKUP(G81, IMPORTRANGE(""https://docs.google.com/spreadsheets/d/1p7R4vtkWt5VOBim4ltsDG9KTzSjrtKXsMtQGXPHyND0/edit#gid=795171502"", ""'Filter 30_05_2024'!A1:M2000""), {2, 3, 4, 5,6,7,8,9,10,11,12,13}, 0))"),4)</f>
        <v>4</v>
      </c>
      <c r="W81" s="16">
        <f ca="1">IFERROR(__xludf.dummyfunction("""COMPUTED_VALUE"""),6)</f>
        <v>6</v>
      </c>
      <c r="X81" s="16">
        <f ca="1">IFERROR(__xludf.dummyfunction("""COMPUTED_VALUE"""),2)</f>
        <v>2</v>
      </c>
      <c r="Y81" s="16">
        <f ca="1">IFERROR(__xludf.dummyfunction("""COMPUTED_VALUE"""),12)</f>
        <v>12</v>
      </c>
      <c r="Z81" s="16">
        <f ca="1">IFERROR(__xludf.dummyfunction("""COMPUTED_VALUE"""),4)</f>
        <v>4</v>
      </c>
      <c r="AA81" s="30">
        <f ca="1">IFERROR(__xludf.dummyfunction("""COMPUTED_VALUE"""),3)</f>
        <v>3</v>
      </c>
      <c r="AB81" s="30">
        <f ca="1">IFERROR(__xludf.dummyfunction("""COMPUTED_VALUE"""),1)</f>
        <v>1</v>
      </c>
      <c r="AC81" s="30">
        <f ca="1">IFERROR(__xludf.dummyfunction("""COMPUTED_VALUE"""),8)</f>
        <v>8</v>
      </c>
      <c r="AD81" s="16"/>
      <c r="AE81" s="30"/>
      <c r="AF81" s="30"/>
      <c r="AG81" s="30"/>
    </row>
    <row r="82" spans="1:33" ht="39.6">
      <c r="A82" s="25"/>
      <c r="B82" s="25" t="s">
        <v>29</v>
      </c>
      <c r="C82" s="25" t="s">
        <v>310</v>
      </c>
      <c r="D82" s="25">
        <v>8</v>
      </c>
      <c r="E82" s="70" t="s">
        <v>1142</v>
      </c>
      <c r="F82" s="70" t="s">
        <v>1151</v>
      </c>
      <c r="G82" s="64" t="s">
        <v>1153</v>
      </c>
      <c r="H82" s="64" t="str">
        <f ca="1">IFERROR(__xludf.dummyfunction("IFERROR(
  VLOOKUP(G82, IMPORTRANGE(""https://docs.google.com/spreadsheets/d/14deopnvwcrKtEGCKuYXdUHJbeLDZlkiSSWWT0g7x2pM/edit#gid=849066331"", ""LU List Maths (Filter)!A:B""), 2, FALSE),
  IFERROR(
    VLOOKUP(G82, IMPORTRANGE(""https://docs.google.com/s"&amp;"preadsheets/d/14deopnvwcrKtEGCKuYXdUHJbeLDZlkiSSWWT0g7x2pM/edit#gid=849066331"", ""LU List Science (Filter)!A:B""), 2, FALSE),
    ""Not Found""
  )
)
"),"Applications of direct proportional relationships in real-life scenarios")</f>
        <v>Applications of direct proportional relationships in real-life scenarios</v>
      </c>
      <c r="I82" s="64"/>
      <c r="J82" s="100" t="str">
        <f t="shared" si="12"/>
        <v>LU000751.001</v>
      </c>
      <c r="K82" s="100" t="str">
        <f ca="1">IFERROR(__xludf.dummyfunction("VLOOKUP(J82, IMPORTRANGE(""https://docs.google.com/spreadsheets/d/1yDAaXNsi4Mr5FtRQL4tbmSdIzhx6_m4wkOD7IG-k_eo/edit#gid=0"", ""Maths!M:N""), 2, FALSE)"),"List examples of real-life situations where direct proportional relationships are applied.")</f>
        <v>List examples of real-life situations where direct proportional relationships are applied.</v>
      </c>
      <c r="L82" s="100" t="str">
        <f t="shared" si="13"/>
        <v>LU000751.002</v>
      </c>
      <c r="M82" s="100" t="str">
        <f ca="1">IFERROR(__xludf.dummyfunction("VLOOKUP(L82, IMPORTRANGE(""https://docs.google.com/spreadsheets/d/1yDAaXNsi4Mr5FtRQL4tbmSdIzhx6_m4wkOD7IG-k_eo/edit#gid=0"", ""Maths!M:N""), 2, FALSE)"),"Explain the concept of direct proportionality and how it relates to real-life scenarios")</f>
        <v>Explain the concept of direct proportionality and how it relates to real-life scenarios</v>
      </c>
      <c r="N82" s="100" t="str">
        <f t="shared" si="14"/>
        <v>LU000751.003</v>
      </c>
      <c r="O82" s="100" t="str">
        <f ca="1">IFERROR(__xludf.dummyfunction("VLOOKUP(N82, IMPORTRANGE(""https://docs.google.com/spreadsheets/d/1yDAaXNsi4Mr5FtRQL4tbmSdIzhx6_m4wkOD7IG-k_eo/edit#gid=0"", ""Maths!M:N""), 2, FALSE)"),"Apply direct proportional relationships to solve practical problems in various contexts.")</f>
        <v>Apply direct proportional relationships to solve practical problems in various contexts.</v>
      </c>
      <c r="P82" s="100" t="str">
        <f t="shared" si="15"/>
        <v>LU000751.004</v>
      </c>
      <c r="Q82" s="100" t="str">
        <f ca="1">IFERROR(__xludf.dummyfunction("VLOOKUP(P82, IMPORTRANGE(""https://docs.google.com/spreadsheets/d/1yDAaXNsi4Mr5FtRQL4tbmSdIzhx6_m4wkOD7IG-k_eo/edit#gid=0"", ""Maths!M:N""), 2, FALSE)"),"Analyze complex real-world scenarios and identify variables that exhibit direct proportional relationships, discerning patterns within data.")</f>
        <v>Analyze complex real-world scenarios and identify variables that exhibit direct proportional relationships, discerning patterns within data.</v>
      </c>
      <c r="R82" s="100" t="str">
        <f t="shared" si="16"/>
        <v>LU000751.005</v>
      </c>
      <c r="S82" s="100" t="str">
        <f ca="1">IFERROR(__xludf.dummyfunction("VLOOKUP(R82, IMPORTRANGE(""https://docs.google.com/spreadsheets/d/1yDAaXNsi4Mr5FtRQL4tbmSdIzhx6_m4wkOD7IG-k_eo/edit#gid=0"", ""Maths!M:N""), 2, FALSE)"),"Evaluate the effectiveness of using direct proportional relationships to make predictions and solve problems in various practical situations.")</f>
        <v>Evaluate the effectiveness of using direct proportional relationships to make predictions and solve problems in various practical situations.</v>
      </c>
      <c r="T82" s="100" t="str">
        <f t="shared" si="17"/>
        <v>LU000751.006</v>
      </c>
      <c r="U82" s="100" t="str">
        <f ca="1">IFERROR(__xludf.dummyfunction("VLOOKUP(T82, IMPORTRANGE(""https://docs.google.com/spreadsheets/d/1yDAaXNsi4Mr5FtRQL4tbmSdIzhx6_m4wkOD7IG-k_eo/edit#gid=0"", ""Maths!M:N""), 2, FALSE)"),"Design and implement a real-life experiment or project that explores direct proportional relationships, collect data, and draw conclusions based on the findings, demonstrating the ability to apply and analyze the concept in a novel context.")</f>
        <v>Design and implement a real-life experiment or project that explores direct proportional relationships, collect data, and draw conclusions based on the findings, demonstrating the ability to apply and analyze the concept in a novel context.</v>
      </c>
      <c r="V82" s="16">
        <f ca="1">IFERROR(__xludf.dummyfunction("ArrayFormula(VLOOKUP(G82, IMPORTRANGE(""https://docs.google.com/spreadsheets/d/1p7R4vtkWt5VOBim4ltsDG9KTzSjrtKXsMtQGXPHyND0/edit#gid=795171502"", ""'Filter 30_05_2024'!A1:M2000""), {2, 3, 4, 5,6,7,8,9,10,11,12,13}, 0))"),4)</f>
        <v>4</v>
      </c>
      <c r="W82" s="16">
        <f ca="1">IFERROR(__xludf.dummyfunction("""COMPUTED_VALUE"""),6)</f>
        <v>6</v>
      </c>
      <c r="X82" s="16">
        <f ca="1">IFERROR(__xludf.dummyfunction("""COMPUTED_VALUE"""),2)</f>
        <v>2</v>
      </c>
      <c r="Y82" s="16">
        <f ca="1">IFERROR(__xludf.dummyfunction("""COMPUTED_VALUE"""),12)</f>
        <v>12</v>
      </c>
      <c r="Z82" s="16">
        <f ca="1">IFERROR(__xludf.dummyfunction("""COMPUTED_VALUE"""),4)</f>
        <v>4</v>
      </c>
      <c r="AA82" s="30">
        <f ca="1">IFERROR(__xludf.dummyfunction("""COMPUTED_VALUE"""),3)</f>
        <v>3</v>
      </c>
      <c r="AB82" s="30">
        <f ca="1">IFERROR(__xludf.dummyfunction("""COMPUTED_VALUE"""),1)</f>
        <v>1</v>
      </c>
      <c r="AC82" s="30">
        <f ca="1">IFERROR(__xludf.dummyfunction("""COMPUTED_VALUE"""),8)</f>
        <v>8</v>
      </c>
      <c r="AD82" s="16"/>
      <c r="AE82" s="30"/>
      <c r="AF82" s="30"/>
      <c r="AG82" s="30"/>
    </row>
    <row r="83" spans="1:33" ht="40.200000000000003">
      <c r="A83" s="25"/>
      <c r="B83" s="25" t="s">
        <v>29</v>
      </c>
      <c r="C83" s="25" t="s">
        <v>310</v>
      </c>
      <c r="D83" s="25">
        <v>8</v>
      </c>
      <c r="E83" s="70" t="s">
        <v>1142</v>
      </c>
      <c r="F83" s="80" t="s">
        <v>1154</v>
      </c>
      <c r="G83" s="79" t="s">
        <v>1155</v>
      </c>
      <c r="H83" s="64" t="str">
        <f ca="1">IFERROR(__xludf.dummyfunction("IFERROR(
  VLOOKUP(G83, IMPORTRANGE(""https://docs.google.com/spreadsheets/d/14deopnvwcrKtEGCKuYXdUHJbeLDZlkiSSWWT0g7x2pM/edit#gid=849066331"", ""LU List Maths (Filter)!A:B""), 2, FALSE),
  IFERROR(
    VLOOKUP(G83, IMPORTRANGE(""https://docs.google.com/s"&amp;"preadsheets/d/14deopnvwcrKtEGCKuYXdUHJbeLDZlkiSSWWT0g7x2pM/edit#gid=849066331"", ""LU List Science (Filter)!A:B""), 2, FALSE),
    ""Not Found""
  )
)
"),"Problems related to time and work")</f>
        <v>Problems related to time and work</v>
      </c>
      <c r="I83" s="64"/>
      <c r="J83" s="100" t="str">
        <f t="shared" si="12"/>
        <v>LU001420.001</v>
      </c>
      <c r="K83" s="100" t="str">
        <f ca="1">IFERROR(__xludf.dummyfunction("VLOOKUP(J83, IMPORTRANGE(""https://docs.google.com/spreadsheets/d/1yDAaXNsi4Mr5FtRQL4tbmSdIzhx6_m4wkOD7IG-k_eo/edit#gid=0"", ""Maths!M:N""), 2, FALSE)"),"(LU001420.001); Default - Remember")</f>
        <v>(LU001420.001); Default - Remember</v>
      </c>
      <c r="L83" s="100" t="str">
        <f t="shared" si="13"/>
        <v>LU001420.002</v>
      </c>
      <c r="M83" s="100" t="str">
        <f ca="1">IFERROR(__xludf.dummyfunction("VLOOKUP(L83, IMPORTRANGE(""https://docs.google.com/spreadsheets/d/1yDAaXNsi4Mr5FtRQL4tbmSdIzhx6_m4wkOD7IG-k_eo/edit#gid=0"", ""Maths!M:N""), 2, FALSE)"),"(LU001420.002); Default - Understand")</f>
        <v>(LU001420.002); Default - Understand</v>
      </c>
      <c r="N83" s="100" t="str">
        <f t="shared" si="14"/>
        <v>LU001420.003</v>
      </c>
      <c r="O83" s="100" t="str">
        <f ca="1">IFERROR(__xludf.dummyfunction("VLOOKUP(N83, IMPORTRANGE(""https://docs.google.com/spreadsheets/d/1yDAaXNsi4Mr5FtRQL4tbmSdIzhx6_m4wkOD7IG-k_eo/edit#gid=0"", ""Maths!M:N""), 2, FALSE)"),"(LU001420.003); Default - Apply")</f>
        <v>(LU001420.003); Default - Apply</v>
      </c>
      <c r="P83" s="100" t="str">
        <f t="shared" si="15"/>
        <v>LU001420.004</v>
      </c>
      <c r="Q83" s="100" t="str">
        <f ca="1">IFERROR(__xludf.dummyfunction("VLOOKUP(P83, IMPORTRANGE(""https://docs.google.com/spreadsheets/d/1yDAaXNsi4Mr5FtRQL4tbmSdIzhx6_m4wkOD7IG-k_eo/edit#gid=0"", ""Maths!M:N""), 2, FALSE)"),"(LU001420.004); Default - Analyse")</f>
        <v>(LU001420.004); Default - Analyse</v>
      </c>
      <c r="R83" s="100" t="str">
        <f t="shared" si="16"/>
        <v>LU001420.005</v>
      </c>
      <c r="S83" s="100" t="str">
        <f ca="1">IFERROR(__xludf.dummyfunction("VLOOKUP(R83, IMPORTRANGE(""https://docs.google.com/spreadsheets/d/1yDAaXNsi4Mr5FtRQL4tbmSdIzhx6_m4wkOD7IG-k_eo/edit#gid=0"", ""Maths!M:N""), 2, FALSE)"),"(LU001420.005); Default - Evaluate")</f>
        <v>(LU001420.005); Default - Evaluate</v>
      </c>
      <c r="T83" s="100" t="str">
        <f t="shared" si="17"/>
        <v>LU001420.006</v>
      </c>
      <c r="U83" s="100" t="str">
        <f ca="1">IFERROR(__xludf.dummyfunction("VLOOKUP(T83, IMPORTRANGE(""https://docs.google.com/spreadsheets/d/1yDAaXNsi4Mr5FtRQL4tbmSdIzhx6_m4wkOD7IG-k_eo/edit#gid=0"", ""Maths!M:N""), 2, FALSE)"),"(LU001420.006); Default - Create")</f>
        <v>(LU001420.006); Default - Create</v>
      </c>
      <c r="V83" s="16" t="str">
        <f ca="1">IFERROR(__xludf.dummyfunction("ArrayFormula(VLOOKUP(G83, IMPORTRANGE(""https://docs.google.com/spreadsheets/d/1p7R4vtkWt5VOBim4ltsDG9KTzSjrtKXsMtQGXPHyND0/edit#gid=795171502"", ""'Filter 30_05_2024'!A1:M2000""), {2, 3, 4, 5,6,7,8,9,10,11,12,13}, 0))"),"#N/A")</f>
        <v>#N/A</v>
      </c>
      <c r="W83" s="16" t="str">
        <f ca="1">IFERROR(__xludf.dummyfunction("""COMPUTED_VALUE"""),"#N/A")</f>
        <v>#N/A</v>
      </c>
      <c r="X83" s="16" t="str">
        <f ca="1">IFERROR(__xludf.dummyfunction("""COMPUTED_VALUE"""),"#N/A")</f>
        <v>#N/A</v>
      </c>
      <c r="Y83" s="16" t="str">
        <f ca="1">IFERROR(__xludf.dummyfunction("""COMPUTED_VALUE"""),"#N/A")</f>
        <v>#N/A</v>
      </c>
      <c r="Z83" s="16" t="str">
        <f ca="1">IFERROR(__xludf.dummyfunction("""COMPUTED_VALUE"""),"#N/A")</f>
        <v>#N/A</v>
      </c>
      <c r="AA83" s="30" t="str">
        <f ca="1">IFERROR(__xludf.dummyfunction("""COMPUTED_VALUE"""),"#N/A")</f>
        <v>#N/A</v>
      </c>
      <c r="AB83" s="30" t="str">
        <f ca="1">IFERROR(__xludf.dummyfunction("""COMPUTED_VALUE"""),"#N/A")</f>
        <v>#N/A</v>
      </c>
      <c r="AC83" s="30" t="str">
        <f ca="1">IFERROR(__xludf.dummyfunction("""COMPUTED_VALUE"""),"#N/A")</f>
        <v>#N/A</v>
      </c>
      <c r="AD83" s="16" t="str">
        <f ca="1">IFERROR(__xludf.dummyfunction("""COMPUTED_VALUE"""),"#N/A")</f>
        <v>#N/A</v>
      </c>
      <c r="AE83" s="30" t="str">
        <f ca="1">IFERROR(__xludf.dummyfunction("""COMPUTED_VALUE"""),"#N/A")</f>
        <v>#N/A</v>
      </c>
      <c r="AF83" s="30" t="str">
        <f ca="1">IFERROR(__xludf.dummyfunction("""COMPUTED_VALUE"""),"#N/A")</f>
        <v>#N/A</v>
      </c>
      <c r="AG83" s="30" t="str">
        <f ca="1">IFERROR(__xludf.dummyfunction("""COMPUTED_VALUE"""),"#N/A")</f>
        <v>#N/A</v>
      </c>
    </row>
    <row r="84" spans="1:33" ht="26.4">
      <c r="A84" s="25"/>
      <c r="B84" s="25" t="s">
        <v>29</v>
      </c>
      <c r="C84" s="25" t="s">
        <v>310</v>
      </c>
      <c r="D84" s="25">
        <v>8</v>
      </c>
      <c r="E84" s="70" t="s">
        <v>922</v>
      </c>
      <c r="F84" s="70" t="s">
        <v>1156</v>
      </c>
      <c r="G84" s="64" t="s">
        <v>1157</v>
      </c>
      <c r="H84" s="64" t="str">
        <f ca="1">IFERROR(__xludf.dummyfunction("IFERROR(
  VLOOKUP(G84, IMPORTRANGE(""https://docs.google.com/spreadsheets/d/14deopnvwcrKtEGCKuYXdUHJbeLDZlkiSSWWT0g7x2pM/edit#gid=849066331"", ""LU List Maths (Filter)!A:B""), 2, FALSE),
  IFERROR(
    VLOOKUP(G84, IMPORTRANGE(""https://docs.google.com/s"&amp;"preadsheets/d/14deopnvwcrKtEGCKuYXdUHJbeLDZlkiSSWWT0g7x2pM/edit#gid=849066331"", ""LU List Science (Filter)!A:B""), 2, FALSE),
    ""Not Found""
  )
)
"),"Multiplication of monomial by monomial")</f>
        <v>Multiplication of monomial by monomial</v>
      </c>
      <c r="I84" s="64"/>
      <c r="J84" s="100" t="str">
        <f t="shared" si="12"/>
        <v>LU000694.001</v>
      </c>
      <c r="K84" s="100" t="str">
        <f ca="1">IFERROR(__xludf.dummyfunction("VLOOKUP(J84, IMPORTRANGE(""https://docs.google.com/spreadsheets/d/1yDAaXNsi4Mr5FtRQL4tbmSdIzhx6_m4wkOD7IG-k_eo/edit#gid=0"", ""Maths!M:N""), 2, FALSE)"),"State the definition and basic properties of monomials.")</f>
        <v>State the definition and basic properties of monomials.</v>
      </c>
      <c r="L84" s="100" t="str">
        <f t="shared" si="13"/>
        <v>LU000694.002</v>
      </c>
      <c r="M84" s="100" t="str">
        <f ca="1">IFERROR(__xludf.dummyfunction("VLOOKUP(L84, IMPORTRANGE(""https://docs.google.com/spreadsheets/d/1yDAaXNsi4Mr5FtRQL4tbmSdIzhx6_m4wkOD7IG-k_eo/edit#gid=0"", ""Maths!M:N""), 2, FALSE)"),"Describe the process of multiplying two monomials.")</f>
        <v>Describe the process of multiplying two monomials.</v>
      </c>
      <c r="N84" s="100" t="str">
        <f t="shared" si="14"/>
        <v>LU000694.003</v>
      </c>
      <c r="O84" s="100" t="str">
        <f ca="1">IFERROR(__xludf.dummyfunction("VLOOKUP(N84, IMPORTRANGE(""https://docs.google.com/spreadsheets/d/1yDAaXNsi4Mr5FtRQL4tbmSdIzhx6_m4wkOD7IG-k_eo/edit#gid=0"", ""Maths!M:N""), 2, FALSE)"),"Solve practical problems that require multiplying monomials.")</f>
        <v>Solve practical problems that require multiplying monomials.</v>
      </c>
      <c r="P84" s="100" t="str">
        <f t="shared" si="15"/>
        <v>LU000694.004</v>
      </c>
      <c r="Q84" s="100" t="str">
        <f ca="1">IFERROR(__xludf.dummyfunction("VLOOKUP(P84, IMPORTRANGE(""https://docs.google.com/spreadsheets/d/1yDAaXNsi4Mr5FtRQL4tbmSdIzhx6_m4wkOD7IG-k_eo/edit#gid=0"", ""Maths!M:N""), 2, FALSE)"),"Analyse complex expressions involving multiple monomials and simplify them using the rules of monomial multiplication.")</f>
        <v>Analyse complex expressions involving multiple monomials and simplify them using the rules of monomial multiplication.</v>
      </c>
      <c r="R84" s="100" t="str">
        <f t="shared" si="16"/>
        <v>LU000694.005</v>
      </c>
      <c r="S84" s="100" t="str">
        <f ca="1">IFERROR(__xludf.dummyfunction("VLOOKUP(R84, IMPORTRANGE(""https://docs.google.com/spreadsheets/d/1yDAaXNsi4Mr5FtRQL4tbmSdIzhx6_m4wkOD7IG-k_eo/edit#gid=0"", ""Maths!M:N""), 2, FALSE)"),"Evaluate and verify solutions of problems involving monomial multiplication, assessing the correctness of the solutions.")</f>
        <v>Evaluate and verify solutions of problems involving monomial multiplication, assessing the correctness of the solutions.</v>
      </c>
      <c r="T84" s="100" t="str">
        <f t="shared" si="17"/>
        <v>LU000694.006</v>
      </c>
      <c r="U84" s="100" t="str">
        <f ca="1">IFERROR(__xludf.dummyfunction("VLOOKUP(T84, IMPORTRANGE(""https://docs.google.com/spreadsheets/d/1yDAaXNsi4Mr5FtRQL4tbmSdIzhx6_m4wkOD7IG-k_eo/edit#gid=0"", ""Maths!M:N""), 2, FALSE)"),"Create a set of mathematical expressions involving the multiplication of monomials and simplify and solve them.")</f>
        <v>Create a set of mathematical expressions involving the multiplication of monomials and simplify and solve them.</v>
      </c>
      <c r="V84" s="16">
        <f ca="1">IFERROR(__xludf.dummyfunction("ArrayFormula(VLOOKUP(G84, IMPORTRANGE(""https://docs.google.com/spreadsheets/d/1p7R4vtkWt5VOBim4ltsDG9KTzSjrtKXsMtQGXPHyND0/edit#gid=795171502"", ""'Filter 30_05_2024'!A1:M2000""), {2, 3, 4, 5,6,7,8,9,10,11,12,13}, 0))"),4)</f>
        <v>4</v>
      </c>
      <c r="W84" s="16">
        <f ca="1">IFERROR(__xludf.dummyfunction("""COMPUTED_VALUE"""),6)</f>
        <v>6</v>
      </c>
      <c r="X84" s="16">
        <f ca="1">IFERROR(__xludf.dummyfunction("""COMPUTED_VALUE"""),2)</f>
        <v>2</v>
      </c>
      <c r="Y84" s="16">
        <f ca="1">IFERROR(__xludf.dummyfunction("""COMPUTED_VALUE"""),12)</f>
        <v>12</v>
      </c>
      <c r="Z84" s="16">
        <f ca="1">IFERROR(__xludf.dummyfunction("""COMPUTED_VALUE"""),4)</f>
        <v>4</v>
      </c>
      <c r="AA84" s="30">
        <f ca="1">IFERROR(__xludf.dummyfunction("""COMPUTED_VALUE"""),3)</f>
        <v>3</v>
      </c>
      <c r="AB84" s="30">
        <f ca="1">IFERROR(__xludf.dummyfunction("""COMPUTED_VALUE"""),1)</f>
        <v>1</v>
      </c>
      <c r="AC84" s="30">
        <f ca="1">IFERROR(__xludf.dummyfunction("""COMPUTED_VALUE"""),8)</f>
        <v>8</v>
      </c>
      <c r="AD84" s="16"/>
      <c r="AE84" s="30"/>
      <c r="AF84" s="30"/>
      <c r="AG84" s="30"/>
    </row>
    <row r="85" spans="1:33" ht="26.4">
      <c r="A85" s="25"/>
      <c r="B85" s="25" t="s">
        <v>29</v>
      </c>
      <c r="C85" s="25" t="s">
        <v>310</v>
      </c>
      <c r="D85" s="25">
        <v>8</v>
      </c>
      <c r="E85" s="70" t="s">
        <v>922</v>
      </c>
      <c r="F85" s="70" t="s">
        <v>1156</v>
      </c>
      <c r="G85" s="64" t="s">
        <v>1158</v>
      </c>
      <c r="H85" s="64" t="str">
        <f ca="1">IFERROR(__xludf.dummyfunction("IFERROR(
  VLOOKUP(G85, IMPORTRANGE(""https://docs.google.com/spreadsheets/d/14deopnvwcrKtEGCKuYXdUHJbeLDZlkiSSWWT0g7x2pM/edit#gid=849066331"", ""LU List Maths (Filter)!A:B""), 2, FALSE),
  IFERROR(
    VLOOKUP(G85, IMPORTRANGE(""https://docs.google.com/s"&amp;"preadsheets/d/14deopnvwcrKtEGCKuYXdUHJbeLDZlkiSSWWT0g7x2pM/edit#gid=849066331"", ""LU List Science (Filter)!A:B""), 2, FALSE),
    ""Not Found""
  )
)
"),"Multiplication of three or more monomials")</f>
        <v>Multiplication of three or more monomials</v>
      </c>
      <c r="I85" s="64"/>
      <c r="J85" s="100" t="str">
        <f t="shared" si="12"/>
        <v>LU000695.001</v>
      </c>
      <c r="K85" s="100" t="str">
        <f ca="1">IFERROR(__xludf.dummyfunction("VLOOKUP(J85, IMPORTRANGE(""https://docs.google.com/spreadsheets/d/1yDAaXNsi4Mr5FtRQL4tbmSdIzhx6_m4wkOD7IG-k_eo/edit#gid=0"", ""Maths!M:N""), 2, FALSE)"),"Describe the rules for multiplying three or more monomials.")</f>
        <v>Describe the rules for multiplying three or more monomials.</v>
      </c>
      <c r="L85" s="100" t="str">
        <f t="shared" si="13"/>
        <v>LU000695.002</v>
      </c>
      <c r="M85" s="100" t="str">
        <f ca="1">IFERROR(__xludf.dummyfunction("VLOOKUP(L85, IMPORTRANGE(""https://docs.google.com/spreadsheets/d/1yDAaXNsi4Mr5FtRQL4tbmSdIzhx6_m4wkOD7IG-k_eo/edit#gid=0"", ""Maths!M:N""), 2, FALSE)"),"Explain the concept of multiplying three or more monomials, providing examples to illustrate how these rules are applied.")</f>
        <v>Explain the concept of multiplying three or more monomials, providing examples to illustrate how these rules are applied.</v>
      </c>
      <c r="N85" s="100" t="str">
        <f t="shared" si="14"/>
        <v>LU000695.003</v>
      </c>
      <c r="O85" s="100" t="str">
        <f ca="1">IFERROR(__xludf.dummyfunction("VLOOKUP(N85, IMPORTRANGE(""https://docs.google.com/spreadsheets/d/1yDAaXNsi4Mr5FtRQL4tbmSdIzhx6_m4wkOD7IG-k_eo/edit#gid=0"", ""Maths!M:N""), 2, FALSE)"),"Solve real-world problems that necessitate the multiplication of three or more monomials.")</f>
        <v>Solve real-world problems that necessitate the multiplication of three or more monomials.</v>
      </c>
      <c r="P85" s="100" t="str">
        <f t="shared" si="15"/>
        <v>LU000695.004</v>
      </c>
      <c r="Q85" s="100" t="str">
        <f ca="1">IFERROR(__xludf.dummyfunction("VLOOKUP(P85, IMPORTRANGE(""https://docs.google.com/spreadsheets/d/1yDAaXNsi4Mr5FtRQL4tbmSdIzhx6_m4wkOD7IG-k_eo/edit#gid=0"", ""Maths!M:N""), 2, FALSE)"),"Analyse complex expressions involving multiple monomials and demonstrate step-by-step simplification, applying the rules of monomial multiplication.")</f>
        <v>Analyse complex expressions involving multiple monomials and demonstrate step-by-step simplification, applying the rules of monomial multiplication.</v>
      </c>
      <c r="R85" s="100" t="str">
        <f t="shared" si="16"/>
        <v>LU000695.005</v>
      </c>
      <c r="S85" s="100" t="str">
        <f ca="1">IFERROR(__xludf.dummyfunction("VLOOKUP(R85, IMPORTRANGE(""https://docs.google.com/spreadsheets/d/1yDAaXNsi4Mr5FtRQL4tbmSdIzhx6_m4wkOD7IG-k_eo/edit#gid=0"", ""Maths!M:N""), 2, FALSE)"),"Assess and critique solutions to problems involving the multiplication of three or more monomials, evaluating the accuracy and clarity of the solutions.")</f>
        <v>Assess and critique solutions to problems involving the multiplication of three or more monomials, evaluating the accuracy and clarity of the solutions.</v>
      </c>
      <c r="T85" s="100" t="str">
        <f t="shared" si="17"/>
        <v>LU000695.006</v>
      </c>
      <c r="U85" s="100" t="str">
        <f ca="1">IFERROR(__xludf.dummyfunction("VLOOKUP(T85, IMPORTRANGE(""https://docs.google.com/spreadsheets/d/1yDAaXNsi4Mr5FtRQL4tbmSdIzhx6_m4wkOD7IG-k_eo/edit#gid=0"", ""Maths!M:N""), 2, FALSE)"),"Generate original mathematical expressions that involve the multiplication of three or more monomials, simplify and solve them.")</f>
        <v>Generate original mathematical expressions that involve the multiplication of three or more monomials, simplify and solve them.</v>
      </c>
      <c r="V85" s="16">
        <f ca="1">IFERROR(__xludf.dummyfunction("ArrayFormula(VLOOKUP(G85, IMPORTRANGE(""https://docs.google.com/spreadsheets/d/1p7R4vtkWt5VOBim4ltsDG9KTzSjrtKXsMtQGXPHyND0/edit#gid=795171502"", ""'Filter 30_05_2024'!A1:M2000""), {2, 3, 4, 5,6,7,8,9,10,11,12,13}, 0))"),4)</f>
        <v>4</v>
      </c>
      <c r="W85" s="16">
        <f ca="1">IFERROR(__xludf.dummyfunction("""COMPUTED_VALUE"""),6)</f>
        <v>6</v>
      </c>
      <c r="X85" s="16">
        <f ca="1">IFERROR(__xludf.dummyfunction("""COMPUTED_VALUE"""),2)</f>
        <v>2</v>
      </c>
      <c r="Y85" s="16">
        <f ca="1">IFERROR(__xludf.dummyfunction("""COMPUTED_VALUE"""),12)</f>
        <v>12</v>
      </c>
      <c r="Z85" s="16">
        <f ca="1">IFERROR(__xludf.dummyfunction("""COMPUTED_VALUE"""),4)</f>
        <v>4</v>
      </c>
      <c r="AA85" s="30">
        <f ca="1">IFERROR(__xludf.dummyfunction("""COMPUTED_VALUE"""),3)</f>
        <v>3</v>
      </c>
      <c r="AB85" s="30">
        <f ca="1">IFERROR(__xludf.dummyfunction("""COMPUTED_VALUE"""),1)</f>
        <v>1</v>
      </c>
      <c r="AC85" s="30">
        <f ca="1">IFERROR(__xludf.dummyfunction("""COMPUTED_VALUE"""),8)</f>
        <v>8</v>
      </c>
      <c r="AD85" s="16"/>
      <c r="AE85" s="30"/>
      <c r="AF85" s="30"/>
      <c r="AG85" s="30"/>
    </row>
    <row r="86" spans="1:33" ht="26.4">
      <c r="A86" s="25"/>
      <c r="B86" s="25" t="s">
        <v>29</v>
      </c>
      <c r="C86" s="25" t="s">
        <v>310</v>
      </c>
      <c r="D86" s="25">
        <v>8</v>
      </c>
      <c r="E86" s="70" t="s">
        <v>922</v>
      </c>
      <c r="F86" s="70" t="s">
        <v>1156</v>
      </c>
      <c r="G86" s="64" t="s">
        <v>1159</v>
      </c>
      <c r="H86" s="64" t="str">
        <f ca="1">IFERROR(__xludf.dummyfunction("IFERROR(
  VLOOKUP(G86, IMPORTRANGE(""https://docs.google.com/spreadsheets/d/14deopnvwcrKtEGCKuYXdUHJbeLDZlkiSSWWT0g7x2pM/edit#gid=849066331"", ""LU List Maths (Filter)!A:B""), 2, FALSE),
  IFERROR(
    VLOOKUP(G86, IMPORTRANGE(""https://docs.google.com/s"&amp;"preadsheets/d/14deopnvwcrKtEGCKuYXdUHJbeLDZlkiSSWWT0g7x2pM/edit#gid=849066331"", ""LU List Science (Filter)!A:B""), 2, FALSE),
    ""Not Found""
  )
)
"),"Multiplication of monomial by binomial")</f>
        <v>Multiplication of monomial by binomial</v>
      </c>
      <c r="I86" s="64"/>
      <c r="J86" s="100" t="str">
        <f t="shared" si="12"/>
        <v>LU000697.001</v>
      </c>
      <c r="K86" s="100" t="str">
        <f ca="1">IFERROR(__xludf.dummyfunction("VLOOKUP(J86, IMPORTRANGE(""https://docs.google.com/spreadsheets/d/1yDAaXNsi4Mr5FtRQL4tbmSdIzhx6_m4wkOD7IG-k_eo/edit#gid=0"", ""Maths!M:N""), 2, FALSE)"),"List the basic rules for multiplying a monomial by a binomial.")</f>
        <v>List the basic rules for multiplying a monomial by a binomial.</v>
      </c>
      <c r="L86" s="100" t="str">
        <f t="shared" si="13"/>
        <v>LU000697.002</v>
      </c>
      <c r="M86" s="100" t="str">
        <f ca="1">IFERROR(__xludf.dummyfunction("VLOOKUP(L86, IMPORTRANGE(""https://docs.google.com/spreadsheets/d/1yDAaXNsi4Mr5FtRQL4tbmSdIzhx6_m4wkOD7IG-k_eo/edit#gid=0"", ""Maths!M:N""), 2, FALSE)"),"Explain the concept of multiplying a monomial by a binomial and provide examples to illustrate the process.")</f>
        <v>Explain the concept of multiplying a monomial by a binomial and provide examples to illustrate the process.</v>
      </c>
      <c r="N86" s="100" t="str">
        <f t="shared" si="14"/>
        <v>LU000697.003</v>
      </c>
      <c r="O86" s="100" t="str">
        <f ca="1">IFERROR(__xludf.dummyfunction("VLOOKUP(N86, IMPORTRANGE(""https://docs.google.com/spreadsheets/d/1yDAaXNsi4Mr5FtRQL4tbmSdIzhx6_m4wkOD7IG-k_eo/edit#gid=0"", ""Maths!M:N""), 2, FALSE)"),"Apply the rules of monomial multiplication to solve problems involving the multiplication of a monomial by a binomial.")</f>
        <v>Apply the rules of monomial multiplication to solve problems involving the multiplication of a monomial by a binomial.</v>
      </c>
      <c r="P86" s="100" t="str">
        <f t="shared" si="15"/>
        <v>LU000697.004</v>
      </c>
      <c r="Q86" s="100" t="str">
        <f ca="1">IFERROR(__xludf.dummyfunction("VLOOKUP(P86, IMPORTRANGE(""https://docs.google.com/spreadsheets/d/1yDAaXNsi4Mr5FtRQL4tbmSdIzhx6_m4wkOD7IG-k_eo/edit#gid=0"", ""Maths!M:N""), 2, FALSE)"),"Analyse the process of multiplying a monomial by a binomial, considering the distribution of terms and applying the rules of multiplication to simplify expressions.")</f>
        <v>Analyse the process of multiplying a monomial by a binomial, considering the distribution of terms and applying the rules of multiplication to simplify expressions.</v>
      </c>
      <c r="R86" s="100" t="str">
        <f t="shared" si="16"/>
        <v>LU000697.005</v>
      </c>
      <c r="S86" s="100" t="str">
        <f ca="1">IFERROR(__xludf.dummyfunction("VLOOKUP(R86, IMPORTRANGE(""https://docs.google.com/spreadsheets/d/1yDAaXNsi4Mr5FtRQL4tbmSdIzhx6_m4wkOD7IG-k_eo/edit#gid=0"", ""Maths!M:N""), 2, FALSE)"),"Evaluate the applicability of monomial-binomial multiplication in real-world scenarios, identifying situations where this mathematical operation is particularly useful.")</f>
        <v>Evaluate the applicability of monomial-binomial multiplication in real-world scenarios, identifying situations where this mathematical operation is particularly useful.</v>
      </c>
      <c r="T86" s="100" t="str">
        <f t="shared" si="17"/>
        <v>LU000697.006</v>
      </c>
      <c r="U86" s="100" t="str">
        <f ca="1">IFERROR(__xludf.dummyfunction("VLOOKUP(T86, IMPORTRANGE(""https://docs.google.com/spreadsheets/d/1yDAaXNsi4Mr5FtRQL4tbmSdIzhx6_m4wkOD7IG-k_eo/edit#gid=0"", ""Maths!M:N""), 2, FALSE)"),"Design a set of word problems or practical scenarios that necessitate the multiplication of monomials by binomials, to apply this mathematical operation to real-life situations.")</f>
        <v>Design a set of word problems or practical scenarios that necessitate the multiplication of monomials by binomials, to apply this mathematical operation to real-life situations.</v>
      </c>
      <c r="V86" s="16">
        <f ca="1">IFERROR(__xludf.dummyfunction("ArrayFormula(VLOOKUP(G86, IMPORTRANGE(""https://docs.google.com/spreadsheets/d/1p7R4vtkWt5VOBim4ltsDG9KTzSjrtKXsMtQGXPHyND0/edit#gid=795171502"", ""'Filter 30_05_2024'!A1:M2000""), {2, 3, 4, 5,6,7,8,9,10,11,12,13}, 0))"),4)</f>
        <v>4</v>
      </c>
      <c r="W86" s="16">
        <f ca="1">IFERROR(__xludf.dummyfunction("""COMPUTED_VALUE"""),6)</f>
        <v>6</v>
      </c>
      <c r="X86" s="16">
        <f ca="1">IFERROR(__xludf.dummyfunction("""COMPUTED_VALUE"""),2)</f>
        <v>2</v>
      </c>
      <c r="Y86" s="16">
        <f ca="1">IFERROR(__xludf.dummyfunction("""COMPUTED_VALUE"""),12)</f>
        <v>12</v>
      </c>
      <c r="Z86" s="16">
        <f ca="1">IFERROR(__xludf.dummyfunction("""COMPUTED_VALUE"""),4)</f>
        <v>4</v>
      </c>
      <c r="AA86" s="30">
        <f ca="1">IFERROR(__xludf.dummyfunction("""COMPUTED_VALUE"""),3)</f>
        <v>3</v>
      </c>
      <c r="AB86" s="30">
        <f ca="1">IFERROR(__xludf.dummyfunction("""COMPUTED_VALUE"""),1)</f>
        <v>1</v>
      </c>
      <c r="AC86" s="30">
        <f ca="1">IFERROR(__xludf.dummyfunction("""COMPUTED_VALUE"""),8)</f>
        <v>8</v>
      </c>
      <c r="AD86" s="16"/>
      <c r="AE86" s="30"/>
      <c r="AF86" s="30"/>
      <c r="AG86" s="30"/>
    </row>
    <row r="87" spans="1:33" ht="26.4">
      <c r="A87" s="25"/>
      <c r="B87" s="25" t="s">
        <v>29</v>
      </c>
      <c r="C87" s="25" t="s">
        <v>310</v>
      </c>
      <c r="D87" s="25">
        <v>8</v>
      </c>
      <c r="E87" s="70" t="s">
        <v>922</v>
      </c>
      <c r="F87" s="70" t="s">
        <v>1156</v>
      </c>
      <c r="G87" s="64" t="s">
        <v>1160</v>
      </c>
      <c r="H87" s="64" t="str">
        <f ca="1">IFERROR(__xludf.dummyfunction("IFERROR(
  VLOOKUP(G87, IMPORTRANGE(""https://docs.google.com/spreadsheets/d/14deopnvwcrKtEGCKuYXdUHJbeLDZlkiSSWWT0g7x2pM/edit#gid=849066331"", ""LU List Maths (Filter)!A:B""), 2, FALSE),
  IFERROR(
    VLOOKUP(G87, IMPORTRANGE(""https://docs.google.com/s"&amp;"preadsheets/d/14deopnvwcrKtEGCKuYXdUHJbeLDZlkiSSWWT0g7x2pM/edit#gid=849066331"", ""LU List Science (Filter)!A:B""), 2, FALSE),
    ""Not Found""
  )
)
"),"Multiplication of monomial by trinomial")</f>
        <v>Multiplication of monomial by trinomial</v>
      </c>
      <c r="I87" s="64"/>
      <c r="J87" s="100" t="str">
        <f t="shared" si="12"/>
        <v>LU000698.001</v>
      </c>
      <c r="K87" s="100" t="str">
        <f ca="1">IFERROR(__xludf.dummyfunction("VLOOKUP(J87, IMPORTRANGE(""https://docs.google.com/spreadsheets/d/1yDAaXNsi4Mr5FtRQL4tbmSdIzhx6_m4wkOD7IG-k_eo/edit#gid=0"", ""Maths!M:N""), 2, FALSE)"),"List the basic rules for multiplying a monomial by a trinomial.")</f>
        <v>List the basic rules for multiplying a monomial by a trinomial.</v>
      </c>
      <c r="L87" s="100" t="str">
        <f t="shared" si="13"/>
        <v>LU000698.002</v>
      </c>
      <c r="M87" s="100" t="str">
        <f ca="1">IFERROR(__xludf.dummyfunction("VLOOKUP(L87, IMPORTRANGE(""https://docs.google.com/spreadsheets/d/1yDAaXNsi4Mr5FtRQL4tbmSdIzhx6_m4wkOD7IG-k_eo/edit#gid=0"", ""Maths!M:N""), 2, FALSE)"),"Explain the concept of multiplying a monomial by a trinomial and provide examples to illustrate the process.")</f>
        <v>Explain the concept of multiplying a monomial by a trinomial and provide examples to illustrate the process.</v>
      </c>
      <c r="N87" s="100" t="str">
        <f t="shared" si="14"/>
        <v>LU000698.003</v>
      </c>
      <c r="O87" s="100" t="str">
        <f ca="1">IFERROR(__xludf.dummyfunction("VLOOKUP(N87, IMPORTRANGE(""https://docs.google.com/spreadsheets/d/1yDAaXNsi4Mr5FtRQL4tbmSdIzhx6_m4wkOD7IG-k_eo/edit#gid=0"", ""Maths!M:N""), 2, FALSE)"),"Apply the rules of monomial multiplication to solve problems involving the multiplication of a monomial by a trinomial.")</f>
        <v>Apply the rules of monomial multiplication to solve problems involving the multiplication of a monomial by a trinomial.</v>
      </c>
      <c r="P87" s="100" t="str">
        <f t="shared" si="15"/>
        <v>LU000698.004</v>
      </c>
      <c r="Q87" s="100" t="str">
        <f ca="1">IFERROR(__xludf.dummyfunction("VLOOKUP(P87, IMPORTRANGE(""https://docs.google.com/spreadsheets/d/1yDAaXNsi4Mr5FtRQL4tbmSdIzhx6_m4wkOD7IG-k_eo/edit#gid=0"", ""Maths!M:N""), 2, FALSE)"),"Analyse the method of multiplying a monomial by a trinomial, considering the distribution of terms and applying the rules of multiplication to simplify expressions.")</f>
        <v>Analyse the method of multiplying a monomial by a trinomial, considering the distribution of terms and applying the rules of multiplication to simplify expressions.</v>
      </c>
      <c r="R87" s="100" t="str">
        <f t="shared" si="16"/>
        <v>LU000698.005</v>
      </c>
      <c r="S87" s="100" t="str">
        <f ca="1">IFERROR(__xludf.dummyfunction("VLOOKUP(R87, IMPORTRANGE(""https://docs.google.com/spreadsheets/d/1yDAaXNsi4Mr5FtRQL4tbmSdIzhx6_m4wkOD7IG-k_eo/edit#gid=0"", ""Maths!M:N""), 2, FALSE)"),"Evaluate the applicability of monomial-trinomial multiplication in real-world scenarios, identifying situations where this mathematical operation is particularly useful.")</f>
        <v>Evaluate the applicability of monomial-trinomial multiplication in real-world scenarios, identifying situations where this mathematical operation is particularly useful.</v>
      </c>
      <c r="T87" s="100" t="str">
        <f t="shared" si="17"/>
        <v>LU000698.006</v>
      </c>
      <c r="U87" s="100" t="str">
        <f ca="1">IFERROR(__xludf.dummyfunction("VLOOKUP(T87, IMPORTRANGE(""https://docs.google.com/spreadsheets/d/1yDAaXNsi4Mr5FtRQL4tbmSdIzhx6_m4wkOD7IG-k_eo/edit#gid=0"", ""Maths!M:N""), 2, FALSE)"),"Design a set of word problems or practical scenarios that necessitate the multiplication of monomials by trinomials, apply the mathematical operation to real-life situations.")</f>
        <v>Design a set of word problems or practical scenarios that necessitate the multiplication of monomials by trinomials, apply the mathematical operation to real-life situations.</v>
      </c>
      <c r="V87" s="16">
        <f ca="1">IFERROR(__xludf.dummyfunction("ArrayFormula(VLOOKUP(G87, IMPORTRANGE(""https://docs.google.com/spreadsheets/d/1p7R4vtkWt5VOBim4ltsDG9KTzSjrtKXsMtQGXPHyND0/edit#gid=795171502"", ""'Filter 30_05_2024'!A1:M2000""), {2, 3, 4, 5,6,7,8,9,10,11,12,13}, 0))"),4)</f>
        <v>4</v>
      </c>
      <c r="W87" s="16">
        <f ca="1">IFERROR(__xludf.dummyfunction("""COMPUTED_VALUE"""),6)</f>
        <v>6</v>
      </c>
      <c r="X87" s="16">
        <f ca="1">IFERROR(__xludf.dummyfunction("""COMPUTED_VALUE"""),2)</f>
        <v>2</v>
      </c>
      <c r="Y87" s="16">
        <f ca="1">IFERROR(__xludf.dummyfunction("""COMPUTED_VALUE"""),12)</f>
        <v>12</v>
      </c>
      <c r="Z87" s="16">
        <f ca="1">IFERROR(__xludf.dummyfunction("""COMPUTED_VALUE"""),4)</f>
        <v>4</v>
      </c>
      <c r="AA87" s="30">
        <f ca="1">IFERROR(__xludf.dummyfunction("""COMPUTED_VALUE"""),3)</f>
        <v>3</v>
      </c>
      <c r="AB87" s="30">
        <f ca="1">IFERROR(__xludf.dummyfunction("""COMPUTED_VALUE"""),1)</f>
        <v>1</v>
      </c>
      <c r="AC87" s="30">
        <f ca="1">IFERROR(__xludf.dummyfunction("""COMPUTED_VALUE"""),8)</f>
        <v>8</v>
      </c>
      <c r="AD87" s="16"/>
      <c r="AE87" s="30"/>
      <c r="AF87" s="30"/>
      <c r="AG87" s="30"/>
    </row>
    <row r="88" spans="1:33" ht="26.4">
      <c r="A88" s="25"/>
      <c r="B88" s="25" t="s">
        <v>29</v>
      </c>
      <c r="C88" s="25" t="s">
        <v>310</v>
      </c>
      <c r="D88" s="25">
        <v>8</v>
      </c>
      <c r="E88" s="70" t="s">
        <v>922</v>
      </c>
      <c r="F88" s="70" t="s">
        <v>1156</v>
      </c>
      <c r="G88" s="64" t="s">
        <v>1161</v>
      </c>
      <c r="H88" s="64" t="str">
        <f ca="1">IFERROR(__xludf.dummyfunction("IFERROR(
  VLOOKUP(G88, IMPORTRANGE(""https://docs.google.com/spreadsheets/d/14deopnvwcrKtEGCKuYXdUHJbeLDZlkiSSWWT0g7x2pM/edit#gid=849066331"", ""LU List Maths (Filter)!A:B""), 2, FALSE),
  IFERROR(
    VLOOKUP(G88, IMPORTRANGE(""https://docs.google.com/s"&amp;"preadsheets/d/14deopnvwcrKtEGCKuYXdUHJbeLDZlkiSSWWT0g7x2pM/edit#gid=849066331"", ""LU List Science (Filter)!A:B""), 2, FALSE),
    ""Not Found""
  )
)
"),"Multiplication of monomial by polynomial")</f>
        <v>Multiplication of monomial by polynomial</v>
      </c>
      <c r="I88" s="64"/>
      <c r="J88" s="100" t="str">
        <f t="shared" si="12"/>
        <v>LU000696.001</v>
      </c>
      <c r="K88" s="100" t="str">
        <f ca="1">IFERROR(__xludf.dummyfunction("VLOOKUP(J88, IMPORTRANGE(""https://docs.google.com/spreadsheets/d/1yDAaXNsi4Mr5FtRQL4tbmSdIzhx6_m4wkOD7IG-k_eo/edit#gid=0"", ""Maths!M:N""), 2, FALSE)"),"List the steps required to multiply a monomial by a polynomial, emphasising the order of operations.")</f>
        <v>List the steps required to multiply a monomial by a polynomial, emphasising the order of operations.</v>
      </c>
      <c r="L88" s="100" t="str">
        <f t="shared" si="13"/>
        <v>LU000696.002</v>
      </c>
      <c r="M88" s="100" t="str">
        <f ca="1">IFERROR(__xludf.dummyfunction("VLOOKUP(L88, IMPORTRANGE(""https://docs.google.com/spreadsheets/d/1yDAaXNsi4Mr5FtRQL4tbmSdIzhx6_m4wkOD7IG-k_eo/edit#gid=0"", ""Maths!M:N""), 2, FALSE)"),"Explain the concept of multiplying a monomial by a polynomial and provide examples to illustrate the process.")</f>
        <v>Explain the concept of multiplying a monomial by a polynomial and provide examples to illustrate the process.</v>
      </c>
      <c r="N88" s="100" t="str">
        <f t="shared" si="14"/>
        <v>LU000696.003</v>
      </c>
      <c r="O88" s="100" t="str">
        <f ca="1">IFERROR(__xludf.dummyfunction("VLOOKUP(N88, IMPORTRANGE(""https://docs.google.com/spreadsheets/d/1yDAaXNsi4Mr5FtRQL4tbmSdIzhx6_m4wkOD7IG-k_eo/edit#gid=0"", ""Maths!M:N""), 2, FALSE)"),"Apply the rules of monomial multiplication to solve problems involving the multiplication of a monomial by a polynomial.")</f>
        <v>Apply the rules of monomial multiplication to solve problems involving the multiplication of a monomial by a polynomial.</v>
      </c>
      <c r="P88" s="100" t="str">
        <f t="shared" si="15"/>
        <v>LU000696.004</v>
      </c>
      <c r="Q88" s="100" t="str">
        <f ca="1">IFERROR(__xludf.dummyfunction("VLOOKUP(P88, IMPORTRANGE(""https://docs.google.com/spreadsheets/d/1yDAaXNsi4Mr5FtRQL4tbmSdIzhx6_m4wkOD7IG-k_eo/edit#gid=0"", ""Maths!M:N""), 2, FALSE)"),"Analyse the process of multiplying a monomial by a polynomial, considering the distribution of terms and applying the rules of multiplication to simplify expressions.")</f>
        <v>Analyse the process of multiplying a monomial by a polynomial, considering the distribution of terms and applying the rules of multiplication to simplify expressions.</v>
      </c>
      <c r="R88" s="100" t="str">
        <f t="shared" si="16"/>
        <v>LU000696.005</v>
      </c>
      <c r="S88" s="100" t="str">
        <f ca="1">IFERROR(__xludf.dummyfunction("VLOOKUP(R88, IMPORTRANGE(""https://docs.google.com/spreadsheets/d/1yDAaXNsi4Mr5FtRQL4tbmSdIzhx6_m4wkOD7IG-k_eo/edit#gid=0"", ""Maths!M:N""), 2, FALSE)"),"Evaluate the applicability of monomial-polynomial multiplication in real-world scenarios, identifying situations where this mathematical operation is particularly useful.")</f>
        <v>Evaluate the applicability of monomial-polynomial multiplication in real-world scenarios, identifying situations where this mathematical operation is particularly useful.</v>
      </c>
      <c r="T88" s="100" t="str">
        <f t="shared" si="17"/>
        <v>LU000696.006</v>
      </c>
      <c r="U88" s="100" t="str">
        <f ca="1">IFERROR(__xludf.dummyfunction("VLOOKUP(T88, IMPORTRANGE(""https://docs.google.com/spreadsheets/d/1yDAaXNsi4Mr5FtRQL4tbmSdIzhx6_m4wkOD7IG-k_eo/edit#gid=0"", ""Maths!M:N""), 2, FALSE)"),"Design a set of word problems or practical scenarios that necessitate the multiplication of monomials by polynomials and apply this mathematical operation to real-life situations.")</f>
        <v>Design a set of word problems or practical scenarios that necessitate the multiplication of monomials by polynomials and apply this mathematical operation to real-life situations.</v>
      </c>
      <c r="V88" s="16">
        <f ca="1">IFERROR(__xludf.dummyfunction("ArrayFormula(VLOOKUP(G88, IMPORTRANGE(""https://docs.google.com/spreadsheets/d/1p7R4vtkWt5VOBim4ltsDG9KTzSjrtKXsMtQGXPHyND0/edit#gid=795171502"", ""'Filter 30_05_2024'!A1:M2000""), {2, 3, 4, 5,6,7,8,9,10,11,12,13}, 0))"),3)</f>
        <v>3</v>
      </c>
      <c r="W88" s="16">
        <f ca="1">IFERROR(__xludf.dummyfunction("""COMPUTED_VALUE"""),6)</f>
        <v>6</v>
      </c>
      <c r="X88" s="16">
        <f ca="1">IFERROR(__xludf.dummyfunction("""COMPUTED_VALUE"""),2)</f>
        <v>2</v>
      </c>
      <c r="Y88" s="16">
        <f ca="1">IFERROR(__xludf.dummyfunction("""COMPUTED_VALUE"""),11)</f>
        <v>11</v>
      </c>
      <c r="Z88" s="16">
        <f ca="1">IFERROR(__xludf.dummyfunction("""COMPUTED_VALUE"""),5)</f>
        <v>5</v>
      </c>
      <c r="AA88" s="30">
        <f ca="1">IFERROR(__xludf.dummyfunction("""COMPUTED_VALUE"""),3)</f>
        <v>3</v>
      </c>
      <c r="AB88" s="30">
        <f ca="1">IFERROR(__xludf.dummyfunction("""COMPUTED_VALUE"""),1)</f>
        <v>1</v>
      </c>
      <c r="AC88" s="30">
        <f ca="1">IFERROR(__xludf.dummyfunction("""COMPUTED_VALUE"""),9)</f>
        <v>9</v>
      </c>
      <c r="AD88" s="16"/>
      <c r="AE88" s="30"/>
      <c r="AF88" s="30"/>
      <c r="AG88" s="30"/>
    </row>
    <row r="89" spans="1:33" ht="26.4">
      <c r="A89" s="25"/>
      <c r="B89" s="25" t="s">
        <v>29</v>
      </c>
      <c r="C89" s="25" t="s">
        <v>310</v>
      </c>
      <c r="D89" s="25">
        <v>8</v>
      </c>
      <c r="E89" s="70" t="s">
        <v>922</v>
      </c>
      <c r="F89" s="70" t="s">
        <v>1162</v>
      </c>
      <c r="G89" s="64" t="s">
        <v>1163</v>
      </c>
      <c r="H89" s="64" t="str">
        <f ca="1">IFERROR(__xludf.dummyfunction("IFERROR(
  VLOOKUP(G89, IMPORTRANGE(""https://docs.google.com/spreadsheets/d/14deopnvwcrKtEGCKuYXdUHJbeLDZlkiSSWWT0g7x2pM/edit#gid=849066331"", ""LU List Maths (Filter)!A:B""), 2, FALSE),
  IFERROR(
    VLOOKUP(G89, IMPORTRANGE(""https://docs.google.com/s"&amp;"preadsheets/d/14deopnvwcrKtEGCKuYXdUHJbeLDZlkiSSWWT0g7x2pM/edit#gid=849066331"", ""LU List Science (Filter)!A:B""), 2, FALSE),
    ""Not Found""
  )
)
"),"Multiplication of binomial by binomial")</f>
        <v>Multiplication of binomial by binomial</v>
      </c>
      <c r="I89" s="64"/>
      <c r="J89" s="100" t="str">
        <f t="shared" si="12"/>
        <v>LU000700.001</v>
      </c>
      <c r="K89" s="100" t="str">
        <f ca="1">IFERROR(__xludf.dummyfunction("VLOOKUP(J89, IMPORTRANGE(""https://docs.google.com/spreadsheets/d/1yDAaXNsi4Mr5FtRQL4tbmSdIzhx6_m4wkOD7IG-k_eo/edit#gid=0"", ""Maths!M:N""), 2, FALSE)"),"Recall the basic rules for multiplying a binomial by binomial.")</f>
        <v>Recall the basic rules for multiplying a binomial by binomial.</v>
      </c>
      <c r="L89" s="100" t="str">
        <f t="shared" si="13"/>
        <v>LU000700.002</v>
      </c>
      <c r="M89" s="100" t="str">
        <f ca="1">IFERROR(__xludf.dummyfunction("VLOOKUP(L89, IMPORTRANGE(""https://docs.google.com/spreadsheets/d/1yDAaXNsi4Mr5FtRQL4tbmSdIzhx6_m4wkOD7IG-k_eo/edit#gid=0"", ""Maths!M:N""), 2, FALSE)"),"Explain the concept of binomial multiplication, including terms, coefficients, and the distributive property.")</f>
        <v>Explain the concept of binomial multiplication, including terms, coefficients, and the distributive property.</v>
      </c>
      <c r="N89" s="100" t="str">
        <f t="shared" si="14"/>
        <v>LU000700.003</v>
      </c>
      <c r="O89" s="100" t="str">
        <f ca="1">IFERROR(__xludf.dummyfunction("VLOOKUP(N89, IMPORTRANGE(""https://docs.google.com/spreadsheets/d/1yDAaXNsi4Mr5FtRQL4tbmSdIzhx6_m4wkOD7IG-k_eo/edit#gid=0"", ""Maths!M:N""), 2, FALSE)"),"Apply the rules of binomial multiplication to solve problems involving the multiplication of two binomials.")</f>
        <v>Apply the rules of binomial multiplication to solve problems involving the multiplication of two binomials.</v>
      </c>
      <c r="P89" s="100" t="str">
        <f t="shared" si="15"/>
        <v>LU000700.004</v>
      </c>
      <c r="Q89" s="100" t="str">
        <f ca="1">IFERROR(__xludf.dummyfunction("VLOOKUP(P89, IMPORTRANGE(""https://docs.google.com/spreadsheets/d/1yDAaXNsi4Mr5FtRQL4tbmSdIzhx6_m4wkOD7IG-k_eo/edit#gid=0"", ""Maths!M:N""), 2, FALSE)"),"Analyse the method of multiplying a binomial by another binomial, considering the distribution of terms and applying the rules of multiplication to simplify expressions.")</f>
        <v>Analyse the method of multiplying a binomial by another binomial, considering the distribution of terms and applying the rules of multiplication to simplify expressions.</v>
      </c>
      <c r="R89" s="100" t="str">
        <f t="shared" si="16"/>
        <v>LU000700.005</v>
      </c>
      <c r="S89" s="100" t="str">
        <f ca="1">IFERROR(__xludf.dummyfunction("VLOOKUP(R89, IMPORTRANGE(""https://docs.google.com/spreadsheets/d/1yDAaXNsi4Mr5FtRQL4tbmSdIzhx6_m4wkOD7IG-k_eo/edit#gid=0"", ""Maths!M:N""), 2, FALSE)"),"Evaluate and critique solutions for problems related to binomial multiplication, assessing the accuracy and clarity of the solutions.")</f>
        <v>Evaluate and critique solutions for problems related to binomial multiplication, assessing the accuracy and clarity of the solutions.</v>
      </c>
      <c r="T89" s="100" t="str">
        <f t="shared" si="17"/>
        <v>LU000700.006</v>
      </c>
      <c r="U89" s="100" t="str">
        <f ca="1">IFERROR(__xludf.dummyfunction("VLOOKUP(T89, IMPORTRANGE(""https://docs.google.com/spreadsheets/d/1yDAaXNsi4Mr5FtRQL4tbmSdIzhx6_m4wkOD7IG-k_eo/edit#gid=0"", ""Maths!M:N""), 2, FALSE)"),"Generate a set of binomial expressions that require multiplication, simplify and solve them, fostering creativity and the application of binomial multiplication principles.")</f>
        <v>Generate a set of binomial expressions that require multiplication, simplify and solve them, fostering creativity and the application of binomial multiplication principles.</v>
      </c>
      <c r="V89" s="16">
        <f ca="1">IFERROR(__xludf.dummyfunction("ArrayFormula(VLOOKUP(G89, IMPORTRANGE(""https://docs.google.com/spreadsheets/d/1p7R4vtkWt5VOBim4ltsDG9KTzSjrtKXsMtQGXPHyND0/edit#gid=795171502"", ""'Filter 30_05_2024'!A1:M2000""), {2, 3, 4, 5,6,7,8,9,10,11,12,13}, 0))"),4)</f>
        <v>4</v>
      </c>
      <c r="W89" s="16">
        <f ca="1">IFERROR(__xludf.dummyfunction("""COMPUTED_VALUE"""),6)</f>
        <v>6</v>
      </c>
      <c r="X89" s="16">
        <f ca="1">IFERROR(__xludf.dummyfunction("""COMPUTED_VALUE"""),2)</f>
        <v>2</v>
      </c>
      <c r="Y89" s="16">
        <f ca="1">IFERROR(__xludf.dummyfunction("""COMPUTED_VALUE"""),12)</f>
        <v>12</v>
      </c>
      <c r="Z89" s="16">
        <f ca="1">IFERROR(__xludf.dummyfunction("""COMPUTED_VALUE"""),4)</f>
        <v>4</v>
      </c>
      <c r="AA89" s="30">
        <f ca="1">IFERROR(__xludf.dummyfunction("""COMPUTED_VALUE"""),3)</f>
        <v>3</v>
      </c>
      <c r="AB89" s="30">
        <f ca="1">IFERROR(__xludf.dummyfunction("""COMPUTED_VALUE"""),1)</f>
        <v>1</v>
      </c>
      <c r="AC89" s="30">
        <f ca="1">IFERROR(__xludf.dummyfunction("""COMPUTED_VALUE"""),8)</f>
        <v>8</v>
      </c>
      <c r="AD89" s="16"/>
      <c r="AE89" s="30"/>
      <c r="AF89" s="30"/>
      <c r="AG89" s="30"/>
    </row>
    <row r="90" spans="1:33" ht="26.4">
      <c r="A90" s="25"/>
      <c r="B90" s="25" t="s">
        <v>29</v>
      </c>
      <c r="C90" s="25" t="s">
        <v>310</v>
      </c>
      <c r="D90" s="25">
        <v>8</v>
      </c>
      <c r="E90" s="70" t="s">
        <v>922</v>
      </c>
      <c r="F90" s="70" t="s">
        <v>1162</v>
      </c>
      <c r="G90" s="64" t="s">
        <v>1164</v>
      </c>
      <c r="H90" s="64" t="str">
        <f ca="1">IFERROR(__xludf.dummyfunction("IFERROR(
  VLOOKUP(G90, IMPORTRANGE(""https://docs.google.com/spreadsheets/d/14deopnvwcrKtEGCKuYXdUHJbeLDZlkiSSWWT0g7x2pM/edit#gid=849066331"", ""LU List Maths (Filter)!A:B""), 2, FALSE),
  IFERROR(
    VLOOKUP(G90, IMPORTRANGE(""https://docs.google.com/s"&amp;"preadsheets/d/14deopnvwcrKtEGCKuYXdUHJbeLDZlkiSSWWT0g7x2pM/edit#gid=849066331"", ""LU List Science (Filter)!A:B""), 2, FALSE),
    ""Not Found""
  )
)
"),"Visual representation of multiplication of algebraic expressions")</f>
        <v>Visual representation of multiplication of algebraic expressions</v>
      </c>
      <c r="I90" s="64"/>
      <c r="J90" s="100" t="str">
        <f t="shared" si="12"/>
        <v>LU000779.001</v>
      </c>
      <c r="K90" s="100" t="str">
        <f ca="1">IFERROR(__xludf.dummyfunction("VLOOKUP(J90, IMPORTRANGE(""https://docs.google.com/spreadsheets/d/1yDAaXNsi4Mr5FtRQL4tbmSdIzhx6_m4wkOD7IG-k_eo/edit#gid=0"", ""Maths!M:N""), 2, FALSE)"),"Recall the multiplication of algebraic terms through the use of diagrams.")</f>
        <v>Recall the multiplication of algebraic terms through the use of diagrams.</v>
      </c>
      <c r="L90" s="100" t="str">
        <f t="shared" si="13"/>
        <v>LU000779.002</v>
      </c>
      <c r="M90" s="100" t="str">
        <f ca="1">IFERROR(__xludf.dummyfunction("VLOOKUP(L90, IMPORTRANGE(""https://docs.google.com/spreadsheets/d/1yDAaXNsi4Mr5FtRQL4tbmSdIzhx6_m4wkOD7IG-k_eo/edit#gid=0"", ""Maths!M:N""), 2, FALSE)"),"Explain why visual representation is a useful method for multiplying algebraic expressions.")</f>
        <v>Explain why visual representation is a useful method for multiplying algebraic expressions.</v>
      </c>
      <c r="N90" s="100" t="str">
        <f t="shared" si="14"/>
        <v>LU000779.003</v>
      </c>
      <c r="O90" s="100" t="str">
        <f ca="1">IFERROR(__xludf.dummyfunction("VLOOKUP(N90, IMPORTRANGE(""https://docs.google.com/spreadsheets/d/1yDAaXNsi4Mr5FtRQL4tbmSdIzhx6_m4wkOD7IG-k_eo/edit#gid=0"", ""Maths!M:N""), 2, FALSE)"),"Use visual representation to multiply basic algebraic expressions.")</f>
        <v>Use visual representation to multiply basic algebraic expressions.</v>
      </c>
      <c r="P90" s="100" t="str">
        <f t="shared" si="15"/>
        <v>LU000779.004</v>
      </c>
      <c r="Q90" s="100" t="str">
        <f ca="1">IFERROR(__xludf.dummyfunction("VLOOKUP(P90, IMPORTRANGE(""https://docs.google.com/spreadsheets/d/1yDAaXNsi4Mr5FtRQL4tbmSdIzhx6_m4wkOD7IG-k_eo/edit#gid=0"", ""Maths!M:N""), 2, FALSE)"),"Compare the visual representation method to traditional algebraic methods.")</f>
        <v>Compare the visual representation method to traditional algebraic methods.</v>
      </c>
      <c r="R90" s="100" t="str">
        <f t="shared" si="16"/>
        <v>LU000779.005</v>
      </c>
      <c r="S90" s="100" t="str">
        <f ca="1">IFERROR(__xludf.dummyfunction("VLOOKUP(R90, IMPORTRANGE(""https://docs.google.com/spreadsheets/d/1yDAaXNsi4Mr5FtRQL4tbmSdIzhx6_m4wkOD7IG-k_eo/edit#gid=0"", ""Maths!M:N""), 2, FALSE)"),"Assess the effectiveness of visual representation in different types of algebraic multiplication scenarios.")</f>
        <v>Assess the effectiveness of visual representation in different types of algebraic multiplication scenarios.</v>
      </c>
      <c r="T90" s="100" t="str">
        <f t="shared" si="17"/>
        <v>LU000779.006</v>
      </c>
      <c r="U90" s="100" t="str">
        <f ca="1">IFERROR(__xludf.dummyfunction("VLOOKUP(T90, IMPORTRANGE(""https://docs.google.com/spreadsheets/d/1yDAaXNsi4Mr5FtRQL4tbmSdIzhx6_m4wkOD7IG-k_eo/edit#gid=0"", ""Maths!M:N""), 2, FALSE)"),"Develop new ways or strategies of using visual representation to multiply more complex algebraic expressions.")</f>
        <v>Develop new ways or strategies of using visual representation to multiply more complex algebraic expressions.</v>
      </c>
      <c r="V90" s="16">
        <f ca="1">IFERROR(__xludf.dummyfunction("ArrayFormula(VLOOKUP(G90, IMPORTRANGE(""https://docs.google.com/spreadsheets/d/1p7R4vtkWt5VOBim4ltsDG9KTzSjrtKXsMtQGXPHyND0/edit#gid=795171502"", ""'Filter 30_05_2024'!A1:M2000""), {2, 3, 4, 5,6,7,8,9,10,11,12,13}, 0))"),4)</f>
        <v>4</v>
      </c>
      <c r="W90" s="16">
        <f ca="1">IFERROR(__xludf.dummyfunction("""COMPUTED_VALUE"""),6)</f>
        <v>6</v>
      </c>
      <c r="X90" s="16">
        <f ca="1">IFERROR(__xludf.dummyfunction("""COMPUTED_VALUE"""),2)</f>
        <v>2</v>
      </c>
      <c r="Y90" s="16">
        <f ca="1">IFERROR(__xludf.dummyfunction("""COMPUTED_VALUE"""),12)</f>
        <v>12</v>
      </c>
      <c r="Z90" s="16">
        <f ca="1">IFERROR(__xludf.dummyfunction("""COMPUTED_VALUE"""),4)</f>
        <v>4</v>
      </c>
      <c r="AA90" s="30">
        <f ca="1">IFERROR(__xludf.dummyfunction("""COMPUTED_VALUE"""),3)</f>
        <v>3</v>
      </c>
      <c r="AB90" s="30">
        <f ca="1">IFERROR(__xludf.dummyfunction("""COMPUTED_VALUE"""),1)</f>
        <v>1</v>
      </c>
      <c r="AC90" s="30">
        <f ca="1">IFERROR(__xludf.dummyfunction("""COMPUTED_VALUE"""),8)</f>
        <v>8</v>
      </c>
      <c r="AD90" s="16"/>
      <c r="AE90" s="30"/>
      <c r="AF90" s="30"/>
      <c r="AG90" s="30"/>
    </row>
    <row r="91" spans="1:33" ht="26.4">
      <c r="A91" s="25"/>
      <c r="B91" s="25" t="s">
        <v>29</v>
      </c>
      <c r="C91" s="25" t="s">
        <v>310</v>
      </c>
      <c r="D91" s="25">
        <v>8</v>
      </c>
      <c r="E91" s="70" t="s">
        <v>922</v>
      </c>
      <c r="F91" s="70" t="s">
        <v>1162</v>
      </c>
      <c r="G91" s="64" t="s">
        <v>1165</v>
      </c>
      <c r="H91" s="64" t="str">
        <f ca="1">IFERROR(__xludf.dummyfunction("IFERROR(
  VLOOKUP(G91, IMPORTRANGE(""https://docs.google.com/spreadsheets/d/14deopnvwcrKtEGCKuYXdUHJbeLDZlkiSSWWT0g7x2pM/edit#gid=849066331"", ""LU List Maths (Filter)!A:B""), 2, FALSE),
  IFERROR(
    VLOOKUP(G91, IMPORTRANGE(""https://docs.google.com/s"&amp;"preadsheets/d/14deopnvwcrKtEGCKuYXdUHJbeLDZlkiSSWWT0g7x2pM/edit#gid=849066331"", ""LU List Science (Filter)!A:B""), 2, FALSE),
    ""Not Found""
  )
)
"),"Multiplication of binomial by trinomial")</f>
        <v>Multiplication of binomial by trinomial</v>
      </c>
      <c r="I91" s="64"/>
      <c r="J91" s="100" t="str">
        <f t="shared" si="12"/>
        <v>LU000701.001</v>
      </c>
      <c r="K91" s="100" t="str">
        <f ca="1">IFERROR(__xludf.dummyfunction("VLOOKUP(J91, IMPORTRANGE(""https://docs.google.com/spreadsheets/d/1yDAaXNsi4Mr5FtRQL4tbmSdIzhx6_m4wkOD7IG-k_eo/edit#gid=0"", ""Maths!M:N""), 2, FALSE)"),"List the basic rules for multiplying a binomial by a trinomial.")</f>
        <v>List the basic rules for multiplying a binomial by a trinomial.</v>
      </c>
      <c r="L91" s="100" t="str">
        <f t="shared" si="13"/>
        <v>LU000701.002</v>
      </c>
      <c r="M91" s="100" t="str">
        <f ca="1">IFERROR(__xludf.dummyfunction("VLOOKUP(L91, IMPORTRANGE(""https://docs.google.com/spreadsheets/d/1yDAaXNsi4Mr5FtRQL4tbmSdIzhx6_m4wkOD7IG-k_eo/edit#gid=0"", ""Maths!M:N""), 2, FALSE)"),"Explain the concept of multiplying a binomial by a trinomial and provide examples to illustrate the process.")</f>
        <v>Explain the concept of multiplying a binomial by a trinomial and provide examples to illustrate the process.</v>
      </c>
      <c r="N91" s="100" t="str">
        <f t="shared" si="14"/>
        <v>LU000701.003</v>
      </c>
      <c r="O91" s="100" t="str">
        <f ca="1">IFERROR(__xludf.dummyfunction("VLOOKUP(N91, IMPORTRANGE(""https://docs.google.com/spreadsheets/d/1yDAaXNsi4Mr5FtRQL4tbmSdIzhx6_m4wkOD7IG-k_eo/edit#gid=0"", ""Maths!M:N""), 2, FALSE)"),"Apply the rules of binomial multiplication to solve problems involving the multiplication of a binomial by a trinomial.")</f>
        <v>Apply the rules of binomial multiplication to solve problems involving the multiplication of a binomial by a trinomial.</v>
      </c>
      <c r="P91" s="100" t="str">
        <f t="shared" si="15"/>
        <v>LU000701.004</v>
      </c>
      <c r="Q91" s="100" t="str">
        <f ca="1">IFERROR(__xludf.dummyfunction("VLOOKUP(P91, IMPORTRANGE(""https://docs.google.com/spreadsheets/d/1yDAaXNsi4Mr5FtRQL4tbmSdIzhx6_m4wkOD7IG-k_eo/edit#gid=0"", ""Maths!M:N""), 2, FALSE)"),"Analyse the process of multiplying a binomial by a trinomial, considering the distribution of terms and applying the rules of multiplication to simplify expressions.")</f>
        <v>Analyse the process of multiplying a binomial by a trinomial, considering the distribution of terms and applying the rules of multiplication to simplify expressions.</v>
      </c>
      <c r="R91" s="100" t="str">
        <f t="shared" si="16"/>
        <v>LU000701.005</v>
      </c>
      <c r="S91" s="100" t="str">
        <f ca="1">IFERROR(__xludf.dummyfunction("VLOOKUP(R91, IMPORTRANGE(""https://docs.google.com/spreadsheets/d/1yDAaXNsi4Mr5FtRQL4tbmSdIzhx6_m4wkOD7IG-k_eo/edit#gid=0"", ""Maths!M:N""), 2, FALSE)"),"Evaluate the applicability of binomial-trinomial multiplication in real-world scenarios, identifying situations where this mathematical operation is particularly useful.")</f>
        <v>Evaluate the applicability of binomial-trinomial multiplication in real-world scenarios, identifying situations where this mathematical operation is particularly useful.</v>
      </c>
      <c r="T91" s="100" t="str">
        <f t="shared" si="17"/>
        <v>LU000701.006</v>
      </c>
      <c r="U91" s="100" t="str">
        <f ca="1">IFERROR(__xludf.dummyfunction("VLOOKUP(T91, IMPORTRANGE(""https://docs.google.com/spreadsheets/d/1yDAaXNsi4Mr5FtRQL4tbmSdIzhx6_m4wkOD7IG-k_eo/edit#gid=0"", ""Maths!M:N""), 2, FALSE)"),"Design a set of word problems or practical scenarios that necessitate the multiplication of binomials by trinomials, apply this mathematical operation to real-life situations.")</f>
        <v>Design a set of word problems or practical scenarios that necessitate the multiplication of binomials by trinomials, apply this mathematical operation to real-life situations.</v>
      </c>
      <c r="V91" s="16">
        <f ca="1">IFERROR(__xludf.dummyfunction("ArrayFormula(VLOOKUP(G91, IMPORTRANGE(""https://docs.google.com/spreadsheets/d/1p7R4vtkWt5VOBim4ltsDG9KTzSjrtKXsMtQGXPHyND0/edit#gid=795171502"", ""'Filter 30_05_2024'!A1:M2000""), {2, 3, 4, 5,6,7,8,9,10,11,12,13}, 0))"),4)</f>
        <v>4</v>
      </c>
      <c r="W91" s="16">
        <f ca="1">IFERROR(__xludf.dummyfunction("""COMPUTED_VALUE"""),6)</f>
        <v>6</v>
      </c>
      <c r="X91" s="16">
        <f ca="1">IFERROR(__xludf.dummyfunction("""COMPUTED_VALUE"""),2)</f>
        <v>2</v>
      </c>
      <c r="Y91" s="16">
        <f ca="1">IFERROR(__xludf.dummyfunction("""COMPUTED_VALUE"""),12)</f>
        <v>12</v>
      </c>
      <c r="Z91" s="16">
        <f ca="1">IFERROR(__xludf.dummyfunction("""COMPUTED_VALUE"""),4)</f>
        <v>4</v>
      </c>
      <c r="AA91" s="30">
        <f ca="1">IFERROR(__xludf.dummyfunction("""COMPUTED_VALUE"""),3)</f>
        <v>3</v>
      </c>
      <c r="AB91" s="30">
        <f ca="1">IFERROR(__xludf.dummyfunction("""COMPUTED_VALUE"""),1)</f>
        <v>1</v>
      </c>
      <c r="AC91" s="30">
        <f ca="1">IFERROR(__xludf.dummyfunction("""COMPUTED_VALUE"""),8)</f>
        <v>8</v>
      </c>
      <c r="AD91" s="16"/>
      <c r="AE91" s="30"/>
      <c r="AF91" s="30"/>
      <c r="AG91" s="30"/>
    </row>
    <row r="92" spans="1:33" ht="26.4">
      <c r="A92" s="25"/>
      <c r="B92" s="25" t="s">
        <v>29</v>
      </c>
      <c r="C92" s="25" t="s">
        <v>310</v>
      </c>
      <c r="D92" s="25">
        <v>8</v>
      </c>
      <c r="E92" s="70" t="s">
        <v>922</v>
      </c>
      <c r="F92" s="70" t="s">
        <v>1166</v>
      </c>
      <c r="G92" s="64" t="s">
        <v>1167</v>
      </c>
      <c r="H92" s="64" t="str">
        <f ca="1">IFERROR(__xludf.dummyfunction("IFERROR(
  VLOOKUP(G92, IMPORTRANGE(""https://docs.google.com/spreadsheets/d/14deopnvwcrKtEGCKuYXdUHJbeLDZlkiSSWWT0g7x2pM/edit#gid=849066331"", ""LU List Maths (Filter)!A:B""), 2, FALSE),
  IFERROR(
    VLOOKUP(G92, IMPORTRANGE(""https://docs.google.com/s"&amp;"preadsheets/d/14deopnvwcrKtEGCKuYXdUHJbeLDZlkiSSWWT0g7x2pM/edit#gid=849066331"", ""LU List Science (Filter)!A:B""), 2, FALSE),
    ""Not Found""
  )
)
"),"Multiplication of polynomial by polynomial")</f>
        <v>Multiplication of polynomial by polynomial</v>
      </c>
      <c r="I92" s="64"/>
      <c r="J92" s="100" t="str">
        <f t="shared" si="12"/>
        <v>LU000699.001</v>
      </c>
      <c r="K92" s="100" t="str">
        <f ca="1">IFERROR(__xludf.dummyfunction("VLOOKUP(J92, IMPORTRANGE(""https://docs.google.com/spreadsheets/d/1yDAaXNsi4Mr5FtRQL4tbmSdIzhx6_m4wkOD7IG-k_eo/edit#gid=0"", ""Maths!M:N""), 2, FALSE)"),"Recall the basic rules for multiplying two polynomials.")</f>
        <v>Recall the basic rules for multiplying two polynomials.</v>
      </c>
      <c r="L92" s="100" t="str">
        <f t="shared" si="13"/>
        <v>LU000699.002</v>
      </c>
      <c r="M92" s="100" t="str">
        <f ca="1">IFERROR(__xludf.dummyfunction("VLOOKUP(L92, IMPORTRANGE(""https://docs.google.com/spreadsheets/d/1yDAaXNsi4Mr5FtRQL4tbmSdIzhx6_m4wkOD7IG-k_eo/edit#gid=0"", ""Maths!M:N""), 2, FALSE)"),"Explain the concept of polynomial multiplication, including terms, coefficients, and the distributive property.")</f>
        <v>Explain the concept of polynomial multiplication, including terms, coefficients, and the distributive property.</v>
      </c>
      <c r="N92" s="100" t="str">
        <f t="shared" si="14"/>
        <v>LU000699.003</v>
      </c>
      <c r="O92" s="100" t="str">
        <f ca="1">IFERROR(__xludf.dummyfunction("VLOOKUP(N92, IMPORTRANGE(""https://docs.google.com/spreadsheets/d/1yDAaXNsi4Mr5FtRQL4tbmSdIzhx6_m4wkOD7IG-k_eo/edit#gid=0"", ""Maths!M:N""), 2, FALSE)"),"Apply the rules of polynomial multiplication to solve problems involving the multiplication of two polynomials.")</f>
        <v>Apply the rules of polynomial multiplication to solve problems involving the multiplication of two polynomials.</v>
      </c>
      <c r="P92" s="100" t="str">
        <f t="shared" si="15"/>
        <v>LU000699.004</v>
      </c>
      <c r="Q92" s="100" t="str">
        <f ca="1">IFERROR(__xludf.dummyfunction("VLOOKUP(P92, IMPORTRANGE(""https://docs.google.com/spreadsheets/d/1yDAaXNsi4Mr5FtRQL4tbmSdIzhx6_m4wkOD7IG-k_eo/edit#gid=0"", ""Maths!M:N""), 2, FALSE)"),"Analyse the procedure for multiplying a polynomial by another polynomial, focusing on the distribution of terms and applying the rules of multiplication to simplify expressions.")</f>
        <v>Analyse the procedure for multiplying a polynomial by another polynomial, focusing on the distribution of terms and applying the rules of multiplication to simplify expressions.</v>
      </c>
      <c r="R92" s="100" t="str">
        <f t="shared" si="16"/>
        <v>LU000699.005</v>
      </c>
      <c r="S92" s="100" t="str">
        <f ca="1">IFERROR(__xludf.dummyfunction("VLOOKUP(R92, IMPORTRANGE(""https://docs.google.com/spreadsheets/d/1yDAaXNsi4Mr5FtRQL4tbmSdIzhx6_m4wkOD7IG-k_eo/edit#gid=0"", ""Maths!M:N""), 2, FALSE)"),"Evaluate and critique solutions provided for problems related to polynomial multiplication, assessing the accuracy and clarity of the solutions.")</f>
        <v>Evaluate and critique solutions provided for problems related to polynomial multiplication, assessing the accuracy and clarity of the solutions.</v>
      </c>
      <c r="T92" s="100" t="str">
        <f t="shared" si="17"/>
        <v>LU000699.006</v>
      </c>
      <c r="U92" s="100" t="str">
        <f ca="1">IFERROR(__xludf.dummyfunction("VLOOKUP(T92, IMPORTRANGE(""https://docs.google.com/spreadsheets/d/1yDAaXNsi4Mr5FtRQL4tbmSdIzhx6_m4wkOD7IG-k_eo/edit#gid=0"", ""Maths!M:N""), 2, FALSE)"),"Generate a set of polynomial expressions that require multiplication, simplify and solve them and the application of polynomial multiplication principles.")</f>
        <v>Generate a set of polynomial expressions that require multiplication, simplify and solve them and the application of polynomial multiplication principles.</v>
      </c>
      <c r="V92" s="16">
        <f ca="1">IFERROR(__xludf.dummyfunction("ArrayFormula(VLOOKUP(G92, IMPORTRANGE(""https://docs.google.com/spreadsheets/d/1p7R4vtkWt5VOBim4ltsDG9KTzSjrtKXsMtQGXPHyND0/edit#gid=795171502"", ""'Filter 30_05_2024'!A1:M2000""), {2, 3, 4, 5,6,7,8,9,10,11,12,13}, 0))"),4)</f>
        <v>4</v>
      </c>
      <c r="W92" s="16">
        <f ca="1">IFERROR(__xludf.dummyfunction("""COMPUTED_VALUE"""),6)</f>
        <v>6</v>
      </c>
      <c r="X92" s="16">
        <f ca="1">IFERROR(__xludf.dummyfunction("""COMPUTED_VALUE"""),2)</f>
        <v>2</v>
      </c>
      <c r="Y92" s="16">
        <f ca="1">IFERROR(__xludf.dummyfunction("""COMPUTED_VALUE"""),12)</f>
        <v>12</v>
      </c>
      <c r="Z92" s="16">
        <f ca="1">IFERROR(__xludf.dummyfunction("""COMPUTED_VALUE"""),4)</f>
        <v>4</v>
      </c>
      <c r="AA92" s="30">
        <f ca="1">IFERROR(__xludf.dummyfunction("""COMPUTED_VALUE"""),3)</f>
        <v>3</v>
      </c>
      <c r="AB92" s="30">
        <f ca="1">IFERROR(__xludf.dummyfunction("""COMPUTED_VALUE"""),1)</f>
        <v>1</v>
      </c>
      <c r="AC92" s="30">
        <f ca="1">IFERROR(__xludf.dummyfunction("""COMPUTED_VALUE"""),8)</f>
        <v>8</v>
      </c>
      <c r="AD92" s="16"/>
      <c r="AE92" s="30"/>
      <c r="AF92" s="30"/>
      <c r="AG92" s="30"/>
    </row>
    <row r="93" spans="1:33" ht="26.4">
      <c r="A93" s="25"/>
      <c r="B93" s="25" t="s">
        <v>29</v>
      </c>
      <c r="C93" s="25" t="s">
        <v>310</v>
      </c>
      <c r="D93" s="25">
        <v>8</v>
      </c>
      <c r="E93" s="70" t="s">
        <v>922</v>
      </c>
      <c r="F93" s="70" t="s">
        <v>1168</v>
      </c>
      <c r="G93" s="64" t="s">
        <v>1169</v>
      </c>
      <c r="H93" s="64" t="str">
        <f ca="1">IFERROR(__xludf.dummyfunction("IFERROR(
  VLOOKUP(G93, IMPORTRANGE(""https://docs.google.com/spreadsheets/d/14deopnvwcrKtEGCKuYXdUHJbeLDZlkiSSWWT0g7x2pM/edit#gid=849066331"", ""LU List Maths (Filter)!A:B""), 2, FALSE),
  IFERROR(
    VLOOKUP(G93, IMPORTRANGE(""https://docs.google.com/s"&amp;"preadsheets/d/14deopnvwcrKtEGCKuYXdUHJbeLDZlkiSSWWT0g7x2pM/edit#gid=849066331"", ""LU List Science (Filter)!A:B""), 2, FALSE),
    ""Not Found""
  )
)
"),"Terms (dividend, divisor, quotient and remainder) related to division algorithm in terms of algebraic expressions")</f>
        <v>Terms (dividend, divisor, quotient and remainder) related to division algorithm in terms of algebraic expressions</v>
      </c>
      <c r="I93" s="64"/>
      <c r="J93" s="100" t="str">
        <f t="shared" si="12"/>
        <v>LU000711.001</v>
      </c>
      <c r="K93" s="100" t="str">
        <f ca="1">IFERROR(__xludf.dummyfunction("VLOOKUP(J93, IMPORTRANGE(""https://docs.google.com/spreadsheets/d/1yDAaXNsi4Mr5FtRQL4tbmSdIzhx6_m4wkOD7IG-k_eo/edit#gid=0"", ""Maths!M:N""), 2, FALSE)"),"List and define the terms ""dividend,"" ""divisor,"" ""quotient,"" and ""remainder"" in the context of the division algorithm.")</f>
        <v>List and define the terms "dividend," "divisor," "quotient," and "remainder" in the context of the division algorithm.</v>
      </c>
      <c r="L93" s="100" t="str">
        <f t="shared" si="13"/>
        <v>LU000711.002</v>
      </c>
      <c r="M93" s="100" t="str">
        <f ca="1">IFERROR(__xludf.dummyfunction("VLOOKUP(L93, IMPORTRANGE(""https://docs.google.com/spreadsheets/d/1yDAaXNsi4Mr5FtRQL4tbmSdIzhx6_m4wkOD7IG-k_eo/edit#gid=0"", ""Maths!M:N""), 2, FALSE)"),"Describe how the dividend, divisor, quotient, and remainder are interconnected when performing long division and explain why each term is essential.")</f>
        <v>Describe how the dividend, divisor, quotient, and remainder are interconnected when performing long division and explain why each term is essential.</v>
      </c>
      <c r="N93" s="100" t="str">
        <f t="shared" si="14"/>
        <v>LU000711.003</v>
      </c>
      <c r="O93" s="100" t="str">
        <f ca="1">IFERROR(__xludf.dummyfunction("VLOOKUP(N93, IMPORTRANGE(""https://docs.google.com/spreadsheets/d/1yDAaXNsi4Mr5FtRQL4tbmSdIzhx6_m4wkOD7IG-k_eo/edit#gid=0"", ""Maths!M:N""), 2, FALSE)"),"Apply the terms dividend, divisor, quotient, and remainder to solve division algorithm problems.")</f>
        <v>Apply the terms dividend, divisor, quotient, and remainder to solve division algorithm problems.</v>
      </c>
      <c r="P93" s="100" t="str">
        <f t="shared" si="15"/>
        <v>LU000711.004</v>
      </c>
      <c r="Q93" s="100" t="str">
        <f ca="1">IFERROR(__xludf.dummyfunction("VLOOKUP(P93, IMPORTRANGE(""https://docs.google.com/spreadsheets/d/1yDAaXNsi4Mr5FtRQL4tbmSdIzhx6_m4wkOD7IG-k_eo/edit#gid=0"", ""Maths!M:N""), 2, FALSE)"),"Analyse division algorithm problems to identify and distinguish between the dividend, divisor, quotient, and remainder.")</f>
        <v>Analyse division algorithm problems to identify and distinguish between the dividend, divisor, quotient, and remainder.</v>
      </c>
      <c r="R93" s="100" t="str">
        <f t="shared" si="16"/>
        <v>LU000711.005</v>
      </c>
      <c r="S93" s="100" t="str">
        <f ca="1">IFERROR(__xludf.dummyfunction("VLOOKUP(R93, IMPORTRANGE(""https://docs.google.com/spreadsheets/d/1yDAaXNsi4Mr5FtRQL4tbmSdIzhx6_m4wkOD7IG-k_eo/edit#gid=0"", ""Maths!M:N""), 2, FALSE)"),"Evaluate the correctness of division algorithm solutions by verifying the relationships and calculations involving the dividend, divisor, quotient and remainder.")</f>
        <v>Evaluate the correctness of division algorithm solutions by verifying the relationships and calculations involving the dividend, divisor, quotient and remainder.</v>
      </c>
      <c r="T93" s="100" t="str">
        <f t="shared" si="17"/>
        <v>LU000711.006</v>
      </c>
      <c r="U93" s="100" t="str">
        <f ca="1">IFERROR(__xludf.dummyfunction("VLOOKUP(T93, IMPORTRANGE(""https://docs.google.com/spreadsheets/d/1yDAaXNsi4Mr5FtRQL4tbmSdIzhx6_m4wkOD7IG-k_eo/edit#gid=0"", ""Maths!M:N""), 2, FALSE)"),"Design original division algorithm problems that involve polynomials, challenging others to correctly identify and work with the dividend, divisor, quotient, and remainder.")</f>
        <v>Design original division algorithm problems that involve polynomials, challenging others to correctly identify and work with the dividend, divisor, quotient, and remainder.</v>
      </c>
      <c r="V93" s="16">
        <f ca="1">IFERROR(__xludf.dummyfunction("ArrayFormula(VLOOKUP(G93, IMPORTRANGE(""https://docs.google.com/spreadsheets/d/1p7R4vtkWt5VOBim4ltsDG9KTzSjrtKXsMtQGXPHyND0/edit#gid=795171502"", ""'Filter 30_05_2024'!A1:M2000""), {2, 3, 4, 5,6,7,8,9,10,11,12,13}, 0))"),4)</f>
        <v>4</v>
      </c>
      <c r="W93" s="16">
        <f ca="1">IFERROR(__xludf.dummyfunction("""COMPUTED_VALUE"""),6)</f>
        <v>6</v>
      </c>
      <c r="X93" s="16">
        <f ca="1">IFERROR(__xludf.dummyfunction("""COMPUTED_VALUE"""),2)</f>
        <v>2</v>
      </c>
      <c r="Y93" s="16">
        <f ca="1">IFERROR(__xludf.dummyfunction("""COMPUTED_VALUE"""),12)</f>
        <v>12</v>
      </c>
      <c r="Z93" s="16">
        <f ca="1">IFERROR(__xludf.dummyfunction("""COMPUTED_VALUE"""),4)</f>
        <v>4</v>
      </c>
      <c r="AA93" s="30">
        <f ca="1">IFERROR(__xludf.dummyfunction("""COMPUTED_VALUE"""),3)</f>
        <v>3</v>
      </c>
      <c r="AB93" s="30">
        <f ca="1">IFERROR(__xludf.dummyfunction("""COMPUTED_VALUE"""),2)</f>
        <v>2</v>
      </c>
      <c r="AC93" s="30">
        <f ca="1">IFERROR(__xludf.dummyfunction("""COMPUTED_VALUE"""),9)</f>
        <v>9</v>
      </c>
      <c r="AD93" s="16"/>
      <c r="AE93" s="30"/>
      <c r="AF93" s="30"/>
      <c r="AG93" s="30"/>
    </row>
    <row r="94" spans="1:33" ht="26.4">
      <c r="A94" s="25"/>
      <c r="B94" s="25" t="s">
        <v>29</v>
      </c>
      <c r="C94" s="25" t="s">
        <v>310</v>
      </c>
      <c r="D94" s="25">
        <v>8</v>
      </c>
      <c r="E94" s="70" t="s">
        <v>922</v>
      </c>
      <c r="F94" s="70" t="s">
        <v>1168</v>
      </c>
      <c r="G94" s="64" t="s">
        <v>1170</v>
      </c>
      <c r="H94" s="64" t="str">
        <f ca="1">IFERROR(__xludf.dummyfunction("IFERROR(
  VLOOKUP(G94, IMPORTRANGE(""https://docs.google.com/spreadsheets/d/14deopnvwcrKtEGCKuYXdUHJbeLDZlkiSSWWT0g7x2pM/edit#gid=849066331"", ""LU List Maths (Filter)!A:B""), 2, FALSE),
  IFERROR(
    VLOOKUP(G94, IMPORTRANGE(""https://docs.google.com/s"&amp;"preadsheets/d/14deopnvwcrKtEGCKuYXdUHJbeLDZlkiSSWWT0g7x2pM/edit#gid=849066331"", ""LU List Science (Filter)!A:B""), 2, FALSE),
    ""Not Found""
  )
)
"),"Division of monomial by monomial")</f>
        <v>Division of monomial by monomial</v>
      </c>
      <c r="I94" s="64"/>
      <c r="J94" s="100" t="str">
        <f t="shared" si="12"/>
        <v>LU000708.001</v>
      </c>
      <c r="K94" s="100" t="str">
        <f ca="1">IFERROR(__xludf.dummyfunction("VLOOKUP(J94, IMPORTRANGE(""https://docs.google.com/spreadsheets/d/1yDAaXNsi4Mr5FtRQL4tbmSdIzhx6_m4wkOD7IG-k_eo/edit#gid=0"", ""Maths!M:N""), 2, FALSE)"),"State the rule for dividing monomials and provide an example illustrating this division.")</f>
        <v>State the rule for dividing monomials and provide an example illustrating this division.</v>
      </c>
      <c r="L94" s="100" t="str">
        <f t="shared" si="13"/>
        <v>LU000708.002</v>
      </c>
      <c r="M94" s="100" t="str">
        <f ca="1">IFERROR(__xludf.dummyfunction("VLOOKUP(L94, IMPORTRANGE(""https://docs.google.com/spreadsheets/d/1yDAaXNsi4Mr5FtRQL4tbmSdIzhx6_m4wkOD7IG-k_eo/edit#gid=0"", ""Maths!M:N""), 2, FALSE)"),"Describe the significance of dividing monomials in algebraic expressions and provide a real-world context where this concept applies.")</f>
        <v>Describe the significance of dividing monomials in algebraic expressions and provide a real-world context where this concept applies.</v>
      </c>
      <c r="N94" s="100" t="str">
        <f t="shared" si="14"/>
        <v>LU000708.003</v>
      </c>
      <c r="O94" s="100" t="str">
        <f ca="1">IFERROR(__xludf.dummyfunction("VLOOKUP(N94, IMPORTRANGE(""https://docs.google.com/spreadsheets/d/1yDAaXNsi4Mr5FtRQL4tbmSdIzhx6_m4wkOD7IG-k_eo/edit#gid=0"", ""Maths!M:N""), 2, FALSE)"),"Apply the rules of monomial division to solve mathematical problems and simplify polynomial expressions.")</f>
        <v>Apply the rules of monomial division to solve mathematical problems and simplify polynomial expressions.</v>
      </c>
      <c r="P94" s="100" t="str">
        <f t="shared" si="15"/>
        <v>LU000708.004</v>
      </c>
      <c r="Q94" s="100" t="str">
        <f ca="1">IFERROR(__xludf.dummyfunction("VLOOKUP(P94, IMPORTRANGE(""https://docs.google.com/spreadsheets/d/1yDAaXNsi4Mr5FtRQL4tbmSdIzhx6_m4wkOD7IG-k_eo/edit#gid=0"", ""Maths!M:N""), 2, FALSE)"),"Examine intricate polynomial expressions and identify situations where monomial division is the most efficient method for simplification.")</f>
        <v>Examine intricate polynomial expressions and identify situations where monomial division is the most efficient method for simplification.</v>
      </c>
      <c r="R94" s="100" t="str">
        <f t="shared" si="16"/>
        <v>LU000708.005</v>
      </c>
      <c r="S94" s="100" t="str">
        <f ca="1">IFERROR(__xludf.dummyfunction("VLOOKUP(R94, IMPORTRANGE(""https://docs.google.com/spreadsheets/d/1yDAaXNsi4Mr5FtRQL4tbmSdIzhx6_m4wkOD7IG-k_eo/edit#gid=0"", ""Maths!M:N""), 2, FALSE)"),"Evaluate the correctness and efficiency of using monomial division in polynomial simplification, considering accuracy and effectiveness.")</f>
        <v>Evaluate the correctness and efficiency of using monomial division in polynomial simplification, considering accuracy and effectiveness.</v>
      </c>
      <c r="T94" s="100" t="str">
        <f t="shared" si="17"/>
        <v>LU000708.006</v>
      </c>
      <c r="U94" s="100" t="str">
        <f ca="1">IFERROR(__xludf.dummyfunction("VLOOKUP(T94, IMPORTRANGE(""https://docs.google.com/spreadsheets/d/1yDAaXNsi4Mr5FtRQL4tbmSdIzhx6_m4wkOD7IG-k_eo/edit#gid=0"", ""Maths!M:N""), 2, FALSE)"),"Design original mathematical problems or scenarios that require the application of monomial division, challenging others to apply this concept creatively in problem-solving.")</f>
        <v>Design original mathematical problems or scenarios that require the application of monomial division, challenging others to apply this concept creatively in problem-solving.</v>
      </c>
      <c r="V94" s="16">
        <f ca="1">IFERROR(__xludf.dummyfunction("ArrayFormula(VLOOKUP(G94, IMPORTRANGE(""https://docs.google.com/spreadsheets/d/1p7R4vtkWt5VOBim4ltsDG9KTzSjrtKXsMtQGXPHyND0/edit#gid=795171502"", ""'Filter 30_05_2024'!A1:M2000""), {2, 3, 4, 5,6,7,8,9,10,11,12,13}, 0))"),4)</f>
        <v>4</v>
      </c>
      <c r="W94" s="16">
        <f ca="1">IFERROR(__xludf.dummyfunction("""COMPUTED_VALUE"""),6)</f>
        <v>6</v>
      </c>
      <c r="X94" s="16">
        <f ca="1">IFERROR(__xludf.dummyfunction("""COMPUTED_VALUE"""),2)</f>
        <v>2</v>
      </c>
      <c r="Y94" s="16">
        <f ca="1">IFERROR(__xludf.dummyfunction("""COMPUTED_VALUE"""),12)</f>
        <v>12</v>
      </c>
      <c r="Z94" s="16">
        <f ca="1">IFERROR(__xludf.dummyfunction("""COMPUTED_VALUE"""),4)</f>
        <v>4</v>
      </c>
      <c r="AA94" s="30">
        <f ca="1">IFERROR(__xludf.dummyfunction("""COMPUTED_VALUE"""),3)</f>
        <v>3</v>
      </c>
      <c r="AB94" s="30">
        <f ca="1">IFERROR(__xludf.dummyfunction("""COMPUTED_VALUE"""),1)</f>
        <v>1</v>
      </c>
      <c r="AC94" s="30">
        <f ca="1">IFERROR(__xludf.dummyfunction("""COMPUTED_VALUE"""),8)</f>
        <v>8</v>
      </c>
      <c r="AD94" s="16"/>
      <c r="AE94" s="30"/>
      <c r="AF94" s="30"/>
      <c r="AG94" s="30"/>
    </row>
    <row r="95" spans="1:33" ht="26.4">
      <c r="A95" s="25"/>
      <c r="B95" s="25" t="s">
        <v>29</v>
      </c>
      <c r="C95" s="25" t="s">
        <v>310</v>
      </c>
      <c r="D95" s="25">
        <v>8</v>
      </c>
      <c r="E95" s="70" t="s">
        <v>922</v>
      </c>
      <c r="F95" s="70" t="s">
        <v>1168</v>
      </c>
      <c r="G95" s="64" t="s">
        <v>1171</v>
      </c>
      <c r="H95" s="64" t="str">
        <f ca="1">IFERROR(__xludf.dummyfunction("IFERROR(
  VLOOKUP(G95, IMPORTRANGE(""https://docs.google.com/spreadsheets/d/14deopnvwcrKtEGCKuYXdUHJbeLDZlkiSSWWT0g7x2pM/edit#gid=849066331"", ""LU List Maths (Filter)!A:B""), 2, FALSE),
  IFERROR(
    VLOOKUP(G95, IMPORTRANGE(""https://docs.google.com/s"&amp;"preadsheets/d/14deopnvwcrKtEGCKuYXdUHJbeLDZlkiSSWWT0g7x2pM/edit#gid=849066331"", ""LU List Science (Filter)!A:B""), 2, FALSE),
    ""Not Found""
  )
)
"),"Division of polynomial by monomial")</f>
        <v>Division of polynomial by monomial</v>
      </c>
      <c r="I95" s="64"/>
      <c r="J95" s="100" t="str">
        <f t="shared" si="12"/>
        <v>LU000709.001</v>
      </c>
      <c r="K95" s="100" t="str">
        <f ca="1">IFERROR(__xludf.dummyfunction("VLOOKUP(J95, IMPORTRANGE(""https://docs.google.com/spreadsheets/d/1yDAaXNsi4Mr5FtRQL4tbmSdIzhx6_m4wkOD7IG-k_eo/edit#gid=0"", ""Maths!M:N""), 2, FALSE)"),"State the procedure for dividing a polynomial by a monomial and provide an example illustrating this division.")</f>
        <v>State the procedure for dividing a polynomial by a monomial and provide an example illustrating this division.</v>
      </c>
      <c r="L95" s="100" t="str">
        <f t="shared" si="13"/>
        <v>LU000709.002</v>
      </c>
      <c r="M95" s="100" t="str">
        <f ca="1">IFERROR(__xludf.dummyfunction("VLOOKUP(L95, IMPORTRANGE(""https://docs.google.com/spreadsheets/d/1yDAaXNsi4Mr5FtRQL4tbmSdIzhx6_m4wkOD7IG-k_eo/edit#gid=0"", ""Maths!M:N""), 2, FALSE)"),"Explain the concept of polynomial division by a monomial and demonstrate an understanding of its relevance in polynomial mathematics.")</f>
        <v>Explain the concept of polynomial division by a monomial and demonstrate an understanding of its relevance in polynomial mathematics.</v>
      </c>
      <c r="N95" s="100" t="str">
        <f t="shared" si="14"/>
        <v>LU000709.003</v>
      </c>
      <c r="O95" s="100" t="str">
        <f ca="1">IFERROR(__xludf.dummyfunction("VLOOKUP(N95, IMPORTRANGE(""https://docs.google.com/spreadsheets/d/1yDAaXNsi4Mr5FtRQL4tbmSdIzhx6_m4wkOD7IG-k_eo/edit#gid=0"", ""Maths!M:N""), 2, FALSE)"),"Utilise the division of polynomials by monomials to simplify expressions and find the result.")</f>
        <v>Utilise the division of polynomials by monomials to simplify expressions and find the result.</v>
      </c>
      <c r="P95" s="100" t="str">
        <f t="shared" si="15"/>
        <v>LU000709.004</v>
      </c>
      <c r="Q95" s="100" t="str">
        <f ca="1">IFERROR(__xludf.dummyfunction("VLOOKUP(P95, IMPORTRANGE(""https://docs.google.com/spreadsheets/d/1yDAaXNsi4Mr5FtRQL4tbmSdIzhx6_m4wkOD7IG-k_eo/edit#gid=0"", ""Maths!M:N""), 2, FALSE)"),"Analyse complex polynomial expressions and determine when and how to use division by monomials to simplify or solve them effectively.")</f>
        <v>Analyse complex polynomial expressions and determine when and how to use division by monomials to simplify or solve them effectively.</v>
      </c>
      <c r="R95" s="100" t="str">
        <f t="shared" si="16"/>
        <v>LU000709.005</v>
      </c>
      <c r="S95" s="100" t="str">
        <f ca="1">IFERROR(__xludf.dummyfunction("VLOOKUP(R95, IMPORTRANGE(""https://docs.google.com/spreadsheets/d/1yDAaXNsi4Mr5FtRQL4tbmSdIzhx6_m4wkOD7IG-k_eo/edit#gid=0"", ""Maths!M:N""), 2, FALSE)"),"Evaluate the correctness and efficiency of using polynomial division by monomials, considering accuracy and effectiveness in simplifying expressions.")</f>
        <v>Evaluate the correctness and efficiency of using polynomial division by monomials, considering accuracy and effectiveness in simplifying expressions.</v>
      </c>
      <c r="T95" s="100" t="str">
        <f t="shared" si="17"/>
        <v>LU000709.006</v>
      </c>
      <c r="U95" s="100" t="str">
        <f ca="1">IFERROR(__xludf.dummyfunction("VLOOKUP(T95, IMPORTRANGE(""https://docs.google.com/spreadsheets/d/1yDAaXNsi4Mr5FtRQL4tbmSdIzhx6_m4wkOD7IG-k_eo/edit#gid=0"", ""Maths!M:N""), 2, FALSE)"),"Design original mathematical problems or scenarios that require the application of polynomial division by monomials.")</f>
        <v>Design original mathematical problems or scenarios that require the application of polynomial division by monomials.</v>
      </c>
      <c r="V95" s="16">
        <f ca="1">IFERROR(__xludf.dummyfunction("ArrayFormula(VLOOKUP(G95, IMPORTRANGE(""https://docs.google.com/spreadsheets/d/1p7R4vtkWt5VOBim4ltsDG9KTzSjrtKXsMtQGXPHyND0/edit#gid=795171502"", ""'Filter 30_05_2024'!A1:M2000""), {2, 3, 4, 5,6,7,8,9,10,11,12,13}, 0))"),4)</f>
        <v>4</v>
      </c>
      <c r="W95" s="16">
        <f ca="1">IFERROR(__xludf.dummyfunction("""COMPUTED_VALUE"""),6)</f>
        <v>6</v>
      </c>
      <c r="X95" s="16">
        <f ca="1">IFERROR(__xludf.dummyfunction("""COMPUTED_VALUE"""),2)</f>
        <v>2</v>
      </c>
      <c r="Y95" s="16">
        <f ca="1">IFERROR(__xludf.dummyfunction("""COMPUTED_VALUE"""),12)</f>
        <v>12</v>
      </c>
      <c r="Z95" s="16">
        <f ca="1">IFERROR(__xludf.dummyfunction("""COMPUTED_VALUE"""),4)</f>
        <v>4</v>
      </c>
      <c r="AA95" s="30">
        <f ca="1">IFERROR(__xludf.dummyfunction("""COMPUTED_VALUE"""),3)</f>
        <v>3</v>
      </c>
      <c r="AB95" s="30">
        <f ca="1">IFERROR(__xludf.dummyfunction("""COMPUTED_VALUE"""),1)</f>
        <v>1</v>
      </c>
      <c r="AC95" s="30">
        <f ca="1">IFERROR(__xludf.dummyfunction("""COMPUTED_VALUE"""),8)</f>
        <v>8</v>
      </c>
      <c r="AD95" s="16"/>
      <c r="AE95" s="30"/>
      <c r="AF95" s="30"/>
      <c r="AG95" s="30"/>
    </row>
    <row r="96" spans="1:33" ht="26.4">
      <c r="A96" s="25"/>
      <c r="B96" s="25" t="s">
        <v>29</v>
      </c>
      <c r="C96" s="25" t="s">
        <v>310</v>
      </c>
      <c r="D96" s="25">
        <v>8</v>
      </c>
      <c r="E96" s="70" t="s">
        <v>922</v>
      </c>
      <c r="F96" s="70" t="s">
        <v>1168</v>
      </c>
      <c r="G96" s="64" t="s">
        <v>1172</v>
      </c>
      <c r="H96" s="64" t="str">
        <f ca="1">IFERROR(__xludf.dummyfunction("IFERROR(
  VLOOKUP(G96, IMPORTRANGE(""https://docs.google.com/spreadsheets/d/14deopnvwcrKtEGCKuYXdUHJbeLDZlkiSSWWT0g7x2pM/edit#gid=849066331"", ""LU List Maths (Filter)!A:B""), 2, FALSE),
  IFERROR(
    VLOOKUP(G96, IMPORTRANGE(""https://docs.google.com/s"&amp;"preadsheets/d/14deopnvwcrKtEGCKuYXdUHJbeLDZlkiSSWWT0g7x2pM/edit#gid=849066331"", ""LU List Science (Filter)!A:B""), 2, FALSE),
    ""Not Found""
  )
)
"),"Division of a polynomial by a binomial using factorisation")</f>
        <v>Division of a polynomial by a binomial using factorisation</v>
      </c>
      <c r="I96" s="64"/>
      <c r="J96" s="100" t="str">
        <f t="shared" si="12"/>
        <v>LU000710.001</v>
      </c>
      <c r="K96" s="100" t="str">
        <f ca="1">IFERROR(__xludf.dummyfunction("VLOOKUP(J96, IMPORTRANGE(""https://docs.google.com/spreadsheets/d/1yDAaXNsi4Mr5FtRQL4tbmSdIzhx6_m4wkOD7IG-k_eo/edit#gid=0"", ""Maths!M:N""), 2, FALSE)"),"State the procedure for dividing a polynomial by a binomial and provide an example illustrating this division.")</f>
        <v>State the procedure for dividing a polynomial by a binomial and provide an example illustrating this division.</v>
      </c>
      <c r="L96" s="100" t="str">
        <f t="shared" si="13"/>
        <v>LU000710.002</v>
      </c>
      <c r="M96" s="100" t="str">
        <f ca="1">IFERROR(__xludf.dummyfunction("VLOOKUP(L96, IMPORTRANGE(""https://docs.google.com/spreadsheets/d/1yDAaXNsi4Mr5FtRQL4tbmSdIzhx6_m4wkOD7IG-k_eo/edit#gid=0"", ""Maths!M:N""), 2, FALSE)"),"Explain the concept of polynomial division by a binomial and demonstrate an understanding of its relevance in polynomial mathematics.")</f>
        <v>Explain the concept of polynomial division by a binomial and demonstrate an understanding of its relevance in polynomial mathematics.</v>
      </c>
      <c r="N96" s="100" t="str">
        <f t="shared" si="14"/>
        <v>LU000710.003</v>
      </c>
      <c r="O96" s="100" t="str">
        <f ca="1">IFERROR(__xludf.dummyfunction("VLOOKUP(N96, IMPORTRANGE(""https://docs.google.com/spreadsheets/d/1yDAaXNsi4Mr5FtRQL4tbmSdIzhx6_m4wkOD7IG-k_eo/edit#gid=0"", ""Maths!M:N""), 2, FALSE)"),"Utilise the division of polynomials by binomials to simplify expressions and find the result.")</f>
        <v>Utilise the division of polynomials by binomials to simplify expressions and find the result.</v>
      </c>
      <c r="P96" s="100" t="str">
        <f t="shared" si="15"/>
        <v>LU000710.004</v>
      </c>
      <c r="Q96" s="100" t="str">
        <f ca="1">IFERROR(__xludf.dummyfunction("VLOOKUP(P96, IMPORTRANGE(""https://docs.google.com/spreadsheets/d/1yDAaXNsi4Mr5FtRQL4tbmSdIzhx6_m4wkOD7IG-k_eo/edit#gid=0"", ""Maths!M:N""), 2, FALSE)"),"Analyse complex polynomial expressions and determine when and how to use division by binomials to simplify or solve them effectively.")</f>
        <v>Analyse complex polynomial expressions and determine when and how to use division by binomials to simplify or solve them effectively.</v>
      </c>
      <c r="R96" s="100" t="str">
        <f t="shared" si="16"/>
        <v>LU000710.005</v>
      </c>
      <c r="S96" s="100" t="str">
        <f ca="1">IFERROR(__xludf.dummyfunction("VLOOKUP(R96, IMPORTRANGE(""https://docs.google.com/spreadsheets/d/1yDAaXNsi4Mr5FtRQL4tbmSdIzhx6_m4wkOD7IG-k_eo/edit#gid=0"", ""Maths!M:N""), 2, FALSE)"),"Evaluate the correctness and efficiency of using polynomial division by binomials, considering accuracy and effectiveness in simplifying expressions.")</f>
        <v>Evaluate the correctness and efficiency of using polynomial division by binomials, considering accuracy and effectiveness in simplifying expressions.</v>
      </c>
      <c r="T96" s="100" t="str">
        <f t="shared" si="17"/>
        <v>LU000710.006</v>
      </c>
      <c r="U96" s="100" t="str">
        <f ca="1">IFERROR(__xludf.dummyfunction("VLOOKUP(T96, IMPORTRANGE(""https://docs.google.com/spreadsheets/d/1yDAaXNsi4Mr5FtRQL4tbmSdIzhx6_m4wkOD7IG-k_eo/edit#gid=0"", ""Maths!M:N""), 2, FALSE)"),"Design original mathematical problems or scenarios that require the application of polynomial division by binomials.")</f>
        <v>Design original mathematical problems or scenarios that require the application of polynomial division by binomials.</v>
      </c>
      <c r="V96" s="16">
        <f ca="1">IFERROR(__xludf.dummyfunction("ArrayFormula(VLOOKUP(G96, IMPORTRANGE(""https://docs.google.com/spreadsheets/d/1p7R4vtkWt5VOBim4ltsDG9KTzSjrtKXsMtQGXPHyND0/edit#gid=795171502"", ""'Filter 30_05_2024'!A1:M2000""), {2, 3, 4, 5,6,7,8,9,10,11,12,13}, 0))"),4)</f>
        <v>4</v>
      </c>
      <c r="W96" s="16">
        <f ca="1">IFERROR(__xludf.dummyfunction("""COMPUTED_VALUE"""),6)</f>
        <v>6</v>
      </c>
      <c r="X96" s="16">
        <f ca="1">IFERROR(__xludf.dummyfunction("""COMPUTED_VALUE"""),2)</f>
        <v>2</v>
      </c>
      <c r="Y96" s="16">
        <f ca="1">IFERROR(__xludf.dummyfunction("""COMPUTED_VALUE"""),12)</f>
        <v>12</v>
      </c>
      <c r="Z96" s="16">
        <f ca="1">IFERROR(__xludf.dummyfunction("""COMPUTED_VALUE"""),4)</f>
        <v>4</v>
      </c>
      <c r="AA96" s="30">
        <f ca="1">IFERROR(__xludf.dummyfunction("""COMPUTED_VALUE"""),3)</f>
        <v>3</v>
      </c>
      <c r="AB96" s="30">
        <f ca="1">IFERROR(__xludf.dummyfunction("""COMPUTED_VALUE"""),1)</f>
        <v>1</v>
      </c>
      <c r="AC96" s="30">
        <f ca="1">IFERROR(__xludf.dummyfunction("""COMPUTED_VALUE"""),8)</f>
        <v>8</v>
      </c>
      <c r="AD96" s="16"/>
      <c r="AE96" s="30"/>
      <c r="AF96" s="30"/>
      <c r="AG96" s="30"/>
    </row>
    <row r="97" spans="1:33" ht="26.4">
      <c r="A97" s="25"/>
      <c r="B97" s="25" t="s">
        <v>29</v>
      </c>
      <c r="C97" s="25" t="s">
        <v>310</v>
      </c>
      <c r="D97" s="25">
        <v>8</v>
      </c>
      <c r="E97" s="70" t="s">
        <v>922</v>
      </c>
      <c r="F97" s="70" t="s">
        <v>1173</v>
      </c>
      <c r="G97" s="64" t="s">
        <v>1174</v>
      </c>
      <c r="H97" s="64" t="str">
        <f ca="1">IFERROR(__xludf.dummyfunction("IFERROR(
  VLOOKUP(G97, IMPORTRANGE(""https://docs.google.com/spreadsheets/d/14deopnvwcrKtEGCKuYXdUHJbeLDZlkiSSWWT0g7x2pM/edit#gid=849066331"", ""LU List Maths (Filter)!A:B""), 2, FALSE),
  IFERROR(
    VLOOKUP(G97, IMPORTRANGE(""https://docs.google.com/s"&amp;"preadsheets/d/14deopnvwcrKtEGCKuYXdUHJbeLDZlkiSSWWT0g7x2pM/edit#gid=849066331"", ""LU List Science (Filter)!A:B""), 2, FALSE),
    ""Not Found""
  )
)
"),"Definition of algebraic identity")</f>
        <v>Definition of algebraic identity</v>
      </c>
      <c r="I97" s="64"/>
      <c r="J97" s="100" t="str">
        <f t="shared" si="12"/>
        <v>LU000702.001</v>
      </c>
      <c r="K97" s="100" t="str">
        <f ca="1">IFERROR(__xludf.dummyfunction("VLOOKUP(J97, IMPORTRANGE(""https://docs.google.com/spreadsheets/d/1yDAaXNsi4Mr5FtRQL4tbmSdIzhx6_m4wkOD7IG-k_eo/edit#gid=0"", ""Maths!M:N""), 2, FALSE)"),"State the definition of an algebraic identity and list algebraic identities.")</f>
        <v>State the definition of an algebraic identity and list algebraic identities.</v>
      </c>
      <c r="L97" s="100" t="str">
        <f t="shared" si="13"/>
        <v>LU000702.002</v>
      </c>
      <c r="M97" s="100" t="str">
        <f ca="1">IFERROR(__xludf.dummyfunction("VLOOKUP(L97, IMPORTRANGE(""https://docs.google.com/spreadsheets/d/1yDAaXNsi4Mr5FtRQL4tbmSdIzhx6_m4wkOD7IG-k_eo/edit#gid=0"", ""Maths!M:N""), 2, FALSE)"),"Explain the meaning of an algebraic identity and demonstrate its application using examples")</f>
        <v>Explain the meaning of an algebraic identity and demonstrate its application using examples</v>
      </c>
      <c r="N97" s="100" t="str">
        <f t="shared" si="14"/>
        <v>LU000702.003</v>
      </c>
      <c r="O97" s="100" t="str">
        <f ca="1">IFERROR(__xludf.dummyfunction("VLOOKUP(N97, IMPORTRANGE(""https://docs.google.com/spreadsheets/d/1yDAaXNsi4Mr5FtRQL4tbmSdIzhx6_m4wkOD7IG-k_eo/edit#gid=0"", ""Maths!M:N""), 2, FALSE)"),"Use the algebraic identities to simplify and solve an expression.")</f>
        <v>Use the algebraic identities to simplify and solve an expression.</v>
      </c>
      <c r="P97" s="100" t="str">
        <f t="shared" si="15"/>
        <v>LU000702.004</v>
      </c>
      <c r="Q97" s="100" t="str">
        <f ca="1">IFERROR(__xludf.dummyfunction("VLOOKUP(P97, IMPORTRANGE(""https://docs.google.com/spreadsheets/d/1yDAaXNsi4Mr5FtRQL4tbmSdIzhx6_m4wkOD7IG-k_eo/edit#gid=0"", ""Maths!M:N""), 2, FALSE)"),"Analyse a polynomial expression and identify the suitable algebraic identity to simplify it.")</f>
        <v>Analyse a polynomial expression and identify the suitable algebraic identity to simplify it.</v>
      </c>
      <c r="R97" s="100" t="str">
        <f t="shared" si="16"/>
        <v>LU000702.005</v>
      </c>
      <c r="S97" s="100" t="str">
        <f ca="1">IFERROR(__xludf.dummyfunction("VLOOKUP(R97, IMPORTRANGE(""https://docs.google.com/spreadsheets/d/1yDAaXNsi4Mr5FtRQL4tbmSdIzhx6_m4wkOD7IG-k_eo/edit#gid=0"", ""Maths!M:N""), 2, FALSE)"),"Assess the accuracy of solutions presented for algebraic identity problems, verifying if identities are correctly applied.")</f>
        <v>Assess the accuracy of solutions presented for algebraic identity problems, verifying if identities are correctly applied.</v>
      </c>
      <c r="T97" s="100" t="str">
        <f t="shared" si="17"/>
        <v>LU000702.006</v>
      </c>
      <c r="U97" s="100" t="str">
        <f ca="1">IFERROR(__xludf.dummyfunction("VLOOKUP(T97, IMPORTRANGE(""https://docs.google.com/spreadsheets/d/1yDAaXNsi4Mr5FtRQL4tbmSdIzhx6_m4wkOD7IG-k_eo/edit#gid=0"", ""Maths!M:N""), 2, FALSE)"),"Formulate original polynomial expressions that showcase the practical application of algebraic identities in distinct contexts.")</f>
        <v>Formulate original polynomial expressions that showcase the practical application of algebraic identities in distinct contexts.</v>
      </c>
      <c r="V97" s="16">
        <f ca="1">IFERROR(__xludf.dummyfunction("ArrayFormula(VLOOKUP(G97, IMPORTRANGE(""https://docs.google.com/spreadsheets/d/1p7R4vtkWt5VOBim4ltsDG9KTzSjrtKXsMtQGXPHyND0/edit#gid=795171502"", ""'Filter 30_05_2024'!A1:M2000""), {2, 3, 4, 5,6,7,8,9,10,11,12,13}, 0))"),5)</f>
        <v>5</v>
      </c>
      <c r="W97" s="16">
        <f ca="1">IFERROR(__xludf.dummyfunction("""COMPUTED_VALUE"""),5)</f>
        <v>5</v>
      </c>
      <c r="X97" s="16">
        <f ca="1">IFERROR(__xludf.dummyfunction("""COMPUTED_VALUE"""),2)</f>
        <v>2</v>
      </c>
      <c r="Y97" s="16">
        <f ca="1">IFERROR(__xludf.dummyfunction("""COMPUTED_VALUE"""),12)</f>
        <v>12</v>
      </c>
      <c r="Z97" s="16">
        <f ca="1">IFERROR(__xludf.dummyfunction("""COMPUTED_VALUE"""),4)</f>
        <v>4</v>
      </c>
      <c r="AA97" s="30">
        <f ca="1">IFERROR(__xludf.dummyfunction("""COMPUTED_VALUE"""),3)</f>
        <v>3</v>
      </c>
      <c r="AB97" s="30">
        <f ca="1">IFERROR(__xludf.dummyfunction("""COMPUTED_VALUE"""),1)</f>
        <v>1</v>
      </c>
      <c r="AC97" s="30">
        <f ca="1">IFERROR(__xludf.dummyfunction("""COMPUTED_VALUE"""),8)</f>
        <v>8</v>
      </c>
      <c r="AD97" s="16"/>
      <c r="AE97" s="30"/>
      <c r="AF97" s="30"/>
      <c r="AG97" s="30"/>
    </row>
    <row r="98" spans="1:33" ht="26.4">
      <c r="A98" s="50"/>
      <c r="B98" s="50" t="s">
        <v>29</v>
      </c>
      <c r="C98" s="50" t="s">
        <v>310</v>
      </c>
      <c r="D98" s="50">
        <v>8</v>
      </c>
      <c r="E98" s="81" t="s">
        <v>922</v>
      </c>
      <c r="F98" s="70" t="s">
        <v>1173</v>
      </c>
      <c r="G98" s="85" t="s">
        <v>1175</v>
      </c>
      <c r="H98" s="85" t="str">
        <f ca="1">IFERROR(__xludf.dummyfunction("IFERROR(
  VLOOKUP(G98, IMPORTRANGE(""https://docs.google.com/spreadsheets/d/14deopnvwcrKtEGCKuYXdUHJbeLDZlkiSSWWT0g7x2pM/edit#gid=849066331"", ""LU List Maths (Filter)!A:B""), 2, FALSE),
  IFERROR(
    VLOOKUP(G98, IMPORTRANGE(""https://docs.google.com/s"&amp;"preadsheets/d/14deopnvwcrKtEGCKuYXdUHJbeLDZlkiSSWWT0g7x2pM/edit#gid=849066331"", ""LU List Science (Filter)!A:B""), 2, FALSE),
    ""Not Found""
  )
)
"),"Algebraic identity for (a+b)^2")</f>
        <v>Algebraic identity for (a+b)^2</v>
      </c>
      <c r="I98" s="85"/>
      <c r="J98" s="100" t="str">
        <f t="shared" ref="J98:J129" si="18">G98 &amp; ".001"</f>
        <v>LU000705.001</v>
      </c>
      <c r="K98" s="100" t="str">
        <f ca="1">IFERROR(__xludf.dummyfunction("VLOOKUP(J98, IMPORTRANGE(""https://docs.google.com/spreadsheets/d/1yDAaXNsi4Mr5FtRQL4tbmSdIzhx6_m4wkOD7IG-k_eo/edit#gid=0"", ""Maths!M:N""), 2, FALSE)"),"State the algebraic identity for (a+b)^2 and explain its importance in algebraic expressions.")</f>
        <v>State the algebraic identity for (a+b)^2 and explain its importance in algebraic expressions.</v>
      </c>
      <c r="L98" s="100" t="str">
        <f t="shared" ref="L98:L129" si="19">G98 &amp; ".002"</f>
        <v>LU000705.002</v>
      </c>
      <c r="M98" s="100" t="str">
        <f ca="1">IFERROR(__xludf.dummyfunction("VLOOKUP(L98, IMPORTRANGE(""https://docs.google.com/spreadsheets/d/1yDAaXNsi4Mr5FtRQL4tbmSdIzhx6_m4wkOD7IG-k_eo/edit#gid=0"", ""Maths!M:N""), 2, FALSE)"),"Describe the meaning of the algebraic identity (a+b)^2 and provide a numerical example showcasing its use in polynomial expansion.")</f>
        <v>Describe the meaning of the algebraic identity (a+b)^2 and provide a numerical example showcasing its use in polynomial expansion.</v>
      </c>
      <c r="N98" s="100" t="str">
        <f t="shared" ref="N98:N129" si="20">G98 &amp; ".003"</f>
        <v>LU000705.003</v>
      </c>
      <c r="O98" s="100" t="str">
        <f ca="1">IFERROR(__xludf.dummyfunction("VLOOKUP(N98, IMPORTRANGE(""https://docs.google.com/spreadsheets/d/1yDAaXNsi4Mr5FtRQL4tbmSdIzhx6_m4wkOD7IG-k_eo/edit#gid=0"", ""Maths!M:N""), 2, FALSE)"),"Utilize the algebraic identity (a+b)^2 to expand expressions (like (4x+3y)^2) and find the solution.")</f>
        <v>Utilize the algebraic identity (a+b)^2 to expand expressions (like (4x+3y)^2) and find the solution.</v>
      </c>
      <c r="P98" s="100" t="str">
        <f t="shared" ref="P98:P129" si="21">G98 &amp; ".004"</f>
        <v>LU000705.004</v>
      </c>
      <c r="Q98" s="100" t="str">
        <f ca="1">IFERROR(__xludf.dummyfunction("VLOOKUP(P98, IMPORTRANGE(""https://docs.google.com/spreadsheets/d/1yDAaXNsi4Mr5FtRQL4tbmSdIzhx6_m4wkOD7IG-k_eo/edit#gid=0"", ""Maths!M:N""), 2, FALSE)"),"Analyse complex binomial expressions and determine when and how to apply the algebraic identity (a+b)^2 for expansion and simplification.")</f>
        <v>Analyse complex binomial expressions and determine when and how to apply the algebraic identity (a+b)^2 for expansion and simplification.</v>
      </c>
      <c r="R98" s="100" t="str">
        <f t="shared" ref="R98:R129" si="22">G98 &amp; ".005"</f>
        <v>LU000705.005</v>
      </c>
      <c r="S98" s="100" t="str">
        <f ca="1">IFERROR(__xludf.dummyfunction("VLOOKUP(R98, IMPORTRANGE(""https://docs.google.com/spreadsheets/d/1yDAaXNsi4Mr5FtRQL4tbmSdIzhx6_m4wkOD7IG-k_eo/edit#gid=0"", ""Maths!M:N""), 2, FALSE)"),"Assess the precision and effectiveness of applying the algebraic identity (a+b)^2 to expand expressions in various mathematical contexts.")</f>
        <v>Assess the precision and effectiveness of applying the algebraic identity (a+b)^2 to expand expressions in various mathematical contexts.</v>
      </c>
      <c r="T98" s="100" t="str">
        <f t="shared" ref="T98:T129" si="23">G98 &amp; ".006"</f>
        <v>LU000705.006</v>
      </c>
      <c r="U98" s="100" t="str">
        <f ca="1">IFERROR(__xludf.dummyfunction("VLOOKUP(T98, IMPORTRANGE(""https://docs.google.com/spreadsheets/d/1yDAaXNsi4Mr5FtRQL4tbmSdIzhx6_m4wkOD7IG-k_eo/edit#gid=0"", ""Maths!M:N""), 2, FALSE)"),"Design original mathematical problems or scenarios where the algebraic identity (a+b)^2 is a critical component to apply this identity creatively in problem-solving.")</f>
        <v>Design original mathematical problems or scenarios where the algebraic identity (a+b)^2 is a critical component to apply this identity creatively in problem-solving.</v>
      </c>
      <c r="V98" s="16">
        <f ca="1">IFERROR(__xludf.dummyfunction("ArrayFormula(VLOOKUP(G98, IMPORTRANGE(""https://docs.google.com/spreadsheets/d/1p7R4vtkWt5VOBim4ltsDG9KTzSjrtKXsMtQGXPHyND0/edit#gid=795171502"", ""'Filter 30_05_2024'!A1:M2000""), {2, 3, 4, 5,6,7,8,9,10,11,12,13}, 0))"),4)</f>
        <v>4</v>
      </c>
      <c r="W98" s="16">
        <f ca="1">IFERROR(__xludf.dummyfunction("""COMPUTED_VALUE"""),6)</f>
        <v>6</v>
      </c>
      <c r="X98" s="16">
        <f ca="1">IFERROR(__xludf.dummyfunction("""COMPUTED_VALUE"""),2)</f>
        <v>2</v>
      </c>
      <c r="Y98" s="16">
        <f ca="1">IFERROR(__xludf.dummyfunction("""COMPUTED_VALUE"""),12)</f>
        <v>12</v>
      </c>
      <c r="Z98" s="16">
        <f ca="1">IFERROR(__xludf.dummyfunction("""COMPUTED_VALUE"""),4)</f>
        <v>4</v>
      </c>
      <c r="AA98" s="30">
        <f ca="1">IFERROR(__xludf.dummyfunction("""COMPUTED_VALUE"""),3)</f>
        <v>3</v>
      </c>
      <c r="AB98" s="30">
        <f ca="1">IFERROR(__xludf.dummyfunction("""COMPUTED_VALUE"""),1)</f>
        <v>1</v>
      </c>
      <c r="AC98" s="30">
        <f ca="1">IFERROR(__xludf.dummyfunction("""COMPUTED_VALUE"""),8)</f>
        <v>8</v>
      </c>
      <c r="AD98" s="16"/>
      <c r="AE98" s="30"/>
      <c r="AF98" s="30"/>
      <c r="AG98" s="30"/>
    </row>
    <row r="99" spans="1:33" ht="26.4">
      <c r="A99" s="50"/>
      <c r="B99" s="50" t="s">
        <v>29</v>
      </c>
      <c r="C99" s="50" t="s">
        <v>310</v>
      </c>
      <c r="D99" s="50">
        <v>8</v>
      </c>
      <c r="E99" s="81" t="s">
        <v>922</v>
      </c>
      <c r="F99" s="70" t="s">
        <v>1173</v>
      </c>
      <c r="G99" s="85" t="s">
        <v>1176</v>
      </c>
      <c r="H99" s="85" t="str">
        <f ca="1">IFERROR(__xludf.dummyfunction("IFERROR(
  VLOOKUP(G99, IMPORTRANGE(""https://docs.google.com/spreadsheets/d/14deopnvwcrKtEGCKuYXdUHJbeLDZlkiSSWWT0g7x2pM/edit#gid=849066331"", ""LU List Maths (Filter)!A:B""), 2, FALSE),
  IFERROR(
    VLOOKUP(G99, IMPORTRANGE(""https://docs.google.com/s"&amp;"preadsheets/d/14deopnvwcrKtEGCKuYXdUHJbeLDZlkiSSWWT0g7x2pM/edit#gid=849066331"", ""LU List Science (Filter)!A:B""), 2, FALSE),
    ""Not Found""
  )
)
"),"Algebraic identity for (a-b)^2")</f>
        <v>Algebraic identity for (a-b)^2</v>
      </c>
      <c r="I99" s="85"/>
      <c r="J99" s="100" t="str">
        <f t="shared" si="18"/>
        <v>LU000704.001</v>
      </c>
      <c r="K99" s="100" t="str">
        <f ca="1">IFERROR(__xludf.dummyfunction("VLOOKUP(J99, IMPORTRANGE(""https://docs.google.com/spreadsheets/d/1yDAaXNsi4Mr5FtRQL4tbmSdIzhx6_m4wkOD7IG-k_eo/edit#gid=0"", ""Maths!M:N""), 2, FALSE)"),"State the algebraic identity for (a−b)^2 and explain its importance in algebraic expressions.")</f>
        <v>State the algebraic identity for (a−b)^2 and explain its importance in algebraic expressions.</v>
      </c>
      <c r="L99" s="100" t="str">
        <f t="shared" si="19"/>
        <v>LU000704.002</v>
      </c>
      <c r="M99" s="100" t="str">
        <f ca="1">IFERROR(__xludf.dummyfunction("VLOOKUP(L99, IMPORTRANGE(""https://docs.google.com/spreadsheets/d/1yDAaXNsi4Mr5FtRQL4tbmSdIzhx6_m4wkOD7IG-k_eo/edit#gid=0"", ""Maths!M:N""), 2, FALSE)"),"Describe the meaning of the algebraic identity (a−b)^2 and provide a numerical example showcasing its use in polynomial expansion.")</f>
        <v>Describe the meaning of the algebraic identity (a−b)^2 and provide a numerical example showcasing its use in polynomial expansion.</v>
      </c>
      <c r="N99" s="100" t="str">
        <f t="shared" si="20"/>
        <v>LU000704.003</v>
      </c>
      <c r="O99" s="100" t="str">
        <f ca="1">IFERROR(__xludf.dummyfunction("VLOOKUP(N99, IMPORTRANGE(""https://docs.google.com/spreadsheets/d/1yDAaXNsi4Mr5FtRQL4tbmSdIzhx6_m4wkOD7IG-k_eo/edit#gid=0"", ""Maths!M:N""), 2, FALSE)"),"Utilize the algebraic identity (a−b)^2 to expand expressions (like (2x−3y)^2) and find the solution.")</f>
        <v>Utilize the algebraic identity (a−b)^2 to expand expressions (like (2x−3y)^2) and find the solution.</v>
      </c>
      <c r="P99" s="100" t="str">
        <f t="shared" si="21"/>
        <v>LU000704.004</v>
      </c>
      <c r="Q99" s="100" t="str">
        <f ca="1">IFERROR(__xludf.dummyfunction("VLOOKUP(P99, IMPORTRANGE(""https://docs.google.com/spreadsheets/d/1yDAaXNsi4Mr5FtRQL4tbmSdIzhx6_m4wkOD7IG-k_eo/edit#gid=0"", ""Maths!M:N""), 2, FALSE)"),"Analyse complex binomial expressions and determine when and how to apply the algebraic identity (a−b)^2 for expansion and simplification.")</f>
        <v>Analyse complex binomial expressions and determine when and how to apply the algebraic identity (a−b)^2 for expansion and simplification.</v>
      </c>
      <c r="R99" s="100" t="str">
        <f t="shared" si="22"/>
        <v>LU000704.005</v>
      </c>
      <c r="S99" s="100" t="str">
        <f ca="1">IFERROR(__xludf.dummyfunction("VLOOKUP(R99, IMPORTRANGE(""https://docs.google.com/spreadsheets/d/1yDAaXNsi4Mr5FtRQL4tbmSdIzhx6_m4wkOD7IG-k_eo/edit#gid=0"", ""Maths!M:N""), 2, FALSE)"),"Assess the precision and effectiveness of applying the algebraic identity (a−b)^2 to expand expressions in various mathematical contexts.")</f>
        <v>Assess the precision and effectiveness of applying the algebraic identity (a−b)^2 to expand expressions in various mathematical contexts.</v>
      </c>
      <c r="T99" s="100" t="str">
        <f t="shared" si="23"/>
        <v>LU000704.006</v>
      </c>
      <c r="U99" s="100" t="str">
        <f ca="1">IFERROR(__xludf.dummyfunction("VLOOKUP(T99, IMPORTRANGE(""https://docs.google.com/spreadsheets/d/1yDAaXNsi4Mr5FtRQL4tbmSdIzhx6_m4wkOD7IG-k_eo/edit#gid=0"", ""Maths!M:N""), 2, FALSE)"),"Design original mathematical problems or scenarios where the algebraic identity (a−b)^2 is a critical component to apply this identity creatively in problem-solving.")</f>
        <v>Design original mathematical problems or scenarios where the algebraic identity (a−b)^2 is a critical component to apply this identity creatively in problem-solving.</v>
      </c>
      <c r="V99" s="16">
        <f ca="1">IFERROR(__xludf.dummyfunction("ArrayFormula(VLOOKUP(G99, IMPORTRANGE(""https://docs.google.com/spreadsheets/d/1p7R4vtkWt5VOBim4ltsDG9KTzSjrtKXsMtQGXPHyND0/edit#gid=795171502"", ""'Filter 30_05_2024'!A1:M2000""), {2, 3, 4, 5,6,7,8,9,10,11,12,13}, 0))"),4)</f>
        <v>4</v>
      </c>
      <c r="W99" s="16">
        <f ca="1">IFERROR(__xludf.dummyfunction("""COMPUTED_VALUE"""),6)</f>
        <v>6</v>
      </c>
      <c r="X99" s="16">
        <f ca="1">IFERROR(__xludf.dummyfunction("""COMPUTED_VALUE"""),2)</f>
        <v>2</v>
      </c>
      <c r="Y99" s="16">
        <f ca="1">IFERROR(__xludf.dummyfunction("""COMPUTED_VALUE"""),12)</f>
        <v>12</v>
      </c>
      <c r="Z99" s="16">
        <f ca="1">IFERROR(__xludf.dummyfunction("""COMPUTED_VALUE"""),4)</f>
        <v>4</v>
      </c>
      <c r="AA99" s="30">
        <f ca="1">IFERROR(__xludf.dummyfunction("""COMPUTED_VALUE"""),3)</f>
        <v>3</v>
      </c>
      <c r="AB99" s="30">
        <f ca="1">IFERROR(__xludf.dummyfunction("""COMPUTED_VALUE"""),1)</f>
        <v>1</v>
      </c>
      <c r="AC99" s="30">
        <f ca="1">IFERROR(__xludf.dummyfunction("""COMPUTED_VALUE"""),8)</f>
        <v>8</v>
      </c>
      <c r="AD99" s="16"/>
      <c r="AE99" s="30"/>
      <c r="AF99" s="30"/>
      <c r="AG99" s="30"/>
    </row>
    <row r="100" spans="1:33" ht="26.4">
      <c r="A100" s="50"/>
      <c r="B100" s="50" t="s">
        <v>29</v>
      </c>
      <c r="C100" s="50" t="s">
        <v>310</v>
      </c>
      <c r="D100" s="50">
        <v>8</v>
      </c>
      <c r="E100" s="81" t="s">
        <v>922</v>
      </c>
      <c r="F100" s="70" t="s">
        <v>1173</v>
      </c>
      <c r="G100" s="85" t="s">
        <v>1177</v>
      </c>
      <c r="H100" s="85" t="str">
        <f ca="1">IFERROR(__xludf.dummyfunction("IFERROR(
  VLOOKUP(G100, IMPORTRANGE(""https://docs.google.com/spreadsheets/d/14deopnvwcrKtEGCKuYXdUHJbeLDZlkiSSWWT0g7x2pM/edit#gid=849066331"", ""LU List Maths (Filter)!A:B""), 2, FALSE),
  IFERROR(
    VLOOKUP(G100, IMPORTRANGE(""https://docs.google.com"&amp;"/spreadsheets/d/14deopnvwcrKtEGCKuYXdUHJbeLDZlkiSSWWT0g7x2pM/edit#gid=849066331"", ""LU List Science (Filter)!A:B""), 2, FALSE),
    ""Not Found""
  )
)
"),"Algebraic identity for (a+b)(a-b)")</f>
        <v>Algebraic identity for (a+b)(a-b)</v>
      </c>
      <c r="I100" s="85"/>
      <c r="J100" s="100" t="str">
        <f t="shared" si="18"/>
        <v>LU000703.001</v>
      </c>
      <c r="K100" s="100" t="str">
        <f ca="1">IFERROR(__xludf.dummyfunction("VLOOKUP(J100, IMPORTRANGE(""https://docs.google.com/spreadsheets/d/1yDAaXNsi4Mr5FtRQL4tbmSdIzhx6_m4wkOD7IG-k_eo/edit#gid=0"", ""Maths!M:N""), 2, FALSE)"),"State the algebraic identity for a^2 - b^2 as (a + b)(a - b).")</f>
        <v>State the algebraic identity for a^2 - b^2 as (a + b)(a - b).</v>
      </c>
      <c r="L100" s="100" t="str">
        <f t="shared" si="19"/>
        <v>LU000703.002</v>
      </c>
      <c r="M100" s="100" t="str">
        <f ca="1">IFERROR(__xludf.dummyfunction("VLOOKUP(L100, IMPORTRANGE(""https://docs.google.com/spreadsheets/d/1yDAaXNsi4Mr5FtRQL4tbmSdIzhx6_m4wkOD7IG-k_eo/edit#gid=0"", ""Maths!M:N""), 2, FALSE)"),"Describe why the algebraic identity for (a + b)(a - b) is essential in factoring polynomials and provide an example of its use in factorisation.")</f>
        <v>Describe why the algebraic identity for (a + b)(a - b) is essential in factoring polynomials and provide an example of its use in factorisation.</v>
      </c>
      <c r="N100" s="100" t="str">
        <f t="shared" si="20"/>
        <v>LU000703.003</v>
      </c>
      <c r="O100" s="100" t="str">
        <f ca="1">IFERROR(__xludf.dummyfunction("VLOOKUP(N100, IMPORTRANGE(""https://docs.google.com/spreadsheets/d/1yDAaXNsi4Mr5FtRQL4tbmSdIzhx6_m4wkOD7IG-k_eo/edit#gid=0"", ""Maths!M:N""), 2, FALSE)"),"Apply the algebraic identity (a + b)(a - b) to simplify polynomial expressions and solve mathematical problems.")</f>
        <v>Apply the algebraic identity (a + b)(a - b) to simplify polynomial expressions and solve mathematical problems.</v>
      </c>
      <c r="P100" s="100" t="str">
        <f t="shared" si="21"/>
        <v>LU000703.004</v>
      </c>
      <c r="Q100" s="100" t="str">
        <f ca="1">IFERROR(__xludf.dummyfunction("VLOOKUP(P100, IMPORTRANGE(""https://docs.google.com/spreadsheets/d/1yDAaXNsi4Mr5FtRQL4tbmSdIzhx6_m4wkOD7IG-k_eo/edit#gid=0"", ""Maths!M:N""), 2, FALSE)"),"Analyse complex polynomial expressions and determine when and how to apply the algebraic identity (a + b)(a - b) for simplification.")</f>
        <v>Analyse complex polynomial expressions and determine when and how to apply the algebraic identity (a + b)(a - b) for simplification.</v>
      </c>
      <c r="R100" s="100" t="str">
        <f t="shared" si="22"/>
        <v>LU000703.005</v>
      </c>
      <c r="S100" s="100" t="str">
        <f ca="1">IFERROR(__xludf.dummyfunction("VLOOKUP(R100, IMPORTRANGE(""https://docs.google.com/spreadsheets/d/1yDAaXNsi4Mr5FtRQL4tbmSdIzhx6_m4wkOD7IG-k_eo/edit#gid=0"", ""Maths!M:N""), 2, FALSE)"),"Evaluate the effectiveness of using the algebraic identity (a + b)(a - b) in simplifying polynomial expressions, considering correctness and efficiency.")</f>
        <v>Evaluate the effectiveness of using the algebraic identity (a + b)(a - b) in simplifying polynomial expressions, considering correctness and efficiency.</v>
      </c>
      <c r="T100" s="100" t="str">
        <f t="shared" si="23"/>
        <v>LU000703.006</v>
      </c>
      <c r="U100" s="100" t="str">
        <f ca="1">IFERROR(__xludf.dummyfunction("VLOOKUP(T100, IMPORTRANGE(""https://docs.google.com/spreadsheets/d/1yDAaXNsi4Mr5FtRQL4tbmSdIzhx6_m4wkOD7IG-k_eo/edit#gid=0"", ""Maths!M:N""), 2, FALSE)"),"Formulate original mathematical problems or scenarios where the algebraic identity (a + b)(a - b) is a crucial step in finding a solution")</f>
        <v>Formulate original mathematical problems or scenarios where the algebraic identity (a + b)(a - b) is a crucial step in finding a solution</v>
      </c>
      <c r="V100" s="16">
        <f ca="1">IFERROR(__xludf.dummyfunction("ArrayFormula(VLOOKUP(G100, IMPORTRANGE(""https://docs.google.com/spreadsheets/d/1p7R4vtkWt5VOBim4ltsDG9KTzSjrtKXsMtQGXPHyND0/edit#gid=795171502"", ""'Filter 30_05_2024'!A1:M2000""), {2, 3, 4, 5,6,7,8,9,10,11,12,13}, 0))"),3)</f>
        <v>3</v>
      </c>
      <c r="W100" s="16">
        <f ca="1">IFERROR(__xludf.dummyfunction("""COMPUTED_VALUE"""),6)</f>
        <v>6</v>
      </c>
      <c r="X100" s="16">
        <f ca="1">IFERROR(__xludf.dummyfunction("""COMPUTED_VALUE"""),2)</f>
        <v>2</v>
      </c>
      <c r="Y100" s="16">
        <f ca="1">IFERROR(__xludf.dummyfunction("""COMPUTED_VALUE"""),11)</f>
        <v>11</v>
      </c>
      <c r="Z100" s="16">
        <f ca="1">IFERROR(__xludf.dummyfunction("""COMPUTED_VALUE"""),5)</f>
        <v>5</v>
      </c>
      <c r="AA100" s="30">
        <f ca="1">IFERROR(__xludf.dummyfunction("""COMPUTED_VALUE"""),3)</f>
        <v>3</v>
      </c>
      <c r="AB100" s="30">
        <f ca="1">IFERROR(__xludf.dummyfunction("""COMPUTED_VALUE"""),1)</f>
        <v>1</v>
      </c>
      <c r="AC100" s="30">
        <f ca="1">IFERROR(__xludf.dummyfunction("""COMPUTED_VALUE"""),9)</f>
        <v>9</v>
      </c>
      <c r="AD100" s="16"/>
      <c r="AE100" s="30"/>
      <c r="AF100" s="30"/>
      <c r="AG100" s="30"/>
    </row>
    <row r="101" spans="1:33" ht="26.4">
      <c r="A101" s="50"/>
      <c r="B101" s="50" t="s">
        <v>29</v>
      </c>
      <c r="C101" s="50" t="s">
        <v>310</v>
      </c>
      <c r="D101" s="50">
        <v>8</v>
      </c>
      <c r="E101" s="81" t="s">
        <v>922</v>
      </c>
      <c r="F101" s="70" t="s">
        <v>1173</v>
      </c>
      <c r="G101" s="85" t="s">
        <v>1178</v>
      </c>
      <c r="H101" s="85" t="str">
        <f ca="1">IFERROR(__xludf.dummyfunction("IFERROR(
  VLOOKUP(G101, IMPORTRANGE(""https://docs.google.com/spreadsheets/d/14deopnvwcrKtEGCKuYXdUHJbeLDZlkiSSWWT0g7x2pM/edit#gid=849066331"", ""LU List Maths (Filter)!A:B""), 2, FALSE),
  IFERROR(
    VLOOKUP(G101, IMPORTRANGE(""https://docs.google.com"&amp;"/spreadsheets/d/14deopnvwcrKtEGCKuYXdUHJbeLDZlkiSSWWT0g7x2pM/edit#gid=849066331"", ""LU List Science (Filter)!A:B""), 2, FALSE),
    ""Not Found""
  )
)
"),"Algebraic identity for (x+a)(x+b)")</f>
        <v>Algebraic identity for (x+a)(x+b)</v>
      </c>
      <c r="I101" s="85"/>
      <c r="J101" s="100" t="str">
        <f t="shared" si="18"/>
        <v>LU000706.001</v>
      </c>
      <c r="K101" s="100" t="str">
        <f ca="1">IFERROR(__xludf.dummyfunction("VLOOKUP(J101, IMPORTRANGE(""https://docs.google.com/spreadsheets/d/1yDAaXNsi4Mr5FtRQL4tbmSdIzhx6_m4wkOD7IG-k_eo/edit#gid=0"", ""Maths!M:N""), 2, FALSE)"),"State the algebraic identity for (x+a)(x+b) and explain its significance in polynomial expressions.")</f>
        <v>State the algebraic identity for (x+a)(x+b) and explain its significance in polynomial expressions.</v>
      </c>
      <c r="L101" s="100" t="str">
        <f t="shared" si="19"/>
        <v>LU000706.002</v>
      </c>
      <c r="M101" s="100" t="str">
        <f ca="1">IFERROR(__xludf.dummyfunction("VLOOKUP(L101, IMPORTRANGE(""https://docs.google.com/spreadsheets/d/1yDAaXNsi4Mr5FtRQL4tbmSdIzhx6_m4wkOD7IG-k_eo/edit#gid=0"", ""Maths!M:N""), 2, FALSE)"),"Explain the concept behind the algebraic identity (x+a)(x+b) and provide examples illustrating its relevance in polynomial factorisation.")</f>
        <v>Explain the concept behind the algebraic identity (x+a)(x+b) and provide examples illustrating its relevance in polynomial factorisation.</v>
      </c>
      <c r="N101" s="100" t="str">
        <f t="shared" si="20"/>
        <v>LU000706.003</v>
      </c>
      <c r="O101" s="100" t="str">
        <f ca="1">IFERROR(__xludf.dummyfunction("VLOOKUP(N101, IMPORTRANGE(""https://docs.google.com/spreadsheets/d/1yDAaXNsi4Mr5FtRQL4tbmSdIzhx6_m4wkOD7IG-k_eo/edit#gid=0"", ""Maths!M:N""), 2, FALSE)"),"Apply the algebraic identity (x+a)(x+b) to expand binomial expressions and solve problems involving polynomial manipulation.")</f>
        <v>Apply the algebraic identity (x+a)(x+b) to expand binomial expressions and solve problems involving polynomial manipulation.</v>
      </c>
      <c r="P101" s="100" t="str">
        <f t="shared" si="21"/>
        <v>LU000706.004</v>
      </c>
      <c r="Q101" s="100" t="str">
        <f ca="1">IFERROR(__xludf.dummyfunction("VLOOKUP(P101, IMPORTRANGE(""https://docs.google.com/spreadsheets/d/1yDAaXNsi4Mr5FtRQL4tbmSdIzhx6_m4wkOD7IG-k_eo/edit#gid=0"", ""Maths!M:N""), 2, FALSE)"),"Analyse complex binomial expressions and determine when and how to apply the algebraic identity (x+a)(x+b) for expansion and simplification.")</f>
        <v>Analyse complex binomial expressions and determine when and how to apply the algebraic identity (x+a)(x+b) for expansion and simplification.</v>
      </c>
      <c r="R101" s="100" t="str">
        <f t="shared" si="22"/>
        <v>LU000706.005</v>
      </c>
      <c r="S101" s="100" t="str">
        <f ca="1">IFERROR(__xludf.dummyfunction("VLOOKUP(R101, IMPORTRANGE(""https://docs.google.com/spreadsheets/d/1yDAaXNsi4Mr5FtRQL4tbmSdIzhx6_m4wkOD7IG-k_eo/edit#gid=0"", ""Maths!M:N""), 2, FALSE)"),"Assess the precision and effectiveness of applying the algebraic identity (x+a)(x+b) to expand binomial expressions in various mathematical contexts.")</f>
        <v>Assess the precision and effectiveness of applying the algebraic identity (x+a)(x+b) to expand binomial expressions in various mathematical contexts.</v>
      </c>
      <c r="T101" s="100" t="str">
        <f t="shared" si="23"/>
        <v>LU000706.006</v>
      </c>
      <c r="U101" s="100" t="str">
        <f ca="1">IFERROR(__xludf.dummyfunction("VLOOKUP(T101, IMPORTRANGE(""https://docs.google.com/spreadsheets/d/1yDAaXNsi4Mr5FtRQL4tbmSdIzhx6_m4wkOD7IG-k_eo/edit#gid=0"", ""Maths!M:N""), 2, FALSE)"),"Design mathematical problems or scenarios that necessitate the application of the algebraic identity (x+a)(x+b).")</f>
        <v>Design mathematical problems or scenarios that necessitate the application of the algebraic identity (x+a)(x+b).</v>
      </c>
      <c r="V101" s="16">
        <f ca="1">IFERROR(__xludf.dummyfunction("ArrayFormula(VLOOKUP(G101, IMPORTRANGE(""https://docs.google.com/spreadsheets/d/1p7R4vtkWt5VOBim4ltsDG9KTzSjrtKXsMtQGXPHyND0/edit#gid=795171502"", ""'Filter 30_05_2024'!A1:M2000""), {2, 3, 4, 5,6,7,8,9,10,11,12,13}, 0))"),4)</f>
        <v>4</v>
      </c>
      <c r="W101" s="16">
        <f ca="1">IFERROR(__xludf.dummyfunction("""COMPUTED_VALUE"""),6)</f>
        <v>6</v>
      </c>
      <c r="X101" s="16">
        <f ca="1">IFERROR(__xludf.dummyfunction("""COMPUTED_VALUE"""),2)</f>
        <v>2</v>
      </c>
      <c r="Y101" s="16">
        <f ca="1">IFERROR(__xludf.dummyfunction("""COMPUTED_VALUE"""),12)</f>
        <v>12</v>
      </c>
      <c r="Z101" s="16">
        <f ca="1">IFERROR(__xludf.dummyfunction("""COMPUTED_VALUE"""),4)</f>
        <v>4</v>
      </c>
      <c r="AA101" s="30">
        <f ca="1">IFERROR(__xludf.dummyfunction("""COMPUTED_VALUE"""),3)</f>
        <v>3</v>
      </c>
      <c r="AB101" s="30">
        <f ca="1">IFERROR(__xludf.dummyfunction("""COMPUTED_VALUE"""),1)</f>
        <v>1</v>
      </c>
      <c r="AC101" s="30">
        <f ca="1">IFERROR(__xludf.dummyfunction("""COMPUTED_VALUE"""),8)</f>
        <v>8</v>
      </c>
      <c r="AD101" s="16"/>
      <c r="AE101" s="30"/>
      <c r="AF101" s="30"/>
      <c r="AG101" s="30"/>
    </row>
    <row r="102" spans="1:33" ht="13.8">
      <c r="A102" s="25"/>
      <c r="B102" s="25" t="s">
        <v>29</v>
      </c>
      <c r="C102" s="25" t="s">
        <v>310</v>
      </c>
      <c r="D102" s="25">
        <v>8</v>
      </c>
      <c r="E102" s="70" t="s">
        <v>1179</v>
      </c>
      <c r="F102" s="70" t="s">
        <v>1180</v>
      </c>
      <c r="G102" s="64" t="s">
        <v>1181</v>
      </c>
      <c r="H102" s="64" t="str">
        <f ca="1">IFERROR(__xludf.dummyfunction("IFERROR(
  VLOOKUP(G102, IMPORTRANGE(""https://docs.google.com/spreadsheets/d/14deopnvwcrKtEGCKuYXdUHJbeLDZlkiSSWWT0g7x2pM/edit#gid=849066331"", ""LU List Maths (Filter)!A:B""), 2, FALSE),
  IFERROR(
    VLOOKUP(G102, IMPORTRANGE(""https://docs.google.com"&amp;"/spreadsheets/d/14deopnvwcrKtEGCKuYXdUHJbeLDZlkiSSWWT0g7x2pM/edit#gid=849066331"", ""LU List Science (Filter)!A:B""), 2, FALSE),
    ""Not Found""
  )
)
"),"Common factors of a monomial")</f>
        <v>Common factors of a monomial</v>
      </c>
      <c r="I102" s="64"/>
      <c r="J102" s="100" t="str">
        <f t="shared" si="18"/>
        <v>LU000770.001</v>
      </c>
      <c r="K102" s="100" t="str">
        <f ca="1">IFERROR(__xludf.dummyfunction("VLOOKUP(J102, IMPORTRANGE(""https://docs.google.com/spreadsheets/d/1yDAaXNsi4Mr5FtRQL4tbmSdIzhx6_m4wkOD7IG-k_eo/edit#gid=0"", ""Maths!M:N""), 2, FALSE)"),"List the common factors of given monomials.")</f>
        <v>List the common factors of given monomials.</v>
      </c>
      <c r="L102" s="100" t="str">
        <f t="shared" si="19"/>
        <v>LU000770.002</v>
      </c>
      <c r="M102" s="100" t="str">
        <f ca="1">IFERROR(__xludf.dummyfunction("VLOOKUP(L102, IMPORTRANGE(""https://docs.google.com/spreadsheets/d/1yDAaXNsi4Mr5FtRQL4tbmSdIzhx6_m4wkOD7IG-k_eo/edit#gid=0"", ""Maths!M:N""), 2, FALSE)"),"Describe the concept of common factors in a monomial, recognizing that they are shared values that can be factored out.")</f>
        <v>Describe the concept of common factors in a monomial, recognizing that they are shared values that can be factored out.</v>
      </c>
      <c r="N102" s="100" t="str">
        <f t="shared" si="20"/>
        <v>LU000770.003</v>
      </c>
      <c r="O102" s="100" t="str">
        <f ca="1">IFERROR(__xludf.dummyfunction("VLOOKUP(N102, IMPORTRANGE(""https://docs.google.com/spreadsheets/d/1yDAaXNsi4Mr5FtRQL4tbmSdIzhx6_m4wkOD7IG-k_eo/edit#gid=0"", ""Maths!M:N""), 2, FALSE)"),"Apply the knowledge of common factors to simplify monomials, demonstrating proficiency in factoring out these shared values.")</f>
        <v>Apply the knowledge of common factors to simplify monomials, demonstrating proficiency in factoring out these shared values.</v>
      </c>
      <c r="P102" s="100" t="str">
        <f t="shared" si="21"/>
        <v>LU000770.004</v>
      </c>
      <c r="Q102" s="100" t="str">
        <f ca="1">IFERROR(__xludf.dummyfunction("VLOOKUP(P102, IMPORTRANGE(""https://docs.google.com/spreadsheets/d/1yDAaXNsi4Mr5FtRQL4tbmSdIzhx6_m4wkOD7IG-k_eo/edit#gid=0"", ""Maths!M:N""), 2, FALSE)"),"Compare different methods of identifying common factors in monomials.")</f>
        <v>Compare different methods of identifying common factors in monomials.</v>
      </c>
      <c r="R102" s="100" t="str">
        <f t="shared" si="22"/>
        <v>LU000770.005</v>
      </c>
      <c r="S102" s="100" t="str">
        <f ca="1">IFERROR(__xludf.dummyfunction("VLOOKUP(R102, IMPORTRANGE(""https://docs.google.com/spreadsheets/d/1yDAaXNsi4Mr5FtRQL4tbmSdIzhx6_m4wkOD7IG-k_eo/edit#gid=0"", ""Maths!M:N""), 2, FALSE)"),"Evaluate the accuracy of results when finding common factors of monomials")</f>
        <v>Evaluate the accuracy of results when finding common factors of monomials</v>
      </c>
      <c r="T102" s="100" t="str">
        <f t="shared" si="23"/>
        <v>LU000770.006</v>
      </c>
      <c r="U102" s="100" t="str">
        <f ca="1">IFERROR(__xludf.dummyfunction("VLOOKUP(T102, IMPORTRANGE(""https://docs.google.com/spreadsheets/d/1yDAaXNsi4Mr5FtRQL4tbmSdIzhx6_m4wkOD7IG-k_eo/edit#gid=0"", ""Maths!M:N""), 2, FALSE)"),"#N/A")</f>
        <v>#N/A</v>
      </c>
      <c r="V102" s="16">
        <f ca="1">IFERROR(__xludf.dummyfunction("ArrayFormula(VLOOKUP(G102, IMPORTRANGE(""https://docs.google.com/spreadsheets/d/1p7R4vtkWt5VOBim4ltsDG9KTzSjrtKXsMtQGXPHyND0/edit#gid=795171502"", ""'Filter 30_05_2024'!A1:M2000""), {2, 3, 4, 5,6,7,8,9,10,11,12,13}, 0))"),4)</f>
        <v>4</v>
      </c>
      <c r="W102" s="16">
        <f ca="1">IFERROR(__xludf.dummyfunction("""COMPUTED_VALUE"""),6)</f>
        <v>6</v>
      </c>
      <c r="X102" s="16">
        <f ca="1">IFERROR(__xludf.dummyfunction("""COMPUTED_VALUE"""),2)</f>
        <v>2</v>
      </c>
      <c r="Y102" s="16">
        <f ca="1">IFERROR(__xludf.dummyfunction("""COMPUTED_VALUE"""),12)</f>
        <v>12</v>
      </c>
      <c r="Z102" s="16">
        <f ca="1">IFERROR(__xludf.dummyfunction("""COMPUTED_VALUE"""),4)</f>
        <v>4</v>
      </c>
      <c r="AA102" s="30">
        <f ca="1">IFERROR(__xludf.dummyfunction("""COMPUTED_VALUE"""),3)</f>
        <v>3</v>
      </c>
      <c r="AB102" s="30">
        <f ca="1">IFERROR(__xludf.dummyfunction("""COMPUTED_VALUE"""),1)</f>
        <v>1</v>
      </c>
      <c r="AC102" s="30">
        <f ca="1">IFERROR(__xludf.dummyfunction("""COMPUTED_VALUE"""),8)</f>
        <v>8</v>
      </c>
      <c r="AD102" s="16"/>
      <c r="AE102" s="30"/>
      <c r="AF102" s="30"/>
      <c r="AG102" s="30"/>
    </row>
    <row r="103" spans="1:33" ht="13.8">
      <c r="A103" s="25"/>
      <c r="B103" s="25" t="s">
        <v>29</v>
      </c>
      <c r="C103" s="25" t="s">
        <v>310</v>
      </c>
      <c r="D103" s="25">
        <v>8</v>
      </c>
      <c r="E103" s="70" t="s">
        <v>1179</v>
      </c>
      <c r="F103" s="70" t="s">
        <v>1180</v>
      </c>
      <c r="G103" s="64" t="s">
        <v>1182</v>
      </c>
      <c r="H103" s="64" t="str">
        <f ca="1">IFERROR(__xludf.dummyfunction("IFERROR(
  VLOOKUP(G103, IMPORTRANGE(""https://docs.google.com/spreadsheets/d/14deopnvwcrKtEGCKuYXdUHJbeLDZlkiSSWWT0g7x2pM/edit#gid=849066331"", ""LU List Maths (Filter)!A:B""), 2, FALSE),
  IFERROR(
    VLOOKUP(G103, IMPORTRANGE(""https://docs.google.com"&amp;"/spreadsheets/d/14deopnvwcrKtEGCKuYXdUHJbeLDZlkiSSWWT0g7x2pM/edit#gid=849066331"", ""LU List Science (Filter)!A:B""), 2, FALSE),
    ""Not Found""
  )
)
"),"Highest common factor of monomials")</f>
        <v>Highest common factor of monomials</v>
      </c>
      <c r="I103" s="64"/>
      <c r="J103" s="100" t="str">
        <f t="shared" si="18"/>
        <v>LU000771.001</v>
      </c>
      <c r="K103" s="100" t="str">
        <f ca="1">IFERROR(__xludf.dummyfunction("VLOOKUP(J103, IMPORTRANGE(""https://docs.google.com/spreadsheets/d/1yDAaXNsi4Mr5FtRQL4tbmSdIzhx6_m4wkOD7IG-k_eo/edit#gid=0"", ""Maths!M:N""), 2, FALSE)"),"State the steps to find the highest common factor of monomials")</f>
        <v>State the steps to find the highest common factor of monomials</v>
      </c>
      <c r="L103" s="100" t="str">
        <f t="shared" si="19"/>
        <v>LU000771.002</v>
      </c>
      <c r="M103" s="100" t="str">
        <f ca="1">IFERROR(__xludf.dummyfunction("VLOOKUP(L103, IMPORTRANGE(""https://docs.google.com/spreadsheets/d/1yDAaXNsi4Mr5FtRQL4tbmSdIzhx6_m4wkOD7IG-k_eo/edit#gid=0"", ""Maths!M:N""), 2, FALSE)"),"Describe the significance of finding the highest common factor (HCF) of monomials and how it simplifies algebraic expressions.")</f>
        <v>Describe the significance of finding the highest common factor (HCF) of monomials and how it simplifies algebraic expressions.</v>
      </c>
      <c r="N103" s="100" t="str">
        <f t="shared" si="20"/>
        <v>LU000771.003</v>
      </c>
      <c r="O103" s="100" t="str">
        <f ca="1">IFERROR(__xludf.dummyfunction("VLOOKUP(N103, IMPORTRANGE(""https://docs.google.com/spreadsheets/d/1yDAaXNsi4Mr5FtRQL4tbmSdIzhx6_m4wkOD7IG-k_eo/edit#gid=0"", ""Maths!M:N""), 2, FALSE)"),"Apply the rules and methods for determining the highest common factor (HCF) of monomials to simplify algebraic expressions effectively.")</f>
        <v>Apply the rules and methods for determining the highest common factor (HCF) of monomials to simplify algebraic expressions effectively.</v>
      </c>
      <c r="P103" s="100" t="str">
        <f t="shared" si="21"/>
        <v>LU000771.004</v>
      </c>
      <c r="Q103" s="100" t="str">
        <f ca="1">IFERROR(__xludf.dummyfunction("VLOOKUP(P103, IMPORTRANGE(""https://docs.google.com/spreadsheets/d/1yDAaXNsi4Mr5FtRQL4tbmSdIzhx6_m4wkOD7IG-k_eo/edit#gid=0"", ""Maths!M:N""), 2, FALSE)"),"Analyze different monomials to identify and compute their highest common factor (HCF)")</f>
        <v>Analyze different monomials to identify and compute their highest common factor (HCF)</v>
      </c>
      <c r="R103" s="100" t="str">
        <f t="shared" si="22"/>
        <v>LU000771.005</v>
      </c>
      <c r="S103" s="100" t="str">
        <f ca="1">IFERROR(__xludf.dummyfunction("VLOOKUP(R103, IMPORTRANGE(""https://docs.google.com/spreadsheets/d/1yDAaXNsi4Mr5FtRQL4tbmSdIzhx6_m4wkOD7IG-k_eo/edit#gid=0"", ""Maths!M:N""), 2, FALSE)"),"Evaluate the accuracy of calculated HCFs of monomials in various mathematical problems")</f>
        <v>Evaluate the accuracy of calculated HCFs of monomials in various mathematical problems</v>
      </c>
      <c r="T103" s="100" t="str">
        <f t="shared" si="23"/>
        <v>LU000771.006</v>
      </c>
      <c r="U103" s="100" t="str">
        <f ca="1">IFERROR(__xludf.dummyfunction("VLOOKUP(T103, IMPORTRANGE(""https://docs.google.com/spreadsheets/d/1yDAaXNsi4Mr5FtRQL4tbmSdIzhx6_m4wkOD7IG-k_eo/edit#gid=0"", ""Maths!M:N""), 2, FALSE)"),"#N/A")</f>
        <v>#N/A</v>
      </c>
      <c r="V103" s="16">
        <f ca="1">IFERROR(__xludf.dummyfunction("ArrayFormula(VLOOKUP(G103, IMPORTRANGE(""https://docs.google.com/spreadsheets/d/1p7R4vtkWt5VOBim4ltsDG9KTzSjrtKXsMtQGXPHyND0/edit#gid=795171502"", ""'Filter 30_05_2024'!A1:M2000""), {2, 3, 4, 5,6,7,8,9,10,11,12,13}, 0))"),4)</f>
        <v>4</v>
      </c>
      <c r="W103" s="16">
        <f ca="1">IFERROR(__xludf.dummyfunction("""COMPUTED_VALUE"""),6)</f>
        <v>6</v>
      </c>
      <c r="X103" s="16">
        <f ca="1">IFERROR(__xludf.dummyfunction("""COMPUTED_VALUE"""),2)</f>
        <v>2</v>
      </c>
      <c r="Y103" s="16">
        <f ca="1">IFERROR(__xludf.dummyfunction("""COMPUTED_VALUE"""),12)</f>
        <v>12</v>
      </c>
      <c r="Z103" s="16">
        <f ca="1">IFERROR(__xludf.dummyfunction("""COMPUTED_VALUE"""),4)</f>
        <v>4</v>
      </c>
      <c r="AA103" s="30">
        <f ca="1">IFERROR(__xludf.dummyfunction("""COMPUTED_VALUE"""),3)</f>
        <v>3</v>
      </c>
      <c r="AB103" s="30">
        <f ca="1">IFERROR(__xludf.dummyfunction("""COMPUTED_VALUE"""),1)</f>
        <v>1</v>
      </c>
      <c r="AC103" s="30">
        <f ca="1">IFERROR(__xludf.dummyfunction("""COMPUTED_VALUE"""),8)</f>
        <v>8</v>
      </c>
      <c r="AD103" s="16"/>
      <c r="AE103" s="30"/>
      <c r="AF103" s="30"/>
      <c r="AG103" s="30"/>
    </row>
    <row r="104" spans="1:33" ht="13.8">
      <c r="A104" s="25"/>
      <c r="B104" s="25" t="s">
        <v>29</v>
      </c>
      <c r="C104" s="25" t="s">
        <v>310</v>
      </c>
      <c r="D104" s="25">
        <v>8</v>
      </c>
      <c r="E104" s="70" t="s">
        <v>1179</v>
      </c>
      <c r="F104" s="70" t="s">
        <v>1180</v>
      </c>
      <c r="G104" s="64" t="s">
        <v>1183</v>
      </c>
      <c r="H104" s="64" t="str">
        <f ca="1">IFERROR(__xludf.dummyfunction("IFERROR(
  VLOOKUP(G104, IMPORTRANGE(""https://docs.google.com/spreadsheets/d/14deopnvwcrKtEGCKuYXdUHJbeLDZlkiSSWWT0g7x2pM/edit#gid=849066331"", ""LU List Maths (Filter)!A:B""), 2, FALSE),
  IFERROR(
    VLOOKUP(G104, IMPORTRANGE(""https://docs.google.com"&amp;"/spreadsheets/d/14deopnvwcrKtEGCKuYXdUHJbeLDZlkiSSWWT0g7x2pM/edit#gid=849066331"", ""LU List Science (Filter)!A:B""), 2, FALSE),
    ""Not Found""
  )
)
"),"Definition of factorisation of algebraic expressions")</f>
        <v>Definition of factorisation of algebraic expressions</v>
      </c>
      <c r="I104" s="64"/>
      <c r="J104" s="100" t="str">
        <f t="shared" si="18"/>
        <v>LU000757.001</v>
      </c>
      <c r="K104" s="100" t="str">
        <f ca="1">IFERROR(__xludf.dummyfunction("VLOOKUP(J104, IMPORTRANGE(""https://docs.google.com/spreadsheets/d/1yDAaXNsi4Mr5FtRQL4tbmSdIzhx6_m4wkOD7IG-k_eo/edit#gid=0"", ""Maths!M:N""), 2, FALSE)"),"Recall the definition of factorisation and its importance in simplifying algebraic expressions.")</f>
        <v>Recall the definition of factorisation and its importance in simplifying algebraic expressions.</v>
      </c>
      <c r="L104" s="100" t="str">
        <f t="shared" si="19"/>
        <v>LU000757.002</v>
      </c>
      <c r="M104" s="100" t="str">
        <f ca="1">IFERROR(__xludf.dummyfunction("VLOOKUP(L104, IMPORTRANGE(""https://docs.google.com/spreadsheets/d/1yDAaXNsi4Mr5FtRQL4tbmSdIzhx6_m4wkOD7IG-k_eo/edit#gid=0"", ""Maths!M:N""), 2, FALSE)"),"Explain the importance of factorization in simplifying algebraic expressions.")</f>
        <v>Explain the importance of factorization in simplifying algebraic expressions.</v>
      </c>
      <c r="N104" s="100" t="str">
        <f t="shared" si="20"/>
        <v>LU000757.003</v>
      </c>
      <c r="O104" s="100" t="str">
        <f ca="1">IFERROR(__xludf.dummyfunction("VLOOKUP(N104, IMPORTRANGE(""https://docs.google.com/spreadsheets/d/1yDAaXNsi4Mr5FtRQL4tbmSdIzhx6_m4wkOD7IG-k_eo/edit#gid=0"", ""Maths!M:N""), 2, FALSE)"),"Apply factorisation techniques to algebraic expressions.")</f>
        <v>Apply factorisation techniques to algebraic expressions.</v>
      </c>
      <c r="P104" s="100" t="str">
        <f t="shared" si="21"/>
        <v>LU000757.004</v>
      </c>
      <c r="Q104" s="100" t="str">
        <f ca="1">IFERROR(__xludf.dummyfunction("VLOOKUP(P104, IMPORTRANGE(""https://docs.google.com/spreadsheets/d/1yDAaXNsi4Mr5FtRQL4tbmSdIzhx6_m4wkOD7IG-k_eo/edit#gid=0"", ""Maths!M:N""), 2, FALSE)"),"Analyse complex algebraic expressions to identify patterns for factorisation.")</f>
        <v>Analyse complex algebraic expressions to identify patterns for factorisation.</v>
      </c>
      <c r="R104" s="100" t="str">
        <f t="shared" si="22"/>
        <v>LU000757.005</v>
      </c>
      <c r="S104" s="100" t="str">
        <f ca="1">IFERROR(__xludf.dummyfunction("VLOOKUP(R104, IMPORTRANGE(""https://docs.google.com/spreadsheets/d/1yDAaXNsi4Mr5FtRQL4tbmSdIzhx6_m4wkOD7IG-k_eo/edit#gid=0"", ""Maths!M:N""), 2, FALSE)"),"Evaluate the significance of factorisation in solving real-world problems.")</f>
        <v>Evaluate the significance of factorisation in solving real-world problems.</v>
      </c>
      <c r="T104" s="100" t="str">
        <f t="shared" si="23"/>
        <v>LU000757.006</v>
      </c>
      <c r="U104" s="100" t="str">
        <f ca="1">IFERROR(__xludf.dummyfunction("VLOOKUP(T104, IMPORTRANGE(""https://docs.google.com/spreadsheets/d/1yDAaXNsi4Mr5FtRQL4tbmSdIzhx6_m4wkOD7IG-k_eo/edit#gid=0"", ""Maths!M:N""), 2, FALSE)"),"Design factorisation problems involving various algebraic expressions for practice.")</f>
        <v>Design factorisation problems involving various algebraic expressions for practice.</v>
      </c>
      <c r="V104" s="16">
        <f ca="1">IFERROR(__xludf.dummyfunction("ArrayFormula(VLOOKUP(G104, IMPORTRANGE(""https://docs.google.com/spreadsheets/d/1p7R4vtkWt5VOBim4ltsDG9KTzSjrtKXsMtQGXPHyND0/edit#gid=795171502"", ""'Filter 30_05_2024'!A1:M2000""), {2, 3, 4, 5,6,7,8,9,10,11,12,13}, 0))"),4)</f>
        <v>4</v>
      </c>
      <c r="W104" s="16">
        <f ca="1">IFERROR(__xludf.dummyfunction("""COMPUTED_VALUE"""),6)</f>
        <v>6</v>
      </c>
      <c r="X104" s="16">
        <f ca="1">IFERROR(__xludf.dummyfunction("""COMPUTED_VALUE"""),2)</f>
        <v>2</v>
      </c>
      <c r="Y104" s="16">
        <f ca="1">IFERROR(__xludf.dummyfunction("""COMPUTED_VALUE"""),12)</f>
        <v>12</v>
      </c>
      <c r="Z104" s="16">
        <f ca="1">IFERROR(__xludf.dummyfunction("""COMPUTED_VALUE"""),4)</f>
        <v>4</v>
      </c>
      <c r="AA104" s="30">
        <f ca="1">IFERROR(__xludf.dummyfunction("""COMPUTED_VALUE"""),3)</f>
        <v>3</v>
      </c>
      <c r="AB104" s="30">
        <f ca="1">IFERROR(__xludf.dummyfunction("""COMPUTED_VALUE"""),1)</f>
        <v>1</v>
      </c>
      <c r="AC104" s="30">
        <f ca="1">IFERROR(__xludf.dummyfunction("""COMPUTED_VALUE"""),8)</f>
        <v>8</v>
      </c>
      <c r="AD104" s="16"/>
      <c r="AE104" s="30"/>
      <c r="AF104" s="30"/>
      <c r="AG104" s="30"/>
    </row>
    <row r="105" spans="1:33" ht="26.4">
      <c r="A105" s="25"/>
      <c r="B105" s="25" t="s">
        <v>29</v>
      </c>
      <c r="C105" s="25" t="s">
        <v>310</v>
      </c>
      <c r="D105" s="25">
        <v>8</v>
      </c>
      <c r="E105" s="70" t="s">
        <v>1179</v>
      </c>
      <c r="F105" s="70" t="s">
        <v>1184</v>
      </c>
      <c r="G105" s="64" t="s">
        <v>1185</v>
      </c>
      <c r="H105" s="64" t="str">
        <f ca="1">IFERROR(__xludf.dummyfunction("IFERROR(
  VLOOKUP(G105, IMPORTRANGE(""https://docs.google.com/spreadsheets/d/14deopnvwcrKtEGCKuYXdUHJbeLDZlkiSSWWT0g7x2pM/edit#gid=849066331"", ""LU List Maths (Filter)!A:B""), 2, FALSE),
  IFERROR(
    VLOOKUP(G105, IMPORTRANGE(""https://docs.google.com"&amp;"/spreadsheets/d/14deopnvwcrKtEGCKuYXdUHJbeLDZlkiSSWWT0g7x2pM/edit#gid=849066331"", ""LU List Science (Filter)!A:B""), 2, FALSE),
    ""Not Found""
  )
)
"),"Factorisation of algebraic expressions by taking out monomial as common factors")</f>
        <v>Factorisation of algebraic expressions by taking out monomial as common factors</v>
      </c>
      <c r="I105" s="64"/>
      <c r="J105" s="100" t="str">
        <f t="shared" si="18"/>
        <v>LU000758.001</v>
      </c>
      <c r="K105" s="100" t="str">
        <f ca="1">IFERROR(__xludf.dummyfunction("VLOOKUP(J105, IMPORTRANGE(""https://docs.google.com/spreadsheets/d/1yDAaXNsi4Mr5FtRQL4tbmSdIzhx6_m4wkOD7IG-k_eo/edit#gid=0"", ""Maths!M:N""), 2, FALSE)"),"State the key steps involved in factorisation of algebraic expressions by taking out monomial as common factors.")</f>
        <v>State the key steps involved in factorisation of algebraic expressions by taking out monomial as common factors.</v>
      </c>
      <c r="L105" s="100" t="str">
        <f t="shared" si="19"/>
        <v>LU000758.002</v>
      </c>
      <c r="M105" s="100" t="str">
        <f ca="1">IFERROR(__xludf.dummyfunction("VLOOKUP(L105, IMPORTRANGE(""https://docs.google.com/spreadsheets/d/1yDAaXNsi4Mr5FtRQL4tbmSdIzhx6_m4wkOD7IG-k_eo/edit#gid=0"", ""Maths!M:N""), 2, FALSE)"),"Explain the concept and purpose of factorising algebraic expressions by taking out monomial as common factors")</f>
        <v>Explain the concept and purpose of factorising algebraic expressions by taking out monomial as common factors</v>
      </c>
      <c r="N105" s="100" t="str">
        <f t="shared" si="20"/>
        <v>LU000758.003</v>
      </c>
      <c r="O105" s="100" t="str">
        <f ca="1">IFERROR(__xludf.dummyfunction("VLOOKUP(N105, IMPORTRANGE(""https://docs.google.com/spreadsheets/d/1yDAaXNsi4Mr5FtRQL4tbmSdIzhx6_m4wkOD7IG-k_eo/edit#gid=0"", ""Maths!M:N""), 2, FALSE)"),"Solve problems on factorisation of algebraic expression by taking out monomial as common factors.")</f>
        <v>Solve problems on factorisation of algebraic expression by taking out monomial as common factors.</v>
      </c>
      <c r="P105" s="100" t="str">
        <f t="shared" si="21"/>
        <v>LU000758.004</v>
      </c>
      <c r="Q105" s="100" t="str">
        <f ca="1">IFERROR(__xludf.dummyfunction("VLOOKUP(P105, IMPORTRANGE(""https://docs.google.com/spreadsheets/d/1yDAaXNsi4Mr5FtRQL4tbmSdIzhx6_m4wkOD7IG-k_eo/edit#gid=0"", ""Maths!M:N""), 2, FALSE)"),"Analyse complex algebraic expressions to identify common monomial factors and perform factorisation.")</f>
        <v>Analyse complex algebraic expressions to identify common monomial factors and perform factorisation.</v>
      </c>
      <c r="R105" s="100" t="str">
        <f t="shared" si="22"/>
        <v>LU000758.005</v>
      </c>
      <c r="S105" s="100" t="str">
        <f ca="1">IFERROR(__xludf.dummyfunction("VLOOKUP(R105, IMPORTRANGE(""https://docs.google.com/spreadsheets/d/1yDAaXNsi4Mr5FtRQL4tbmSdIzhx6_m4wkOD7IG-k_eo/edit#gid=0"", ""Maths!M:N""), 2, FALSE)"),"Evaluate the correctness of factorization results obtained by taking out monomial as common factor.")</f>
        <v>Evaluate the correctness of factorization results obtained by taking out monomial as common factor.</v>
      </c>
      <c r="T105" s="100" t="str">
        <f t="shared" si="23"/>
        <v>LU000758.006</v>
      </c>
      <c r="U105" s="100" t="str">
        <f ca="1">IFERROR(__xludf.dummyfunction("VLOOKUP(T105, IMPORTRANGE(""https://docs.google.com/spreadsheets/d/1yDAaXNsi4Mr5FtRQL4tbmSdIzhx6_m4wkOD7IG-k_eo/edit#gid=0"", ""Maths!M:N""), 2, FALSE)"),"#N/A")</f>
        <v>#N/A</v>
      </c>
      <c r="V105" s="16">
        <f ca="1">IFERROR(__xludf.dummyfunction("ArrayFormula(VLOOKUP(G105, IMPORTRANGE(""https://docs.google.com/spreadsheets/d/1p7R4vtkWt5VOBim4ltsDG9KTzSjrtKXsMtQGXPHyND0/edit#gid=795171502"", ""'Filter 30_05_2024'!A1:M2000""), {2, 3, 4, 5,6,7,8,9,10,11,12,13}, 0))"),4)</f>
        <v>4</v>
      </c>
      <c r="W105" s="16">
        <f ca="1">IFERROR(__xludf.dummyfunction("""COMPUTED_VALUE"""),6)</f>
        <v>6</v>
      </c>
      <c r="X105" s="16">
        <f ca="1">IFERROR(__xludf.dummyfunction("""COMPUTED_VALUE"""),2)</f>
        <v>2</v>
      </c>
      <c r="Y105" s="16">
        <f ca="1">IFERROR(__xludf.dummyfunction("""COMPUTED_VALUE"""),12)</f>
        <v>12</v>
      </c>
      <c r="Z105" s="16">
        <f ca="1">IFERROR(__xludf.dummyfunction("""COMPUTED_VALUE"""),4)</f>
        <v>4</v>
      </c>
      <c r="AA105" s="30">
        <f ca="1">IFERROR(__xludf.dummyfunction("""COMPUTED_VALUE"""),3)</f>
        <v>3</v>
      </c>
      <c r="AB105" s="30">
        <f ca="1">IFERROR(__xludf.dummyfunction("""COMPUTED_VALUE"""),1)</f>
        <v>1</v>
      </c>
      <c r="AC105" s="30">
        <f ca="1">IFERROR(__xludf.dummyfunction("""COMPUTED_VALUE"""),8)</f>
        <v>8</v>
      </c>
      <c r="AD105" s="16"/>
      <c r="AE105" s="30"/>
      <c r="AF105" s="30"/>
      <c r="AG105" s="30"/>
    </row>
    <row r="106" spans="1:33" ht="26.4">
      <c r="A106" s="25"/>
      <c r="B106" s="25" t="s">
        <v>29</v>
      </c>
      <c r="C106" s="25" t="s">
        <v>310</v>
      </c>
      <c r="D106" s="25">
        <v>8</v>
      </c>
      <c r="E106" s="70" t="s">
        <v>1179</v>
      </c>
      <c r="F106" s="70" t="s">
        <v>1184</v>
      </c>
      <c r="G106" s="64" t="s">
        <v>1186</v>
      </c>
      <c r="H106" s="64" t="str">
        <f ca="1">IFERROR(__xludf.dummyfunction("IFERROR(
  VLOOKUP(G106, IMPORTRANGE(""https://docs.google.com/spreadsheets/d/14deopnvwcrKtEGCKuYXdUHJbeLDZlkiSSWWT0g7x2pM/edit#gid=849066331"", ""LU List Maths (Filter)!A:B""), 2, FALSE),
  IFERROR(
    VLOOKUP(G106, IMPORTRANGE(""https://docs.google.com"&amp;"/spreadsheets/d/14deopnvwcrKtEGCKuYXdUHJbeLDZlkiSSWWT0g7x2pM/edit#gid=849066331"", ""LU List Science (Filter)!A:B""), 2, FALSE),
    ""Not Found""
  )
)
"),"Factorisation of algebraic expressions by taking out binomial as a common factor")</f>
        <v>Factorisation of algebraic expressions by taking out binomial as a common factor</v>
      </c>
      <c r="I106" s="64"/>
      <c r="J106" s="100" t="str">
        <f t="shared" si="18"/>
        <v>LU000940.001</v>
      </c>
      <c r="K106" s="100" t="str">
        <f ca="1">IFERROR(__xludf.dummyfunction("VLOOKUP(J106, IMPORTRANGE(""https://docs.google.com/spreadsheets/d/1yDAaXNsi4Mr5FtRQL4tbmSdIzhx6_m4wkOD7IG-k_eo/edit#gid=0"", ""Maths!M:N""), 2, FALSE)"),"State the key steps involved in factorisation of algebraic expressions by taking out binomial as a common factor.")</f>
        <v>State the key steps involved in factorisation of algebraic expressions by taking out binomial as a common factor.</v>
      </c>
      <c r="L106" s="100" t="str">
        <f t="shared" si="19"/>
        <v>LU000940.002</v>
      </c>
      <c r="M106" s="100" t="str">
        <f ca="1">IFERROR(__xludf.dummyfunction("VLOOKUP(L106, IMPORTRANGE(""https://docs.google.com/spreadsheets/d/1yDAaXNsi4Mr5FtRQL4tbmSdIzhx6_m4wkOD7IG-k_eo/edit#gid=0"", ""Maths!M:N""), 2, FALSE)"),"Explain the concept and purpose of factorising algebraic expressions by taking out binomial as common factors")</f>
        <v>Explain the concept and purpose of factorising algebraic expressions by taking out binomial as common factors</v>
      </c>
      <c r="N106" s="100" t="str">
        <f t="shared" si="20"/>
        <v>LU000940.003</v>
      </c>
      <c r="O106" s="100" t="str">
        <f ca="1">IFERROR(__xludf.dummyfunction("VLOOKUP(N106, IMPORTRANGE(""https://docs.google.com/spreadsheets/d/1yDAaXNsi4Mr5FtRQL4tbmSdIzhx6_m4wkOD7IG-k_eo/edit#gid=0"", ""Maths!M:N""), 2, FALSE)"),"Solve problems on factorisation of algebraic expression by taking out binomial as common factor.")</f>
        <v>Solve problems on factorisation of algebraic expression by taking out binomial as common factor.</v>
      </c>
      <c r="P106" s="100" t="str">
        <f t="shared" si="21"/>
        <v>LU000940.004</v>
      </c>
      <c r="Q106" s="100" t="str">
        <f ca="1">IFERROR(__xludf.dummyfunction("VLOOKUP(P106, IMPORTRANGE(""https://docs.google.com/spreadsheets/d/1yDAaXNsi4Mr5FtRQL4tbmSdIzhx6_m4wkOD7IG-k_eo/edit#gid=0"", ""Maths!M:N""), 2, FALSE)"),"Analyse complex algebraic expressions to identify common binomial factors and perform factorisation.")</f>
        <v>Analyse complex algebraic expressions to identify common binomial factors and perform factorisation.</v>
      </c>
      <c r="R106" s="100" t="str">
        <f t="shared" si="22"/>
        <v>LU000940.005</v>
      </c>
      <c r="S106" s="100" t="str">
        <f ca="1">IFERROR(__xludf.dummyfunction("VLOOKUP(R106, IMPORTRANGE(""https://docs.google.com/spreadsheets/d/1yDAaXNsi4Mr5FtRQL4tbmSdIzhx6_m4wkOD7IG-k_eo/edit#gid=0"", ""Maths!M:N""), 2, FALSE)"),"Evaluate the correctness of factorization results obtained by taking out binomial as common factor.")</f>
        <v>Evaluate the correctness of factorization results obtained by taking out binomial as common factor.</v>
      </c>
      <c r="T106" s="100" t="str">
        <f t="shared" si="23"/>
        <v>LU000940.006</v>
      </c>
      <c r="U106" s="100" t="str">
        <f ca="1">IFERROR(__xludf.dummyfunction("VLOOKUP(T106, IMPORTRANGE(""https://docs.google.com/spreadsheets/d/1yDAaXNsi4Mr5FtRQL4tbmSdIzhx6_m4wkOD7IG-k_eo/edit#gid=0"", ""Maths!M:N""), 2, FALSE)"),"#N/A")</f>
        <v>#N/A</v>
      </c>
      <c r="V106" s="16">
        <f ca="1">IFERROR(__xludf.dummyfunction("ArrayFormula(VLOOKUP(G106, IMPORTRANGE(""https://docs.google.com/spreadsheets/d/1p7R4vtkWt5VOBim4ltsDG9KTzSjrtKXsMtQGXPHyND0/edit#gid=795171502"", ""'Filter 30_05_2024'!A1:M2000""), {2, 3, 4, 5,6,7,8,9,10,11,12,13}, 0))"),4)</f>
        <v>4</v>
      </c>
      <c r="W106" s="16">
        <f ca="1">IFERROR(__xludf.dummyfunction("""COMPUTED_VALUE"""),6)</f>
        <v>6</v>
      </c>
      <c r="X106" s="16">
        <f ca="1">IFERROR(__xludf.dummyfunction("""COMPUTED_VALUE"""),2)</f>
        <v>2</v>
      </c>
      <c r="Y106" s="16">
        <f ca="1">IFERROR(__xludf.dummyfunction("""COMPUTED_VALUE"""),12)</f>
        <v>12</v>
      </c>
      <c r="Z106" s="16">
        <f ca="1">IFERROR(__xludf.dummyfunction("""COMPUTED_VALUE"""),4)</f>
        <v>4</v>
      </c>
      <c r="AA106" s="30">
        <f ca="1">IFERROR(__xludf.dummyfunction("""COMPUTED_VALUE"""),3)</f>
        <v>3</v>
      </c>
      <c r="AB106" s="30">
        <f ca="1">IFERROR(__xludf.dummyfunction("""COMPUTED_VALUE"""),1)</f>
        <v>1</v>
      </c>
      <c r="AC106" s="30">
        <f ca="1">IFERROR(__xludf.dummyfunction("""COMPUTED_VALUE"""),8)</f>
        <v>8</v>
      </c>
      <c r="AD106" s="16"/>
      <c r="AE106" s="30"/>
      <c r="AF106" s="30"/>
      <c r="AG106" s="30"/>
    </row>
    <row r="107" spans="1:33" ht="26.4">
      <c r="A107" s="25"/>
      <c r="B107" s="25" t="s">
        <v>29</v>
      </c>
      <c r="C107" s="25" t="s">
        <v>310</v>
      </c>
      <c r="D107" s="25">
        <v>8</v>
      </c>
      <c r="E107" s="70" t="s">
        <v>1179</v>
      </c>
      <c r="F107" s="70" t="s">
        <v>1184</v>
      </c>
      <c r="G107" s="64" t="s">
        <v>1187</v>
      </c>
      <c r="H107" s="64" t="str">
        <f ca="1">IFERROR(__xludf.dummyfunction("IFERROR(
  VLOOKUP(G107, IMPORTRANGE(""https://docs.google.com/spreadsheets/d/14deopnvwcrKtEGCKuYXdUHJbeLDZlkiSSWWT0g7x2pM/edit#gid=849066331"", ""LU List Maths (Filter)!A:B""), 2, FALSE),
  IFERROR(
    VLOOKUP(G107, IMPORTRANGE(""https://docs.google.com"&amp;"/spreadsheets/d/14deopnvwcrKtEGCKuYXdUHJbeLDZlkiSSWWT0g7x2pM/edit#gid=849066331"", ""LU List Science (Filter)!A:B""), 2, FALSE),
    ""Not Found""
  )
)
"),"Factorisation of algebraic expressions by method of regrouping terms")</f>
        <v>Factorisation of algebraic expressions by method of regrouping terms</v>
      </c>
      <c r="I107" s="64"/>
      <c r="J107" s="100" t="str">
        <f t="shared" si="18"/>
        <v>LU000759.001</v>
      </c>
      <c r="K107" s="100" t="str">
        <f ca="1">IFERROR(__xludf.dummyfunction("VLOOKUP(J107, IMPORTRANGE(""https://docs.google.com/spreadsheets/d/1yDAaXNsi4Mr5FtRQL4tbmSdIzhx6_m4wkOD7IG-k_eo/edit#gid=0"", ""Maths!M:N""), 2, FALSE)"),"State the key steps involved in factorisation using the method of regrouping terms.")</f>
        <v>State the key steps involved in factorisation using the method of regrouping terms.</v>
      </c>
      <c r="L107" s="100" t="str">
        <f t="shared" si="19"/>
        <v>LU000759.002</v>
      </c>
      <c r="M107" s="100" t="str">
        <f ca="1">IFERROR(__xludf.dummyfunction("VLOOKUP(L107, IMPORTRANGE(""https://docs.google.com/spreadsheets/d/1yDAaXNsi4Mr5FtRQL4tbmSdIzhx6_m4wkOD7IG-k_eo/edit#gid=0"", ""Maths!M:N""), 2, FALSE)"),"Describe why it is important to identify common factors when using the regrouping method for factorisation.")</f>
        <v>Describe why it is important to identify common factors when using the regrouping method for factorisation.</v>
      </c>
      <c r="N107" s="100" t="str">
        <f t="shared" si="20"/>
        <v>LU000759.003</v>
      </c>
      <c r="O107" s="100" t="str">
        <f ca="1">IFERROR(__xludf.dummyfunction("VLOOKUP(N107, IMPORTRANGE(""https://docs.google.com/spreadsheets/d/1yDAaXNsi4Mr5FtRQL4tbmSdIzhx6_m4wkOD7IG-k_eo/edit#gid=0"", ""Maths!M:N""), 2, FALSE)"),"Apply the method of regrouping terms to factorise simple algebraic expressions.")</f>
        <v>Apply the method of regrouping terms to factorise simple algebraic expressions.</v>
      </c>
      <c r="P107" s="100" t="str">
        <f t="shared" si="21"/>
        <v>LU000759.004</v>
      </c>
      <c r="Q107" s="100" t="str">
        <f ca="1">IFERROR(__xludf.dummyfunction("VLOOKUP(P107, IMPORTRANGE(""https://docs.google.com/spreadsheets/d/1yDAaXNsi4Mr5FtRQL4tbmSdIzhx6_m4wkOD7IG-k_eo/edit#gid=0"", ""Maths!M:N""), 2, FALSE)"),"Analyse complex algebraic expressions to determine the suitability of the regrouping method for factorisation.")</f>
        <v>Analyse complex algebraic expressions to determine the suitability of the regrouping method for factorisation.</v>
      </c>
      <c r="R107" s="100" t="str">
        <f t="shared" si="22"/>
        <v>LU000759.005</v>
      </c>
      <c r="S107" s="100" t="str">
        <f ca="1">IFERROR(__xludf.dummyfunction("VLOOKUP(R107, IMPORTRANGE(""https://docs.google.com/spreadsheets/d/1yDAaXNsi4Mr5FtRQL4tbmSdIzhx6_m4wkOD7IG-k_eo/edit#gid=0"", ""Maths!M:N""), 2, FALSE)"),"Evaluate the effectiveness of the regrouping method compared to other factorisation techniques in specific algebraic contexts.")</f>
        <v>Evaluate the effectiveness of the regrouping method compared to other factorisation techniques in specific algebraic contexts.</v>
      </c>
      <c r="T107" s="100" t="str">
        <f t="shared" si="23"/>
        <v>LU000759.006</v>
      </c>
      <c r="U107" s="100" t="str">
        <f ca="1">IFERROR(__xludf.dummyfunction("VLOOKUP(T107, IMPORTRANGE(""https://docs.google.com/spreadsheets/d/1yDAaXNsi4Mr5FtRQL4tbmSdIzhx6_m4wkOD7IG-k_eo/edit#gid=0"", ""Maths!M:N""), 2, FALSE)"),"Design original algebraic expressions that necessitate factorisation through the regrouping method.")</f>
        <v>Design original algebraic expressions that necessitate factorisation through the regrouping method.</v>
      </c>
      <c r="V107" s="16">
        <f ca="1">IFERROR(__xludf.dummyfunction("ArrayFormula(VLOOKUP(G107, IMPORTRANGE(""https://docs.google.com/spreadsheets/d/1p7R4vtkWt5VOBim4ltsDG9KTzSjrtKXsMtQGXPHyND0/edit#gid=795171502"", ""'Filter 30_05_2024'!A1:M2000""), {2, 3, 4, 5,6,7,8,9,10,11,12,13}, 0))"),4)</f>
        <v>4</v>
      </c>
      <c r="W107" s="16">
        <f ca="1">IFERROR(__xludf.dummyfunction("""COMPUTED_VALUE"""),6)</f>
        <v>6</v>
      </c>
      <c r="X107" s="16">
        <f ca="1">IFERROR(__xludf.dummyfunction("""COMPUTED_VALUE"""),2)</f>
        <v>2</v>
      </c>
      <c r="Y107" s="16">
        <f ca="1">IFERROR(__xludf.dummyfunction("""COMPUTED_VALUE"""),12)</f>
        <v>12</v>
      </c>
      <c r="Z107" s="16">
        <f ca="1">IFERROR(__xludf.dummyfunction("""COMPUTED_VALUE"""),4)</f>
        <v>4</v>
      </c>
      <c r="AA107" s="30">
        <f ca="1">IFERROR(__xludf.dummyfunction("""COMPUTED_VALUE"""),3)</f>
        <v>3</v>
      </c>
      <c r="AB107" s="30">
        <f ca="1">IFERROR(__xludf.dummyfunction("""COMPUTED_VALUE"""),1)</f>
        <v>1</v>
      </c>
      <c r="AC107" s="30">
        <f ca="1">IFERROR(__xludf.dummyfunction("""COMPUTED_VALUE"""),8)</f>
        <v>8</v>
      </c>
      <c r="AD107" s="16"/>
      <c r="AE107" s="30"/>
      <c r="AF107" s="30"/>
      <c r="AG107" s="30"/>
    </row>
    <row r="108" spans="1:33" ht="26.4">
      <c r="A108" s="50"/>
      <c r="B108" s="50" t="s">
        <v>29</v>
      </c>
      <c r="C108" s="50" t="s">
        <v>310</v>
      </c>
      <c r="D108" s="50">
        <v>8</v>
      </c>
      <c r="E108" s="81" t="s">
        <v>1179</v>
      </c>
      <c r="F108" s="81" t="s">
        <v>1188</v>
      </c>
      <c r="G108" s="85" t="s">
        <v>1189</v>
      </c>
      <c r="H108" s="85" t="str">
        <f ca="1">IFERROR(__xludf.dummyfunction("IFERROR(
  VLOOKUP(G108, IMPORTRANGE(""https://docs.google.com/spreadsheets/d/14deopnvwcrKtEGCKuYXdUHJbeLDZlkiSSWWT0g7x2pM/edit#gid=849066331"", ""LU List Maths (Filter)!A:B""), 2, FALSE),
  IFERROR(
    VLOOKUP(G108, IMPORTRANGE(""https://docs.google.com"&amp;"/spreadsheets/d/14deopnvwcrKtEGCKuYXdUHJbeLDZlkiSSWWT0g7x2pM/edit#gid=849066331"", ""LU List Science (Filter)!A:B""), 2, FALSE),
    ""Not Found""
  )
)
"),"Factorisation of algebraic expressions using identity (a-b)^2")</f>
        <v>Factorisation of algebraic expressions using identity (a-b)^2</v>
      </c>
      <c r="I108" s="85"/>
      <c r="J108" s="100" t="str">
        <f t="shared" si="18"/>
        <v>LU000768.001</v>
      </c>
      <c r="K108" s="100" t="str">
        <f ca="1">IFERROR(__xludf.dummyfunction("VLOOKUP(J108, IMPORTRANGE(""https://docs.google.com/spreadsheets/d/1yDAaXNsi4Mr5FtRQL4tbmSdIzhx6_m4wkOD7IG-k_eo/edit#gid=0"", ""Maths!M:N""), 2, FALSE)"),"State the formula for the identity (a-b)^2.")</f>
        <v>State the formula for the identity (a-b)^2.</v>
      </c>
      <c r="L108" s="100" t="str">
        <f t="shared" si="19"/>
        <v>LU000768.002</v>
      </c>
      <c r="M108" s="100" t="str">
        <f ca="1">IFERROR(__xludf.dummyfunction("VLOOKUP(L108, IMPORTRANGE(""https://docs.google.com/spreadsheets/d/1yDAaXNsi4Mr5FtRQL4tbmSdIzhx6_m4wkOD7IG-k_eo/edit#gid=0"", ""Maths!M:N""), 2, FALSE)"),"Describe the role of each term (a^2, 2ab, and b^2) in the expansion of (a-b)^2.")</f>
        <v>Describe the role of each term (a^2, 2ab, and b^2) in the expansion of (a-b)^2.</v>
      </c>
      <c r="N108" s="100" t="str">
        <f t="shared" si="20"/>
        <v>LU000768.003</v>
      </c>
      <c r="O108" s="100" t="str">
        <f ca="1">IFERROR(__xludf.dummyfunction("VLOOKUP(N108, IMPORTRANGE(""https://docs.google.com/spreadsheets/d/1yDAaXNsi4Mr5FtRQL4tbmSdIzhx6_m4wkOD7IG-k_eo/edit#gid=0"", ""Maths!M:N""), 2, FALSE)"),"Apply the identity (a-b)^2 to factorise algebraic expressions.")</f>
        <v>Apply the identity (a-b)^2 to factorise algebraic expressions.</v>
      </c>
      <c r="P108" s="100" t="str">
        <f t="shared" si="21"/>
        <v>LU000768.004</v>
      </c>
      <c r="Q108" s="100" t="str">
        <f ca="1">IFERROR(__xludf.dummyfunction("VLOOKUP(P108, IMPORTRANGE(""https://docs.google.com/spreadsheets/d/1yDAaXNsi4Mr5FtRQL4tbmSdIzhx6_m4wkOD7IG-k_eo/edit#gid=0"", ""Maths!M:N""), 2, FALSE)"),"Determine when it's more efficient to use (a-b)^2 compared to other factorisation methods for a given expression.")</f>
        <v>Determine when it's more efficient to use (a-b)^2 compared to other factorisation methods for a given expression.</v>
      </c>
      <c r="R108" s="100" t="str">
        <f t="shared" si="22"/>
        <v>LU000768.005</v>
      </c>
      <c r="S108" s="100" t="str">
        <f ca="1">IFERROR(__xludf.dummyfunction("VLOOKUP(R108, IMPORTRANGE(""https://docs.google.com/spreadsheets/d/1yDAaXNsi4Mr5FtRQL4tbmSdIzhx6_m4wkOD7IG-k_eo/edit#gid=0"", ""Maths!M:N""), 2, FALSE)"),"Critically assess factorisation of an expression using (a-b)^2, highlighting any errors or improvements.")</f>
        <v>Critically assess factorisation of an expression using (a-b)^2, highlighting any errors or improvements.</v>
      </c>
      <c r="T108" s="100" t="str">
        <f t="shared" si="23"/>
        <v>LU000768.006</v>
      </c>
      <c r="U108" s="100" t="str">
        <f ca="1">IFERROR(__xludf.dummyfunction("VLOOKUP(T108, IMPORTRANGE(""https://docs.google.com/spreadsheets/d/1yDAaXNsi4Mr5FtRQL4tbmSdIzhx6_m4wkOD7IG-k_eo/edit#gid=0"", ""Maths!M:N""), 2, FALSE)"),"Design a unique algebraic expression and then factorise it using the (a-b)^2 identity to simplify.")</f>
        <v>Design a unique algebraic expression and then factorise it using the (a-b)^2 identity to simplify.</v>
      </c>
      <c r="V108" s="16">
        <f ca="1">IFERROR(__xludf.dummyfunction("ArrayFormula(VLOOKUP(G108, IMPORTRANGE(""https://docs.google.com/spreadsheets/d/1p7R4vtkWt5VOBim4ltsDG9KTzSjrtKXsMtQGXPHyND0/edit#gid=795171502"", ""'Filter 30_05_2024'!A1:M2000""), {2, 3, 4, 5,6,7,8,9,10,11,12,13}, 0))"),4)</f>
        <v>4</v>
      </c>
      <c r="W108" s="16">
        <f ca="1">IFERROR(__xludf.dummyfunction("""COMPUTED_VALUE"""),7)</f>
        <v>7</v>
      </c>
      <c r="X108" s="16">
        <f ca="1">IFERROR(__xludf.dummyfunction("""COMPUTED_VALUE"""),2)</f>
        <v>2</v>
      </c>
      <c r="Y108" s="16">
        <f ca="1">IFERROR(__xludf.dummyfunction("""COMPUTED_VALUE"""),13)</f>
        <v>13</v>
      </c>
      <c r="Z108" s="16">
        <f ca="1">IFERROR(__xludf.dummyfunction("""COMPUTED_VALUE"""),4)</f>
        <v>4</v>
      </c>
      <c r="AA108" s="30">
        <f ca="1">IFERROR(__xludf.dummyfunction("""COMPUTED_VALUE"""),3)</f>
        <v>3</v>
      </c>
      <c r="AB108" s="30">
        <f ca="1">IFERROR(__xludf.dummyfunction("""COMPUTED_VALUE"""),1)</f>
        <v>1</v>
      </c>
      <c r="AC108" s="30">
        <f ca="1">IFERROR(__xludf.dummyfunction("""COMPUTED_VALUE"""),8)</f>
        <v>8</v>
      </c>
      <c r="AD108" s="16"/>
      <c r="AE108" s="30"/>
      <c r="AF108" s="30"/>
      <c r="AG108" s="30"/>
    </row>
    <row r="109" spans="1:33" ht="26.4">
      <c r="A109" s="50"/>
      <c r="B109" s="50" t="s">
        <v>29</v>
      </c>
      <c r="C109" s="50" t="s">
        <v>310</v>
      </c>
      <c r="D109" s="50">
        <v>8</v>
      </c>
      <c r="E109" s="81" t="s">
        <v>1179</v>
      </c>
      <c r="F109" s="81" t="s">
        <v>1188</v>
      </c>
      <c r="G109" s="85" t="s">
        <v>1190</v>
      </c>
      <c r="H109" s="85" t="str">
        <f ca="1">IFERROR(__xludf.dummyfunction("IFERROR(
  VLOOKUP(G109, IMPORTRANGE(""https://docs.google.com/spreadsheets/d/14deopnvwcrKtEGCKuYXdUHJbeLDZlkiSSWWT0g7x2pM/edit#gid=849066331"", ""LU List Maths (Filter)!A:B""), 2, FALSE),
  IFERROR(
    VLOOKUP(G109, IMPORTRANGE(""https://docs.google.com"&amp;"/spreadsheets/d/14deopnvwcrKtEGCKuYXdUHJbeLDZlkiSSWWT0g7x2pM/edit#gid=849066331"", ""LU List Science (Filter)!A:B""), 2, FALSE),
    ""Not Found""
  )
)
"),"Factorisation of algebraic expressions using identity (a+b)^2")</f>
        <v>Factorisation of algebraic expressions using identity (a+b)^2</v>
      </c>
      <c r="I109" s="85"/>
      <c r="J109" s="100" t="str">
        <f t="shared" si="18"/>
        <v>LU000767.001</v>
      </c>
      <c r="K109" s="100" t="str">
        <f ca="1">IFERROR(__xludf.dummyfunction("VLOOKUP(J109, IMPORTRANGE(""https://docs.google.com/spreadsheets/d/1yDAaXNsi4Mr5FtRQL4tbmSdIzhx6_m4wkOD7IG-k_eo/edit#gid=0"", ""Maths!M:N""), 2, FALSE)"),"State the formula for the identity (a+b)^2.")</f>
        <v>State the formula for the identity (a+b)^2.</v>
      </c>
      <c r="L109" s="100" t="str">
        <f t="shared" si="19"/>
        <v>LU000767.002</v>
      </c>
      <c r="M109" s="100" t="str">
        <f ca="1">IFERROR(__xludf.dummyfunction("VLOOKUP(L109, IMPORTRANGE(""https://docs.google.com/spreadsheets/d/1yDAaXNsi4Mr5FtRQL4tbmSdIzhx6_m4wkOD7IG-k_eo/edit#gid=0"", ""Maths!M:N""), 2, FALSE)"),"Describe the role of each term (a^2, 2ab, and b^2) in the expansion of (a+b)^2.")</f>
        <v>Describe the role of each term (a^2, 2ab, and b^2) in the expansion of (a+b)^2.</v>
      </c>
      <c r="N109" s="100" t="str">
        <f t="shared" si="20"/>
        <v>LU000767.003</v>
      </c>
      <c r="O109" s="100" t="str">
        <f ca="1">IFERROR(__xludf.dummyfunction("VLOOKUP(N109, IMPORTRANGE(""https://docs.google.com/spreadsheets/d/1yDAaXNsi4Mr5FtRQL4tbmSdIzhx6_m4wkOD7IG-k_eo/edit#gid=0"", ""Maths!M:N""), 2, FALSE)"),"Apply the identity (a+b)^2 to factorise algebraic expressions.")</f>
        <v>Apply the identity (a+b)^2 to factorise algebraic expressions.</v>
      </c>
      <c r="P109" s="100" t="str">
        <f t="shared" si="21"/>
        <v>LU000767.004</v>
      </c>
      <c r="Q109" s="100" t="str">
        <f ca="1">IFERROR(__xludf.dummyfunction("VLOOKUP(P109, IMPORTRANGE(""https://docs.google.com/spreadsheets/d/1yDAaXNsi4Mr5FtRQL4tbmSdIzhx6_m4wkOD7IG-k_eo/edit#gid=0"", ""Maths!M:N""), 2, FALSE)"),"Determine when it's more efficient to use (a+b)^2 compared to other factorisation methods for a given expression.")</f>
        <v>Determine when it's more efficient to use (a+b)^2 compared to other factorisation methods for a given expression.</v>
      </c>
      <c r="R109" s="100" t="str">
        <f t="shared" si="22"/>
        <v>LU000767.005</v>
      </c>
      <c r="S109" s="100" t="str">
        <f ca="1">IFERROR(__xludf.dummyfunction("VLOOKUP(R109, IMPORTRANGE(""https://docs.google.com/spreadsheets/d/1yDAaXNsi4Mr5FtRQL4tbmSdIzhx6_m4wkOD7IG-k_eo/edit#gid=0"", ""Maths!M:N""), 2, FALSE)"),"Critically assess factorisation of an expression using (a+b)^2, highlighting any errors or improvements.")</f>
        <v>Critically assess factorisation of an expression using (a+b)^2, highlighting any errors or improvements.</v>
      </c>
      <c r="T109" s="100" t="str">
        <f t="shared" si="23"/>
        <v>LU000767.006</v>
      </c>
      <c r="U109" s="100" t="str">
        <f ca="1">IFERROR(__xludf.dummyfunction("VLOOKUP(T109, IMPORTRANGE(""https://docs.google.com/spreadsheets/d/1yDAaXNsi4Mr5FtRQL4tbmSdIzhx6_m4wkOD7IG-k_eo/edit#gid=0"", ""Maths!M:N""), 2, FALSE)"),"Design a unique algebraic expression and then factorise it using the (a+b)^2 identity to simplify.")</f>
        <v>Design a unique algebraic expression and then factorise it using the (a+b)^2 identity to simplify.</v>
      </c>
      <c r="V109" s="16">
        <f ca="1">IFERROR(__xludf.dummyfunction("ArrayFormula(VLOOKUP(G109, IMPORTRANGE(""https://docs.google.com/spreadsheets/d/1p7R4vtkWt5VOBim4ltsDG9KTzSjrtKXsMtQGXPHyND0/edit#gid=795171502"", ""'Filter 30_05_2024'!A1:M2000""), {2, 3, 4, 5,6,7,8,9,10,11,12,13}, 0))"),4)</f>
        <v>4</v>
      </c>
      <c r="W109" s="16">
        <f ca="1">IFERROR(__xludf.dummyfunction("""COMPUTED_VALUE"""),6)</f>
        <v>6</v>
      </c>
      <c r="X109" s="16">
        <f ca="1">IFERROR(__xludf.dummyfunction("""COMPUTED_VALUE"""),2)</f>
        <v>2</v>
      </c>
      <c r="Y109" s="16">
        <f ca="1">IFERROR(__xludf.dummyfunction("""COMPUTED_VALUE"""),12)</f>
        <v>12</v>
      </c>
      <c r="Z109" s="16">
        <f ca="1">IFERROR(__xludf.dummyfunction("""COMPUTED_VALUE"""),4)</f>
        <v>4</v>
      </c>
      <c r="AA109" s="30">
        <f ca="1">IFERROR(__xludf.dummyfunction("""COMPUTED_VALUE"""),3)</f>
        <v>3</v>
      </c>
      <c r="AB109" s="30">
        <f ca="1">IFERROR(__xludf.dummyfunction("""COMPUTED_VALUE"""),1)</f>
        <v>1</v>
      </c>
      <c r="AC109" s="30">
        <f ca="1">IFERROR(__xludf.dummyfunction("""COMPUTED_VALUE"""),8)</f>
        <v>8</v>
      </c>
      <c r="AD109" s="16"/>
      <c r="AE109" s="30"/>
      <c r="AF109" s="30"/>
      <c r="AG109" s="30"/>
    </row>
    <row r="110" spans="1:33" ht="26.4">
      <c r="A110" s="50"/>
      <c r="B110" s="50" t="s">
        <v>29</v>
      </c>
      <c r="C110" s="50" t="s">
        <v>310</v>
      </c>
      <c r="D110" s="50">
        <v>8</v>
      </c>
      <c r="E110" s="81" t="s">
        <v>1179</v>
      </c>
      <c r="F110" s="81" t="s">
        <v>1188</v>
      </c>
      <c r="G110" s="85" t="s">
        <v>1191</v>
      </c>
      <c r="H110" s="85" t="str">
        <f ca="1">IFERROR(__xludf.dummyfunction("IFERROR(
  VLOOKUP(G110, IMPORTRANGE(""https://docs.google.com/spreadsheets/d/14deopnvwcrKtEGCKuYXdUHJbeLDZlkiSSWWT0g7x2pM/edit#gid=849066331"", ""LU List Maths (Filter)!A:B""), 2, FALSE),
  IFERROR(
    VLOOKUP(G110, IMPORTRANGE(""https://docs.google.com"&amp;"/spreadsheets/d/14deopnvwcrKtEGCKuYXdUHJbeLDZlkiSSWWT0g7x2pM/edit#gid=849066331"", ""LU List Science (Filter)!A:B""), 2, FALSE),
    ""Not Found""
  )
)
"),"Factorisation of algebraic expressions using identity (a+b)(a-b)")</f>
        <v>Factorisation of algebraic expressions using identity (a+b)(a-b)</v>
      </c>
      <c r="I110" s="85"/>
      <c r="J110" s="100" t="str">
        <f t="shared" si="18"/>
        <v>LU000769.001</v>
      </c>
      <c r="K110" s="100" t="str">
        <f ca="1">IFERROR(__xludf.dummyfunction("VLOOKUP(J110, IMPORTRANGE(""https://docs.google.com/spreadsheets/d/1yDAaXNsi4Mr5FtRQL4tbmSdIzhx6_m4wkOD7IG-k_eo/edit#gid=0"", ""Maths!M:N""), 2, FALSE)"),"State the identity (a+b)(a-b) = a^2 - b^2.")</f>
        <v>State the identity (a+b)(a-b) = a^2 - b^2.</v>
      </c>
      <c r="L110" s="100" t="str">
        <f t="shared" si="19"/>
        <v>LU000769.002</v>
      </c>
      <c r="M110" s="100" t="str">
        <f ca="1">IFERROR(__xludf.dummyfunction("VLOOKUP(L110, IMPORTRANGE(""https://docs.google.com/spreadsheets/d/1yDAaXNsi4Mr5FtRQL4tbmSdIzhx6_m4wkOD7IG-k_eo/edit#gid=0"", ""Maths!M:N""), 2, FALSE)"),"Describe the relationship between the expressions (a^2 - b^2) and ((a+b)(a-b)) and why they are equivalent.")</f>
        <v>Describe the relationship between the expressions (a^2 - b^2) and ((a+b)(a-b)) and why they are equivalent.</v>
      </c>
      <c r="N110" s="100" t="str">
        <f t="shared" si="20"/>
        <v>LU000769.003</v>
      </c>
      <c r="O110" s="100" t="str">
        <f ca="1">IFERROR(__xludf.dummyfunction("VLOOKUP(N110, IMPORTRANGE(""https://docs.google.com/spreadsheets/d/1yDAaXNsi4Mr5FtRQL4tbmSdIzhx6_m4wkOD7IG-k_eo/edit#gid=0"", ""Maths!M:N""), 2, FALSE)"),"Factorise the algebraic expression using the identity (a+b)(a-b).")</f>
        <v>Factorise the algebraic expression using the identity (a+b)(a-b).</v>
      </c>
      <c r="P110" s="100" t="str">
        <f t="shared" si="21"/>
        <v>LU000769.004</v>
      </c>
      <c r="Q110" s="100" t="str">
        <f ca="1">IFERROR(__xludf.dummyfunction("VLOOKUP(P110, IMPORTRANGE(""https://docs.google.com/spreadsheets/d/1yDAaXNsi4Mr5FtRQL4tbmSdIzhx6_m4wkOD7IG-k_eo/edit#gid=0"", ""Maths!M:N""), 2, FALSE)"),"Analyse and identify situations where using the identity (a+b)(a-b) is advantageous for factorisation.")</f>
        <v>Analyse and identify situations where using the identity (a+b)(a-b) is advantageous for factorisation.</v>
      </c>
      <c r="R110" s="100" t="str">
        <f t="shared" si="22"/>
        <v>LU000769.005</v>
      </c>
      <c r="S110" s="100" t="str">
        <f ca="1">IFERROR(__xludf.dummyfunction("VLOOKUP(R110, IMPORTRANGE(""https://docs.google.com/spreadsheets/d/1yDAaXNsi4Mr5FtRQL4tbmSdIzhx6_m4wkOD7IG-k_eo/edit#gid=0"", ""Maths!M:N""), 2, FALSE)"),"Compare and contrast the use of the identity (a+b)(a-b) with other factorisation methods")</f>
        <v>Compare and contrast the use of the identity (a+b)(a-b) with other factorisation methods</v>
      </c>
      <c r="T110" s="100" t="str">
        <f t="shared" si="23"/>
        <v>LU000769.006</v>
      </c>
      <c r="U110" s="100" t="str">
        <f ca="1">IFERROR(__xludf.dummyfunction("VLOOKUP(T110, IMPORTRANGE(""https://docs.google.com/spreadsheets/d/1yDAaXNsi4Mr5FtRQL4tbmSdIzhx6_m4wkOD7IG-k_eo/edit#gid=0"", ""Maths!M:N""), 2, FALSE)"),"Create original algebraic expressions and factorise them using the identity (a+b)(a-b).")</f>
        <v>Create original algebraic expressions and factorise them using the identity (a+b)(a-b).</v>
      </c>
      <c r="V110" s="16">
        <f ca="1">IFERROR(__xludf.dummyfunction("ArrayFormula(VLOOKUP(G110, IMPORTRANGE(""https://docs.google.com/spreadsheets/d/1p7R4vtkWt5VOBim4ltsDG9KTzSjrtKXsMtQGXPHyND0/edit#gid=795171502"", ""'Filter 30_05_2024'!A1:M2000""), {2, 3, 4, 5,6,7,8,9,10,11,12,13}, 0))"),4)</f>
        <v>4</v>
      </c>
      <c r="W110" s="16">
        <f ca="1">IFERROR(__xludf.dummyfunction("""COMPUTED_VALUE"""),6)</f>
        <v>6</v>
      </c>
      <c r="X110" s="16">
        <f ca="1">IFERROR(__xludf.dummyfunction("""COMPUTED_VALUE"""),2)</f>
        <v>2</v>
      </c>
      <c r="Y110" s="16">
        <f ca="1">IFERROR(__xludf.dummyfunction("""COMPUTED_VALUE"""),12)</f>
        <v>12</v>
      </c>
      <c r="Z110" s="16">
        <f ca="1">IFERROR(__xludf.dummyfunction("""COMPUTED_VALUE"""),4)</f>
        <v>4</v>
      </c>
      <c r="AA110" s="30">
        <f ca="1">IFERROR(__xludf.dummyfunction("""COMPUTED_VALUE"""),3)</f>
        <v>3</v>
      </c>
      <c r="AB110" s="30">
        <f ca="1">IFERROR(__xludf.dummyfunction("""COMPUTED_VALUE"""),1)</f>
        <v>1</v>
      </c>
      <c r="AC110" s="30">
        <f ca="1">IFERROR(__xludf.dummyfunction("""COMPUTED_VALUE"""),8)</f>
        <v>8</v>
      </c>
      <c r="AD110" s="16"/>
      <c r="AE110" s="30"/>
      <c r="AF110" s="30"/>
      <c r="AG110" s="30"/>
    </row>
    <row r="111" spans="1:33" ht="26.4">
      <c r="A111" s="25"/>
      <c r="B111" s="25" t="s">
        <v>29</v>
      </c>
      <c r="C111" s="25" t="s">
        <v>310</v>
      </c>
      <c r="D111" s="25">
        <v>8</v>
      </c>
      <c r="E111" s="70" t="s">
        <v>1179</v>
      </c>
      <c r="F111" s="81" t="s">
        <v>1188</v>
      </c>
      <c r="G111" s="64" t="s">
        <v>1192</v>
      </c>
      <c r="H111" s="64" t="str">
        <f ca="1">IFERROR(__xludf.dummyfunction("IFERROR(
  VLOOKUP(G111, IMPORTRANGE(""https://docs.google.com/spreadsheets/d/14deopnvwcrKtEGCKuYXdUHJbeLDZlkiSSWWT0g7x2pM/edit#gid=849066331"", ""LU List Maths (Filter)!A:B""), 2, FALSE),
  IFERROR(
    VLOOKUP(G111, IMPORTRANGE(""https://docs.google.com"&amp;"/spreadsheets/d/14deopnvwcrKtEGCKuYXdUHJbeLDZlkiSSWWT0g7x2pM/edit#gid=849066331"", ""LU List Science (Filter)!A:B""), 2, FALSE),
    ""Not Found""
  )
)
"),"Factorisation of algebraic expressions using combination of identities [(a + b + c)^2 , (a + b )^2, (a - b )^2, a^2 - b^2)]")</f>
        <v>Factorisation of algebraic expressions using combination of identities [(a + b + c)^2 , (a + b )^2, (a - b )^2, a^2 - b^2)]</v>
      </c>
      <c r="I111" s="64"/>
      <c r="J111" s="100" t="str">
        <f t="shared" si="18"/>
        <v>LU000760.001</v>
      </c>
      <c r="K111" s="100" t="str">
        <f ca="1">IFERROR(__xludf.dummyfunction("VLOOKUP(J111, IMPORTRANGE(""https://docs.google.com/spreadsheets/d/1yDAaXNsi4Mr5FtRQL4tbmSdIzhx6_m4wkOD7IG-k_eo/edit#gid=0"", ""Maths!M:N""), 2, FALSE)"),"Recall and list the algebraic identities: (a + b + c)², (a + b)², (a - b)², and a² - b².")</f>
        <v>Recall and list the algebraic identities: (a + b + c)², (a + b)², (a - b)², and a² - b².</v>
      </c>
      <c r="L111" s="100" t="str">
        <f t="shared" si="19"/>
        <v>LU000760.002</v>
      </c>
      <c r="M111" s="100" t="str">
        <f ca="1">IFERROR(__xludf.dummyfunction("VLOOKUP(L111, IMPORTRANGE(""https://docs.google.com/spreadsheets/d/1yDAaXNsi4Mr5FtRQL4tbmSdIzhx6_m4wkOD7IG-k_eo/edit#gid=0"", ""Maths!M:N""), 2, FALSE)"),"Summarize the process of applying identities (a + b + c)², (a + b)², (a - b)², and a² - b² to factorize algebraic expressions.")</f>
        <v>Summarize the process of applying identities (a + b + c)², (a + b)², (a - b)², and a² - b² to factorize algebraic expressions.</v>
      </c>
      <c r="N111" s="100" t="str">
        <f t="shared" si="20"/>
        <v>LU000760.003</v>
      </c>
      <c r="O111" s="100" t="str">
        <f ca="1">IFERROR(__xludf.dummyfunction("VLOOKUP(N111, IMPORTRANGE(""https://docs.google.com/spreadsheets/d/1yDAaXNsi4Mr5FtRQL4tbmSdIzhx6_m4wkOD7IG-k_eo/edit#gid=0"", ""Maths!M:N""), 2, FALSE)"),"Apply the appropriate identities (a + b + c)², (a + b)², (a - b)², and a² - b² to factorize given algebraic expressions.")</f>
        <v>Apply the appropriate identities (a + b + c)², (a + b)², (a - b)², and a² - b² to factorize given algebraic expressions.</v>
      </c>
      <c r="P111" s="100" t="str">
        <f t="shared" si="21"/>
        <v>LU000760.004</v>
      </c>
      <c r="Q111" s="100" t="str">
        <f ca="1">IFERROR(__xludf.dummyfunction("VLOOKUP(P111, IMPORTRANGE(""https://docs.google.com/spreadsheets/d/1yDAaXNsi4Mr5FtRQL4tbmSdIzhx6_m4wkOD7IG-k_eo/edit#gid=0"", ""Maths!M:N""), 2, FALSE)"),"Analyze complex expressions to identify the most efficient identity for factorization.")</f>
        <v>Analyze complex expressions to identify the most efficient identity for factorization.</v>
      </c>
      <c r="R111" s="100" t="str">
        <f t="shared" si="22"/>
        <v>LU000760.005</v>
      </c>
      <c r="S111" s="100" t="str">
        <f ca="1">IFERROR(__xludf.dummyfunction("VLOOKUP(R111, IMPORTRANGE(""https://docs.google.com/spreadsheets/d/1yDAaXNsi4Mr5FtRQL4tbmSdIzhx6_m4wkOD7IG-k_eo/edit#gid=0"", ""Maths!M:N""), 2, FALSE)"),"Assess the correctness of factorized expressions using the identities (a + b + c)², (a + b)², (a - b)², and a² - b².")</f>
        <v>Assess the correctness of factorized expressions using the identities (a + b + c)², (a + b)², (a - b)², and a² - b².</v>
      </c>
      <c r="T111" s="100" t="str">
        <f t="shared" si="23"/>
        <v>LU000760.006</v>
      </c>
      <c r="U111" s="100" t="str">
        <f ca="1">IFERROR(__xludf.dummyfunction("VLOOKUP(T111, IMPORTRANGE(""https://docs.google.com/spreadsheets/d/1yDAaXNsi4Mr5FtRQL4tbmSdIzhx6_m4wkOD7IG-k_eo/edit#gid=0"", ""Maths!M:N""), 2, FALSE)"),"Construct new algebraic expressions that can be factorized using identities (a + b + c)², (a + b)², (a - b)², and a² - b².")</f>
        <v>Construct new algebraic expressions that can be factorized using identities (a + b + c)², (a + b)², (a - b)², and a² - b².</v>
      </c>
      <c r="V111" s="16">
        <f ca="1">IFERROR(__xludf.dummyfunction("ArrayFormula(VLOOKUP(G111, IMPORTRANGE(""https://docs.google.com/spreadsheets/d/1p7R4vtkWt5VOBim4ltsDG9KTzSjrtKXsMtQGXPHyND0/edit#gid=795171502"", ""'Filter 30_05_2024'!A1:M2000""), {2, 3, 4, 5,6,7,8,9,10,11,12,13}, 0))"),4)</f>
        <v>4</v>
      </c>
      <c r="W111" s="16">
        <f ca="1">IFERROR(__xludf.dummyfunction("""COMPUTED_VALUE"""),6)</f>
        <v>6</v>
      </c>
      <c r="X111" s="16">
        <f ca="1">IFERROR(__xludf.dummyfunction("""COMPUTED_VALUE"""),2)</f>
        <v>2</v>
      </c>
      <c r="Y111" s="16">
        <f ca="1">IFERROR(__xludf.dummyfunction("""COMPUTED_VALUE"""),12)</f>
        <v>12</v>
      </c>
      <c r="Z111" s="16">
        <f ca="1">IFERROR(__xludf.dummyfunction("""COMPUTED_VALUE"""),4)</f>
        <v>4</v>
      </c>
      <c r="AA111" s="30">
        <f ca="1">IFERROR(__xludf.dummyfunction("""COMPUTED_VALUE"""),3)</f>
        <v>3</v>
      </c>
      <c r="AB111" s="30">
        <f ca="1">IFERROR(__xludf.dummyfunction("""COMPUTED_VALUE"""),1)</f>
        <v>1</v>
      </c>
      <c r="AC111" s="30">
        <f ca="1">IFERROR(__xludf.dummyfunction("""COMPUTED_VALUE"""),8)</f>
        <v>8</v>
      </c>
      <c r="AD111" s="16"/>
      <c r="AE111" s="30"/>
      <c r="AF111" s="30"/>
      <c r="AG111" s="30"/>
    </row>
    <row r="112" spans="1:33" ht="26.4">
      <c r="A112" s="25"/>
      <c r="B112" s="25" t="s">
        <v>29</v>
      </c>
      <c r="C112" s="25" t="s">
        <v>310</v>
      </c>
      <c r="D112" s="25">
        <v>8</v>
      </c>
      <c r="E112" s="70" t="s">
        <v>929</v>
      </c>
      <c r="F112" s="70" t="s">
        <v>1193</v>
      </c>
      <c r="G112" s="64" t="s">
        <v>1194</v>
      </c>
      <c r="H112" s="64" t="str">
        <f ca="1">IFERROR(__xludf.dummyfunction("IFERROR(
  VLOOKUP(G112, IMPORTRANGE(""https://docs.google.com/spreadsheets/d/14deopnvwcrKtEGCKuYXdUHJbeLDZlkiSSWWT0g7x2pM/edit#gid=849066331"", ""LU List Maths (Filter)!A:B""), 2, FALSE),
  IFERROR(
    VLOOKUP(G112, IMPORTRANGE(""https://docs.google.com"&amp;"/spreadsheets/d/14deopnvwcrKtEGCKuYXdUHJbeLDZlkiSSWWT0g7x2pM/edit#gid=849066331"", ""LU List Science (Filter)!A:B""), 2, FALSE),
    ""Not Found""
  )
)
"),"Reduction of equation to simpler form")</f>
        <v>Reduction of equation to simpler form</v>
      </c>
      <c r="I112" s="64"/>
      <c r="J112" s="100" t="str">
        <f t="shared" si="18"/>
        <v>LU000584.001</v>
      </c>
      <c r="K112" s="100" t="str">
        <f ca="1">IFERROR(__xludf.dummyfunction("VLOOKUP(J112, IMPORTRANGE(""https://docs.google.com/spreadsheets/d/1yDAaXNsi4Mr5FtRQL4tbmSdIzhx6_m4wkOD7IG-k_eo/edit#gid=0"", ""Maths!M:N""), 2, FALSE)"),"State the concept of reducing equations to simpler forms and explain how it involves simplifying expressions to isolate the variable.")</f>
        <v>State the concept of reducing equations to simpler forms and explain how it involves simplifying expressions to isolate the variable.</v>
      </c>
      <c r="L112" s="100" t="str">
        <f t="shared" si="19"/>
        <v>LU000584.002</v>
      </c>
      <c r="M112" s="100" t="str">
        <f ca="1">IFERROR(__xludf.dummyfunction("VLOOKUP(L112, IMPORTRANGE(""https://docs.google.com/spreadsheets/d/1yDAaXNsi4Mr5FtRQL4tbmSdIzhx6_m4wkOD7IG-k_eo/edit#gid=0"", ""Maths!M:N""), 2, FALSE)"),"Describe the concept of reducing equations to simpler forms, emphasising the use of inverse operations to simplify the equation and isolate the variable.")</f>
        <v>Describe the concept of reducing equations to simpler forms, emphasising the use of inverse operations to simplify the equation and isolate the variable.</v>
      </c>
      <c r="N112" s="100" t="str">
        <f t="shared" si="20"/>
        <v>LU000584.003</v>
      </c>
      <c r="O112" s="100" t="str">
        <f ca="1">IFERROR(__xludf.dummyfunction("VLOOKUP(N112, IMPORTRANGE(""https://docs.google.com/spreadsheets/d/1yDAaXNsi4Mr5FtRQL4tbmSdIzhx6_m4wkOD7IG-k_eo/edit#gid=0"", ""Maths!M:N""), 2, FALSE)"),"Solve a linear equation (like 2(x + 3) - 4x = 5 - 3(2x - 1)), which involves simplifying expressions and isolating the variable.")</f>
        <v>Solve a linear equation (like 2(x + 3) - 4x = 5 - 3(2x - 1)), which involves simplifying expressions and isolating the variable.</v>
      </c>
      <c r="P112" s="100" t="str">
        <f t="shared" si="21"/>
        <v>LU000584.004</v>
      </c>
      <c r="Q112" s="100" t="str">
        <f ca="1">IFERROR(__xludf.dummyfunction("VLOOKUP(P112, IMPORTRANGE(""https://docs.google.com/spreadsheets/d/1yDAaXNsi4Mr5FtRQL4tbmSdIzhx6_m4wkOD7IG-k_eo/edit#gid=0"", ""Maths!M:N""), 2, FALSE)"),"Examine a complex equation and discuss how reducing it to simpler form simplifies the problem-solving process")</f>
        <v>Examine a complex equation and discuss how reducing it to simpler form simplifies the problem-solving process</v>
      </c>
      <c r="R112" s="100" t="str">
        <f t="shared" si="22"/>
        <v>LU000584.005</v>
      </c>
      <c r="S112" s="100" t="str">
        <f ca="1">IFERROR(__xludf.dummyfunction("VLOOKUP(R112, IMPORTRANGE(""https://docs.google.com/spreadsheets/d/1yDAaXNsi4Mr5FtRQL4tbmSdIzhx6_m4wkOD7IG-k_eo/edit#gid=0"", ""Maths!M:N""), 2, FALSE)"),"Evaluate the accuracy of solutions in reducing equations to simpler forms, assessing the ability to correctly identify and combine like terms.")</f>
        <v>Evaluate the accuracy of solutions in reducing equations to simpler forms, assessing the ability to correctly identify and combine like terms.</v>
      </c>
      <c r="T112" s="100" t="str">
        <f t="shared" si="23"/>
        <v>LU000584.006</v>
      </c>
      <c r="U112" s="100" t="str">
        <f ca="1">IFERROR(__xludf.dummyfunction("VLOOKUP(T112, IMPORTRANGE(""https://docs.google.com/spreadsheets/d/1yDAaXNsi4Mr5FtRQL4tbmSdIzhx6_m4wkOD7IG-k_eo/edit#gid=0"", ""Maths!M:N""), 2, FALSE)"),"Create a set of linear equations with multiple terms and design problems that challenge to reduce the equations to the simpler forms.")</f>
        <v>Create a set of linear equations with multiple terms and design problems that challenge to reduce the equations to the simpler forms.</v>
      </c>
      <c r="V112" s="16">
        <f ca="1">IFERROR(__xludf.dummyfunction("ArrayFormula(VLOOKUP(G112, IMPORTRANGE(""https://docs.google.com/spreadsheets/d/1p7R4vtkWt5VOBim4ltsDG9KTzSjrtKXsMtQGXPHyND0/edit#gid=795171502"", ""'Filter 30_05_2024'!A1:M2000""), {2, 3, 4, 5,6,7,8,9,10,11,12,13}, 0))"),4)</f>
        <v>4</v>
      </c>
      <c r="W112" s="16">
        <f ca="1">IFERROR(__xludf.dummyfunction("""COMPUTED_VALUE"""),6)</f>
        <v>6</v>
      </c>
      <c r="X112" s="16">
        <f ca="1">IFERROR(__xludf.dummyfunction("""COMPUTED_VALUE"""),2)</f>
        <v>2</v>
      </c>
      <c r="Y112" s="16">
        <f ca="1">IFERROR(__xludf.dummyfunction("""COMPUTED_VALUE"""),12)</f>
        <v>12</v>
      </c>
      <c r="Z112" s="16">
        <f ca="1">IFERROR(__xludf.dummyfunction("""COMPUTED_VALUE"""),4)</f>
        <v>4</v>
      </c>
      <c r="AA112" s="30">
        <f ca="1">IFERROR(__xludf.dummyfunction("""COMPUTED_VALUE"""),3)</f>
        <v>3</v>
      </c>
      <c r="AB112" s="30">
        <f ca="1">IFERROR(__xludf.dummyfunction("""COMPUTED_VALUE"""),1)</f>
        <v>1</v>
      </c>
      <c r="AC112" s="30">
        <f ca="1">IFERROR(__xludf.dummyfunction("""COMPUTED_VALUE"""),8)</f>
        <v>8</v>
      </c>
      <c r="AD112" s="16"/>
      <c r="AE112" s="30"/>
      <c r="AF112" s="30"/>
      <c r="AG112" s="30"/>
    </row>
    <row r="113" spans="1:33" ht="26.4">
      <c r="A113" s="25"/>
      <c r="B113" s="25" t="s">
        <v>29</v>
      </c>
      <c r="C113" s="25" t="s">
        <v>310</v>
      </c>
      <c r="D113" s="25">
        <v>8</v>
      </c>
      <c r="E113" s="70" t="s">
        <v>929</v>
      </c>
      <c r="F113" s="70" t="s">
        <v>1193</v>
      </c>
      <c r="G113" s="64" t="s">
        <v>1195</v>
      </c>
      <c r="H113" s="64" t="str">
        <f ca="1">IFERROR(__xludf.dummyfunction("IFERROR(
  VLOOKUP(G113, IMPORTRANGE(""https://docs.google.com/spreadsheets/d/14deopnvwcrKtEGCKuYXdUHJbeLDZlkiSSWWT0g7x2pM/edit#gid=849066331"", ""LU List Maths (Filter)!A:B""), 2, FALSE),
  IFERROR(
    VLOOKUP(G113, IMPORTRANGE(""https://docs.google.com"&amp;"/spreadsheets/d/14deopnvwcrKtEGCKuYXdUHJbeLDZlkiSSWWT0g7x2pM/edit#gid=849066331"", ""LU List Science (Filter)!A:B""), 2, FALSE),
    ""Not Found""
  )
)
"),"Reduction of equation to linear form")</f>
        <v>Reduction of equation to linear form</v>
      </c>
      <c r="I113" s="64"/>
      <c r="J113" s="100" t="str">
        <f t="shared" si="18"/>
        <v>LU000585.001</v>
      </c>
      <c r="K113" s="100" t="str">
        <f ca="1">IFERROR(__xludf.dummyfunction("VLOOKUP(J113, IMPORTRANGE(""https://docs.google.com/spreadsheets/d/1yDAaXNsi4Mr5FtRQL4tbmSdIzhx6_m4wkOD7IG-k_eo/edit#gid=0"", ""Maths!M:N""), 2, FALSE)"),"State the concept of reducing equations to linear form and explain its importance in simplifying complex mathematical expressions.")</f>
        <v>State the concept of reducing equations to linear form and explain its importance in simplifying complex mathematical expressions.</v>
      </c>
      <c r="L113" s="100" t="str">
        <f t="shared" si="19"/>
        <v>LU000585.002</v>
      </c>
      <c r="M113" s="100" t="str">
        <f ca="1">IFERROR(__xludf.dummyfunction("VLOOKUP(L113, IMPORTRANGE(""https://docs.google.com/spreadsheets/d/1yDAaXNsi4Mr5FtRQL4tbmSdIzhx6_m4wkOD7IG-k_eo/edit#gid=0"", ""Maths!M:N""), 2, FALSE)"),"Explain the process of reducing equations to linear form by describing how to manipulate the equation to have the variable on one side and constants on the other.")</f>
        <v>Explain the process of reducing equations to linear form by describing how to manipulate the equation to have the variable on one side and constants on the other.</v>
      </c>
      <c r="N113" s="100" t="str">
        <f t="shared" si="20"/>
        <v>LU000585.003</v>
      </c>
      <c r="O113" s="100" t="str">
        <f ca="1">IFERROR(__xludf.dummyfunction("VLOOKUP(N113, IMPORTRANGE(""https://docs.google.com/spreadsheets/d/1yDAaXNsi4Mr5FtRQL4tbmSdIzhx6_m4wkOD7IG-k_eo/edit#gid=0"", ""Maths!M:N""), 2, FALSE)"),"Solve a linear equation (such as 3x + 5 = 2x - 1), by reducing it to linear form with the variable on one side.")</f>
        <v>Solve a linear equation (such as 3x + 5 = 2x - 1), by reducing it to linear form with the variable on one side.</v>
      </c>
      <c r="P113" s="100" t="str">
        <f t="shared" si="21"/>
        <v>LU000585.004</v>
      </c>
      <c r="Q113" s="100" t="str">
        <f ca="1">IFERROR(__xludf.dummyfunction("VLOOKUP(P113, IMPORTRANGE(""https://docs.google.com/spreadsheets/d/1yDAaXNsi4Mr5FtRQL4tbmSdIzhx6_m4wkOD7IG-k_eo/edit#gid=0"", ""Maths!M:N""), 2, FALSE)"),"Examine a complex equation and discuss how reducing it to linear form streamlines the problem-solving process")</f>
        <v>Examine a complex equation and discuss how reducing it to linear form streamlines the problem-solving process</v>
      </c>
      <c r="R113" s="100" t="str">
        <f t="shared" si="22"/>
        <v>LU000585.005</v>
      </c>
      <c r="S113" s="100" t="str">
        <f ca="1">IFERROR(__xludf.dummyfunction("VLOOKUP(R113, IMPORTRANGE(""https://docs.google.com/spreadsheets/d/1yDAaXNsi4Mr5FtRQL4tbmSdIzhx6_m4wkOD7IG-k_eo/edit#gid=0"", ""Maths!M:N""), 2, FALSE)"),"#N/A")</f>
        <v>#N/A</v>
      </c>
      <c r="T113" s="100" t="str">
        <f t="shared" si="23"/>
        <v>LU000585.006</v>
      </c>
      <c r="U113" s="100" t="str">
        <f ca="1">IFERROR(__xludf.dummyfunction("VLOOKUP(T113, IMPORTRANGE(""https://docs.google.com/spreadsheets/d/1yDAaXNsi4Mr5FtRQL4tbmSdIzhx6_m4wkOD7IG-k_eo/edit#gid=0"", ""Maths!M:N""), 2, FALSE)"),"Devise a series of linear equations, including those with multiple terms, and create problems that prompt others to isolate the variable and express the equations in linear form.")</f>
        <v>Devise a series of linear equations, including those with multiple terms, and create problems that prompt others to isolate the variable and express the equations in linear form.</v>
      </c>
      <c r="V113" s="16">
        <f ca="1">IFERROR(__xludf.dummyfunction("ArrayFormula(VLOOKUP(G113, IMPORTRANGE(""https://docs.google.com/spreadsheets/d/1p7R4vtkWt5VOBim4ltsDG9KTzSjrtKXsMtQGXPHyND0/edit#gid=795171502"", ""'Filter 30_05_2024'!A1:M2000""), {2, 3, 4, 5,6,7,8,9,10,11,12,13}, 0))"),4)</f>
        <v>4</v>
      </c>
      <c r="W113" s="16">
        <f ca="1">IFERROR(__xludf.dummyfunction("""COMPUTED_VALUE"""),6)</f>
        <v>6</v>
      </c>
      <c r="X113" s="16">
        <f ca="1">IFERROR(__xludf.dummyfunction("""COMPUTED_VALUE"""),2)</f>
        <v>2</v>
      </c>
      <c r="Y113" s="16">
        <f ca="1">IFERROR(__xludf.dummyfunction("""COMPUTED_VALUE"""),12)</f>
        <v>12</v>
      </c>
      <c r="Z113" s="16">
        <f ca="1">IFERROR(__xludf.dummyfunction("""COMPUTED_VALUE"""),4)</f>
        <v>4</v>
      </c>
      <c r="AA113" s="30">
        <f ca="1">IFERROR(__xludf.dummyfunction("""COMPUTED_VALUE"""),3)</f>
        <v>3</v>
      </c>
      <c r="AB113" s="30">
        <f ca="1">IFERROR(__xludf.dummyfunction("""COMPUTED_VALUE"""),1)</f>
        <v>1</v>
      </c>
      <c r="AC113" s="30">
        <f ca="1">IFERROR(__xludf.dummyfunction("""COMPUTED_VALUE"""),8)</f>
        <v>8</v>
      </c>
      <c r="AD113" s="16"/>
      <c r="AE113" s="30"/>
      <c r="AF113" s="30"/>
      <c r="AG113" s="30"/>
    </row>
    <row r="114" spans="1:33" ht="26.4">
      <c r="A114" s="25"/>
      <c r="B114" s="25" t="s">
        <v>29</v>
      </c>
      <c r="C114" s="25" t="s">
        <v>310</v>
      </c>
      <c r="D114" s="25">
        <v>8</v>
      </c>
      <c r="E114" s="70" t="s">
        <v>929</v>
      </c>
      <c r="F114" s="70" t="s">
        <v>1193</v>
      </c>
      <c r="G114" s="64" t="s">
        <v>1196</v>
      </c>
      <c r="H114" s="64" t="str">
        <f ca="1">IFERROR(__xludf.dummyfunction("IFERROR(
  VLOOKUP(G114, IMPORTRANGE(""https://docs.google.com/spreadsheets/d/14deopnvwcrKtEGCKuYXdUHJbeLDZlkiSSWWT0g7x2pM/edit#gid=849066331"", ""LU List Maths (Filter)!A:B""), 2, FALSE),
  IFERROR(
    VLOOKUP(G114, IMPORTRANGE(""https://docs.google.com"&amp;"/spreadsheets/d/14deopnvwcrKtEGCKuYXdUHJbeLDZlkiSSWWT0g7x2pM/edit#gid=849066331"", ""LU List Science (Filter)!A:B""), 2, FALSE),
    ""Not Found""
  )
)
"),"Application of cross multiplication method to reduce equation of form ax+b/cx+d = k, where cx+d ≠ 0 to linear equation in one variable")</f>
        <v>Application of cross multiplication method to reduce equation of form ax+b/cx+d = k, where cx+d ≠ 0 to linear equation in one variable</v>
      </c>
      <c r="I114" s="64"/>
      <c r="J114" s="100" t="str">
        <f t="shared" si="18"/>
        <v>LU000588.001</v>
      </c>
      <c r="K114" s="100" t="str">
        <f ca="1">IFERROR(__xludf.dummyfunction("VLOOKUP(J114, IMPORTRANGE(""https://docs.google.com/spreadsheets/d/1yDAaXNsi4Mr5FtRQL4tbmSdIzhx6_m4wkOD7IG-k_eo/edit#gid=0"", ""Maths!M:N""), 2, FALSE)"),"Remember the cross multiplication method and its use in simplifying equations of the form ax + b / cx + d = k to linear equations.")</f>
        <v>Remember the cross multiplication method and its use in simplifying equations of the form ax + b / cx + d = k to linear equations.</v>
      </c>
      <c r="L114" s="100" t="str">
        <f t="shared" si="19"/>
        <v>LU000588.002</v>
      </c>
      <c r="M114" s="100" t="str">
        <f ca="1">IFERROR(__xludf.dummyfunction("VLOOKUP(L114, IMPORTRANGE(""https://docs.google.com/spreadsheets/d/1yDAaXNsi4Mr5FtRQL4tbmSdIzhx6_m4wkOD7IG-k_eo/edit#gid=0"", ""Maths!M:N""), 2, FALSE)"),"Explain the concept of cross multiplication and its role in transforming equations into linear equations.")</f>
        <v>Explain the concept of cross multiplication and its role in transforming equations into linear equations.</v>
      </c>
      <c r="N114" s="100" t="str">
        <f t="shared" si="20"/>
        <v>LU000588.003</v>
      </c>
      <c r="O114" s="100" t="str">
        <f ca="1">IFERROR(__xludf.dummyfunction("VLOOKUP(N114, IMPORTRANGE(""https://docs.google.com/spreadsheets/d/1yDAaXNsi4Mr5FtRQL4tbmSdIzhx6_m4wkOD7IG-k_eo/edit#gid=0"", ""Maths!M:N""), 2, FALSE)"),"Use the cross multiplication method to reduce the equation (like (2x + 3) / (4x + 5) = 7) to a linear equation in one variable.")</f>
        <v>Use the cross multiplication method to reduce the equation (like (2x + 3) / (4x + 5) = 7) to a linear equation in one variable.</v>
      </c>
      <c r="P114" s="100" t="str">
        <f t="shared" si="21"/>
        <v>LU000588.004</v>
      </c>
      <c r="Q114" s="100" t="str">
        <f ca="1">IFERROR(__xludf.dummyfunction("VLOOKUP(P114, IMPORTRANGE(""https://docs.google.com/spreadsheets/d/1yDAaXNsi4Mr5FtRQL4tbmSdIzhx6_m4wkOD7IG-k_eo/edit#gid=0"", ""Maths!M:N""), 2, FALSE)"),"Analyse algebraic equations, determining when the cross multiplication method can be used to convert them into linear equations, and describe the steps of this process.")</f>
        <v>Analyse algebraic equations, determining when the cross multiplication method can be used to convert them into linear equations, and describe the steps of this process.</v>
      </c>
      <c r="R114" s="100" t="str">
        <f t="shared" si="22"/>
        <v>LU000588.005</v>
      </c>
      <c r="S114" s="100" t="str">
        <f ca="1">IFERROR(__xludf.dummyfunction("VLOOKUP(R114, IMPORTRANGE(""https://docs.google.com/spreadsheets/d/1yDAaXNsi4Mr5FtRQL4tbmSdIzhx6_m4wkOD7IG-k_eo/edit#gid=0"", ""Maths!M:N""), 2, FALSE)"),"Evaluate solutions obtained using the cross multiplication method, assessing their correctness and determining if the denominator condition (cx + d ≠ 0) is satisfied.")</f>
        <v>Evaluate solutions obtained using the cross multiplication method, assessing their correctness and determining if the denominator condition (cx + d ≠ 0) is satisfied.</v>
      </c>
      <c r="T114" s="100" t="str">
        <f t="shared" si="23"/>
        <v>LU000588.006</v>
      </c>
      <c r="U114" s="100" t="str">
        <f ca="1">IFERROR(__xludf.dummyfunction("VLOOKUP(T114, IMPORTRANGE(""https://docs.google.com/spreadsheets/d/1yDAaXNsi4Mr5FtRQL4tbmSdIzhx6_m4wkOD7IG-k_eo/edit#gid=0"", ""Maths!M:N""), 2, FALSE)"),"Create a set of equations of the form ax + b / cx + d = k, where cx + d ≠ 0, and apply the cross multiplication method to reduce them to linear equations in one variable.")</f>
        <v>Create a set of equations of the form ax + b / cx + d = k, where cx + d ≠ 0, and apply the cross multiplication method to reduce them to linear equations in one variable.</v>
      </c>
      <c r="V114" s="16">
        <f ca="1">IFERROR(__xludf.dummyfunction("ArrayFormula(VLOOKUP(G114, IMPORTRANGE(""https://docs.google.com/spreadsheets/d/1p7R4vtkWt5VOBim4ltsDG9KTzSjrtKXsMtQGXPHyND0/edit#gid=795171502"", ""'Filter 30_05_2024'!A1:M2000""), {2, 3, 4, 5,6,7,8,9,10,11,12,13}, 0))"),4)</f>
        <v>4</v>
      </c>
      <c r="W114" s="16">
        <f ca="1">IFERROR(__xludf.dummyfunction("""COMPUTED_VALUE"""),6)</f>
        <v>6</v>
      </c>
      <c r="X114" s="16">
        <f ca="1">IFERROR(__xludf.dummyfunction("""COMPUTED_VALUE"""),2)</f>
        <v>2</v>
      </c>
      <c r="Y114" s="16">
        <f ca="1">IFERROR(__xludf.dummyfunction("""COMPUTED_VALUE"""),12)</f>
        <v>12</v>
      </c>
      <c r="Z114" s="16">
        <f ca="1">IFERROR(__xludf.dummyfunction("""COMPUTED_VALUE"""),4)</f>
        <v>4</v>
      </c>
      <c r="AA114" s="30">
        <f ca="1">IFERROR(__xludf.dummyfunction("""COMPUTED_VALUE"""),3)</f>
        <v>3</v>
      </c>
      <c r="AB114" s="30">
        <f ca="1">IFERROR(__xludf.dummyfunction("""COMPUTED_VALUE"""),1)</f>
        <v>1</v>
      </c>
      <c r="AC114" s="30">
        <f ca="1">IFERROR(__xludf.dummyfunction("""COMPUTED_VALUE"""),8)</f>
        <v>8</v>
      </c>
      <c r="AD114" s="16"/>
      <c r="AE114" s="30"/>
      <c r="AF114" s="30"/>
      <c r="AG114" s="30"/>
    </row>
    <row r="115" spans="1:33" ht="26.4">
      <c r="A115" s="43"/>
      <c r="B115" s="43" t="s">
        <v>29</v>
      </c>
      <c r="C115" s="43" t="s">
        <v>310</v>
      </c>
      <c r="D115" s="43">
        <v>8</v>
      </c>
      <c r="E115" s="74" t="s">
        <v>929</v>
      </c>
      <c r="F115" s="74" t="s">
        <v>1197</v>
      </c>
      <c r="G115" s="73" t="s">
        <v>592</v>
      </c>
      <c r="H115" s="73" t="str">
        <f ca="1">IFERROR(__xludf.dummyfunction("IFERROR(
  VLOOKUP(G115, IMPORTRANGE(""https://docs.google.com/spreadsheets/d/14deopnvwcrKtEGCKuYXdUHJbeLDZlkiSSWWT0g7x2pM/edit#gid=849066331"", ""LU List Maths (Filter)!A:B""), 2, FALSE),
  IFERROR(
    VLOOKUP(G115, IMPORTRANGE(""https://docs.google.com"&amp;"/spreadsheets/d/14deopnvwcrKtEGCKuYXdUHJbeLDZlkiSSWWT0g7x2pM/edit#gid=849066331"", ""LU List Science (Filter)!A:B""), 2, FALSE),
    ""Not Found""
  )
)
"),"Definition of linear equation in one variable")</f>
        <v>Definition of linear equation in one variable</v>
      </c>
      <c r="I115" s="73"/>
      <c r="J115" s="100" t="str">
        <f t="shared" si="18"/>
        <v>LU000582.001</v>
      </c>
      <c r="K115" s="100" t="str">
        <f ca="1">IFERROR(__xludf.dummyfunction("VLOOKUP(J115, IMPORTRANGE(""https://docs.google.com/spreadsheets/d/1yDAaXNsi4Mr5FtRQL4tbmSdIzhx6_m4wkOD7IG-k_eo/edit#gid=0"", ""Maths!M:N""), 2, FALSE)"),"State the definition of a linear equation in one variable and list its essential features.")</f>
        <v>State the definition of a linear equation in one variable and list its essential features.</v>
      </c>
      <c r="L115" s="100" t="str">
        <f t="shared" si="19"/>
        <v>LU000582.002</v>
      </c>
      <c r="M115" s="100" t="str">
        <f ca="1">IFERROR(__xludf.dummyfunction("VLOOKUP(L115, IMPORTRANGE(""https://docs.google.com/spreadsheets/d/1yDAaXNsi4Mr5FtRQL4tbmSdIzhx6_m4wkOD7IG-k_eo/edit#gid=0"", ""Maths!M:N""), 2, FALSE)"),"Describe the concept of a linear equation in one variable, highlighting that it represents a straight forward relationship between a variable and constants.")</f>
        <v>Describe the concept of a linear equation in one variable, highlighting that it represents a straight forward relationship between a variable and constants.</v>
      </c>
      <c r="N115" s="100" t="str">
        <f t="shared" si="20"/>
        <v>LU000582.003</v>
      </c>
      <c r="O115" s="100" t="str">
        <f ca="1">IFERROR(__xludf.dummyfunction("VLOOKUP(N115, IMPORTRANGE(""https://docs.google.com/spreadsheets/d/1yDAaXNsi4Mr5FtRQL4tbmSdIzhx6_m4wkOD7IG-k_eo/edit#gid=0"", ""Maths!M:N""), 2, FALSE)"),"Solve a linear equation in one variable to find the value of unknown through step-by-step calculations.")</f>
        <v>Solve a linear equation in one variable to find the value of unknown through step-by-step calculations.</v>
      </c>
      <c r="P115" s="100" t="str">
        <f t="shared" si="21"/>
        <v>LU000582.004</v>
      </c>
      <c r="Q115" s="100" t="str">
        <f ca="1">IFERROR(__xludf.dummyfunction("VLOOKUP(P115, IMPORTRANGE(""https://docs.google.com/spreadsheets/d/1yDAaXNsi4Mr5FtRQL4tbmSdIzhx6_m4wkOD7IG-k_eo/edit#gid=0"", ""Maths!M:N""), 2, FALSE)"),"Examine real-world problems (such as calculating the cost of multiple items) and discuss how representing it as a linear equation simplifies the solution process.")</f>
        <v>Examine real-world problems (such as calculating the cost of multiple items) and discuss how representing it as a linear equation simplifies the solution process.</v>
      </c>
      <c r="R115" s="100" t="str">
        <f t="shared" si="22"/>
        <v>LU000582.005</v>
      </c>
      <c r="S115" s="100" t="str">
        <f ca="1">IFERROR(__xludf.dummyfunction("VLOOKUP(R115, IMPORTRANGE(""https://docs.google.com/spreadsheets/d/1yDAaXNsi4Mr5FtRQL4tbmSdIzhx6_m4wkOD7IG-k_eo/edit#gid=0"", ""Maths!M:N""), 2, FALSE)"),"Evaluate the accuracy of solutions to linear equations in one variable.")</f>
        <v>Evaluate the accuracy of solutions to linear equations in one variable.</v>
      </c>
      <c r="T115" s="100" t="str">
        <f t="shared" si="23"/>
        <v>LU000582.006</v>
      </c>
      <c r="U115" s="100" t="str">
        <f ca="1">IFERROR(__xludf.dummyfunction("VLOOKUP(T115, IMPORTRANGE(""https://docs.google.com/spreadsheets/d/1yDAaXNsi4Mr5FtRQL4tbmSdIzhx6_m4wkOD7IG-k_eo/edit#gid=0"", ""Maths!M:N""), 2, FALSE)"),"Create a word problem that can be represented by a linear equation in one variable and design a problem to formulate and solve the equation.")</f>
        <v>Create a word problem that can be represented by a linear equation in one variable and design a problem to formulate and solve the equation.</v>
      </c>
      <c r="V115" s="16">
        <f ca="1">IFERROR(__xludf.dummyfunction("ArrayFormula(VLOOKUP(G115, IMPORTRANGE(""https://docs.google.com/spreadsheets/d/1p7R4vtkWt5VOBim4ltsDG9KTzSjrtKXsMtQGXPHyND0/edit#gid=795171502"", ""'Filter 30_05_2024'!A1:M2000""), {2, 3, 4, 5,6,7,8,9,10,11,12,13}, 0))"),4)</f>
        <v>4</v>
      </c>
      <c r="W115" s="16">
        <f ca="1">IFERROR(__xludf.dummyfunction("""COMPUTED_VALUE"""),6)</f>
        <v>6</v>
      </c>
      <c r="X115" s="16">
        <f ca="1">IFERROR(__xludf.dummyfunction("""COMPUTED_VALUE"""),2)</f>
        <v>2</v>
      </c>
      <c r="Y115" s="16">
        <f ca="1">IFERROR(__xludf.dummyfunction("""COMPUTED_VALUE"""),12)</f>
        <v>12</v>
      </c>
      <c r="Z115" s="16">
        <f ca="1">IFERROR(__xludf.dummyfunction("""COMPUTED_VALUE"""),4)</f>
        <v>4</v>
      </c>
      <c r="AA115" s="30">
        <f ca="1">IFERROR(__xludf.dummyfunction("""COMPUTED_VALUE"""),3)</f>
        <v>3</v>
      </c>
      <c r="AB115" s="30">
        <f ca="1">IFERROR(__xludf.dummyfunction("""COMPUTED_VALUE"""),1)</f>
        <v>1</v>
      </c>
      <c r="AC115" s="30">
        <f ca="1">IFERROR(__xludf.dummyfunction("""COMPUTED_VALUE"""),8)</f>
        <v>8</v>
      </c>
      <c r="AD115" s="16"/>
      <c r="AE115" s="30"/>
      <c r="AF115" s="30"/>
      <c r="AG115" s="30"/>
    </row>
    <row r="116" spans="1:33" ht="26.4">
      <c r="A116" s="25"/>
      <c r="B116" s="25" t="s">
        <v>29</v>
      </c>
      <c r="C116" s="25" t="s">
        <v>310</v>
      </c>
      <c r="D116" s="25">
        <v>8</v>
      </c>
      <c r="E116" s="70" t="s">
        <v>929</v>
      </c>
      <c r="F116" s="74" t="s">
        <v>1197</v>
      </c>
      <c r="G116" s="64" t="s">
        <v>1198</v>
      </c>
      <c r="H116" s="64" t="str">
        <f ca="1">IFERROR(__xludf.dummyfunction("IFERROR(
  VLOOKUP(G116, IMPORTRANGE(""https://docs.google.com/spreadsheets/d/14deopnvwcrKtEGCKuYXdUHJbeLDZlkiSSWWT0g7x2pM/edit#gid=849066331"", ""LU List Maths (Filter)!A:B""), 2, FALSE),
  IFERROR(
    VLOOKUP(G116, IMPORTRANGE(""https://docs.google.com"&amp;"/spreadsheets/d/14deopnvwcrKtEGCKuYXdUHJbeLDZlkiSSWWT0g7x2pM/edit#gid=849066331"", ""LU List Science (Filter)!A:B""), 2, FALSE),
    ""Not Found""
  )
)
"),"Solution of equation having variable on both sides")</f>
        <v>Solution of equation having variable on both sides</v>
      </c>
      <c r="I116" s="64"/>
      <c r="J116" s="100" t="str">
        <f t="shared" si="18"/>
        <v>LU000583.001</v>
      </c>
      <c r="K116" s="100" t="str">
        <f ca="1">IFERROR(__xludf.dummyfunction("VLOOKUP(J116, IMPORTRANGE(""https://docs.google.com/spreadsheets/d/1yDAaXNsi4Mr5FtRQL4tbmSdIzhx6_m4wkOD7IG-k_eo/edit#gid=0"", ""Maths!M:N""), 2, FALSE)"),"State the definition of equations with variables on both sides and explain why it's necessary to balance equations by isolating the variable.")</f>
        <v>State the definition of equations with variables on both sides and explain why it's necessary to balance equations by isolating the variable.</v>
      </c>
      <c r="L116" s="100" t="str">
        <f t="shared" si="19"/>
        <v>LU000583.002</v>
      </c>
      <c r="M116" s="100" t="str">
        <f ca="1">IFERROR(__xludf.dummyfunction("VLOOKUP(L116, IMPORTRANGE(""https://docs.google.com/spreadsheets/d/1yDAaXNsi4Mr5FtRQL4tbmSdIzhx6_m4wkOD7IG-k_eo/edit#gid=0"", ""Maths!M:N""), 2, FALSE)"),"Describe the concept of solving equations with variables on both sides, emphasising the steps involved in isolating the variable and simplifying the equation.")</f>
        <v>Describe the concept of solving equations with variables on both sides, emphasising the steps involved in isolating the variable and simplifying the equation.</v>
      </c>
      <c r="N116" s="100" t="str">
        <f t="shared" si="20"/>
        <v>LU000583.003</v>
      </c>
      <c r="O116" s="100" t="str">
        <f ca="1">IFERROR(__xludf.dummyfunction("VLOOKUP(N116, IMPORTRANGE(""https://docs.google.com/spreadsheets/d/1yDAaXNsi4Mr5FtRQL4tbmSdIzhx6_m4wkOD7IG-k_eo/edit#gid=0"", ""Maths!M:N""), 2, FALSE)"),"Solve a linear equation (like 3x + 5 = 2x - 1), where the variable is on both sides, by rearranging terms to isolate x.")</f>
        <v>Solve a linear equation (like 3x + 5 = 2x - 1), where the variable is on both sides, by rearranging terms to isolate x.</v>
      </c>
      <c r="P116" s="100" t="str">
        <f t="shared" si="21"/>
        <v>LU000583.004</v>
      </c>
      <c r="Q116" s="100" t="str">
        <f ca="1">IFERROR(__xludf.dummyfunction("VLOOKUP(P116, IMPORTRANGE(""https://docs.google.com/spreadsheets/d/1yDAaXNsi4Mr5FtRQL4tbmSdIzhx6_m4wkOD7IG-k_eo/edit#gid=0"", ""Maths!M:N""), 2, FALSE)"),"Examine a complex equation with variables on both sides, breaking down the steps taken to solve it, including combining like terms and checking the solution's validity.")</f>
        <v>Examine a complex equation with variables on both sides, breaking down the steps taken to solve it, including combining like terms and checking the solution's validity.</v>
      </c>
      <c r="R116" s="100" t="str">
        <f t="shared" si="22"/>
        <v>LU000583.005</v>
      </c>
      <c r="S116" s="100" t="str">
        <f ca="1">IFERROR(__xludf.dummyfunction("VLOOKUP(R116, IMPORTRANGE(""https://docs.google.com/spreadsheets/d/1yDAaXNsi4Mr5FtRQL4tbmSdIzhx6_m4wkOD7IG-k_eo/edit#gid=0"", ""Maths!M:N""), 2, FALSE)"),"Assess the accuracy of answers to an equation with variables on both sides, providing feedback on the problem-solving approach and final solutions.")</f>
        <v>Assess the accuracy of answers to an equation with variables on both sides, providing feedback on the problem-solving approach and final solutions.</v>
      </c>
      <c r="T116" s="100" t="str">
        <f t="shared" si="23"/>
        <v>LU000583.006</v>
      </c>
      <c r="U116" s="100" t="str">
        <f ca="1">IFERROR(__xludf.dummyfunction("VLOOKUP(T116, IMPORTRANGE(""https://docs.google.com/spreadsheets/d/1yDAaXNsi4Mr5FtRQL4tbmSdIzhx6_m4wkOD7IG-k_eo/edit#gid=0"", ""Maths!M:N""), 2, FALSE)"),"Create a set of linear equations with variables on both sides and design problems that challenge to solve them, requiring to apply the balancing technique.")</f>
        <v>Create a set of linear equations with variables on both sides and design problems that challenge to solve them, requiring to apply the balancing technique.</v>
      </c>
      <c r="V116" s="16">
        <f ca="1">IFERROR(__xludf.dummyfunction("ArrayFormula(VLOOKUP(G116, IMPORTRANGE(""https://docs.google.com/spreadsheets/d/1p7R4vtkWt5VOBim4ltsDG9KTzSjrtKXsMtQGXPHyND0/edit#gid=795171502"", ""'Filter 30_05_2024'!A1:M2000""), {2, 3, 4, 5,6,7,8,9,10,11,12,13}, 0))"),4)</f>
        <v>4</v>
      </c>
      <c r="W116" s="16">
        <f ca="1">IFERROR(__xludf.dummyfunction("""COMPUTED_VALUE"""),6)</f>
        <v>6</v>
      </c>
      <c r="X116" s="16">
        <f ca="1">IFERROR(__xludf.dummyfunction("""COMPUTED_VALUE"""),2)</f>
        <v>2</v>
      </c>
      <c r="Y116" s="16">
        <f ca="1">IFERROR(__xludf.dummyfunction("""COMPUTED_VALUE"""),12)</f>
        <v>12</v>
      </c>
      <c r="Z116" s="16">
        <f ca="1">IFERROR(__xludf.dummyfunction("""COMPUTED_VALUE"""),4)</f>
        <v>4</v>
      </c>
      <c r="AA116" s="30">
        <f ca="1">IFERROR(__xludf.dummyfunction("""COMPUTED_VALUE"""),3)</f>
        <v>3</v>
      </c>
      <c r="AB116" s="30">
        <f ca="1">IFERROR(__xludf.dummyfunction("""COMPUTED_VALUE"""),1)</f>
        <v>1</v>
      </c>
      <c r="AC116" s="30">
        <f ca="1">IFERROR(__xludf.dummyfunction("""COMPUTED_VALUE"""),8)</f>
        <v>8</v>
      </c>
      <c r="AD116" s="16"/>
      <c r="AE116" s="30"/>
      <c r="AF116" s="30"/>
      <c r="AG116" s="30"/>
    </row>
    <row r="117" spans="1:33" ht="26.4">
      <c r="A117" s="25"/>
      <c r="B117" s="25" t="s">
        <v>29</v>
      </c>
      <c r="C117" s="25" t="s">
        <v>310</v>
      </c>
      <c r="D117" s="25">
        <v>8</v>
      </c>
      <c r="E117" s="70" t="s">
        <v>929</v>
      </c>
      <c r="F117" s="70" t="s">
        <v>1199</v>
      </c>
      <c r="G117" s="64" t="s">
        <v>1200</v>
      </c>
      <c r="H117" s="64" t="str">
        <f ca="1">IFERROR(__xludf.dummyfunction("IFERROR(
  VLOOKUP(G117, IMPORTRANGE(""https://docs.google.com/spreadsheets/d/14deopnvwcrKtEGCKuYXdUHJbeLDZlkiSSWWT0g7x2pM/edit#gid=849066331"", ""LU List Maths (Filter)!A:B""), 2, FALSE),
  IFERROR(
    VLOOKUP(G117, IMPORTRANGE(""https://docs.google.com"&amp;"/spreadsheets/d/14deopnvwcrKtEGCKuYXdUHJbeLDZlkiSSWWT0g7x2pM/edit#gid=849066331"", ""LU List Science (Filter)!A:B""), 2, FALSE),
    ""Not Found""
  )
)
"),"Solve problems (age, number formation, perimeter, currency notes) based on application of linear equation in one variable")</f>
        <v>Solve problems (age, number formation, perimeter, currency notes) based on application of linear equation in one variable</v>
      </c>
      <c r="I117" s="64"/>
      <c r="J117" s="100" t="str">
        <f t="shared" si="18"/>
        <v>LU000587.001</v>
      </c>
      <c r="K117" s="100" t="str">
        <f ca="1">IFERROR(__xludf.dummyfunction("VLOOKUP(J117, IMPORTRANGE(""https://docs.google.com/spreadsheets/d/1yDAaXNsi4Mr5FtRQL4tbmSdIzhx6_m4wkOD7IG-k_eo/edit#gid=0"", ""Maths!M:N""), 2, FALSE)"),"State the concept of linear equations in one variable and mention the different contexts in which they can be applied")</f>
        <v>State the concept of linear equations in one variable and mention the different contexts in which they can be applied</v>
      </c>
      <c r="L117" s="100" t="str">
        <f t="shared" si="19"/>
        <v>LU000587.002</v>
      </c>
      <c r="M117" s="100" t="str">
        <f ca="1">IFERROR(__xludf.dummyfunction("VLOOKUP(L117, IMPORTRANGE(""https://docs.google.com/spreadsheets/d/1yDAaXNsi4Mr5FtRQL4tbmSdIzhx6_m4wkOD7IG-k_eo/edit#gid=0"", ""Maths!M:N""), 2, FALSE)"),"Explain how linear equations in one variable are used to model and solve problems in different scenarios, such as calculating ages, finding unknown numbers, determining perimeters and handling currency notes.")</f>
        <v>Explain how linear equations in one variable are used to model and solve problems in different scenarios, such as calculating ages, finding unknown numbers, determining perimeters and handling currency notes.</v>
      </c>
      <c r="N117" s="100" t="str">
        <f t="shared" si="20"/>
        <v>LU000587.003</v>
      </c>
      <c r="O117" s="100" t="str">
        <f ca="1">IFERROR(__xludf.dummyfunction("VLOOKUP(N117, IMPORTRANGE(""https://docs.google.com/spreadsheets/d/1yDAaXNsi4Mr5FtRQL4tbmSdIzhx6_m4wkOD7IG-k_eo/edit#gid=0"", ""Maths!M:N""), 2, FALSE)"),"Solve a real-world problem using a linear equation in one variable.")</f>
        <v>Solve a real-world problem using a linear equation in one variable.</v>
      </c>
      <c r="P117" s="100" t="str">
        <f t="shared" si="21"/>
        <v>LU000587.004</v>
      </c>
      <c r="Q117" s="100" t="str">
        <f ca="1">IFERROR(__xludf.dummyfunction("VLOOKUP(P117, IMPORTRANGE(""https://docs.google.com/spreadsheets/d/1yDAaXNsi4Mr5FtRQL4tbmSdIzhx6_m4wkOD7IG-k_eo/edit#gid=0"", ""Maths!M:N""), 2, FALSE)"),"Examine a set of problems related to age, number formation, perimeter, and currency notes, and identify the specific linear equations required for each problem.")</f>
        <v>Examine a set of problems related to age, number formation, perimeter, and currency notes, and identify the specific linear equations required for each problem.</v>
      </c>
      <c r="R117" s="100" t="str">
        <f t="shared" si="22"/>
        <v>LU000587.005</v>
      </c>
      <c r="S117" s="100" t="str">
        <f ca="1">IFERROR(__xludf.dummyfunction("VLOOKUP(R117, IMPORTRANGE(""https://docs.google.com/spreadsheets/d/1yDAaXNsi4Mr5FtRQL4tbmSdIzhx6_m4wkOD7IG-k_eo/edit#gid=0"", ""Maths!M:N""), 2, FALSE)"),"#N/A")</f>
        <v>#N/A</v>
      </c>
      <c r="T117" s="100" t="str">
        <f t="shared" si="23"/>
        <v>LU000587.006</v>
      </c>
      <c r="U117" s="100" t="str">
        <f ca="1">IFERROR(__xludf.dummyfunction("VLOOKUP(T117, IMPORTRANGE(""https://docs.google.com/spreadsheets/d/1yDAaXNsi4Mr5FtRQL4tbmSdIzhx6_m4wkOD7IG-k_eo/edit#gid=0"", ""Maths!M:N""), 2, FALSE)"),"Create a set of word problems related to age, number formation, perimeter, and currency notes, challenging to formulate and solve linear equations to find the solutions")</f>
        <v>Create a set of word problems related to age, number formation, perimeter, and currency notes, challenging to formulate and solve linear equations to find the solutions</v>
      </c>
      <c r="V117" s="16">
        <f ca="1">IFERROR(__xludf.dummyfunction("ArrayFormula(VLOOKUP(G117, IMPORTRANGE(""https://docs.google.com/spreadsheets/d/1p7R4vtkWt5VOBim4ltsDG9KTzSjrtKXsMtQGXPHyND0/edit#gid=795171502"", ""'Filter 30_05_2024'!A1:M2000""), {2, 3, 4, 5,6,7,8,9,10,11,12,13}, 0))"),4)</f>
        <v>4</v>
      </c>
      <c r="W117" s="16">
        <f ca="1">IFERROR(__xludf.dummyfunction("""COMPUTED_VALUE"""),6)</f>
        <v>6</v>
      </c>
      <c r="X117" s="16">
        <f ca="1">IFERROR(__xludf.dummyfunction("""COMPUTED_VALUE"""),2)</f>
        <v>2</v>
      </c>
      <c r="Y117" s="16">
        <f ca="1">IFERROR(__xludf.dummyfunction("""COMPUTED_VALUE"""),12)</f>
        <v>12</v>
      </c>
      <c r="Z117" s="16">
        <f ca="1">IFERROR(__xludf.dummyfunction("""COMPUTED_VALUE"""),4)</f>
        <v>4</v>
      </c>
      <c r="AA117" s="30">
        <f ca="1">IFERROR(__xludf.dummyfunction("""COMPUTED_VALUE"""),3)</f>
        <v>3</v>
      </c>
      <c r="AB117" s="30">
        <f ca="1">IFERROR(__xludf.dummyfunction("""COMPUTED_VALUE"""),1)</f>
        <v>1</v>
      </c>
      <c r="AC117" s="30">
        <f ca="1">IFERROR(__xludf.dummyfunction("""COMPUTED_VALUE"""),8)</f>
        <v>8</v>
      </c>
      <c r="AD117" s="16"/>
      <c r="AE117" s="30"/>
      <c r="AF117" s="30"/>
      <c r="AG117" s="30"/>
    </row>
    <row r="118" spans="1:33" ht="27">
      <c r="A118" s="25"/>
      <c r="B118" s="25" t="s">
        <v>29</v>
      </c>
      <c r="C118" s="25" t="s">
        <v>310</v>
      </c>
      <c r="D118" s="25">
        <v>8</v>
      </c>
      <c r="E118" s="80" t="s">
        <v>943</v>
      </c>
      <c r="F118" s="80" t="s">
        <v>951</v>
      </c>
      <c r="G118" s="79" t="s">
        <v>1201</v>
      </c>
      <c r="H118" s="64" t="str">
        <f ca="1">IFERROR(__xludf.dummyfunction("IFERROR(
  VLOOKUP(G118, IMPORTRANGE(""https://docs.google.com/spreadsheets/d/14deopnvwcrKtEGCKuYXdUHJbeLDZlkiSSWWT0g7x2pM/edit#gid=849066331"", ""LU List Maths (Filter)!A:B""), 2, FALSE),
  IFERROR(
    VLOOKUP(G118, IMPORTRANGE(""https://docs.google.com"&amp;"/spreadsheets/d/14deopnvwcrKtEGCKuYXdUHJbeLDZlkiSSWWT0g7x2pM/edit#gid=849066331"", ""LU List Science (Filter)!A:B""), 2, FALSE),
    ""Not Found""
  )
)
"),"Solution of simple inequalities in one variable for the given replacement set")</f>
        <v>Solution of simple inequalities in one variable for the given replacement set</v>
      </c>
      <c r="I118" s="64"/>
      <c r="J118" s="100" t="str">
        <f t="shared" si="18"/>
        <v>LU001421.001</v>
      </c>
      <c r="K118" s="100" t="str">
        <f ca="1">IFERROR(__xludf.dummyfunction("VLOOKUP(J118, IMPORTRANGE(""https://docs.google.com/spreadsheets/d/1yDAaXNsi4Mr5FtRQL4tbmSdIzhx6_m4wkOD7IG-k_eo/edit#gid=0"", ""Maths!M:N""), 2, FALSE)"),"(LU001421.001); Default - Remember")</f>
        <v>(LU001421.001); Default - Remember</v>
      </c>
      <c r="L118" s="100" t="str">
        <f t="shared" si="19"/>
        <v>LU001421.002</v>
      </c>
      <c r="M118" s="100" t="str">
        <f ca="1">IFERROR(__xludf.dummyfunction("VLOOKUP(L118, IMPORTRANGE(""https://docs.google.com/spreadsheets/d/1yDAaXNsi4Mr5FtRQL4tbmSdIzhx6_m4wkOD7IG-k_eo/edit#gid=0"", ""Maths!M:N""), 2, FALSE)"),"(LU001421.002); Default - Understand")</f>
        <v>(LU001421.002); Default - Understand</v>
      </c>
      <c r="N118" s="100" t="str">
        <f t="shared" si="20"/>
        <v>LU001421.003</v>
      </c>
      <c r="O118" s="100" t="str">
        <f ca="1">IFERROR(__xludf.dummyfunction("VLOOKUP(N118, IMPORTRANGE(""https://docs.google.com/spreadsheets/d/1yDAaXNsi4Mr5FtRQL4tbmSdIzhx6_m4wkOD7IG-k_eo/edit#gid=0"", ""Maths!M:N""), 2, FALSE)"),"(LU001421.003); Default - Apply")</f>
        <v>(LU001421.003); Default - Apply</v>
      </c>
      <c r="P118" s="100" t="str">
        <f t="shared" si="21"/>
        <v>LU001421.004</v>
      </c>
      <c r="Q118" s="100" t="str">
        <f ca="1">IFERROR(__xludf.dummyfunction("VLOOKUP(P118, IMPORTRANGE(""https://docs.google.com/spreadsheets/d/1yDAaXNsi4Mr5FtRQL4tbmSdIzhx6_m4wkOD7IG-k_eo/edit#gid=0"", ""Maths!M:N""), 2, FALSE)"),"(LU001421.004); Default - Analyse")</f>
        <v>(LU001421.004); Default - Analyse</v>
      </c>
      <c r="R118" s="100" t="str">
        <f t="shared" si="22"/>
        <v>LU001421.005</v>
      </c>
      <c r="S118" s="100" t="str">
        <f ca="1">IFERROR(__xludf.dummyfunction("VLOOKUP(R118, IMPORTRANGE(""https://docs.google.com/spreadsheets/d/1yDAaXNsi4Mr5FtRQL4tbmSdIzhx6_m4wkOD7IG-k_eo/edit#gid=0"", ""Maths!M:N""), 2, FALSE)"),"(LU001421.005); Default - Evaluate")</f>
        <v>(LU001421.005); Default - Evaluate</v>
      </c>
      <c r="T118" s="100" t="str">
        <f t="shared" si="23"/>
        <v>LU001421.006</v>
      </c>
      <c r="U118" s="100" t="str">
        <f ca="1">IFERROR(__xludf.dummyfunction("VLOOKUP(T118, IMPORTRANGE(""https://docs.google.com/spreadsheets/d/1yDAaXNsi4Mr5FtRQL4tbmSdIzhx6_m4wkOD7IG-k_eo/edit#gid=0"", ""Maths!M:N""), 2, FALSE)"),"(LU001421.006); Default - Create")</f>
        <v>(LU001421.006); Default - Create</v>
      </c>
      <c r="V118" s="16" t="str">
        <f ca="1">IFERROR(__xludf.dummyfunction("ArrayFormula(VLOOKUP(G118, IMPORTRANGE(""https://docs.google.com/spreadsheets/d/1p7R4vtkWt5VOBim4ltsDG9KTzSjrtKXsMtQGXPHyND0/edit#gid=795171502"", ""'Filter 30_05_2024'!A1:M2000""), {2, 3, 4, 5,6,7,8,9,10,11,12,13}, 0))"),"#N/A")</f>
        <v>#N/A</v>
      </c>
      <c r="W118" s="16" t="str">
        <f ca="1">IFERROR(__xludf.dummyfunction("""COMPUTED_VALUE"""),"#N/A")</f>
        <v>#N/A</v>
      </c>
      <c r="X118" s="16" t="str">
        <f ca="1">IFERROR(__xludf.dummyfunction("""COMPUTED_VALUE"""),"#N/A")</f>
        <v>#N/A</v>
      </c>
      <c r="Y118" s="16" t="str">
        <f ca="1">IFERROR(__xludf.dummyfunction("""COMPUTED_VALUE"""),"#N/A")</f>
        <v>#N/A</v>
      </c>
      <c r="Z118" s="16" t="str">
        <f ca="1">IFERROR(__xludf.dummyfunction("""COMPUTED_VALUE"""),"#N/A")</f>
        <v>#N/A</v>
      </c>
      <c r="AA118" s="30" t="str">
        <f ca="1">IFERROR(__xludf.dummyfunction("""COMPUTED_VALUE"""),"#N/A")</f>
        <v>#N/A</v>
      </c>
      <c r="AB118" s="30" t="str">
        <f ca="1">IFERROR(__xludf.dummyfunction("""COMPUTED_VALUE"""),"#N/A")</f>
        <v>#N/A</v>
      </c>
      <c r="AC118" s="30" t="str">
        <f ca="1">IFERROR(__xludf.dummyfunction("""COMPUTED_VALUE"""),"#N/A")</f>
        <v>#N/A</v>
      </c>
      <c r="AD118" s="16" t="str">
        <f ca="1">IFERROR(__xludf.dummyfunction("""COMPUTED_VALUE"""),"#N/A")</f>
        <v>#N/A</v>
      </c>
      <c r="AE118" s="30" t="str">
        <f ca="1">IFERROR(__xludf.dummyfunction("""COMPUTED_VALUE"""),"#N/A")</f>
        <v>#N/A</v>
      </c>
      <c r="AF118" s="30" t="str">
        <f ca="1">IFERROR(__xludf.dummyfunction("""COMPUTED_VALUE"""),"#N/A")</f>
        <v>#N/A</v>
      </c>
      <c r="AG118" s="30" t="str">
        <f ca="1">IFERROR(__xludf.dummyfunction("""COMPUTED_VALUE"""),"#N/A")</f>
        <v>#N/A</v>
      </c>
    </row>
    <row r="119" spans="1:33" ht="26.4">
      <c r="A119" s="25"/>
      <c r="B119" s="25" t="s">
        <v>29</v>
      </c>
      <c r="C119" s="25" t="s">
        <v>310</v>
      </c>
      <c r="D119" s="25">
        <v>8</v>
      </c>
      <c r="E119" s="70" t="s">
        <v>1202</v>
      </c>
      <c r="F119" s="70" t="s">
        <v>1203</v>
      </c>
      <c r="G119" s="64" t="s">
        <v>1204</v>
      </c>
      <c r="H119" s="64" t="str">
        <f ca="1">IFERROR(__xludf.dummyfunction("IFERROR(
  VLOOKUP(G119, IMPORTRANGE(""https://docs.google.com/spreadsheets/d/14deopnvwcrKtEGCKuYXdUHJbeLDZlkiSSWWT0g7x2pM/edit#gid=849066331"", ""LU List Maths (Filter)!A:B""), 2, FALSE),
  IFERROR(
    VLOOKUP(G119, IMPORTRANGE(""https://docs.google.com"&amp;"/spreadsheets/d/14deopnvwcrKtEGCKuYXdUHJbeLDZlkiSSWWT0g7x2pM/edit#gid=849066331"", ""LU List Science (Filter)!A:B""), 2, FALSE),
    ""Not Found""
  )
)
"),"Angle sum property of a quadrilateral")</f>
        <v>Angle sum property of a quadrilateral</v>
      </c>
      <c r="I119" s="64"/>
      <c r="J119" s="100" t="str">
        <f t="shared" si="18"/>
        <v>LU000592.001</v>
      </c>
      <c r="K119" s="100" t="str">
        <f ca="1">IFERROR(__xludf.dummyfunction("VLOOKUP(J119, IMPORTRANGE(""https://docs.google.com/spreadsheets/d/1yDAaXNsi4Mr5FtRQL4tbmSdIzhx6_m4wkOD7IG-k_eo/edit#gid=0"", ""Maths!M:N""), 2, FALSE)"),"Describe the angle sum property of a quadrilateral.")</f>
        <v>Describe the angle sum property of a quadrilateral.</v>
      </c>
      <c r="L119" s="100" t="str">
        <f t="shared" si="19"/>
        <v>LU000592.002</v>
      </c>
      <c r="M119" s="100" t="str">
        <f ca="1">IFERROR(__xludf.dummyfunction("VLOOKUP(L119, IMPORTRANGE(""https://docs.google.com/spreadsheets/d/1yDAaXNsi4Mr5FtRQL4tbmSdIzhx6_m4wkOD7IG-k_eo/edit#gid=0"", ""Maths!M:N""), 2, FALSE)"),"Explain how the angles in a quadrilateral add up to 360 degrees.")</f>
        <v>Explain how the angles in a quadrilateral add up to 360 degrees.</v>
      </c>
      <c r="N119" s="100" t="str">
        <f t="shared" si="20"/>
        <v>LU000592.003</v>
      </c>
      <c r="O119" s="100" t="str">
        <f ca="1">IFERROR(__xludf.dummyfunction("VLOOKUP(N119, IMPORTRANGE(""https://docs.google.com/spreadsheets/d/1yDAaXNsi4Mr5FtRQL4tbmSdIzhx6_m4wkOD7IG-k_eo/edit#gid=0"", ""Maths!M:N""), 2, FALSE)"),"Find unknown angles of a quadrilateral using angle sum property of a quadrilateral for various types of quadrilateral.")</f>
        <v>Find unknown angles of a quadrilateral using angle sum property of a quadrilateral for various types of quadrilateral.</v>
      </c>
      <c r="P119" s="100" t="str">
        <f t="shared" si="21"/>
        <v>LU000592.004</v>
      </c>
      <c r="Q119" s="100" t="str">
        <f ca="1">IFERROR(__xludf.dummyfunction("VLOOKUP(P119, IMPORTRANGE(""https://docs.google.com/spreadsheets/d/1yDAaXNsi4Mr5FtRQL4tbmSdIzhx6_m4wkOD7IG-k_eo/edit#gid=0"", ""Maths!M:N""), 2, FALSE)"),"Justify that the total measure of the four angles of a quadrilateral is 360 degree.")</f>
        <v>Justify that the total measure of the four angles of a quadrilateral is 360 degree.</v>
      </c>
      <c r="R119" s="100" t="str">
        <f t="shared" si="22"/>
        <v>LU000592.005</v>
      </c>
      <c r="S119" s="100" t="str">
        <f ca="1">IFERROR(__xludf.dummyfunction("VLOOKUP(R119, IMPORTRANGE(""https://docs.google.com/spreadsheets/d/1yDAaXNsi4Mr5FtRQL4tbmSdIzhx6_m4wkOD7IG-k_eo/edit#gid=0"", ""Maths!M:N""), 2, FALSE)"),"Evaluate the validity of the given statements based on the angle sum property of a quadrilateral.")</f>
        <v>Evaluate the validity of the given statements based on the angle sum property of a quadrilateral.</v>
      </c>
      <c r="T119" s="100" t="str">
        <f t="shared" si="23"/>
        <v>LU000592.006</v>
      </c>
      <c r="U119" s="100" t="str">
        <f ca="1">IFERROR(__xludf.dummyfunction("VLOOKUP(T119, IMPORTRANGE(""https://docs.google.com/spreadsheets/d/1yDAaXNsi4Mr5FtRQL4tbmSdIzhx6_m4wkOD7IG-k_eo/edit#gid=0"", ""Maths!M:N""), 2, FALSE)"),"Design a visual demonstration showcasing how dividing a quadrilateral into triangles verifies the angle sum property of a quadrilateral.")</f>
        <v>Design a visual demonstration showcasing how dividing a quadrilateral into triangles verifies the angle sum property of a quadrilateral.</v>
      </c>
      <c r="V119" s="16">
        <f ca="1">IFERROR(__xludf.dummyfunction("ArrayFormula(VLOOKUP(G119, IMPORTRANGE(""https://docs.google.com/spreadsheets/d/1p7R4vtkWt5VOBim4ltsDG9KTzSjrtKXsMtQGXPHyND0/edit#gid=795171502"", ""'Filter 30_05_2024'!A1:M2000""), {2, 3, 4, 5,6,7,8,9,10,11,12,13}, 0))"),4)</f>
        <v>4</v>
      </c>
      <c r="W119" s="16">
        <f ca="1">IFERROR(__xludf.dummyfunction("""COMPUTED_VALUE"""),6)</f>
        <v>6</v>
      </c>
      <c r="X119" s="16">
        <f ca="1">IFERROR(__xludf.dummyfunction("""COMPUTED_VALUE"""),2)</f>
        <v>2</v>
      </c>
      <c r="Y119" s="16">
        <f ca="1">IFERROR(__xludf.dummyfunction("""COMPUTED_VALUE"""),12)</f>
        <v>12</v>
      </c>
      <c r="Z119" s="16">
        <f ca="1">IFERROR(__xludf.dummyfunction("""COMPUTED_VALUE"""),4)</f>
        <v>4</v>
      </c>
      <c r="AA119" s="30">
        <f ca="1">IFERROR(__xludf.dummyfunction("""COMPUTED_VALUE"""),3)</f>
        <v>3</v>
      </c>
      <c r="AB119" s="30">
        <f ca="1">IFERROR(__xludf.dummyfunction("""COMPUTED_VALUE"""),1)</f>
        <v>1</v>
      </c>
      <c r="AC119" s="30">
        <f ca="1">IFERROR(__xludf.dummyfunction("""COMPUTED_VALUE"""),8)</f>
        <v>8</v>
      </c>
      <c r="AD119" s="16"/>
      <c r="AE119" s="30"/>
      <c r="AF119" s="30"/>
      <c r="AG119" s="30"/>
    </row>
    <row r="120" spans="1:33" ht="26.4">
      <c r="A120" s="25"/>
      <c r="B120" s="25" t="s">
        <v>29</v>
      </c>
      <c r="C120" s="25" t="s">
        <v>310</v>
      </c>
      <c r="D120" s="25">
        <v>8</v>
      </c>
      <c r="E120" s="70" t="s">
        <v>1202</v>
      </c>
      <c r="F120" s="70" t="s">
        <v>1203</v>
      </c>
      <c r="G120" s="64" t="s">
        <v>1205</v>
      </c>
      <c r="H120" s="64" t="str">
        <f ca="1">IFERROR(__xludf.dummyfunction("IFERROR(
  VLOOKUP(G120, IMPORTRANGE(""https://docs.google.com/spreadsheets/d/14deopnvwcrKtEGCKuYXdUHJbeLDZlkiSSWWT0g7x2pM/edit#gid=849066331"", ""LU List Maths (Filter)!A:B""), 2, FALSE),
  IFERROR(
    VLOOKUP(G120, IMPORTRANGE(""https://docs.google.com"&amp;"/spreadsheets/d/14deopnvwcrKtEGCKuYXdUHJbeLDZlkiSSWWT0g7x2pM/edit#gid=849066331"", ""LU List Science (Filter)!A:B""), 2, FALSE),
    ""Not Found""
  )
)
"),"Angle sum property of a pentagon")</f>
        <v>Angle sum property of a pentagon</v>
      </c>
      <c r="I120" s="64"/>
      <c r="J120" s="100" t="str">
        <f t="shared" si="18"/>
        <v>LU000599.001</v>
      </c>
      <c r="K120" s="100" t="str">
        <f ca="1">IFERROR(__xludf.dummyfunction("VLOOKUP(J120, IMPORTRANGE(""https://docs.google.com/spreadsheets/d/1yDAaXNsi4Mr5FtRQL4tbmSdIzhx6_m4wkOD7IG-k_eo/edit#gid=0"", ""Maths!M:N""), 2, FALSE)"),"Describe the angle sum property of a pentagon.")</f>
        <v>Describe the angle sum property of a pentagon.</v>
      </c>
      <c r="L120" s="100" t="str">
        <f t="shared" si="19"/>
        <v>LU000599.002</v>
      </c>
      <c r="M120" s="100" t="str">
        <f ca="1">IFERROR(__xludf.dummyfunction("VLOOKUP(L120, IMPORTRANGE(""https://docs.google.com/spreadsheets/d/1yDAaXNsi4Mr5FtRQL4tbmSdIzhx6_m4wkOD7IG-k_eo/edit#gid=0"", ""Maths!M:N""), 2, FALSE)"),"Explain how the angles in a pentagon add up to 540 degrees.")</f>
        <v>Explain how the angles in a pentagon add up to 540 degrees.</v>
      </c>
      <c r="N120" s="100" t="str">
        <f t="shared" si="20"/>
        <v>LU000599.003</v>
      </c>
      <c r="O120" s="100" t="str">
        <f ca="1">IFERROR(__xludf.dummyfunction("VLOOKUP(N120, IMPORTRANGE(""https://docs.google.com/spreadsheets/d/1yDAaXNsi4Mr5FtRQL4tbmSdIzhx6_m4wkOD7IG-k_eo/edit#gid=0"", ""Maths!M:N""), 2, FALSE)"),"Find unknown angles of a pentagon using angle sum property of a pentagon for various types of pentagon.")</f>
        <v>Find unknown angles of a pentagon using angle sum property of a pentagon for various types of pentagon.</v>
      </c>
      <c r="P120" s="100" t="str">
        <f t="shared" si="21"/>
        <v>LU000599.004</v>
      </c>
      <c r="Q120" s="100" t="str">
        <f ca="1">IFERROR(__xludf.dummyfunction("VLOOKUP(P120, IMPORTRANGE(""https://docs.google.com/spreadsheets/d/1yDAaXNsi4Mr5FtRQL4tbmSdIzhx6_m4wkOD7IG-k_eo/edit#gid=0"", ""Maths!M:N""), 2, FALSE)"),"Justify that the total measure of the five angles of a pentagon is 540 degrees.")</f>
        <v>Justify that the total measure of the five angles of a pentagon is 540 degrees.</v>
      </c>
      <c r="R120" s="100" t="str">
        <f t="shared" si="22"/>
        <v>LU000599.005</v>
      </c>
      <c r="S120" s="100" t="str">
        <f ca="1">IFERROR(__xludf.dummyfunction("VLOOKUP(R120, IMPORTRANGE(""https://docs.google.com/spreadsheets/d/1yDAaXNsi4Mr5FtRQL4tbmSdIzhx6_m4wkOD7IG-k_eo/edit#gid=0"", ""Maths!M:N""), 2, FALSE)"),"Evaluate the validity of the given statements based on the angle sum property of a pentagon.")</f>
        <v>Evaluate the validity of the given statements based on the angle sum property of a pentagon.</v>
      </c>
      <c r="T120" s="100" t="str">
        <f t="shared" si="23"/>
        <v>LU000599.006</v>
      </c>
      <c r="U120" s="100" t="str">
        <f ca="1">IFERROR(__xludf.dummyfunction("VLOOKUP(T120, IMPORTRANGE(""https://docs.google.com/spreadsheets/d/1yDAaXNsi4Mr5FtRQL4tbmSdIzhx6_m4wkOD7IG-k_eo/edit#gid=0"", ""Maths!M:N""), 2, FALSE)"),"Develop an illustrative diagram showing how the angles of a pentagon contribute to the total angle sum of 540 degrees.")</f>
        <v>Develop an illustrative diagram showing how the angles of a pentagon contribute to the total angle sum of 540 degrees.</v>
      </c>
      <c r="V120" s="16">
        <f ca="1">IFERROR(__xludf.dummyfunction("ArrayFormula(VLOOKUP(G120, IMPORTRANGE(""https://docs.google.com/spreadsheets/d/1p7R4vtkWt5VOBim4ltsDG9KTzSjrtKXsMtQGXPHyND0/edit#gid=795171502"", ""'Filter 30_05_2024'!A1:M2000""), {2, 3, 4, 5,6,7,8,9,10,11,12,13}, 0))"),4)</f>
        <v>4</v>
      </c>
      <c r="W120" s="16">
        <f ca="1">IFERROR(__xludf.dummyfunction("""COMPUTED_VALUE"""),5)</f>
        <v>5</v>
      </c>
      <c r="X120" s="16">
        <f ca="1">IFERROR(__xludf.dummyfunction("""COMPUTED_VALUE"""),2)</f>
        <v>2</v>
      </c>
      <c r="Y120" s="16">
        <f ca="1">IFERROR(__xludf.dummyfunction("""COMPUTED_VALUE"""),11)</f>
        <v>11</v>
      </c>
      <c r="Z120" s="16">
        <f ca="1">IFERROR(__xludf.dummyfunction("""COMPUTED_VALUE"""),4)</f>
        <v>4</v>
      </c>
      <c r="AA120" s="30">
        <f ca="1">IFERROR(__xludf.dummyfunction("""COMPUTED_VALUE"""),4)</f>
        <v>4</v>
      </c>
      <c r="AB120" s="30">
        <f ca="1">IFERROR(__xludf.dummyfunction("""COMPUTED_VALUE"""),1)</f>
        <v>1</v>
      </c>
      <c r="AC120" s="30">
        <f ca="1">IFERROR(__xludf.dummyfunction("""COMPUTED_VALUE"""),9)</f>
        <v>9</v>
      </c>
      <c r="AD120" s="16"/>
      <c r="AE120" s="30"/>
      <c r="AF120" s="30"/>
      <c r="AG120" s="30"/>
    </row>
    <row r="121" spans="1:33" ht="26.4">
      <c r="A121" s="25"/>
      <c r="B121" s="25" t="s">
        <v>29</v>
      </c>
      <c r="C121" s="25" t="s">
        <v>310</v>
      </c>
      <c r="D121" s="25">
        <v>8</v>
      </c>
      <c r="E121" s="70" t="s">
        <v>1202</v>
      </c>
      <c r="F121" s="70" t="s">
        <v>1203</v>
      </c>
      <c r="G121" s="64" t="s">
        <v>1206</v>
      </c>
      <c r="H121" s="64" t="str">
        <f ca="1">IFERROR(__xludf.dummyfunction("IFERROR(
  VLOOKUP(G121, IMPORTRANGE(""https://docs.google.com/spreadsheets/d/14deopnvwcrKtEGCKuYXdUHJbeLDZlkiSSWWT0g7x2pM/edit#gid=849066331"", ""LU List Maths (Filter)!A:B""), 2, FALSE),
  IFERROR(
    VLOOKUP(G121, IMPORTRANGE(""https://docs.google.com"&amp;"/spreadsheets/d/14deopnvwcrKtEGCKuYXdUHJbeLDZlkiSSWWT0g7x2pM/edit#gid=849066331"", ""LU List Science (Filter)!A:B""), 2, FALSE),
    ""Not Found""
  )
)
"),"Angle sum property of a polygon")</f>
        <v>Angle sum property of a polygon</v>
      </c>
      <c r="I121" s="64"/>
      <c r="J121" s="100" t="str">
        <f t="shared" si="18"/>
        <v>LU000608.001</v>
      </c>
      <c r="K121" s="100" t="str">
        <f ca="1">IFERROR(__xludf.dummyfunction("VLOOKUP(J121, IMPORTRANGE(""https://docs.google.com/spreadsheets/d/1yDAaXNsi4Mr5FtRQL4tbmSdIzhx6_m4wkOD7IG-k_eo/edit#gid=0"", ""Maths!M:N""), 2, FALSE)"),"State the formula for calculating the sum of interior angles in a polygon.")</f>
        <v>State the formula for calculating the sum of interior angles in a polygon.</v>
      </c>
      <c r="L121" s="100" t="str">
        <f t="shared" si="19"/>
        <v>LU000608.002</v>
      </c>
      <c r="M121" s="100" t="str">
        <f ca="1">IFERROR(__xludf.dummyfunction("VLOOKUP(L121, IMPORTRANGE(""https://docs.google.com/spreadsheets/d/1yDAaXNsi4Mr5FtRQL4tbmSdIzhx6_m4wkOD7IG-k_eo/edit#gid=0"", ""Maths!M:N""), 2, FALSE)"),"Describe the relationship between the number of sides in a polygon and the sum of its interior angles.")</f>
        <v>Describe the relationship between the number of sides in a polygon and the sum of its interior angles.</v>
      </c>
      <c r="N121" s="100" t="str">
        <f t="shared" si="20"/>
        <v>LU000608.003</v>
      </c>
      <c r="O121" s="100" t="str">
        <f ca="1">IFERROR(__xludf.dummyfunction("VLOOKUP(N121, IMPORTRANGE(""https://docs.google.com/spreadsheets/d/1yDAaXNsi4Mr5FtRQL4tbmSdIzhx6_m4wkOD7IG-k_eo/edit#gid=0"", ""Maths!M:N""), 2, FALSE)"),"Apply the angle sum formula to find the total interior angle of a given polygon.")</f>
        <v>Apply the angle sum formula to find the total interior angle of a given polygon.</v>
      </c>
      <c r="P121" s="100" t="str">
        <f t="shared" si="21"/>
        <v>LU000608.004</v>
      </c>
      <c r="Q121" s="100" t="str">
        <f ca="1">IFERROR(__xludf.dummyfunction("VLOOKUP(P121, IMPORTRANGE(""https://docs.google.com/spreadsheets/d/1yDAaXNsi4Mr5FtRQL4tbmSdIzhx6_m4wkOD7IG-k_eo/edit#gid=0"", ""Maths!M:N""), 2, FALSE)"),"Analyse how the number of sides in a polygon affects its interior angle sum.")</f>
        <v>Analyse how the number of sides in a polygon affects its interior angle sum.</v>
      </c>
      <c r="R121" s="100" t="str">
        <f t="shared" si="22"/>
        <v>LU000608.005</v>
      </c>
      <c r="S121" s="100" t="str">
        <f ca="1">IFERROR(__xludf.dummyfunction("VLOOKUP(R121, IMPORTRANGE(""https://docs.google.com/spreadsheets/d/1yDAaXNsi4Mr5FtRQL4tbmSdIzhx6_m4wkOD7IG-k_eo/edit#gid=0"", ""Maths!M:N""), 2, FALSE)"),"Evaluate whether a given set of angles forms a valid polygon based on the angle sum property.")</f>
        <v>Evaluate whether a given set of angles forms a valid polygon based on the angle sum property.</v>
      </c>
      <c r="T121" s="100" t="str">
        <f t="shared" si="23"/>
        <v>LU000608.006</v>
      </c>
      <c r="U121" s="100" t="str">
        <f ca="1">IFERROR(__xludf.dummyfunction("VLOOKUP(T121, IMPORTRANGE(""https://docs.google.com/spreadsheets/d/1yDAaXNsi4Mr5FtRQL4tbmSdIzhx6_m4wkOD7IG-k_eo/edit#gid=0"", ""Maths!M:N""), 2, FALSE)"),"Design a polygon with a specific number of sides and calculate its interior angle sum.")</f>
        <v>Design a polygon with a specific number of sides and calculate its interior angle sum.</v>
      </c>
      <c r="V121" s="16">
        <f ca="1">IFERROR(__xludf.dummyfunction("ArrayFormula(VLOOKUP(G121, IMPORTRANGE(""https://docs.google.com/spreadsheets/d/1p7R4vtkWt5VOBim4ltsDG9KTzSjrtKXsMtQGXPHyND0/edit#gid=795171502"", ""'Filter 30_05_2024'!A1:M2000""), {2, 3, 4, 5,6,7,8,9,10,11,12,13}, 0))"),4)</f>
        <v>4</v>
      </c>
      <c r="W121" s="16">
        <f ca="1">IFERROR(__xludf.dummyfunction("""COMPUTED_VALUE"""),6)</f>
        <v>6</v>
      </c>
      <c r="X121" s="16">
        <f ca="1">IFERROR(__xludf.dummyfunction("""COMPUTED_VALUE"""),2)</f>
        <v>2</v>
      </c>
      <c r="Y121" s="16">
        <f ca="1">IFERROR(__xludf.dummyfunction("""COMPUTED_VALUE"""),12)</f>
        <v>12</v>
      </c>
      <c r="Z121" s="16">
        <f ca="1">IFERROR(__xludf.dummyfunction("""COMPUTED_VALUE"""),4)</f>
        <v>4</v>
      </c>
      <c r="AA121" s="30">
        <f ca="1">IFERROR(__xludf.dummyfunction("""COMPUTED_VALUE"""),3)</f>
        <v>3</v>
      </c>
      <c r="AB121" s="30">
        <f ca="1">IFERROR(__xludf.dummyfunction("""COMPUTED_VALUE"""),1)</f>
        <v>1</v>
      </c>
      <c r="AC121" s="30">
        <f ca="1">IFERROR(__xludf.dummyfunction("""COMPUTED_VALUE"""),8)</f>
        <v>8</v>
      </c>
      <c r="AD121" s="16"/>
      <c r="AE121" s="30"/>
      <c r="AF121" s="30"/>
      <c r="AG121" s="30"/>
    </row>
    <row r="122" spans="1:33" ht="26.4">
      <c r="A122" s="25"/>
      <c r="B122" s="25" t="s">
        <v>29</v>
      </c>
      <c r="C122" s="25" t="s">
        <v>310</v>
      </c>
      <c r="D122" s="25">
        <v>8</v>
      </c>
      <c r="E122" s="70" t="s">
        <v>1202</v>
      </c>
      <c r="F122" s="70" t="s">
        <v>1207</v>
      </c>
      <c r="G122" s="64" t="s">
        <v>1208</v>
      </c>
      <c r="H122" s="64" t="str">
        <f ca="1">IFERROR(__xludf.dummyfunction("IFERROR(
  VLOOKUP(G122, IMPORTRANGE(""https://docs.google.com/spreadsheets/d/14deopnvwcrKtEGCKuYXdUHJbeLDZlkiSSWWT0g7x2pM/edit#gid=849066331"", ""LU List Maths (Filter)!A:B""), 2, FALSE),
  IFERROR(
    VLOOKUP(G122, IMPORTRANGE(""https://docs.google.com"&amp;"/spreadsheets/d/14deopnvwcrKtEGCKuYXdUHJbeLDZlkiSSWWT0g7x2pM/edit#gid=849066331"", ""LU List Science (Filter)!A:B""), 2, FALSE),
    ""Not Found""
  )
)
"),"Sum of the measures of the exterior angles of a polygon")</f>
        <v>Sum of the measures of the exterior angles of a polygon</v>
      </c>
      <c r="I122" s="64"/>
      <c r="J122" s="100" t="str">
        <f t="shared" si="18"/>
        <v>LU000591.001</v>
      </c>
      <c r="K122" s="100" t="str">
        <f ca="1">IFERROR(__xludf.dummyfunction("VLOOKUP(J122, IMPORTRANGE(""https://docs.google.com/spreadsheets/d/1yDAaXNsi4Mr5FtRQL4tbmSdIzhx6_m4wkOD7IG-k_eo/edit#gid=0"", ""Maths!M:N""), 2, FALSE)"),"State the exterior angle property for polygons.")</f>
        <v>State the exterior angle property for polygons.</v>
      </c>
      <c r="L122" s="100" t="str">
        <f t="shared" si="19"/>
        <v>LU000591.002</v>
      </c>
      <c r="M122" s="100" t="str">
        <f ca="1">IFERROR(__xludf.dummyfunction("VLOOKUP(L122, IMPORTRANGE(""https://docs.google.com/spreadsheets/d/1yDAaXNsi4Mr5FtRQL4tbmSdIzhx6_m4wkOD7IG-k_eo/edit#gid=0"", ""Maths!M:N""), 2, FALSE)"),"Describe the geometric principle that results in the total exterior angles of a polygon being 360 degrees.")</f>
        <v>Describe the geometric principle that results in the total exterior angles of a polygon being 360 degrees.</v>
      </c>
      <c r="N122" s="100" t="str">
        <f t="shared" si="20"/>
        <v>LU000591.003</v>
      </c>
      <c r="O122" s="100" t="str">
        <f ca="1">IFERROR(__xludf.dummyfunction("VLOOKUP(N122, IMPORTRANGE(""https://docs.google.com/spreadsheets/d/1yDAaXNsi4Mr5FtRQL4tbmSdIzhx6_m4wkOD7IG-k_eo/edit#gid=0"", ""Maths!M:N""), 2, FALSE)"),"Apply the exterior angle sum property to find the measure of an exterior angle in a given polygon.")</f>
        <v>Apply the exterior angle sum property to find the measure of an exterior angle in a given polygon.</v>
      </c>
      <c r="P122" s="100" t="str">
        <f t="shared" si="21"/>
        <v>LU000591.004</v>
      </c>
      <c r="Q122" s="100" t="str">
        <f ca="1">IFERROR(__xludf.dummyfunction("VLOOKUP(P122, IMPORTRANGE(""https://docs.google.com/spreadsheets/d/1yDAaXNsi4Mr5FtRQL4tbmSdIzhx6_m4wkOD7IG-k_eo/edit#gid=0"", ""Maths!M:N""), 2, FALSE)"),"Analyse how the exterior angle sum property is consistent across polygons.")</f>
        <v>Analyse how the exterior angle sum property is consistent across polygons.</v>
      </c>
      <c r="R122" s="100" t="str">
        <f t="shared" si="22"/>
        <v>LU000591.005</v>
      </c>
      <c r="S122" s="100" t="str">
        <f ca="1">IFERROR(__xludf.dummyfunction("VLOOKUP(R122, IMPORTRANGE(""https://docs.google.com/spreadsheets/d/1yDAaXNsi4Mr5FtRQL4tbmSdIzhx6_m4wkOD7IG-k_eo/edit#gid=0"", ""Maths!M:N""), 2, FALSE)"),"Evaluate whether a given set of exterior angles can form a valid polygon.")</f>
        <v>Evaluate whether a given set of exterior angles can form a valid polygon.</v>
      </c>
      <c r="T122" s="100" t="str">
        <f t="shared" si="23"/>
        <v>LU000591.006</v>
      </c>
      <c r="U122" s="100" t="str">
        <f ca="1">IFERROR(__xludf.dummyfunction("VLOOKUP(T122, IMPORTRANGE(""https://docs.google.com/spreadsheets/d/1yDAaXNsi4Mr5FtRQL4tbmSdIzhx6_m4wkOD7IG-k_eo/edit#gid=0"", ""Maths!M:N""), 2, FALSE)"),"Create a visual representation demonstrating the exterior angles of a polygon forming a complete rotation.")</f>
        <v>Create a visual representation demonstrating the exterior angles of a polygon forming a complete rotation.</v>
      </c>
      <c r="V122" s="16">
        <f ca="1">IFERROR(__xludf.dummyfunction("ArrayFormula(VLOOKUP(G122, IMPORTRANGE(""https://docs.google.com/spreadsheets/d/1p7R4vtkWt5VOBim4ltsDG9KTzSjrtKXsMtQGXPHyND0/edit#gid=795171502"", ""'Filter 30_05_2024'!A1:M2000""), {2, 3, 4, 5,6,7,8,9,10,11,12,13}, 0))"),4)</f>
        <v>4</v>
      </c>
      <c r="W122" s="16">
        <f ca="1">IFERROR(__xludf.dummyfunction("""COMPUTED_VALUE"""),6)</f>
        <v>6</v>
      </c>
      <c r="X122" s="16">
        <f ca="1">IFERROR(__xludf.dummyfunction("""COMPUTED_VALUE"""),2)</f>
        <v>2</v>
      </c>
      <c r="Y122" s="16">
        <f ca="1">IFERROR(__xludf.dummyfunction("""COMPUTED_VALUE"""),12)</f>
        <v>12</v>
      </c>
      <c r="Z122" s="16">
        <f ca="1">IFERROR(__xludf.dummyfunction("""COMPUTED_VALUE"""),4)</f>
        <v>4</v>
      </c>
      <c r="AA122" s="30">
        <f ca="1">IFERROR(__xludf.dummyfunction("""COMPUTED_VALUE"""),3)</f>
        <v>3</v>
      </c>
      <c r="AB122" s="30">
        <f ca="1">IFERROR(__xludf.dummyfunction("""COMPUTED_VALUE"""),1)</f>
        <v>1</v>
      </c>
      <c r="AC122" s="30">
        <f ca="1">IFERROR(__xludf.dummyfunction("""COMPUTED_VALUE"""),8)</f>
        <v>8</v>
      </c>
      <c r="AD122" s="16"/>
      <c r="AE122" s="30"/>
      <c r="AF122" s="30"/>
      <c r="AG122" s="30"/>
    </row>
    <row r="123" spans="1:33" ht="26.4">
      <c r="A123" s="25"/>
      <c r="B123" s="25" t="s">
        <v>29</v>
      </c>
      <c r="C123" s="25" t="s">
        <v>310</v>
      </c>
      <c r="D123" s="25">
        <v>8</v>
      </c>
      <c r="E123" s="70" t="s">
        <v>1202</v>
      </c>
      <c r="F123" s="70" t="s">
        <v>1207</v>
      </c>
      <c r="G123" s="64" t="s">
        <v>1209</v>
      </c>
      <c r="H123" s="64" t="str">
        <f ca="1">IFERROR(__xludf.dummyfunction("IFERROR(
  VLOOKUP(G123, IMPORTRANGE(""https://docs.google.com/spreadsheets/d/14deopnvwcrKtEGCKuYXdUHJbeLDZlkiSSWWT0g7x2pM/edit#gid=849066331"", ""LU List Maths (Filter)!A:B""), 2, FALSE),
  IFERROR(
    VLOOKUP(G123, IMPORTRANGE(""https://docs.google.com"&amp;"/spreadsheets/d/14deopnvwcrKtEGCKuYXdUHJbeLDZlkiSSWWT0g7x2pM/edit#gid=849066331"", ""LU List Science (Filter)!A:B""), 2, FALSE),
    ""Not Found""
  )
)
"),"Measure of each angle of a regular polygon of 'n' sides")</f>
        <v>Measure of each angle of a regular polygon of 'n' sides</v>
      </c>
      <c r="I123" s="64"/>
      <c r="J123" s="100" t="str">
        <f t="shared" si="18"/>
        <v>LU000590.001</v>
      </c>
      <c r="K123" s="100" t="str">
        <f ca="1">IFERROR(__xludf.dummyfunction("VLOOKUP(J123, IMPORTRANGE(""https://docs.google.com/spreadsheets/d/1yDAaXNsi4Mr5FtRQL4tbmSdIzhx6_m4wkOD7IG-k_eo/edit#gid=0"", ""Maths!M:N""), 2, FALSE)"),"State the formula to calculate each angle of a regular polygon with n sides.")</f>
        <v>State the formula to calculate each angle of a regular polygon with n sides.</v>
      </c>
      <c r="L123" s="100" t="str">
        <f t="shared" si="19"/>
        <v>LU000590.002</v>
      </c>
      <c r="M123" s="100" t="str">
        <f ca="1">IFERROR(__xludf.dummyfunction("VLOOKUP(L123, IMPORTRANGE(""https://docs.google.com/spreadsheets/d/1yDAaXNsi4Mr5FtRQL4tbmSdIzhx6_m4wkOD7IG-k_eo/edit#gid=0"", ""Maths!M:N""), 2, FALSE)"),"Describe how the formula combines the number of sides and the interior angle sum of polygons.")</f>
        <v>Describe how the formula combines the number of sides and the interior angle sum of polygons.</v>
      </c>
      <c r="N123" s="100" t="str">
        <f t="shared" si="20"/>
        <v>LU000590.003</v>
      </c>
      <c r="O123" s="100" t="str">
        <f ca="1">IFERROR(__xludf.dummyfunction("VLOOKUP(N123, IMPORTRANGE(""https://docs.google.com/spreadsheets/d/1yDAaXNsi4Mr5FtRQL4tbmSdIzhx6_m4wkOD7IG-k_eo/edit#gid=0"", ""Maths!M:N""), 2, FALSE)"),"Apply the formula to calculate the measure of each angle in a given regular polygon.")</f>
        <v>Apply the formula to calculate the measure of each angle in a given regular polygon.</v>
      </c>
      <c r="P123" s="100" t="str">
        <f t="shared" si="21"/>
        <v>LU000590.004</v>
      </c>
      <c r="Q123" s="100" t="str">
        <f ca="1">IFERROR(__xludf.dummyfunction("VLOOKUP(P123, IMPORTRANGE(""https://docs.google.com/spreadsheets/d/1yDAaXNsi4Mr5FtRQL4tbmSdIzhx6_m4wkOD7IG-k_eo/edit#gid=0"", ""Maths!M:N""), 2, FALSE)"),"Analyse the relationship between the number of sides and the measure of each angle in regular polygons.")</f>
        <v>Analyse the relationship between the number of sides and the measure of each angle in regular polygons.</v>
      </c>
      <c r="R123" s="100" t="str">
        <f t="shared" si="22"/>
        <v>LU000590.005</v>
      </c>
      <c r="S123" s="100" t="str">
        <f ca="1">IFERROR(__xludf.dummyfunction("VLOOKUP(R123, IMPORTRANGE(""https://docs.google.com/spreadsheets/d/1yDAaXNsi4Mr5FtRQL4tbmSdIzhx6_m4wkOD7IG-k_eo/edit#gid=0"", ""Maths!M:N""), 2, FALSE)"),"Evaluate the accuracy of the formula for finding the measure of each angle in a regular polygon.")</f>
        <v>Evaluate the accuracy of the formula for finding the measure of each angle in a regular polygon.</v>
      </c>
      <c r="T123" s="100" t="str">
        <f t="shared" si="23"/>
        <v>LU000590.006</v>
      </c>
      <c r="U123" s="100" t="str">
        <f ca="1">IFERROR(__xludf.dummyfunction("VLOOKUP(T123, IMPORTRANGE(""https://docs.google.com/spreadsheets/d/1yDAaXNsi4Mr5FtRQL4tbmSdIzhx6_m4wkOD7IG-k_eo/edit#gid=0"", ""Maths!M:N""), 2, FALSE)"),"#N/A")</f>
        <v>#N/A</v>
      </c>
      <c r="V123" s="16">
        <f ca="1">IFERROR(__xludf.dummyfunction("ArrayFormula(VLOOKUP(G123, IMPORTRANGE(""https://docs.google.com/spreadsheets/d/1p7R4vtkWt5VOBim4ltsDG9KTzSjrtKXsMtQGXPHyND0/edit#gid=795171502"", ""'Filter 30_05_2024'!A1:M2000""), {2, 3, 4, 5,6,7,8,9,10,11,12,13}, 0))"),4)</f>
        <v>4</v>
      </c>
      <c r="W123" s="16">
        <f ca="1">IFERROR(__xludf.dummyfunction("""COMPUTED_VALUE"""),6)</f>
        <v>6</v>
      </c>
      <c r="X123" s="16">
        <f ca="1">IFERROR(__xludf.dummyfunction("""COMPUTED_VALUE"""),2)</f>
        <v>2</v>
      </c>
      <c r="Y123" s="16">
        <f ca="1">IFERROR(__xludf.dummyfunction("""COMPUTED_VALUE"""),12)</f>
        <v>12</v>
      </c>
      <c r="Z123" s="16">
        <f ca="1">IFERROR(__xludf.dummyfunction("""COMPUTED_VALUE"""),4)</f>
        <v>4</v>
      </c>
      <c r="AA123" s="30">
        <f ca="1">IFERROR(__xludf.dummyfunction("""COMPUTED_VALUE"""),3)</f>
        <v>3</v>
      </c>
      <c r="AB123" s="30">
        <f ca="1">IFERROR(__xludf.dummyfunction("""COMPUTED_VALUE"""),1)</f>
        <v>1</v>
      </c>
      <c r="AC123" s="30">
        <f ca="1">IFERROR(__xludf.dummyfunction("""COMPUTED_VALUE"""),8)</f>
        <v>8</v>
      </c>
      <c r="AD123" s="16"/>
      <c r="AE123" s="30"/>
      <c r="AF123" s="30"/>
      <c r="AG123" s="30"/>
    </row>
    <row r="124" spans="1:33" ht="26.4">
      <c r="A124" s="25"/>
      <c r="B124" s="25" t="s">
        <v>29</v>
      </c>
      <c r="C124" s="25" t="s">
        <v>310</v>
      </c>
      <c r="D124" s="25">
        <v>8</v>
      </c>
      <c r="E124" s="70" t="s">
        <v>1202</v>
      </c>
      <c r="F124" s="70" t="s">
        <v>1210</v>
      </c>
      <c r="G124" s="64" t="s">
        <v>1211</v>
      </c>
      <c r="H124" s="64" t="str">
        <f ca="1">IFERROR(__xludf.dummyfunction("IFERROR(
  VLOOKUP(G124, IMPORTRANGE(""https://docs.google.com/spreadsheets/d/14deopnvwcrKtEGCKuYXdUHJbeLDZlkiSSWWT0g7x2pM/edit#gid=849066331"", ""LU List Maths (Filter)!A:B""), 2, FALSE),
  IFERROR(
    VLOOKUP(G124, IMPORTRANGE(""https://docs.google.com"&amp;"/spreadsheets/d/14deopnvwcrKtEGCKuYXdUHJbeLDZlkiSSWWT0g7x2pM/edit#gid=849066331"", ""LU List Science (Filter)!A:B""), 2, FALSE),
    ""Not Found""
  )
)
"),"Properties of a parallelogram (related to its angles, sides and diagonals)")</f>
        <v>Properties of a parallelogram (related to its angles, sides and diagonals)</v>
      </c>
      <c r="I124" s="64"/>
      <c r="J124" s="100" t="str">
        <f t="shared" si="18"/>
        <v>LU000600.001</v>
      </c>
      <c r="K124" s="100" t="str">
        <f ca="1">IFERROR(__xludf.dummyfunction("VLOOKUP(J124, IMPORTRANGE(""https://docs.google.com/spreadsheets/d/1yDAaXNsi4Mr5FtRQL4tbmSdIzhx6_m4wkOD7IG-k_eo/edit#gid=0"", ""Maths!M:N""), 2, FALSE)"),"List the properties of a parallelogram related to its angles, sides and diagonals.")</f>
        <v>List the properties of a parallelogram related to its angles, sides and diagonals.</v>
      </c>
      <c r="L124" s="100" t="str">
        <f t="shared" si="19"/>
        <v>LU000600.002</v>
      </c>
      <c r="M124" s="100" t="str">
        <f ca="1">IFERROR(__xludf.dummyfunction("VLOOKUP(L124, IMPORTRANGE(""https://docs.google.com/spreadsheets/d/1yDAaXNsi4Mr5FtRQL4tbmSdIzhx6_m4wkOD7IG-k_eo/edit#gid=0"", ""Maths!M:N""), 2, FALSE)"),"Explain that adjacent angles in a parallelogram are supplementary, opposite angles and sides are equal and diagonals of a parallelogram bisect each other.")</f>
        <v>Explain that adjacent angles in a parallelogram are supplementary, opposite angles and sides are equal and diagonals of a parallelogram bisect each other.</v>
      </c>
      <c r="N124" s="100" t="str">
        <f t="shared" si="20"/>
        <v>LU000600.003</v>
      </c>
      <c r="O124" s="100" t="str">
        <f ca="1">IFERROR(__xludf.dummyfunction("VLOOKUP(N124, IMPORTRANGE(""https://docs.google.com/spreadsheets/d/1yDAaXNsi4Mr5FtRQL4tbmSdIzhx6_m4wkOD7IG-k_eo/edit#gid=0"", ""Maths!M:N""), 2, FALSE)"),"Apply the properties of a parallelogram to determine unknown angle measures.")</f>
        <v>Apply the properties of a parallelogram to determine unknown angle measures.</v>
      </c>
      <c r="P124" s="100" t="str">
        <f t="shared" si="21"/>
        <v>LU000600.004</v>
      </c>
      <c r="Q124" s="100" t="str">
        <f ca="1">IFERROR(__xludf.dummyfunction("VLOOKUP(P124, IMPORTRANGE(""https://docs.google.com/spreadsheets/d/1yDAaXNsi4Mr5FtRQL4tbmSdIzhx6_m4wkOD7IG-k_eo/edit#gid=0"", ""Maths!M:N""), 2, FALSE)"),"Explain why adjacent angles in a parallelogram are supplementary, opposite angles and sides are equal and  diagonals of a parallelogram bisect each other.")</f>
        <v>Explain why adjacent angles in a parallelogram are supplementary, opposite angles and sides are equal and  diagonals of a parallelogram bisect each other.</v>
      </c>
      <c r="R124" s="100" t="str">
        <f t="shared" si="22"/>
        <v>LU000600.005</v>
      </c>
      <c r="S124" s="100" t="str">
        <f ca="1">IFERROR(__xludf.dummyfunction("VLOOKUP(R124, IMPORTRANGE(""https://docs.google.com/spreadsheets/d/1yDAaXNsi4Mr5FtRQL4tbmSdIzhx6_m4wkOD7IG-k_eo/edit#gid=0"", ""Maths!M:N""), 2, FALSE)"),"Evaluate the validity of statements involving the properties of the parallelogram related to its angles, sides and diagonals.")</f>
        <v>Evaluate the validity of statements involving the properties of the parallelogram related to its angles, sides and diagonals.</v>
      </c>
      <c r="T124" s="100" t="str">
        <f t="shared" si="23"/>
        <v>LU000600.006</v>
      </c>
      <c r="U124" s="100" t="str">
        <f ca="1">IFERROR(__xludf.dummyfunction("VLOOKUP(T124, IMPORTRANGE(""https://docs.google.com/spreadsheets/d/1yDAaXNsi4Mr5FtRQL4tbmSdIzhx6_m4wkOD7IG-k_eo/edit#gid=0"", ""Maths!M:N""), 2, FALSE)"),"Design a visual representation illustrating the properties of a parallelogram.")</f>
        <v>Design a visual representation illustrating the properties of a parallelogram.</v>
      </c>
      <c r="V124" s="16">
        <f ca="1">IFERROR(__xludf.dummyfunction("ArrayFormula(VLOOKUP(G124, IMPORTRANGE(""https://docs.google.com/spreadsheets/d/1p7R4vtkWt5VOBim4ltsDG9KTzSjrtKXsMtQGXPHyND0/edit#gid=795171502"", ""'Filter 30_05_2024'!A1:M2000""), {2, 3, 4, 5,6,7,8,9,10,11,12,13}, 0))"),4)</f>
        <v>4</v>
      </c>
      <c r="W124" s="16">
        <f ca="1">IFERROR(__xludf.dummyfunction("""COMPUTED_VALUE"""),6)</f>
        <v>6</v>
      </c>
      <c r="X124" s="16">
        <f ca="1">IFERROR(__xludf.dummyfunction("""COMPUTED_VALUE"""),2)</f>
        <v>2</v>
      </c>
      <c r="Y124" s="16">
        <f ca="1">IFERROR(__xludf.dummyfunction("""COMPUTED_VALUE"""),12)</f>
        <v>12</v>
      </c>
      <c r="Z124" s="16">
        <f ca="1">IFERROR(__xludf.dummyfunction("""COMPUTED_VALUE"""),4)</f>
        <v>4</v>
      </c>
      <c r="AA124" s="30">
        <f ca="1">IFERROR(__xludf.dummyfunction("""COMPUTED_VALUE"""),4)</f>
        <v>4</v>
      </c>
      <c r="AB124" s="30">
        <f ca="1">IFERROR(__xludf.dummyfunction("""COMPUTED_VALUE"""),1)</f>
        <v>1</v>
      </c>
      <c r="AC124" s="30">
        <f ca="1">IFERROR(__xludf.dummyfunction("""COMPUTED_VALUE"""),9)</f>
        <v>9</v>
      </c>
      <c r="AD124" s="16"/>
      <c r="AE124" s="30"/>
      <c r="AF124" s="30"/>
      <c r="AG124" s="30"/>
    </row>
    <row r="125" spans="1:33" ht="26.4">
      <c r="A125" s="25"/>
      <c r="B125" s="25" t="s">
        <v>29</v>
      </c>
      <c r="C125" s="25" t="s">
        <v>310</v>
      </c>
      <c r="D125" s="25">
        <v>8</v>
      </c>
      <c r="E125" s="70" t="s">
        <v>1202</v>
      </c>
      <c r="F125" s="70" t="s">
        <v>1212</v>
      </c>
      <c r="G125" s="64" t="s">
        <v>1213</v>
      </c>
      <c r="H125" s="64" t="str">
        <f ca="1">IFERROR(__xludf.dummyfunction("IFERROR(
  VLOOKUP(G125, IMPORTRANGE(""https://docs.google.com/spreadsheets/d/14deopnvwcrKtEGCKuYXdUHJbeLDZlkiSSWWT0g7x2pM/edit#gid=849066331"", ""LU List Maths (Filter)!A:B""), 2, FALSE),
  IFERROR(
    VLOOKUP(G125, IMPORTRANGE(""https://docs.google.com"&amp;"/spreadsheets/d/14deopnvwcrKtEGCKuYXdUHJbeLDZlkiSSWWT0g7x2pM/edit#gid=849066331"", ""LU List Science (Filter)!A:B""), 2, FALSE),
    ""Not Found""
  )
)
"),"Properties of a rhombus (related to its diagonals, sides and angles)")</f>
        <v>Properties of a rhombus (related to its diagonals, sides and angles)</v>
      </c>
      <c r="I125" s="64"/>
      <c r="J125" s="100" t="str">
        <f t="shared" si="18"/>
        <v>LU000604.001</v>
      </c>
      <c r="K125" s="100" t="str">
        <f ca="1">IFERROR(__xludf.dummyfunction("VLOOKUP(J125, IMPORTRANGE(""https://docs.google.com/spreadsheets/d/1yDAaXNsi4Mr5FtRQL4tbmSdIzhx6_m4wkOD7IG-k_eo/edit#gid=0"", ""Maths!M:N""), 2, FALSE)"),"List the properties of a rhombus.")</f>
        <v>List the properties of a rhombus.</v>
      </c>
      <c r="L125" s="100" t="str">
        <f t="shared" si="19"/>
        <v>LU000604.002</v>
      </c>
      <c r="M125" s="100" t="str">
        <f ca="1">IFERROR(__xludf.dummyfunction("VLOOKUP(L125, IMPORTRANGE(""https://docs.google.com/spreadsheets/d/1yDAaXNsi4Mr5FtRQL4tbmSdIzhx6_m4wkOD7IG-k_eo/edit#gid=0"", ""Maths!M:N""), 2, FALSE)"),"Describe the geometric reasoning behind the properties of a rhombus ")</f>
        <v xml:space="preserve">Describe the geometric reasoning behind the properties of a rhombus </v>
      </c>
      <c r="N125" s="100" t="str">
        <f t="shared" si="20"/>
        <v>LU000604.003</v>
      </c>
      <c r="O125" s="100" t="str">
        <f ca="1">IFERROR(__xludf.dummyfunction("VLOOKUP(N125, IMPORTRANGE(""https://docs.google.com/spreadsheets/d/1yDAaXNsi4Mr5FtRQL4tbmSdIzhx6_m4wkOD7IG-k_eo/edit#gid=0"", ""Maths!M:N""), 2, FALSE)"),"Apply the properties of a rhombus to determine the lengths of unknown sides.")</f>
        <v>Apply the properties of a rhombus to determine the lengths of unknown sides.</v>
      </c>
      <c r="P125" s="100" t="str">
        <f t="shared" si="21"/>
        <v>LU000604.004</v>
      </c>
      <c r="Q125" s="100" t="str">
        <f ca="1">IFERROR(__xludf.dummyfunction("VLOOKUP(P125, IMPORTRANGE(""https://docs.google.com/spreadsheets/d/1yDAaXNsi4Mr5FtRQL4tbmSdIzhx6_m4wkOD7IG-k_eo/edit#gid=0"", ""Maths!M:N""), 2, FALSE)")," Analyze complex problems by breaking down the use of rhombus properties")</f>
        <v xml:space="preserve"> Analyze complex problems by breaking down the use of rhombus properties</v>
      </c>
      <c r="R125" s="100" t="str">
        <f t="shared" si="22"/>
        <v>LU000604.005</v>
      </c>
      <c r="S125" s="100" t="str">
        <f ca="1">IFERROR(__xludf.dummyfunction("VLOOKUP(R125, IMPORTRANGE(""https://docs.google.com/spreadsheets/d/1yDAaXNsi4Mr5FtRQL4tbmSdIzhx6_m4wkOD7IG-k_eo/edit#gid=0"", ""Maths!M:N""), 2, FALSE)"),"#N/A")</f>
        <v>#N/A</v>
      </c>
      <c r="T125" s="100" t="str">
        <f t="shared" si="23"/>
        <v>LU000604.006</v>
      </c>
      <c r="U125" s="100" t="str">
        <f ca="1">IFERROR(__xludf.dummyfunction("VLOOKUP(T125, IMPORTRANGE(""https://docs.google.com/spreadsheets/d/1yDAaXNsi4Mr5FtRQL4tbmSdIzhx6_m4wkOD7IG-k_eo/edit#gid=0"", ""Maths!M:N""), 2, FALSE)")," Create new problems involving the properties of a rhombus, devise unique ways to apply these properties in real-world scenarios")</f>
        <v xml:space="preserve"> Create new problems involving the properties of a rhombus, devise unique ways to apply these properties in real-world scenarios</v>
      </c>
      <c r="V125" s="16">
        <f ca="1">IFERROR(__xludf.dummyfunction("ArrayFormula(VLOOKUP(G125, IMPORTRANGE(""https://docs.google.com/spreadsheets/d/1p7R4vtkWt5VOBim4ltsDG9KTzSjrtKXsMtQGXPHyND0/edit#gid=795171502"", ""'Filter 30_05_2024'!A1:M2000""), {2, 3, 4, 5,6,7,8,9,10,11,12,13}, 0))"),4)</f>
        <v>4</v>
      </c>
      <c r="W125" s="16">
        <f ca="1">IFERROR(__xludf.dummyfunction("""COMPUTED_VALUE"""),6)</f>
        <v>6</v>
      </c>
      <c r="X125" s="16">
        <f ca="1">IFERROR(__xludf.dummyfunction("""COMPUTED_VALUE"""),2)</f>
        <v>2</v>
      </c>
      <c r="Y125" s="16">
        <f ca="1">IFERROR(__xludf.dummyfunction("""COMPUTED_VALUE"""),12)</f>
        <v>12</v>
      </c>
      <c r="Z125" s="16">
        <f ca="1">IFERROR(__xludf.dummyfunction("""COMPUTED_VALUE"""),4)</f>
        <v>4</v>
      </c>
      <c r="AA125" s="30">
        <f ca="1">IFERROR(__xludf.dummyfunction("""COMPUTED_VALUE"""),3)</f>
        <v>3</v>
      </c>
      <c r="AB125" s="30">
        <f ca="1">IFERROR(__xludf.dummyfunction("""COMPUTED_VALUE"""),1)</f>
        <v>1</v>
      </c>
      <c r="AC125" s="30">
        <f ca="1">IFERROR(__xludf.dummyfunction("""COMPUTED_VALUE"""),8)</f>
        <v>8</v>
      </c>
      <c r="AD125" s="16"/>
      <c r="AE125" s="30"/>
      <c r="AF125" s="30"/>
      <c r="AG125" s="30"/>
    </row>
    <row r="126" spans="1:33" ht="26.4">
      <c r="A126" s="25"/>
      <c r="B126" s="25" t="s">
        <v>29</v>
      </c>
      <c r="C126" s="25" t="s">
        <v>310</v>
      </c>
      <c r="D126" s="25">
        <v>8</v>
      </c>
      <c r="E126" s="70" t="s">
        <v>1202</v>
      </c>
      <c r="F126" s="70" t="s">
        <v>1214</v>
      </c>
      <c r="G126" s="64" t="s">
        <v>1215</v>
      </c>
      <c r="H126" s="64" t="str">
        <f ca="1">IFERROR(__xludf.dummyfunction("IFERROR(
  VLOOKUP(G126, IMPORTRANGE(""https://docs.google.com/spreadsheets/d/14deopnvwcrKtEGCKuYXdUHJbeLDZlkiSSWWT0g7x2pM/edit#gid=849066331"", ""LU List Maths (Filter)!A:B""), 2, FALSE),
  IFERROR(
    VLOOKUP(G126, IMPORTRANGE(""https://docs.google.com"&amp;"/spreadsheets/d/14deopnvwcrKtEGCKuYXdUHJbeLDZlkiSSWWT0g7x2pM/edit#gid=849066331"", ""LU List Science (Filter)!A:B""), 2, FALSE),
    ""Not Found""
  )
)
"),"Properties of a rectangle (related to its sides, angles and diagonals)")</f>
        <v>Properties of a rectangle (related to its sides, angles and diagonals)</v>
      </c>
      <c r="I126" s="64"/>
      <c r="J126" s="100" t="str">
        <f t="shared" si="18"/>
        <v>LU000610.001</v>
      </c>
      <c r="K126" s="100" t="str">
        <f ca="1">IFERROR(__xludf.dummyfunction("VLOOKUP(J126, IMPORTRANGE(""https://docs.google.com/spreadsheets/d/1yDAaXNsi4Mr5FtRQL4tbmSdIzhx6_m4wkOD7IG-k_eo/edit#gid=0"", ""Maths!M:N""), 2, FALSE)"),"List the properties of a rectangle related to its sides, angles and diagonals")</f>
        <v>List the properties of a rectangle related to its sides, angles and diagonals</v>
      </c>
      <c r="L126" s="100" t="str">
        <f t="shared" si="19"/>
        <v>LU000610.002</v>
      </c>
      <c r="M126" s="100" t="str">
        <f ca="1">IFERROR(__xludf.dummyfunction("VLOOKUP(L126, IMPORTRANGE(""https://docs.google.com/spreadsheets/d/1yDAaXNsi4Mr5FtRQL4tbmSdIzhx6_m4wkOD7IG-k_eo/edit#gid=0"", ""Maths!M:N""), 2, FALSE)"),"Explain and interpret the properties of a rectangle")</f>
        <v>Explain and interpret the properties of a rectangle</v>
      </c>
      <c r="N126" s="100" t="str">
        <f t="shared" si="20"/>
        <v>LU000610.003</v>
      </c>
      <c r="O126" s="100" t="str">
        <f ca="1">IFERROR(__xludf.dummyfunction("VLOOKUP(N126, IMPORTRANGE(""https://docs.google.com/spreadsheets/d/1yDAaXNsi4Mr5FtRQL4tbmSdIzhx6_m4wkOD7IG-k_eo/edit#gid=0"", ""Maths!M:N""), 2, FALSE)"),"Apply the properties of a rectangle to solve problems involving side lengths.")</f>
        <v>Apply the properties of a rectangle to solve problems involving side lengths.</v>
      </c>
      <c r="P126" s="100" t="str">
        <f t="shared" si="21"/>
        <v>LU000610.004</v>
      </c>
      <c r="Q126" s="100" t="str">
        <f ca="1">IFERROR(__xludf.dummyfunction("VLOOKUP(P126, IMPORTRANGE(""https://docs.google.com/spreadsheets/d/1yDAaXNsi4Mr5FtRQL4tbmSdIzhx6_m4wkOD7IG-k_eo/edit#gid=0"", ""Maths!M:N""), 2, FALSE)"),"Break down complex problems involving rectangles to identify how the properties of sides, angles, and diagonals are used")</f>
        <v>Break down complex problems involving rectangles to identify how the properties of sides, angles, and diagonals are used</v>
      </c>
      <c r="R126" s="100" t="str">
        <f t="shared" si="22"/>
        <v>LU000610.005</v>
      </c>
      <c r="S126" s="100" t="str">
        <f ca="1">IFERROR(__xludf.dummyfunction("VLOOKUP(R126, IMPORTRANGE(""https://docs.google.com/spreadsheets/d/1yDAaXNsi4Mr5FtRQL4tbmSdIzhx6_m4wkOD7IG-k_eo/edit#gid=0"", ""Maths!M:N""), 2, FALSE)"),"#N/A")</f>
        <v>#N/A</v>
      </c>
      <c r="T126" s="100" t="str">
        <f t="shared" si="23"/>
        <v>LU000610.006</v>
      </c>
      <c r="U126" s="100" t="str">
        <f ca="1">IFERROR(__xludf.dummyfunction("VLOOKUP(T126, IMPORTRANGE(""https://docs.google.com/spreadsheets/d/1yDAaXNsi4Mr5FtRQL4tbmSdIzhx6_m4wkOD7IG-k_eo/edit#gid=0"", ""Maths!M:N""), 2, FALSE)"),"Design visual representations illustrating the properties of a rectangles")</f>
        <v>Design visual representations illustrating the properties of a rectangles</v>
      </c>
      <c r="V126" s="16">
        <f ca="1">IFERROR(__xludf.dummyfunction("ArrayFormula(VLOOKUP(G126, IMPORTRANGE(""https://docs.google.com/spreadsheets/d/1p7R4vtkWt5VOBim4ltsDG9KTzSjrtKXsMtQGXPHyND0/edit#gid=795171502"", ""'Filter 30_05_2024'!A1:M2000""), {2, 3, 4, 5,6,7,8,9,10,11,12,13}, 0))"),4)</f>
        <v>4</v>
      </c>
      <c r="W126" s="16">
        <f ca="1">IFERROR(__xludf.dummyfunction("""COMPUTED_VALUE"""),7)</f>
        <v>7</v>
      </c>
      <c r="X126" s="16">
        <f ca="1">IFERROR(__xludf.dummyfunction("""COMPUTED_VALUE"""),2)</f>
        <v>2</v>
      </c>
      <c r="Y126" s="16">
        <f ca="1">IFERROR(__xludf.dummyfunction("""COMPUTED_VALUE"""),13)</f>
        <v>13</v>
      </c>
      <c r="Z126" s="16">
        <f ca="1">IFERROR(__xludf.dummyfunction("""COMPUTED_VALUE"""),4)</f>
        <v>4</v>
      </c>
      <c r="AA126" s="30">
        <f ca="1">IFERROR(__xludf.dummyfunction("""COMPUTED_VALUE"""),3)</f>
        <v>3</v>
      </c>
      <c r="AB126" s="30">
        <f ca="1">IFERROR(__xludf.dummyfunction("""COMPUTED_VALUE"""),1)</f>
        <v>1</v>
      </c>
      <c r="AC126" s="30">
        <f ca="1">IFERROR(__xludf.dummyfunction("""COMPUTED_VALUE"""),8)</f>
        <v>8</v>
      </c>
      <c r="AD126" s="16"/>
      <c r="AE126" s="30"/>
      <c r="AF126" s="30"/>
      <c r="AG126" s="30"/>
    </row>
    <row r="127" spans="1:33" ht="26.4">
      <c r="A127" s="25"/>
      <c r="B127" s="25" t="s">
        <v>29</v>
      </c>
      <c r="C127" s="25" t="s">
        <v>310</v>
      </c>
      <c r="D127" s="25">
        <v>8</v>
      </c>
      <c r="E127" s="70" t="s">
        <v>1202</v>
      </c>
      <c r="F127" s="70" t="s">
        <v>1216</v>
      </c>
      <c r="G127" s="64" t="s">
        <v>1217</v>
      </c>
      <c r="H127" s="64" t="str">
        <f ca="1">IFERROR(__xludf.dummyfunction("IFERROR(
  VLOOKUP(G127, IMPORTRANGE(""https://docs.google.com/spreadsheets/d/14deopnvwcrKtEGCKuYXdUHJbeLDZlkiSSWWT0g7x2pM/edit#gid=849066331"", ""LU List Maths (Filter)!A:B""), 2, FALSE),
  IFERROR(
    VLOOKUP(G127, IMPORTRANGE(""https://docs.google.com"&amp;"/spreadsheets/d/14deopnvwcrKtEGCKuYXdUHJbeLDZlkiSSWWT0g7x2pM/edit#gid=849066331"", ""LU List Science (Filter)!A:B""), 2, FALSE),
    ""Not Found""
  )
)
"),"Properties of a square (related to its angles, sides and diagonals)")</f>
        <v>Properties of a square (related to its angles, sides and diagonals)</v>
      </c>
      <c r="I127" s="64"/>
      <c r="J127" s="100" t="str">
        <f t="shared" si="18"/>
        <v>LU000607.001</v>
      </c>
      <c r="K127" s="100" t="str">
        <f ca="1">IFERROR(__xludf.dummyfunction("VLOOKUP(J127, IMPORTRANGE(""https://docs.google.com/spreadsheets/d/1yDAaXNsi4Mr5FtRQL4tbmSdIzhx6_m4wkOD7IG-k_eo/edit#gid=0"", ""Maths!M:N""), 2, FALSE)"),"List the properties of a square ")</f>
        <v xml:space="preserve">List the properties of a square </v>
      </c>
      <c r="L127" s="100" t="str">
        <f t="shared" si="19"/>
        <v>LU000607.002</v>
      </c>
      <c r="M127" s="100" t="str">
        <f ca="1">IFERROR(__xludf.dummyfunction("VLOOKUP(L127, IMPORTRANGE(""https://docs.google.com/spreadsheets/d/1yDAaXNsi4Mr5FtRQL4tbmSdIzhx6_m4wkOD7IG-k_eo/edit#gid=0"", ""Maths!M:N""), 2, FALSE)"),"Explain all the properties of a square")</f>
        <v>Explain all the properties of a square</v>
      </c>
      <c r="N127" s="100" t="str">
        <f t="shared" si="20"/>
        <v>LU000607.003</v>
      </c>
      <c r="O127" s="100" t="str">
        <f ca="1">IFERROR(__xludf.dummyfunction("VLOOKUP(N127, IMPORTRANGE(""https://docs.google.com/spreadsheets/d/1yDAaXNsi4Mr5FtRQL4tbmSdIzhx6_m4wkOD7IG-k_eo/edit#gid=0"", ""Maths!M:N""), 2, FALSE)"),"Apply the properties of a square to determine unknown angle measures.")</f>
        <v>Apply the properties of a square to determine unknown angle measures.</v>
      </c>
      <c r="P127" s="100" t="str">
        <f t="shared" si="21"/>
        <v>LU000607.004</v>
      </c>
      <c r="Q127" s="100" t="str">
        <f ca="1">IFERROR(__xludf.dummyfunction("VLOOKUP(P127, IMPORTRANGE(""https://docs.google.com/spreadsheets/d/1yDAaXNsi4Mr5FtRQL4tbmSdIzhx6_m4wkOD7IG-k_eo/edit#gid=0"", ""Maths!M:N""), 2, FALSE)"),"Break down more complex problems involving squares, distinguish between squares and other quadrilaterals based on their properties")</f>
        <v>Break down more complex problems involving squares, distinguish between squares and other quadrilaterals based on their properties</v>
      </c>
      <c r="R127" s="100" t="str">
        <f t="shared" si="22"/>
        <v>LU000607.005</v>
      </c>
      <c r="S127" s="100" t="str">
        <f ca="1">IFERROR(__xludf.dummyfunction("VLOOKUP(R127, IMPORTRANGE(""https://docs.google.com/spreadsheets/d/1yDAaXNsi4Mr5FtRQL4tbmSdIzhx6_m4wkOD7IG-k_eo/edit#gid=0"", ""Maths!M:N""), 2, FALSE)"),"Assess different methods of solving problems involving squares, evaluate the accuracy of solutions")</f>
        <v>Assess different methods of solving problems involving squares, evaluate the accuracy of solutions</v>
      </c>
      <c r="T127" s="100" t="str">
        <f t="shared" si="23"/>
        <v>LU000607.006</v>
      </c>
      <c r="U127" s="100" t="str">
        <f ca="1">IFERROR(__xludf.dummyfunction("VLOOKUP(T127, IMPORTRANGE(""https://docs.google.com/spreadsheets/d/1yDAaXNsi4Mr5FtRQL4tbmSdIzhx6_m4wkOD7IG-k_eo/edit#gid=0"", ""Maths!M:N""), 2, FALSE)"),"Develop new problems or scenarios that involve the properties of squares, create designs or models using squares")</f>
        <v>Develop new problems or scenarios that involve the properties of squares, create designs or models using squares</v>
      </c>
      <c r="V127" s="16">
        <f ca="1">IFERROR(__xludf.dummyfunction("ArrayFormula(VLOOKUP(G127, IMPORTRANGE(""https://docs.google.com/spreadsheets/d/1p7R4vtkWt5VOBim4ltsDG9KTzSjrtKXsMtQGXPHyND0/edit#gid=795171502"", ""'Filter 30_05_2024'!A1:M2000""), {2, 3, 4, 5,6,7,8,9,10,11,12,13}, 0))"),5)</f>
        <v>5</v>
      </c>
      <c r="W127" s="16">
        <f ca="1">IFERROR(__xludf.dummyfunction("""COMPUTED_VALUE"""),6)</f>
        <v>6</v>
      </c>
      <c r="X127" s="16">
        <f ca="1">IFERROR(__xludf.dummyfunction("""COMPUTED_VALUE"""),2)</f>
        <v>2</v>
      </c>
      <c r="Y127" s="16">
        <f ca="1">IFERROR(__xludf.dummyfunction("""COMPUTED_VALUE"""),13)</f>
        <v>13</v>
      </c>
      <c r="Z127" s="16">
        <f ca="1">IFERROR(__xludf.dummyfunction("""COMPUTED_VALUE"""),4)</f>
        <v>4</v>
      </c>
      <c r="AA127" s="30">
        <f ca="1">IFERROR(__xludf.dummyfunction("""COMPUTED_VALUE"""),3)</f>
        <v>3</v>
      </c>
      <c r="AB127" s="30">
        <f ca="1">IFERROR(__xludf.dummyfunction("""COMPUTED_VALUE"""),1)</f>
        <v>1</v>
      </c>
      <c r="AC127" s="30">
        <f ca="1">IFERROR(__xludf.dummyfunction("""COMPUTED_VALUE"""),8)</f>
        <v>8</v>
      </c>
      <c r="AD127" s="16"/>
      <c r="AE127" s="30"/>
      <c r="AF127" s="30"/>
      <c r="AG127" s="30"/>
    </row>
    <row r="128" spans="1:33" ht="26.4">
      <c r="A128" s="25"/>
      <c r="B128" s="25" t="s">
        <v>29</v>
      </c>
      <c r="C128" s="25" t="s">
        <v>310</v>
      </c>
      <c r="D128" s="25">
        <v>8</v>
      </c>
      <c r="E128" s="70" t="s">
        <v>1202</v>
      </c>
      <c r="F128" s="70" t="s">
        <v>1218</v>
      </c>
      <c r="G128" s="87" t="s">
        <v>1219</v>
      </c>
      <c r="H128" s="64" t="str">
        <f ca="1">IFERROR(__xludf.dummyfunction("IFERROR(
  VLOOKUP(G128, IMPORTRANGE(""https://docs.google.com/spreadsheets/d/14deopnvwcrKtEGCKuYXdUHJbeLDZlkiSSWWT0g7x2pM/edit#gid=849066331"", ""LU List Maths (Filter)!A:B""), 2, FALSE),
  IFERROR(
    VLOOKUP(G128, IMPORTRANGE(""https://docs.google.com"&amp;"/spreadsheets/d/14deopnvwcrKtEGCKuYXdUHJbeLDZlkiSSWWT0g7x2pM/edit#gid=849066331"", ""LU List Science (Filter)!A:B""), 2, FALSE),
    ""Not Found""
  )
)
"),"Properties of trapezium")</f>
        <v>Properties of trapezium</v>
      </c>
      <c r="I128" s="64"/>
      <c r="J128" s="100" t="str">
        <f t="shared" si="18"/>
        <v>LU000911.001</v>
      </c>
      <c r="K128" s="100" t="str">
        <f ca="1">IFERROR(__xludf.dummyfunction("VLOOKUP(J128, IMPORTRANGE(""https://docs.google.com/spreadsheets/d/1yDAaXNsi4Mr5FtRQL4tbmSdIzhx6_m4wkOD7IG-k_eo/edit#gid=0"", ""Maths!M:N""), 2, FALSE)"),"State the basic properties of a trapezium")</f>
        <v>State the basic properties of a trapezium</v>
      </c>
      <c r="L128" s="100" t="str">
        <f t="shared" si="19"/>
        <v>LU000911.002</v>
      </c>
      <c r="M128" s="100" t="str">
        <f ca="1">IFERROR(__xludf.dummyfunction("VLOOKUP(L128, IMPORTRANGE(""https://docs.google.com/spreadsheets/d/1yDAaXNsi4Mr5FtRQL4tbmSdIzhx6_m4wkOD7IG-k_eo/edit#gid=0"", ""Maths!M:N""), 2, FALSE)"),"Explain the characteristics of a trapezium")</f>
        <v>Explain the characteristics of a trapezium</v>
      </c>
      <c r="N128" s="100" t="str">
        <f t="shared" si="20"/>
        <v>LU000911.003</v>
      </c>
      <c r="O128" s="100" t="str">
        <f ca="1">IFERROR(__xludf.dummyfunction("VLOOKUP(N128, IMPORTRANGE(""https://docs.google.com/spreadsheets/d/1yDAaXNsi4Mr5FtRQL4tbmSdIzhx6_m4wkOD7IG-k_eo/edit#gid=0"", ""Maths!M:N""), 2, FALSE)"),"Apply the properties of a trapezium to solve problems (such as finding the length of sides)")</f>
        <v>Apply the properties of a trapezium to solve problems (such as finding the length of sides)</v>
      </c>
      <c r="P128" s="100" t="str">
        <f t="shared" si="21"/>
        <v>LU000911.004</v>
      </c>
      <c r="Q128" s="100" t="str">
        <f ca="1">IFERROR(__xludf.dummyfunction("VLOOKUP(P128, IMPORTRANGE(""https://docs.google.com/spreadsheets/d/1yDAaXNsi4Mr5FtRQL4tbmSdIzhx6_m4wkOD7IG-k_eo/edit#gid=0"", ""Maths!M:N""), 2, FALSE)"),"Investigate the properties of trapeziums, focusing on relationships between angles, sides, and their implications in various contexts.")</f>
        <v>Investigate the properties of trapeziums, focusing on relationships between angles, sides, and their implications in various contexts.</v>
      </c>
      <c r="R128" s="100" t="str">
        <f t="shared" si="22"/>
        <v>LU000911.005</v>
      </c>
      <c r="S128" s="100" t="str">
        <f ca="1">IFERROR(__xludf.dummyfunction("VLOOKUP(R128, IMPORTRANGE(""https://docs.google.com/spreadsheets/d/1yDAaXNsi4Mr5FtRQL4tbmSdIzhx6_m4wkOD7IG-k_eo/edit#gid=0"", ""Maths!M:N""), 2, FALSE)"),"Evaluate the relevance and effectiveness of using trapezium properties in problem-solving")</f>
        <v>Evaluate the relevance and effectiveness of using trapezium properties in problem-solving</v>
      </c>
      <c r="T128" s="100" t="str">
        <f t="shared" si="23"/>
        <v>LU000911.006</v>
      </c>
      <c r="U128" s="100" t="str">
        <f ca="1">IFERROR(__xludf.dummyfunction("VLOOKUP(T128, IMPORTRANGE(""https://docs.google.com/spreadsheets/d/1yDAaXNsi4Mr5FtRQL4tbmSdIzhx6_m4wkOD7IG-k_eo/edit#gid=0"", ""Maths!M:N""), 2, FALSE)"),"Create new problems or scenarios involving trapeziums, design complex shapes using trapeziums as a fundamental element")</f>
        <v>Create new problems or scenarios involving trapeziums, design complex shapes using trapeziums as a fundamental element</v>
      </c>
      <c r="V128" s="16">
        <f ca="1">IFERROR(__xludf.dummyfunction("ArrayFormula(VLOOKUP(G128, IMPORTRANGE(""https://docs.google.com/spreadsheets/d/1p7R4vtkWt5VOBim4ltsDG9KTzSjrtKXsMtQGXPHyND0/edit#gid=795171502"", ""'Filter 30_05_2024'!A1:M2000""), {2, 3, 4, 5,6,7,8,9,10,11,12,13}, 0))"),4)</f>
        <v>4</v>
      </c>
      <c r="W128" s="16">
        <f ca="1">IFERROR(__xludf.dummyfunction("""COMPUTED_VALUE"""),6)</f>
        <v>6</v>
      </c>
      <c r="X128" s="16">
        <f ca="1">IFERROR(__xludf.dummyfunction("""COMPUTED_VALUE"""),2)</f>
        <v>2</v>
      </c>
      <c r="Y128" s="16">
        <f ca="1">IFERROR(__xludf.dummyfunction("""COMPUTED_VALUE"""),12)</f>
        <v>12</v>
      </c>
      <c r="Z128" s="16">
        <f ca="1">IFERROR(__xludf.dummyfunction("""COMPUTED_VALUE"""),4)</f>
        <v>4</v>
      </c>
      <c r="AA128" s="30">
        <f ca="1">IFERROR(__xludf.dummyfunction("""COMPUTED_VALUE"""),3)</f>
        <v>3</v>
      </c>
      <c r="AB128" s="30">
        <f ca="1">IFERROR(__xludf.dummyfunction("""COMPUTED_VALUE"""),1)</f>
        <v>1</v>
      </c>
      <c r="AC128" s="30">
        <f ca="1">IFERROR(__xludf.dummyfunction("""COMPUTED_VALUE"""),8)</f>
        <v>8</v>
      </c>
      <c r="AD128" s="16"/>
      <c r="AE128" s="30"/>
      <c r="AF128" s="30"/>
      <c r="AG128" s="30"/>
    </row>
    <row r="129" spans="1:33" ht="26.4">
      <c r="A129" s="25"/>
      <c r="B129" s="25" t="s">
        <v>29</v>
      </c>
      <c r="C129" s="25" t="s">
        <v>310</v>
      </c>
      <c r="D129" s="25">
        <v>8</v>
      </c>
      <c r="E129" s="70" t="s">
        <v>1202</v>
      </c>
      <c r="F129" s="70" t="s">
        <v>1220</v>
      </c>
      <c r="G129" s="64" t="s">
        <v>1221</v>
      </c>
      <c r="H129" s="64" t="str">
        <f ca="1">IFERROR(__xludf.dummyfunction("IFERROR(
  VLOOKUP(G129, IMPORTRANGE(""https://docs.google.com/spreadsheets/d/14deopnvwcrKtEGCKuYXdUHJbeLDZlkiSSWWT0g7x2pM/edit#gid=849066331"", ""LU List Maths (Filter)!A:B""), 2, FALSE),
  IFERROR(
    VLOOKUP(G129, IMPORTRANGE(""https://docs.google.com"&amp;"/spreadsheets/d/14deopnvwcrKtEGCKuYXdUHJbeLDZlkiSSWWT0g7x2pM/edit#gid=849066331"", ""LU List Science (Filter)!A:B""), 2, FALSE),
    ""Not Found""
  )
)
"),"Properties of a kite (related to its angles, sides and diagonals)")</f>
        <v>Properties of a kite (related to its angles, sides and diagonals)</v>
      </c>
      <c r="I129" s="64"/>
      <c r="J129" s="100" t="str">
        <f t="shared" si="18"/>
        <v>LU000601.001</v>
      </c>
      <c r="K129" s="100" t="str">
        <f ca="1">IFERROR(__xludf.dummyfunction("VLOOKUP(J129, IMPORTRANGE(""https://docs.google.com/spreadsheets/d/1yDAaXNsi4Mr5FtRQL4tbmSdIzhx6_m4wkOD7IG-k_eo/edit#gid=0"", ""Maths!M:N""), 2, FALSE)"),"List the properties of a kite related to its angles.")</f>
        <v>List the properties of a kite related to its angles.</v>
      </c>
      <c r="L129" s="100" t="str">
        <f t="shared" si="19"/>
        <v>LU000601.002</v>
      </c>
      <c r="M129" s="100" t="str">
        <f ca="1">IFERROR(__xludf.dummyfunction("VLOOKUP(L129, IMPORTRANGE(""https://docs.google.com/spreadsheets/d/1yDAaXNsi4Mr5FtRQL4tbmSdIzhx6_m4wkOD7IG-k_eo/edit#gid=0"", ""Maths!M:N""), 2, FALSE)"),"Explain why a kite has one pair of opposite angles that are congruent to each other.")</f>
        <v>Explain why a kite has one pair of opposite angles that are congruent to each other.</v>
      </c>
      <c r="N129" s="100" t="str">
        <f t="shared" si="20"/>
        <v>LU000601.003</v>
      </c>
      <c r="O129" s="100" t="str">
        <f ca="1">IFERROR(__xludf.dummyfunction("VLOOKUP(N129, IMPORTRANGE(""https://docs.google.com/spreadsheets/d/1yDAaXNsi4Mr5FtRQL4tbmSdIzhx6_m4wkOD7IG-k_eo/edit#gid=0"", ""Maths!M:N""), 2, FALSE)"),"Apply the properties of a kite's angles to determine unknown angle measures.")</f>
        <v>Apply the properties of a kite's angles to determine unknown angle measures.</v>
      </c>
      <c r="P129" s="100" t="str">
        <f t="shared" si="21"/>
        <v>LU000601.004</v>
      </c>
      <c r="Q129" s="100" t="str">
        <f ca="1">IFERROR(__xludf.dummyfunction("VLOOKUP(P129, IMPORTRANGE(""https://docs.google.com/spreadsheets/d/1yDAaXNsi4Mr5FtRQL4tbmSdIzhx6_m4wkOD7IG-k_eo/edit#gid=0"", ""Maths!M:N""), 2, FALSE)"),"Justify the claim that the angles between the sides of unequal length are equal.")</f>
        <v>Justify the claim that the angles between the sides of unequal length are equal.</v>
      </c>
      <c r="R129" s="100" t="str">
        <f t="shared" si="22"/>
        <v>LU000601.005</v>
      </c>
      <c r="S129" s="100" t="str">
        <f ca="1">IFERROR(__xludf.dummyfunction("VLOOKUP(R129, IMPORTRANGE(""https://docs.google.com/spreadsheets/d/1yDAaXNsi4Mr5FtRQL4tbmSdIzhx6_m4wkOD7IG-k_eo/edit#gid=0"", ""Maths!M:N""), 2, FALSE)"),"Evaluate the validity of statements involving the properties of the kite related to its angles.")</f>
        <v>Evaluate the validity of statements involving the properties of the kite related to its angles.</v>
      </c>
      <c r="T129" s="100" t="str">
        <f t="shared" si="23"/>
        <v>LU000601.006</v>
      </c>
      <c r="U129" s="100" t="str">
        <f ca="1">IFERROR(__xludf.dummyfunction("VLOOKUP(T129, IMPORTRANGE(""https://docs.google.com/spreadsheets/d/1yDAaXNsi4Mr5FtRQL4tbmSdIzhx6_m4wkOD7IG-k_eo/edit#gid=0"", ""Maths!M:N""), 2, FALSE)"),"Design a visual representation illustrating that the angles between the sides of unequal length are equal.")</f>
        <v>Design a visual representation illustrating that the angles between the sides of unequal length are equal.</v>
      </c>
      <c r="V129" s="16">
        <f ca="1">IFERROR(__xludf.dummyfunction("ArrayFormula(VLOOKUP(G129, IMPORTRANGE(""https://docs.google.com/spreadsheets/d/1p7R4vtkWt5VOBim4ltsDG9KTzSjrtKXsMtQGXPHyND0/edit#gid=795171502"", ""'Filter 30_05_2024'!A1:M2000""), {2, 3, 4, 5,6,7,8,9,10,11,12,13}, 0))"),4)</f>
        <v>4</v>
      </c>
      <c r="W129" s="16">
        <f ca="1">IFERROR(__xludf.dummyfunction("""COMPUTED_VALUE"""),6)</f>
        <v>6</v>
      </c>
      <c r="X129" s="16">
        <f ca="1">IFERROR(__xludf.dummyfunction("""COMPUTED_VALUE"""),2)</f>
        <v>2</v>
      </c>
      <c r="Y129" s="16">
        <f ca="1">IFERROR(__xludf.dummyfunction("""COMPUTED_VALUE"""),12)</f>
        <v>12</v>
      </c>
      <c r="Z129" s="16">
        <f ca="1">IFERROR(__xludf.dummyfunction("""COMPUTED_VALUE"""),4)</f>
        <v>4</v>
      </c>
      <c r="AA129" s="30">
        <f ca="1">IFERROR(__xludf.dummyfunction("""COMPUTED_VALUE"""),3)</f>
        <v>3</v>
      </c>
      <c r="AB129" s="30">
        <f ca="1">IFERROR(__xludf.dummyfunction("""COMPUTED_VALUE"""),1)</f>
        <v>1</v>
      </c>
      <c r="AC129" s="30">
        <f ca="1">IFERROR(__xludf.dummyfunction("""COMPUTED_VALUE"""),8)</f>
        <v>8</v>
      </c>
      <c r="AD129" s="16"/>
      <c r="AE129" s="30"/>
      <c r="AF129" s="30"/>
      <c r="AG129" s="30"/>
    </row>
    <row r="130" spans="1:33" ht="26.4">
      <c r="A130" s="43"/>
      <c r="B130" s="43" t="s">
        <v>29</v>
      </c>
      <c r="C130" s="43" t="s">
        <v>310</v>
      </c>
      <c r="D130" s="43">
        <v>8</v>
      </c>
      <c r="E130" s="74" t="s">
        <v>1001</v>
      </c>
      <c r="F130" s="74" t="s">
        <v>1222</v>
      </c>
      <c r="G130" s="73" t="s">
        <v>676</v>
      </c>
      <c r="H130" s="73" t="str">
        <f ca="1">IFERROR(__xludf.dummyfunction("IFERROR(
  VLOOKUP(G130, IMPORTRANGE(""https://docs.google.com/spreadsheets/d/14deopnvwcrKtEGCKuYXdUHJbeLDZlkiSSWWT0g7x2pM/edit#gid=849066331"", ""LU List Maths (Filter)!A:B""), 2, FALSE),
  IFERROR(
    VLOOKUP(G130, IMPORTRANGE(""https://docs.google.com"&amp;"/spreadsheets/d/14deopnvwcrKtEGCKuYXdUHJbeLDZlkiSSWWT0g7x2pM/edit#gid=849066331"", ""LU List Science (Filter)!A:B""), 2, FALSE),
    ""Not Found""
  )
)
"),"Lexical explanation of composite three dimensional shapes (made of cube/cuboids/spheres/cylinders/cones/prisms/triangular pyramids/square pyramids)")</f>
        <v>Lexical explanation of composite three dimensional shapes (made of cube/cuboids/spheres/cylinders/cones/prisms/triangular pyramids/square pyramids)</v>
      </c>
      <c r="I130" s="73"/>
      <c r="J130" s="100" t="str">
        <f t="shared" ref="J130:J161" si="24">G130 &amp; ".001"</f>
        <v>LU000555.001</v>
      </c>
      <c r="K130" s="100" t="str">
        <f ca="1">IFERROR(__xludf.dummyfunction("VLOOKUP(J130, IMPORTRANGE(""https://docs.google.com/spreadsheets/d/1yDAaXNsi4Mr5FtRQL4tbmSdIzhx6_m4wkOD7IG-k_eo/edit#gid=0"", ""Maths!M:N""), 2, FALSE)"),"State that composite 3D shapes are formed by combining multiple fundamental shapes (like cubes, spheres, cylinders, cones, prisms, triangular pyramids, and square pyramids).")</f>
        <v>State that composite 3D shapes are formed by combining multiple fundamental shapes (like cubes, spheres, cylinders, cones, prisms, triangular pyramids, and square pyramids).</v>
      </c>
      <c r="L130" s="100" t="str">
        <f t="shared" ref="L130:L161" si="25">G130 &amp; ".002"</f>
        <v>LU000555.002</v>
      </c>
      <c r="M130" s="100" t="str">
        <f ca="1">IFERROR(__xludf.dummyfunction("VLOOKUP(L130, IMPORTRANGE(""https://docs.google.com/spreadsheets/d/1yDAaXNsi4Mr5FtRQL4tbmSdIzhx6_m4wkOD7IG-k_eo/edit#gid=0"", ""Maths!M:N""), 2, FALSE)"),"Describe how composite 3D shapes are created by integrating multiple individual 3D shapes together, providing structural details.")</f>
        <v>Describe how composite 3D shapes are created by integrating multiple individual 3D shapes together, providing structural details.</v>
      </c>
      <c r="N130" s="100" t="str">
        <f t="shared" ref="N130:N161" si="26">G130 &amp; ".003"</f>
        <v>LU000555.003</v>
      </c>
      <c r="O130" s="100" t="str">
        <f ca="1">IFERROR(__xludf.dummyfunction("VLOOKUP(N130, IMPORTRANGE(""https://docs.google.com/spreadsheets/d/1yDAaXNsi4Mr5FtRQL4tbmSdIzhx6_m4wkOD7IG-k_eo/edit#gid=0"", ""Maths!M:N""), 2, FALSE)"),"Apply knowledge of composite solid shapes to identify faces, edges and vertices of composite 3D shape formed by combining various simpler shapes.")</f>
        <v>Apply knowledge of composite solid shapes to identify faces, edges and vertices of composite 3D shape formed by combining various simpler shapes.</v>
      </c>
      <c r="P130" s="100" t="str">
        <f t="shared" ref="P130:P161" si="27">G130 &amp; ".004"</f>
        <v>LU000555.004</v>
      </c>
      <c r="Q130" s="100" t="str">
        <f ca="1">IFERROR(__xludf.dummyfunction("VLOOKUP(P130, IMPORTRANGE(""https://docs.google.com/spreadsheets/d/1yDAaXNsi4Mr5FtRQL4tbmSdIzhx6_m4wkOD7IG-k_eo/edit#gid=0"", ""Maths!M:N""), 2, FALSE)"),"Analyse complex composite 3D shapes to deconstruct them into their constituent components and explain their arrangement.")</f>
        <v>Analyse complex composite 3D shapes to deconstruct them into their constituent components and explain their arrangement.</v>
      </c>
      <c r="R130" s="100" t="str">
        <f t="shared" ref="R130:R161" si="28">G130 &amp; ".005"</f>
        <v>LU000555.005</v>
      </c>
      <c r="S130" s="100" t="str">
        <f ca="1">IFERROR(__xludf.dummyfunction("VLOOKUP(R130, IMPORTRANGE(""https://docs.google.com/spreadsheets/d/1yDAaXNsi4Mr5FtRQL4tbmSdIzhx6_m4wkOD7IG-k_eo/edit#gid=0"", ""Maths!M:N""), 2, FALSE)"),"Evaluate the practical significance of understanding composite 3D shapes in real-world contexts.")</f>
        <v>Evaluate the practical significance of understanding composite 3D shapes in real-world contexts.</v>
      </c>
      <c r="T130" s="100" t="str">
        <f t="shared" ref="T130:T161" si="29">G130 &amp; ".006"</f>
        <v>LU000555.006</v>
      </c>
      <c r="U130" s="100" t="str">
        <f ca="1">IFERROR(__xludf.dummyfunction("VLOOKUP(T130, IMPORTRANGE(""https://docs.google.com/spreadsheets/d/1yDAaXNsi4Mr5FtRQL4tbmSdIzhx6_m4wkOD7IG-k_eo/edit#gid=0"", ""Maths!M:N""), 2, FALSE)"),"Generate a comprehensive written explanation of a composite 3D shape, showcasing clear lexical skills.")</f>
        <v>Generate a comprehensive written explanation of a composite 3D shape, showcasing clear lexical skills.</v>
      </c>
      <c r="V130" s="16">
        <f ca="1">IFERROR(__xludf.dummyfunction("ArrayFormula(VLOOKUP(G130, IMPORTRANGE(""https://docs.google.com/spreadsheets/d/1p7R4vtkWt5VOBim4ltsDG9KTzSjrtKXsMtQGXPHyND0/edit#gid=795171502"", ""'Filter 30_05_2024'!A1:M2000""), {2, 3, 4, 5,6,7,8,9,10,11,12,13}, 0))"),7)</f>
        <v>7</v>
      </c>
      <c r="W130" s="16">
        <f ca="1">IFERROR(__xludf.dummyfunction("""COMPUTED_VALUE"""),4)</f>
        <v>4</v>
      </c>
      <c r="X130" s="16">
        <f ca="1">IFERROR(__xludf.dummyfunction("""COMPUTED_VALUE"""),2)</f>
        <v>2</v>
      </c>
      <c r="Y130" s="16">
        <f ca="1">IFERROR(__xludf.dummyfunction("""COMPUTED_VALUE"""),13)</f>
        <v>13</v>
      </c>
      <c r="Z130" s="16">
        <f ca="1">IFERROR(__xludf.dummyfunction("""COMPUTED_VALUE"""),4)</f>
        <v>4</v>
      </c>
      <c r="AA130" s="30">
        <f ca="1">IFERROR(__xludf.dummyfunction("""COMPUTED_VALUE"""),3)</f>
        <v>3</v>
      </c>
      <c r="AB130" s="30">
        <f ca="1">IFERROR(__xludf.dummyfunction("""COMPUTED_VALUE"""),1)</f>
        <v>1</v>
      </c>
      <c r="AC130" s="30">
        <f ca="1">IFERROR(__xludf.dummyfunction("""COMPUTED_VALUE"""),8)</f>
        <v>8</v>
      </c>
      <c r="AD130" s="16"/>
      <c r="AE130" s="30"/>
      <c r="AF130" s="30"/>
      <c r="AG130" s="30"/>
    </row>
    <row r="131" spans="1:33" ht="26.4">
      <c r="A131" s="25"/>
      <c r="B131" s="25" t="s">
        <v>29</v>
      </c>
      <c r="C131" s="25" t="s">
        <v>310</v>
      </c>
      <c r="D131" s="25">
        <v>8</v>
      </c>
      <c r="E131" s="89" t="s">
        <v>1001</v>
      </c>
      <c r="F131" s="89" t="s">
        <v>1223</v>
      </c>
      <c r="G131" s="87" t="s">
        <v>1224</v>
      </c>
      <c r="H131" s="64" t="str">
        <f ca="1">IFERROR(__xludf.dummyfunction("IFERROR(
  VLOOKUP(G131, IMPORTRANGE(""https://docs.google.com/spreadsheets/d/14deopnvwcrKtEGCKuYXdUHJbeLDZlkiSSWWT0g7x2pM/edit#gid=849066331"", ""LU List Maths (Filter)!A:B""), 2, FALSE),
  IFERROR(
    VLOOKUP(G131, IMPORTRANGE(""https://docs.google.com"&amp;"/spreadsheets/d/14deopnvwcrKtEGCKuYXdUHJbeLDZlkiSSWWT0g7x2pM/edit#gid=849066331"", ""LU List Science (Filter)!A:B""), 2, FALSE),
    ""Not Found""
  )
)
"),"Relationship between face, edge and vertex of polyhedron (Euler formula)")</f>
        <v>Relationship between face, edge and vertex of polyhedron (Euler formula)</v>
      </c>
      <c r="I131" s="87"/>
      <c r="J131" s="100" t="str">
        <f t="shared" si="24"/>
        <v>LU000573.001</v>
      </c>
      <c r="K131" s="100" t="str">
        <f ca="1">IFERROR(__xludf.dummyfunction("VLOOKUP(J131, IMPORTRANGE(""https://docs.google.com/spreadsheets/d/1yDAaXNsi4Mr5FtRQL4tbmSdIzhx6_m4wkOD7IG-k_eo/edit#gid=0"", ""Maths!M:N""), 2, FALSE)"),"Recall Euler's formula for polyhedra: F + V = E + 2, where F represents the number of faces, V represents the number of vertices, and E represents the number of edges.")</f>
        <v>Recall Euler's formula for polyhedra: F + V = E + 2, where F represents the number of faces, V represents the number of vertices, and E represents the number of edges.</v>
      </c>
      <c r="L131" s="100" t="str">
        <f t="shared" si="25"/>
        <v>LU000573.002</v>
      </c>
      <c r="M131" s="100" t="str">
        <f ca="1">IFERROR(__xludf.dummyfunction("VLOOKUP(L131, IMPORTRANGE(""https://docs.google.com/spreadsheets/d/1yDAaXNsi4Mr5FtRQL4tbmSdIzhx6_m4wkOD7IG-k_eo/edit#gid=0"", ""Maths!M:N""), 2, FALSE)"),"Explain the significance of Euler's formula in geometry")</f>
        <v>Explain the significance of Euler's formula in geometry</v>
      </c>
      <c r="N131" s="100" t="str">
        <f t="shared" si="26"/>
        <v>LU000573.003</v>
      </c>
      <c r="O131" s="100" t="str">
        <f ca="1">IFERROR(__xludf.dummyfunction("VLOOKUP(N131, IMPORTRANGE(""https://docs.google.com/spreadsheets/d/1yDAaXNsi4Mr5FtRQL4tbmSdIzhx6_m4wkOD7IG-k_eo/edit#gid=0"", ""Maths!M:N""), 2, FALSE)"),"Apply Euler's formula to calculate the number of faces, edges, or vertices of a given polyhedron when the other two quantities are known.")</f>
        <v>Apply Euler's formula to calculate the number of faces, edges, or vertices of a given polyhedron when the other two quantities are known.</v>
      </c>
      <c r="P131" s="100" t="str">
        <f t="shared" si="27"/>
        <v>LU000573.004</v>
      </c>
      <c r="Q131" s="100" t="str">
        <f ca="1">IFERROR(__xludf.dummyfunction("VLOOKUP(P131, IMPORTRANGE(""https://docs.google.com/spreadsheets/d/1yDAaXNsi4Mr5FtRQL4tbmSdIzhx6_m4wkOD7IG-k_eo/edit#gid=0"", ""Maths!M:N""), 2, FALSE)"),"Analyze different polyhedra to determine whether they satisfy Euler's formula")</f>
        <v>Analyze different polyhedra to determine whether they satisfy Euler's formula</v>
      </c>
      <c r="R131" s="100" t="str">
        <f t="shared" si="28"/>
        <v>LU000573.005</v>
      </c>
      <c r="S131" s="100" t="str">
        <f ca="1">IFERROR(__xludf.dummyfunction("VLOOKUP(R131, IMPORTRANGE(""https://docs.google.com/spreadsheets/d/1yDAaXNsi4Mr5FtRQL4tbmSdIzhx6_m4wkOD7IG-k_eo/edit#gid=0"", ""Maths!M:N""), 2, FALSE)"),"Evaluate the usefulness of Euler's formula in classifying and categorizing polyhedra")</f>
        <v>Evaluate the usefulness of Euler's formula in classifying and categorizing polyhedra</v>
      </c>
      <c r="T131" s="100" t="str">
        <f t="shared" si="29"/>
        <v>LU000573.006</v>
      </c>
      <c r="U131" s="100" t="str">
        <f ca="1">IFERROR(__xludf.dummyfunction("VLOOKUP(T131, IMPORTRANGE(""https://docs.google.com/spreadsheets/d/1yDAaXNsi4Mr5FtRQL4tbmSdIzhx6_m4wkOD7IG-k_eo/edit#gid=0"", ""Maths!M:N""), 2, FALSE)"),"Create a set of polyhedral examples and non-examples to apply Euler's formula to determine their validity.")</f>
        <v>Create a set of polyhedral examples and non-examples to apply Euler's formula to determine their validity.</v>
      </c>
      <c r="V131" s="16" t="str">
        <f ca="1">IFERROR(__xludf.dummyfunction("ArrayFormula(VLOOKUP(G131, IMPORTRANGE(""https://docs.google.com/spreadsheets/d/1p7R4vtkWt5VOBim4ltsDG9KTzSjrtKXsMtQGXPHyND0/edit#gid=795171502"", ""'Filter 30_05_2024'!A1:M2000""), {2, 3, 4, 5,6,7,8,9,10,11,12,13}, 0))"),"#N/A")</f>
        <v>#N/A</v>
      </c>
      <c r="W131" s="16" t="str">
        <f ca="1">IFERROR(__xludf.dummyfunction("""COMPUTED_VALUE"""),"#N/A")</f>
        <v>#N/A</v>
      </c>
      <c r="X131" s="16" t="str">
        <f ca="1">IFERROR(__xludf.dummyfunction("""COMPUTED_VALUE"""),"#N/A")</f>
        <v>#N/A</v>
      </c>
      <c r="Y131" s="16" t="str">
        <f ca="1">IFERROR(__xludf.dummyfunction("""COMPUTED_VALUE"""),"#N/A")</f>
        <v>#N/A</v>
      </c>
      <c r="Z131" s="16" t="str">
        <f ca="1">IFERROR(__xludf.dummyfunction("""COMPUTED_VALUE"""),"#N/A")</f>
        <v>#N/A</v>
      </c>
      <c r="AA131" s="30" t="str">
        <f ca="1">IFERROR(__xludf.dummyfunction("""COMPUTED_VALUE"""),"#N/A")</f>
        <v>#N/A</v>
      </c>
      <c r="AB131" s="30" t="str">
        <f ca="1">IFERROR(__xludf.dummyfunction("""COMPUTED_VALUE"""),"#N/A")</f>
        <v>#N/A</v>
      </c>
      <c r="AC131" s="30" t="str">
        <f ca="1">IFERROR(__xludf.dummyfunction("""COMPUTED_VALUE"""),"#N/A")</f>
        <v>#N/A</v>
      </c>
      <c r="AD131" s="16" t="str">
        <f ca="1">IFERROR(__xludf.dummyfunction("""COMPUTED_VALUE"""),"#N/A")</f>
        <v>#N/A</v>
      </c>
      <c r="AE131" s="30" t="str">
        <f ca="1">IFERROR(__xludf.dummyfunction("""COMPUTED_VALUE"""),"#N/A")</f>
        <v>#N/A</v>
      </c>
      <c r="AF131" s="30" t="str">
        <f ca="1">IFERROR(__xludf.dummyfunction("""COMPUTED_VALUE"""),"#N/A")</f>
        <v>#N/A</v>
      </c>
      <c r="AG131" s="30" t="str">
        <f ca="1">IFERROR(__xludf.dummyfunction("""COMPUTED_VALUE"""),"#N/A")</f>
        <v>#N/A</v>
      </c>
    </row>
    <row r="132" spans="1:33" ht="26.4">
      <c r="A132" s="25"/>
      <c r="B132" s="25" t="s">
        <v>29</v>
      </c>
      <c r="C132" s="25" t="s">
        <v>310</v>
      </c>
      <c r="D132" s="25">
        <v>8</v>
      </c>
      <c r="E132" s="89" t="s">
        <v>1225</v>
      </c>
      <c r="F132" s="89" t="s">
        <v>1225</v>
      </c>
      <c r="G132" s="87" t="s">
        <v>1226</v>
      </c>
      <c r="H132" s="64" t="str">
        <f ca="1">IFERROR(__xludf.dummyfunction("IFERROR(
  VLOOKUP(G132, IMPORTRANGE(""https://docs.google.com/spreadsheets/d/14deopnvwcrKtEGCKuYXdUHJbeLDZlkiSSWWT0g7x2pM/edit#gid=849066331"", ""LU List Maths (Filter)!A:B""), 2, FALSE),
  IFERROR(
    VLOOKUP(G132, IMPORTRANGE(""https://docs.google.com"&amp;"/spreadsheets/d/14deopnvwcrKtEGCKuYXdUHJbeLDZlkiSSWWT0g7x2pM/edit#gid=849066331"", ""LU List Science (Filter)!A:B""), 2, FALSE),
    ""Not Found""
  )
)
"),"Construction of a quadrilateral of given lengths of its four sides and the measurement of one angle")</f>
        <v>Construction of a quadrilateral of given lengths of its four sides and the measurement of one angle</v>
      </c>
      <c r="I132" s="64"/>
      <c r="J132" s="100" t="str">
        <f t="shared" si="24"/>
        <v>LU001152.001</v>
      </c>
      <c r="K132" s="100" t="str">
        <f ca="1">IFERROR(__xludf.dummyfunction("VLOOKUP(J132, IMPORTRANGE(""https://docs.google.com/spreadsheets/d/1yDAaXNsi4Mr5FtRQL4tbmSdIzhx6_m4wkOD7IG-k_eo/edit#gid=0"", ""Maths!M:N""), 2, FALSE)"),"Recall the tools and initial steps required for constructing a quadrilateral with given side lengths and one angle measurement.")</f>
        <v>Recall the tools and initial steps required for constructing a quadrilateral with given side lengths and one angle measurement.</v>
      </c>
      <c r="L132" s="100" t="str">
        <f t="shared" si="25"/>
        <v>LU001152.002</v>
      </c>
      <c r="M132" s="100" t="str">
        <f ca="1">IFERROR(__xludf.dummyfunction("VLOOKUP(L132, IMPORTRANGE(""https://docs.google.com/spreadsheets/d/1yDAaXNsi4Mr5FtRQL4tbmSdIzhx6_m4wkOD7IG-k_eo/edit#gid=0"", ""Maths!M:N""), 2, FALSE)"),"Explain the geometric principles involved in constructing a quadrilateral when the lengths of all four sides and one angle are known.")</f>
        <v>Explain the geometric principles involved in constructing a quadrilateral when the lengths of all four sides and one angle are known.</v>
      </c>
      <c r="N132" s="100" t="str">
        <f t="shared" si="26"/>
        <v>LU001152.003</v>
      </c>
      <c r="O132" s="100" t="str">
        <f ca="1">IFERROR(__xludf.dummyfunction("VLOOKUP(N132, IMPORTRANGE(""https://docs.google.com/spreadsheets/d/1yDAaXNsi4Mr5FtRQL4tbmSdIzhx6_m4wkOD7IG-k_eo/edit#gid=0"", ""Maths!M:N""), 2, FALSE)"),"Perform the construction of a quadrilateral using the provided dimensions for its sides and the measure of one specific angle.")</f>
        <v>Perform the construction of a quadrilateral using the provided dimensions for its sides and the measure of one specific angle.</v>
      </c>
      <c r="P132" s="100" t="str">
        <f t="shared" si="27"/>
        <v>LU001152.004</v>
      </c>
      <c r="Q132" s="100" t="str">
        <f ca="1">IFERROR(__xludf.dummyfunction("VLOOKUP(P132, IMPORTRANGE(""https://docs.google.com/spreadsheets/d/1yDAaXNsi4Mr5FtRQL4tbmSdIzhx6_m4wkOD7IG-k_eo/edit#gid=0"", ""Maths!M:N""), 2, FALSE)"),"Analyse the sequence of steps and geometric properties used in the construction process of a quadrilateral with these given parameters.")</f>
        <v>Analyse the sequence of steps and geometric properties used in the construction process of a quadrilateral with these given parameters.</v>
      </c>
      <c r="R132" s="100" t="str">
        <f t="shared" si="28"/>
        <v>LU001152.005</v>
      </c>
      <c r="S132" s="100" t="str">
        <f ca="1">IFERROR(__xludf.dummyfunction("VLOOKUP(R132, IMPORTRANGE(""https://docs.google.com/spreadsheets/d/1yDAaXNsi4Mr5FtRQL4tbmSdIzhx6_m4wkOD7IG-k_eo/edit#gid=0"", ""Maths!M:N""), 2, FALSE)"),"Evaluate the precision and accuracy of the constructed quadrilateral, considering the given dimensions and angle measurement.")</f>
        <v>Evaluate the precision and accuracy of the constructed quadrilateral, considering the given dimensions and angle measurement.</v>
      </c>
      <c r="T132" s="100" t="str">
        <f t="shared" si="29"/>
        <v>LU001152.006</v>
      </c>
      <c r="U132" s="100" t="str">
        <f ca="1">IFERROR(__xludf.dummyfunction("VLOOKUP(T132, IMPORTRANGE(""https://docs.google.com/spreadsheets/d/1yDAaXNsi4Mr5FtRQL4tbmSdIzhx6_m4wkOD7IG-k_eo/edit#gid=0"", ""Maths!M:N""), 2, FALSE)"),"Design a practical task or problem that involves constructing a quadrilateral with specific side lengths and one angle, incorporating challenges to test understanding and application of geometric construction principles.")</f>
        <v>Design a practical task or problem that involves constructing a quadrilateral with specific side lengths and one angle, incorporating challenges to test understanding and application of geometric construction principles.</v>
      </c>
      <c r="V132" s="16" t="str">
        <f ca="1">IFERROR(__xludf.dummyfunction("ArrayFormula(VLOOKUP(G132, IMPORTRANGE(""https://docs.google.com/spreadsheets/d/1p7R4vtkWt5VOBim4ltsDG9KTzSjrtKXsMtQGXPHyND0/edit#gid=795171502"", ""'Filter 30_05_2024'!A1:M2000""), {2, 3, 4, 5,6,7,8,9,10,11,12,13}, 0))"),"#N/A")</f>
        <v>#N/A</v>
      </c>
      <c r="W132" s="16" t="str">
        <f ca="1">IFERROR(__xludf.dummyfunction("""COMPUTED_VALUE"""),"#N/A")</f>
        <v>#N/A</v>
      </c>
      <c r="X132" s="16" t="str">
        <f ca="1">IFERROR(__xludf.dummyfunction("""COMPUTED_VALUE"""),"#N/A")</f>
        <v>#N/A</v>
      </c>
      <c r="Y132" s="16" t="str">
        <f ca="1">IFERROR(__xludf.dummyfunction("""COMPUTED_VALUE"""),"#N/A")</f>
        <v>#N/A</v>
      </c>
      <c r="Z132" s="16" t="str">
        <f ca="1">IFERROR(__xludf.dummyfunction("""COMPUTED_VALUE"""),"#N/A")</f>
        <v>#N/A</v>
      </c>
      <c r="AA132" s="30" t="str">
        <f ca="1">IFERROR(__xludf.dummyfunction("""COMPUTED_VALUE"""),"#N/A")</f>
        <v>#N/A</v>
      </c>
      <c r="AB132" s="30" t="str">
        <f ca="1">IFERROR(__xludf.dummyfunction("""COMPUTED_VALUE"""),"#N/A")</f>
        <v>#N/A</v>
      </c>
      <c r="AC132" s="30" t="str">
        <f ca="1">IFERROR(__xludf.dummyfunction("""COMPUTED_VALUE"""),"#N/A")</f>
        <v>#N/A</v>
      </c>
      <c r="AD132" s="16" t="str">
        <f ca="1">IFERROR(__xludf.dummyfunction("""COMPUTED_VALUE"""),"#N/A")</f>
        <v>#N/A</v>
      </c>
      <c r="AE132" s="30" t="str">
        <f ca="1">IFERROR(__xludf.dummyfunction("""COMPUTED_VALUE"""),"#N/A")</f>
        <v>#N/A</v>
      </c>
      <c r="AF132" s="30" t="str">
        <f ca="1">IFERROR(__xludf.dummyfunction("""COMPUTED_VALUE"""),"#N/A")</f>
        <v>#N/A</v>
      </c>
      <c r="AG132" s="30" t="str">
        <f ca="1">IFERROR(__xludf.dummyfunction("""COMPUTED_VALUE"""),"#N/A")</f>
        <v>#N/A</v>
      </c>
    </row>
    <row r="133" spans="1:33" ht="26.4">
      <c r="A133" s="25"/>
      <c r="B133" s="25" t="s">
        <v>29</v>
      </c>
      <c r="C133" s="25" t="s">
        <v>310</v>
      </c>
      <c r="D133" s="25">
        <v>8</v>
      </c>
      <c r="E133" s="89" t="s">
        <v>1225</v>
      </c>
      <c r="F133" s="89" t="s">
        <v>1225</v>
      </c>
      <c r="G133" s="87" t="s">
        <v>1227</v>
      </c>
      <c r="H133" s="64" t="str">
        <f ca="1">IFERROR(__xludf.dummyfunction("IFERROR(
  VLOOKUP(G133, IMPORTRANGE(""https://docs.google.com/spreadsheets/d/14deopnvwcrKtEGCKuYXdUHJbeLDZlkiSSWWT0g7x2pM/edit#gid=849066331"", ""LU List Maths (Filter)!A:B""), 2, FALSE),
  IFERROR(
    VLOOKUP(G133, IMPORTRANGE(""https://docs.google.com"&amp;"/spreadsheets/d/14deopnvwcrKtEGCKuYXdUHJbeLDZlkiSSWWT0g7x2pM/edit#gid=849066331"", ""LU List Science (Filter)!A:B""), 2, FALSE),
    ""Not Found""
  )
)
"),"Construction of a quadrilateral of given lengths of its two diagonals and three sides")</f>
        <v>Construction of a quadrilateral of given lengths of its two diagonals and three sides</v>
      </c>
      <c r="I133" s="64"/>
      <c r="J133" s="100" t="str">
        <f t="shared" si="24"/>
        <v>LU000859.001</v>
      </c>
      <c r="K133" s="100" t="str">
        <f ca="1">IFERROR(__xludf.dummyfunction("VLOOKUP(J133, IMPORTRANGE(""https://docs.google.com/spreadsheets/d/1yDAaXNsi4Mr5FtRQL4tbmSdIzhx6_m4wkOD7IG-k_eo/edit#gid=0"", ""Maths!M:N""), 2, FALSE)"),"Recall the steps and properties involved in constructing a quadrilateral using two diagonals and three sides.")</f>
        <v>Recall the steps and properties involved in constructing a quadrilateral using two diagonals and three sides.</v>
      </c>
      <c r="L133" s="100" t="str">
        <f t="shared" si="25"/>
        <v>LU000859.002</v>
      </c>
      <c r="M133" s="100" t="str">
        <f ca="1">IFERROR(__xludf.dummyfunction("VLOOKUP(L133, IMPORTRANGE(""https://docs.google.com/spreadsheets/d/1yDAaXNsi4Mr5FtRQL4tbmSdIzhx6_m4wkOD7IG-k_eo/edit#gid=0"", ""Maths!M:N""), 2, FALSE)"),"Explain the significance of the given measurements (two diagonals and three sides) in shaping the properties and classification of the resultant quadrilateral.")</f>
        <v>Explain the significance of the given measurements (two diagonals and three sides) in shaping the properties and classification of the resultant quadrilateral.</v>
      </c>
      <c r="N133" s="100" t="str">
        <f t="shared" si="26"/>
        <v>LU000859.003</v>
      </c>
      <c r="O133" s="100" t="str">
        <f ca="1">IFERROR(__xludf.dummyfunction("VLOOKUP(N133, IMPORTRANGE(""https://docs.google.com/spreadsheets/d/1yDAaXNsi4Mr5FtRQL4tbmSdIzhx6_m4wkOD7IG-k_eo/edit#gid=0"", ""Maths!M:N""), 2, FALSE)"),"Construct a quadrilateral using specified lengths of its two diagonals and three sides.")</f>
        <v>Construct a quadrilateral using specified lengths of its two diagonals and three sides.</v>
      </c>
      <c r="P133" s="100" t="str">
        <f t="shared" si="27"/>
        <v>LU000859.004</v>
      </c>
      <c r="Q133" s="100" t="str">
        <f ca="1">IFERROR(__xludf.dummyfunction("VLOOKUP(P133, IMPORTRANGE(""https://docs.google.com/spreadsheets/d/1yDAaXNsi4Mr5FtRQL4tbmSdIzhx6_m4wkOD7IG-k_eo/edit#gid=0"", ""Maths!M:N""), 2, FALSE)"),"Investigate the variations in shape and size of quadrilaterals that can be formed when changing one or more of the given measurements (either a side or a diagonal).")</f>
        <v>Investigate the variations in shape and size of quadrilaterals that can be formed when changing one or more of the given measurements (either a side or a diagonal).</v>
      </c>
      <c r="R133" s="100" t="str">
        <f t="shared" si="28"/>
        <v>LU000859.005</v>
      </c>
      <c r="S133" s="100" t="str">
        <f ca="1">IFERROR(__xludf.dummyfunction("VLOOKUP(R133, IMPORTRANGE(""https://docs.google.com/spreadsheets/d/1yDAaXNsi4Mr5FtRQL4tbmSdIzhx6_m4wkOD7IG-k_eo/edit#gid=0"", ""Maths!M:N""), 2, FALSE)"),"Critique and verify the correctness of a constructed quadrilateral based on the provided measurements of two diagonals and three sides.")</f>
        <v>Critique and verify the correctness of a constructed quadrilateral based on the provided measurements of two diagonals and three sides.</v>
      </c>
      <c r="T133" s="100" t="str">
        <f t="shared" si="29"/>
        <v>LU000859.006</v>
      </c>
      <c r="U133" s="100" t="str">
        <f ca="1">IFERROR(__xludf.dummyfunction("VLOOKUP(T133, IMPORTRANGE(""https://docs.google.com/spreadsheets/d/1yDAaXNsi4Mr5FtRQL4tbmSdIzhx6_m4wkOD7IG-k_eo/edit#gid=0"", ""Maths!M:N""), 2, FALSE)"),"Design a set of unique measurements (two diagonals and three sides) for a quadrilateral, and challenge peers to determine its properties and construct it.")</f>
        <v>Design a set of unique measurements (two diagonals and three sides) for a quadrilateral, and challenge peers to determine its properties and construct it.</v>
      </c>
      <c r="V133" s="16" t="str">
        <f ca="1">IFERROR(__xludf.dummyfunction("ArrayFormula(VLOOKUP(G133, IMPORTRANGE(""https://docs.google.com/spreadsheets/d/1p7R4vtkWt5VOBim4ltsDG9KTzSjrtKXsMtQGXPHyND0/edit#gid=795171502"", ""'Filter 30_05_2024'!A1:M2000""), {2, 3, 4, 5,6,7,8,9,10,11,12,13}, 0))"),"#N/A")</f>
        <v>#N/A</v>
      </c>
      <c r="W133" s="16" t="str">
        <f ca="1">IFERROR(__xludf.dummyfunction("""COMPUTED_VALUE"""),"#N/A")</f>
        <v>#N/A</v>
      </c>
      <c r="X133" s="16" t="str">
        <f ca="1">IFERROR(__xludf.dummyfunction("""COMPUTED_VALUE"""),"#N/A")</f>
        <v>#N/A</v>
      </c>
      <c r="Y133" s="16" t="str">
        <f ca="1">IFERROR(__xludf.dummyfunction("""COMPUTED_VALUE"""),"#N/A")</f>
        <v>#N/A</v>
      </c>
      <c r="Z133" s="16" t="str">
        <f ca="1">IFERROR(__xludf.dummyfunction("""COMPUTED_VALUE"""),"#N/A")</f>
        <v>#N/A</v>
      </c>
      <c r="AA133" s="30" t="str">
        <f ca="1">IFERROR(__xludf.dummyfunction("""COMPUTED_VALUE"""),"#N/A")</f>
        <v>#N/A</v>
      </c>
      <c r="AB133" s="30" t="str">
        <f ca="1">IFERROR(__xludf.dummyfunction("""COMPUTED_VALUE"""),"#N/A")</f>
        <v>#N/A</v>
      </c>
      <c r="AC133" s="30" t="str">
        <f ca="1">IFERROR(__xludf.dummyfunction("""COMPUTED_VALUE"""),"#N/A")</f>
        <v>#N/A</v>
      </c>
      <c r="AD133" s="16" t="str">
        <f ca="1">IFERROR(__xludf.dummyfunction("""COMPUTED_VALUE"""),"#N/A")</f>
        <v>#N/A</v>
      </c>
      <c r="AE133" s="30" t="str">
        <f ca="1">IFERROR(__xludf.dummyfunction("""COMPUTED_VALUE"""),"#N/A")</f>
        <v>#N/A</v>
      </c>
      <c r="AF133" s="30" t="str">
        <f ca="1">IFERROR(__xludf.dummyfunction("""COMPUTED_VALUE"""),"#N/A")</f>
        <v>#N/A</v>
      </c>
      <c r="AG133" s="30" t="str">
        <f ca="1">IFERROR(__xludf.dummyfunction("""COMPUTED_VALUE"""),"#N/A")</f>
        <v>#N/A</v>
      </c>
    </row>
    <row r="134" spans="1:33" ht="26.4">
      <c r="A134" s="25"/>
      <c r="B134" s="25" t="s">
        <v>29</v>
      </c>
      <c r="C134" s="25" t="s">
        <v>310</v>
      </c>
      <c r="D134" s="25">
        <v>8</v>
      </c>
      <c r="E134" s="89" t="s">
        <v>1225</v>
      </c>
      <c r="F134" s="89" t="s">
        <v>1225</v>
      </c>
      <c r="G134" s="87" t="s">
        <v>1228</v>
      </c>
      <c r="H134" s="64" t="str">
        <f ca="1">IFERROR(__xludf.dummyfunction("IFERROR(
  VLOOKUP(G134, IMPORTRANGE(""https://docs.google.com/spreadsheets/d/14deopnvwcrKtEGCKuYXdUHJbeLDZlkiSSWWT0g7x2pM/edit#gid=849066331"", ""LU List Maths (Filter)!A:B""), 2, FALSE),
  IFERROR(
    VLOOKUP(G134, IMPORTRANGE(""https://docs.google.com"&amp;"/spreadsheets/d/14deopnvwcrKtEGCKuYXdUHJbeLDZlkiSSWWT0g7x2pM/edit#gid=849066331"", ""LU List Science (Filter)!A:B""), 2, FALSE),
    ""Not Found""
  )
)
"),"Construction of a quadrilateral of given lengths of three sides and the measures of two included angles")</f>
        <v>Construction of a quadrilateral of given lengths of three sides and the measures of two included angles</v>
      </c>
      <c r="I134" s="64"/>
      <c r="J134" s="100" t="str">
        <f t="shared" si="24"/>
        <v>LU000861.001</v>
      </c>
      <c r="K134" s="100" t="str">
        <f ca="1">IFERROR(__xludf.dummyfunction("VLOOKUP(J134, IMPORTRANGE(""https://docs.google.com/spreadsheets/d/1yDAaXNsi4Mr5FtRQL4tbmSdIzhx6_m4wkOD7IG-k_eo/edit#gid=0"", ""Maths!M:N""), 2, FALSE)"),"List the tools and basic steps required to construct a quadrilateral when three side lengths and two included angles are provided.")</f>
        <v>List the tools and basic steps required to construct a quadrilateral when three side lengths and two included angles are provided.</v>
      </c>
      <c r="L134" s="100" t="str">
        <f t="shared" si="25"/>
        <v>LU000861.002</v>
      </c>
      <c r="M134" s="100" t="str">
        <f ca="1">IFERROR(__xludf.dummyfunction("VLOOKUP(L134, IMPORTRANGE(""https://docs.google.com/spreadsheets/d/1yDAaXNsi4Mr5FtRQL4tbmSdIzhx6_m4wkOD7IG-k_eo/edit#gid=0"", ""Maths!M:N""), 2, FALSE)"),"Describe the importance of each step in the quadrilateral construction process and how the given parameters (three sides and two angles) influence the final shape.")</f>
        <v>Describe the importance of each step in the quadrilateral construction process and how the given parameters (three sides and two angles) influence the final shape.</v>
      </c>
      <c r="N134" s="100" t="str">
        <f t="shared" si="26"/>
        <v>LU000861.003</v>
      </c>
      <c r="O134" s="100" t="str">
        <f ca="1">IFERROR(__xludf.dummyfunction("VLOOKUP(N134, IMPORTRANGE(""https://docs.google.com/spreadsheets/d/1yDAaXNsi4Mr5FtRQL4tbmSdIzhx6_m4wkOD7IG-k_eo/edit#gid=0"", ""Maths!M:N""), 2, FALSE)"),"Draw a quadrilateral using a ruler, compass, and protractor, given specific measurements for three sides and two included angles.")</f>
        <v>Draw a quadrilateral using a ruler, compass, and protractor, given specific measurements for three sides and two included angles.</v>
      </c>
      <c r="P134" s="100" t="str">
        <f t="shared" si="27"/>
        <v>LU000861.004</v>
      </c>
      <c r="Q134" s="100" t="str">
        <f ca="1">IFERROR(__xludf.dummyfunction("VLOOKUP(P134, IMPORTRANGE(""https://docs.google.com/spreadsheets/d/1yDAaXNsi4Mr5FtRQL4tbmSdIzhx6_m4wkOD7IG-k_eo/edit#gid=0"", ""Maths!M:N""), 2, FALSE)"),"Decompose the construction process step-by-step and discern the mathematical relationships and dependencies involved in constructing the quadrilateral with the given parameters.")</f>
        <v>Decompose the construction process step-by-step and discern the mathematical relationships and dependencies involved in constructing the quadrilateral with the given parameters.</v>
      </c>
      <c r="R134" s="100" t="str">
        <f t="shared" si="28"/>
        <v>LU000861.005</v>
      </c>
      <c r="S134" s="100" t="str">
        <f ca="1">IFERROR(__xludf.dummyfunction("VLOOKUP(R134, IMPORTRANGE(""https://docs.google.com/spreadsheets/d/1yDAaXNsi4Mr5FtRQL4tbmSdIzhx6_m4wkOD7IG-k_eo/edit#gid=0"", ""Maths!M:N""), 2, FALSE)"),"Review and judge the accuracy of a drawn quadrilateral against the given measurements and propose corrections or improvements if any discrepancies are found.")</f>
        <v>Review and judge the accuracy of a drawn quadrilateral against the given measurements and propose corrections or improvements if any discrepancies are found.</v>
      </c>
      <c r="T134" s="100" t="str">
        <f t="shared" si="29"/>
        <v>LU000861.006</v>
      </c>
      <c r="U134" s="100" t="str">
        <f ca="1">IFERROR(__xludf.dummyfunction("VLOOKUP(T134, IMPORTRANGE(""https://docs.google.com/spreadsheets/d/1yDAaXNsi4Mr5FtRQL4tbmSdIzhx6_m4wkOD7IG-k_eo/edit#gid=0"", ""Maths!M:N""), 2, FALSE)"),"Design a practical real-world problem or activity that requires the construction of a quadrilateral with specific given parameters, and justify the choice of those parameters.")</f>
        <v>Design a practical real-world problem or activity that requires the construction of a quadrilateral with specific given parameters, and justify the choice of those parameters.</v>
      </c>
      <c r="V134" s="16" t="str">
        <f ca="1">IFERROR(__xludf.dummyfunction("ArrayFormula(VLOOKUP(G134, IMPORTRANGE(""https://docs.google.com/spreadsheets/d/1p7R4vtkWt5VOBim4ltsDG9KTzSjrtKXsMtQGXPHyND0/edit#gid=795171502"", ""'Filter 30_05_2024'!A1:M2000""), {2, 3, 4, 5,6,7,8,9,10,11,12,13}, 0))"),"#N/A")</f>
        <v>#N/A</v>
      </c>
      <c r="W134" s="16" t="str">
        <f ca="1">IFERROR(__xludf.dummyfunction("""COMPUTED_VALUE"""),"#N/A")</f>
        <v>#N/A</v>
      </c>
      <c r="X134" s="16" t="str">
        <f ca="1">IFERROR(__xludf.dummyfunction("""COMPUTED_VALUE"""),"#N/A")</f>
        <v>#N/A</v>
      </c>
      <c r="Y134" s="16" t="str">
        <f ca="1">IFERROR(__xludf.dummyfunction("""COMPUTED_VALUE"""),"#N/A")</f>
        <v>#N/A</v>
      </c>
      <c r="Z134" s="16" t="str">
        <f ca="1">IFERROR(__xludf.dummyfunction("""COMPUTED_VALUE"""),"#N/A")</f>
        <v>#N/A</v>
      </c>
      <c r="AA134" s="30" t="str">
        <f ca="1">IFERROR(__xludf.dummyfunction("""COMPUTED_VALUE"""),"#N/A")</f>
        <v>#N/A</v>
      </c>
      <c r="AB134" s="30" t="str">
        <f ca="1">IFERROR(__xludf.dummyfunction("""COMPUTED_VALUE"""),"#N/A")</f>
        <v>#N/A</v>
      </c>
      <c r="AC134" s="30" t="str">
        <f ca="1">IFERROR(__xludf.dummyfunction("""COMPUTED_VALUE"""),"#N/A")</f>
        <v>#N/A</v>
      </c>
      <c r="AD134" s="16" t="str">
        <f ca="1">IFERROR(__xludf.dummyfunction("""COMPUTED_VALUE"""),"#N/A")</f>
        <v>#N/A</v>
      </c>
      <c r="AE134" s="30" t="str">
        <f ca="1">IFERROR(__xludf.dummyfunction("""COMPUTED_VALUE"""),"#N/A")</f>
        <v>#N/A</v>
      </c>
      <c r="AF134" s="30" t="str">
        <f ca="1">IFERROR(__xludf.dummyfunction("""COMPUTED_VALUE"""),"#N/A")</f>
        <v>#N/A</v>
      </c>
      <c r="AG134" s="30" t="str">
        <f ca="1">IFERROR(__xludf.dummyfunction("""COMPUTED_VALUE"""),"#N/A")</f>
        <v>#N/A</v>
      </c>
    </row>
    <row r="135" spans="1:33" ht="26.4">
      <c r="A135" s="25"/>
      <c r="B135" s="25" t="s">
        <v>29</v>
      </c>
      <c r="C135" s="25" t="s">
        <v>310</v>
      </c>
      <c r="D135" s="25">
        <v>8</v>
      </c>
      <c r="E135" s="89" t="s">
        <v>1225</v>
      </c>
      <c r="F135" s="89" t="s">
        <v>1225</v>
      </c>
      <c r="G135" s="87" t="s">
        <v>1229</v>
      </c>
      <c r="H135" s="64" t="str">
        <f ca="1">IFERROR(__xludf.dummyfunction("IFERROR(
  VLOOKUP(G135, IMPORTRANGE(""https://docs.google.com/spreadsheets/d/14deopnvwcrKtEGCKuYXdUHJbeLDZlkiSSWWT0g7x2pM/edit#gid=849066331"", ""LU List Maths (Filter)!A:B""), 2, FALSE),
  IFERROR(
    VLOOKUP(G135, IMPORTRANGE(""https://docs.google.com"&amp;"/spreadsheets/d/14deopnvwcrKtEGCKuYXdUHJbeLDZlkiSSWWT0g7x2pM/edit#gid=849066331"", ""LU List Science (Filter)!A:B""), 2, FALSE),
    ""Not Found""
  )
)
"),"Construction of a quadrilateral of given lengths of two adjacent sides and the measures of three angles")</f>
        <v>Construction of a quadrilateral of given lengths of two adjacent sides and the measures of three angles</v>
      </c>
      <c r="I135" s="64"/>
      <c r="J135" s="100" t="str">
        <f t="shared" si="24"/>
        <v>LU000860.001</v>
      </c>
      <c r="K135" s="100" t="str">
        <f ca="1">IFERROR(__xludf.dummyfunction("VLOOKUP(J135, IMPORTRANGE(""https://docs.google.com/spreadsheets/d/1yDAaXNsi4Mr5FtRQL4tbmSdIzhx6_m4wkOD7IG-k_eo/edit#gid=0"", ""Maths!M:N""), 2, FALSE)"),"Recall the basic steps involved in constructing a quadrilateral with given lengths of two adjacent sides and the measures of three angles.")</f>
        <v>Recall the basic steps involved in constructing a quadrilateral with given lengths of two adjacent sides and the measures of three angles.</v>
      </c>
      <c r="L135" s="100" t="str">
        <f t="shared" si="25"/>
        <v>LU000860.002</v>
      </c>
      <c r="M135" s="100" t="str">
        <f ca="1">IFERROR(__xludf.dummyfunction("VLOOKUP(L135, IMPORTRANGE(""https://docs.google.com/spreadsheets/d/1yDAaXNsi4Mr5FtRQL4tbmSdIzhx6_m4wkOD7IG-k_eo/edit#gid=0"", ""Maths!M:N""), 2, FALSE)"),"Summarize why having the lengths of two adjacent sides and the measures of three angles are sufficient to construct a quadrilateral.")</f>
        <v>Summarize why having the lengths of two adjacent sides and the measures of three angles are sufficient to construct a quadrilateral.</v>
      </c>
      <c r="N135" s="100" t="str">
        <f t="shared" si="26"/>
        <v>LU000860.003</v>
      </c>
      <c r="O135" s="100" t="str">
        <f ca="1">IFERROR(__xludf.dummyfunction("VLOOKUP(N135, IMPORTRANGE(""https://docs.google.com/spreadsheets/d/1yDAaXNsi4Mr5FtRQL4tbmSdIzhx6_m4wkOD7IG-k_eo/edit#gid=0"", ""Maths!M:N""), 2, FALSE)"),"Accurately construct a quadrilateral on a piece of paper using a compass, ruler, and protractor when given the lengths of two adjacent sides and the measures of three angles.")</f>
        <v>Accurately construct a quadrilateral on a piece of paper using a compass, ruler, and protractor when given the lengths of two adjacent sides and the measures of three angles.</v>
      </c>
      <c r="P135" s="100" t="str">
        <f t="shared" si="27"/>
        <v>LU000860.004</v>
      </c>
      <c r="Q135" s="100" t="str">
        <f ca="1">IFERROR(__xludf.dummyfunction("VLOOKUP(P135, IMPORTRANGE(""https://docs.google.com/spreadsheets/d/1yDAaXNsi4Mr5FtRQL4tbmSdIzhx6_m4wkOD7IG-k_eo/edit#gid=0"", ""Maths!M:N""), 2, FALSE)"),"Break down the construction process into its essential steps and explain the rationale behind each step.")</f>
        <v>Break down the construction process into its essential steps and explain the rationale behind each step.</v>
      </c>
      <c r="R135" s="100" t="str">
        <f t="shared" si="28"/>
        <v>LU000860.005</v>
      </c>
      <c r="S135" s="100" t="str">
        <f ca="1">IFERROR(__xludf.dummyfunction("VLOOKUP(R135, IMPORTRANGE(""https://docs.google.com/spreadsheets/d/1yDAaXNsi4Mr5FtRQL4tbmSdIzhx6_m4wkOD7IG-k_eo/edit#gid=0"", ""Maths!M:N""), 2, FALSE)"),"Assess the accuracy of a constructed quadrilateral to determine if it meets the given conditions of side lengths and angle measures.")</f>
        <v>Assess the accuracy of a constructed quadrilateral to determine if it meets the given conditions of side lengths and angle measures.</v>
      </c>
      <c r="T135" s="100" t="str">
        <f t="shared" si="29"/>
        <v>LU000860.006</v>
      </c>
      <c r="U135" s="100" t="str">
        <f ca="1">IFERROR(__xludf.dummyfunction("VLOOKUP(T135, IMPORTRANGE(""https://docs.google.com/spreadsheets/d/1yDAaXNsi4Mr5FtRQL4tbmSdIzhx6_m4wkOD7IG-k_eo/edit#gid=0"", ""Maths!M:N""), 2, FALSE)"),"Design a new geometric challenge where students have to construct a different type of quadrilateral with a new set of given parameters, ensuring the challenge is feasible and aligns with the principles of practical geometry.")</f>
        <v>Design a new geometric challenge where students have to construct a different type of quadrilateral with a new set of given parameters, ensuring the challenge is feasible and aligns with the principles of practical geometry.</v>
      </c>
      <c r="V135" s="16" t="str">
        <f ca="1">IFERROR(__xludf.dummyfunction("ArrayFormula(VLOOKUP(G135, IMPORTRANGE(""https://docs.google.com/spreadsheets/d/1p7R4vtkWt5VOBim4ltsDG9KTzSjrtKXsMtQGXPHyND0/edit#gid=795171502"", ""'Filter 30_05_2024'!A1:M2000""), {2, 3, 4, 5,6,7,8,9,10,11,12,13}, 0))"),"#N/A")</f>
        <v>#N/A</v>
      </c>
      <c r="W135" s="16" t="str">
        <f ca="1">IFERROR(__xludf.dummyfunction("""COMPUTED_VALUE"""),"#N/A")</f>
        <v>#N/A</v>
      </c>
      <c r="X135" s="16" t="str">
        <f ca="1">IFERROR(__xludf.dummyfunction("""COMPUTED_VALUE"""),"#N/A")</f>
        <v>#N/A</v>
      </c>
      <c r="Y135" s="16" t="str">
        <f ca="1">IFERROR(__xludf.dummyfunction("""COMPUTED_VALUE"""),"#N/A")</f>
        <v>#N/A</v>
      </c>
      <c r="Z135" s="16" t="str">
        <f ca="1">IFERROR(__xludf.dummyfunction("""COMPUTED_VALUE"""),"#N/A")</f>
        <v>#N/A</v>
      </c>
      <c r="AA135" s="30" t="str">
        <f ca="1">IFERROR(__xludf.dummyfunction("""COMPUTED_VALUE"""),"#N/A")</f>
        <v>#N/A</v>
      </c>
      <c r="AB135" s="30" t="str">
        <f ca="1">IFERROR(__xludf.dummyfunction("""COMPUTED_VALUE"""),"#N/A")</f>
        <v>#N/A</v>
      </c>
      <c r="AC135" s="30" t="str">
        <f ca="1">IFERROR(__xludf.dummyfunction("""COMPUTED_VALUE"""),"#N/A")</f>
        <v>#N/A</v>
      </c>
      <c r="AD135" s="16" t="str">
        <f ca="1">IFERROR(__xludf.dummyfunction("""COMPUTED_VALUE"""),"#N/A")</f>
        <v>#N/A</v>
      </c>
      <c r="AE135" s="30" t="str">
        <f ca="1">IFERROR(__xludf.dummyfunction("""COMPUTED_VALUE"""),"#N/A")</f>
        <v>#N/A</v>
      </c>
      <c r="AF135" s="30" t="str">
        <f ca="1">IFERROR(__xludf.dummyfunction("""COMPUTED_VALUE"""),"#N/A")</f>
        <v>#N/A</v>
      </c>
      <c r="AG135" s="30" t="str">
        <f ca="1">IFERROR(__xludf.dummyfunction("""COMPUTED_VALUE"""),"#N/A")</f>
        <v>#N/A</v>
      </c>
    </row>
    <row r="136" spans="1:33" ht="26.4">
      <c r="A136" s="25"/>
      <c r="B136" s="25" t="s">
        <v>29</v>
      </c>
      <c r="C136" s="25" t="s">
        <v>310</v>
      </c>
      <c r="D136" s="25">
        <v>8</v>
      </c>
      <c r="E136" s="89" t="s">
        <v>1225</v>
      </c>
      <c r="F136" s="89" t="s">
        <v>1225</v>
      </c>
      <c r="G136" s="87" t="s">
        <v>1230</v>
      </c>
      <c r="H136" s="64" t="str">
        <f ca="1">IFERROR(__xludf.dummyfunction("IFERROR(
  VLOOKUP(G136, IMPORTRANGE(""https://docs.google.com/spreadsheets/d/14deopnvwcrKtEGCKuYXdUHJbeLDZlkiSSWWT0g7x2pM/edit#gid=849066331"", ""LU List Maths (Filter)!A:B""), 2, FALSE),
  IFERROR(
    VLOOKUP(G136, IMPORTRANGE(""https://docs.google.com"&amp;"/spreadsheets/d/14deopnvwcrKtEGCKuYXdUHJbeLDZlkiSSWWT0g7x2pM/edit#gid=849066331"", ""LU List Science (Filter)!A:B""), 2, FALSE),
    ""Not Found""
  )
)
"),"Construction of a square of given side")</f>
        <v>Construction of a square of given side</v>
      </c>
      <c r="I136" s="64"/>
      <c r="J136" s="100" t="str">
        <f t="shared" si="24"/>
        <v>LU000862.001</v>
      </c>
      <c r="K136" s="100" t="str">
        <f ca="1">IFERROR(__xludf.dummyfunction("VLOOKUP(J136, IMPORTRANGE(""https://docs.google.com/spreadsheets/d/1yDAaXNsi4Mr5FtRQL4tbmSdIzhx6_m4wkOD7IG-k_eo/edit#gid=0"", ""Maths!M:N""), 2, FALSE)"),"Recall the properties of a square and the tools required for its construction.")</f>
        <v>Recall the properties of a square and the tools required for its construction.</v>
      </c>
      <c r="L136" s="100" t="str">
        <f t="shared" si="25"/>
        <v>LU000862.002</v>
      </c>
      <c r="M136" s="100" t="str">
        <f ca="1">IFERROR(__xludf.dummyfunction("VLOOKUP(L136, IMPORTRANGE(""https://docs.google.com/spreadsheets/d/1yDAaXNsi4Mr5FtRQL4tbmSdIzhx6_m4wkOD7IG-k_eo/edit#gid=0"", ""Maths!M:N""), 2, FALSE)"),"Summarize the significance of a square's properties (equal sides, 90° angles) in its construction process.")</f>
        <v>Summarize the significance of a square's properties (equal sides, 90° angles) in its construction process.</v>
      </c>
      <c r="N136" s="100" t="str">
        <f t="shared" si="26"/>
        <v>LU000862.003</v>
      </c>
      <c r="O136" s="100" t="str">
        <f ca="1">IFERROR(__xludf.dummyfunction("VLOOKUP(N136, IMPORTRANGE(""https://docs.google.com/spreadsheets/d/1yDAaXNsi4Mr5FtRQL4tbmSdIzhx6_m4wkOD7IG-k_eo/edit#gid=0"", ""Maths!M:N""), 2, FALSE)"),"Construct a square accurately on a piece of paper using a ruler and compass when given a specific side length.")</f>
        <v>Construct a square accurately on a piece of paper using a ruler and compass when given a specific side length.</v>
      </c>
      <c r="P136" s="100" t="str">
        <f t="shared" si="27"/>
        <v>LU000862.004</v>
      </c>
      <c r="Q136" s="100" t="str">
        <f ca="1">IFERROR(__xludf.dummyfunction("VLOOKUP(P136, IMPORTRANGE(""https://docs.google.com/spreadsheets/d/1yDAaXNsi4Mr5FtRQL4tbmSdIzhx6_m4wkOD7IG-k_eo/edit#gid=0"", ""Maths!M:N""), 2, FALSE)"),"Identify the sequence of steps and the underlying geometric principles employed during the construction of a square from a given side length.")</f>
        <v>Identify the sequence of steps and the underlying geometric principles employed during the construction of a square from a given side length.</v>
      </c>
      <c r="R136" s="100" t="str">
        <f t="shared" si="28"/>
        <v>LU000862.005</v>
      </c>
      <c r="S136" s="100" t="str">
        <f ca="1">IFERROR(__xludf.dummyfunction("VLOOKUP(R136, IMPORTRANGE(""https://docs.google.com/spreadsheets/d/1yDAaXNsi4Mr5FtRQL4tbmSdIzhx6_m4wkOD7IG-k_eo/edit#gid=0"", ""Maths!M:N""), 2, FALSE)"),"Critique the precision and correctness of a constructed square, ensuring all sides are equal and all angles are right angles.")</f>
        <v>Critique the precision and correctness of a constructed square, ensuring all sides are equal and all angles are right angles.</v>
      </c>
      <c r="T136" s="100" t="str">
        <f t="shared" si="29"/>
        <v>LU000862.006</v>
      </c>
      <c r="U136" s="100" t="str">
        <f ca="1">IFERROR(__xludf.dummyfunction("VLOOKUP(T136, IMPORTRANGE(""https://docs.google.com/spreadsheets/d/1yDAaXNsi4Mr5FtRQL4tbmSdIzhx6_m4wkOD7IG-k_eo/edit#gid=0"", ""Maths!M:N""), 2, FALSE)"),"Design a practical activity or challenge that incorporates the construction of squares into a broader geometric project or artwork.")</f>
        <v>Design a practical activity or challenge that incorporates the construction of squares into a broader geometric project or artwork.</v>
      </c>
      <c r="V136" s="16">
        <f ca="1">IFERROR(__xludf.dummyfunction("ArrayFormula(VLOOKUP(G136, IMPORTRANGE(""https://docs.google.com/spreadsheets/d/1p7R4vtkWt5VOBim4ltsDG9KTzSjrtKXsMtQGXPHyND0/edit#gid=795171502"", ""'Filter 30_05_2024'!A1:M2000""), {2, 3, 4, 5,6,7,8,9,10,11,12,13}, 0))"),4)</f>
        <v>4</v>
      </c>
      <c r="W136" s="16">
        <f ca="1">IFERROR(__xludf.dummyfunction("""COMPUTED_VALUE"""),6)</f>
        <v>6</v>
      </c>
      <c r="X136" s="16">
        <f ca="1">IFERROR(__xludf.dummyfunction("""COMPUTED_VALUE"""),2)</f>
        <v>2</v>
      </c>
      <c r="Y136" s="16">
        <f ca="1">IFERROR(__xludf.dummyfunction("""COMPUTED_VALUE"""),12)</f>
        <v>12</v>
      </c>
      <c r="Z136" s="16">
        <f ca="1">IFERROR(__xludf.dummyfunction("""COMPUTED_VALUE"""),4)</f>
        <v>4</v>
      </c>
      <c r="AA136" s="30">
        <f ca="1">IFERROR(__xludf.dummyfunction("""COMPUTED_VALUE"""),3)</f>
        <v>3</v>
      </c>
      <c r="AB136" s="30">
        <f ca="1">IFERROR(__xludf.dummyfunction("""COMPUTED_VALUE"""),1)</f>
        <v>1</v>
      </c>
      <c r="AC136" s="30">
        <f ca="1">IFERROR(__xludf.dummyfunction("""COMPUTED_VALUE"""),8)</f>
        <v>8</v>
      </c>
      <c r="AD136" s="16"/>
      <c r="AE136" s="30"/>
      <c r="AF136" s="30"/>
      <c r="AG136" s="30"/>
    </row>
    <row r="137" spans="1:33" ht="26.4">
      <c r="A137" s="25"/>
      <c r="B137" s="25" t="s">
        <v>29</v>
      </c>
      <c r="C137" s="25" t="s">
        <v>310</v>
      </c>
      <c r="D137" s="25">
        <v>8</v>
      </c>
      <c r="E137" s="89" t="s">
        <v>1225</v>
      </c>
      <c r="F137" s="89" t="s">
        <v>1225</v>
      </c>
      <c r="G137" s="87" t="s">
        <v>1231</v>
      </c>
      <c r="H137" s="64" t="str">
        <f ca="1">IFERROR(__xludf.dummyfunction("IFERROR(
  VLOOKUP(G137, IMPORTRANGE(""https://docs.google.com/spreadsheets/d/14deopnvwcrKtEGCKuYXdUHJbeLDZlkiSSWWT0g7x2pM/edit#gid=849066331"", ""LU List Maths (Filter)!A:B""), 2, FALSE),
  IFERROR(
    VLOOKUP(G137, IMPORTRANGE(""https://docs.google.com"&amp;"/spreadsheets/d/14deopnvwcrKtEGCKuYXdUHJbeLDZlkiSSWWT0g7x2pM/edit#gid=849066331"", ""LU List Science (Filter)!A:B""), 2, FALSE),
    ""Not Found""
  )
)
"),"Construction of a rhombus of given lengths of two diagonal")</f>
        <v>Construction of a rhombus of given lengths of two diagonal</v>
      </c>
      <c r="I137" s="64"/>
      <c r="J137" s="100" t="str">
        <f t="shared" si="24"/>
        <v>LU000863.001</v>
      </c>
      <c r="K137" s="100" t="str">
        <f ca="1">IFERROR(__xludf.dummyfunction("VLOOKUP(J137, IMPORTRANGE(""https://docs.google.com/spreadsheets/d/1yDAaXNsi4Mr5FtRQL4tbmSdIzhx6_m4wkOD7IG-k_eo/edit#gid=0"", ""Maths!M:N""), 2, FALSE)"),"#N/A")</f>
        <v>#N/A</v>
      </c>
      <c r="L137" s="100" t="str">
        <f t="shared" si="25"/>
        <v>LU000863.002</v>
      </c>
      <c r="M137" s="100" t="str">
        <f ca="1">IFERROR(__xludf.dummyfunction("VLOOKUP(L137, IMPORTRANGE(""https://docs.google.com/spreadsheets/d/1yDAaXNsi4Mr5FtRQL4tbmSdIzhx6_m4wkOD7IG-k_eo/edit#gid=0"", ""Maths!M:N""), 2, FALSE)"),"#N/A")</f>
        <v>#N/A</v>
      </c>
      <c r="N137" s="100" t="str">
        <f t="shared" si="26"/>
        <v>LU000863.003</v>
      </c>
      <c r="O137" s="100" t="str">
        <f ca="1">IFERROR(__xludf.dummyfunction("VLOOKUP(N137, IMPORTRANGE(""https://docs.google.com/spreadsheets/d/1yDAaXNsi4Mr5FtRQL4tbmSdIzhx6_m4wkOD7IG-k_eo/edit#gid=0"", ""Maths!M:N""), 2, FALSE)"),"Draw a rhombus using a ruler and compass when given the specific lengths of its two diagonals.")</f>
        <v>Draw a rhombus using a ruler and compass when given the specific lengths of its two diagonals.</v>
      </c>
      <c r="P137" s="100" t="str">
        <f t="shared" si="27"/>
        <v>LU000863.004</v>
      </c>
      <c r="Q137" s="100" t="str">
        <f ca="1">IFERROR(__xludf.dummyfunction("VLOOKUP(P137, IMPORTRANGE(""https://docs.google.com/spreadsheets/d/1yDAaXNsi4Mr5FtRQL4tbmSdIzhx6_m4wkOD7IG-k_eo/edit#gid=0"", ""Maths!M:N""), 2, FALSE)"),"Dissect the construction process step-by-step, understanding how the diagonals influence the construction and the geometric principles involved.")</f>
        <v>Dissect the construction process step-by-step, understanding how the diagonals influence the construction and the geometric principles involved.</v>
      </c>
      <c r="R137" s="100" t="str">
        <f t="shared" si="28"/>
        <v>LU000863.005</v>
      </c>
      <c r="S137" s="100" t="str">
        <f ca="1">IFERROR(__xludf.dummyfunction("VLOOKUP(R137, IMPORTRANGE(""https://docs.google.com/spreadsheets/d/1yDAaXNsi4Mr5FtRQL4tbmSdIzhx6_m4wkOD7IG-k_eo/edit#gid=0"", ""Maths!M:N""), 2, FALSE)"),"Assess the accuracy of the constructed rhombus, comparing side lengths and ensuring diagonals meet the given conditions (bisecting at right angles and matching the provided lengths).")</f>
        <v>Assess the accuracy of the constructed rhombus, comparing side lengths and ensuring diagonals meet the given conditions (bisecting at right angles and matching the provided lengths).</v>
      </c>
      <c r="T137" s="100" t="str">
        <f t="shared" si="29"/>
        <v>LU000863.006</v>
      </c>
      <c r="U137" s="100" t="str">
        <f ca="1">IFERROR(__xludf.dummyfunction("VLOOKUP(T137, IMPORTRANGE(""https://docs.google.com/spreadsheets/d/1yDAaXNsi4Mr5FtRQL4tbmSdIzhx6_m4wkOD7IG-k_eo/edit#gid=0"", ""Maths!M:N""), 2, FALSE)"),"Devise a geometric puzzle or project that requires understanding and application of rhombus properties, especially its diagonals, to solve or complete.")</f>
        <v>Devise a geometric puzzle or project that requires understanding and application of rhombus properties, especially its diagonals, to solve or complete.</v>
      </c>
      <c r="V137" s="16" t="str">
        <f ca="1">IFERROR(__xludf.dummyfunction("ArrayFormula(VLOOKUP(G137, IMPORTRANGE(""https://docs.google.com/spreadsheets/d/1p7R4vtkWt5VOBim4ltsDG9KTzSjrtKXsMtQGXPHyND0/edit#gid=795171502"", ""'Filter 30_05_2024'!A1:M2000""), {2, 3, 4, 5,6,7,8,9,10,11,12,13}, 0))"),"#N/A")</f>
        <v>#N/A</v>
      </c>
      <c r="W137" s="16" t="str">
        <f ca="1">IFERROR(__xludf.dummyfunction("""COMPUTED_VALUE"""),"#N/A")</f>
        <v>#N/A</v>
      </c>
      <c r="X137" s="16" t="str">
        <f ca="1">IFERROR(__xludf.dummyfunction("""COMPUTED_VALUE"""),"#N/A")</f>
        <v>#N/A</v>
      </c>
      <c r="Y137" s="16" t="str">
        <f ca="1">IFERROR(__xludf.dummyfunction("""COMPUTED_VALUE"""),"#N/A")</f>
        <v>#N/A</v>
      </c>
      <c r="Z137" s="16" t="str">
        <f ca="1">IFERROR(__xludf.dummyfunction("""COMPUTED_VALUE"""),"#N/A")</f>
        <v>#N/A</v>
      </c>
      <c r="AA137" s="30" t="str">
        <f ca="1">IFERROR(__xludf.dummyfunction("""COMPUTED_VALUE"""),"#N/A")</f>
        <v>#N/A</v>
      </c>
      <c r="AB137" s="30" t="str">
        <f ca="1">IFERROR(__xludf.dummyfunction("""COMPUTED_VALUE"""),"#N/A")</f>
        <v>#N/A</v>
      </c>
      <c r="AC137" s="30" t="str">
        <f ca="1">IFERROR(__xludf.dummyfunction("""COMPUTED_VALUE"""),"#N/A")</f>
        <v>#N/A</v>
      </c>
      <c r="AD137" s="16" t="str">
        <f ca="1">IFERROR(__xludf.dummyfunction("""COMPUTED_VALUE"""),"#N/A")</f>
        <v>#N/A</v>
      </c>
      <c r="AE137" s="30" t="str">
        <f ca="1">IFERROR(__xludf.dummyfunction("""COMPUTED_VALUE"""),"#N/A")</f>
        <v>#N/A</v>
      </c>
      <c r="AF137" s="30" t="str">
        <f ca="1">IFERROR(__xludf.dummyfunction("""COMPUTED_VALUE"""),"#N/A")</f>
        <v>#N/A</v>
      </c>
      <c r="AG137" s="30" t="str">
        <f ca="1">IFERROR(__xludf.dummyfunction("""COMPUTED_VALUE"""),"#N/A")</f>
        <v>#N/A</v>
      </c>
    </row>
    <row r="138" spans="1:33" ht="26.4">
      <c r="A138" s="25"/>
      <c r="B138" s="25" t="s">
        <v>29</v>
      </c>
      <c r="C138" s="25" t="s">
        <v>310</v>
      </c>
      <c r="D138" s="25">
        <v>8</v>
      </c>
      <c r="E138" s="89" t="s">
        <v>1225</v>
      </c>
      <c r="F138" s="89" t="s">
        <v>1225</v>
      </c>
      <c r="G138" s="87" t="s">
        <v>1232</v>
      </c>
      <c r="H138" s="64" t="str">
        <f ca="1">IFERROR(__xludf.dummyfunction("IFERROR(
  VLOOKUP(G138, IMPORTRANGE(""https://docs.google.com/spreadsheets/d/14deopnvwcrKtEGCKuYXdUHJbeLDZlkiSSWWT0g7x2pM/edit#gid=849066331"", ""LU List Maths (Filter)!A:B""), 2, FALSE),
  IFERROR(
    VLOOKUP(G138, IMPORTRANGE(""https://docs.google.com"&amp;"/spreadsheets/d/14deopnvwcrKtEGCKuYXdUHJbeLDZlkiSSWWT0g7x2pM/edit#gid=849066331"", ""LU List Science (Filter)!A:B""), 2, FALSE),
    ""Not Found""
  )
)
"),"Construction of a rectangle of given length and breadth")</f>
        <v>Construction of a rectangle of given length and breadth</v>
      </c>
      <c r="I138" s="64"/>
      <c r="J138" s="100" t="str">
        <f t="shared" si="24"/>
        <v>LU000864.001</v>
      </c>
      <c r="K138" s="100" t="str">
        <f ca="1">IFERROR(__xludf.dummyfunction("VLOOKUP(J138, IMPORTRANGE(""https://docs.google.com/spreadsheets/d/1yDAaXNsi4Mr5FtRQL4tbmSdIzhx6_m4wkOD7IG-k_eo/edit#gid=0"", ""Maths!M:N""), 2, FALSE)"),"#N/A")</f>
        <v>#N/A</v>
      </c>
      <c r="L138" s="100" t="str">
        <f t="shared" si="25"/>
        <v>LU000864.002</v>
      </c>
      <c r="M138" s="100" t="str">
        <f ca="1">IFERROR(__xludf.dummyfunction("VLOOKUP(L138, IMPORTRANGE(""https://docs.google.com/spreadsheets/d/1yDAaXNsi4Mr5FtRQL4tbmSdIzhx6_m4wkOD7IG-k_eo/edit#gid=0"", ""Maths!M:N""), 2, FALSE)"),"#N/A")</f>
        <v>#N/A</v>
      </c>
      <c r="N138" s="100" t="str">
        <f t="shared" si="26"/>
        <v>LU000864.003</v>
      </c>
      <c r="O138" s="100" t="str">
        <f ca="1">IFERROR(__xludf.dummyfunction("VLOOKUP(N138, IMPORTRANGE(""https://docs.google.com/spreadsheets/d/1yDAaXNsi4Mr5FtRQL4tbmSdIzhx6_m4wkOD7IG-k_eo/edit#gid=0"", ""Maths!M:N""), 2, FALSE)"),"Draw a rectangle using the given length and breadth with the help of appropriate geometric tools.")</f>
        <v>Draw a rectangle using the given length and breadth with the help of appropriate geometric tools.</v>
      </c>
      <c r="P138" s="100" t="str">
        <f t="shared" si="27"/>
        <v>LU000864.004</v>
      </c>
      <c r="Q138" s="100" t="str">
        <f ca="1">IFERROR(__xludf.dummyfunction("VLOOKUP(P138, IMPORTRANGE(""https://docs.google.com/spreadsheets/d/1yDAaXNsi4Mr5FtRQL4tbmSdIzhx6_m4wkOD7IG-k_eo/edit#gid=0"", ""Maths!M:N""), 2, FALSE)"),"Break down the steps involved in constructing the rectangle and understand the logic behind each step.")</f>
        <v>Break down the steps involved in constructing the rectangle and understand the logic behind each step.</v>
      </c>
      <c r="R138" s="100" t="str">
        <f t="shared" si="28"/>
        <v>LU000864.005</v>
      </c>
      <c r="S138" s="100" t="str">
        <f ca="1">IFERROR(__xludf.dummyfunction("VLOOKUP(R138, IMPORTRANGE(""https://docs.google.com/spreadsheets/d/1yDAaXNsi4Mr5FtRQL4tbmSdIzhx6_m4wkOD7IG-k_eo/edit#gid=0"", ""Maths!M:N""), 2, FALSE)"),"Check the accuracy of the constructed rectangle, ensuring that it aligns with the given measurements and possesses all the properties of a rectangle.")</f>
        <v>Check the accuracy of the constructed rectangle, ensuring that it aligns with the given measurements and possesses all the properties of a rectangle.</v>
      </c>
      <c r="T138" s="100" t="str">
        <f t="shared" si="29"/>
        <v>LU000864.006</v>
      </c>
      <c r="U138" s="100" t="str">
        <f ca="1">IFERROR(__xludf.dummyfunction("VLOOKUP(T138, IMPORTRANGE(""https://docs.google.com/spreadsheets/d/1yDAaXNsi4Mr5FtRQL4tbmSdIzhx6_m4wkOD7IG-k_eo/edit#gid=0"", ""Maths!M:N""), 2, FALSE)"),"Design a task or activity where the knowledge of rectangle construction is used to solve a larger problem or create a complex geometric figure.")</f>
        <v>Design a task or activity where the knowledge of rectangle construction is used to solve a larger problem or create a complex geometric figure.</v>
      </c>
      <c r="V138" s="16">
        <f ca="1">IFERROR(__xludf.dummyfunction("ArrayFormula(VLOOKUP(G138, IMPORTRANGE(""https://docs.google.com/spreadsheets/d/1p7R4vtkWt5VOBim4ltsDG9KTzSjrtKXsMtQGXPHyND0/edit#gid=795171502"", ""'Filter 30_05_2024'!A1:M2000""), {2, 3, 4, 5,6,7,8,9,10,11,12,13}, 0))"),4)</f>
        <v>4</v>
      </c>
      <c r="W138" s="16">
        <f ca="1">IFERROR(__xludf.dummyfunction("""COMPUTED_VALUE"""),5)</f>
        <v>5</v>
      </c>
      <c r="X138" s="16">
        <f ca="1">IFERROR(__xludf.dummyfunction("""COMPUTED_VALUE"""),2)</f>
        <v>2</v>
      </c>
      <c r="Y138" s="16">
        <f ca="1">IFERROR(__xludf.dummyfunction("""COMPUTED_VALUE"""),11)</f>
        <v>11</v>
      </c>
      <c r="Z138" s="16">
        <f ca="1">IFERROR(__xludf.dummyfunction("""COMPUTED_VALUE"""),4)</f>
        <v>4</v>
      </c>
      <c r="AA138" s="30">
        <f ca="1">IFERROR(__xludf.dummyfunction("""COMPUTED_VALUE"""),4)</f>
        <v>4</v>
      </c>
      <c r="AB138" s="30">
        <f ca="1">IFERROR(__xludf.dummyfunction("""COMPUTED_VALUE"""),1)</f>
        <v>1</v>
      </c>
      <c r="AC138" s="30">
        <f ca="1">IFERROR(__xludf.dummyfunction("""COMPUTED_VALUE"""),9)</f>
        <v>9</v>
      </c>
      <c r="AD138" s="16"/>
      <c r="AE138" s="30"/>
      <c r="AF138" s="30"/>
      <c r="AG138" s="30"/>
    </row>
    <row r="139" spans="1:33" ht="26.4">
      <c r="A139" s="25"/>
      <c r="B139" s="25" t="s">
        <v>29</v>
      </c>
      <c r="C139" s="25" t="s">
        <v>310</v>
      </c>
      <c r="D139" s="25">
        <v>8</v>
      </c>
      <c r="E139" s="89" t="s">
        <v>1225</v>
      </c>
      <c r="F139" s="89" t="s">
        <v>1225</v>
      </c>
      <c r="G139" s="87" t="s">
        <v>1233</v>
      </c>
      <c r="H139" s="64" t="str">
        <f ca="1">IFERROR(__xludf.dummyfunction("IFERROR(
  VLOOKUP(G139, IMPORTRANGE(""https://docs.google.com/spreadsheets/d/14deopnvwcrKtEGCKuYXdUHJbeLDZlkiSSWWT0g7x2pM/edit#gid=849066331"", ""LU List Maths (Filter)!A:B""), 2, FALSE),
  IFERROR(
    VLOOKUP(G139, IMPORTRANGE(""https://docs.google.com"&amp;"/spreadsheets/d/14deopnvwcrKtEGCKuYXdUHJbeLDZlkiSSWWT0g7x2pM/edit#gid=849066331"", ""LU List Science (Filter)!A:B""), 2, FALSE),
    ""Not Found""
  )
)
"),"Construction of a parallelogram of given lengths of opposite sides and one diagonal")</f>
        <v>Construction of a parallelogram of given lengths of opposite sides and one diagonal</v>
      </c>
      <c r="I139" s="64"/>
      <c r="J139" s="100" t="str">
        <f t="shared" si="24"/>
        <v>LU000866.001</v>
      </c>
      <c r="K139" s="100" t="str">
        <f ca="1">IFERROR(__xludf.dummyfunction("VLOOKUP(J139, IMPORTRANGE(""https://docs.google.com/spreadsheets/d/1yDAaXNsi4Mr5FtRQL4tbmSdIzhx6_m4wkOD7IG-k_eo/edit#gid=0"", ""Maths!M:N""), 2, FALSE)"),"#N/A")</f>
        <v>#N/A</v>
      </c>
      <c r="L139" s="100" t="str">
        <f t="shared" si="25"/>
        <v>LU000866.002</v>
      </c>
      <c r="M139" s="100" t="str">
        <f ca="1">IFERROR(__xludf.dummyfunction("VLOOKUP(L139, IMPORTRANGE(""https://docs.google.com/spreadsheets/d/1yDAaXNsi4Mr5FtRQL4tbmSdIzhx6_m4wkOD7IG-k_eo/edit#gid=0"", ""Maths!M:N""), 2, FALSE)"),"Explain the relevance of the given measurements of opposite sides and a diagonal in determining the specific shape and dimensions of a parallelogram.")</f>
        <v>Explain the relevance of the given measurements of opposite sides and a diagonal in determining the specific shape and dimensions of a parallelogram.</v>
      </c>
      <c r="N139" s="100" t="str">
        <f t="shared" si="26"/>
        <v>LU000866.003</v>
      </c>
      <c r="O139" s="100" t="str">
        <f ca="1">IFERROR(__xludf.dummyfunction("VLOOKUP(N139, IMPORTRANGE(""https://docs.google.com/spreadsheets/d/1yDAaXNsi4Mr5FtRQL4tbmSdIzhx6_m4wkOD7IG-k_eo/edit#gid=0"", ""Maths!M:N""), 2, FALSE)"),"Construct a parallelogram using geometric tools, given the measurements of opposite sides and one diagonal.")</f>
        <v>Construct a parallelogram using geometric tools, given the measurements of opposite sides and one diagonal.</v>
      </c>
      <c r="P139" s="100" t="str">
        <f t="shared" si="27"/>
        <v>LU000866.004</v>
      </c>
      <c r="Q139" s="100" t="str">
        <f ca="1">IFERROR(__xludf.dummyfunction("VLOOKUP(P139, IMPORTRANGE(""https://docs.google.com/spreadsheets/d/1yDAaXNsi4Mr5FtRQL4tbmSdIzhx6_m4wkOD7IG-k_eo/edit#gid=0"", ""Maths!M:N""), 2, FALSE)"),"Decompose the construction process, focusing on the steps that utilise the relationship between the parallelogram's sides and the provided diagonal.")</f>
        <v>Decompose the construction process, focusing on the steps that utilise the relationship between the parallelogram's sides and the provided diagonal.</v>
      </c>
      <c r="R139" s="100" t="str">
        <f t="shared" si="28"/>
        <v>LU000866.005</v>
      </c>
      <c r="S139" s="100" t="str">
        <f ca="1">IFERROR(__xludf.dummyfunction("VLOOKUP(R139, IMPORTRANGE(""https://docs.google.com/spreadsheets/d/1yDAaXNsi4Mr5FtRQL4tbmSdIzhx6_m4wkOD7IG-k_eo/edit#gid=0"", ""Maths!M:N""), 2, FALSE)"),"Assess the correctness of a constructed parallelogram, ensuring that its sides and diagonal match the given measurements and adhere to the geometric properties of a parallelogram.")</f>
        <v>Assess the correctness of a constructed parallelogram, ensuring that its sides and diagonal match the given measurements and adhere to the geometric properties of a parallelogram.</v>
      </c>
      <c r="T139" s="100" t="str">
        <f t="shared" si="29"/>
        <v>LU000866.006</v>
      </c>
      <c r="U139" s="100" t="str">
        <f ca="1">IFERROR(__xludf.dummyfunction("VLOOKUP(T139, IMPORTRANGE(""https://docs.google.com/spreadsheets/d/1yDAaXNsi4Mr5FtRQL4tbmSdIzhx6_m4wkOD7IG-k_eo/edit#gid=0"", ""Maths!M:N""), 2, FALSE)"),"Propose a complex geometric task or puzzle that requires an understanding of parallelogram properties, especially in relation to the given lengths of opposite sides and a diagonal.")</f>
        <v>Propose a complex geometric task or puzzle that requires an understanding of parallelogram properties, especially in relation to the given lengths of opposite sides and a diagonal.</v>
      </c>
      <c r="V139" s="16" t="str">
        <f ca="1">IFERROR(__xludf.dummyfunction("ArrayFormula(VLOOKUP(G139, IMPORTRANGE(""https://docs.google.com/spreadsheets/d/1p7R4vtkWt5VOBim4ltsDG9KTzSjrtKXsMtQGXPHyND0/edit#gid=795171502"", ""'Filter 30_05_2024'!A1:M2000""), {2, 3, 4, 5,6,7,8,9,10,11,12,13}, 0))"),"#N/A")</f>
        <v>#N/A</v>
      </c>
      <c r="W139" s="16" t="str">
        <f ca="1">IFERROR(__xludf.dummyfunction("""COMPUTED_VALUE"""),"#N/A")</f>
        <v>#N/A</v>
      </c>
      <c r="X139" s="16" t="str">
        <f ca="1">IFERROR(__xludf.dummyfunction("""COMPUTED_VALUE"""),"#N/A")</f>
        <v>#N/A</v>
      </c>
      <c r="Y139" s="16" t="str">
        <f ca="1">IFERROR(__xludf.dummyfunction("""COMPUTED_VALUE"""),"#N/A")</f>
        <v>#N/A</v>
      </c>
      <c r="Z139" s="16" t="str">
        <f ca="1">IFERROR(__xludf.dummyfunction("""COMPUTED_VALUE"""),"#N/A")</f>
        <v>#N/A</v>
      </c>
      <c r="AA139" s="30" t="str">
        <f ca="1">IFERROR(__xludf.dummyfunction("""COMPUTED_VALUE"""),"#N/A")</f>
        <v>#N/A</v>
      </c>
      <c r="AB139" s="30" t="str">
        <f ca="1">IFERROR(__xludf.dummyfunction("""COMPUTED_VALUE"""),"#N/A")</f>
        <v>#N/A</v>
      </c>
      <c r="AC139" s="30" t="str">
        <f ca="1">IFERROR(__xludf.dummyfunction("""COMPUTED_VALUE"""),"#N/A")</f>
        <v>#N/A</v>
      </c>
      <c r="AD139" s="16" t="str">
        <f ca="1">IFERROR(__xludf.dummyfunction("""COMPUTED_VALUE"""),"#N/A")</f>
        <v>#N/A</v>
      </c>
      <c r="AE139" s="30" t="str">
        <f ca="1">IFERROR(__xludf.dummyfunction("""COMPUTED_VALUE"""),"#N/A")</f>
        <v>#N/A</v>
      </c>
      <c r="AF139" s="30" t="str">
        <f ca="1">IFERROR(__xludf.dummyfunction("""COMPUTED_VALUE"""),"#N/A")</f>
        <v>#N/A</v>
      </c>
      <c r="AG139" s="30" t="str">
        <f ca="1">IFERROR(__xludf.dummyfunction("""COMPUTED_VALUE"""),"#N/A")</f>
        <v>#N/A</v>
      </c>
    </row>
    <row r="140" spans="1:33" ht="13.8">
      <c r="A140" s="25"/>
      <c r="B140" s="25" t="s">
        <v>29</v>
      </c>
      <c r="C140" s="25" t="s">
        <v>310</v>
      </c>
      <c r="D140" s="25">
        <v>8</v>
      </c>
      <c r="E140" s="63" t="s">
        <v>723</v>
      </c>
      <c r="F140" s="89" t="s">
        <v>1234</v>
      </c>
      <c r="G140" s="87" t="s">
        <v>1235</v>
      </c>
      <c r="H140" s="64" t="str">
        <f ca="1">IFERROR(__xludf.dummyfunction("IFERROR(
  VLOOKUP(G140, IMPORTRANGE(""https://docs.google.com/spreadsheets/d/14deopnvwcrKtEGCKuYXdUHJbeLDZlkiSSWWT0g7x2pM/edit#gid=849066331"", ""LU List Maths (Filter)!A:B""), 2, FALSE),
  IFERROR(
    VLOOKUP(G140, IMPORTRANGE(""https://docs.google.com"&amp;"/spreadsheets/d/14deopnvwcrKtEGCKuYXdUHJbeLDZlkiSSWWT0g7x2pM/edit#gid=849066331"", ""LU List Science (Filter)!A:B""), 2, FALSE),
    ""Not Found""
  )
)
"),"Area of rectangular paths")</f>
        <v>Area of rectangular paths</v>
      </c>
      <c r="I140" s="87"/>
      <c r="J140" s="100" t="str">
        <f t="shared" si="24"/>
        <v>LU000488.001</v>
      </c>
      <c r="K140" s="100" t="str">
        <f ca="1">IFERROR(__xludf.dummyfunction("VLOOKUP(J140, IMPORTRANGE(""https://docs.google.com/spreadsheets/d/1yDAaXNsi4Mr5FtRQL4tbmSdIzhx6_m4wkOD7IG-k_eo/edit#gid=0"", ""Maths!M:N""), 2, FALSE)"),"Recall the formula for calculating the area of rectangles.")</f>
        <v>Recall the formula for calculating the area of rectangles.</v>
      </c>
      <c r="L140" s="100" t="str">
        <f t="shared" si="25"/>
        <v>LU000488.002</v>
      </c>
      <c r="M140" s="100" t="str">
        <f ca="1">IFERROR(__xludf.dummyfunction("VLOOKUP(L140, IMPORTRANGE(""https://docs.google.com/spreadsheets/d/1yDAaXNsi4Mr5FtRQL4tbmSdIzhx6_m4wkOD7IG-k_eo/edit#gid=0"", ""Maths!M:N""), 2, FALSE)"),"Describe the process of determining the area of a rectangular path given its dimensions.")</f>
        <v>Describe the process of determining the area of a rectangular path given its dimensions.</v>
      </c>
      <c r="N140" s="100" t="str">
        <f t="shared" si="26"/>
        <v>LU000488.003</v>
      </c>
      <c r="O140" s="100" t="str">
        <f ca="1">IFERROR(__xludf.dummyfunction("VLOOKUP(N140, IMPORTRANGE(""https://docs.google.com/spreadsheets/d/1yDAaXNsi4Mr5FtRQL4tbmSdIzhx6_m4wkOD7IG-k_eo/edit#gid=0"", ""Maths!M:N""), 2, FALSE)"),"Calculate the area of a rectangular path inside a larger rectangle using length and width.")</f>
        <v>Calculate the area of a rectangular path inside a larger rectangle using length and width.</v>
      </c>
      <c r="P140" s="100" t="str">
        <f t="shared" si="27"/>
        <v>LU000488.004</v>
      </c>
      <c r="Q140" s="100" t="str">
        <f ca="1">IFERROR(__xludf.dummyfunction("VLOOKUP(P140, IMPORTRANGE(""https://docs.google.com/spreadsheets/d/1yDAaXNsi4Mr5FtRQL4tbmSdIzhx6_m4wkOD7IG-k_eo/edit#gid=0"", ""Maths!M:N""), 2, FALSE)"),"Analyse the effect of varying path width on the overall area of a smaller rectangle.")</f>
        <v>Analyse the effect of varying path width on the overall area of a smaller rectangle.</v>
      </c>
      <c r="R140" s="100" t="str">
        <f t="shared" si="28"/>
        <v>LU000488.005</v>
      </c>
      <c r="S140" s="100" t="str">
        <f ca="1">IFERROR(__xludf.dummyfunction("VLOOKUP(R140, IMPORTRANGE(""https://docs.google.com/spreadsheets/d/1yDAaXNsi4Mr5FtRQL4tbmSdIzhx6_m4wkOD7IG-k_eo/edit#gid=0"", ""Maths!M:N""), 2, FALSE)"),"Assess which combination of length and width optimizes the usage of space for a given area.")</f>
        <v>Assess which combination of length and width optimizes the usage of space for a given area.</v>
      </c>
      <c r="T140" s="100" t="str">
        <f t="shared" si="29"/>
        <v>LU000488.006</v>
      </c>
      <c r="U140" s="100" t="str">
        <f ca="1">IFERROR(__xludf.dummyfunction("VLOOKUP(T140, IMPORTRANGE(""https://docs.google.com/spreadsheets/d/1yDAaXNsi4Mr5FtRQL4tbmSdIzhx6_m4wkOD7IG-k_eo/edit#gid=0"", ""Maths!M:N""), 2, FALSE)"),"Create a design for a rectangular path of a specific area using different length and width dimensions.")</f>
        <v>Create a design for a rectangular path of a specific area using different length and width dimensions.</v>
      </c>
      <c r="V140" s="16" t="str">
        <f ca="1">IFERROR(__xludf.dummyfunction("ArrayFormula(VLOOKUP(G140, IMPORTRANGE(""https://docs.google.com/spreadsheets/d/1p7R4vtkWt5VOBim4ltsDG9KTzSjrtKXsMtQGXPHyND0/edit#gid=795171502"", ""'Filter 30_05_2024'!A1:M2000""), {2, 3, 4, 5,6,7,8,9,10,11,12,13}, 0))"),"")</f>
        <v/>
      </c>
      <c r="W140" s="16"/>
      <c r="X140" s="16"/>
      <c r="Y140" s="16"/>
      <c r="Z140" s="16"/>
      <c r="AA140" s="30">
        <f ca="1">IFERROR(__xludf.dummyfunction("""COMPUTED_VALUE"""),4)</f>
        <v>4</v>
      </c>
      <c r="AB140" s="30"/>
      <c r="AC140" s="30">
        <f ca="1">IFERROR(__xludf.dummyfunction("""COMPUTED_VALUE"""),4)</f>
        <v>4</v>
      </c>
      <c r="AD140" s="16"/>
      <c r="AE140" s="30"/>
      <c r="AF140" s="30"/>
      <c r="AG140" s="30"/>
    </row>
    <row r="141" spans="1:33" ht="13.8">
      <c r="A141" s="25"/>
      <c r="B141" s="25" t="s">
        <v>29</v>
      </c>
      <c r="C141" s="25" t="s">
        <v>310</v>
      </c>
      <c r="D141" s="25">
        <v>8</v>
      </c>
      <c r="E141" s="63" t="s">
        <v>723</v>
      </c>
      <c r="F141" s="89"/>
      <c r="G141" s="87" t="s">
        <v>1236</v>
      </c>
      <c r="H141" s="64" t="str">
        <f ca="1">IFERROR(__xludf.dummyfunction("IFERROR(
  VLOOKUP(G141, IMPORTRANGE(""https://docs.google.com/spreadsheets/d/14deopnvwcrKtEGCKuYXdUHJbeLDZlkiSSWWT0g7x2pM/edit#gid=849066331"", ""LU List Maths (Filter)!A:B""), 2, FALSE),
  IFERROR(
    VLOOKUP(G141, IMPORTRANGE(""https://docs.google.com"&amp;"/spreadsheets/d/14deopnvwcrKtEGCKuYXdUHJbeLDZlkiSSWWT0g7x2pM/edit#gid=849066331"", ""LU List Science (Filter)!A:B""), 2, FALSE),
    ""Not Found""
  )
)
"),"Area of crossroads")</f>
        <v>Area of crossroads</v>
      </c>
      <c r="I141" s="87"/>
      <c r="J141" s="100" t="str">
        <f t="shared" si="24"/>
        <v>LU000489.001</v>
      </c>
      <c r="K141" s="100" t="str">
        <f ca="1">IFERROR(__xludf.dummyfunction("VLOOKUP(J141, IMPORTRANGE(""https://docs.google.com/spreadsheets/d/1yDAaXNsi4Mr5FtRQL4tbmSdIzhx6_m4wkOD7IG-k_eo/edit#gid=0"", ""Maths!M:N""), 2, FALSE)"),"Recall the definition of crossroads in geometry.")</f>
        <v>Recall the definition of crossroads in geometry.</v>
      </c>
      <c r="L141" s="100" t="str">
        <f t="shared" si="25"/>
        <v>LU000489.002</v>
      </c>
      <c r="M141" s="100" t="str">
        <f ca="1">IFERROR(__xludf.dummyfunction("VLOOKUP(L141, IMPORTRANGE(""https://docs.google.com/spreadsheets/d/1yDAaXNsi4Mr5FtRQL4tbmSdIzhx6_m4wkOD7IG-k_eo/edit#gid=0"", ""Maths!M:N""), 2, FALSE)"),"Explain real-life scenarios where determining the area of crossroads is required")</f>
        <v>Explain real-life scenarios where determining the area of crossroads is required</v>
      </c>
      <c r="N141" s="100" t="str">
        <f t="shared" si="26"/>
        <v>LU000489.003</v>
      </c>
      <c r="O141" s="100" t="str">
        <f ca="1">IFERROR(__xludf.dummyfunction("VLOOKUP(N141, IMPORTRANGE(""https://docs.google.com/spreadsheets/d/1yDAaXNsi4Mr5FtRQL4tbmSdIzhx6_m4wkOD7IG-k_eo/edit#gid=0"", ""Maths!M:N""), 2, FALSE)"),"Apply the formula for calculating the area of crossroads.")</f>
        <v>Apply the formula for calculating the area of crossroads.</v>
      </c>
      <c r="P141" s="100" t="str">
        <f t="shared" si="27"/>
        <v>LU000489.004</v>
      </c>
      <c r="Q141" s="100" t="str">
        <f ca="1">IFERROR(__xludf.dummyfunction("VLOOKUP(P141, IMPORTRANGE(""https://docs.google.com/spreadsheets/d/1yDAaXNsi4Mr5FtRQL4tbmSdIzhx6_m4wkOD7IG-k_eo/edit#gid=0"", ""Maths!M:N""), 2, FALSE)"),"Analyse the layout of a crossroads to determine its shape and the components affecting its area.")</f>
        <v>Analyse the layout of a crossroads to determine its shape and the components affecting its area.</v>
      </c>
      <c r="R141" s="100" t="str">
        <f t="shared" si="28"/>
        <v>LU000489.005</v>
      </c>
      <c r="S141" s="100" t="str">
        <f ca="1">IFERROR(__xludf.dummyfunction("VLOOKUP(R141, IMPORTRANGE(""https://docs.google.com/spreadsheets/d/1yDAaXNsi4Mr5FtRQL4tbmSdIzhx6_m4wkOD7IG-k_eo/edit#gid=0"", ""Maths!M:N""), 2, FALSE)"),"Evaluate the efficiency of using the area of crossroads in real-life scenarios.")</f>
        <v>Evaluate the efficiency of using the area of crossroads in real-life scenarios.</v>
      </c>
      <c r="T141" s="100" t="str">
        <f t="shared" si="29"/>
        <v>LU000489.006</v>
      </c>
      <c r="U141" s="100" t="str">
        <f ca="1">IFERROR(__xludf.dummyfunction("VLOOKUP(T141, IMPORTRANGE(""https://docs.google.com/spreadsheets/d/1yDAaXNsi4Mr5FtRQL4tbmSdIzhx6_m4wkOD7IG-k_eo/edit#gid=0"", ""Maths!M:N""), 2, FALSE)"),"Create a design for a new crossroads layout, considering its area and components.")</f>
        <v>Create a design for a new crossroads layout, considering its area and components.</v>
      </c>
      <c r="V141" s="16" t="str">
        <f ca="1">IFERROR(__xludf.dummyfunction("ArrayFormula(VLOOKUP(G141, IMPORTRANGE(""https://docs.google.com/spreadsheets/d/1p7R4vtkWt5VOBim4ltsDG9KTzSjrtKXsMtQGXPHyND0/edit#gid=795171502"", ""'Filter 30_05_2024'!A1:M2000""), {2, 3, 4, 5,6,7,8,9,10,11,12,13}, 0))"),"")</f>
        <v/>
      </c>
      <c r="W141" s="16"/>
      <c r="X141" s="16"/>
      <c r="Y141" s="16"/>
      <c r="Z141" s="16"/>
      <c r="AA141" s="30">
        <f ca="1">IFERROR(__xludf.dummyfunction("""COMPUTED_VALUE"""),4)</f>
        <v>4</v>
      </c>
      <c r="AB141" s="30"/>
      <c r="AC141" s="30">
        <f ca="1">IFERROR(__xludf.dummyfunction("""COMPUTED_VALUE"""),4)</f>
        <v>4</v>
      </c>
      <c r="AD141" s="16"/>
      <c r="AE141" s="30"/>
      <c r="AF141" s="30"/>
      <c r="AG141" s="30"/>
    </row>
    <row r="142" spans="1:33" ht="13.8">
      <c r="A142" s="25"/>
      <c r="B142" s="25" t="s">
        <v>29</v>
      </c>
      <c r="C142" s="25" t="s">
        <v>310</v>
      </c>
      <c r="D142" s="25">
        <v>8</v>
      </c>
      <c r="E142" s="63" t="s">
        <v>723</v>
      </c>
      <c r="F142" s="89" t="s">
        <v>1237</v>
      </c>
      <c r="G142" s="102" t="s">
        <v>1238</v>
      </c>
      <c r="H142" s="64" t="str">
        <f ca="1">IFERROR(__xludf.dummyfunction("IFERROR(
  VLOOKUP(G142, IMPORTRANGE(""https://docs.google.com/spreadsheets/d/14deopnvwcrKtEGCKuYXdUHJbeLDZlkiSSWWT0g7x2pM/edit#gid=849066331"", ""LU List Maths (Filter)!A:B""), 2, FALSE),
  IFERROR(
    VLOOKUP(G142, IMPORTRANGE(""https://docs.google.com"&amp;"/spreadsheets/d/14deopnvwcrKtEGCKuYXdUHJbeLDZlkiSSWWT0g7x2pM/edit#gid=849066331"", ""LU List Science (Filter)!A:B""), 2, FALSE),
    ""Not Found""
  )
)
"),"Area of a trapezium using formula")</f>
        <v>Area of a trapezium using formula</v>
      </c>
      <c r="I142" s="87"/>
      <c r="J142" s="100" t="str">
        <f t="shared" si="24"/>
        <v>LU000715.001</v>
      </c>
      <c r="K142" s="100" t="str">
        <f ca="1">IFERROR(__xludf.dummyfunction("VLOOKUP(J142, IMPORTRANGE(""https://docs.google.com/spreadsheets/d/1yDAaXNsi4Mr5FtRQL4tbmSdIzhx6_m4wkOD7IG-k_eo/edit#gid=0"", ""Maths!M:N""), 2, FALSE)"),"Recall the formula for calculating the area of a trapezium.")</f>
        <v>Recall the formula for calculating the area of a trapezium.</v>
      </c>
      <c r="L142" s="100" t="str">
        <f t="shared" si="25"/>
        <v>LU000715.002</v>
      </c>
      <c r="M142" s="100" t="str">
        <f ca="1">IFERROR(__xludf.dummyfunction("VLOOKUP(L142, IMPORTRANGE(""https://docs.google.com/spreadsheets/d/1yDAaXNsi4Mr5FtRQL4tbmSdIzhx6_m4wkOD7IG-k_eo/edit#gid=0"", ""Maths!M:N""), 2, FALSE)"),"Explain the meaning of each variable in the trapezium area formula (A = ½ × (a + b) × h) and how they relate to the shape.")</f>
        <v>Explain the meaning of each variable in the trapezium area formula (A = ½ × (a + b) × h) and how they relate to the shape.</v>
      </c>
      <c r="N142" s="100" t="str">
        <f t="shared" si="26"/>
        <v>LU000715.003</v>
      </c>
      <c r="O142" s="100" t="str">
        <f ca="1">IFERROR(__xludf.dummyfunction("VLOOKUP(N142, IMPORTRANGE(""https://docs.google.com/spreadsheets/d/1yDAaXNsi4Mr5FtRQL4tbmSdIzhx6_m4wkOD7IG-k_eo/edit#gid=0"", ""Maths!M:N""), 2, FALSE)"),"Calculate the area of a given trapezium by applying the area formula.")</f>
        <v>Calculate the area of a given trapezium by applying the area formula.</v>
      </c>
      <c r="P142" s="100" t="str">
        <f t="shared" si="27"/>
        <v>LU000715.004</v>
      </c>
      <c r="Q142" s="100" t="str">
        <f ca="1">IFERROR(__xludf.dummyfunction("VLOOKUP(P142, IMPORTRANGE(""https://docs.google.com/spreadsheets/d/1yDAaXNsi4Mr5FtRQL4tbmSdIzhx6_m4wkOD7IG-k_eo/edit#gid=0"", ""Maths!M:N""), 2, FALSE)"),"Break down a complex trapezium into simpler shapes and use the trapezium area formula to find its area.")</f>
        <v>Break down a complex trapezium into simpler shapes and use the trapezium area formula to find its area.</v>
      </c>
      <c r="R142" s="100" t="str">
        <f t="shared" si="28"/>
        <v>LU000715.005</v>
      </c>
      <c r="S142" s="100" t="str">
        <f ca="1">IFERROR(__xludf.dummyfunction("VLOOKUP(R142, IMPORTRANGE(""https://docs.google.com/spreadsheets/d/1yDAaXNsi4Mr5FtRQL4tbmSdIzhx6_m4wkOD7IG-k_eo/edit#gid=0"", ""Maths!M:N""), 2, FALSE)"),"Compare and contrast the area of different trapeziums, identifying how changes in base lengths and height affect the area.")</f>
        <v>Compare and contrast the area of different trapeziums, identifying how changes in base lengths and height affect the area.</v>
      </c>
      <c r="T142" s="100" t="str">
        <f t="shared" si="29"/>
        <v>LU000715.006</v>
      </c>
      <c r="U142" s="100" t="str">
        <f ca="1">IFERROR(__xludf.dummyfunction("VLOOKUP(T142, IMPORTRANGE(""https://docs.google.com/spreadsheets/d/1yDAaXNsi4Mr5FtRQL4tbmSdIzhx6_m4wkOD7IG-k_eo/edit#gid=0"", ""Maths!M:N""), 2, FALSE)"),"Design a real-world scenario or problem that requires the calculation of the area of a trapezium, and then solve it, showcasing the practical application of the concept.")</f>
        <v>Design a real-world scenario or problem that requires the calculation of the area of a trapezium, and then solve it, showcasing the practical application of the concept.</v>
      </c>
      <c r="V142" s="16">
        <f ca="1">IFERROR(__xludf.dummyfunction("ArrayFormula(VLOOKUP(G142, IMPORTRANGE(""https://docs.google.com/spreadsheets/d/1p7R4vtkWt5VOBim4ltsDG9KTzSjrtKXsMtQGXPHyND0/edit#gid=795171502"", ""'Filter 30_05_2024'!A1:M2000""), {2, 3, 4, 5,6,7,8,9,10,11,12,13}, 0))"),4)</f>
        <v>4</v>
      </c>
      <c r="W142" s="16">
        <f ca="1">IFERROR(__xludf.dummyfunction("""COMPUTED_VALUE"""),6)</f>
        <v>6</v>
      </c>
      <c r="X142" s="16">
        <f ca="1">IFERROR(__xludf.dummyfunction("""COMPUTED_VALUE"""),2)</f>
        <v>2</v>
      </c>
      <c r="Y142" s="16">
        <f ca="1">IFERROR(__xludf.dummyfunction("""COMPUTED_VALUE"""),12)</f>
        <v>12</v>
      </c>
      <c r="Z142" s="16">
        <f ca="1">IFERROR(__xludf.dummyfunction("""COMPUTED_VALUE"""),4)</f>
        <v>4</v>
      </c>
      <c r="AA142" s="30">
        <f ca="1">IFERROR(__xludf.dummyfunction("""COMPUTED_VALUE"""),3)</f>
        <v>3</v>
      </c>
      <c r="AB142" s="30">
        <f ca="1">IFERROR(__xludf.dummyfunction("""COMPUTED_VALUE"""),1)</f>
        <v>1</v>
      </c>
      <c r="AC142" s="30">
        <f ca="1">IFERROR(__xludf.dummyfunction("""COMPUTED_VALUE"""),8)</f>
        <v>8</v>
      </c>
      <c r="AD142" s="16"/>
      <c r="AE142" s="30"/>
      <c r="AF142" s="30"/>
      <c r="AG142" s="30"/>
    </row>
    <row r="143" spans="1:33" ht="13.8">
      <c r="A143" s="25"/>
      <c r="B143" s="25" t="s">
        <v>29</v>
      </c>
      <c r="C143" s="25" t="s">
        <v>310</v>
      </c>
      <c r="D143" s="25">
        <v>8</v>
      </c>
      <c r="E143" s="63" t="s">
        <v>723</v>
      </c>
      <c r="F143" s="102" t="s">
        <v>1239</v>
      </c>
      <c r="G143" s="87" t="s">
        <v>1240</v>
      </c>
      <c r="H143" s="64" t="str">
        <f ca="1">IFERROR(__xludf.dummyfunction("IFERROR(
  VLOOKUP(G143, IMPORTRANGE(""https://docs.google.com/spreadsheets/d/14deopnvwcrKtEGCKuYXdUHJbeLDZlkiSSWWT0g7x2pM/edit#gid=849066331"", ""LU List Maths (Filter)!A:B""), 2, FALSE),
  IFERROR(
    VLOOKUP(G143, IMPORTRANGE(""https://docs.google.com"&amp;"/spreadsheets/d/14deopnvwcrKtEGCKuYXdUHJbeLDZlkiSSWWT0g7x2pM/edit#gid=849066331"", ""LU List Science (Filter)!A:B""), 2, FALSE),
    ""Not Found""
  )
)
"),"Area of a semicircle")</f>
        <v>Area of a semicircle</v>
      </c>
      <c r="I143" s="87"/>
      <c r="J143" s="100" t="str">
        <f t="shared" si="24"/>
        <v>LU000497.001</v>
      </c>
      <c r="K143" s="100" t="str">
        <f ca="1">IFERROR(__xludf.dummyfunction("VLOOKUP(J143, IMPORTRANGE(""https://docs.google.com/spreadsheets/d/1yDAaXNsi4Mr5FtRQL4tbmSdIzhx6_m4wkOD7IG-k_eo/edit#gid=0"", ""Maths!M:N""), 2, FALSE)"),"Recall the formula for the area of a semicircle")</f>
        <v>Recall the formula for the area of a semicircle</v>
      </c>
      <c r="L143" s="100" t="str">
        <f t="shared" si="25"/>
        <v>LU000497.002</v>
      </c>
      <c r="M143" s="100" t="str">
        <f ca="1">IFERROR(__xludf.dummyfunction("VLOOKUP(L143, IMPORTRANGE(""https://docs.google.com/spreadsheets/d/1yDAaXNsi4Mr5FtRQL4tbmSdIzhx6_m4wkOD7IG-k_eo/edit#gid=0"", ""Maths!M:N""), 2, FALSE)"),"Explain how the formula for the area of a semicircle is derived from the formula for the area of a circle.")</f>
        <v>Explain how the formula for the area of a semicircle is derived from the formula for the area of a circle.</v>
      </c>
      <c r="N143" s="100" t="str">
        <f t="shared" si="26"/>
        <v>LU000497.003</v>
      </c>
      <c r="O143" s="100" t="str">
        <f ca="1">IFERROR(__xludf.dummyfunction("VLOOKUP(N143, IMPORTRANGE(""https://docs.google.com/spreadsheets/d/1yDAaXNsi4Mr5FtRQL4tbmSdIzhx6_m4wkOD7IG-k_eo/edit#gid=0"", ""Maths!M:N""), 2, FALSE)"),"Apply the formula to determine the area of a given semicircle using its radius or diameter.")</f>
        <v>Apply the formula to determine the area of a given semicircle using its radius or diameter.</v>
      </c>
      <c r="P143" s="100" t="str">
        <f t="shared" si="27"/>
        <v>LU000497.004</v>
      </c>
      <c r="Q143" s="100" t="str">
        <f ca="1">IFERROR(__xludf.dummyfunction("VLOOKUP(P143, IMPORTRANGE(""https://docs.google.com/spreadsheets/d/1yDAaXNsi4Mr5FtRQL4tbmSdIzhx6_m4wkOD7IG-k_eo/edit#gid=0"", ""Maths!M:N""), 2, FALSE)"),"Analyse the effect of changing the radius on the area of a semicircle.")</f>
        <v>Analyse the effect of changing the radius on the area of a semicircle.</v>
      </c>
      <c r="R143" s="100" t="str">
        <f t="shared" si="28"/>
        <v>LU000497.005</v>
      </c>
      <c r="S143" s="100" t="str">
        <f ca="1">IFERROR(__xludf.dummyfunction("VLOOKUP(R143, IMPORTRANGE(""https://docs.google.com/spreadsheets/d/1yDAaXNsi4Mr5FtRQL4tbmSdIzhx6_m4wkOD7IG-k_eo/edit#gid=0"", ""Maths!M:N""), 2, FALSE)"),"Evaluate the effectiveness of using the semicircle area formula to solve practical word problems.")</f>
        <v>Evaluate the effectiveness of using the semicircle area formula to solve practical word problems.</v>
      </c>
      <c r="T143" s="100" t="str">
        <f t="shared" si="29"/>
        <v>LU000497.006</v>
      </c>
      <c r="U143" s="100" t="str">
        <f ca="1">IFERROR(__xludf.dummyfunction("VLOOKUP(T143, IMPORTRANGE(""https://docs.google.com/spreadsheets/d/1yDAaXNsi4Mr5FtRQL4tbmSdIzhx6_m4wkOD7IG-k_eo/edit#gid=0"", ""Maths!M:N""), 2, FALSE)"),"Design an experiment to empirically verify the formula for the area of a semicircle using real-world objects.")</f>
        <v>Design an experiment to empirically verify the formula for the area of a semicircle using real-world objects.</v>
      </c>
      <c r="V143" s="16">
        <f ca="1">IFERROR(__xludf.dummyfunction("ArrayFormula(VLOOKUP(G143, IMPORTRANGE(""https://docs.google.com/spreadsheets/d/1p7R4vtkWt5VOBim4ltsDG9KTzSjrtKXsMtQGXPHyND0/edit#gid=795171502"", ""'Filter 30_05_2024'!A1:M2000""), {2, 3, 4, 5,6,7,8,9,10,11,12,13}, 0))"),4)</f>
        <v>4</v>
      </c>
      <c r="W143" s="16">
        <f ca="1">IFERROR(__xludf.dummyfunction("""COMPUTED_VALUE"""),5)</f>
        <v>5</v>
      </c>
      <c r="X143" s="16">
        <f ca="1">IFERROR(__xludf.dummyfunction("""COMPUTED_VALUE"""),2)</f>
        <v>2</v>
      </c>
      <c r="Y143" s="16">
        <f ca="1">IFERROR(__xludf.dummyfunction("""COMPUTED_VALUE"""),11)</f>
        <v>11</v>
      </c>
      <c r="Z143" s="16">
        <f ca="1">IFERROR(__xludf.dummyfunction("""COMPUTED_VALUE"""),4)</f>
        <v>4</v>
      </c>
      <c r="AA143" s="30">
        <f ca="1">IFERROR(__xludf.dummyfunction("""COMPUTED_VALUE"""),4)</f>
        <v>4</v>
      </c>
      <c r="AB143" s="30">
        <f ca="1">IFERROR(__xludf.dummyfunction("""COMPUTED_VALUE"""),1)</f>
        <v>1</v>
      </c>
      <c r="AC143" s="30">
        <f ca="1">IFERROR(__xludf.dummyfunction("""COMPUTED_VALUE"""),9)</f>
        <v>9</v>
      </c>
      <c r="AD143" s="16"/>
      <c r="AE143" s="30"/>
      <c r="AF143" s="30"/>
      <c r="AG143" s="30"/>
    </row>
    <row r="144" spans="1:33" ht="13.8">
      <c r="A144" s="25"/>
      <c r="B144" s="25" t="s">
        <v>29</v>
      </c>
      <c r="C144" s="25" t="s">
        <v>310</v>
      </c>
      <c r="D144" s="25">
        <v>8</v>
      </c>
      <c r="E144" s="63" t="s">
        <v>723</v>
      </c>
      <c r="F144" s="89" t="s">
        <v>1241</v>
      </c>
      <c r="G144" s="87" t="s">
        <v>1242</v>
      </c>
      <c r="H144" s="64" t="str">
        <f ca="1">IFERROR(__xludf.dummyfunction("IFERROR(
  VLOOKUP(G144, IMPORTRANGE(""https://docs.google.com/spreadsheets/d/14deopnvwcrKtEGCKuYXdUHJbeLDZlkiSSWWT0g7x2pM/edit#gid=849066331"", ""LU List Maths (Filter)!A:B""), 2, FALSE),
  IFERROR(
    VLOOKUP(G144, IMPORTRANGE(""https://docs.google.com"&amp;"/spreadsheets/d/14deopnvwcrKtEGCKuYXdUHJbeLDZlkiSSWWT0g7x2pM/edit#gid=849066331"", ""LU List Science (Filter)!A:B""), 2, FALSE),
    ""Not Found""
  )
)
"),"Area of a rhombus using formula in terms of base and height")</f>
        <v>Area of a rhombus using formula in terms of base and height</v>
      </c>
      <c r="I144" s="87"/>
      <c r="J144" s="100" t="str">
        <f t="shared" si="24"/>
        <v>LU000491.001</v>
      </c>
      <c r="K144" s="100" t="str">
        <f ca="1">IFERROR(__xludf.dummyfunction("VLOOKUP(J144, IMPORTRANGE(""https://docs.google.com/spreadsheets/d/1yDAaXNsi4Mr5FtRQL4tbmSdIzhx6_m4wkOD7IG-k_eo/edit#gid=0"", ""Maths!M:N""), 2, FALSE)"),"Recall the formula for the area of a rhombus.")</f>
        <v>Recall the formula for the area of a rhombus.</v>
      </c>
      <c r="L144" s="100" t="str">
        <f t="shared" si="25"/>
        <v>LU000491.002</v>
      </c>
      <c r="M144" s="100" t="str">
        <f ca="1">IFERROR(__xludf.dummyfunction("VLOOKUP(L144, IMPORTRANGE(""https://docs.google.com/spreadsheets/d/1yDAaXNsi4Mr5FtRQL4tbmSdIzhx6_m4wkOD7IG-k_eo/edit#gid=0"", ""Maths!M:N""), 2, FALSE)"),"Describe the process of deriving the area formula for a rhombus using the concept of a rectangle's area.")</f>
        <v>Describe the process of deriving the area formula for a rhombus using the concept of a rectangle's area.</v>
      </c>
      <c r="N144" s="100" t="str">
        <f t="shared" si="26"/>
        <v>LU000491.003</v>
      </c>
      <c r="O144" s="100" t="str">
        <f ca="1">IFERROR(__xludf.dummyfunction("VLOOKUP(N144, IMPORTRANGE(""https://docs.google.com/spreadsheets/d/1yDAaXNsi4Mr5FtRQL4tbmSdIzhx6_m4wkOD7IG-k_eo/edit#gid=0"", ""Maths!M:N""), 2, FALSE)"),"Apply the formula to find the area of a given rhombus using its base and height.")</f>
        <v>Apply the formula to find the area of a given rhombus using its base and height.</v>
      </c>
      <c r="P144" s="100" t="str">
        <f t="shared" si="27"/>
        <v>LU000491.004</v>
      </c>
      <c r="Q144" s="100" t="str">
        <f ca="1">IFERROR(__xludf.dummyfunction("VLOOKUP(P144, IMPORTRANGE(""https://docs.google.com/spreadsheets/d/1yDAaXNsi4Mr5FtRQL4tbmSdIzhx6_m4wkOD7IG-k_eo/edit#gid=0"", ""Maths!M:N""), 2, FALSE)"),"Determine the base or height of a rhombus if the area is given.")</f>
        <v>Determine the base or height of a rhombus if the area is given.</v>
      </c>
      <c r="R144" s="100" t="str">
        <f t="shared" si="28"/>
        <v>LU000491.005</v>
      </c>
      <c r="S144" s="100" t="str">
        <f ca="1">IFERROR(__xludf.dummyfunction("VLOOKUP(R144, IMPORTRANGE(""https://docs.google.com/spreadsheets/d/1yDAaXNsi4Mr5FtRQL4tbmSdIzhx6_m4wkOD7IG-k_eo/edit#gid=0"", ""Maths!M:N""), 2, FALSE)"),"Assess the accuracy of the claim about the relationship between the area and perimeter of rhombus.")</f>
        <v>Assess the accuracy of the claim about the relationship between the area and perimeter of rhombus.</v>
      </c>
      <c r="T144" s="100" t="str">
        <f t="shared" si="29"/>
        <v>LU000491.006</v>
      </c>
      <c r="U144" s="100" t="str">
        <f ca="1">IFERROR(__xludf.dummyfunction("VLOOKUP(T144, IMPORTRANGE(""https://docs.google.com/spreadsheets/d/1yDAaXNsi4Mr5FtRQL4tbmSdIzhx6_m4wkOD7IG-k_eo/edit#gid=0"", ""Maths!M:N""), 2, FALSE)"),"Devise an experiment to demonstrate how altering the dimensions of a rhombus affects its area while keeping the perimeter constant.")</f>
        <v>Devise an experiment to demonstrate how altering the dimensions of a rhombus affects its area while keeping the perimeter constant.</v>
      </c>
      <c r="V144" s="16">
        <f ca="1">IFERROR(__xludf.dummyfunction("ArrayFormula(VLOOKUP(G144, IMPORTRANGE(""https://docs.google.com/spreadsheets/d/1p7R4vtkWt5VOBim4ltsDG9KTzSjrtKXsMtQGXPHyND0/edit#gid=795171502"", ""'Filter 30_05_2024'!A1:M2000""), {2, 3, 4, 5,6,7,8,9,10,11,12,13}, 0))"),4)</f>
        <v>4</v>
      </c>
      <c r="W144" s="16">
        <f ca="1">IFERROR(__xludf.dummyfunction("""COMPUTED_VALUE"""),6)</f>
        <v>6</v>
      </c>
      <c r="X144" s="16">
        <f ca="1">IFERROR(__xludf.dummyfunction("""COMPUTED_VALUE"""),2)</f>
        <v>2</v>
      </c>
      <c r="Y144" s="16">
        <f ca="1">IFERROR(__xludf.dummyfunction("""COMPUTED_VALUE"""),12)</f>
        <v>12</v>
      </c>
      <c r="Z144" s="16">
        <f ca="1">IFERROR(__xludf.dummyfunction("""COMPUTED_VALUE"""),4)</f>
        <v>4</v>
      </c>
      <c r="AA144" s="30">
        <f ca="1">IFERROR(__xludf.dummyfunction("""COMPUTED_VALUE"""),3)</f>
        <v>3</v>
      </c>
      <c r="AB144" s="30">
        <f ca="1">IFERROR(__xludf.dummyfunction("""COMPUTED_VALUE"""),1)</f>
        <v>1</v>
      </c>
      <c r="AC144" s="30">
        <f ca="1">IFERROR(__xludf.dummyfunction("""COMPUTED_VALUE"""),8)</f>
        <v>8</v>
      </c>
      <c r="AD144" s="16"/>
      <c r="AE144" s="30"/>
      <c r="AF144" s="30"/>
      <c r="AG144" s="30"/>
    </row>
    <row r="145" spans="1:33" ht="13.8">
      <c r="A145" s="25"/>
      <c r="B145" s="25" t="s">
        <v>29</v>
      </c>
      <c r="C145" s="25" t="s">
        <v>310</v>
      </c>
      <c r="D145" s="25">
        <v>8</v>
      </c>
      <c r="E145" s="63" t="s">
        <v>723</v>
      </c>
      <c r="F145" s="89"/>
      <c r="G145" s="87" t="s">
        <v>1243</v>
      </c>
      <c r="H145" s="64" t="str">
        <f ca="1">IFERROR(__xludf.dummyfunction("IFERROR(
  VLOOKUP(G145, IMPORTRANGE(""https://docs.google.com/spreadsheets/d/14deopnvwcrKtEGCKuYXdUHJbeLDZlkiSSWWT0g7x2pM/edit#gid=849066331"", ""LU List Maths (Filter)!A:B""), 2, FALSE),
  IFERROR(
    VLOOKUP(G145, IMPORTRANGE(""https://docs.google.com"&amp;"/spreadsheets/d/14deopnvwcrKtEGCKuYXdUHJbeLDZlkiSSWWT0g7x2pM/edit#gid=849066331"", ""LU List Science (Filter)!A:B""), 2, FALSE),
    ""Not Found""
  )
)
"),"Area of a rhombus using formula in terms of lengths of diagonals")</f>
        <v>Area of a rhombus using formula in terms of lengths of diagonals</v>
      </c>
      <c r="I145" s="87"/>
      <c r="J145" s="100" t="str">
        <f t="shared" si="24"/>
        <v>LU000717.001</v>
      </c>
      <c r="K145" s="100" t="str">
        <f ca="1">IFERROR(__xludf.dummyfunction("VLOOKUP(J145, IMPORTRANGE(""https://docs.google.com/spreadsheets/d/1yDAaXNsi4Mr5FtRQL4tbmSdIzhx6_m4wkOD7IG-k_eo/edit#gid=0"", ""Maths!M:N""), 2, FALSE)"),"Recall the formula for the area of a rhombus in terms of lengths of diagonals.")</f>
        <v>Recall the formula for the area of a rhombus in terms of lengths of diagonals.</v>
      </c>
      <c r="L145" s="100" t="str">
        <f t="shared" si="25"/>
        <v>LU000717.002</v>
      </c>
      <c r="M145" s="100" t="str">
        <f ca="1">IFERROR(__xludf.dummyfunction("VLOOKUP(L145, IMPORTRANGE(""https://docs.google.com/spreadsheets/d/1yDAaXNsi4Mr5FtRQL4tbmSdIzhx6_m4wkOD7IG-k_eo/edit#gid=0"", ""Maths!M:N""), 2, FALSE)"),"Explain why the formula for the area of a rhombus involves multiplying the lengths of its diagonals and dividing by 2.")</f>
        <v>Explain why the formula for the area of a rhombus involves multiplying the lengths of its diagonals and dividing by 2.</v>
      </c>
      <c r="N145" s="100" t="str">
        <f t="shared" si="26"/>
        <v>LU000717.003</v>
      </c>
      <c r="O145" s="100" t="str">
        <f ca="1">IFERROR(__xludf.dummyfunction("VLOOKUP(N145, IMPORTRANGE(""https://docs.google.com/spreadsheets/d/1yDAaXNsi4Mr5FtRQL4tbmSdIzhx6_m4wkOD7IG-k_eo/edit#gid=0"", ""Maths!M:N""), 2, FALSE)"),"Apply the area formula to find the area of a given rhombus when the lengths of its diagonals are provided.")</f>
        <v>Apply the area formula to find the area of a given rhombus when the lengths of its diagonals are provided.</v>
      </c>
      <c r="P145" s="100" t="str">
        <f t="shared" si="27"/>
        <v>LU000717.004</v>
      </c>
      <c r="Q145" s="100" t="str">
        <f ca="1">IFERROR(__xludf.dummyfunction("VLOOKUP(P145, IMPORTRANGE(""https://docs.google.com/spreadsheets/d/1yDAaXNsi4Mr5FtRQL4tbmSdIzhx6_m4wkOD7IG-k_eo/edit#gid=0"", ""Maths!M:N""), 2, FALSE)"),"Analyze how changes in the lengths of the diagonals affect the area of a rhombus")</f>
        <v>Analyze how changes in the lengths of the diagonals affect the area of a rhombus</v>
      </c>
      <c r="R145" s="100" t="str">
        <f t="shared" si="28"/>
        <v>LU000717.005</v>
      </c>
      <c r="S145" s="100" t="str">
        <f ca="1">IFERROR(__xludf.dummyfunction("VLOOKUP(R145, IMPORTRANGE(""https://docs.google.com/spreadsheets/d/1yDAaXNsi4Mr5FtRQL4tbmSdIzhx6_m4wkOD7IG-k_eo/edit#gid=0"", ""Maths!M:N""), 2, FALSE)"),"Evaluate the efficiency and accuracy of using the formula involving the diagonals to find the area of a rhombus compared to other methods, such as using side lengths and height.")</f>
        <v>Evaluate the efficiency and accuracy of using the formula involving the diagonals to find the area of a rhombus compared to other methods, such as using side lengths and height.</v>
      </c>
      <c r="T145" s="100" t="str">
        <f t="shared" si="29"/>
        <v>LU000717.006</v>
      </c>
      <c r="U145" s="100" t="str">
        <f ca="1">IFERROR(__xludf.dummyfunction("VLOOKUP(T145, IMPORTRANGE(""https://docs.google.com/spreadsheets/d/1yDAaXNsi4Mr5FtRQL4tbmSdIzhx6_m4wkOD7IG-k_eo/edit#gid=0"", ""Maths!M:N""), 2, FALSE)"),"Create a geometric problem that involves finding the area of a rhombus, providing the lengths of its diagonals, and then solve the problem, demonstrating a creative application of the formula.")</f>
        <v>Create a geometric problem that involves finding the area of a rhombus, providing the lengths of its diagonals, and then solve the problem, demonstrating a creative application of the formula.</v>
      </c>
      <c r="V145" s="16">
        <f ca="1">IFERROR(__xludf.dummyfunction("ArrayFormula(VLOOKUP(G145, IMPORTRANGE(""https://docs.google.com/spreadsheets/d/1p7R4vtkWt5VOBim4ltsDG9KTzSjrtKXsMtQGXPHyND0/edit#gid=795171502"", ""'Filter 30_05_2024'!A1:M2000""), {2, 3, 4, 5,6,7,8,9,10,11,12,13}, 0))"),4)</f>
        <v>4</v>
      </c>
      <c r="W145" s="16">
        <f ca="1">IFERROR(__xludf.dummyfunction("""COMPUTED_VALUE"""),6)</f>
        <v>6</v>
      </c>
      <c r="X145" s="16">
        <f ca="1">IFERROR(__xludf.dummyfunction("""COMPUTED_VALUE"""),2)</f>
        <v>2</v>
      </c>
      <c r="Y145" s="16">
        <f ca="1">IFERROR(__xludf.dummyfunction("""COMPUTED_VALUE"""),12)</f>
        <v>12</v>
      </c>
      <c r="Z145" s="16">
        <f ca="1">IFERROR(__xludf.dummyfunction("""COMPUTED_VALUE"""),5)</f>
        <v>5</v>
      </c>
      <c r="AA145" s="30">
        <f ca="1">IFERROR(__xludf.dummyfunction("""COMPUTED_VALUE"""),5)</f>
        <v>5</v>
      </c>
      <c r="AB145" s="30">
        <f ca="1">IFERROR(__xludf.dummyfunction("""COMPUTED_VALUE"""),3)</f>
        <v>3</v>
      </c>
      <c r="AC145" s="30">
        <f ca="1">IFERROR(__xludf.dummyfunction("""COMPUTED_VALUE"""),13)</f>
        <v>13</v>
      </c>
      <c r="AD145" s="16"/>
      <c r="AE145" s="30"/>
      <c r="AF145" s="30"/>
      <c r="AG145" s="30"/>
    </row>
    <row r="146" spans="1:33" ht="13.8">
      <c r="A146" s="25"/>
      <c r="B146" s="25" t="s">
        <v>29</v>
      </c>
      <c r="C146" s="25" t="s">
        <v>310</v>
      </c>
      <c r="D146" s="25">
        <v>8</v>
      </c>
      <c r="E146" s="63" t="s">
        <v>723</v>
      </c>
      <c r="F146" s="89" t="s">
        <v>1244</v>
      </c>
      <c r="G146" s="87" t="s">
        <v>1245</v>
      </c>
      <c r="H146" s="64" t="str">
        <f ca="1">IFERROR(__xludf.dummyfunction("IFERROR(
  VLOOKUP(G146, IMPORTRANGE(""https://docs.google.com/spreadsheets/d/14deopnvwcrKtEGCKuYXdUHJbeLDZlkiSSWWT0g7x2pM/edit#gid=849066331"", ""LU List Maths (Filter)!A:B""), 2, FALSE),
  IFERROR(
    VLOOKUP(G146, IMPORTRANGE(""https://docs.google.com"&amp;"/spreadsheets/d/14deopnvwcrKtEGCKuYXdUHJbeLDZlkiSSWWT0g7x2pM/edit#gid=849066331"", ""LU List Science (Filter)!A:B""), 2, FALSE),
    ""Not Found""
  )
)
"),"Area of a general quadrilateral using triangulation method")</f>
        <v>Area of a general quadrilateral using triangulation method</v>
      </c>
      <c r="I146" s="87"/>
      <c r="J146" s="100" t="str">
        <f t="shared" si="24"/>
        <v>LU000716.001</v>
      </c>
      <c r="K146" s="100" t="str">
        <f ca="1">IFERROR(__xludf.dummyfunction("VLOOKUP(J146, IMPORTRANGE(""https://docs.google.com/spreadsheets/d/1yDAaXNsi4Mr5FtRQL4tbmSdIzhx6_m4wkOD7IG-k_eo/edit#gid=0"", ""Maths!M:N""), 2, FALSE)"),"Recall the concept of triangulation as a method to find the area of a general quadrilateral.")</f>
        <v>Recall the concept of triangulation as a method to find the area of a general quadrilateral.</v>
      </c>
      <c r="L146" s="100" t="str">
        <f t="shared" si="25"/>
        <v>LU000716.002</v>
      </c>
      <c r="M146" s="100" t="str">
        <f ca="1">IFERROR(__xludf.dummyfunction("VLOOKUP(L146, IMPORTRANGE(""https://docs.google.com/spreadsheets/d/1yDAaXNsi4Mr5FtRQL4tbmSdIzhx6_m4wkOD7IG-k_eo/edit#gid=0"", ""Maths!M:N""), 2, FALSE)"),"Explain how triangulation involves dividing a quadrilateral into two triangles and why this method is used to calculate the area.")</f>
        <v>Explain how triangulation involves dividing a quadrilateral into two triangles and why this method is used to calculate the area.</v>
      </c>
      <c r="N146" s="100" t="str">
        <f t="shared" si="26"/>
        <v>LU000716.003</v>
      </c>
      <c r="O146" s="100" t="str">
        <f ca="1">IFERROR(__xludf.dummyfunction("VLOOKUP(N146, IMPORTRANGE(""https://docs.google.com/spreadsheets/d/1yDAaXNsi4Mr5FtRQL4tbmSdIzhx6_m4wkOD7IG-k_eo/edit#gid=0"", ""Maths!M:N""), 2, FALSE)"),"Apply the triangulation method to find the area of a given quadrilateral by dividing it into triangles.")</f>
        <v>Apply the triangulation method to find the area of a given quadrilateral by dividing it into triangles.</v>
      </c>
      <c r="P146" s="100" t="str">
        <f t="shared" si="27"/>
        <v>LU000716.004</v>
      </c>
      <c r="Q146" s="100" t="str">
        <f ca="1">IFERROR(__xludf.dummyfunction("VLOOKUP(P146, IMPORTRANGE(""https://docs.google.com/spreadsheets/d/1yDAaXNsi4Mr5FtRQL4tbmSdIzhx6_m4wkOD7IG-k_eo/edit#gid=0"", ""Maths!M:N""), 2, FALSE)"),"Analyze different types of quadrilaterals and determine which ones are suitable for area calculation using the triangulation method based on their characteristics.")</f>
        <v>Analyze different types of quadrilaterals and determine which ones are suitable for area calculation using the triangulation method based on their characteristics.</v>
      </c>
      <c r="R146" s="100" t="str">
        <f t="shared" si="28"/>
        <v>LU000716.005</v>
      </c>
      <c r="S146" s="100" t="str">
        <f ca="1">IFERROR(__xludf.dummyfunction("VLOOKUP(R146, IMPORTRANGE(""https://docs.google.com/spreadsheets/d/1yDAaXNsi4Mr5FtRQL4tbmSdIzhx6_m4wkOD7IG-k_eo/edit#gid=0"", ""Maths!M:N""), 2, FALSE)"),"Evaluate the effectiveness of the triangulation method for finding the area of different types of quadrilaterals.")</f>
        <v>Evaluate the effectiveness of the triangulation method for finding the area of different types of quadrilaterals.</v>
      </c>
      <c r="T146" s="100" t="str">
        <f t="shared" si="29"/>
        <v>LU000716.006</v>
      </c>
      <c r="U146" s="100" t="str">
        <f ca="1">IFERROR(__xludf.dummyfunction("VLOOKUP(T146, IMPORTRANGE(""https://docs.google.com/spreadsheets/d/1yDAaXNsi4Mr5FtRQL4tbmSdIzhx6_m4wkOD7IG-k_eo/edit#gid=0"", ""Maths!M:N""), 2, FALSE)"),"Design a real-world scenario or problem involving an irregular quadrilateral, and then use the triangulation method to calculate its area, demonstrating a creative application of the concept.")</f>
        <v>Design a real-world scenario or problem involving an irregular quadrilateral, and then use the triangulation method to calculate its area, demonstrating a creative application of the concept.</v>
      </c>
      <c r="V146" s="16">
        <f ca="1">IFERROR(__xludf.dummyfunction("ArrayFormula(VLOOKUP(G146, IMPORTRANGE(""https://docs.google.com/spreadsheets/d/1p7R4vtkWt5VOBim4ltsDG9KTzSjrtKXsMtQGXPHyND0/edit#gid=795171502"", ""'Filter 30_05_2024'!A1:M2000""), {2, 3, 4, 5,6,7,8,9,10,11,12,13}, 0))"),4)</f>
        <v>4</v>
      </c>
      <c r="W146" s="16">
        <f ca="1">IFERROR(__xludf.dummyfunction("""COMPUTED_VALUE"""),6)</f>
        <v>6</v>
      </c>
      <c r="X146" s="16">
        <f ca="1">IFERROR(__xludf.dummyfunction("""COMPUTED_VALUE"""),2)</f>
        <v>2</v>
      </c>
      <c r="Y146" s="16">
        <f ca="1">IFERROR(__xludf.dummyfunction("""COMPUTED_VALUE"""),12)</f>
        <v>12</v>
      </c>
      <c r="Z146" s="16">
        <f ca="1">IFERROR(__xludf.dummyfunction("""COMPUTED_VALUE"""),5)</f>
        <v>5</v>
      </c>
      <c r="AA146" s="30">
        <f ca="1">IFERROR(__xludf.dummyfunction("""COMPUTED_VALUE"""),5)</f>
        <v>5</v>
      </c>
      <c r="AB146" s="30">
        <f ca="1">IFERROR(__xludf.dummyfunction("""COMPUTED_VALUE"""),1)</f>
        <v>1</v>
      </c>
      <c r="AC146" s="30">
        <f ca="1">IFERROR(__xludf.dummyfunction("""COMPUTED_VALUE"""),11)</f>
        <v>11</v>
      </c>
      <c r="AD146" s="16"/>
      <c r="AE146" s="30"/>
      <c r="AF146" s="30"/>
      <c r="AG146" s="30"/>
    </row>
    <row r="147" spans="1:33" ht="13.8">
      <c r="A147" s="25"/>
      <c r="B147" s="25" t="s">
        <v>29</v>
      </c>
      <c r="C147" s="25" t="s">
        <v>310</v>
      </c>
      <c r="D147" s="25">
        <v>8</v>
      </c>
      <c r="E147" s="63" t="s">
        <v>723</v>
      </c>
      <c r="F147" s="89" t="s">
        <v>1244</v>
      </c>
      <c r="G147" s="87" t="s">
        <v>1246</v>
      </c>
      <c r="H147" s="64" t="str">
        <f ca="1">IFERROR(__xludf.dummyfunction("IFERROR(
  VLOOKUP(G147, IMPORTRANGE(""https://docs.google.com/spreadsheets/d/14deopnvwcrKtEGCKuYXdUHJbeLDZlkiSSWWT0g7x2pM/edit#gid=849066331"", ""LU List Maths (Filter)!A:B""), 2, FALSE),
  IFERROR(
    VLOOKUP(G147, IMPORTRANGE(""https://docs.google.com"&amp;"/spreadsheets/d/14deopnvwcrKtEGCKuYXdUHJbeLDZlkiSSWWT0g7x2pM/edit#gid=849066331"", ""LU List Science (Filter)!A:B""), 2, FALSE),
    ""Not Found""
  )
)
"),"Area of a pentagon by dividing into parts (triangles and quadrilaterals)")</f>
        <v>Area of a pentagon by dividing into parts (triangles and quadrilaterals)</v>
      </c>
      <c r="I147" s="87"/>
      <c r="J147" s="100" t="str">
        <f t="shared" si="24"/>
        <v>LU000728.001</v>
      </c>
      <c r="K147" s="100" t="str">
        <f ca="1">IFERROR(__xludf.dummyfunction("VLOOKUP(J147, IMPORTRANGE(""https://docs.google.com/spreadsheets/d/1yDAaXNsi4Mr5FtRQL4tbmSdIzhx6_m4wkOD7IG-k_eo/edit#gid=0"", ""Maths!M:N""), 2, FALSE)"),"Recall the distinct properties of pentagons and quadrilaterals relevant to area calculations.")</f>
        <v>Recall the distinct properties of pentagons and quadrilaterals relevant to area calculations.</v>
      </c>
      <c r="L147" s="100" t="str">
        <f t="shared" si="25"/>
        <v>LU000728.002</v>
      </c>
      <c r="M147" s="100" t="str">
        <f ca="1">IFERROR(__xludf.dummyfunction("VLOOKUP(L147, IMPORTRANGE(""https://docs.google.com/spreadsheets/d/1yDAaXNsi4Mr5FtRQL4tbmSdIzhx6_m4wkOD7IG-k_eo/edit#gid=0"", ""Maths!M:N""), 2, FALSE)"),"Explain the concept of how a pentagon can be divided into triangles and quadrilaterals to calculate its area.")</f>
        <v>Explain the concept of how a pentagon can be divided into triangles and quadrilaterals to calculate its area.</v>
      </c>
      <c r="N147" s="100" t="str">
        <f t="shared" si="26"/>
        <v>LU000728.003</v>
      </c>
      <c r="O147" s="100" t="str">
        <f ca="1">IFERROR(__xludf.dummyfunction("VLOOKUP(N147, IMPORTRANGE(""https://docs.google.com/spreadsheets/d/1yDAaXNsi4Mr5FtRQL4tbmSdIzhx6_m4wkOD7IG-k_eo/edit#gid=0"", ""Maths!M:N""), 2, FALSE)"),"Calculate the area of a given pentagon by dividing it into triangles and quadrilaterals.")</f>
        <v>Calculate the area of a given pentagon by dividing it into triangles and quadrilaterals.</v>
      </c>
      <c r="P147" s="100" t="str">
        <f t="shared" si="27"/>
        <v>LU000728.004</v>
      </c>
      <c r="Q147" s="100" t="str">
        <f ca="1">IFERROR(__xludf.dummyfunction("VLOOKUP(P147, IMPORTRANGE(""https://docs.google.com/spreadsheets/d/1yDAaXNsi4Mr5FtRQL4tbmSdIzhx6_m4wkOD7IG-k_eo/edit#gid=0"", ""Maths!M:N""), 2, FALSE)"),"Analyze and differentiate the various approaches for dividing a pentagon into triangles and quadrilaterals.")</f>
        <v>Analyze and differentiate the various approaches for dividing a pentagon into triangles and quadrilaterals.</v>
      </c>
      <c r="R147" s="100" t="str">
        <f t="shared" si="28"/>
        <v>LU000728.005</v>
      </c>
      <c r="S147" s="100" t="str">
        <f ca="1">IFERROR(__xludf.dummyfunction("VLOOKUP(R147, IMPORTRANGE(""https://docs.google.com/spreadsheets/d/1yDAaXNsi4Mr5FtRQL4tbmSdIzhx6_m4wkOD7IG-k_eo/edit#gid=0"", ""Maths!M:N""), 2, FALSE)"),"Evaluate the effectiveness of the method of partitioning a pentagon into triangles and quadrilaterals in terms of its accuracy and applicability for different types of pentagons.")</f>
        <v>Evaluate the effectiveness of the method of partitioning a pentagon into triangles and quadrilaterals in terms of its accuracy and applicability for different types of pentagons.</v>
      </c>
      <c r="T147" s="100" t="str">
        <f t="shared" si="29"/>
        <v>LU000728.006</v>
      </c>
      <c r="U147" s="100" t="str">
        <f ca="1">IFERROR(__xludf.dummyfunction("VLOOKUP(T147, IMPORTRANGE(""https://docs.google.com/spreadsheets/d/1yDAaXNsi4Mr5FtRQL4tbmSdIzhx6_m4wkOD7IG-k_eo/edit#gid=0"", ""Maths!M:N""), 2, FALSE)"),"Develop an innovative alternative approach for finding the area of a pentagon by dividing it into parts other than triangles and quadrilaterals.")</f>
        <v>Develop an innovative alternative approach for finding the area of a pentagon by dividing it into parts other than triangles and quadrilaterals.</v>
      </c>
      <c r="V147" s="16">
        <f ca="1">IFERROR(__xludf.dummyfunction("ArrayFormula(VLOOKUP(G147, IMPORTRANGE(""https://docs.google.com/spreadsheets/d/1p7R4vtkWt5VOBim4ltsDG9KTzSjrtKXsMtQGXPHyND0/edit#gid=795171502"", ""'Filter 30_05_2024'!A1:M2000""), {2, 3, 4, 5,6,7,8,9,10,11,12,13}, 0))"),4)</f>
        <v>4</v>
      </c>
      <c r="W147" s="16">
        <f ca="1">IFERROR(__xludf.dummyfunction("""COMPUTED_VALUE"""),6)</f>
        <v>6</v>
      </c>
      <c r="X147" s="16">
        <f ca="1">IFERROR(__xludf.dummyfunction("""COMPUTED_VALUE"""),2)</f>
        <v>2</v>
      </c>
      <c r="Y147" s="16">
        <f ca="1">IFERROR(__xludf.dummyfunction("""COMPUTED_VALUE"""),12)</f>
        <v>12</v>
      </c>
      <c r="Z147" s="16">
        <f ca="1">IFERROR(__xludf.dummyfunction("""COMPUTED_VALUE"""),4)</f>
        <v>4</v>
      </c>
      <c r="AA147" s="30">
        <f ca="1">IFERROR(__xludf.dummyfunction("""COMPUTED_VALUE"""),3)</f>
        <v>3</v>
      </c>
      <c r="AB147" s="30">
        <f ca="1">IFERROR(__xludf.dummyfunction("""COMPUTED_VALUE"""),1)</f>
        <v>1</v>
      </c>
      <c r="AC147" s="30">
        <f ca="1">IFERROR(__xludf.dummyfunction("""COMPUTED_VALUE"""),8)</f>
        <v>8</v>
      </c>
      <c r="AD147" s="16"/>
      <c r="AE147" s="30"/>
      <c r="AF147" s="30"/>
      <c r="AG147" s="30"/>
    </row>
    <row r="148" spans="1:33" ht="13.8">
      <c r="A148" s="25"/>
      <c r="B148" s="25" t="s">
        <v>29</v>
      </c>
      <c r="C148" s="25" t="s">
        <v>310</v>
      </c>
      <c r="D148" s="25">
        <v>8</v>
      </c>
      <c r="E148" s="63" t="s">
        <v>723</v>
      </c>
      <c r="F148" s="89" t="s">
        <v>1244</v>
      </c>
      <c r="G148" s="87" t="s">
        <v>1247</v>
      </c>
      <c r="H148" s="64" t="str">
        <f ca="1">IFERROR(__xludf.dummyfunction("IFERROR(
  VLOOKUP(G148, IMPORTRANGE(""https://docs.google.com/spreadsheets/d/14deopnvwcrKtEGCKuYXdUHJbeLDZlkiSSWWT0g7x2pM/edit#gid=849066331"", ""LU List Maths (Filter)!A:B""), 2, FALSE),
  IFERROR(
    VLOOKUP(G148, IMPORTRANGE(""https://docs.google.com"&amp;"/spreadsheets/d/14deopnvwcrKtEGCKuYXdUHJbeLDZlkiSSWWT0g7x2pM/edit#gid=849066331"", ""LU List Science (Filter)!A:B""), 2, FALSE),
    ""Not Found""
  )
)
"),"Area of a hexagon by dividing into parts (triangles and quadrilaterals)")</f>
        <v>Area of a hexagon by dividing into parts (triangles and quadrilaterals)</v>
      </c>
      <c r="I148" s="87"/>
      <c r="J148" s="100" t="str">
        <f t="shared" si="24"/>
        <v>LU000731.001</v>
      </c>
      <c r="K148" s="100" t="str">
        <f ca="1">IFERROR(__xludf.dummyfunction("VLOOKUP(J148, IMPORTRANGE(""https://docs.google.com/spreadsheets/d/1yDAaXNsi4Mr5FtRQL4tbmSdIzhx6_m4wkOD7IG-k_eo/edit#gid=0"", ""Maths!M:N""), 2, FALSE)"),"Recall the distinct properties of hexagons and quadrilaterals relevant to area calculations.")</f>
        <v>Recall the distinct properties of hexagons and quadrilaterals relevant to area calculations.</v>
      </c>
      <c r="L148" s="100" t="str">
        <f t="shared" si="25"/>
        <v>LU000731.002</v>
      </c>
      <c r="M148" s="100" t="str">
        <f ca="1">IFERROR(__xludf.dummyfunction("VLOOKUP(L148, IMPORTRANGE(""https://docs.google.com/spreadsheets/d/1yDAaXNsi4Mr5FtRQL4tbmSdIzhx6_m4wkOD7IG-k_eo/edit#gid=0"", ""Maths!M:N""), 2, FALSE)"),"Explain the concept of how a hexagon can be divided into triangles and quadrilaterals to calculate its area.")</f>
        <v>Explain the concept of how a hexagon can be divided into triangles and quadrilaterals to calculate its area.</v>
      </c>
      <c r="N148" s="100" t="str">
        <f t="shared" si="26"/>
        <v>LU000731.003</v>
      </c>
      <c r="O148" s="100" t="str">
        <f ca="1">IFERROR(__xludf.dummyfunction("VLOOKUP(N148, IMPORTRANGE(""https://docs.google.com/spreadsheets/d/1yDAaXNsi4Mr5FtRQL4tbmSdIzhx6_m4wkOD7IG-k_eo/edit#gid=0"", ""Maths!M:N""), 2, FALSE)"),"Calculate the area of a given hexagon by dividing it into triangles and quadrilaterals.")</f>
        <v>Calculate the area of a given hexagon by dividing it into triangles and quadrilaterals.</v>
      </c>
      <c r="P148" s="100" t="str">
        <f t="shared" si="27"/>
        <v>LU000731.004</v>
      </c>
      <c r="Q148" s="100" t="str">
        <f ca="1">IFERROR(__xludf.dummyfunction("VLOOKUP(P148, IMPORTRANGE(""https://docs.google.com/spreadsheets/d/1yDAaXNsi4Mr5FtRQL4tbmSdIzhx6_m4wkOD7IG-k_eo/edit#gid=0"", ""Maths!M:N""), 2, FALSE)"),"Analyze and differentiate the various approaches for dividing a hexagon into triangles and quadrilaterals.")</f>
        <v>Analyze and differentiate the various approaches for dividing a hexagon into triangles and quadrilaterals.</v>
      </c>
      <c r="R148" s="100" t="str">
        <f t="shared" si="28"/>
        <v>LU000731.005</v>
      </c>
      <c r="S148" s="100" t="str">
        <f ca="1">IFERROR(__xludf.dummyfunction("VLOOKUP(R148, IMPORTRANGE(""https://docs.google.com/spreadsheets/d/1yDAaXNsi4Mr5FtRQL4tbmSdIzhx6_m4wkOD7IG-k_eo/edit#gid=0"", ""Maths!M:N""), 2, FALSE)"),"Evaluate the effectiveness of the method of partitioning a hexagon into triangles and quadrilaterals in terms of its accuracy and applicability for different types of hexagons.")</f>
        <v>Evaluate the effectiveness of the method of partitioning a hexagon into triangles and quadrilaterals in terms of its accuracy and applicability for different types of hexagons.</v>
      </c>
      <c r="T148" s="100" t="str">
        <f t="shared" si="29"/>
        <v>LU000731.006</v>
      </c>
      <c r="U148" s="100" t="str">
        <f ca="1">IFERROR(__xludf.dummyfunction("VLOOKUP(T148, IMPORTRANGE(""https://docs.google.com/spreadsheets/d/1yDAaXNsi4Mr5FtRQL4tbmSdIzhx6_m4wkOD7IG-k_eo/edit#gid=0"", ""Maths!M:N""), 2, FALSE)"),"Develop an innovative alternative approach for finding the area of a hexagon by dividing it into parts other than triangles and quadrilaterals.")</f>
        <v>Develop an innovative alternative approach for finding the area of a hexagon by dividing it into parts other than triangles and quadrilaterals.</v>
      </c>
      <c r="V148" s="16">
        <f ca="1">IFERROR(__xludf.dummyfunction("ArrayFormula(VLOOKUP(G148, IMPORTRANGE(""https://docs.google.com/spreadsheets/d/1p7R4vtkWt5VOBim4ltsDG9KTzSjrtKXsMtQGXPHyND0/edit#gid=795171502"", ""'Filter 30_05_2024'!A1:M2000""), {2, 3, 4, 5,6,7,8,9,10,11,12,13}, 0))"),4)</f>
        <v>4</v>
      </c>
      <c r="W148" s="16">
        <f ca="1">IFERROR(__xludf.dummyfunction("""COMPUTED_VALUE"""),6)</f>
        <v>6</v>
      </c>
      <c r="X148" s="16">
        <f ca="1">IFERROR(__xludf.dummyfunction("""COMPUTED_VALUE"""),2)</f>
        <v>2</v>
      </c>
      <c r="Y148" s="16">
        <f ca="1">IFERROR(__xludf.dummyfunction("""COMPUTED_VALUE"""),12)</f>
        <v>12</v>
      </c>
      <c r="Z148" s="16">
        <f ca="1">IFERROR(__xludf.dummyfunction("""COMPUTED_VALUE"""),4)</f>
        <v>4</v>
      </c>
      <c r="AA148" s="30">
        <f ca="1">IFERROR(__xludf.dummyfunction("""COMPUTED_VALUE"""),3)</f>
        <v>3</v>
      </c>
      <c r="AB148" s="30">
        <f ca="1">IFERROR(__xludf.dummyfunction("""COMPUTED_VALUE"""),1)</f>
        <v>1</v>
      </c>
      <c r="AC148" s="30">
        <f ca="1">IFERROR(__xludf.dummyfunction("""COMPUTED_VALUE"""),8)</f>
        <v>8</v>
      </c>
      <c r="AD148" s="16"/>
      <c r="AE148" s="30"/>
      <c r="AF148" s="30"/>
      <c r="AG148" s="30"/>
    </row>
    <row r="149" spans="1:33" ht="13.8">
      <c r="A149" s="25"/>
      <c r="B149" s="25" t="s">
        <v>29</v>
      </c>
      <c r="C149" s="25" t="s">
        <v>310</v>
      </c>
      <c r="D149" s="25">
        <v>8</v>
      </c>
      <c r="E149" s="63" t="s">
        <v>723</v>
      </c>
      <c r="F149" s="89" t="s">
        <v>1244</v>
      </c>
      <c r="G149" s="87" t="s">
        <v>1248</v>
      </c>
      <c r="H149" s="64" t="str">
        <f ca="1">IFERROR(__xludf.dummyfunction("IFERROR(
  VLOOKUP(G149, IMPORTRANGE(""https://docs.google.com/spreadsheets/d/14deopnvwcrKtEGCKuYXdUHJbeLDZlkiSSWWT0g7x2pM/edit#gid=849066331"", ""LU List Maths (Filter)!A:B""), 2, FALSE),
  IFERROR(
    VLOOKUP(G149, IMPORTRANGE(""https://docs.google.com"&amp;"/spreadsheets/d/14deopnvwcrKtEGCKuYXdUHJbeLDZlkiSSWWT0g7x2pM/edit#gid=849066331"", ""LU List Science (Filter)!A:B""), 2, FALSE),
    ""Not Found""
  )
)
"),"Area of a heptagon by dividing into parts (triangles and quadrilaterals)")</f>
        <v>Area of a heptagon by dividing into parts (triangles and quadrilaterals)</v>
      </c>
      <c r="I149" s="87"/>
      <c r="J149" s="100" t="str">
        <f t="shared" si="24"/>
        <v>LU000732.001</v>
      </c>
      <c r="K149" s="100" t="str">
        <f ca="1">IFERROR(__xludf.dummyfunction("VLOOKUP(J149, IMPORTRANGE(""https://docs.google.com/spreadsheets/d/1yDAaXNsi4Mr5FtRQL4tbmSdIzhx6_m4wkOD7IG-k_eo/edit#gid=0"", ""Maths!M:N""), 2, FALSE)"),"Recall the distinct properties of heptagons and quadrilaterals relevant to area calculations.")</f>
        <v>Recall the distinct properties of heptagons and quadrilaterals relevant to area calculations.</v>
      </c>
      <c r="L149" s="100" t="str">
        <f t="shared" si="25"/>
        <v>LU000732.002</v>
      </c>
      <c r="M149" s="100" t="str">
        <f ca="1">IFERROR(__xludf.dummyfunction("VLOOKUP(L149, IMPORTRANGE(""https://docs.google.com/spreadsheets/d/1yDAaXNsi4Mr5FtRQL4tbmSdIzhx6_m4wkOD7IG-k_eo/edit#gid=0"", ""Maths!M:N""), 2, FALSE)"),"Explain the concept of how a heptagon can be divided into triangles and quadrilaterals to calculate its area.")</f>
        <v>Explain the concept of how a heptagon can be divided into triangles and quadrilaterals to calculate its area.</v>
      </c>
      <c r="N149" s="100" t="str">
        <f t="shared" si="26"/>
        <v>LU000732.003</v>
      </c>
      <c r="O149" s="100" t="str">
        <f ca="1">IFERROR(__xludf.dummyfunction("VLOOKUP(N149, IMPORTRANGE(""https://docs.google.com/spreadsheets/d/1yDAaXNsi4Mr5FtRQL4tbmSdIzhx6_m4wkOD7IG-k_eo/edit#gid=0"", ""Maths!M:N""), 2, FALSE)"),"Calculate the area of a given heptagon by dividing it into triangles and quadrilaterals.")</f>
        <v>Calculate the area of a given heptagon by dividing it into triangles and quadrilaterals.</v>
      </c>
      <c r="P149" s="100" t="str">
        <f t="shared" si="27"/>
        <v>LU000732.004</v>
      </c>
      <c r="Q149" s="100" t="str">
        <f ca="1">IFERROR(__xludf.dummyfunction("VLOOKUP(P149, IMPORTRANGE(""https://docs.google.com/spreadsheets/d/1yDAaXNsi4Mr5FtRQL4tbmSdIzhx6_m4wkOD7IG-k_eo/edit#gid=0"", ""Maths!M:N""), 2, FALSE)"),"Analyze and differentiate the various approaches for dividing a heptagon into triangles and quadrilaterals.")</f>
        <v>Analyze and differentiate the various approaches for dividing a heptagon into triangles and quadrilaterals.</v>
      </c>
      <c r="R149" s="100" t="str">
        <f t="shared" si="28"/>
        <v>LU000732.005</v>
      </c>
      <c r="S149" s="100" t="str">
        <f ca="1">IFERROR(__xludf.dummyfunction("VLOOKUP(R149, IMPORTRANGE(""https://docs.google.com/spreadsheets/d/1yDAaXNsi4Mr5FtRQL4tbmSdIzhx6_m4wkOD7IG-k_eo/edit#gid=0"", ""Maths!M:N""), 2, FALSE)"),"Evaluate the effectiveness of the method of partitioning a heptagon into triangles and quadrilaterals in terms of its accuracy and applicability for different types of heptagons.")</f>
        <v>Evaluate the effectiveness of the method of partitioning a heptagon into triangles and quadrilaterals in terms of its accuracy and applicability for different types of heptagons.</v>
      </c>
      <c r="T149" s="100" t="str">
        <f t="shared" si="29"/>
        <v>LU000732.006</v>
      </c>
      <c r="U149" s="100" t="str">
        <f ca="1">IFERROR(__xludf.dummyfunction("VLOOKUP(T149, IMPORTRANGE(""https://docs.google.com/spreadsheets/d/1yDAaXNsi4Mr5FtRQL4tbmSdIzhx6_m4wkOD7IG-k_eo/edit#gid=0"", ""Maths!M:N""), 2, FALSE)"),"Develop an innovative alternative approach for finding the area of a heptagon by dividing it into parts other than triangles and quadrilaterals.")</f>
        <v>Develop an innovative alternative approach for finding the area of a heptagon by dividing it into parts other than triangles and quadrilaterals.</v>
      </c>
      <c r="V149" s="16">
        <f ca="1">IFERROR(__xludf.dummyfunction("ArrayFormula(VLOOKUP(G149, IMPORTRANGE(""https://docs.google.com/spreadsheets/d/1p7R4vtkWt5VOBim4ltsDG9KTzSjrtKXsMtQGXPHyND0/edit#gid=795171502"", ""'Filter 30_05_2024'!A1:M2000""), {2, 3, 4, 5,6,7,8,9,10,11,12,13}, 0))"),4)</f>
        <v>4</v>
      </c>
      <c r="W149" s="16">
        <f ca="1">IFERROR(__xludf.dummyfunction("""COMPUTED_VALUE"""),6)</f>
        <v>6</v>
      </c>
      <c r="X149" s="16">
        <f ca="1">IFERROR(__xludf.dummyfunction("""COMPUTED_VALUE"""),2)</f>
        <v>2</v>
      </c>
      <c r="Y149" s="16">
        <f ca="1">IFERROR(__xludf.dummyfunction("""COMPUTED_VALUE"""),12)</f>
        <v>12</v>
      </c>
      <c r="Z149" s="16">
        <f ca="1">IFERROR(__xludf.dummyfunction("""COMPUTED_VALUE"""),4)</f>
        <v>4</v>
      </c>
      <c r="AA149" s="30">
        <f ca="1">IFERROR(__xludf.dummyfunction("""COMPUTED_VALUE"""),3)</f>
        <v>3</v>
      </c>
      <c r="AB149" s="30">
        <f ca="1">IFERROR(__xludf.dummyfunction("""COMPUTED_VALUE"""),1)</f>
        <v>1</v>
      </c>
      <c r="AC149" s="30">
        <f ca="1">IFERROR(__xludf.dummyfunction("""COMPUTED_VALUE"""),8)</f>
        <v>8</v>
      </c>
      <c r="AD149" s="16"/>
      <c r="AE149" s="30"/>
      <c r="AF149" s="30"/>
      <c r="AG149" s="30"/>
    </row>
    <row r="150" spans="1:33" ht="13.8">
      <c r="A150" s="25"/>
      <c r="B150" s="25" t="s">
        <v>29</v>
      </c>
      <c r="C150" s="25" t="s">
        <v>310</v>
      </c>
      <c r="D150" s="25">
        <v>8</v>
      </c>
      <c r="E150" s="63" t="s">
        <v>723</v>
      </c>
      <c r="F150" s="89" t="s">
        <v>1244</v>
      </c>
      <c r="G150" s="87" t="s">
        <v>1249</v>
      </c>
      <c r="H150" s="64" t="str">
        <f ca="1">IFERROR(__xludf.dummyfunction("IFERROR(
  VLOOKUP(G150, IMPORTRANGE(""https://docs.google.com/spreadsheets/d/14deopnvwcrKtEGCKuYXdUHJbeLDZlkiSSWWT0g7x2pM/edit#gid=849066331"", ""LU List Maths (Filter)!A:B""), 2, FALSE),
  IFERROR(
    VLOOKUP(G150, IMPORTRANGE(""https://docs.google.com"&amp;"/spreadsheets/d/14deopnvwcrKtEGCKuYXdUHJbeLDZlkiSSWWT0g7x2pM/edit#gid=849066331"", ""LU List Science (Filter)!A:B""), 2, FALSE),
    ""Not Found""
  )
)
"),"Area of a octagon by dividing into parts (triangles and quadrilaterals)")</f>
        <v>Area of a octagon by dividing into parts (triangles and quadrilaterals)</v>
      </c>
      <c r="I150" s="87"/>
      <c r="J150" s="100" t="str">
        <f t="shared" si="24"/>
        <v>LU000733.001</v>
      </c>
      <c r="K150" s="100" t="str">
        <f ca="1">IFERROR(__xludf.dummyfunction("VLOOKUP(J150, IMPORTRANGE(""https://docs.google.com/spreadsheets/d/1yDAaXNsi4Mr5FtRQL4tbmSdIzhx6_m4wkOD7IG-k_eo/edit#gid=0"", ""Maths!M:N""), 2, FALSE)"),"Recall the distinct properties of octagons and quadrilaterals relevant to area calculations.")</f>
        <v>Recall the distinct properties of octagons and quadrilaterals relevant to area calculations.</v>
      </c>
      <c r="L150" s="100" t="str">
        <f t="shared" si="25"/>
        <v>LU000733.002</v>
      </c>
      <c r="M150" s="100" t="str">
        <f ca="1">IFERROR(__xludf.dummyfunction("VLOOKUP(L150, IMPORTRANGE(""https://docs.google.com/spreadsheets/d/1yDAaXNsi4Mr5FtRQL4tbmSdIzhx6_m4wkOD7IG-k_eo/edit#gid=0"", ""Maths!M:N""), 2, FALSE)"),"Explain the concept of how a octagon can be divided into triangles and quadrilaterals to calculate its area.")</f>
        <v>Explain the concept of how a octagon can be divided into triangles and quadrilaterals to calculate its area.</v>
      </c>
      <c r="N150" s="100" t="str">
        <f t="shared" si="26"/>
        <v>LU000733.003</v>
      </c>
      <c r="O150" s="100" t="str">
        <f ca="1">IFERROR(__xludf.dummyfunction("VLOOKUP(N150, IMPORTRANGE(""https://docs.google.com/spreadsheets/d/1yDAaXNsi4Mr5FtRQL4tbmSdIzhx6_m4wkOD7IG-k_eo/edit#gid=0"", ""Maths!M:N""), 2, FALSE)"),"Calculate the area of a given octagon by dividing it into triangles and quadrilaterals.")</f>
        <v>Calculate the area of a given octagon by dividing it into triangles and quadrilaterals.</v>
      </c>
      <c r="P150" s="100" t="str">
        <f t="shared" si="27"/>
        <v>LU000733.004</v>
      </c>
      <c r="Q150" s="100" t="str">
        <f ca="1">IFERROR(__xludf.dummyfunction("VLOOKUP(P150, IMPORTRANGE(""https://docs.google.com/spreadsheets/d/1yDAaXNsi4Mr5FtRQL4tbmSdIzhx6_m4wkOD7IG-k_eo/edit#gid=0"", ""Maths!M:N""), 2, FALSE)"),"Analyze and differentiate the various approaches for dividing a octagon into triangles and quadrilaterals.")</f>
        <v>Analyze and differentiate the various approaches for dividing a octagon into triangles and quadrilaterals.</v>
      </c>
      <c r="R150" s="100" t="str">
        <f t="shared" si="28"/>
        <v>LU000733.005</v>
      </c>
      <c r="S150" s="100" t="str">
        <f ca="1">IFERROR(__xludf.dummyfunction("VLOOKUP(R150, IMPORTRANGE(""https://docs.google.com/spreadsheets/d/1yDAaXNsi4Mr5FtRQL4tbmSdIzhx6_m4wkOD7IG-k_eo/edit#gid=0"", ""Maths!M:N""), 2, FALSE)"),"Evaluate the effectiveness of the method of partitioning a octagon into triangles and quadrilaterals in terms of its accuracy and applicability for different types of octagons.")</f>
        <v>Evaluate the effectiveness of the method of partitioning a octagon into triangles and quadrilaterals in terms of its accuracy and applicability for different types of octagons.</v>
      </c>
      <c r="T150" s="100" t="str">
        <f t="shared" si="29"/>
        <v>LU000733.006</v>
      </c>
      <c r="U150" s="100" t="str">
        <f ca="1">IFERROR(__xludf.dummyfunction("VLOOKUP(T150, IMPORTRANGE(""https://docs.google.com/spreadsheets/d/1yDAaXNsi4Mr5FtRQL4tbmSdIzhx6_m4wkOD7IG-k_eo/edit#gid=0"", ""Maths!M:N""), 2, FALSE)"),"Develop an innovative alternative approach for finding the area of a octagon by dividing it into parts other than triangles and quadrilaterals.")</f>
        <v>Develop an innovative alternative approach for finding the area of a octagon by dividing it into parts other than triangles and quadrilaterals.</v>
      </c>
      <c r="V150" s="16">
        <f ca="1">IFERROR(__xludf.dummyfunction("ArrayFormula(VLOOKUP(G150, IMPORTRANGE(""https://docs.google.com/spreadsheets/d/1p7R4vtkWt5VOBim4ltsDG9KTzSjrtKXsMtQGXPHyND0/edit#gid=795171502"", ""'Filter 30_05_2024'!A1:M2000""), {2, 3, 4, 5,6,7,8,9,10,11,12,13}, 0))"),4)</f>
        <v>4</v>
      </c>
      <c r="W150" s="16">
        <f ca="1">IFERROR(__xludf.dummyfunction("""COMPUTED_VALUE"""),6)</f>
        <v>6</v>
      </c>
      <c r="X150" s="16">
        <f ca="1">IFERROR(__xludf.dummyfunction("""COMPUTED_VALUE"""),2)</f>
        <v>2</v>
      </c>
      <c r="Y150" s="16">
        <f ca="1">IFERROR(__xludf.dummyfunction("""COMPUTED_VALUE"""),12)</f>
        <v>12</v>
      </c>
      <c r="Z150" s="16">
        <f ca="1">IFERROR(__xludf.dummyfunction("""COMPUTED_VALUE"""),4)</f>
        <v>4</v>
      </c>
      <c r="AA150" s="30">
        <f ca="1">IFERROR(__xludf.dummyfunction("""COMPUTED_VALUE"""),3)</f>
        <v>3</v>
      </c>
      <c r="AB150" s="30">
        <f ca="1">IFERROR(__xludf.dummyfunction("""COMPUTED_VALUE"""),1)</f>
        <v>1</v>
      </c>
      <c r="AC150" s="30">
        <f ca="1">IFERROR(__xludf.dummyfunction("""COMPUTED_VALUE"""),8)</f>
        <v>8</v>
      </c>
      <c r="AD150" s="16"/>
      <c r="AE150" s="30"/>
      <c r="AF150" s="30"/>
      <c r="AG150" s="30"/>
    </row>
    <row r="151" spans="1:33" ht="13.8">
      <c r="A151" s="25"/>
      <c r="B151" s="25" t="s">
        <v>29</v>
      </c>
      <c r="C151" s="25" t="s">
        <v>310</v>
      </c>
      <c r="D151" s="25">
        <v>8</v>
      </c>
      <c r="E151" s="63" t="s">
        <v>723</v>
      </c>
      <c r="F151" s="89" t="s">
        <v>1250</v>
      </c>
      <c r="G151" s="87" t="s">
        <v>1251</v>
      </c>
      <c r="H151" s="64" t="str">
        <f ca="1">IFERROR(__xludf.dummyfunction("IFERROR(
  VLOOKUP(G151, IMPORTRANGE(""https://docs.google.com/spreadsheets/d/14deopnvwcrKtEGCKuYXdUHJbeLDZlkiSSWWT0g7x2pM/edit#gid=849066331"", ""LU List Maths (Filter)!A:B""), 2, FALSE),
  IFERROR(
    VLOOKUP(G151, IMPORTRANGE(""https://docs.google.com"&amp;"/spreadsheets/d/14deopnvwcrKtEGCKuYXdUHJbeLDZlkiSSWWT0g7x2pM/edit#gid=849066331"", ""LU List Science (Filter)!A:B""), 2, FALSE),
    ""Not Found""
  )
)
"),"Lateral surface area of a cuboid")</f>
        <v>Lateral surface area of a cuboid</v>
      </c>
      <c r="I151" s="87"/>
      <c r="J151" s="100" t="str">
        <f t="shared" si="24"/>
        <v>LU000718.001</v>
      </c>
      <c r="K151" s="100" t="str">
        <f ca="1">IFERROR(__xludf.dummyfunction("VLOOKUP(J151, IMPORTRANGE(""https://docs.google.com/spreadsheets/d/1yDAaXNsi4Mr5FtRQL4tbmSdIzhx6_m4wkOD7IG-k_eo/edit#gid=0"", ""Maths!M:N""), 2, FALSE)"),"Recall the formula for calculating the lateral surface area of a cuboid.")</f>
        <v>Recall the formula for calculating the lateral surface area of a cuboid.</v>
      </c>
      <c r="L151" s="100" t="str">
        <f t="shared" si="25"/>
        <v>LU000718.002</v>
      </c>
      <c r="M151" s="100" t="str">
        <f ca="1">IFERROR(__xludf.dummyfunction("VLOOKUP(L151, IMPORTRANGE(""https://docs.google.com/spreadsheets/d/1yDAaXNsi4Mr5FtRQL4tbmSdIzhx6_m4wkOD7IG-k_eo/edit#gid=0"", ""Maths!M:N""), 2, FALSE)"),"Explain the concept of lateral surface area of a cuboid.")</f>
        <v>Explain the concept of lateral surface area of a cuboid.</v>
      </c>
      <c r="N151" s="100" t="str">
        <f t="shared" si="26"/>
        <v>LU000718.003</v>
      </c>
      <c r="O151" s="100" t="str">
        <f ca="1">IFERROR(__xludf.dummyfunction("VLOOKUP(N151, IMPORTRANGE(""https://docs.google.com/spreadsheets/d/1yDAaXNsi4Mr5FtRQL4tbmSdIzhx6_m4wkOD7IG-k_eo/edit#gid=0"", ""Maths!M:N""), 2, FALSE)"),"Apply the formula to find the lateral surface area of a cuboid with given dimensions.")</f>
        <v>Apply the formula to find the lateral surface area of a cuboid with given dimensions.</v>
      </c>
      <c r="P151" s="100" t="str">
        <f t="shared" si="27"/>
        <v>LU000718.004</v>
      </c>
      <c r="Q151" s="100" t="str">
        <f ca="1">IFERROR(__xludf.dummyfunction("VLOOKUP(P151, IMPORTRANGE(""https://docs.google.com/spreadsheets/d/1yDAaXNsi4Mr5FtRQL4tbmSdIzhx6_m4wkOD7IG-k_eo/edit#gid=0"", ""Maths!M:N""), 2, FALSE)"),"Analyze how changes in the dimensions (length, width, or height) of a cuboid impact its lateral surface area.")</f>
        <v>Analyze how changes in the dimensions (length, width, or height) of a cuboid impact its lateral surface area.</v>
      </c>
      <c r="R151" s="100" t="str">
        <f t="shared" si="28"/>
        <v>LU000718.005</v>
      </c>
      <c r="S151" s="100" t="str">
        <f ca="1">IFERROR(__xludf.dummyfunction("VLOOKUP(R151, IMPORTRANGE(""https://docs.google.com/spreadsheets/d/1yDAaXNsi4Mr5FtRQL4tbmSdIzhx6_m4wkOD7IG-k_eo/edit#gid=0"", ""Maths!M:N""), 2, FALSE)"),"Evaluate the efficiency of the formula for calculating the lateral surface area of a cuboid compared to alternative methods, and justify its relevance in various real-world contexts.")</f>
        <v>Evaluate the efficiency of the formula for calculating the lateral surface area of a cuboid compared to alternative methods, and justify its relevance in various real-world contexts.</v>
      </c>
      <c r="T151" s="100" t="str">
        <f t="shared" si="29"/>
        <v>LU000718.006</v>
      </c>
      <c r="U151" s="100" t="str">
        <f ca="1">IFERROR(__xludf.dummyfunction("VLOOKUP(T151, IMPORTRANGE(""https://docs.google.com/spreadsheets/d/1yDAaXNsi4Mr5FtRQL4tbmSdIzhx6_m4wkOD7IG-k_eo/edit#gid=0"", ""Maths!M:N""), 2, FALSE)"),"#N/A")</f>
        <v>#N/A</v>
      </c>
      <c r="V151" s="16">
        <f ca="1">IFERROR(__xludf.dummyfunction("ArrayFormula(VLOOKUP(G151, IMPORTRANGE(""https://docs.google.com/spreadsheets/d/1p7R4vtkWt5VOBim4ltsDG9KTzSjrtKXsMtQGXPHyND0/edit#gid=795171502"", ""'Filter 30_05_2024'!A1:M2000""), {2, 3, 4, 5,6,7,8,9,10,11,12,13}, 0))"),4)</f>
        <v>4</v>
      </c>
      <c r="W151" s="16">
        <f ca="1">IFERROR(__xludf.dummyfunction("""COMPUTED_VALUE"""),6)</f>
        <v>6</v>
      </c>
      <c r="X151" s="16">
        <f ca="1">IFERROR(__xludf.dummyfunction("""COMPUTED_VALUE"""),2)</f>
        <v>2</v>
      </c>
      <c r="Y151" s="16">
        <f ca="1">IFERROR(__xludf.dummyfunction("""COMPUTED_VALUE"""),12)</f>
        <v>12</v>
      </c>
      <c r="Z151" s="16">
        <f ca="1">IFERROR(__xludf.dummyfunction("""COMPUTED_VALUE"""),4)</f>
        <v>4</v>
      </c>
      <c r="AA151" s="30">
        <f ca="1">IFERROR(__xludf.dummyfunction("""COMPUTED_VALUE"""),3)</f>
        <v>3</v>
      </c>
      <c r="AB151" s="30">
        <f ca="1">IFERROR(__xludf.dummyfunction("""COMPUTED_VALUE"""),1)</f>
        <v>1</v>
      </c>
      <c r="AC151" s="30">
        <f ca="1">IFERROR(__xludf.dummyfunction("""COMPUTED_VALUE"""),8)</f>
        <v>8</v>
      </c>
      <c r="AD151" s="16"/>
      <c r="AE151" s="30"/>
      <c r="AF151" s="30"/>
      <c r="AG151" s="30"/>
    </row>
    <row r="152" spans="1:33" ht="13.8">
      <c r="A152" s="25"/>
      <c r="B152" s="25" t="s">
        <v>29</v>
      </c>
      <c r="C152" s="25" t="s">
        <v>310</v>
      </c>
      <c r="D152" s="25">
        <v>8</v>
      </c>
      <c r="E152" s="63" t="s">
        <v>723</v>
      </c>
      <c r="F152" s="89" t="s">
        <v>1250</v>
      </c>
      <c r="G152" s="87" t="s">
        <v>1252</v>
      </c>
      <c r="H152" s="64" t="str">
        <f ca="1">IFERROR(__xludf.dummyfunction("IFERROR(
  VLOOKUP(G152, IMPORTRANGE(""https://docs.google.com/spreadsheets/d/14deopnvwcrKtEGCKuYXdUHJbeLDZlkiSSWWT0g7x2pM/edit#gid=849066331"", ""LU List Maths (Filter)!A:B""), 2, FALSE),
  IFERROR(
    VLOOKUP(G152, IMPORTRANGE(""https://docs.google.com"&amp;"/spreadsheets/d/14deopnvwcrKtEGCKuYXdUHJbeLDZlkiSSWWT0g7x2pM/edit#gid=849066331"", ""LU List Science (Filter)!A:B""), 2, FALSE),
    ""Not Found""
  )
)
"),"Total surface area of a cuboid")</f>
        <v>Total surface area of a cuboid</v>
      </c>
      <c r="I152" s="87"/>
      <c r="J152" s="100" t="str">
        <f t="shared" si="24"/>
        <v>LU000722.001</v>
      </c>
      <c r="K152" s="100" t="str">
        <f ca="1">IFERROR(__xludf.dummyfunction("VLOOKUP(J152, IMPORTRANGE(""https://docs.google.com/spreadsheets/d/1yDAaXNsi4Mr5FtRQL4tbmSdIzhx6_m4wkOD7IG-k_eo/edit#gid=0"", ""Maths!M:N""), 2, FALSE)"),"Recall the formula for calculating the total surface area of a cuboid.")</f>
        <v>Recall the formula for calculating the total surface area of a cuboid.</v>
      </c>
      <c r="L152" s="100" t="str">
        <f t="shared" si="25"/>
        <v>LU000722.002</v>
      </c>
      <c r="M152" s="100" t="str">
        <f ca="1">IFERROR(__xludf.dummyfunction("VLOOKUP(L152, IMPORTRANGE(""https://docs.google.com/spreadsheets/d/1yDAaXNsi4Mr5FtRQL4tbmSdIzhx6_m4wkOD7IG-k_eo/edit#gid=0"", ""Maths!M:N""), 2, FALSE)"),"Explain the concept of total surface area of a cuboid.")</f>
        <v>Explain the concept of total surface area of a cuboid.</v>
      </c>
      <c r="N152" s="100" t="str">
        <f t="shared" si="26"/>
        <v>LU000722.003</v>
      </c>
      <c r="O152" s="100" t="str">
        <f ca="1">IFERROR(__xludf.dummyfunction("VLOOKUP(N152, IMPORTRANGE(""https://docs.google.com/spreadsheets/d/1yDAaXNsi4Mr5FtRQL4tbmSdIzhx6_m4wkOD7IG-k_eo/edit#gid=0"", ""Maths!M:N""), 2, FALSE)"),"Apply the formula to find the total surface area of a cuboid with given dimensions.")</f>
        <v>Apply the formula to find the total surface area of a cuboid with given dimensions.</v>
      </c>
      <c r="P152" s="100" t="str">
        <f t="shared" si="27"/>
        <v>LU000722.004</v>
      </c>
      <c r="Q152" s="100" t="str">
        <f ca="1">IFERROR(__xludf.dummyfunction("VLOOKUP(P152, IMPORTRANGE(""https://docs.google.com/spreadsheets/d/1yDAaXNsi4Mr5FtRQL4tbmSdIzhx6_m4wkOD7IG-k_eo/edit#gid=0"", ""Maths!M:N""), 2, FALSE)"),"Analyse the relationship between the total surface area and the lateral surface area of a cuboid, identifying how they are connected and why they have different values.")</f>
        <v>Analyse the relationship between the total surface area and the lateral surface area of a cuboid, identifying how they are connected and why they have different values.</v>
      </c>
      <c r="R152" s="100" t="str">
        <f t="shared" si="28"/>
        <v>LU000722.005</v>
      </c>
      <c r="S152" s="100" t="str">
        <f ca="1">IFERROR(__xludf.dummyfunction("VLOOKUP(R152, IMPORTRANGE(""https://docs.google.com/spreadsheets/d/1yDAaXNsi4Mr5FtRQL4tbmSdIzhx6_m4wkOD7IG-k_eo/edit#gid=0"", ""Maths!M:N""), 2, FALSE)"),"Evaluate the efficiency of the formula for calculating the total surface area of a cuboid compared to alternative methods, and justify its relevance in various real-world contexts.")</f>
        <v>Evaluate the efficiency of the formula for calculating the total surface area of a cuboid compared to alternative methods, and justify its relevance in various real-world contexts.</v>
      </c>
      <c r="T152" s="100" t="str">
        <f t="shared" si="29"/>
        <v>LU000722.006</v>
      </c>
      <c r="U152" s="100" t="str">
        <f ca="1">IFERROR(__xludf.dummyfunction("VLOOKUP(T152, IMPORTRANGE(""https://docs.google.com/spreadsheets/d/1yDAaXNsi4Mr5FtRQL4tbmSdIzhx6_m4wkOD7IG-k_eo/edit#gid=0"", ""Maths!M:N""), 2, FALSE)"),"Design a three-dimensional model or prototype of a unique cuboid packaging solution for a specific product, showcasing an innovative application of the concept of total surface area in packaging design.")</f>
        <v>Design a three-dimensional model or prototype of a unique cuboid packaging solution for a specific product, showcasing an innovative application of the concept of total surface area in packaging design.</v>
      </c>
      <c r="V152" s="16">
        <f ca="1">IFERROR(__xludf.dummyfunction("ArrayFormula(VLOOKUP(G152, IMPORTRANGE(""https://docs.google.com/spreadsheets/d/1p7R4vtkWt5VOBim4ltsDG9KTzSjrtKXsMtQGXPHyND0/edit#gid=795171502"", ""'Filter 30_05_2024'!A1:M2000""), {2, 3, 4, 5,6,7,8,9,10,11,12,13}, 0))"),4)</f>
        <v>4</v>
      </c>
      <c r="W152" s="16">
        <f ca="1">IFERROR(__xludf.dummyfunction("""COMPUTED_VALUE"""),6)</f>
        <v>6</v>
      </c>
      <c r="X152" s="16">
        <f ca="1">IFERROR(__xludf.dummyfunction("""COMPUTED_VALUE"""),2)</f>
        <v>2</v>
      </c>
      <c r="Y152" s="16">
        <f ca="1">IFERROR(__xludf.dummyfunction("""COMPUTED_VALUE"""),12)</f>
        <v>12</v>
      </c>
      <c r="Z152" s="16">
        <f ca="1">IFERROR(__xludf.dummyfunction("""COMPUTED_VALUE"""),4)</f>
        <v>4</v>
      </c>
      <c r="AA152" s="30">
        <f ca="1">IFERROR(__xludf.dummyfunction("""COMPUTED_VALUE"""),3)</f>
        <v>3</v>
      </c>
      <c r="AB152" s="30">
        <f ca="1">IFERROR(__xludf.dummyfunction("""COMPUTED_VALUE"""),1)</f>
        <v>1</v>
      </c>
      <c r="AC152" s="30">
        <f ca="1">IFERROR(__xludf.dummyfunction("""COMPUTED_VALUE"""),8)</f>
        <v>8</v>
      </c>
      <c r="AD152" s="16"/>
      <c r="AE152" s="30"/>
      <c r="AF152" s="30"/>
      <c r="AG152" s="30"/>
    </row>
    <row r="153" spans="1:33" ht="13.8">
      <c r="A153" s="25"/>
      <c r="B153" s="25" t="s">
        <v>29</v>
      </c>
      <c r="C153" s="25" t="s">
        <v>310</v>
      </c>
      <c r="D153" s="25">
        <v>8</v>
      </c>
      <c r="E153" s="63" t="s">
        <v>723</v>
      </c>
      <c r="F153" s="89" t="s">
        <v>1250</v>
      </c>
      <c r="G153" s="87" t="s">
        <v>1253</v>
      </c>
      <c r="H153" s="64" t="str">
        <f ca="1">IFERROR(__xludf.dummyfunction("IFERROR(
  VLOOKUP(G153, IMPORTRANGE(""https://docs.google.com/spreadsheets/d/14deopnvwcrKtEGCKuYXdUHJbeLDZlkiSSWWT0g7x2pM/edit#gid=849066331"", ""LU List Maths (Filter)!A:B""), 2, FALSE),
  IFERROR(
    VLOOKUP(G153, IMPORTRANGE(""https://docs.google.com"&amp;"/spreadsheets/d/14deopnvwcrKtEGCKuYXdUHJbeLDZlkiSSWWT0g7x2pM/edit#gid=849066331"", ""LU List Science (Filter)!A:B""), 2, FALSE),
    ""Not Found""
  )
)
"),"Surface area of the cuboid formed by joining the cubes")</f>
        <v>Surface area of the cuboid formed by joining the cubes</v>
      </c>
      <c r="I153" s="87"/>
      <c r="J153" s="100" t="str">
        <f t="shared" si="24"/>
        <v>LU000734.001</v>
      </c>
      <c r="K153" s="100" t="str">
        <f ca="1">IFERROR(__xludf.dummyfunction("VLOOKUP(J153, IMPORTRANGE(""https://docs.google.com/spreadsheets/d/1yDAaXNsi4Mr5FtRQL4tbmSdIzhx6_m4wkOD7IG-k_eo/edit#gid=0"", ""Maths!M:N""), 2, FALSE)"),"Recall the concept of forming a cuboid by joining cubes and remember the formula for calculating the surface area of a cuboid.")</f>
        <v>Recall the concept of forming a cuboid by joining cubes and remember the formula for calculating the surface area of a cuboid.</v>
      </c>
      <c r="L153" s="100" t="str">
        <f t="shared" si="25"/>
        <v>LU000734.002</v>
      </c>
      <c r="M153" s="100" t="str">
        <f ca="1">IFERROR(__xludf.dummyfunction("VLOOKUP(L153, IMPORTRANGE(""https://docs.google.com/spreadsheets/d/1yDAaXNsi4Mr5FtRQL4tbmSdIzhx6_m4wkOD7IG-k_eo/edit#gid=0"", ""Maths!M:N""), 2, FALSE)"),"Understand how cubes with specific side lengths can be arranged and joined together to create a cuboid, recognizing the relationship between the dimensions of the cubes and the dimensions of the resulting cuboid.")</f>
        <v>Understand how cubes with specific side lengths can be arranged and joined together to create a cuboid, recognizing the relationship between the dimensions of the cubes and the dimensions of the resulting cuboid.</v>
      </c>
      <c r="N153" s="100" t="str">
        <f t="shared" si="26"/>
        <v>LU000734.003</v>
      </c>
      <c r="O153" s="100" t="str">
        <f ca="1">IFERROR(__xludf.dummyfunction("VLOOKUP(N153, IMPORTRANGE(""https://docs.google.com/spreadsheets/d/1yDAaXNsi4Mr5FtRQL4tbmSdIzhx6_m4wkOD7IG-k_eo/edit#gid=0"", ""Maths!M:N""), 2, FALSE)"),"Apply the knowledge of joining cubes to form a cuboid with specific side lengths to calculate the surface area of this particular cuboid.")</f>
        <v>Apply the knowledge of joining cubes to form a cuboid with specific side lengths to calculate the surface area of this particular cuboid.</v>
      </c>
      <c r="P153" s="100" t="str">
        <f t="shared" si="27"/>
        <v>LU000734.004</v>
      </c>
      <c r="Q153" s="100" t="str">
        <f ca="1">IFERROR(__xludf.dummyfunction("VLOOKUP(P153, IMPORTRANGE(""https://docs.google.com/spreadsheets/d/1yDAaXNsi4Mr5FtRQL4tbmSdIzhx6_m4wkOD7IG-k_eo/edit#gid=0"", ""Maths!M:N""), 2, FALSE)"),"Analyze and compare the surface areas of the individual cubes with that of the cuboid formed by joining them, identifying differences and understanding how the arrangement affects the overall surface area.")</f>
        <v>Analyze and compare the surface areas of the individual cubes with that of the cuboid formed by joining them, identifying differences and understanding how the arrangement affects the overall surface area.</v>
      </c>
      <c r="R153" s="100" t="str">
        <f t="shared" si="28"/>
        <v>LU000734.005</v>
      </c>
      <c r="S153" s="100" t="str">
        <f ca="1">IFERROR(__xludf.dummyfunction("VLOOKUP(R153, IMPORTRANGE(""https://docs.google.com/spreadsheets/d/1yDAaXNsi4Mr5FtRQL4tbmSdIzhx6_m4wkOD7IG-k_eo/edit#gid=0"", ""Maths!M:N""), 2, FALSE)"),"Evaluate different arrangements of cubes to form cuboids and determine which configuration results in the smallest or largest surface area.")</f>
        <v>Evaluate different arrangements of cubes to form cuboids and determine which configuration results in the smallest or largest surface area.</v>
      </c>
      <c r="T153" s="100" t="str">
        <f t="shared" si="29"/>
        <v>LU000734.006</v>
      </c>
      <c r="U153" s="100" t="str">
        <f ca="1">IFERROR(__xludf.dummyfunction("VLOOKUP(T153, IMPORTRANGE(""https://docs.google.com/spreadsheets/d/1yDAaXNsi4Mr5FtRQL4tbmSdIzhx6_m4wkOD7IG-k_eo/edit#gid=0"", ""Maths!M:N""), 2, FALSE)"),"Create a design project that challenges students to arrange a given number of cubes to form a cuboid with a specified surface area")</f>
        <v>Create a design project that challenges students to arrange a given number of cubes to form a cuboid with a specified surface area</v>
      </c>
      <c r="V153" s="16">
        <f ca="1">IFERROR(__xludf.dummyfunction("ArrayFormula(VLOOKUP(G153, IMPORTRANGE(""https://docs.google.com/spreadsheets/d/1p7R4vtkWt5VOBim4ltsDG9KTzSjrtKXsMtQGXPHyND0/edit#gid=795171502"", ""'Filter 30_05_2024'!A1:M2000""), {2, 3, 4, 5,6,7,8,9,10,11,12,13}, 0))"),4)</f>
        <v>4</v>
      </c>
      <c r="W153" s="16">
        <f ca="1">IFERROR(__xludf.dummyfunction("""COMPUTED_VALUE"""),6)</f>
        <v>6</v>
      </c>
      <c r="X153" s="16">
        <f ca="1">IFERROR(__xludf.dummyfunction("""COMPUTED_VALUE"""),2)</f>
        <v>2</v>
      </c>
      <c r="Y153" s="16">
        <f ca="1">IFERROR(__xludf.dummyfunction("""COMPUTED_VALUE"""),12)</f>
        <v>12</v>
      </c>
      <c r="Z153" s="16">
        <f ca="1">IFERROR(__xludf.dummyfunction("""COMPUTED_VALUE"""),4)</f>
        <v>4</v>
      </c>
      <c r="AA153" s="30">
        <f ca="1">IFERROR(__xludf.dummyfunction("""COMPUTED_VALUE"""),3)</f>
        <v>3</v>
      </c>
      <c r="AB153" s="30">
        <f ca="1">IFERROR(__xludf.dummyfunction("""COMPUTED_VALUE"""),1)</f>
        <v>1</v>
      </c>
      <c r="AC153" s="30">
        <f ca="1">IFERROR(__xludf.dummyfunction("""COMPUTED_VALUE"""),8)</f>
        <v>8</v>
      </c>
      <c r="AD153" s="16"/>
      <c r="AE153" s="30"/>
      <c r="AF153" s="30"/>
      <c r="AG153" s="30"/>
    </row>
    <row r="154" spans="1:33" ht="13.8">
      <c r="A154" s="25"/>
      <c r="B154" s="25" t="s">
        <v>29</v>
      </c>
      <c r="C154" s="25" t="s">
        <v>310</v>
      </c>
      <c r="D154" s="25">
        <v>8</v>
      </c>
      <c r="E154" s="63" t="s">
        <v>723</v>
      </c>
      <c r="F154" s="89" t="s">
        <v>1254</v>
      </c>
      <c r="G154" s="89" t="s">
        <v>1255</v>
      </c>
      <c r="H154" s="64" t="str">
        <f ca="1">IFERROR(__xludf.dummyfunction("IFERROR(
  VLOOKUP(G154, IMPORTRANGE(""https://docs.google.com/spreadsheets/d/14deopnvwcrKtEGCKuYXdUHJbeLDZlkiSSWWT0g7x2pM/edit#gid=849066331"", ""LU List Maths (Filter)!A:B""), 2, FALSE),
  IFERROR(
    VLOOKUP(G154, IMPORTRANGE(""https://docs.google.com"&amp;"/spreadsheets/d/14deopnvwcrKtEGCKuYXdUHJbeLDZlkiSSWWT0g7x2pM/edit#gid=849066331"", ""LU List Science (Filter)!A:B""), 2, FALSE),
    ""Not Found""
  )
)
"),"Lateral surface area of a cube")</f>
        <v>Lateral surface area of a cube</v>
      </c>
      <c r="I154" s="87"/>
      <c r="J154" s="100" t="str">
        <f t="shared" si="24"/>
        <v>LU000720.001</v>
      </c>
      <c r="K154" s="100" t="str">
        <f ca="1">IFERROR(__xludf.dummyfunction("VLOOKUP(J154, IMPORTRANGE(""https://docs.google.com/spreadsheets/d/1yDAaXNsi4Mr5FtRQL4tbmSdIzhx6_m4wkOD7IG-k_eo/edit#gid=0"", ""Maths!M:N""), 2, FALSE)"),"Recall the formula for calculating the lateral surface area of a cube.")</f>
        <v>Recall the formula for calculating the lateral surface area of a cube.</v>
      </c>
      <c r="L154" s="100" t="str">
        <f t="shared" si="25"/>
        <v>LU000720.002</v>
      </c>
      <c r="M154" s="100" t="str">
        <f ca="1">IFERROR(__xludf.dummyfunction("VLOOKUP(L154, IMPORTRANGE(""https://docs.google.com/spreadsheets/d/1yDAaXNsi4Mr5FtRQL4tbmSdIzhx6_m4wkOD7IG-k_eo/edit#gid=0"", ""Maths!M:N""), 2, FALSE)"),"Explain the concept of lateral surface area of a cube.")</f>
        <v>Explain the concept of lateral surface area of a cube.</v>
      </c>
      <c r="N154" s="100" t="str">
        <f t="shared" si="26"/>
        <v>LU000720.003</v>
      </c>
      <c r="O154" s="100" t="str">
        <f ca="1">IFERROR(__xludf.dummyfunction("VLOOKUP(N154, IMPORTRANGE(""https://docs.google.com/spreadsheets/d/1yDAaXNsi4Mr5FtRQL4tbmSdIzhx6_m4wkOD7IG-k_eo/edit#gid=0"", ""Maths!M:N""), 2, FALSE)"),"Apply the formula to find the lateral surface area of a cube with given dimensions.")</f>
        <v>Apply the formula to find the lateral surface area of a cube with given dimensions.</v>
      </c>
      <c r="P154" s="100" t="str">
        <f t="shared" si="27"/>
        <v>LU000720.004</v>
      </c>
      <c r="Q154" s="100" t="str">
        <f ca="1">IFERROR(__xludf.dummyfunction("VLOOKUP(P154, IMPORTRANGE(""https://docs.google.com/spreadsheets/d/1yDAaXNsi4Mr5FtRQL4tbmSdIzhx6_m4wkOD7IG-k_eo/edit#gid=0"", ""Maths!M:N""), 2, FALSE)"),"Analyze how changes in the dimensions of a cube impact its lateral surface area.")</f>
        <v>Analyze how changes in the dimensions of a cube impact its lateral surface area.</v>
      </c>
      <c r="R154" s="100" t="str">
        <f t="shared" si="28"/>
        <v>LU000720.005</v>
      </c>
      <c r="S154" s="100" t="str">
        <f ca="1">IFERROR(__xludf.dummyfunction("VLOOKUP(R154, IMPORTRANGE(""https://docs.google.com/spreadsheets/d/1yDAaXNsi4Mr5FtRQL4tbmSdIzhx6_m4wkOD7IG-k_eo/edit#gid=0"", ""Maths!M:N""), 2, FALSE)"),"Evaluate the efficiency of the formula for calculating the lateral surface area of a cube compared to alternative methods, and justify its relevance in various real-world contexts.")</f>
        <v>Evaluate the efficiency of the formula for calculating the lateral surface area of a cube compared to alternative methods, and justify its relevance in various real-world contexts.</v>
      </c>
      <c r="T154" s="100" t="str">
        <f t="shared" si="29"/>
        <v>LU000720.006</v>
      </c>
      <c r="U154" s="100" t="str">
        <f ca="1">IFERROR(__xludf.dummyfunction("VLOOKUP(T154, IMPORTRANGE(""https://docs.google.com/spreadsheets/d/1yDAaXNsi4Mr5FtRQL4tbmSdIzhx6_m4wkOD7IG-k_eo/edit#gid=0"", ""Maths!M:N""), 2, FALSE)"),"#N/A")</f>
        <v>#N/A</v>
      </c>
      <c r="V154" s="16">
        <f ca="1">IFERROR(__xludf.dummyfunction("ArrayFormula(VLOOKUP(G154, IMPORTRANGE(""https://docs.google.com/spreadsheets/d/1p7R4vtkWt5VOBim4ltsDG9KTzSjrtKXsMtQGXPHyND0/edit#gid=795171502"", ""'Filter 30_05_2024'!A1:M2000""), {2, 3, 4, 5,6,7,8,9,10,11,12,13}, 0))"),4)</f>
        <v>4</v>
      </c>
      <c r="W154" s="16">
        <f ca="1">IFERROR(__xludf.dummyfunction("""COMPUTED_VALUE"""),6)</f>
        <v>6</v>
      </c>
      <c r="X154" s="16">
        <f ca="1">IFERROR(__xludf.dummyfunction("""COMPUTED_VALUE"""),2)</f>
        <v>2</v>
      </c>
      <c r="Y154" s="16">
        <f ca="1">IFERROR(__xludf.dummyfunction("""COMPUTED_VALUE"""),12)</f>
        <v>12</v>
      </c>
      <c r="Z154" s="16">
        <f ca="1">IFERROR(__xludf.dummyfunction("""COMPUTED_VALUE"""),4)</f>
        <v>4</v>
      </c>
      <c r="AA154" s="30">
        <f ca="1">IFERROR(__xludf.dummyfunction("""COMPUTED_VALUE"""),3)</f>
        <v>3</v>
      </c>
      <c r="AB154" s="30">
        <f ca="1">IFERROR(__xludf.dummyfunction("""COMPUTED_VALUE"""),1)</f>
        <v>1</v>
      </c>
      <c r="AC154" s="30">
        <f ca="1">IFERROR(__xludf.dummyfunction("""COMPUTED_VALUE"""),8)</f>
        <v>8</v>
      </c>
      <c r="AD154" s="16"/>
      <c r="AE154" s="30"/>
      <c r="AF154" s="30"/>
      <c r="AG154" s="30"/>
    </row>
    <row r="155" spans="1:33" ht="13.8">
      <c r="A155" s="25"/>
      <c r="B155" s="25" t="s">
        <v>29</v>
      </c>
      <c r="C155" s="25" t="s">
        <v>310</v>
      </c>
      <c r="D155" s="25">
        <v>8</v>
      </c>
      <c r="E155" s="63" t="s">
        <v>723</v>
      </c>
      <c r="F155" s="89" t="s">
        <v>1254</v>
      </c>
      <c r="G155" s="87" t="s">
        <v>1256</v>
      </c>
      <c r="H155" s="64" t="str">
        <f ca="1">IFERROR(__xludf.dummyfunction("IFERROR(
  VLOOKUP(G155, IMPORTRANGE(""https://docs.google.com/spreadsheets/d/14deopnvwcrKtEGCKuYXdUHJbeLDZlkiSSWWT0g7x2pM/edit#gid=849066331"", ""LU List Maths (Filter)!A:B""), 2, FALSE),
  IFERROR(
    VLOOKUP(G155, IMPORTRANGE(""https://docs.google.com"&amp;"/spreadsheets/d/14deopnvwcrKtEGCKuYXdUHJbeLDZlkiSSWWT0g7x2pM/edit#gid=849066331"", ""LU List Science (Filter)!A:B""), 2, FALSE),
    ""Not Found""
  )
)
"),"Total surface area of a cube")</f>
        <v>Total surface area of a cube</v>
      </c>
      <c r="I155" s="87"/>
      <c r="J155" s="100" t="str">
        <f t="shared" si="24"/>
        <v>LU000721.001</v>
      </c>
      <c r="K155" s="100" t="str">
        <f ca="1">IFERROR(__xludf.dummyfunction("VLOOKUP(J155, IMPORTRANGE(""https://docs.google.com/spreadsheets/d/1yDAaXNsi4Mr5FtRQL4tbmSdIzhx6_m4wkOD7IG-k_eo/edit#gid=0"", ""Maths!M:N""), 2, FALSE)"),"Recall the formula for calculating the total surface area of a cube.")</f>
        <v>Recall the formula for calculating the total surface area of a cube.</v>
      </c>
      <c r="L155" s="100" t="str">
        <f t="shared" si="25"/>
        <v>LU000721.002</v>
      </c>
      <c r="M155" s="100" t="str">
        <f ca="1">IFERROR(__xludf.dummyfunction("VLOOKUP(L155, IMPORTRANGE(""https://docs.google.com/spreadsheets/d/1yDAaXNsi4Mr5FtRQL4tbmSdIzhx6_m4wkOD7IG-k_eo/edit#gid=0"", ""Maths!M:N""), 2, FALSE)"),"Explain the concept of total surface area of a cube.")</f>
        <v>Explain the concept of total surface area of a cube.</v>
      </c>
      <c r="N155" s="100" t="str">
        <f t="shared" si="26"/>
        <v>LU000721.003</v>
      </c>
      <c r="O155" s="100" t="str">
        <f ca="1">IFERROR(__xludf.dummyfunction("VLOOKUP(N155, IMPORTRANGE(""https://docs.google.com/spreadsheets/d/1yDAaXNsi4Mr5FtRQL4tbmSdIzhx6_m4wkOD7IG-k_eo/edit#gid=0"", ""Maths!M:N""), 2, FALSE)"),"Apply the formula to find the total surface area of a cube with given dimensions.")</f>
        <v>Apply the formula to find the total surface area of a cube with given dimensions.</v>
      </c>
      <c r="P155" s="100" t="str">
        <f t="shared" si="27"/>
        <v>LU000721.004</v>
      </c>
      <c r="Q155" s="100" t="str">
        <f ca="1">IFERROR(__xludf.dummyfunction("VLOOKUP(P155, IMPORTRANGE(""https://docs.google.com/spreadsheets/d/1yDAaXNsi4Mr5FtRQL4tbmSdIzhx6_m4wkOD7IG-k_eo/edit#gid=0"", ""Maths!M:N""), 2, FALSE)"),"Analyse the relationship between the total surface area and the lateral surface area of a cube, identifying how they are connected and why they have different values.")</f>
        <v>Analyse the relationship between the total surface area and the lateral surface area of a cube, identifying how they are connected and why they have different values.</v>
      </c>
      <c r="R155" s="100" t="str">
        <f t="shared" si="28"/>
        <v>LU000721.005</v>
      </c>
      <c r="S155" s="100" t="str">
        <f ca="1">IFERROR(__xludf.dummyfunction("VLOOKUP(R155, IMPORTRANGE(""https://docs.google.com/spreadsheets/d/1yDAaXNsi4Mr5FtRQL4tbmSdIzhx6_m4wkOD7IG-k_eo/edit#gid=0"", ""Maths!M:N""), 2, FALSE)"),"Evaluate the efficiency of the formula for calculating the total surface area of a cube compared to alternative methods, and justify its relevance in various real-world contexts.")</f>
        <v>Evaluate the efficiency of the formula for calculating the total surface area of a cube compared to alternative methods, and justify its relevance in various real-world contexts.</v>
      </c>
      <c r="T155" s="100" t="str">
        <f t="shared" si="29"/>
        <v>LU000721.006</v>
      </c>
      <c r="U155" s="100" t="str">
        <f ca="1">IFERROR(__xludf.dummyfunction("VLOOKUP(T155, IMPORTRANGE(""https://docs.google.com/spreadsheets/d/1yDAaXNsi4Mr5FtRQL4tbmSdIzhx6_m4wkOD7IG-k_eo/edit#gid=0"", ""Maths!M:N""), 2, FALSE)"),"Design a three-dimensional model or prototype of a unique cubial packaging solution for a specific product, showcasing an innovative application of the concept of total surface area in packaging design.")</f>
        <v>Design a three-dimensional model or prototype of a unique cubial packaging solution for a specific product, showcasing an innovative application of the concept of total surface area in packaging design.</v>
      </c>
      <c r="V155" s="16">
        <f ca="1">IFERROR(__xludf.dummyfunction("ArrayFormula(VLOOKUP(G155, IMPORTRANGE(""https://docs.google.com/spreadsheets/d/1p7R4vtkWt5VOBim4ltsDG9KTzSjrtKXsMtQGXPHyND0/edit#gid=795171502"", ""'Filter 30_05_2024'!A1:M2000""), {2, 3, 4, 5,6,7,8,9,10,11,12,13}, 0))"),4)</f>
        <v>4</v>
      </c>
      <c r="W155" s="16">
        <f ca="1">IFERROR(__xludf.dummyfunction("""COMPUTED_VALUE"""),6)</f>
        <v>6</v>
      </c>
      <c r="X155" s="16">
        <f ca="1">IFERROR(__xludf.dummyfunction("""COMPUTED_VALUE"""),2)</f>
        <v>2</v>
      </c>
      <c r="Y155" s="16">
        <f ca="1">IFERROR(__xludf.dummyfunction("""COMPUTED_VALUE"""),12)</f>
        <v>12</v>
      </c>
      <c r="Z155" s="16">
        <f ca="1">IFERROR(__xludf.dummyfunction("""COMPUTED_VALUE"""),4)</f>
        <v>4</v>
      </c>
      <c r="AA155" s="30">
        <f ca="1">IFERROR(__xludf.dummyfunction("""COMPUTED_VALUE"""),3)</f>
        <v>3</v>
      </c>
      <c r="AB155" s="30">
        <f ca="1">IFERROR(__xludf.dummyfunction("""COMPUTED_VALUE"""),1)</f>
        <v>1</v>
      </c>
      <c r="AC155" s="30">
        <f ca="1">IFERROR(__xludf.dummyfunction("""COMPUTED_VALUE"""),8)</f>
        <v>8</v>
      </c>
      <c r="AD155" s="16"/>
      <c r="AE155" s="30"/>
      <c r="AF155" s="30"/>
      <c r="AG155" s="30"/>
    </row>
    <row r="156" spans="1:33" ht="26.4">
      <c r="A156" s="25"/>
      <c r="B156" s="25" t="s">
        <v>29</v>
      </c>
      <c r="C156" s="25" t="s">
        <v>310</v>
      </c>
      <c r="D156" s="25">
        <v>8</v>
      </c>
      <c r="E156" s="63" t="s">
        <v>723</v>
      </c>
      <c r="F156" s="89" t="s">
        <v>1257</v>
      </c>
      <c r="G156" s="87" t="s">
        <v>1258</v>
      </c>
      <c r="H156" s="64" t="str">
        <f ca="1">IFERROR(__xludf.dummyfunction("IFERROR(
  VLOOKUP(G156, IMPORTRANGE(""https://docs.google.com/spreadsheets/d/14deopnvwcrKtEGCKuYXdUHJbeLDZlkiSSWWT0g7x2pM/edit#gid=849066331"", ""LU List Maths (Filter)!A:B""), 2, FALSE),
  IFERROR(
    VLOOKUP(G156, IMPORTRANGE(""https://docs.google.com"&amp;"/spreadsheets/d/14deopnvwcrKtEGCKuYXdUHJbeLDZlkiSSWWT0g7x2pM/edit#gid=849066331"", ""LU List Science (Filter)!A:B""), 2, FALSE),
    ""Not Found""
  )
)
"),"Curved surface area (Lateral surface area) of a right circular cylinder")</f>
        <v>Curved surface area (Lateral surface area) of a right circular cylinder</v>
      </c>
      <c r="I156" s="87"/>
      <c r="J156" s="100" t="str">
        <f t="shared" si="24"/>
        <v>LU000729.001</v>
      </c>
      <c r="K156" s="100" t="str">
        <f ca="1">IFERROR(__xludf.dummyfunction("VLOOKUP(J156, IMPORTRANGE(""https://docs.google.com/spreadsheets/d/1yDAaXNsi4Mr5FtRQL4tbmSdIzhx6_m4wkOD7IG-k_eo/edit#gid=0"", ""Maths!M:N""), 2, FALSE)"),"Recall the formula for calculating the lateral surface area of a right circular cylinder.")</f>
        <v>Recall the formula for calculating the lateral surface area of a right circular cylinder.</v>
      </c>
      <c r="L156" s="100" t="str">
        <f t="shared" si="25"/>
        <v>LU000729.002</v>
      </c>
      <c r="M156" s="100" t="str">
        <f ca="1">IFERROR(__xludf.dummyfunction("VLOOKUP(L156, IMPORTRANGE(""https://docs.google.com/spreadsheets/d/1yDAaXNsi4Mr5FtRQL4tbmSdIzhx6_m4wkOD7IG-k_eo/edit#gid=0"", ""Maths!M:N""), 2, FALSE)"),"Deduce the formula for the lateral surface area of the cylinder.")</f>
        <v>Deduce the formula for the lateral surface area of the cylinder.</v>
      </c>
      <c r="N156" s="100" t="str">
        <f t="shared" si="26"/>
        <v>LU000729.003</v>
      </c>
      <c r="O156" s="100" t="str">
        <f ca="1">IFERROR(__xludf.dummyfunction("VLOOKUP(N156, IMPORTRANGE(""https://docs.google.com/spreadsheets/d/1yDAaXNsi4Mr5FtRQL4tbmSdIzhx6_m4wkOD7IG-k_eo/edit#gid=0"", ""Maths!M:N""), 2, FALSE)"),"Apply the formula for calculating the lateral surface area of a right circular cylinder to find the lateral surface area for a given cylinder with specified dimensions.")</f>
        <v>Apply the formula for calculating the lateral surface area of a right circular cylinder to find the lateral surface area for a given cylinder with specified dimensions.</v>
      </c>
      <c r="P156" s="100" t="str">
        <f t="shared" si="27"/>
        <v>LU000729.004</v>
      </c>
      <c r="Q156" s="100" t="str">
        <f ca="1">IFERROR(__xludf.dummyfunction("VLOOKUP(P156, IMPORTRANGE(""https://docs.google.com/spreadsheets/d/1yDAaXNsi4Mr5FtRQL4tbmSdIzhx6_m4wkOD7IG-k_eo/edit#gid=0"", ""Maths!M:N""), 2, FALSE)"),"Analyse how changes in the dimensions (radius and height) of a right circular cylinder affect its lateral surface area, recognizing the relationship between these dimensions and the resulting area.")</f>
        <v>Analyse how changes in the dimensions (radius and height) of a right circular cylinder affect its lateral surface area, recognizing the relationship between these dimensions and the resulting area.</v>
      </c>
      <c r="R156" s="100" t="str">
        <f t="shared" si="28"/>
        <v>LU000729.005</v>
      </c>
      <c r="S156" s="100" t="str">
        <f ca="1">IFERROR(__xludf.dummyfunction("VLOOKUP(R156, IMPORTRANGE(""https://docs.google.com/spreadsheets/d/1yDAaXNsi4Mr5FtRQL4tbmSdIzhx6_m4wkOD7IG-k_eo/edit#gid=0"", ""Maths!M:N""), 2, FALSE)"),"Evaluate the practical significance of understanding and calculating the lateral surface area of a cylinder in real-life scenarios.")</f>
        <v>Evaluate the practical significance of understanding and calculating the lateral surface area of a cylinder in real-life scenarios.</v>
      </c>
      <c r="T156" s="100" t="str">
        <f t="shared" si="29"/>
        <v>LU000729.006</v>
      </c>
      <c r="U156" s="100" t="str">
        <f ca="1">IFERROR(__xludf.dummyfunction("VLOOKUP(T156, IMPORTRANGE(""https://docs.google.com/spreadsheets/d/1yDAaXNsi4Mr5FtRQL4tbmSdIzhx6_m4wkOD7IG-k_eo/edit#gid=0"", ""Maths!M:N""), 2, FALSE)"),"Devise a novel design project that requires students to apply their knowledge of lateral surface area to construct a cylindrical container with specific dimensions.")</f>
        <v>Devise a novel design project that requires students to apply their knowledge of lateral surface area to construct a cylindrical container with specific dimensions.</v>
      </c>
      <c r="V156" s="16">
        <f ca="1">IFERROR(__xludf.dummyfunction("ArrayFormula(VLOOKUP(G156, IMPORTRANGE(""https://docs.google.com/spreadsheets/d/1p7R4vtkWt5VOBim4ltsDG9KTzSjrtKXsMtQGXPHyND0/edit#gid=795171502"", ""'Filter 30_05_2024'!A1:M2000""), {2, 3, 4, 5,6,7,8,9,10,11,12,13}, 0))"),4)</f>
        <v>4</v>
      </c>
      <c r="W156" s="16">
        <f ca="1">IFERROR(__xludf.dummyfunction("""COMPUTED_VALUE"""),7)</f>
        <v>7</v>
      </c>
      <c r="X156" s="16">
        <f ca="1">IFERROR(__xludf.dummyfunction("""COMPUTED_VALUE"""),2)</f>
        <v>2</v>
      </c>
      <c r="Y156" s="16">
        <f ca="1">IFERROR(__xludf.dummyfunction("""COMPUTED_VALUE"""),13)</f>
        <v>13</v>
      </c>
      <c r="Z156" s="16">
        <f ca="1">IFERROR(__xludf.dummyfunction("""COMPUTED_VALUE"""),4)</f>
        <v>4</v>
      </c>
      <c r="AA156" s="30">
        <f ca="1">IFERROR(__xludf.dummyfunction("""COMPUTED_VALUE"""),3)</f>
        <v>3</v>
      </c>
      <c r="AB156" s="30">
        <f ca="1">IFERROR(__xludf.dummyfunction("""COMPUTED_VALUE"""),1)</f>
        <v>1</v>
      </c>
      <c r="AC156" s="30">
        <f ca="1">IFERROR(__xludf.dummyfunction("""COMPUTED_VALUE"""),8)</f>
        <v>8</v>
      </c>
      <c r="AD156" s="16"/>
      <c r="AE156" s="30"/>
      <c r="AF156" s="30"/>
      <c r="AG156" s="30"/>
    </row>
    <row r="157" spans="1:33" ht="26.4">
      <c r="A157" s="25"/>
      <c r="B157" s="25" t="s">
        <v>29</v>
      </c>
      <c r="C157" s="25" t="s">
        <v>310</v>
      </c>
      <c r="D157" s="25">
        <v>8</v>
      </c>
      <c r="E157" s="63" t="s">
        <v>723</v>
      </c>
      <c r="F157" s="89" t="s">
        <v>1257</v>
      </c>
      <c r="G157" s="87" t="s">
        <v>1259</v>
      </c>
      <c r="H157" s="64" t="str">
        <f ca="1">IFERROR(__xludf.dummyfunction("IFERROR(
  VLOOKUP(G157, IMPORTRANGE(""https://docs.google.com/spreadsheets/d/14deopnvwcrKtEGCKuYXdUHJbeLDZlkiSSWWT0g7x2pM/edit#gid=849066331"", ""LU List Maths (Filter)!A:B""), 2, FALSE),
  IFERROR(
    VLOOKUP(G157, IMPORTRANGE(""https://docs.google.com"&amp;"/spreadsheets/d/14deopnvwcrKtEGCKuYXdUHJbeLDZlkiSSWWT0g7x2pM/edit#gid=849066331"", ""LU List Science (Filter)!A:B""), 2, FALSE),
    ""Not Found""
  )
)
"),"Total surface area of a right circular cylinder")</f>
        <v>Total surface area of a right circular cylinder</v>
      </c>
      <c r="I157" s="87"/>
      <c r="J157" s="100" t="str">
        <f t="shared" si="24"/>
        <v>LU000723.001</v>
      </c>
      <c r="K157" s="100" t="str">
        <f ca="1">IFERROR(__xludf.dummyfunction("VLOOKUP(J157, IMPORTRANGE(""https://docs.google.com/spreadsheets/d/1yDAaXNsi4Mr5FtRQL4tbmSdIzhx6_m4wkOD7IG-k_eo/edit#gid=0"", ""Maths!M:N""), 2, FALSE)"),"Recall the formula for calculating the total surface area of a right circular cylinder.")</f>
        <v>Recall the formula for calculating the total surface area of a right circular cylinder.</v>
      </c>
      <c r="L157" s="100" t="str">
        <f t="shared" si="25"/>
        <v>LU000723.002</v>
      </c>
      <c r="M157" s="100" t="str">
        <f ca="1">IFERROR(__xludf.dummyfunction("VLOOKUP(L157, IMPORTRANGE(""https://docs.google.com/spreadsheets/d/1yDAaXNsi4Mr5FtRQL4tbmSdIzhx6_m4wkOD7IG-k_eo/edit#gid=0"", ""Maths!M:N""), 2, FALSE)"),"Deduce the formula for the total surface area of the cylinder.")</f>
        <v>Deduce the formula for the total surface area of the cylinder.</v>
      </c>
      <c r="N157" s="100" t="str">
        <f t="shared" si="26"/>
        <v>LU000723.003</v>
      </c>
      <c r="O157" s="100" t="str">
        <f ca="1">IFERROR(__xludf.dummyfunction("VLOOKUP(N157, IMPORTRANGE(""https://docs.google.com/spreadsheets/d/1yDAaXNsi4Mr5FtRQL4tbmSdIzhx6_m4wkOD7IG-k_eo/edit#gid=0"", ""Maths!M:N""), 2, FALSE)"),"Apply the formula for calculating the total surface area of a right circular cylinder to find the total surface area for a given cylinder with specified dimensions.")</f>
        <v>Apply the formula for calculating the total surface area of a right circular cylinder to find the total surface area for a given cylinder with specified dimensions.</v>
      </c>
      <c r="P157" s="100" t="str">
        <f t="shared" si="27"/>
        <v>LU000723.004</v>
      </c>
      <c r="Q157" s="100" t="str">
        <f ca="1">IFERROR(__xludf.dummyfunction("VLOOKUP(P157, IMPORTRANGE(""https://docs.google.com/spreadsheets/d/1yDAaXNsi4Mr5FtRQL4tbmSdIzhx6_m4wkOD7IG-k_eo/edit#gid=0"", ""Maths!M:N""), 2, FALSE)"),"Analyse how changes in the dimensions (radius and height) of a right circular cylinder affect its total surface area, recognizing the relationship between these dimensions and the resulting area.")</f>
        <v>Analyse how changes in the dimensions (radius and height) of a right circular cylinder affect its total surface area, recognizing the relationship between these dimensions and the resulting area.</v>
      </c>
      <c r="R157" s="100" t="str">
        <f t="shared" si="28"/>
        <v>LU000723.005</v>
      </c>
      <c r="S157" s="100" t="str">
        <f ca="1">IFERROR(__xludf.dummyfunction("VLOOKUP(R157, IMPORTRANGE(""https://docs.google.com/spreadsheets/d/1yDAaXNsi4Mr5FtRQL4tbmSdIzhx6_m4wkOD7IG-k_eo/edit#gid=0"", ""Maths!M:N""), 2, FALSE)"),"Evaluate the practical significance of understanding and calculating the total surface area of a cylinder in real-life scenarios.")</f>
        <v>Evaluate the practical significance of understanding and calculating the total surface area of a cylinder in real-life scenarios.</v>
      </c>
      <c r="T157" s="100" t="str">
        <f t="shared" si="29"/>
        <v>LU000723.006</v>
      </c>
      <c r="U157" s="100" t="str">
        <f ca="1">IFERROR(__xludf.dummyfunction("VLOOKUP(T157, IMPORTRANGE(""https://docs.google.com/spreadsheets/d/1yDAaXNsi4Mr5FtRQL4tbmSdIzhx6_m4wkOD7IG-k_eo/edit#gid=0"", ""Maths!M:N""), 2, FALSE)"),"Devise a novel design project that requires students to apply their knowledge of total surface area to construct a cylindrical container with specific dimensions.")</f>
        <v>Devise a novel design project that requires students to apply their knowledge of total surface area to construct a cylindrical container with specific dimensions.</v>
      </c>
      <c r="V157" s="16">
        <f ca="1">IFERROR(__xludf.dummyfunction("ArrayFormula(VLOOKUP(G157, IMPORTRANGE(""https://docs.google.com/spreadsheets/d/1p7R4vtkWt5VOBim4ltsDG9KTzSjrtKXsMtQGXPHyND0/edit#gid=795171502"", ""'Filter 30_05_2024'!A1:M2000""), {2, 3, 4, 5,6,7,8,9,10,11,12,13}, 0))"),4)</f>
        <v>4</v>
      </c>
      <c r="W157" s="16">
        <f ca="1">IFERROR(__xludf.dummyfunction("""COMPUTED_VALUE"""),6)</f>
        <v>6</v>
      </c>
      <c r="X157" s="16">
        <f ca="1">IFERROR(__xludf.dummyfunction("""COMPUTED_VALUE"""),2)</f>
        <v>2</v>
      </c>
      <c r="Y157" s="16">
        <f ca="1">IFERROR(__xludf.dummyfunction("""COMPUTED_VALUE"""),12)</f>
        <v>12</v>
      </c>
      <c r="Z157" s="16">
        <f ca="1">IFERROR(__xludf.dummyfunction("""COMPUTED_VALUE"""),4)</f>
        <v>4</v>
      </c>
      <c r="AA157" s="30">
        <f ca="1">IFERROR(__xludf.dummyfunction("""COMPUTED_VALUE"""),4)</f>
        <v>4</v>
      </c>
      <c r="AB157" s="30">
        <f ca="1">IFERROR(__xludf.dummyfunction("""COMPUTED_VALUE"""),1)</f>
        <v>1</v>
      </c>
      <c r="AC157" s="30">
        <f ca="1">IFERROR(__xludf.dummyfunction("""COMPUTED_VALUE"""),9)</f>
        <v>9</v>
      </c>
      <c r="AD157" s="16"/>
      <c r="AE157" s="30"/>
      <c r="AF157" s="30"/>
      <c r="AG157" s="30"/>
    </row>
    <row r="158" spans="1:33" ht="13.8">
      <c r="A158" s="25"/>
      <c r="B158" s="25" t="s">
        <v>29</v>
      </c>
      <c r="C158" s="25" t="s">
        <v>310</v>
      </c>
      <c r="D158" s="25">
        <v>8</v>
      </c>
      <c r="E158" s="63" t="s">
        <v>723</v>
      </c>
      <c r="F158" s="89" t="s">
        <v>1260</v>
      </c>
      <c r="G158" s="87" t="s">
        <v>1261</v>
      </c>
      <c r="H158" s="64" t="str">
        <f ca="1">IFERROR(__xludf.dummyfunction("IFERROR(
  VLOOKUP(G158, IMPORTRANGE(""https://docs.google.com/spreadsheets/d/14deopnvwcrKtEGCKuYXdUHJbeLDZlkiSSWWT0g7x2pM/edit#gid=849066331"", ""LU List Maths (Filter)!A:B""), 2, FALSE),
  IFERROR(
    VLOOKUP(G158, IMPORTRANGE(""https://docs.google.com"&amp;"/spreadsheets/d/14deopnvwcrKtEGCKuYXdUHJbeLDZlkiSSWWT0g7x2pM/edit#gid=849066331"", ""LU List Science (Filter)!A:B""), 2, FALSE),
    ""Not Found""
  )
)
"),"Volume of a cube")</f>
        <v>Volume of a cube</v>
      </c>
      <c r="I158" s="87"/>
      <c r="J158" s="100" t="str">
        <f t="shared" si="24"/>
        <v>LU000724.001</v>
      </c>
      <c r="K158" s="100" t="str">
        <f ca="1">IFERROR(__xludf.dummyfunction("VLOOKUP(J158, IMPORTRANGE(""https://docs.google.com/spreadsheets/d/1yDAaXNsi4Mr5FtRQL4tbmSdIzhx6_m4wkOD7IG-k_eo/edit#gid=0"", ""Maths!M:N""), 2, FALSE)"),"Recall the formula for calculating the volume of a cube.")</f>
        <v>Recall the formula for calculating the volume of a cube.</v>
      </c>
      <c r="L158" s="100" t="str">
        <f t="shared" si="25"/>
        <v>LU000724.002</v>
      </c>
      <c r="M158" s="100" t="str">
        <f ca="1">IFERROR(__xludf.dummyfunction("VLOOKUP(L158, IMPORTRANGE(""https://docs.google.com/spreadsheets/d/1yDAaXNsi4Mr5FtRQL4tbmSdIzhx6_m4wkOD7IG-k_eo/edit#gid=0"", ""Maths!M:N""), 2, FALSE)"),"Explain the concept of volume and understand how the volume of a cube is derived from the product of its three equal side lengths.")</f>
        <v>Explain the concept of volume and understand how the volume of a cube is derived from the product of its three equal side lengths.</v>
      </c>
      <c r="N158" s="100" t="str">
        <f t="shared" si="26"/>
        <v>LU000724.003</v>
      </c>
      <c r="O158" s="100" t="str">
        <f ca="1">IFERROR(__xludf.dummyfunction("VLOOKUP(N158, IMPORTRANGE(""https://docs.google.com/spreadsheets/d/1yDAaXNsi4Mr5FtRQL4tbmSdIzhx6_m4wkOD7IG-k_eo/edit#gid=0"", ""Maths!M:N""), 2, FALSE)"),"Apply the formula for calculating the volume of a specific cube with a given side length, finding the volume in cubic units.")</f>
        <v>Apply the formula for calculating the volume of a specific cube with a given side length, finding the volume in cubic units.</v>
      </c>
      <c r="P158" s="100" t="str">
        <f t="shared" si="27"/>
        <v>LU000724.004</v>
      </c>
      <c r="Q158" s="100" t="str">
        <f ca="1">IFERROR(__xludf.dummyfunction("VLOOKUP(P158, IMPORTRANGE(""https://docs.google.com/spreadsheets/d/1yDAaXNsi4Mr5FtRQL4tbmSdIzhx6_m4wkOD7IG-k_eo/edit#gid=0"", ""Maths!M:N""), 2, FALSE)"),"Analyze the relationship between the volume of a cube and the dimensions of the cube, recognizing how changes in the side length impact the volume.")</f>
        <v>Analyze the relationship between the volume of a cube and the dimensions of the cube, recognizing how changes in the side length impact the volume.</v>
      </c>
      <c r="R158" s="100" t="str">
        <f t="shared" si="28"/>
        <v>LU000724.005</v>
      </c>
      <c r="S158" s="100" t="str">
        <f ca="1">IFERROR(__xludf.dummyfunction("VLOOKUP(R158, IMPORTRANGE(""https://docs.google.com/spreadsheets/d/1yDAaXNsi4Mr5FtRQL4tbmSdIzhx6_m4wkOD7IG-k_eo/edit#gid=0"", ""Maths!M:N""), 2, FALSE)"),"Evaluate the practical significance of understanding and calculating the volume of a cube in real-world situations.")</f>
        <v>Evaluate the practical significance of understanding and calculating the volume of a cube in real-world situations.</v>
      </c>
      <c r="T158" s="100" t="str">
        <f t="shared" si="29"/>
        <v>LU000724.006</v>
      </c>
      <c r="U158" s="100" t="str">
        <f ca="1">IFERROR(__xludf.dummyfunction("VLOOKUP(T158, IMPORTRANGE(""https://docs.google.com/spreadsheets/d/1yDAaXNsi4Mr5FtRQL4tbmSdIzhx6_m4wkOD7IG-k_eo/edit#gid=0"", ""Maths!M:N""), 2, FALSE)"),"Design a unique three-dimensional cubical structure with a specific volume requirement, demonstrating a high level of creativity, innovation, and problem-solving.")</f>
        <v>Design a unique three-dimensional cubical structure with a specific volume requirement, demonstrating a high level of creativity, innovation, and problem-solving.</v>
      </c>
      <c r="V158" s="16">
        <f ca="1">IFERROR(__xludf.dummyfunction("ArrayFormula(VLOOKUP(G158, IMPORTRANGE(""https://docs.google.com/spreadsheets/d/1p7R4vtkWt5VOBim4ltsDG9KTzSjrtKXsMtQGXPHyND0/edit#gid=795171502"", ""'Filter 30_05_2024'!A1:M2000""), {2, 3, 4, 5,6,7,8,9,10,11,12,13}, 0))"),4)</f>
        <v>4</v>
      </c>
      <c r="W158" s="16">
        <f ca="1">IFERROR(__xludf.dummyfunction("""COMPUTED_VALUE"""),6)</f>
        <v>6</v>
      </c>
      <c r="X158" s="16">
        <f ca="1">IFERROR(__xludf.dummyfunction("""COMPUTED_VALUE"""),2)</f>
        <v>2</v>
      </c>
      <c r="Y158" s="16">
        <f ca="1">IFERROR(__xludf.dummyfunction("""COMPUTED_VALUE"""),12)</f>
        <v>12</v>
      </c>
      <c r="Z158" s="16">
        <f ca="1">IFERROR(__xludf.dummyfunction("""COMPUTED_VALUE"""),4)</f>
        <v>4</v>
      </c>
      <c r="AA158" s="30">
        <f ca="1">IFERROR(__xludf.dummyfunction("""COMPUTED_VALUE"""),3)</f>
        <v>3</v>
      </c>
      <c r="AB158" s="30">
        <f ca="1">IFERROR(__xludf.dummyfunction("""COMPUTED_VALUE"""),1)</f>
        <v>1</v>
      </c>
      <c r="AC158" s="30">
        <f ca="1">IFERROR(__xludf.dummyfunction("""COMPUTED_VALUE"""),8)</f>
        <v>8</v>
      </c>
      <c r="AD158" s="16"/>
      <c r="AE158" s="30"/>
      <c r="AF158" s="30"/>
      <c r="AG158" s="30"/>
    </row>
    <row r="159" spans="1:33" ht="13.8">
      <c r="A159" s="25"/>
      <c r="B159" s="25" t="s">
        <v>29</v>
      </c>
      <c r="C159" s="25" t="s">
        <v>310</v>
      </c>
      <c r="D159" s="25">
        <v>8</v>
      </c>
      <c r="E159" s="63" t="s">
        <v>723</v>
      </c>
      <c r="F159" s="89" t="s">
        <v>1260</v>
      </c>
      <c r="G159" s="87" t="s">
        <v>1262</v>
      </c>
      <c r="H159" s="64" t="str">
        <f ca="1">IFERROR(__xludf.dummyfunction("IFERROR(
  VLOOKUP(G159, IMPORTRANGE(""https://docs.google.com/spreadsheets/d/14deopnvwcrKtEGCKuYXdUHJbeLDZlkiSSWWT0g7x2pM/edit#gid=849066331"", ""LU List Maths (Filter)!A:B""), 2, FALSE),
  IFERROR(
    VLOOKUP(G159, IMPORTRANGE(""https://docs.google.com"&amp;"/spreadsheets/d/14deopnvwcrKtEGCKuYXdUHJbeLDZlkiSSWWT0g7x2pM/edit#gid=849066331"", ""LU List Science (Filter)!A:B""), 2, FALSE),
    ""Not Found""
  )
)
"),"Volume of a cuboid")</f>
        <v>Volume of a cuboid</v>
      </c>
      <c r="I159" s="87"/>
      <c r="J159" s="100" t="str">
        <f t="shared" si="24"/>
        <v>LU000725.001</v>
      </c>
      <c r="K159" s="100" t="str">
        <f ca="1">IFERROR(__xludf.dummyfunction("VLOOKUP(J159, IMPORTRANGE(""https://docs.google.com/spreadsheets/d/1yDAaXNsi4Mr5FtRQL4tbmSdIzhx6_m4wkOD7IG-k_eo/edit#gid=0"", ""Maths!M:N""), 2, FALSE)"),"Recall the formula for calculating the volume of a cuboid.")</f>
        <v>Recall the formula for calculating the volume of a cuboid.</v>
      </c>
      <c r="L159" s="100" t="str">
        <f t="shared" si="25"/>
        <v>LU000725.002</v>
      </c>
      <c r="M159" s="100" t="str">
        <f ca="1">IFERROR(__xludf.dummyfunction("VLOOKUP(L159, IMPORTRANGE(""https://docs.google.com/spreadsheets/d/1yDAaXNsi4Mr5FtRQL4tbmSdIzhx6_m4wkOD7IG-k_eo/edit#gid=0"", ""Maths!M:N""), 2, FALSE)"),"Explain the concept of volume and understand how the formula for the volume of a cuboid is derived from the product of its three dimensions (length, width, and height).")</f>
        <v>Explain the concept of volume and understand how the formula for the volume of a cuboid is derived from the product of its three dimensions (length, width, and height).</v>
      </c>
      <c r="N159" s="100" t="str">
        <f t="shared" si="26"/>
        <v>LU000725.003</v>
      </c>
      <c r="O159" s="100" t="str">
        <f ca="1">IFERROR(__xludf.dummyfunction("VLOOKUP(N159, IMPORTRANGE(""https://docs.google.com/spreadsheets/d/1yDAaXNsi4Mr5FtRQL4tbmSdIzhx6_m4wkOD7IG-k_eo/edit#gid=0"", ""Maths!M:N""), 2, FALSE)"),"Apply the formula for calculating the volume of a specific cuboid with given dimensions (length, width, and height) to find the volume in cubic units.")</f>
        <v>Apply the formula for calculating the volume of a specific cuboid with given dimensions (length, width, and height) to find the volume in cubic units.</v>
      </c>
      <c r="P159" s="100" t="str">
        <f t="shared" si="27"/>
        <v>LU000725.004</v>
      </c>
      <c r="Q159" s="100" t="str">
        <f ca="1">IFERROR(__xludf.dummyfunction("VLOOKUP(P159, IMPORTRANGE(""https://docs.google.com/spreadsheets/d/1yDAaXNsi4Mr5FtRQL4tbmSdIzhx6_m4wkOD7IG-k_eo/edit#gid=0"", ""Maths!M:N""), 2, FALSE)"),"Analyse the relationship between the volume of a cuboid and its dimensions, recognizing how changes in any of the dimensions affect the volume and understanding the geometric principles involved.")</f>
        <v>Analyse the relationship between the volume of a cuboid and its dimensions, recognizing how changes in any of the dimensions affect the volume and understanding the geometric principles involved.</v>
      </c>
      <c r="R159" s="100" t="str">
        <f t="shared" si="28"/>
        <v>LU000725.005</v>
      </c>
      <c r="S159" s="100" t="str">
        <f ca="1">IFERROR(__xludf.dummyfunction("VLOOKUP(R159, IMPORTRANGE(""https://docs.google.com/spreadsheets/d/1yDAaXNsi4Mr5FtRQL4tbmSdIzhx6_m4wkOD7IG-k_eo/edit#gid=0"", ""Maths!M:N""), 2, FALSE)"),"Evaluate the practical significance of understanding and calculating the volume of a cuboid in real-world situations.")</f>
        <v>Evaluate the practical significance of understanding and calculating the volume of a cuboid in real-world situations.</v>
      </c>
      <c r="T159" s="100" t="str">
        <f t="shared" si="29"/>
        <v>LU000725.006</v>
      </c>
      <c r="U159" s="100" t="str">
        <f ca="1">IFERROR(__xludf.dummyfunction("VLOOKUP(T159, IMPORTRANGE(""https://docs.google.com/spreadsheets/d/1yDAaXNsi4Mr5FtRQL4tbmSdIzhx6_m4wkOD7IG-k_eo/edit#gid=0"", ""Maths!M:N""), 2, FALSE)"),"Design a unique three-dimensional cuboidal structure with a specific volume requirement, demonstrating a high level of creativity, innovation, and problem-solving.")</f>
        <v>Design a unique three-dimensional cuboidal structure with a specific volume requirement, demonstrating a high level of creativity, innovation, and problem-solving.</v>
      </c>
      <c r="V159" s="16">
        <f ca="1">IFERROR(__xludf.dummyfunction("ArrayFormula(VLOOKUP(G159, IMPORTRANGE(""https://docs.google.com/spreadsheets/d/1p7R4vtkWt5VOBim4ltsDG9KTzSjrtKXsMtQGXPHyND0/edit#gid=795171502"", ""'Filter 30_05_2024'!A1:M2000""), {2, 3, 4, 5,6,7,8,9,10,11,12,13}, 0))"),4)</f>
        <v>4</v>
      </c>
      <c r="W159" s="16">
        <f ca="1">IFERROR(__xludf.dummyfunction("""COMPUTED_VALUE"""),6)</f>
        <v>6</v>
      </c>
      <c r="X159" s="16">
        <f ca="1">IFERROR(__xludf.dummyfunction("""COMPUTED_VALUE"""),2)</f>
        <v>2</v>
      </c>
      <c r="Y159" s="16">
        <f ca="1">IFERROR(__xludf.dummyfunction("""COMPUTED_VALUE"""),12)</f>
        <v>12</v>
      </c>
      <c r="Z159" s="16">
        <f ca="1">IFERROR(__xludf.dummyfunction("""COMPUTED_VALUE"""),4)</f>
        <v>4</v>
      </c>
      <c r="AA159" s="30">
        <f ca="1">IFERROR(__xludf.dummyfunction("""COMPUTED_VALUE"""),3)</f>
        <v>3</v>
      </c>
      <c r="AB159" s="30">
        <f ca="1">IFERROR(__xludf.dummyfunction("""COMPUTED_VALUE"""),1)</f>
        <v>1</v>
      </c>
      <c r="AC159" s="30">
        <f ca="1">IFERROR(__xludf.dummyfunction("""COMPUTED_VALUE"""),8)</f>
        <v>8</v>
      </c>
      <c r="AD159" s="16"/>
      <c r="AE159" s="30"/>
      <c r="AF159" s="30"/>
      <c r="AG159" s="30"/>
    </row>
    <row r="160" spans="1:33" ht="13.8">
      <c r="A160" s="25"/>
      <c r="B160" s="25" t="s">
        <v>29</v>
      </c>
      <c r="C160" s="25" t="s">
        <v>310</v>
      </c>
      <c r="D160" s="25">
        <v>8</v>
      </c>
      <c r="E160" s="63" t="s">
        <v>723</v>
      </c>
      <c r="F160" s="89" t="s">
        <v>1263</v>
      </c>
      <c r="G160" s="87" t="s">
        <v>1264</v>
      </c>
      <c r="H160" s="64" t="str">
        <f ca="1">IFERROR(__xludf.dummyfunction("IFERROR(
  VLOOKUP(G160, IMPORTRANGE(""https://docs.google.com/spreadsheets/d/14deopnvwcrKtEGCKuYXdUHJbeLDZlkiSSWWT0g7x2pM/edit#gid=849066331"", ""LU List Maths (Filter)!A:B""), 2, FALSE),
  IFERROR(
    VLOOKUP(G160, IMPORTRANGE(""https://docs.google.com"&amp;"/spreadsheets/d/14deopnvwcrKtEGCKuYXdUHJbeLDZlkiSSWWT0g7x2pM/edit#gid=849066331"", ""LU List Science (Filter)!A:B""), 2, FALSE),
    ""Not Found""
  )
)
"),"Volume of a right circular cylinder")</f>
        <v>Volume of a right circular cylinder</v>
      </c>
      <c r="I160" s="87"/>
      <c r="J160" s="100" t="str">
        <f t="shared" si="24"/>
        <v>LU000726.001</v>
      </c>
      <c r="K160" s="100" t="str">
        <f ca="1">IFERROR(__xludf.dummyfunction("VLOOKUP(J160, IMPORTRANGE(""https://docs.google.com/spreadsheets/d/1yDAaXNsi4Mr5FtRQL4tbmSdIzhx6_m4wkOD7IG-k_eo/edit#gid=0"", ""Maths!M:N""), 2, FALSE)"),"Recall the formula for calculating the volume of a cylinder.")</f>
        <v>Recall the formula for calculating the volume of a cylinder.</v>
      </c>
      <c r="L160" s="100" t="str">
        <f t="shared" si="25"/>
        <v>LU000726.002</v>
      </c>
      <c r="M160" s="100" t="str">
        <f ca="1">IFERROR(__xludf.dummyfunction("VLOOKUP(L160, IMPORTRANGE(""https://docs.google.com/spreadsheets/d/1yDAaXNsi4Mr5FtRQL4tbmSdIzhx6_m4wkOD7IG-k_eo/edit#gid=0"", ""Maths!M:N""), 2, FALSE)"),"Explain the concept of volume and understand how the formula for the volume of a cylinder is derived.")</f>
        <v>Explain the concept of volume and understand how the formula for the volume of a cylinder is derived.</v>
      </c>
      <c r="N160" s="100" t="str">
        <f t="shared" si="26"/>
        <v>LU000726.003</v>
      </c>
      <c r="O160" s="100" t="str">
        <f ca="1">IFERROR(__xludf.dummyfunction("VLOOKUP(N160, IMPORTRANGE(""https://docs.google.com/spreadsheets/d/1yDAaXNsi4Mr5FtRQL4tbmSdIzhx6_m4wkOD7IG-k_eo/edit#gid=0"", ""Maths!M:N""), 2, FALSE)"),"Apply the formula for calculating the volume of a cylinder with given dimensions.")</f>
        <v>Apply the formula for calculating the volume of a cylinder with given dimensions.</v>
      </c>
      <c r="P160" s="100" t="str">
        <f t="shared" si="27"/>
        <v>LU000726.004</v>
      </c>
      <c r="Q160" s="100" t="str">
        <f ca="1">IFERROR(__xludf.dummyfunction("VLOOKUP(P160, IMPORTRANGE(""https://docs.google.com/spreadsheets/d/1yDAaXNsi4Mr5FtRQL4tbmSdIzhx6_m4wkOD7IG-k_eo/edit#gid=0"", ""Maths!M:N""), 2, FALSE)"),"Analyse the relationship between the dimensions of a right circular cylinder (radius and height) and its volume, recognizing how changes in these dimensions affect the overall volume.")</f>
        <v>Analyse the relationship between the dimensions of a right circular cylinder (radius and height) and its volume, recognizing how changes in these dimensions affect the overall volume.</v>
      </c>
      <c r="R160" s="100" t="str">
        <f t="shared" si="28"/>
        <v>LU000726.005</v>
      </c>
      <c r="S160" s="100" t="str">
        <f ca="1">IFERROR(__xludf.dummyfunction("VLOOKUP(R160, IMPORTRANGE(""https://docs.google.com/spreadsheets/d/1yDAaXNsi4Mr5FtRQL4tbmSdIzhx6_m4wkOD7IG-k_eo/edit#gid=0"", ""Maths!M:N""), 2, FALSE)"),"Evaluate the practical significance of understanding and calculating the volume of a right circular cylinder in real-world situations.")</f>
        <v>Evaluate the practical significance of understanding and calculating the volume of a right circular cylinder in real-world situations.</v>
      </c>
      <c r="T160" s="100" t="str">
        <f t="shared" si="29"/>
        <v>LU000726.006</v>
      </c>
      <c r="U160" s="100" t="str">
        <f ca="1">IFERROR(__xludf.dummyfunction("VLOOKUP(T160, IMPORTRANGE(""https://docs.google.com/spreadsheets/d/1yDAaXNsi4Mr5FtRQL4tbmSdIzhx6_m4wkOD7IG-k_eo/edit#gid=0"", ""Maths!M:N""), 2, FALSE)"),"Design a unique three-dimensional cylinderical structure with a specific volume requirement, demonstrating a high level of creativity, innovation, and problem-solving.")</f>
        <v>Design a unique three-dimensional cylinderical structure with a specific volume requirement, demonstrating a high level of creativity, innovation, and problem-solving.</v>
      </c>
      <c r="V160" s="16">
        <f ca="1">IFERROR(__xludf.dummyfunction("ArrayFormula(VLOOKUP(G160, IMPORTRANGE(""https://docs.google.com/spreadsheets/d/1p7R4vtkWt5VOBim4ltsDG9KTzSjrtKXsMtQGXPHyND0/edit#gid=795171502"", ""'Filter 30_05_2024'!A1:M2000""), {2, 3, 4, 5,6,7,8,9,10,11,12,13}, 0))"),4)</f>
        <v>4</v>
      </c>
      <c r="W160" s="16">
        <f ca="1">IFERROR(__xludf.dummyfunction("""COMPUTED_VALUE"""),6)</f>
        <v>6</v>
      </c>
      <c r="X160" s="16">
        <f ca="1">IFERROR(__xludf.dummyfunction("""COMPUTED_VALUE"""),2)</f>
        <v>2</v>
      </c>
      <c r="Y160" s="16">
        <f ca="1">IFERROR(__xludf.dummyfunction("""COMPUTED_VALUE"""),12)</f>
        <v>12</v>
      </c>
      <c r="Z160" s="16">
        <f ca="1">IFERROR(__xludf.dummyfunction("""COMPUTED_VALUE"""),4)</f>
        <v>4</v>
      </c>
      <c r="AA160" s="30">
        <f ca="1">IFERROR(__xludf.dummyfunction("""COMPUTED_VALUE"""),3)</f>
        <v>3</v>
      </c>
      <c r="AB160" s="30">
        <f ca="1">IFERROR(__xludf.dummyfunction("""COMPUTED_VALUE"""),1)</f>
        <v>1</v>
      </c>
      <c r="AC160" s="30">
        <f ca="1">IFERROR(__xludf.dummyfunction("""COMPUTED_VALUE"""),8)</f>
        <v>8</v>
      </c>
      <c r="AD160" s="16"/>
      <c r="AE160" s="30"/>
      <c r="AF160" s="30"/>
      <c r="AG160" s="30"/>
    </row>
    <row r="161" spans="1:33" ht="13.8">
      <c r="A161" s="25"/>
      <c r="B161" s="25" t="s">
        <v>29</v>
      </c>
      <c r="C161" s="25" t="s">
        <v>310</v>
      </c>
      <c r="D161" s="25">
        <v>8</v>
      </c>
      <c r="E161" s="63" t="s">
        <v>723</v>
      </c>
      <c r="F161" s="89" t="s">
        <v>1263</v>
      </c>
      <c r="G161" s="87" t="s">
        <v>1265</v>
      </c>
      <c r="H161" s="64" t="str">
        <f ca="1">IFERROR(__xludf.dummyfunction("IFERROR(
  VLOOKUP(G161, IMPORTRANGE(""https://docs.google.com/spreadsheets/d/14deopnvwcrKtEGCKuYXdUHJbeLDZlkiSSWWT0g7x2pM/edit#gid=849066331"", ""LU List Maths (Filter)!A:B""), 2, FALSE),
  IFERROR(
    VLOOKUP(G161, IMPORTRANGE(""https://docs.google.com"&amp;"/spreadsheets/d/14deopnvwcrKtEGCKuYXdUHJbeLDZlkiSSWWT0g7x2pM/edit#gid=849066331"", ""LU List Science (Filter)!A:B""), 2, FALSE),
    ""Not Found""
  )
)
"),"Capacity of a container")</f>
        <v>Capacity of a container</v>
      </c>
      <c r="I161" s="87"/>
      <c r="J161" s="100" t="str">
        <f t="shared" si="24"/>
        <v>LU000727.001</v>
      </c>
      <c r="K161" s="100" t="str">
        <f ca="1">IFERROR(__xludf.dummyfunction("VLOOKUP(J161, IMPORTRANGE(""https://docs.google.com/spreadsheets/d/1yDAaXNsi4Mr5FtRQL4tbmSdIzhx6_m4wkOD7IG-k_eo/edit#gid=0"", ""Maths!M:N""), 2, FALSE)"),"Recall the definition of capacity.")</f>
        <v>Recall the definition of capacity.</v>
      </c>
      <c r="L161" s="100" t="str">
        <f t="shared" si="25"/>
        <v>LU000727.002</v>
      </c>
      <c r="M161" s="100" t="str">
        <f ca="1">IFERROR(__xludf.dummyfunction("VLOOKUP(L161, IMPORTRANGE(""https://docs.google.com/spreadsheets/d/1yDAaXNsi4Mr5FtRQL4tbmSdIzhx6_m4wkOD7IG-k_eo/edit#gid=0"", ""Maths!M:N""), 2, FALSE)"),"Explain how the shape and size of a container, as well as its dimensions, affect its capacity to hold a specific substance or material.")</f>
        <v>Explain how the shape and size of a container, as well as its dimensions, affect its capacity to hold a specific substance or material.</v>
      </c>
      <c r="N161" s="100" t="str">
        <f t="shared" si="26"/>
        <v>LU000727.003</v>
      </c>
      <c r="O161" s="100" t="str">
        <f ca="1">IFERROR(__xludf.dummyfunction("VLOOKUP(N161, IMPORTRANGE(""https://docs.google.com/spreadsheets/d/1yDAaXNsi4Mr5FtRQL4tbmSdIzhx6_m4wkOD7IG-k_eo/edit#gid=0"", ""Maths!M:N""), 2, FALSE)"),"Apply the concept of capacity to calculate the volume of a given container, understanding that volume and capacity are closely related.")</f>
        <v>Apply the concept of capacity to calculate the volume of a given container, understanding that volume and capacity are closely related.</v>
      </c>
      <c r="P161" s="100" t="str">
        <f t="shared" si="27"/>
        <v>LU000727.004</v>
      </c>
      <c r="Q161" s="100" t="str">
        <f ca="1">IFERROR(__xludf.dummyfunction("VLOOKUP(P161, IMPORTRANGE(""https://docs.google.com/spreadsheets/d/1yDAaXNsi4Mr5FtRQL4tbmSdIzhx6_m4wkOD7IG-k_eo/edit#gid=0"", ""Maths!M:N""), 2, FALSE)"),"Analyse different containers of varying shapes and sizes to determine which one has the greatest capacity for holding a particular substance, considering their dimensions and configurations.")</f>
        <v>Analyse different containers of varying shapes and sizes to determine which one has the greatest capacity for holding a particular substance, considering their dimensions and configurations.</v>
      </c>
      <c r="R161" s="100" t="str">
        <f t="shared" si="28"/>
        <v>LU000727.005</v>
      </c>
      <c r="S161" s="100" t="str">
        <f ca="1">IFERROR(__xludf.dummyfunction("VLOOKUP(R161, IMPORTRANGE(""https://docs.google.com/spreadsheets/d/1yDAaXNsi4Mr5FtRQL4tbmSdIzhx6_m4wkOD7IG-k_eo/edit#gid=0"", ""Maths!M:N""), 2, FALSE)"),"Evaluate the practical significance of understanding and calculating the capacity of containers in real-world scenarios.")</f>
        <v>Evaluate the practical significance of understanding and calculating the capacity of containers in real-world scenarios.</v>
      </c>
      <c r="T161" s="100" t="str">
        <f t="shared" si="29"/>
        <v>LU000727.006</v>
      </c>
      <c r="U161" s="100" t="str">
        <f ca="1">IFERROR(__xludf.dummyfunction("VLOOKUP(T161, IMPORTRANGE(""https://docs.google.com/spreadsheets/d/1yDAaXNsi4Mr5FtRQL4tbmSdIzhx6_m4wkOD7IG-k_eo/edit#gid=0"", ""Maths!M:N""), 2, FALSE)"),"Design a container that maximizes space within given limits, showing creativity and problem-solving in making a practical container.")</f>
        <v>Design a container that maximizes space within given limits, showing creativity and problem-solving in making a practical container.</v>
      </c>
      <c r="V161" s="16">
        <f ca="1">IFERROR(__xludf.dummyfunction("ArrayFormula(VLOOKUP(G161, IMPORTRANGE(""https://docs.google.com/spreadsheets/d/1p7R4vtkWt5VOBim4ltsDG9KTzSjrtKXsMtQGXPHyND0/edit#gid=795171502"", ""'Filter 30_05_2024'!A1:M2000""), {2, 3, 4, 5,6,7,8,9,10,11,12,13}, 0))"),4)</f>
        <v>4</v>
      </c>
      <c r="W161" s="16">
        <f ca="1">IFERROR(__xludf.dummyfunction("""COMPUTED_VALUE"""),6)</f>
        <v>6</v>
      </c>
      <c r="X161" s="16">
        <f ca="1">IFERROR(__xludf.dummyfunction("""COMPUTED_VALUE"""),2)</f>
        <v>2</v>
      </c>
      <c r="Y161" s="16">
        <f ca="1">IFERROR(__xludf.dummyfunction("""COMPUTED_VALUE"""),12)</f>
        <v>12</v>
      </c>
      <c r="Z161" s="16">
        <f ca="1">IFERROR(__xludf.dummyfunction("""COMPUTED_VALUE"""),4)</f>
        <v>4</v>
      </c>
      <c r="AA161" s="30">
        <f ca="1">IFERROR(__xludf.dummyfunction("""COMPUTED_VALUE"""),3)</f>
        <v>3</v>
      </c>
      <c r="AB161" s="30">
        <f ca="1">IFERROR(__xludf.dummyfunction("""COMPUTED_VALUE"""),1)</f>
        <v>1</v>
      </c>
      <c r="AC161" s="30">
        <f ca="1">IFERROR(__xludf.dummyfunction("""COMPUTED_VALUE"""),8)</f>
        <v>8</v>
      </c>
      <c r="AD161" s="16"/>
      <c r="AE161" s="30"/>
      <c r="AF161" s="30"/>
      <c r="AG161" s="30"/>
    </row>
    <row r="162" spans="1:33" ht="13.8">
      <c r="A162" s="25"/>
      <c r="B162" s="25" t="s">
        <v>29</v>
      </c>
      <c r="C162" s="25" t="s">
        <v>310</v>
      </c>
      <c r="D162" s="25">
        <v>8</v>
      </c>
      <c r="E162" s="63" t="s">
        <v>723</v>
      </c>
      <c r="F162" s="89" t="s">
        <v>1263</v>
      </c>
      <c r="G162" s="87" t="s">
        <v>1266</v>
      </c>
      <c r="H162" s="64" t="str">
        <f ca="1">IFERROR(__xludf.dummyfunction("IFERROR(
  VLOOKUP(G162, IMPORTRANGE(""https://docs.google.com/spreadsheets/d/14deopnvwcrKtEGCKuYXdUHJbeLDZlkiSSWWT0g7x2pM/edit#gid=849066331"", ""LU List Maths (Filter)!A:B""), 2, FALSE),
  IFERROR(
    VLOOKUP(G162, IMPORTRANGE(""https://docs.google.com"&amp;"/spreadsheets/d/14deopnvwcrKtEGCKuYXdUHJbeLDZlkiSSWWT0g7x2pM/edit#gid=849066331"", ""LU List Science (Filter)!A:B""), 2, FALSE),
    ""Not Found""
  )
)
"),"Volume of a hollow cylinder")</f>
        <v>Volume of a hollow cylinder</v>
      </c>
      <c r="I162" s="87"/>
      <c r="J162" s="100" t="str">
        <f t="shared" ref="J162:J172" si="30">G162 &amp; ".001"</f>
        <v>LU000942.001</v>
      </c>
      <c r="K162" s="100" t="str">
        <f ca="1">IFERROR(__xludf.dummyfunction("VLOOKUP(J162, IMPORTRANGE(""https://docs.google.com/spreadsheets/d/1yDAaXNsi4Mr5FtRQL4tbmSdIzhx6_m4wkOD7IG-k_eo/edit#gid=0"", ""Maths!M:N""), 2, FALSE)"),"State the formula for the volume of a hollow cylinder.")</f>
        <v>State the formula for the volume of a hollow cylinder.</v>
      </c>
      <c r="L162" s="100" t="str">
        <f t="shared" ref="L162:L172" si="31">G162 &amp; ".002"</f>
        <v>LU000942.002</v>
      </c>
      <c r="M162" s="100" t="str">
        <f ca="1">IFERROR(__xludf.dummyfunction("VLOOKUP(L162, IMPORTRANGE(""https://docs.google.com/spreadsheets/d/1yDAaXNsi4Mr5FtRQL4tbmSdIzhx6_m4wkOD7IG-k_eo/edit#gid=0"", ""Maths!M:N""), 2, FALSE)"),"Explain the difference between volume of solid cylinder and a hollow cylinder.")</f>
        <v>Explain the difference between volume of solid cylinder and a hollow cylinder.</v>
      </c>
      <c r="N162" s="100" t="str">
        <f t="shared" ref="N162:N172" si="32">G162 &amp; ".003"</f>
        <v>LU000942.003</v>
      </c>
      <c r="O162" s="100" t="str">
        <f ca="1">IFERROR(__xludf.dummyfunction("VLOOKUP(N162, IMPORTRANGE(""https://docs.google.com/spreadsheets/d/1yDAaXNsi4Mr5FtRQL4tbmSdIzhx6_m4wkOD7IG-k_eo/edit#gid=0"", ""Maths!M:N""), 2, FALSE)"),"Solve problems involving the calculation of the volume of a hollow cylinder.")</f>
        <v>Solve problems involving the calculation of the volume of a hollow cylinder.</v>
      </c>
      <c r="P162" s="100" t="str">
        <f t="shared" ref="P162:P172" si="33">G162 &amp; ".004"</f>
        <v>LU000942.004</v>
      </c>
      <c r="Q162" s="100" t="str">
        <f ca="1">IFERROR(__xludf.dummyfunction("VLOOKUP(P162, IMPORTRANGE(""https://docs.google.com/spreadsheets/d/1yDAaXNsi4Mr5FtRQL4tbmSdIzhx6_m4wkOD7IG-k_eo/edit#gid=0"", ""Maths!M:N""), 2, FALSE)"),"#N/A")</f>
        <v>#N/A</v>
      </c>
      <c r="R162" s="100" t="str">
        <f t="shared" ref="R162:R172" si="34">G162 &amp; ".005"</f>
        <v>LU000942.005</v>
      </c>
      <c r="S162" s="100" t="str">
        <f ca="1">IFERROR(__xludf.dummyfunction("VLOOKUP(R162, IMPORTRANGE(""https://docs.google.com/spreadsheets/d/1yDAaXNsi4Mr5FtRQL4tbmSdIzhx6_m4wkOD7IG-k_eo/edit#gid=0"", ""Maths!M:N""), 2, FALSE)"),"Assess the impact of varying the thickness of the cylinder walls on the overall volume.")</f>
        <v>Assess the impact of varying the thickness of the cylinder walls on the overall volume.</v>
      </c>
      <c r="T162" s="100" t="str">
        <f t="shared" ref="T162:T172" si="35">G162 &amp; ".006"</f>
        <v>LU000942.006</v>
      </c>
      <c r="U162" s="100" t="str">
        <f ca="1">IFERROR(__xludf.dummyfunction("VLOOKUP(T162, IMPORTRANGE(""https://docs.google.com/spreadsheets/d/1yDAaXNsi4Mr5FtRQL4tbmSdIzhx6_m4wkOD7IG-k_eo/edit#gid=0"", ""Maths!M:N""), 2, FALSE)"),"Create a real-world scenario or problem that requires the application of knowledge about the volume of a hollow cylinder.")</f>
        <v>Create a real-world scenario or problem that requires the application of knowledge about the volume of a hollow cylinder.</v>
      </c>
      <c r="V162" s="16">
        <f ca="1">IFERROR(__xludf.dummyfunction("ArrayFormula(VLOOKUP(G162, IMPORTRANGE(""https://docs.google.com/spreadsheets/d/1p7R4vtkWt5VOBim4ltsDG9KTzSjrtKXsMtQGXPHyND0/edit#gid=795171502"", ""'Filter 30_05_2024'!A1:M2000""), {2, 3, 4, 5,6,7,8,9,10,11,12,13}, 0))"),4)</f>
        <v>4</v>
      </c>
      <c r="W162" s="16">
        <f ca="1">IFERROR(__xludf.dummyfunction("""COMPUTED_VALUE"""),6)</f>
        <v>6</v>
      </c>
      <c r="X162" s="16">
        <f ca="1">IFERROR(__xludf.dummyfunction("""COMPUTED_VALUE"""),2)</f>
        <v>2</v>
      </c>
      <c r="Y162" s="16">
        <f ca="1">IFERROR(__xludf.dummyfunction("""COMPUTED_VALUE"""),12)</f>
        <v>12</v>
      </c>
      <c r="Z162" s="16">
        <f ca="1">IFERROR(__xludf.dummyfunction("""COMPUTED_VALUE"""),4)</f>
        <v>4</v>
      </c>
      <c r="AA162" s="30">
        <f ca="1">IFERROR(__xludf.dummyfunction("""COMPUTED_VALUE"""),3)</f>
        <v>3</v>
      </c>
      <c r="AB162" s="30">
        <f ca="1">IFERROR(__xludf.dummyfunction("""COMPUTED_VALUE"""),1)</f>
        <v>1</v>
      </c>
      <c r="AC162" s="30">
        <f ca="1">IFERROR(__xludf.dummyfunction("""COMPUTED_VALUE"""),8)</f>
        <v>8</v>
      </c>
      <c r="AD162" s="16"/>
      <c r="AE162" s="30"/>
      <c r="AF162" s="30"/>
      <c r="AG162" s="30"/>
    </row>
    <row r="163" spans="1:33" ht="13.8">
      <c r="A163" s="25"/>
      <c r="B163" s="25" t="s">
        <v>29</v>
      </c>
      <c r="C163" s="25" t="s">
        <v>310</v>
      </c>
      <c r="D163" s="25">
        <v>8</v>
      </c>
      <c r="E163" s="70" t="s">
        <v>740</v>
      </c>
      <c r="F163" s="89" t="s">
        <v>1267</v>
      </c>
      <c r="G163" s="87" t="s">
        <v>1268</v>
      </c>
      <c r="H163" s="64" t="str">
        <f ca="1">IFERROR(__xludf.dummyfunction("IFERROR(
  VLOOKUP(G163, IMPORTRANGE(""https://docs.google.com/spreadsheets/d/14deopnvwcrKtEGCKuYXdUHJbeLDZlkiSSWWT0g7x2pM/edit#gid=849066331"", ""LU List Maths (Filter)!A:B""), 2, FALSE),
  IFERROR(
    VLOOKUP(G163, IMPORTRANGE(""https://docs.google.com"&amp;"/spreadsheets/d/14deopnvwcrKtEGCKuYXdUHJbeLDZlkiSSWWT0g7x2pM/edit#gid=849066331"", ""LU List Science (Filter)!A:B""), 2, FALSE),
    ""Not Found""
  )
)
"),"Definition of double bar graph")</f>
        <v>Definition of double bar graph</v>
      </c>
      <c r="I163" s="87"/>
      <c r="J163" s="100" t="str">
        <f t="shared" si="30"/>
        <v>LU000390.001</v>
      </c>
      <c r="K163" s="100" t="str">
        <f ca="1">IFERROR(__xludf.dummyfunction("VLOOKUP(J163, IMPORTRANGE(""https://docs.google.com/spreadsheets/d/1yDAaXNsi4Mr5FtRQL4tbmSdIzhx6_m4wkOD7IG-k_eo/edit#gid=0"", ""Maths!M:N""), 2, FALSE)"),"State the definition of a double bar graph and explain its use in visually comparing two sets of data.")</f>
        <v>State the definition of a double bar graph and explain its use in visually comparing two sets of data.</v>
      </c>
      <c r="L163" s="100" t="str">
        <f t="shared" si="31"/>
        <v>LU000390.002</v>
      </c>
      <c r="M163" s="100" t="str">
        <f ca="1">IFERROR(__xludf.dummyfunction("VLOOKUP(L163, IMPORTRANGE(""https://docs.google.com/spreadsheets/d/1yDAaXNsi4Mr5FtRQL4tbmSdIzhx6_m4wkOD7IG-k_eo/edit#gid=0"", ""Maths!M:N""), 2, FALSE)"),"Explain the concept of a double bar graph and the arrangement of bars to represent two sets of data.")</f>
        <v>Explain the concept of a double bar graph and the arrangement of bars to represent two sets of data.</v>
      </c>
      <c r="N163" s="100" t="str">
        <f t="shared" si="32"/>
        <v>LU000390.003</v>
      </c>
      <c r="O163" s="100" t="str">
        <f ca="1">IFERROR(__xludf.dummyfunction("VLOOKUP(N163, IMPORTRANGE(""https://docs.google.com/spreadsheets/d/1yDAaXNsi4Mr5FtRQL4tbmSdIzhx6_m4wkOD7IG-k_eo/edit#gid=0"", ""Maths!M:N""), 2, FALSE)"),"Apply the knowledge of a double bar graph to create one based on given data sets.")</f>
        <v>Apply the knowledge of a double bar graph to create one based on given data sets.</v>
      </c>
      <c r="P163" s="100" t="str">
        <f t="shared" si="33"/>
        <v>LU000390.004</v>
      </c>
      <c r="Q163" s="100" t="str">
        <f ca="1">IFERROR(__xludf.dummyfunction("VLOOKUP(P163, IMPORTRANGE(""https://docs.google.com/spreadsheets/d/1yDAaXNsi4Mr5FtRQL4tbmSdIzhx6_m4wkOD7IG-k_eo/edit#gid=0"", ""Maths!M:N""), 2, FALSE)"),"Analyse different double bar graphs and interpret the comparison of two sets of data they represent.")</f>
        <v>Analyse different double bar graphs and interpret the comparison of two sets of data they represent.</v>
      </c>
      <c r="R163" s="100" t="str">
        <f t="shared" si="34"/>
        <v>LU000390.005</v>
      </c>
      <c r="S163" s="100" t="str">
        <f ca="1">IFERROR(__xludf.dummyfunction("VLOOKUP(R163, IMPORTRANGE(""https://docs.google.com/spreadsheets/d/1yDAaXNsi4Mr5FtRQL4tbmSdIzhx6_m4wkOD7IG-k_eo/edit#gid=0"", ""Maths!M:N""), 2, FALSE)"),"Assess whether a given double bar graph accurately and clearly represents the differences between two sets of data.")</f>
        <v>Assess whether a given double bar graph accurately and clearly represents the differences between two sets of data.</v>
      </c>
      <c r="T163" s="100" t="str">
        <f t="shared" si="35"/>
        <v>LU000390.006</v>
      </c>
      <c r="U163" s="100" t="str">
        <f ca="1">IFERROR(__xludf.dummyfunction("VLOOKUP(T163, IMPORTRANGE(""https://docs.google.com/spreadsheets/d/1yDAaXNsi4Mr5FtRQL4tbmSdIzhx6_m4wkOD7IG-k_eo/edit#gid=0"", ""Maths!M:N""), 2, FALSE)"),"Design a scenario where two sets of data need to be compared and create a double bar graph to effectively visualise the comparison.")</f>
        <v>Design a scenario where two sets of data need to be compared and create a double bar graph to effectively visualise the comparison.</v>
      </c>
      <c r="V163" s="16">
        <f ca="1">IFERROR(__xludf.dummyfunction("ArrayFormula(VLOOKUP(G163, IMPORTRANGE(""https://docs.google.com/spreadsheets/d/1p7R4vtkWt5VOBim4ltsDG9KTzSjrtKXsMtQGXPHyND0/edit#gid=795171502"", ""'Filter 30_05_2024'!A1:M2000""), {2, 3, 4, 5,6,7,8,9,10,11,12,13}, 0))"),4)</f>
        <v>4</v>
      </c>
      <c r="W163" s="16">
        <f ca="1">IFERROR(__xludf.dummyfunction("""COMPUTED_VALUE"""),6)</f>
        <v>6</v>
      </c>
      <c r="X163" s="16">
        <f ca="1">IFERROR(__xludf.dummyfunction("""COMPUTED_VALUE"""),2)</f>
        <v>2</v>
      </c>
      <c r="Y163" s="16">
        <f ca="1">IFERROR(__xludf.dummyfunction("""COMPUTED_VALUE"""),12)</f>
        <v>12</v>
      </c>
      <c r="Z163" s="16">
        <f ca="1">IFERROR(__xludf.dummyfunction("""COMPUTED_VALUE"""),4)</f>
        <v>4</v>
      </c>
      <c r="AA163" s="30">
        <f ca="1">IFERROR(__xludf.dummyfunction("""COMPUTED_VALUE"""),3)</f>
        <v>3</v>
      </c>
      <c r="AB163" s="30">
        <f ca="1">IFERROR(__xludf.dummyfunction("""COMPUTED_VALUE"""),1)</f>
        <v>1</v>
      </c>
      <c r="AC163" s="30">
        <f ca="1">IFERROR(__xludf.dummyfunction("""COMPUTED_VALUE"""),8)</f>
        <v>8</v>
      </c>
      <c r="AD163" s="16"/>
      <c r="AE163" s="30"/>
      <c r="AF163" s="30"/>
      <c r="AG163" s="30"/>
    </row>
    <row r="164" spans="1:33" ht="13.8">
      <c r="A164" s="25"/>
      <c r="B164" s="25" t="s">
        <v>29</v>
      </c>
      <c r="C164" s="25" t="s">
        <v>310</v>
      </c>
      <c r="D164" s="25">
        <v>8</v>
      </c>
      <c r="E164" s="70" t="s">
        <v>740</v>
      </c>
      <c r="F164" s="89" t="s">
        <v>1267</v>
      </c>
      <c r="G164" s="87" t="s">
        <v>1269</v>
      </c>
      <c r="H164" s="64" t="str">
        <f ca="1">IFERROR(__xludf.dummyfunction("IFERROR(
  VLOOKUP(G164, IMPORTRANGE(""https://docs.google.com/spreadsheets/d/14deopnvwcrKtEGCKuYXdUHJbeLDZlkiSSWWT0g7x2pM/edit#gid=849066331"", ""LU List Maths (Filter)!A:B""), 2, FALSE),
  IFERROR(
    VLOOKUP(G164, IMPORTRANGE(""https://docs.google.com"&amp;"/spreadsheets/d/14deopnvwcrKtEGCKuYXdUHJbeLDZlkiSSWWT0g7x2pM/edit#gid=849066331"", ""LU List Science (Filter)!A:B""), 2, FALSE),
    ""Not Found""
  )
)
"),"Interpretation of a double bar graph")</f>
        <v>Interpretation of a double bar graph</v>
      </c>
      <c r="I164" s="87"/>
      <c r="J164" s="100" t="str">
        <f t="shared" si="30"/>
        <v>LU000391.001</v>
      </c>
      <c r="K164" s="100" t="str">
        <f ca="1">IFERROR(__xludf.dummyfunction("VLOOKUP(J164, IMPORTRANGE(""https://docs.google.com/spreadsheets/d/1yDAaXNsi4Mr5FtRQL4tbmSdIzhx6_m4wkOD7IG-k_eo/edit#gid=0"", ""Maths!M:N""), 2, FALSE)"),"List the components of a double bar graph, such as the axes, labels and bars, and explain their roles.")</f>
        <v>List the components of a double bar graph, such as the axes, labels and bars, and explain their roles.</v>
      </c>
      <c r="L164" s="100" t="str">
        <f t="shared" si="31"/>
        <v>LU000391.002</v>
      </c>
      <c r="M164" s="100" t="str">
        <f ca="1">IFERROR(__xludf.dummyfunction("VLOOKUP(L164, IMPORTRANGE(""https://docs.google.com/spreadsheets/d/1yDAaXNsi4Mr5FtRQL4tbmSdIzhx6_m4wkOD7IG-k_eo/edit#gid=0"", ""Maths!M:N""), 2, FALSE)"),"Explain the process of interpreting a double bar graph and understanding how it visually compares two sets of data.")</f>
        <v>Explain the process of interpreting a double bar graph and understanding how it visually compares two sets of data.</v>
      </c>
      <c r="N164" s="100" t="str">
        <f t="shared" si="32"/>
        <v>LU000391.003</v>
      </c>
      <c r="O164" s="100" t="str">
        <f ca="1">IFERROR(__xludf.dummyfunction("VLOOKUP(N164, IMPORTRANGE(""https://docs.google.com/spreadsheets/d/1yDAaXNsi4Mr5FtRQL4tbmSdIzhx6_m4wkOD7IG-k_eo/edit#gid=0"", ""Maths!M:N""), 2, FALSE)"),"Apply the knowledge of interpreting double bar graphs to answer questions related to the comparison of two sets of data.")</f>
        <v>Apply the knowledge of interpreting double bar graphs to answer questions related to the comparison of two sets of data.</v>
      </c>
      <c r="P164" s="100" t="str">
        <f t="shared" si="33"/>
        <v>LU000391.004</v>
      </c>
      <c r="Q164" s="100" t="str">
        <f ca="1">IFERROR(__xludf.dummyfunction("VLOOKUP(P164, IMPORTRANGE(""https://docs.google.com/spreadsheets/d/1yDAaXNsi4Mr5FtRQL4tbmSdIzhx6_m4wkOD7IG-k_eo/edit#gid=0"", ""Maths!M:N""), 2, FALSE)"),"Analyse different double bar graphs and infer trends, differences, and relationships between two sets of data.")</f>
        <v>Analyse different double bar graphs and infer trends, differences, and relationships between two sets of data.</v>
      </c>
      <c r="R164" s="100" t="str">
        <f t="shared" si="34"/>
        <v>LU000391.005</v>
      </c>
      <c r="S164" s="100" t="str">
        <f ca="1">IFERROR(__xludf.dummyfunction("VLOOKUP(R164, IMPORTRANGE(""https://docs.google.com/spreadsheets/d/1yDAaXNsi4Mr5FtRQL4tbmSdIzhx6_m4wkOD7IG-k_eo/edit#gid=0"", ""Maths!M:N""), 2, FALSE)"),"Evaluate the accuracy of interpretations made from a double bar graph and identify potential sources of misinterpretation.")</f>
        <v>Evaluate the accuracy of interpretations made from a double bar graph and identify potential sources of misinterpretation.</v>
      </c>
      <c r="T164" s="100" t="str">
        <f t="shared" si="35"/>
        <v>LU000391.006</v>
      </c>
      <c r="U164" s="100" t="str">
        <f ca="1">IFERROR(__xludf.dummyfunction("VLOOKUP(T164, IMPORTRANGE(""https://docs.google.com/spreadsheets/d/1yDAaXNsi4Mr5FtRQL4tbmSdIzhx6_m4wkOD7IG-k_eo/edit#gid=0"", ""Maths!M:N""), 2, FALSE)"),"Design a set of questions that requires to interpret a given double bar graph and draw meaningful conclusions about the compared data sets.")</f>
        <v>Design a set of questions that requires to interpret a given double bar graph and draw meaningful conclusions about the compared data sets.</v>
      </c>
      <c r="V164" s="16">
        <f ca="1">IFERROR(__xludf.dummyfunction("ArrayFormula(VLOOKUP(G164, IMPORTRANGE(""https://docs.google.com/spreadsheets/d/1p7R4vtkWt5VOBim4ltsDG9KTzSjrtKXsMtQGXPHyND0/edit#gid=795171502"", ""'Filter 30_05_2024'!A1:M2000""), {2, 3, 4, 5,6,7,8,9,10,11,12,13}, 0))"),4)</f>
        <v>4</v>
      </c>
      <c r="W164" s="16">
        <f ca="1">IFERROR(__xludf.dummyfunction("""COMPUTED_VALUE"""),6)</f>
        <v>6</v>
      </c>
      <c r="X164" s="16">
        <f ca="1">IFERROR(__xludf.dummyfunction("""COMPUTED_VALUE"""),2)</f>
        <v>2</v>
      </c>
      <c r="Y164" s="16">
        <f ca="1">IFERROR(__xludf.dummyfunction("""COMPUTED_VALUE"""),12)</f>
        <v>12</v>
      </c>
      <c r="Z164" s="16">
        <f ca="1">IFERROR(__xludf.dummyfunction("""COMPUTED_VALUE"""),4)</f>
        <v>4</v>
      </c>
      <c r="AA164" s="30">
        <f ca="1">IFERROR(__xludf.dummyfunction("""COMPUTED_VALUE"""),6)</f>
        <v>6</v>
      </c>
      <c r="AB164" s="30">
        <f ca="1">IFERROR(__xludf.dummyfunction("""COMPUTED_VALUE"""),1)</f>
        <v>1</v>
      </c>
      <c r="AC164" s="30">
        <f ca="1">IFERROR(__xludf.dummyfunction("""COMPUTED_VALUE"""),11)</f>
        <v>11</v>
      </c>
      <c r="AD164" s="16"/>
      <c r="AE164" s="30"/>
      <c r="AF164" s="30"/>
      <c r="AG164" s="30"/>
    </row>
    <row r="165" spans="1:33" ht="13.8">
      <c r="A165" s="25"/>
      <c r="B165" s="25" t="s">
        <v>29</v>
      </c>
      <c r="C165" s="25" t="s">
        <v>310</v>
      </c>
      <c r="D165" s="25">
        <v>8</v>
      </c>
      <c r="E165" s="70" t="s">
        <v>740</v>
      </c>
      <c r="F165" s="89" t="s">
        <v>1267</v>
      </c>
      <c r="G165" s="87" t="s">
        <v>1270</v>
      </c>
      <c r="H165" s="64" t="str">
        <f ca="1">IFERROR(__xludf.dummyfunction("IFERROR(
  VLOOKUP(G165, IMPORTRANGE(""https://docs.google.com/spreadsheets/d/14deopnvwcrKtEGCKuYXdUHJbeLDZlkiSSWWT0g7x2pM/edit#gid=849066331"", ""LU List Maths (Filter)!A:B""), 2, FALSE),
  IFERROR(
    VLOOKUP(G165, IMPORTRANGE(""https://docs.google.com"&amp;"/spreadsheets/d/14deopnvwcrKtEGCKuYXdUHJbeLDZlkiSSWWT0g7x2pM/edit#gid=849066331"", ""LU List Science (Filter)!A:B""), 2, FALSE),
    ""Not Found""
  )
)
"),"Construction of a double bar graph")</f>
        <v>Construction of a double bar graph</v>
      </c>
      <c r="I165" s="87"/>
      <c r="J165" s="100" t="str">
        <f t="shared" si="30"/>
        <v>LU000392.001</v>
      </c>
      <c r="K165" s="100" t="str">
        <f ca="1">IFERROR(__xludf.dummyfunction("VLOOKUP(J165, IMPORTRANGE(""https://docs.google.com/spreadsheets/d/1yDAaXNsi4Mr5FtRQL4tbmSdIzhx6_m4wkOD7IG-k_eo/edit#gid=0"", ""Maths!M:N""), 2, FALSE)"),"List the steps required to create a double bar graph, including labeling axes, plotting data points, and creating bars.")</f>
        <v>List the steps required to create a double bar graph, including labeling axes, plotting data points, and creating bars.</v>
      </c>
      <c r="L165" s="100" t="str">
        <f t="shared" si="31"/>
        <v>LU000392.002</v>
      </c>
      <c r="M165" s="100" t="str">
        <f ca="1">IFERROR(__xludf.dummyfunction("VLOOKUP(L165, IMPORTRANGE(""https://docs.google.com/spreadsheets/d/1yDAaXNsi4Mr5FtRQL4tbmSdIzhx6_m4wkOD7IG-k_eo/edit#gid=0"", ""Maths!M:N""), 2, FALSE)"),"Explain the concept of constructing a double bar graph and the purpose of arranging bars side by side.")</f>
        <v>Explain the concept of constructing a double bar graph and the purpose of arranging bars side by side.</v>
      </c>
      <c r="N165" s="100" t="str">
        <f t="shared" si="32"/>
        <v>LU000392.003</v>
      </c>
      <c r="O165" s="100" t="str">
        <f ca="1">IFERROR(__xludf.dummyfunction("VLOOKUP(N165, IMPORTRANGE(""https://docs.google.com/spreadsheets/d/1yDAaXNsi4Mr5FtRQL4tbmSdIzhx6_m4wkOD7IG-k_eo/edit#gid=0"", ""Maths!M:N""), 2, FALSE)"),"Apply the knowledge of constructing double bar graphs to create one based on given data sets.")</f>
        <v>Apply the knowledge of constructing double bar graphs to create one based on given data sets.</v>
      </c>
      <c r="P165" s="100" t="str">
        <f t="shared" si="33"/>
        <v>LU000392.004</v>
      </c>
      <c r="Q165" s="100" t="str">
        <f ca="1">IFERROR(__xludf.dummyfunction("VLOOKUP(P165, IMPORTRANGE(""https://docs.google.com/spreadsheets/d/1yDAaXNsi4Mr5FtRQL4tbmSdIzhx6_m4wkOD7IG-k_eo/edit#gid=0"", ""Maths!M:N""), 2, FALSE)"),"Analyse different double bar graphs and determine how effectively they communicate the comparison between two sets of data.")</f>
        <v>Analyse different double bar graphs and determine how effectively they communicate the comparison between two sets of data.</v>
      </c>
      <c r="R165" s="100" t="str">
        <f t="shared" si="34"/>
        <v>LU000392.005</v>
      </c>
      <c r="S165" s="100" t="str">
        <f ca="1">IFERROR(__xludf.dummyfunction("VLOOKUP(R165, IMPORTRANGE(""https://docs.google.com/spreadsheets/d/1yDAaXNsi4Mr5FtRQL4tbmSdIzhx6_m4wkOD7IG-k_eo/edit#gid=0"", ""Maths!M:N""), 2, FALSE)"),"Evaluate the construction of a double bar graph in terms of accuracy, labeling, scaling, and clarity.")</f>
        <v>Evaluate the construction of a double bar graph in terms of accuracy, labeling, scaling, and clarity.</v>
      </c>
      <c r="T165" s="100" t="str">
        <f t="shared" si="35"/>
        <v>LU000392.006</v>
      </c>
      <c r="U165" s="100" t="str">
        <f ca="1">IFERROR(__xludf.dummyfunction("VLOOKUP(T165, IMPORTRANGE(""https://docs.google.com/spreadsheets/d/1yDAaXNsi4Mr5FtRQL4tbmSdIzhx6_m4wkOD7IG-k_eo/edit#gid=0"", ""Maths!M:N""), 2, FALSE)"),"Design scenarios involving two sets of data that need to be compared, and create a well-constructed double bar graph to visually represent the comparison.")</f>
        <v>Design scenarios involving two sets of data that need to be compared, and create a well-constructed double bar graph to visually represent the comparison.</v>
      </c>
      <c r="V165" s="16">
        <f ca="1">IFERROR(__xludf.dummyfunction("ArrayFormula(VLOOKUP(G165, IMPORTRANGE(""https://docs.google.com/spreadsheets/d/1p7R4vtkWt5VOBim4ltsDG9KTzSjrtKXsMtQGXPHyND0/edit#gid=795171502"", ""'Filter 30_05_2024'!A1:M2000""), {2, 3, 4, 5,6,7,8,9,10,11,12,13}, 0))"),4)</f>
        <v>4</v>
      </c>
      <c r="W165" s="16">
        <f ca="1">IFERROR(__xludf.dummyfunction("""COMPUTED_VALUE"""),5)</f>
        <v>5</v>
      </c>
      <c r="X165" s="16">
        <f ca="1">IFERROR(__xludf.dummyfunction("""COMPUTED_VALUE"""),1)</f>
        <v>1</v>
      </c>
      <c r="Y165" s="16">
        <f ca="1">IFERROR(__xludf.dummyfunction("""COMPUTED_VALUE"""),10)</f>
        <v>10</v>
      </c>
      <c r="Z165" s="16">
        <f ca="1">IFERROR(__xludf.dummyfunction("""COMPUTED_VALUE"""),4)</f>
        <v>4</v>
      </c>
      <c r="AA165" s="30">
        <f ca="1">IFERROR(__xludf.dummyfunction("""COMPUTED_VALUE"""),5)</f>
        <v>5</v>
      </c>
      <c r="AB165" s="30">
        <f ca="1">IFERROR(__xludf.dummyfunction("""COMPUTED_VALUE"""),1)</f>
        <v>1</v>
      </c>
      <c r="AC165" s="30">
        <f ca="1">IFERROR(__xludf.dummyfunction("""COMPUTED_VALUE"""),10)</f>
        <v>10</v>
      </c>
      <c r="AD165" s="16"/>
      <c r="AE165" s="30"/>
      <c r="AF165" s="30"/>
      <c r="AG165" s="30"/>
    </row>
    <row r="166" spans="1:33" ht="13.8">
      <c r="A166" s="50"/>
      <c r="B166" s="50" t="s">
        <v>29</v>
      </c>
      <c r="C166" s="50" t="s">
        <v>310</v>
      </c>
      <c r="D166" s="50">
        <v>8</v>
      </c>
      <c r="E166" s="81" t="s">
        <v>740</v>
      </c>
      <c r="F166" s="81" t="s">
        <v>1271</v>
      </c>
      <c r="G166" s="85" t="s">
        <v>1272</v>
      </c>
      <c r="H166" s="85" t="str">
        <f ca="1">IFERROR(__xludf.dummyfunction("IFERROR(
  VLOOKUP(G166, IMPORTRANGE(""https://docs.google.com/spreadsheets/d/14deopnvwcrKtEGCKuYXdUHJbeLDZlkiSSWWT0g7x2pM/edit#gid=849066331"", ""LU List Maths (Filter)!A:B""), 2, FALSE),
  IFERROR(
    VLOOKUP(G166, IMPORTRANGE(""https://docs.google.com"&amp;"/spreadsheets/d/14deopnvwcrKtEGCKuYXdUHJbeLDZlkiSSWWT0g7x2pM/edit#gid=849066331"", ""LU List Science (Filter)!A:B""), 2, FALSE),
    ""Not Found""
  )
)
"),"Definition of histogram")</f>
        <v>Definition of histogram</v>
      </c>
      <c r="I166" s="85"/>
      <c r="J166" s="100" t="str">
        <f t="shared" si="30"/>
        <v>LU000620.001</v>
      </c>
      <c r="K166" s="100" t="str">
        <f ca="1">IFERROR(__xludf.dummyfunction("VLOOKUP(J166, IMPORTRANGE(""https://docs.google.com/spreadsheets/d/1yDAaXNsi4Mr5FtRQL4tbmSdIzhx6_m4wkOD7IG-k_eo/edit#gid=0"", ""Maths!M:N""), 2, FALSE)"),"Define histogram as a graphical representation of data that uses bars to display the frequency of data points within specific intervals.")</f>
        <v>Define histogram as a graphical representation of data that uses bars to display the frequency of data points within specific intervals.</v>
      </c>
      <c r="L166" s="100" t="str">
        <f t="shared" si="31"/>
        <v>LU000620.002</v>
      </c>
      <c r="M166" s="100" t="str">
        <f ca="1">IFERROR(__xludf.dummyfunction("VLOOKUP(L166, IMPORTRANGE(""https://docs.google.com/spreadsheets/d/1yDAaXNsi4Mr5FtRQL4tbmSdIzhx6_m4wkOD7IG-k_eo/edit#gid=0"", ""Maths!M:N""), 2, FALSE)"),"Explain the purpose of using a histogram to visualize and summarize data.")</f>
        <v>Explain the purpose of using a histogram to visualize and summarize data.</v>
      </c>
      <c r="N166" s="100" t="str">
        <f t="shared" si="32"/>
        <v>LU000620.003</v>
      </c>
      <c r="O166" s="100" t="str">
        <f ca="1">IFERROR(__xludf.dummyfunction("VLOOKUP(N166, IMPORTRANGE(""https://docs.google.com/spreadsheets/d/1yDAaXNsi4Mr5FtRQL4tbmSdIzhx6_m4wkOD7IG-k_eo/edit#gid=0"", ""Maths!M:N""), 2, FALSE)"),"#N/A")</f>
        <v>#N/A</v>
      </c>
      <c r="P166" s="100" t="str">
        <f t="shared" si="33"/>
        <v>LU000620.004</v>
      </c>
      <c r="Q166" s="100" t="str">
        <f ca="1">IFERROR(__xludf.dummyfunction("VLOOKUP(P166, IMPORTRANGE(""https://docs.google.com/spreadsheets/d/1yDAaXNsi4Mr5FtRQL4tbmSdIzhx6_m4wkOD7IG-k_eo/edit#gid=0"", ""Maths!M:N""), 2, FALSE)"),"Analyze a given histogram to identify patterns, peaks, or trends within the data.")</f>
        <v>Analyze a given histogram to identify patterns, peaks, or trends within the data.</v>
      </c>
      <c r="R166" s="100" t="str">
        <f t="shared" si="34"/>
        <v>LU000620.005</v>
      </c>
      <c r="S166" s="100" t="str">
        <f ca="1">IFERROR(__xludf.dummyfunction("VLOOKUP(R166, IMPORTRANGE(""https://docs.google.com/spreadsheets/d/1yDAaXNsi4Mr5FtRQL4tbmSdIzhx6_m4wkOD7IG-k_eo/edit#gid=0"", ""Maths!M:N""), 2, FALSE)"),"Evaluate the effectiveness of using histograms for presenting and understanding different types of data.")</f>
        <v>Evaluate the effectiveness of using histograms for presenting and understanding different types of data.</v>
      </c>
      <c r="T166" s="100" t="str">
        <f t="shared" si="35"/>
        <v>LU000620.006</v>
      </c>
      <c r="U166" s="100" t="str">
        <f ca="1">IFERROR(__xludf.dummyfunction("VLOOKUP(T166, IMPORTRANGE(""https://docs.google.com/spreadsheets/d/1yDAaXNsi4Mr5FtRQL4tbmSdIzhx6_m4wkOD7IG-k_eo/edit#gid=0"", ""Maths!M:N""), 2, FALSE)"),"#N/A")</f>
        <v>#N/A</v>
      </c>
      <c r="V166" s="16" t="str">
        <f ca="1">IFERROR(__xludf.dummyfunction("ArrayFormula(VLOOKUP(G166, IMPORTRANGE(""https://docs.google.com/spreadsheets/d/1p7R4vtkWt5VOBim4ltsDG9KTzSjrtKXsMtQGXPHyND0/edit#gid=795171502"", ""'Filter 30_05_2024'!A1:M2000""), {2, 3, 4, 5,6,7,8,9,10,11,12,13}, 0))"),"#N/A")</f>
        <v>#N/A</v>
      </c>
      <c r="W166" s="16" t="str">
        <f ca="1">IFERROR(__xludf.dummyfunction("""COMPUTED_VALUE"""),"#N/A")</f>
        <v>#N/A</v>
      </c>
      <c r="X166" s="16" t="str">
        <f ca="1">IFERROR(__xludf.dummyfunction("""COMPUTED_VALUE"""),"#N/A")</f>
        <v>#N/A</v>
      </c>
      <c r="Y166" s="16" t="str">
        <f ca="1">IFERROR(__xludf.dummyfunction("""COMPUTED_VALUE"""),"#N/A")</f>
        <v>#N/A</v>
      </c>
      <c r="Z166" s="16" t="str">
        <f ca="1">IFERROR(__xludf.dummyfunction("""COMPUTED_VALUE"""),"#N/A")</f>
        <v>#N/A</v>
      </c>
      <c r="AA166" s="30" t="str">
        <f ca="1">IFERROR(__xludf.dummyfunction("""COMPUTED_VALUE"""),"#N/A")</f>
        <v>#N/A</v>
      </c>
      <c r="AB166" s="30" t="str">
        <f ca="1">IFERROR(__xludf.dummyfunction("""COMPUTED_VALUE"""),"#N/A")</f>
        <v>#N/A</v>
      </c>
      <c r="AC166" s="30" t="str">
        <f ca="1">IFERROR(__xludf.dummyfunction("""COMPUTED_VALUE"""),"#N/A")</f>
        <v>#N/A</v>
      </c>
      <c r="AD166" s="16" t="str">
        <f ca="1">IFERROR(__xludf.dummyfunction("""COMPUTED_VALUE"""),"#N/A")</f>
        <v>#N/A</v>
      </c>
      <c r="AE166" s="30" t="str">
        <f ca="1">IFERROR(__xludf.dummyfunction("""COMPUTED_VALUE"""),"#N/A")</f>
        <v>#N/A</v>
      </c>
      <c r="AF166" s="30" t="str">
        <f ca="1">IFERROR(__xludf.dummyfunction("""COMPUTED_VALUE"""),"#N/A")</f>
        <v>#N/A</v>
      </c>
      <c r="AG166" s="30" t="str">
        <f ca="1">IFERROR(__xludf.dummyfunction("""COMPUTED_VALUE"""),"#N/A")</f>
        <v>#N/A</v>
      </c>
    </row>
    <row r="167" spans="1:33" ht="13.8">
      <c r="A167" s="50"/>
      <c r="B167" s="50" t="s">
        <v>29</v>
      </c>
      <c r="C167" s="50" t="s">
        <v>310</v>
      </c>
      <c r="D167" s="50">
        <v>8</v>
      </c>
      <c r="E167" s="81" t="s">
        <v>740</v>
      </c>
      <c r="F167" s="81" t="s">
        <v>1271</v>
      </c>
      <c r="G167" s="85" t="s">
        <v>1273</v>
      </c>
      <c r="H167" s="85" t="str">
        <f ca="1">IFERROR(__xludf.dummyfunction("IFERROR(
  VLOOKUP(G167, IMPORTRANGE(""https://docs.google.com/spreadsheets/d/14deopnvwcrKtEGCKuYXdUHJbeLDZlkiSSWWT0g7x2pM/edit#gid=849066331"", ""LU List Maths (Filter)!A:B""), 2, FALSE),
  IFERROR(
    VLOOKUP(G167, IMPORTRANGE(""https://docs.google.com"&amp;"/spreadsheets/d/14deopnvwcrKtEGCKuYXdUHJbeLDZlkiSSWWT0g7x2pM/edit#gid=849066331"", ""LU List Science (Filter)!A:B""), 2, FALSE),
    ""Not Found""
  )
)
"),"Interpretation of histogram")</f>
        <v>Interpretation of histogram</v>
      </c>
      <c r="I167" s="85"/>
      <c r="J167" s="100" t="str">
        <f t="shared" si="30"/>
        <v>LU000634.001</v>
      </c>
      <c r="K167" s="100" t="str">
        <f ca="1">IFERROR(__xludf.dummyfunction("VLOOKUP(J167, IMPORTRANGE(""https://docs.google.com/spreadsheets/d/1yDAaXNsi4Mr5FtRQL4tbmSdIzhx6_m4wkOD7IG-k_eo/edit#gid=0"", ""Maths!M:N""), 2, FALSE)"),"Recognize the key elements of a histogram, including bars representing data intervals and their respective frequencies.")</f>
        <v>Recognize the key elements of a histogram, including bars representing data intervals and their respective frequencies.</v>
      </c>
      <c r="L167" s="100" t="str">
        <f t="shared" si="31"/>
        <v>LU000634.002</v>
      </c>
      <c r="M167" s="100" t="str">
        <f ca="1">IFERROR(__xludf.dummyfunction("VLOOKUP(L167, IMPORTRANGE(""https://docs.google.com/spreadsheets/d/1yDAaXNsi4Mr5FtRQL4tbmSdIzhx6_m4wkOD7IG-k_eo/edit#gid=0"", ""Maths!M:N""), 2, FALSE)"),"#N/A")</f>
        <v>#N/A</v>
      </c>
      <c r="N167" s="100" t="str">
        <f t="shared" si="32"/>
        <v>LU000634.003</v>
      </c>
      <c r="O167" s="100" t="str">
        <f ca="1">IFERROR(__xludf.dummyfunction("VLOOKUP(N167, IMPORTRANGE(""https://docs.google.com/spreadsheets/d/1yDAaXNsi4Mr5FtRQL4tbmSdIzhx6_m4wkOD7IG-k_eo/edit#gid=0"", ""Maths!M:N""), 2, FALSE)"),"Apply knowledge of histograms to interpret and analyze a given histogram")</f>
        <v>Apply knowledge of histograms to interpret and analyze a given histogram</v>
      </c>
      <c r="P167" s="100" t="str">
        <f t="shared" si="33"/>
        <v>LU000634.004</v>
      </c>
      <c r="Q167" s="100" t="str">
        <f ca="1">IFERROR(__xludf.dummyfunction("VLOOKUP(P167, IMPORTRANGE(""https://docs.google.com/spreadsheets/d/1yDAaXNsi4Mr5FtRQL4tbmSdIzhx6_m4wkOD7IG-k_eo/edit#gid=0"", ""Maths!M:N""), 2, FALSE)"),"Analyze a histogram to extract meaningful insights about the data's distribution")</f>
        <v>Analyze a histogram to extract meaningful insights about the data's distribution</v>
      </c>
      <c r="R167" s="100" t="str">
        <f t="shared" si="34"/>
        <v>LU000634.005</v>
      </c>
      <c r="S167" s="100" t="str">
        <f ca="1">IFERROR(__xludf.dummyfunction("VLOOKUP(R167, IMPORTRANGE(""https://docs.google.com/spreadsheets/d/1yDAaXNsi4Mr5FtRQL4tbmSdIzhx6_m4wkOD7IG-k_eo/edit#gid=0"", ""Maths!M:N""), 2, FALSE)"),"#N/A")</f>
        <v>#N/A</v>
      </c>
      <c r="T167" s="100" t="str">
        <f t="shared" si="35"/>
        <v>LU000634.006</v>
      </c>
      <c r="U167" s="100" t="str">
        <f ca="1">IFERROR(__xludf.dummyfunction("VLOOKUP(T167, IMPORTRANGE(""https://docs.google.com/spreadsheets/d/1yDAaXNsi4Mr5FtRQL4tbmSdIzhx6_m4wkOD7IG-k_eo/edit#gid=0"", ""Maths!M:N""), 2, FALSE)"),"#N/A")</f>
        <v>#N/A</v>
      </c>
      <c r="V167" s="16" t="str">
        <f ca="1">IFERROR(__xludf.dummyfunction("ArrayFormula(VLOOKUP(G167, IMPORTRANGE(""https://docs.google.com/spreadsheets/d/1p7R4vtkWt5VOBim4ltsDG9KTzSjrtKXsMtQGXPHyND0/edit#gid=795171502"", ""'Filter 30_05_2024'!A1:M2000""), {2, 3, 4, 5,6,7,8,9,10,11,12,13}, 0))"),"#N/A")</f>
        <v>#N/A</v>
      </c>
      <c r="W167" s="16" t="str">
        <f ca="1">IFERROR(__xludf.dummyfunction("""COMPUTED_VALUE"""),"#N/A")</f>
        <v>#N/A</v>
      </c>
      <c r="X167" s="16" t="str">
        <f ca="1">IFERROR(__xludf.dummyfunction("""COMPUTED_VALUE"""),"#N/A")</f>
        <v>#N/A</v>
      </c>
      <c r="Y167" s="16" t="str">
        <f ca="1">IFERROR(__xludf.dummyfunction("""COMPUTED_VALUE"""),"#N/A")</f>
        <v>#N/A</v>
      </c>
      <c r="Z167" s="16" t="str">
        <f ca="1">IFERROR(__xludf.dummyfunction("""COMPUTED_VALUE"""),"#N/A")</f>
        <v>#N/A</v>
      </c>
      <c r="AA167" s="30" t="str">
        <f ca="1">IFERROR(__xludf.dummyfunction("""COMPUTED_VALUE"""),"#N/A")</f>
        <v>#N/A</v>
      </c>
      <c r="AB167" s="30" t="str">
        <f ca="1">IFERROR(__xludf.dummyfunction("""COMPUTED_VALUE"""),"#N/A")</f>
        <v>#N/A</v>
      </c>
      <c r="AC167" s="30" t="str">
        <f ca="1">IFERROR(__xludf.dummyfunction("""COMPUTED_VALUE"""),"#N/A")</f>
        <v>#N/A</v>
      </c>
      <c r="AD167" s="16" t="str">
        <f ca="1">IFERROR(__xludf.dummyfunction("""COMPUTED_VALUE"""),"#N/A")</f>
        <v>#N/A</v>
      </c>
      <c r="AE167" s="30" t="str">
        <f ca="1">IFERROR(__xludf.dummyfunction("""COMPUTED_VALUE"""),"#N/A")</f>
        <v>#N/A</v>
      </c>
      <c r="AF167" s="30" t="str">
        <f ca="1">IFERROR(__xludf.dummyfunction("""COMPUTED_VALUE"""),"#N/A")</f>
        <v>#N/A</v>
      </c>
      <c r="AG167" s="30" t="str">
        <f ca="1">IFERROR(__xludf.dummyfunction("""COMPUTED_VALUE"""),"#N/A")</f>
        <v>#N/A</v>
      </c>
    </row>
    <row r="168" spans="1:33" ht="13.8">
      <c r="A168" s="50"/>
      <c r="B168" s="50" t="s">
        <v>29</v>
      </c>
      <c r="C168" s="50" t="s">
        <v>310</v>
      </c>
      <c r="D168" s="50">
        <v>8</v>
      </c>
      <c r="E168" s="81" t="s">
        <v>740</v>
      </c>
      <c r="F168" s="81" t="s">
        <v>1271</v>
      </c>
      <c r="G168" s="85" t="s">
        <v>1274</v>
      </c>
      <c r="H168" s="85" t="str">
        <f ca="1">IFERROR(__xludf.dummyfunction("IFERROR(
  VLOOKUP(G168, IMPORTRANGE(""https://docs.google.com/spreadsheets/d/14deopnvwcrKtEGCKuYXdUHJbeLDZlkiSSWWT0g7x2pM/edit#gid=849066331"", ""LU List Maths (Filter)!A:B""), 2, FALSE),
  IFERROR(
    VLOOKUP(G168, IMPORTRANGE(""https://docs.google.com"&amp;"/spreadsheets/d/14deopnvwcrKtEGCKuYXdUHJbeLDZlkiSSWWT0g7x2pM/edit#gid=849066331"", ""LU List Science (Filter)!A:B""), 2, FALSE),
    ""Not Found""
  )
)
"),"Construction of histogram")</f>
        <v>Construction of histogram</v>
      </c>
      <c r="I168" s="85"/>
      <c r="J168" s="100" t="str">
        <f t="shared" si="30"/>
        <v>LU000635.001</v>
      </c>
      <c r="K168" s="100" t="str">
        <f ca="1">IFERROR(__xludf.dummyfunction("VLOOKUP(J168, IMPORTRANGE(""https://docs.google.com/spreadsheets/d/1yDAaXNsi4Mr5FtRQL4tbmSdIzhx6_m4wkOD7IG-k_eo/edit#gid=0"", ""Maths!M:N""), 2, FALSE)"),"Recognize the essential components required for constructing a histogram")</f>
        <v>Recognize the essential components required for constructing a histogram</v>
      </c>
      <c r="L168" s="100" t="str">
        <f t="shared" si="31"/>
        <v>LU000635.002</v>
      </c>
      <c r="M168" s="100" t="str">
        <f ca="1">IFERROR(__xludf.dummyfunction("VLOOKUP(L168, IMPORTRANGE(""https://docs.google.com/spreadsheets/d/1yDAaXNsi4Mr5FtRQL4tbmSdIzhx6_m4wkOD7IG-k_eo/edit#gid=0"", ""Maths!M:N""), 2, FALSE)"),"Explain the purpose of constructing a histogram as a graphical tool for visualizing the distribution and frequency of data within intervals")</f>
        <v>Explain the purpose of constructing a histogram as a graphical tool for visualizing the distribution and frequency of data within intervals</v>
      </c>
      <c r="N168" s="100" t="str">
        <f t="shared" si="32"/>
        <v>LU000635.003</v>
      </c>
      <c r="O168" s="100" t="str">
        <f ca="1">IFERROR(__xludf.dummyfunction("VLOOKUP(N168, IMPORTRANGE(""https://docs.google.com/spreadsheets/d/1yDAaXNsi4Mr5FtRQL4tbmSdIzhx6_m4wkOD7IG-k_eo/edit#gid=0"", ""Maths!M:N""), 2, FALSE)"),"Apply knowledge of histogram construction to accurately create a histogram from a given dataset")</f>
        <v>Apply knowledge of histogram construction to accurately create a histogram from a given dataset</v>
      </c>
      <c r="P168" s="100" t="str">
        <f t="shared" si="33"/>
        <v>LU000635.004</v>
      </c>
      <c r="Q168" s="100" t="str">
        <f ca="1">IFERROR(__xludf.dummyfunction("VLOOKUP(P168, IMPORTRANGE(""https://docs.google.com/spreadsheets/d/1yDAaXNsi4Mr5FtRQL4tbmSdIzhx6_m4wkOD7IG-k_eo/edit#gid=0"", ""Maths!M:N""), 2, FALSE)"),"Analyze the dataset to determine suitable intervals and construct a histogram that effectively represents the data's distribution")</f>
        <v>Analyze the dataset to determine suitable intervals and construct a histogram that effectively represents the data's distribution</v>
      </c>
      <c r="R168" s="100" t="str">
        <f t="shared" si="34"/>
        <v>LU000635.005</v>
      </c>
      <c r="S168" s="100" t="str">
        <f ca="1">IFERROR(__xludf.dummyfunction("VLOOKUP(R168, IMPORTRANGE(""https://docs.google.com/spreadsheets/d/1yDAaXNsi4Mr5FtRQL4tbmSdIzhx6_m4wkOD7IG-k_eo/edit#gid=0"", ""Maths!M:N""), 2, FALSE)"),"Evaluate the effectiveness of the constructed histogram in representing data")</f>
        <v>Evaluate the effectiveness of the constructed histogram in representing data</v>
      </c>
      <c r="T168" s="100" t="str">
        <f t="shared" si="35"/>
        <v>LU000635.006</v>
      </c>
      <c r="U168" s="100" t="str">
        <f ca="1">IFERROR(__xludf.dummyfunction("VLOOKUP(T168, IMPORTRANGE(""https://docs.google.com/spreadsheets/d/1yDAaXNsi4Mr5FtRQL4tbmSdIzhx6_m4wkOD7IG-k_eo/edit#gid=0"", ""Maths!M:N""), 2, FALSE)"),"Create a histogram using a provided dataset, ensuring that it accurately represents the data's distribution")</f>
        <v>Create a histogram using a provided dataset, ensuring that it accurately represents the data's distribution</v>
      </c>
      <c r="V168" s="16" t="str">
        <f ca="1">IFERROR(__xludf.dummyfunction("ArrayFormula(VLOOKUP(G168, IMPORTRANGE(""https://docs.google.com/spreadsheets/d/1p7R4vtkWt5VOBim4ltsDG9KTzSjrtKXsMtQGXPHyND0/edit#gid=795171502"", ""'Filter 30_05_2024'!A1:M2000""), {2, 3, 4, 5,6,7,8,9,10,11,12,13}, 0))"),"#N/A")</f>
        <v>#N/A</v>
      </c>
      <c r="W168" s="16" t="str">
        <f ca="1">IFERROR(__xludf.dummyfunction("""COMPUTED_VALUE"""),"#N/A")</f>
        <v>#N/A</v>
      </c>
      <c r="X168" s="16" t="str">
        <f ca="1">IFERROR(__xludf.dummyfunction("""COMPUTED_VALUE"""),"#N/A")</f>
        <v>#N/A</v>
      </c>
      <c r="Y168" s="16" t="str">
        <f ca="1">IFERROR(__xludf.dummyfunction("""COMPUTED_VALUE"""),"#N/A")</f>
        <v>#N/A</v>
      </c>
      <c r="Z168" s="16" t="str">
        <f ca="1">IFERROR(__xludf.dummyfunction("""COMPUTED_VALUE"""),"#N/A")</f>
        <v>#N/A</v>
      </c>
      <c r="AA168" s="30" t="str">
        <f ca="1">IFERROR(__xludf.dummyfunction("""COMPUTED_VALUE"""),"#N/A")</f>
        <v>#N/A</v>
      </c>
      <c r="AB168" s="30" t="str">
        <f ca="1">IFERROR(__xludf.dummyfunction("""COMPUTED_VALUE"""),"#N/A")</f>
        <v>#N/A</v>
      </c>
      <c r="AC168" s="30" t="str">
        <f ca="1">IFERROR(__xludf.dummyfunction("""COMPUTED_VALUE"""),"#N/A")</f>
        <v>#N/A</v>
      </c>
      <c r="AD168" s="16" t="str">
        <f ca="1">IFERROR(__xludf.dummyfunction("""COMPUTED_VALUE"""),"#N/A")</f>
        <v>#N/A</v>
      </c>
      <c r="AE168" s="30" t="str">
        <f ca="1">IFERROR(__xludf.dummyfunction("""COMPUTED_VALUE"""),"#N/A")</f>
        <v>#N/A</v>
      </c>
      <c r="AF168" s="30" t="str">
        <f ca="1">IFERROR(__xludf.dummyfunction("""COMPUTED_VALUE"""),"#N/A")</f>
        <v>#N/A</v>
      </c>
      <c r="AG168" s="30" t="str">
        <f ca="1">IFERROR(__xludf.dummyfunction("""COMPUTED_VALUE"""),"#N/A")</f>
        <v>#N/A</v>
      </c>
    </row>
    <row r="169" spans="1:33" ht="13.8">
      <c r="A169" s="25"/>
      <c r="B169" s="25" t="s">
        <v>29</v>
      </c>
      <c r="C169" s="25" t="s">
        <v>310</v>
      </c>
      <c r="D169" s="25">
        <v>8</v>
      </c>
      <c r="E169" s="70" t="s">
        <v>740</v>
      </c>
      <c r="F169" s="89" t="s">
        <v>1275</v>
      </c>
      <c r="G169" s="87" t="s">
        <v>1276</v>
      </c>
      <c r="H169" s="64" t="str">
        <f ca="1">IFERROR(__xludf.dummyfunction("IFERROR(
  VLOOKUP(G169, IMPORTRANGE(""https://docs.google.com/spreadsheets/d/14deopnvwcrKtEGCKuYXdUHJbeLDZlkiSSWWT0g7x2pM/edit#gid=849066331"", ""LU List Maths (Filter)!A:B""), 2, FALSE),
  IFERROR(
    VLOOKUP(G169, IMPORTRANGE(""https://docs.google.com"&amp;"/spreadsheets/d/14deopnvwcrKtEGCKuYXdUHJbeLDZlkiSSWWT0g7x2pM/edit#gid=849066331"", ""LU List Science (Filter)!A:B""), 2, FALSE),
    ""Not Found""
  )
)
"),"Construction of circle graph/pie chart")</f>
        <v>Construction of circle graph/pie chart</v>
      </c>
      <c r="I169" s="87"/>
      <c r="J169" s="100" t="str">
        <f t="shared" si="30"/>
        <v>LU000633.001</v>
      </c>
      <c r="K169" s="100" t="str">
        <f ca="1">IFERROR(__xludf.dummyfunction("VLOOKUP(J169, IMPORTRANGE(""https://docs.google.com/spreadsheets/d/1yDAaXNsi4Mr5FtRQL4tbmSdIzhx6_m4wkOD7IG-k_eo/edit#gid=0"", ""Maths!M:N""), 2, FALSE)"),"Recognize the essential components required for constructing a pie chart")</f>
        <v>Recognize the essential components required for constructing a pie chart</v>
      </c>
      <c r="L169" s="100" t="str">
        <f t="shared" si="31"/>
        <v>LU000633.002</v>
      </c>
      <c r="M169" s="100" t="str">
        <f ca="1">IFERROR(__xludf.dummyfunction("VLOOKUP(L169, IMPORTRANGE(""https://docs.google.com/spreadsheets/d/1yDAaXNsi4Mr5FtRQL4tbmSdIzhx6_m4wkOD7IG-k_eo/edit#gid=0"", ""Maths!M:N""), 2, FALSE)"),"Explain the purpose of constructing a pie chart as a visual representation for displaying the distribution of data")</f>
        <v>Explain the purpose of constructing a pie chart as a visual representation for displaying the distribution of data</v>
      </c>
      <c r="N169" s="100" t="str">
        <f t="shared" si="32"/>
        <v>LU000633.003</v>
      </c>
      <c r="O169" s="100" t="str">
        <f ca="1">IFERROR(__xludf.dummyfunction("VLOOKUP(N169, IMPORTRANGE(""https://docs.google.com/spreadsheets/d/1yDAaXNsi4Mr5FtRQL4tbmSdIzhx6_m4wkOD7IG-k_eo/edit#gid=0"", ""Maths!M:N""), 2, FALSE)"),"Apply knowledge of pie chart construction to accurately create a pie chart from a given dataset")</f>
        <v>Apply knowledge of pie chart construction to accurately create a pie chart from a given dataset</v>
      </c>
      <c r="P169" s="100" t="str">
        <f t="shared" si="33"/>
        <v>LU000633.004</v>
      </c>
      <c r="Q169" s="100" t="str">
        <f ca="1">IFERROR(__xludf.dummyfunction("VLOOKUP(P169, IMPORTRANGE(""https://docs.google.com/spreadsheets/d/1yDAaXNsi4Mr5FtRQL4tbmSdIzhx6_m4wkOD7IG-k_eo/edit#gid=0"", ""Maths!M:N""), 2, FALSE)"),"Analyze the dataset to determine the appropriate sizes of sectors in the pie chart,")</f>
        <v>Analyze the dataset to determine the appropriate sizes of sectors in the pie chart,</v>
      </c>
      <c r="R169" s="100" t="str">
        <f t="shared" si="34"/>
        <v>LU000633.005</v>
      </c>
      <c r="S169" s="100" t="str">
        <f ca="1">IFERROR(__xludf.dummyfunction("VLOOKUP(R169, IMPORTRANGE(""https://docs.google.com/spreadsheets/d/1yDAaXNsi4Mr5FtRQL4tbmSdIzhx6_m4wkOD7IG-k_eo/edit#gid=0"", ""Maths!M:N""), 2, FALSE)"),"Evaluate the effectiveness of the constructed pie chart in accurately conveying the data distribution")</f>
        <v>Evaluate the effectiveness of the constructed pie chart in accurately conveying the data distribution</v>
      </c>
      <c r="T169" s="100" t="str">
        <f t="shared" si="35"/>
        <v>LU000633.006</v>
      </c>
      <c r="U169" s="100" t="str">
        <f ca="1">IFERROR(__xludf.dummyfunction("VLOOKUP(T169, IMPORTRANGE(""https://docs.google.com/spreadsheets/d/1yDAaXNsi4Mr5FtRQL4tbmSdIzhx6_m4wkOD7IG-k_eo/edit#gid=0"", ""Maths!M:N""), 2, FALSE)"),"#N/A")</f>
        <v>#N/A</v>
      </c>
      <c r="V169" s="16">
        <f ca="1">IFERROR(__xludf.dummyfunction("ArrayFormula(VLOOKUP(G169, IMPORTRANGE(""https://docs.google.com/spreadsheets/d/1p7R4vtkWt5VOBim4ltsDG9KTzSjrtKXsMtQGXPHyND0/edit#gid=795171502"", ""'Filter 30_05_2024'!A1:M2000""), {2, 3, 4, 5,6,7,8,9,10,11,12,13}, 0))"),4)</f>
        <v>4</v>
      </c>
      <c r="W169" s="16">
        <f ca="1">IFERROR(__xludf.dummyfunction("""COMPUTED_VALUE"""),7)</f>
        <v>7</v>
      </c>
      <c r="X169" s="16">
        <f ca="1">IFERROR(__xludf.dummyfunction("""COMPUTED_VALUE"""),1)</f>
        <v>1</v>
      </c>
      <c r="Y169" s="16">
        <f ca="1">IFERROR(__xludf.dummyfunction("""COMPUTED_VALUE"""),12)</f>
        <v>12</v>
      </c>
      <c r="Z169" s="16">
        <f ca="1">IFERROR(__xludf.dummyfunction("""COMPUTED_VALUE"""),4)</f>
        <v>4</v>
      </c>
      <c r="AA169" s="30">
        <f ca="1">IFERROR(__xludf.dummyfunction("""COMPUTED_VALUE"""),3)</f>
        <v>3</v>
      </c>
      <c r="AB169" s="30">
        <f ca="1">IFERROR(__xludf.dummyfunction("""COMPUTED_VALUE"""),1)</f>
        <v>1</v>
      </c>
      <c r="AC169" s="30">
        <f ca="1">IFERROR(__xludf.dummyfunction("""COMPUTED_VALUE"""),8)</f>
        <v>8</v>
      </c>
      <c r="AD169" s="16"/>
      <c r="AE169" s="30"/>
      <c r="AF169" s="30"/>
      <c r="AG169" s="30"/>
    </row>
    <row r="170" spans="1:33" ht="13.8">
      <c r="A170" s="25"/>
      <c r="B170" s="25" t="s">
        <v>29</v>
      </c>
      <c r="C170" s="25" t="s">
        <v>310</v>
      </c>
      <c r="D170" s="25">
        <v>8</v>
      </c>
      <c r="E170" s="70" t="s">
        <v>740</v>
      </c>
      <c r="F170" s="89" t="s">
        <v>1275</v>
      </c>
      <c r="G170" s="87" t="s">
        <v>1277</v>
      </c>
      <c r="H170" s="64" t="str">
        <f ca="1">IFERROR(__xludf.dummyfunction("IFERROR(
  VLOOKUP(G170, IMPORTRANGE(""https://docs.google.com/spreadsheets/d/14deopnvwcrKtEGCKuYXdUHJbeLDZlkiSSWWT0g7x2pM/edit#gid=849066331"", ""LU List Maths (Filter)!A:B""), 2, FALSE),
  IFERROR(
    VLOOKUP(G170, IMPORTRANGE(""https://docs.google.com"&amp;"/spreadsheets/d/14deopnvwcrKtEGCKuYXdUHJbeLDZlkiSSWWT0g7x2pM/edit#gid=849066331"", ""LU List Science (Filter)!A:B""), 2, FALSE),
    ""Not Found""
  )
)
"),"Interpretation of circle graph/pie chart")</f>
        <v>Interpretation of circle graph/pie chart</v>
      </c>
      <c r="I170" s="87"/>
      <c r="J170" s="100" t="str">
        <f t="shared" si="30"/>
        <v>LU000909.001</v>
      </c>
      <c r="K170" s="100" t="str">
        <f ca="1">IFERROR(__xludf.dummyfunction("VLOOKUP(J170, IMPORTRANGE(""https://docs.google.com/spreadsheets/d/1yDAaXNsi4Mr5FtRQL4tbmSdIzhx6_m4wkOD7IG-k_eo/edit#gid=0"", ""Maths!M:N""), 2, FALSE)"),"State the basic facts about circle graphs/pie charts, like their purpose and common terms.")</f>
        <v>State the basic facts about circle graphs/pie charts, like their purpose and common terms.</v>
      </c>
      <c r="L170" s="100" t="str">
        <f t="shared" si="31"/>
        <v>LU000909.002</v>
      </c>
      <c r="M170" s="100" t="str">
        <f ca="1">IFERROR(__xludf.dummyfunction("VLOOKUP(L170, IMPORTRANGE(""https://docs.google.com/spreadsheets/d/1yDAaXNsi4Mr5FtRQL4tbmSdIzhx6_m4wkOD7IG-k_eo/edit#gid=0"", ""Maths!M:N""), 2, FALSE)"),"Explain what each segment of a circle graph represents in terms of data.")</f>
        <v>Explain what each segment of a circle graph represents in terms of data.</v>
      </c>
      <c r="N170" s="100" t="str">
        <f t="shared" si="32"/>
        <v>LU000909.003</v>
      </c>
      <c r="O170" s="100" t="str">
        <f ca="1">IFERROR(__xludf.dummyfunction("VLOOKUP(N170, IMPORTRANGE(""https://docs.google.com/spreadsheets/d/1yDAaXNsi4Mr5FtRQL4tbmSdIzhx6_m4wkOD7IG-k_eo/edit#gid=0"", ""Maths!M:N""), 2, FALSE)"),"Interpret data from a given circle graph to answer specific questions.")</f>
        <v>Interpret data from a given circle graph to answer specific questions.</v>
      </c>
      <c r="P170" s="100" t="str">
        <f t="shared" si="33"/>
        <v>LU000909.004</v>
      </c>
      <c r="Q170" s="100" t="str">
        <f ca="1">IFERROR(__xludf.dummyfunction("VLOOKUP(P170, IMPORTRANGE(""https://docs.google.com/spreadsheets/d/1yDAaXNsi4Mr5FtRQL4tbmSdIzhx6_m4wkOD7IG-k_eo/edit#gid=0"", ""Maths!M:N""), 2, FALSE)"),"Compare and contrast data shown in different circle graphs.")</f>
        <v>Compare and contrast data shown in different circle graphs.</v>
      </c>
      <c r="R170" s="100" t="str">
        <f t="shared" si="34"/>
        <v>LU000909.005</v>
      </c>
      <c r="S170" s="100" t="str">
        <f ca="1">IFERROR(__xludf.dummyfunction("VLOOKUP(R170, IMPORTRANGE(""https://docs.google.com/spreadsheets/d/1yDAaXNsi4Mr5FtRQL4tbmSdIzhx6_m4wkOD7IG-k_eo/edit#gid=0"", ""Maths!M:N""), 2, FALSE)"),"Critically assess the effectiveness of a circle graph in accurately representing data.")</f>
        <v>Critically assess the effectiveness of a circle graph in accurately representing data.</v>
      </c>
      <c r="T170" s="100" t="str">
        <f t="shared" si="35"/>
        <v>LU000909.006</v>
      </c>
      <c r="U170" s="100" t="str">
        <f ca="1">IFERROR(__xludf.dummyfunction("VLOOKUP(T170, IMPORTRANGE(""https://docs.google.com/spreadsheets/d/1yDAaXNsi4Mr5FtRQL4tbmSdIzhx6_m4wkOD7IG-k_eo/edit#gid=0"", ""Maths!M:N""), 2, FALSE)"),"Propose improvements or alternative methods for displaying the same data more effectively.")</f>
        <v>Propose improvements or alternative methods for displaying the same data more effectively.</v>
      </c>
      <c r="V170" s="16">
        <f ca="1">IFERROR(__xludf.dummyfunction("ArrayFormula(VLOOKUP(G170, IMPORTRANGE(""https://docs.google.com/spreadsheets/d/1p7R4vtkWt5VOBim4ltsDG9KTzSjrtKXsMtQGXPHyND0/edit#gid=795171502"", ""'Filter 30_05_2024'!A1:M2000""), {2, 3, 4, 5,6,7,8,9,10,11,12,13}, 0))"),4)</f>
        <v>4</v>
      </c>
      <c r="W170" s="16">
        <f ca="1">IFERROR(__xludf.dummyfunction("""COMPUTED_VALUE"""),6)</f>
        <v>6</v>
      </c>
      <c r="X170" s="16">
        <f ca="1">IFERROR(__xludf.dummyfunction("""COMPUTED_VALUE"""),2)</f>
        <v>2</v>
      </c>
      <c r="Y170" s="16">
        <f ca="1">IFERROR(__xludf.dummyfunction("""COMPUTED_VALUE"""),12)</f>
        <v>12</v>
      </c>
      <c r="Z170" s="16">
        <f ca="1">IFERROR(__xludf.dummyfunction("""COMPUTED_VALUE"""),4)</f>
        <v>4</v>
      </c>
      <c r="AA170" s="30">
        <f ca="1">IFERROR(__xludf.dummyfunction("""COMPUTED_VALUE"""),3)</f>
        <v>3</v>
      </c>
      <c r="AB170" s="30">
        <f ca="1">IFERROR(__xludf.dummyfunction("""COMPUTED_VALUE"""),1)</f>
        <v>1</v>
      </c>
      <c r="AC170" s="30">
        <f ca="1">IFERROR(__xludf.dummyfunction("""COMPUTED_VALUE"""),8)</f>
        <v>8</v>
      </c>
      <c r="AD170" s="16"/>
      <c r="AE170" s="30"/>
      <c r="AF170" s="30"/>
      <c r="AG170" s="30"/>
    </row>
    <row r="171" spans="1:33" ht="13.8">
      <c r="A171" s="25"/>
      <c r="B171" s="25" t="s">
        <v>29</v>
      </c>
      <c r="C171" s="25" t="s">
        <v>310</v>
      </c>
      <c r="D171" s="25">
        <v>8</v>
      </c>
      <c r="E171" s="70" t="s">
        <v>740</v>
      </c>
      <c r="F171" s="89" t="s">
        <v>1041</v>
      </c>
      <c r="G171" s="87" t="s">
        <v>1278</v>
      </c>
      <c r="H171" s="64" t="str">
        <f ca="1">IFERROR(__xludf.dummyfunction("IFERROR(
  VLOOKUP(G171, IMPORTRANGE(""https://docs.google.com/spreadsheets/d/14deopnvwcrKtEGCKuYXdUHJbeLDZlkiSSWWT0g7x2pM/edit#gid=849066331"", ""LU List Maths (Filter)!A:B""), 2, FALSE),
  IFERROR(
    VLOOKUP(G171, IMPORTRANGE(""https://docs.google.com"&amp;"/spreadsheets/d/14deopnvwcrKtEGCKuYXdUHJbeLDZlkiSSWWT0g7x2pM/edit#gid=849066331"", ""LU List Science (Filter)!A:B""), 2, FALSE),
    ""Not Found""
  )
)
"),"Definition of probability")</f>
        <v>Definition of probability</v>
      </c>
      <c r="I171" s="64"/>
      <c r="J171" s="100" t="str">
        <f t="shared" si="30"/>
        <v>LU000393.001</v>
      </c>
      <c r="K171" s="100" t="str">
        <f ca="1">IFERROR(__xludf.dummyfunction("VLOOKUP(J171, IMPORTRANGE(""https://docs.google.com/spreadsheets/d/1yDAaXNsi4Mr5FtRQL4tbmSdIzhx6_m4wkOD7IG-k_eo/edit#gid=0"", ""Maths!M:N""), 2, FALSE)"),"State the definition of probability and explain its significance in determining the likelihood of events.")</f>
        <v>State the definition of probability and explain its significance in determining the likelihood of events.</v>
      </c>
      <c r="L171" s="100" t="str">
        <f t="shared" si="31"/>
        <v>LU000393.002</v>
      </c>
      <c r="M171" s="100" t="str">
        <f ca="1">IFERROR(__xludf.dummyfunction("VLOOKUP(L171, IMPORTRANGE(""https://docs.google.com/spreadsheets/d/1yDAaXNsi4Mr5FtRQL4tbmSdIzhx6_m4wkOD7IG-k_eo/edit#gid=0"", ""Maths!M:N""), 2, FALSE)"),"Explain the concept of probability and how it relates to the likelihood of events occurring.")</f>
        <v>Explain the concept of probability and how it relates to the likelihood of events occurring.</v>
      </c>
      <c r="N171" s="100" t="str">
        <f t="shared" si="32"/>
        <v>LU000393.003</v>
      </c>
      <c r="O171" s="100" t="str">
        <f ca="1">IFERROR(__xludf.dummyfunction("VLOOKUP(N171, IMPORTRANGE(""https://docs.google.com/spreadsheets/d/1yDAaXNsi4Mr5FtRQL4tbmSdIzhx6_m4wkOD7IG-k_eo/edit#gid=0"", ""Maths!M:N""), 2, FALSE)"),"Apply the concept of probability to calculate the probability of simple events (like tossing of coin, throwing of die)")</f>
        <v>Apply the concept of probability to calculate the probability of simple events (like tossing of coin, throwing of die)</v>
      </c>
      <c r="P171" s="100" t="str">
        <f t="shared" si="33"/>
        <v>LU000393.004</v>
      </c>
      <c r="Q171" s="100" t="str">
        <f ca="1">IFERROR(__xludf.dummyfunction("VLOOKUP(P171, IMPORTRANGE(""https://docs.google.com/spreadsheets/d/1yDAaXNsi4Mr5FtRQL4tbmSdIzhx6_m4wkOD7IG-k_eo/edit#gid=0"", ""Maths!M:N""), 2, FALSE)"),"Analyse different scenarios and determine the possible outcomes and associated probabilities.")</f>
        <v>Analyse different scenarios and determine the possible outcomes and associated probabilities.</v>
      </c>
      <c r="R171" s="100" t="str">
        <f t="shared" si="34"/>
        <v>LU000393.005</v>
      </c>
      <c r="S171" s="100" t="str">
        <f ca="1">IFERROR(__xludf.dummyfunction("VLOOKUP(R171, IMPORTRANGE(""https://docs.google.com/spreadsheets/d/1yDAaXNsi4Mr5FtRQL4tbmSdIzhx6_m4wkOD7IG-k_eo/edit#gid=0"", ""Maths!M:N""), 2, FALSE)"),"Evaluate the likelihood of events based on their probabilities and determine the most probable outcome.")</f>
        <v>Evaluate the likelihood of events based on their probabilities and determine the most probable outcome.</v>
      </c>
      <c r="T171" s="100" t="str">
        <f t="shared" si="35"/>
        <v>LU000393.006</v>
      </c>
      <c r="U171" s="100" t="str">
        <f ca="1">IFERROR(__xludf.dummyfunction("VLOOKUP(T171, IMPORTRANGE(""https://docs.google.com/spreadsheets/d/1yDAaXNsi4Mr5FtRQL4tbmSdIzhx6_m4wkOD7IG-k_eo/edit#gid=0"", ""Maths!M:N""), 2, FALSE)"),"Design a series of scenarios and create problems that require classmates to calculate probabilities and determine the likelihood of specific outcomes.")</f>
        <v>Design a series of scenarios and create problems that require classmates to calculate probabilities and determine the likelihood of specific outcomes.</v>
      </c>
      <c r="V171" s="16">
        <f ca="1">IFERROR(__xludf.dummyfunction("ArrayFormula(VLOOKUP(G171, IMPORTRANGE(""https://docs.google.com/spreadsheets/d/1p7R4vtkWt5VOBim4ltsDG9KTzSjrtKXsMtQGXPHyND0/edit#gid=795171502"", ""'Filter 30_05_2024'!A1:M2000""), {2, 3, 4, 5,6,7,8,9,10,11,12,13}, 0))"),2)</f>
        <v>2</v>
      </c>
      <c r="W171" s="16">
        <f ca="1">IFERROR(__xludf.dummyfunction("""COMPUTED_VALUE"""),6)</f>
        <v>6</v>
      </c>
      <c r="X171" s="16">
        <f ca="1">IFERROR(__xludf.dummyfunction("""COMPUTED_VALUE"""),2)</f>
        <v>2</v>
      </c>
      <c r="Y171" s="16">
        <f ca="1">IFERROR(__xludf.dummyfunction("""COMPUTED_VALUE"""),10)</f>
        <v>10</v>
      </c>
      <c r="Z171" s="16">
        <f ca="1">IFERROR(__xludf.dummyfunction("""COMPUTED_VALUE"""),6)</f>
        <v>6</v>
      </c>
      <c r="AA171" s="30">
        <f ca="1">IFERROR(__xludf.dummyfunction("""COMPUTED_VALUE"""),3)</f>
        <v>3</v>
      </c>
      <c r="AB171" s="30">
        <f ca="1">IFERROR(__xludf.dummyfunction("""COMPUTED_VALUE"""),1)</f>
        <v>1</v>
      </c>
      <c r="AC171" s="30">
        <f ca="1">IFERROR(__xludf.dummyfunction("""COMPUTED_VALUE"""),10)</f>
        <v>10</v>
      </c>
      <c r="AD171" s="16"/>
      <c r="AE171" s="30"/>
      <c r="AF171" s="30"/>
      <c r="AG171" s="30"/>
    </row>
    <row r="172" spans="1:33" ht="13.8">
      <c r="A172" s="25"/>
      <c r="B172" s="25" t="s">
        <v>29</v>
      </c>
      <c r="C172" s="25" t="s">
        <v>310</v>
      </c>
      <c r="D172" s="25">
        <v>8</v>
      </c>
      <c r="E172" s="70" t="s">
        <v>740</v>
      </c>
      <c r="F172" s="89" t="s">
        <v>1041</v>
      </c>
      <c r="G172" s="64" t="s">
        <v>1279</v>
      </c>
      <c r="H172" s="64" t="str">
        <f ca="1">IFERROR(__xludf.dummyfunction("IFERROR(
  VLOOKUP(G172, IMPORTRANGE(""https://docs.google.com/spreadsheets/d/14deopnvwcrKtEGCKuYXdUHJbeLDZlkiSSWWT0g7x2pM/edit#gid=849066331"", ""LU List Maths (Filter)!A:B""), 2, FALSE),
  IFERROR(
    VLOOKUP(G172, IMPORTRANGE(""https://docs.google.com"&amp;"/spreadsheets/d/14deopnvwcrKtEGCKuYXdUHJbeLDZlkiSSWWT0g7x2pM/edit#gid=849066331"", ""LU List Science (Filter)!A:B""), 2, FALSE),
    ""Not Found""
  )
)
"),"Probability of a simple event")</f>
        <v>Probability of a simple event</v>
      </c>
      <c r="I172" s="64"/>
      <c r="J172" s="100" t="str">
        <f t="shared" si="30"/>
        <v>LU000626.001</v>
      </c>
      <c r="K172" s="100" t="str">
        <f ca="1">IFERROR(__xludf.dummyfunction("VLOOKUP(J172, IMPORTRANGE(""https://docs.google.com/spreadsheets/d/1yDAaXNsi4Mr5FtRQL4tbmSdIzhx6_m4wkOD7IG-k_eo/edit#gid=0"", ""Maths!M:N""), 2, FALSE)"),"State the definition of probability as a measure of the likelihood of an event occurring in a given experiment.")</f>
        <v>State the definition of probability as a measure of the likelihood of an event occurring in a given experiment.</v>
      </c>
      <c r="L172" s="100" t="str">
        <f t="shared" si="31"/>
        <v>LU000626.002</v>
      </c>
      <c r="M172" s="100" t="str">
        <f ca="1">IFERROR(__xludf.dummyfunction("VLOOKUP(L172, IMPORTRANGE(""https://docs.google.com/spreadsheets/d/1yDAaXNsi4Mr5FtRQL4tbmSdIzhx6_m4wkOD7IG-k_eo/edit#gid=0"", ""Maths!M:N""), 2, FALSE)"),"Explain the concept of probability of a simple event as the ratio of the number of successful outcomes to the total number of possible outcomes.")</f>
        <v>Explain the concept of probability of a simple event as the ratio of the number of successful outcomes to the total number of possible outcomes.</v>
      </c>
      <c r="N172" s="100" t="str">
        <f t="shared" si="32"/>
        <v>LU000626.003</v>
      </c>
      <c r="O172" s="100" t="str">
        <f ca="1">IFERROR(__xludf.dummyfunction("VLOOKUP(N172, IMPORTRANGE(""https://docs.google.com/spreadsheets/d/1yDAaXNsi4Mr5FtRQL4tbmSdIzhx6_m4wkOD7IG-k_eo/edit#gid=0"", ""Maths!M:N""), 2, FALSE)"),"Apply the concept of probability to calculate the probability of a specific simple event in a given experiment.")</f>
        <v>Apply the concept of probability to calculate the probability of a specific simple event in a given experiment.</v>
      </c>
      <c r="P172" s="100" t="str">
        <f t="shared" si="33"/>
        <v>LU000626.004</v>
      </c>
      <c r="Q172" s="100" t="str">
        <f ca="1">IFERROR(__xludf.dummyfunction("VLOOKUP(P172, IMPORTRANGE(""https://docs.google.com/spreadsheets/d/1yDAaXNsi4Mr5FtRQL4tbmSdIzhx6_m4wkOD7IG-k_eo/edit#gid=0"", ""Maths!M:N""), 2, FALSE)"),"Analyze various experimental scenarios to determine the probability of simple events, considering both theoretical and empirical probabilities.")</f>
        <v>Analyze various experimental scenarios to determine the probability of simple events, considering both theoretical and empirical probabilities.</v>
      </c>
      <c r="R172" s="100" t="str">
        <f t="shared" si="34"/>
        <v>LU000626.005</v>
      </c>
      <c r="S172" s="100" t="str">
        <f ca="1">IFERROR(__xludf.dummyfunction("VLOOKUP(R172, IMPORTRANGE(""https://docs.google.com/spreadsheets/d/1yDAaXNsi4Mr5FtRQL4tbmSdIzhx6_m4wkOD7IG-k_eo/edit#gid=0"", ""Maths!M:N""), 2, FALSE)"),"Evaluate the significance of probability calculations in real-life situations.")</f>
        <v>Evaluate the significance of probability calculations in real-life situations.</v>
      </c>
      <c r="T172" s="100" t="str">
        <f t="shared" si="35"/>
        <v>LU000626.006</v>
      </c>
      <c r="U172" s="100" t="str">
        <f ca="1">IFERROR(__xludf.dummyfunction("VLOOKUP(T172, IMPORTRANGE(""https://docs.google.com/spreadsheets/d/1yDAaXNsi4Mr5FtRQL4tbmSdIzhx6_m4wkOD7IG-k_eo/edit#gid=0"", ""Maths!M:N""), 2, FALSE)"),"Design a series of real-world scenarios or experiments that involve simple events and requires to calculate their probabilities.")</f>
        <v>Design a series of real-world scenarios or experiments that involve simple events and requires to calculate their probabilities.</v>
      </c>
      <c r="V172" s="16">
        <f ca="1">IFERROR(__xludf.dummyfunction("ArrayFormula(VLOOKUP(G172, IMPORTRANGE(""https://docs.google.com/spreadsheets/d/1p7R4vtkWt5VOBim4ltsDG9KTzSjrtKXsMtQGXPHyND0/edit#gid=795171502"", ""'Filter 30_05_2024'!A1:M2000""), {2, 3, 4, 5,6,7,8,9,10,11,12,13}, 0))"),4)</f>
        <v>4</v>
      </c>
      <c r="W172" s="16">
        <f ca="1">IFERROR(__xludf.dummyfunction("""COMPUTED_VALUE"""),6)</f>
        <v>6</v>
      </c>
      <c r="X172" s="16">
        <f ca="1">IFERROR(__xludf.dummyfunction("""COMPUTED_VALUE"""),2)</f>
        <v>2</v>
      </c>
      <c r="Y172" s="16">
        <f ca="1">IFERROR(__xludf.dummyfunction("""COMPUTED_VALUE"""),12)</f>
        <v>12</v>
      </c>
      <c r="Z172" s="16">
        <f ca="1">IFERROR(__xludf.dummyfunction("""COMPUTED_VALUE"""),4)</f>
        <v>4</v>
      </c>
      <c r="AA172" s="30">
        <f ca="1">IFERROR(__xludf.dummyfunction("""COMPUTED_VALUE"""),3)</f>
        <v>3</v>
      </c>
      <c r="AB172" s="30">
        <f ca="1">IFERROR(__xludf.dummyfunction("""COMPUTED_VALUE"""),1)</f>
        <v>1</v>
      </c>
      <c r="AC172" s="30">
        <f ca="1">IFERROR(__xludf.dummyfunction("""COMPUTED_VALUE"""),8)</f>
        <v>8</v>
      </c>
      <c r="AD172" s="16"/>
      <c r="AE172" s="30"/>
      <c r="AF172" s="30"/>
      <c r="AG172" s="30"/>
    </row>
    <row r="173" spans="1:33">
      <c r="A173" s="25"/>
      <c r="B173" s="25"/>
      <c r="C173" s="25"/>
      <c r="D173" s="25"/>
      <c r="E173" s="70"/>
      <c r="F173" s="89"/>
      <c r="G173" s="64"/>
      <c r="H173" s="64"/>
      <c r="I173" s="64"/>
      <c r="J173" s="87"/>
      <c r="K173" s="87"/>
      <c r="L173" s="64"/>
      <c r="M173" s="64"/>
      <c r="N173" s="64"/>
      <c r="O173" s="64"/>
      <c r="P173" s="64"/>
      <c r="Q173" s="64"/>
      <c r="R173" s="64"/>
      <c r="S173" s="64"/>
      <c r="T173" s="64"/>
      <c r="U173" s="64"/>
      <c r="V173" s="64"/>
      <c r="W173" s="64"/>
      <c r="X173" s="64"/>
      <c r="Y173" s="64"/>
      <c r="Z173" s="64"/>
      <c r="AA173" s="64"/>
      <c r="AB173" s="64"/>
      <c r="AC173" s="64"/>
      <c r="AD173" s="64"/>
      <c r="AE173" s="64"/>
      <c r="AF173" s="64"/>
      <c r="AG173" s="64"/>
    </row>
    <row r="174" spans="1:33">
      <c r="A174" s="25"/>
      <c r="B174" s="25"/>
      <c r="C174" s="25"/>
      <c r="D174" s="25"/>
      <c r="E174" s="70"/>
      <c r="F174" s="70"/>
      <c r="G174" s="64"/>
      <c r="H174" s="64"/>
      <c r="I174" s="64"/>
      <c r="J174" s="87"/>
      <c r="K174" s="87"/>
      <c r="L174" s="64"/>
      <c r="M174" s="64"/>
      <c r="N174" s="64"/>
      <c r="O174" s="64"/>
      <c r="P174" s="64"/>
      <c r="Q174" s="64"/>
      <c r="R174" s="64"/>
      <c r="S174" s="64"/>
      <c r="T174" s="64"/>
      <c r="U174" s="64"/>
      <c r="V174" s="64"/>
      <c r="W174" s="64"/>
      <c r="X174" s="64"/>
      <c r="Y174" s="64"/>
      <c r="Z174" s="64"/>
      <c r="AA174" s="64"/>
      <c r="AB174" s="64"/>
      <c r="AC174" s="64"/>
      <c r="AD174" s="64"/>
      <c r="AE174" s="64"/>
      <c r="AF174" s="64"/>
      <c r="AG174" s="64"/>
    </row>
    <row r="175" spans="1:33">
      <c r="A175" s="25"/>
      <c r="B175" s="25"/>
      <c r="C175" s="25"/>
      <c r="D175" s="25"/>
      <c r="E175" s="70"/>
      <c r="F175" s="70"/>
      <c r="G175" s="64"/>
      <c r="H175" s="64"/>
      <c r="I175" s="87"/>
      <c r="J175" s="87"/>
      <c r="K175" s="87"/>
      <c r="L175" s="64"/>
      <c r="M175" s="64"/>
      <c r="N175" s="64"/>
      <c r="O175" s="64"/>
      <c r="P175" s="64"/>
      <c r="Q175" s="64"/>
      <c r="R175" s="64"/>
      <c r="S175" s="64"/>
      <c r="T175" s="64"/>
      <c r="U175" s="64"/>
      <c r="V175" s="64"/>
      <c r="W175" s="64"/>
      <c r="X175" s="64"/>
      <c r="Y175" s="64"/>
      <c r="Z175" s="64"/>
      <c r="AA175" s="64"/>
      <c r="AB175" s="64"/>
      <c r="AC175" s="64"/>
      <c r="AD175" s="64"/>
      <c r="AE175" s="64"/>
      <c r="AF175" s="64"/>
      <c r="AG175" s="64"/>
    </row>
    <row r="176" spans="1:33">
      <c r="A176" s="25"/>
      <c r="B176" s="25"/>
      <c r="C176" s="25"/>
      <c r="D176" s="25"/>
      <c r="E176" s="70"/>
      <c r="F176" s="70"/>
      <c r="G176" s="64"/>
      <c r="H176" s="64"/>
      <c r="I176" s="64"/>
      <c r="J176" s="64"/>
      <c r="K176" s="64"/>
      <c r="L176" s="64"/>
      <c r="M176" s="64"/>
      <c r="N176" s="64"/>
      <c r="O176" s="64"/>
      <c r="P176" s="64"/>
      <c r="Q176" s="64"/>
      <c r="R176" s="64"/>
      <c r="S176" s="64"/>
      <c r="T176" s="64"/>
      <c r="U176" s="64"/>
      <c r="V176" s="64"/>
      <c r="W176" s="64"/>
      <c r="X176" s="64"/>
      <c r="Y176" s="64"/>
      <c r="Z176" s="64"/>
      <c r="AA176" s="64"/>
      <c r="AB176" s="64"/>
      <c r="AC176" s="64"/>
      <c r="AD176" s="64"/>
      <c r="AE176" s="64"/>
      <c r="AF176" s="64"/>
      <c r="AG176" s="64"/>
    </row>
    <row r="177" spans="1:33">
      <c r="A177" s="25"/>
      <c r="B177" s="25"/>
      <c r="C177" s="25"/>
      <c r="D177" s="25"/>
      <c r="E177" s="70"/>
      <c r="F177" s="70"/>
      <c r="G177" s="64"/>
      <c r="H177" s="64"/>
      <c r="I177" s="64"/>
      <c r="J177" s="64"/>
      <c r="K177" s="64"/>
      <c r="L177" s="64"/>
      <c r="M177" s="64"/>
      <c r="N177" s="64"/>
      <c r="O177" s="64"/>
      <c r="P177" s="64"/>
      <c r="Q177" s="64"/>
      <c r="R177" s="64"/>
      <c r="S177" s="64"/>
      <c r="T177" s="64"/>
      <c r="U177" s="64"/>
      <c r="V177" s="64"/>
      <c r="W177" s="64"/>
      <c r="X177" s="64"/>
      <c r="Y177" s="64"/>
      <c r="Z177" s="64"/>
      <c r="AA177" s="64"/>
      <c r="AB177" s="64"/>
      <c r="AC177" s="64"/>
      <c r="AD177" s="64"/>
      <c r="AE177" s="64"/>
      <c r="AF177" s="64"/>
      <c r="AG177" s="64"/>
    </row>
    <row r="178" spans="1:33">
      <c r="A178" s="25"/>
      <c r="B178" s="25"/>
      <c r="C178" s="25"/>
      <c r="D178" s="25"/>
      <c r="E178" s="70"/>
      <c r="F178" s="70"/>
      <c r="G178" s="64"/>
      <c r="H178" s="64"/>
      <c r="I178" s="64"/>
      <c r="J178" s="64"/>
      <c r="K178" s="64"/>
      <c r="L178" s="64"/>
      <c r="M178" s="64"/>
      <c r="N178" s="64"/>
      <c r="O178" s="64"/>
      <c r="P178" s="64"/>
      <c r="Q178" s="64"/>
      <c r="R178" s="64"/>
      <c r="S178" s="64"/>
      <c r="T178" s="64"/>
      <c r="U178" s="64"/>
      <c r="V178" s="64"/>
      <c r="W178" s="64"/>
      <c r="X178" s="64"/>
      <c r="Y178" s="64"/>
      <c r="Z178" s="64"/>
      <c r="AA178" s="64"/>
      <c r="AB178" s="64"/>
      <c r="AC178" s="64"/>
      <c r="AD178" s="64"/>
      <c r="AE178" s="64"/>
      <c r="AF178" s="64"/>
      <c r="AG178" s="64"/>
    </row>
    <row r="179" spans="1:33">
      <c r="A179" s="25"/>
      <c r="B179" s="25"/>
      <c r="C179" s="25"/>
      <c r="D179" s="25"/>
      <c r="E179" s="70"/>
      <c r="F179" s="70"/>
      <c r="G179" s="64"/>
      <c r="H179" s="64"/>
      <c r="I179" s="64"/>
      <c r="J179" s="64"/>
      <c r="K179" s="64"/>
      <c r="L179" s="64"/>
      <c r="M179" s="64"/>
      <c r="N179" s="64"/>
      <c r="O179" s="64"/>
      <c r="P179" s="64"/>
      <c r="Q179" s="64"/>
      <c r="R179" s="64"/>
      <c r="S179" s="64"/>
      <c r="T179" s="64"/>
      <c r="U179" s="64"/>
      <c r="V179" s="64"/>
      <c r="W179" s="64"/>
      <c r="X179" s="64"/>
      <c r="Y179" s="64"/>
      <c r="Z179" s="64"/>
      <c r="AA179" s="64"/>
      <c r="AB179" s="64"/>
      <c r="AC179" s="64"/>
      <c r="AD179" s="64"/>
      <c r="AE179" s="64"/>
      <c r="AF179" s="64"/>
      <c r="AG179" s="64"/>
    </row>
    <row r="180" spans="1:33">
      <c r="A180" s="25"/>
      <c r="B180" s="25"/>
      <c r="C180" s="25"/>
      <c r="D180" s="25"/>
      <c r="E180" s="70"/>
      <c r="F180" s="70"/>
      <c r="G180" s="64"/>
      <c r="H180" s="64"/>
      <c r="I180" s="64"/>
      <c r="J180" s="64"/>
      <c r="K180" s="64"/>
      <c r="L180" s="64"/>
      <c r="M180" s="64"/>
      <c r="N180" s="64"/>
      <c r="O180" s="64"/>
      <c r="P180" s="64"/>
      <c r="Q180" s="64"/>
      <c r="R180" s="64"/>
      <c r="S180" s="64"/>
      <c r="T180" s="64"/>
      <c r="U180" s="64"/>
      <c r="V180" s="64"/>
      <c r="W180" s="64"/>
      <c r="X180" s="64"/>
      <c r="Y180" s="64"/>
      <c r="Z180" s="64"/>
      <c r="AA180" s="64"/>
      <c r="AB180" s="64"/>
      <c r="AC180" s="64"/>
      <c r="AD180" s="64"/>
      <c r="AE180" s="64"/>
      <c r="AF180" s="64"/>
      <c r="AG180" s="64"/>
    </row>
    <row r="181" spans="1:33">
      <c r="A181" s="25"/>
      <c r="B181" s="25"/>
      <c r="C181" s="25"/>
      <c r="D181" s="25"/>
      <c r="E181" s="70"/>
      <c r="F181" s="70"/>
      <c r="G181" s="64"/>
      <c r="H181" s="64"/>
      <c r="I181" s="64"/>
      <c r="J181" s="64"/>
      <c r="K181" s="64"/>
      <c r="L181" s="64"/>
      <c r="M181" s="64"/>
      <c r="N181" s="64"/>
      <c r="O181" s="64"/>
      <c r="P181" s="64"/>
      <c r="Q181" s="64"/>
      <c r="R181" s="64"/>
      <c r="S181" s="64"/>
      <c r="T181" s="64"/>
      <c r="U181" s="64"/>
      <c r="V181" s="64"/>
      <c r="W181" s="64"/>
      <c r="X181" s="64"/>
      <c r="Y181" s="64"/>
      <c r="Z181" s="64"/>
      <c r="AA181" s="64"/>
      <c r="AB181" s="64"/>
      <c r="AC181" s="64"/>
      <c r="AD181" s="64"/>
      <c r="AE181" s="64"/>
      <c r="AF181" s="64"/>
      <c r="AG181" s="64"/>
    </row>
    <row r="182" spans="1:33">
      <c r="A182" s="25"/>
      <c r="B182" s="25"/>
      <c r="C182" s="25"/>
      <c r="D182" s="25"/>
      <c r="E182" s="70"/>
      <c r="F182" s="70"/>
      <c r="G182" s="64"/>
      <c r="H182" s="64"/>
      <c r="I182" s="64"/>
      <c r="J182" s="64"/>
      <c r="K182" s="64"/>
      <c r="L182" s="64"/>
      <c r="M182" s="64"/>
      <c r="N182" s="64"/>
      <c r="O182" s="64"/>
      <c r="P182" s="64"/>
      <c r="Q182" s="64"/>
      <c r="R182" s="64"/>
      <c r="S182" s="64"/>
      <c r="T182" s="64"/>
      <c r="U182" s="64"/>
      <c r="V182" s="64"/>
      <c r="W182" s="64"/>
      <c r="X182" s="64"/>
      <c r="Y182" s="64"/>
      <c r="Z182" s="64"/>
      <c r="AA182" s="64"/>
      <c r="AB182" s="64"/>
      <c r="AC182" s="64"/>
      <c r="AD182" s="64"/>
      <c r="AE182" s="64"/>
      <c r="AF182" s="64"/>
      <c r="AG182" s="64"/>
    </row>
    <row r="183" spans="1:33">
      <c r="A183" s="25"/>
      <c r="B183" s="25"/>
      <c r="C183" s="25"/>
      <c r="D183" s="25"/>
      <c r="E183" s="70"/>
      <c r="F183" s="70"/>
      <c r="G183" s="64"/>
      <c r="H183" s="64"/>
      <c r="I183" s="64"/>
      <c r="J183" s="64"/>
      <c r="K183" s="64"/>
      <c r="L183" s="64"/>
      <c r="M183" s="64"/>
      <c r="N183" s="64"/>
      <c r="O183" s="64"/>
      <c r="P183" s="64"/>
      <c r="Q183" s="64"/>
      <c r="R183" s="64"/>
      <c r="S183" s="64"/>
      <c r="T183" s="64"/>
      <c r="U183" s="64"/>
      <c r="V183" s="64"/>
      <c r="W183" s="64"/>
      <c r="X183" s="64"/>
      <c r="Y183" s="64"/>
      <c r="Z183" s="64"/>
      <c r="AA183" s="64"/>
      <c r="AB183" s="64"/>
      <c r="AC183" s="64"/>
      <c r="AD183" s="64"/>
      <c r="AE183" s="64"/>
      <c r="AF183" s="64"/>
      <c r="AG183" s="64"/>
    </row>
    <row r="184" spans="1:33">
      <c r="A184" s="25"/>
      <c r="B184" s="25"/>
      <c r="C184" s="25"/>
      <c r="D184" s="25"/>
      <c r="E184" s="70"/>
      <c r="F184" s="70"/>
      <c r="G184" s="64"/>
      <c r="H184" s="64"/>
      <c r="I184" s="64"/>
      <c r="J184" s="64"/>
      <c r="K184" s="64"/>
      <c r="L184" s="64"/>
      <c r="M184" s="64"/>
      <c r="N184" s="64"/>
      <c r="O184" s="64"/>
      <c r="P184" s="64"/>
      <c r="Q184" s="64"/>
      <c r="R184" s="64"/>
      <c r="S184" s="64"/>
      <c r="T184" s="64"/>
      <c r="U184" s="64"/>
      <c r="V184" s="64"/>
      <c r="W184" s="64"/>
      <c r="X184" s="64"/>
      <c r="Y184" s="64"/>
      <c r="Z184" s="64"/>
      <c r="AA184" s="64"/>
      <c r="AB184" s="64"/>
      <c r="AC184" s="64"/>
      <c r="AD184" s="64"/>
      <c r="AE184" s="64"/>
      <c r="AF184" s="64"/>
      <c r="AG184" s="64"/>
    </row>
    <row r="185" spans="1:33">
      <c r="A185" s="25"/>
      <c r="B185" s="25"/>
      <c r="C185" s="25"/>
      <c r="D185" s="25"/>
      <c r="E185" s="70"/>
      <c r="F185" s="70"/>
      <c r="G185" s="64"/>
      <c r="H185" s="64"/>
      <c r="I185" s="64"/>
      <c r="J185" s="64"/>
      <c r="K185" s="64"/>
      <c r="L185" s="64"/>
      <c r="M185" s="64"/>
      <c r="N185" s="64"/>
      <c r="O185" s="64"/>
      <c r="P185" s="64"/>
      <c r="Q185" s="64"/>
      <c r="R185" s="64"/>
      <c r="S185" s="64"/>
      <c r="T185" s="64"/>
      <c r="U185" s="64"/>
      <c r="V185" s="64"/>
      <c r="W185" s="64"/>
      <c r="X185" s="64"/>
      <c r="Y185" s="64"/>
      <c r="Z185" s="64"/>
      <c r="AA185" s="64"/>
      <c r="AB185" s="64"/>
      <c r="AC185" s="64"/>
      <c r="AD185" s="64"/>
      <c r="AE185" s="64"/>
      <c r="AF185" s="64"/>
      <c r="AG185" s="64"/>
    </row>
    <row r="186" spans="1:33">
      <c r="A186" s="25"/>
      <c r="B186" s="25"/>
      <c r="C186" s="25"/>
      <c r="D186" s="25"/>
      <c r="E186" s="70"/>
      <c r="F186" s="70"/>
      <c r="G186" s="64"/>
      <c r="H186" s="64"/>
      <c r="I186" s="64"/>
      <c r="J186" s="64"/>
      <c r="K186" s="64"/>
      <c r="L186" s="64"/>
      <c r="M186" s="64"/>
      <c r="N186" s="64"/>
      <c r="O186" s="64"/>
      <c r="P186" s="64"/>
      <c r="Q186" s="64"/>
      <c r="R186" s="64"/>
      <c r="S186" s="64"/>
      <c r="T186" s="64"/>
      <c r="U186" s="64"/>
      <c r="V186" s="64"/>
      <c r="W186" s="64"/>
      <c r="X186" s="64"/>
      <c r="Y186" s="64"/>
      <c r="Z186" s="64"/>
      <c r="AA186" s="64"/>
      <c r="AB186" s="64"/>
      <c r="AC186" s="64"/>
      <c r="AD186" s="64"/>
      <c r="AE186" s="64"/>
      <c r="AF186" s="64"/>
      <c r="AG186" s="64"/>
    </row>
    <row r="187" spans="1:33">
      <c r="A187" s="25"/>
      <c r="B187" s="25"/>
      <c r="C187" s="25"/>
      <c r="D187" s="25"/>
      <c r="E187" s="70"/>
      <c r="F187" s="70"/>
      <c r="G187" s="64"/>
      <c r="H187" s="64"/>
      <c r="I187" s="64"/>
      <c r="J187" s="64"/>
      <c r="K187" s="64"/>
      <c r="L187" s="64"/>
      <c r="M187" s="64"/>
      <c r="N187" s="64"/>
      <c r="O187" s="64"/>
      <c r="P187" s="64"/>
      <c r="Q187" s="64"/>
      <c r="R187" s="64"/>
      <c r="S187" s="64"/>
      <c r="T187" s="64"/>
      <c r="U187" s="64"/>
      <c r="V187" s="64"/>
      <c r="W187" s="64"/>
      <c r="X187" s="64"/>
      <c r="Y187" s="64"/>
      <c r="Z187" s="64"/>
      <c r="AA187" s="64"/>
      <c r="AB187" s="64"/>
      <c r="AC187" s="64"/>
      <c r="AD187" s="64"/>
      <c r="AE187" s="64"/>
      <c r="AF187" s="64"/>
      <c r="AG187" s="64"/>
    </row>
    <row r="188" spans="1:33">
      <c r="A188" s="25"/>
      <c r="B188" s="25"/>
      <c r="C188" s="25"/>
      <c r="D188" s="25"/>
      <c r="E188" s="70"/>
      <c r="F188" s="70"/>
      <c r="G188" s="64"/>
      <c r="H188" s="64"/>
      <c r="I188" s="64"/>
      <c r="J188" s="64"/>
      <c r="K188" s="64"/>
      <c r="L188" s="64"/>
      <c r="M188" s="64"/>
      <c r="N188" s="64"/>
      <c r="O188" s="64"/>
      <c r="P188" s="64"/>
      <c r="Q188" s="64"/>
      <c r="R188" s="64"/>
      <c r="S188" s="64"/>
      <c r="T188" s="64"/>
      <c r="U188" s="64"/>
      <c r="V188" s="64"/>
      <c r="W188" s="64"/>
      <c r="X188" s="64"/>
      <c r="Y188" s="64"/>
      <c r="Z188" s="64"/>
      <c r="AA188" s="64"/>
      <c r="AB188" s="64"/>
      <c r="AC188" s="64"/>
      <c r="AD188" s="64"/>
      <c r="AE188" s="64"/>
      <c r="AF188" s="64"/>
      <c r="AG188" s="64"/>
    </row>
    <row r="189" spans="1:33">
      <c r="A189" s="25"/>
      <c r="B189" s="25"/>
      <c r="C189" s="25"/>
      <c r="D189" s="25"/>
      <c r="E189" s="70"/>
      <c r="F189" s="70"/>
      <c r="G189" s="64"/>
      <c r="H189" s="64"/>
      <c r="I189" s="64"/>
      <c r="J189" s="64"/>
      <c r="K189" s="64"/>
      <c r="L189" s="64"/>
      <c r="M189" s="64"/>
      <c r="N189" s="64"/>
      <c r="O189" s="64"/>
      <c r="P189" s="64"/>
      <c r="Q189" s="64"/>
      <c r="R189" s="64"/>
      <c r="S189" s="64"/>
      <c r="T189" s="64"/>
      <c r="U189" s="64"/>
      <c r="V189" s="64"/>
      <c r="W189" s="64"/>
      <c r="X189" s="64"/>
      <c r="Y189" s="64"/>
      <c r="Z189" s="64"/>
      <c r="AA189" s="64"/>
      <c r="AB189" s="64"/>
      <c r="AC189" s="64"/>
      <c r="AD189" s="64"/>
      <c r="AE189" s="64"/>
      <c r="AF189" s="64"/>
      <c r="AG189" s="64"/>
    </row>
    <row r="190" spans="1:33">
      <c r="A190" s="25"/>
      <c r="B190" s="25"/>
      <c r="C190" s="25"/>
      <c r="D190" s="25"/>
      <c r="E190" s="70"/>
      <c r="F190" s="70"/>
      <c r="G190" s="64"/>
      <c r="H190" s="64"/>
      <c r="I190" s="64"/>
      <c r="J190" s="64"/>
      <c r="K190" s="64"/>
      <c r="L190" s="64"/>
      <c r="M190" s="64"/>
      <c r="N190" s="64"/>
      <c r="O190" s="64"/>
      <c r="P190" s="64"/>
      <c r="Q190" s="64"/>
      <c r="R190" s="64"/>
      <c r="S190" s="64"/>
      <c r="T190" s="64"/>
      <c r="U190" s="64"/>
      <c r="V190" s="64"/>
      <c r="W190" s="64"/>
      <c r="X190" s="64"/>
      <c r="Y190" s="64"/>
      <c r="Z190" s="64"/>
      <c r="AA190" s="64"/>
      <c r="AB190" s="64"/>
      <c r="AC190" s="64"/>
      <c r="AD190" s="64"/>
      <c r="AE190" s="64"/>
      <c r="AF190" s="64"/>
      <c r="AG190" s="64"/>
    </row>
    <row r="191" spans="1:33">
      <c r="A191" s="25"/>
      <c r="B191" s="25"/>
      <c r="C191" s="25"/>
      <c r="D191" s="25"/>
      <c r="E191" s="70"/>
      <c r="F191" s="70"/>
      <c r="G191" s="64"/>
      <c r="H191" s="64"/>
      <c r="I191" s="64"/>
      <c r="J191" s="64"/>
      <c r="K191" s="64"/>
      <c r="L191" s="64"/>
      <c r="M191" s="64"/>
      <c r="N191" s="64"/>
      <c r="O191" s="64"/>
      <c r="P191" s="64"/>
      <c r="Q191" s="64"/>
      <c r="R191" s="64"/>
      <c r="S191" s="64"/>
      <c r="T191" s="64"/>
      <c r="U191" s="64"/>
      <c r="V191" s="64"/>
      <c r="W191" s="64"/>
      <c r="X191" s="64"/>
      <c r="Y191" s="64"/>
      <c r="Z191" s="64"/>
      <c r="AA191" s="64"/>
      <c r="AB191" s="64"/>
      <c r="AC191" s="64"/>
      <c r="AD191" s="64"/>
      <c r="AE191" s="64"/>
      <c r="AF191" s="64"/>
      <c r="AG191" s="64"/>
    </row>
    <row r="192" spans="1:33">
      <c r="A192" s="25"/>
      <c r="B192" s="25"/>
      <c r="C192" s="25"/>
      <c r="D192" s="25"/>
      <c r="E192" s="70"/>
      <c r="F192" s="70"/>
      <c r="G192" s="64"/>
      <c r="H192" s="64"/>
      <c r="I192" s="64"/>
      <c r="J192" s="64"/>
      <c r="K192" s="64"/>
      <c r="L192" s="64"/>
      <c r="M192" s="64"/>
      <c r="N192" s="64"/>
      <c r="O192" s="64"/>
      <c r="P192" s="64"/>
      <c r="Q192" s="64"/>
      <c r="R192" s="64"/>
      <c r="S192" s="64"/>
      <c r="T192" s="64"/>
      <c r="U192" s="64"/>
      <c r="V192" s="64"/>
      <c r="W192" s="64"/>
      <c r="X192" s="64"/>
      <c r="Y192" s="64"/>
      <c r="Z192" s="64"/>
      <c r="AA192" s="64"/>
      <c r="AB192" s="64"/>
      <c r="AC192" s="64"/>
      <c r="AD192" s="64"/>
      <c r="AE192" s="64"/>
      <c r="AF192" s="64"/>
      <c r="AG192" s="64"/>
    </row>
    <row r="193" spans="1:33">
      <c r="A193" s="25"/>
      <c r="B193" s="25"/>
      <c r="C193" s="25"/>
      <c r="D193" s="25"/>
      <c r="E193" s="70"/>
      <c r="F193" s="70"/>
      <c r="G193" s="64"/>
      <c r="H193" s="64"/>
      <c r="I193" s="64"/>
      <c r="J193" s="64"/>
      <c r="K193" s="64"/>
      <c r="L193" s="64"/>
      <c r="M193" s="64"/>
      <c r="N193" s="64"/>
      <c r="O193" s="64"/>
      <c r="P193" s="64"/>
      <c r="Q193" s="64"/>
      <c r="R193" s="64"/>
      <c r="S193" s="64"/>
      <c r="T193" s="64"/>
      <c r="U193" s="64"/>
      <c r="V193" s="64"/>
      <c r="W193" s="64"/>
      <c r="X193" s="64"/>
      <c r="Y193" s="64"/>
      <c r="Z193" s="64"/>
      <c r="AA193" s="64"/>
      <c r="AB193" s="64"/>
      <c r="AC193" s="64"/>
      <c r="AD193" s="64"/>
      <c r="AE193" s="64"/>
      <c r="AF193" s="64"/>
      <c r="AG193" s="64"/>
    </row>
    <row r="194" spans="1:33">
      <c r="A194" s="25"/>
      <c r="B194" s="25"/>
      <c r="C194" s="25"/>
      <c r="D194" s="25"/>
      <c r="E194" s="70"/>
      <c r="F194" s="70"/>
      <c r="G194" s="64"/>
      <c r="H194" s="64"/>
      <c r="I194" s="64"/>
      <c r="J194" s="64"/>
      <c r="K194" s="64"/>
      <c r="L194" s="64"/>
      <c r="M194" s="64"/>
      <c r="N194" s="64"/>
      <c r="O194" s="64"/>
      <c r="P194" s="64"/>
      <c r="Q194" s="64"/>
      <c r="R194" s="64"/>
      <c r="S194" s="64"/>
      <c r="T194" s="64"/>
      <c r="U194" s="64"/>
      <c r="V194" s="64"/>
      <c r="W194" s="64"/>
      <c r="X194" s="64"/>
      <c r="Y194" s="64"/>
      <c r="Z194" s="64"/>
      <c r="AA194" s="64"/>
      <c r="AB194" s="64"/>
      <c r="AC194" s="64"/>
      <c r="AD194" s="64"/>
      <c r="AE194" s="64"/>
      <c r="AF194" s="64"/>
      <c r="AG194" s="64"/>
    </row>
    <row r="195" spans="1:33">
      <c r="A195" s="25"/>
      <c r="B195" s="25"/>
      <c r="C195" s="25"/>
      <c r="D195" s="25"/>
      <c r="E195" s="70"/>
      <c r="F195" s="70"/>
      <c r="G195" s="64"/>
      <c r="H195" s="64"/>
      <c r="I195" s="64"/>
      <c r="J195" s="64"/>
      <c r="K195" s="64"/>
      <c r="L195" s="64"/>
      <c r="M195" s="64"/>
      <c r="N195" s="64"/>
      <c r="O195" s="64"/>
      <c r="P195" s="64"/>
      <c r="Q195" s="64"/>
      <c r="R195" s="64"/>
      <c r="S195" s="64"/>
      <c r="T195" s="64"/>
      <c r="U195" s="64"/>
      <c r="V195" s="64"/>
      <c r="W195" s="64"/>
      <c r="X195" s="64"/>
      <c r="Y195" s="64"/>
      <c r="Z195" s="64"/>
      <c r="AA195" s="64"/>
      <c r="AB195" s="64"/>
      <c r="AC195" s="64"/>
      <c r="AD195" s="64"/>
      <c r="AE195" s="64"/>
      <c r="AF195" s="64"/>
      <c r="AG195" s="64"/>
    </row>
    <row r="196" spans="1:33">
      <c r="A196" s="25"/>
      <c r="B196" s="25"/>
      <c r="C196" s="25"/>
      <c r="D196" s="25"/>
      <c r="E196" s="70"/>
      <c r="F196" s="70"/>
      <c r="G196" s="64"/>
      <c r="H196" s="64"/>
      <c r="I196" s="64"/>
      <c r="J196" s="64"/>
      <c r="K196" s="64"/>
      <c r="L196" s="64"/>
      <c r="M196" s="64"/>
      <c r="N196" s="64"/>
      <c r="O196" s="64"/>
      <c r="P196" s="64"/>
      <c r="Q196" s="64"/>
      <c r="R196" s="64"/>
      <c r="S196" s="64"/>
      <c r="T196" s="64"/>
      <c r="U196" s="64"/>
      <c r="V196" s="64"/>
      <c r="W196" s="64"/>
      <c r="X196" s="64"/>
      <c r="Y196" s="64"/>
      <c r="Z196" s="64"/>
      <c r="AA196" s="64"/>
      <c r="AB196" s="64"/>
      <c r="AC196" s="64"/>
      <c r="AD196" s="64"/>
      <c r="AE196" s="64"/>
      <c r="AF196" s="64"/>
      <c r="AG196" s="64"/>
    </row>
    <row r="197" spans="1:33">
      <c r="A197" s="25"/>
      <c r="B197" s="25"/>
      <c r="C197" s="25"/>
      <c r="D197" s="25"/>
      <c r="E197" s="70"/>
      <c r="F197" s="70"/>
      <c r="G197" s="64"/>
      <c r="H197" s="64"/>
      <c r="I197" s="64"/>
      <c r="J197" s="64"/>
      <c r="K197" s="64"/>
      <c r="L197" s="64"/>
      <c r="M197" s="64"/>
      <c r="N197" s="64"/>
      <c r="O197" s="64"/>
      <c r="P197" s="64"/>
      <c r="Q197" s="64"/>
      <c r="R197" s="64"/>
      <c r="S197" s="64"/>
      <c r="T197" s="64"/>
      <c r="U197" s="64"/>
      <c r="V197" s="64"/>
      <c r="W197" s="64"/>
      <c r="X197" s="64"/>
      <c r="Y197" s="64"/>
      <c r="Z197" s="64"/>
      <c r="AA197" s="64"/>
      <c r="AB197" s="64"/>
      <c r="AC197" s="64"/>
      <c r="AD197" s="64"/>
      <c r="AE197" s="64"/>
      <c r="AF197" s="64"/>
      <c r="AG197" s="64"/>
    </row>
    <row r="198" spans="1:33">
      <c r="A198" s="25"/>
      <c r="B198" s="25"/>
      <c r="C198" s="25"/>
      <c r="D198" s="25"/>
      <c r="E198" s="70"/>
      <c r="F198" s="70"/>
      <c r="G198" s="64"/>
      <c r="H198" s="64"/>
      <c r="I198" s="64"/>
      <c r="J198" s="64"/>
      <c r="K198" s="64"/>
      <c r="L198" s="64"/>
      <c r="M198" s="64"/>
      <c r="N198" s="64"/>
      <c r="O198" s="64"/>
      <c r="P198" s="64"/>
      <c r="Q198" s="64"/>
      <c r="R198" s="64"/>
      <c r="S198" s="64"/>
      <c r="T198" s="64"/>
      <c r="U198" s="64"/>
      <c r="V198" s="64"/>
      <c r="W198" s="64"/>
      <c r="X198" s="64"/>
      <c r="Y198" s="64"/>
      <c r="Z198" s="64"/>
      <c r="AA198" s="64"/>
      <c r="AB198" s="64"/>
      <c r="AC198" s="64"/>
      <c r="AD198" s="64"/>
      <c r="AE198" s="64"/>
      <c r="AF198" s="64"/>
      <c r="AG198" s="64"/>
    </row>
    <row r="199" spans="1:33">
      <c r="A199" s="25"/>
      <c r="B199" s="25"/>
      <c r="C199" s="25"/>
      <c r="D199" s="25"/>
      <c r="E199" s="70"/>
      <c r="F199" s="70"/>
      <c r="G199" s="64"/>
      <c r="H199" s="64"/>
      <c r="I199" s="64"/>
      <c r="J199" s="64"/>
      <c r="K199" s="64"/>
      <c r="L199" s="64"/>
      <c r="M199" s="64"/>
      <c r="N199" s="64"/>
      <c r="O199" s="64"/>
      <c r="P199" s="64"/>
      <c r="Q199" s="64"/>
      <c r="R199" s="64"/>
      <c r="S199" s="64"/>
      <c r="T199" s="64"/>
      <c r="U199" s="64"/>
      <c r="V199" s="64"/>
      <c r="W199" s="64"/>
      <c r="X199" s="64"/>
      <c r="Y199" s="64"/>
      <c r="Z199" s="64"/>
      <c r="AA199" s="64"/>
      <c r="AB199" s="64"/>
      <c r="AC199" s="64"/>
      <c r="AD199" s="64"/>
      <c r="AE199" s="64"/>
      <c r="AF199" s="64"/>
      <c r="AG199" s="64"/>
    </row>
    <row r="200" spans="1:33">
      <c r="A200" s="25"/>
      <c r="B200" s="25"/>
      <c r="C200" s="25"/>
      <c r="D200" s="25"/>
      <c r="E200" s="70"/>
      <c r="F200" s="70"/>
      <c r="G200" s="64"/>
      <c r="H200" s="64"/>
      <c r="I200" s="64"/>
      <c r="J200" s="64"/>
      <c r="K200" s="64"/>
      <c r="L200" s="64"/>
      <c r="M200" s="64"/>
      <c r="N200" s="64"/>
      <c r="O200" s="64"/>
      <c r="P200" s="64"/>
      <c r="Q200" s="64"/>
      <c r="R200" s="64"/>
      <c r="S200" s="64"/>
      <c r="T200" s="64"/>
      <c r="U200" s="64"/>
      <c r="V200" s="64"/>
      <c r="W200" s="64"/>
      <c r="X200" s="64"/>
      <c r="Y200" s="64"/>
      <c r="Z200" s="64"/>
      <c r="AA200" s="64"/>
      <c r="AB200" s="64"/>
      <c r="AC200" s="64"/>
      <c r="AD200" s="64"/>
      <c r="AE200" s="64"/>
      <c r="AF200" s="64"/>
      <c r="AG200" s="64"/>
    </row>
    <row r="201" spans="1:33">
      <c r="A201" s="25"/>
      <c r="B201" s="25"/>
      <c r="C201" s="25"/>
      <c r="D201" s="25"/>
      <c r="E201" s="70"/>
      <c r="F201" s="70"/>
      <c r="G201" s="64"/>
      <c r="H201" s="64"/>
      <c r="I201" s="64"/>
      <c r="J201" s="64"/>
      <c r="K201" s="64"/>
      <c r="L201" s="64"/>
      <c r="M201" s="64"/>
      <c r="N201" s="64"/>
      <c r="O201" s="64"/>
      <c r="P201" s="64"/>
      <c r="Q201" s="64"/>
      <c r="R201" s="64"/>
      <c r="S201" s="64"/>
      <c r="T201" s="64"/>
      <c r="U201" s="64"/>
      <c r="V201" s="64"/>
      <c r="W201" s="64"/>
      <c r="X201" s="64"/>
      <c r="Y201" s="64"/>
      <c r="Z201" s="64"/>
      <c r="AA201" s="64"/>
      <c r="AB201" s="64"/>
      <c r="AC201" s="64"/>
      <c r="AD201" s="64"/>
      <c r="AE201" s="64"/>
      <c r="AF201" s="64"/>
      <c r="AG201" s="64"/>
    </row>
    <row r="202" spans="1:33">
      <c r="A202" s="25"/>
      <c r="B202" s="25"/>
      <c r="C202" s="25"/>
      <c r="D202" s="25"/>
      <c r="E202" s="70"/>
      <c r="F202" s="70"/>
      <c r="G202" s="64"/>
      <c r="H202" s="64"/>
      <c r="I202" s="64"/>
      <c r="J202" s="64"/>
      <c r="K202" s="64"/>
      <c r="L202" s="64"/>
      <c r="M202" s="64"/>
      <c r="N202" s="64"/>
      <c r="O202" s="64"/>
      <c r="P202" s="64"/>
      <c r="Q202" s="64"/>
      <c r="R202" s="64"/>
      <c r="S202" s="64"/>
      <c r="T202" s="64"/>
      <c r="U202" s="64"/>
      <c r="V202" s="64"/>
      <c r="W202" s="64"/>
      <c r="X202" s="64"/>
      <c r="Y202" s="64"/>
      <c r="Z202" s="64"/>
      <c r="AA202" s="64"/>
      <c r="AB202" s="64"/>
      <c r="AC202" s="64"/>
      <c r="AD202" s="64"/>
      <c r="AE202" s="64"/>
      <c r="AF202" s="64"/>
      <c r="AG202" s="64"/>
    </row>
    <row r="203" spans="1:33">
      <c r="A203" s="64"/>
      <c r="B203" s="64"/>
      <c r="C203" s="64"/>
      <c r="D203" s="64"/>
      <c r="E203" s="70"/>
      <c r="F203" s="70"/>
      <c r="G203" s="64"/>
      <c r="H203" s="64"/>
      <c r="I203" s="64"/>
      <c r="J203" s="64"/>
      <c r="K203" s="64"/>
      <c r="L203" s="64"/>
      <c r="M203" s="64"/>
      <c r="N203" s="64"/>
      <c r="O203" s="64"/>
      <c r="P203" s="64"/>
      <c r="Q203" s="64"/>
      <c r="R203" s="64"/>
      <c r="S203" s="64"/>
      <c r="T203" s="64"/>
      <c r="U203" s="64"/>
      <c r="V203" s="64"/>
      <c r="W203" s="64"/>
      <c r="X203" s="64"/>
      <c r="Y203" s="64"/>
      <c r="Z203" s="64"/>
      <c r="AA203" s="64"/>
      <c r="AB203" s="64"/>
      <c r="AC203" s="64"/>
      <c r="AD203" s="64"/>
      <c r="AE203" s="64"/>
      <c r="AF203" s="64"/>
      <c r="AG203" s="64"/>
    </row>
    <row r="204" spans="1:33">
      <c r="A204" s="64"/>
      <c r="B204" s="64"/>
      <c r="C204" s="64"/>
      <c r="D204" s="64"/>
      <c r="E204" s="70"/>
      <c r="F204" s="70"/>
      <c r="G204" s="64"/>
      <c r="H204" s="64"/>
      <c r="I204" s="64"/>
      <c r="J204" s="64"/>
      <c r="K204" s="64"/>
      <c r="L204" s="64"/>
      <c r="M204" s="64"/>
      <c r="N204" s="64"/>
      <c r="O204" s="64"/>
      <c r="P204" s="64"/>
      <c r="Q204" s="64"/>
      <c r="R204" s="64"/>
      <c r="S204" s="64"/>
      <c r="T204" s="64"/>
      <c r="U204" s="64"/>
      <c r="V204" s="64"/>
      <c r="W204" s="64"/>
      <c r="X204" s="64"/>
      <c r="Y204" s="64"/>
      <c r="Z204" s="64"/>
      <c r="AA204" s="64"/>
      <c r="AB204" s="64"/>
      <c r="AC204" s="64"/>
      <c r="AD204" s="64"/>
      <c r="AE204" s="64"/>
      <c r="AF204" s="64"/>
      <c r="AG204" s="64"/>
    </row>
    <row r="205" spans="1:33">
      <c r="A205" s="64"/>
      <c r="B205" s="64"/>
      <c r="C205" s="64"/>
      <c r="D205" s="64"/>
      <c r="E205" s="70"/>
      <c r="F205" s="70"/>
      <c r="G205" s="64"/>
      <c r="H205" s="64"/>
      <c r="I205" s="64"/>
      <c r="J205" s="64"/>
      <c r="K205" s="64"/>
      <c r="L205" s="64"/>
      <c r="M205" s="64"/>
      <c r="N205" s="64"/>
      <c r="O205" s="64"/>
      <c r="P205" s="64"/>
      <c r="Q205" s="64"/>
      <c r="R205" s="64"/>
      <c r="S205" s="64"/>
      <c r="T205" s="64"/>
      <c r="U205" s="64"/>
      <c r="V205" s="64"/>
      <c r="W205" s="64"/>
      <c r="X205" s="64"/>
      <c r="Y205" s="64"/>
      <c r="Z205" s="64"/>
      <c r="AA205" s="64"/>
      <c r="AB205" s="64"/>
      <c r="AC205" s="64"/>
      <c r="AD205" s="64"/>
      <c r="AE205" s="64"/>
      <c r="AF205" s="64"/>
      <c r="AG205" s="64"/>
    </row>
    <row r="206" spans="1:33">
      <c r="A206" s="64"/>
      <c r="B206" s="64"/>
      <c r="C206" s="64"/>
      <c r="D206" s="64"/>
      <c r="E206" s="70"/>
      <c r="F206" s="70"/>
      <c r="G206" s="64"/>
      <c r="H206" s="64"/>
      <c r="I206" s="64"/>
      <c r="J206" s="64"/>
      <c r="K206" s="64"/>
      <c r="L206" s="64"/>
      <c r="M206" s="64"/>
      <c r="N206" s="64"/>
      <c r="O206" s="64"/>
      <c r="P206" s="64"/>
      <c r="Q206" s="64"/>
      <c r="R206" s="64"/>
      <c r="S206" s="64"/>
      <c r="T206" s="64"/>
      <c r="U206" s="64"/>
      <c r="V206" s="64"/>
      <c r="W206" s="64"/>
      <c r="X206" s="64"/>
      <c r="Y206" s="64"/>
      <c r="Z206" s="64"/>
      <c r="AA206" s="64"/>
      <c r="AB206" s="64"/>
      <c r="AC206" s="64"/>
      <c r="AD206" s="64"/>
      <c r="AE206" s="64"/>
      <c r="AF206" s="64"/>
      <c r="AG206" s="64"/>
    </row>
    <row r="207" spans="1:33">
      <c r="A207" s="64"/>
      <c r="B207" s="64"/>
      <c r="C207" s="64"/>
      <c r="D207" s="64"/>
      <c r="E207" s="70"/>
      <c r="F207" s="70"/>
      <c r="G207" s="64"/>
      <c r="H207" s="64"/>
      <c r="I207" s="64"/>
      <c r="J207" s="64"/>
      <c r="K207" s="64"/>
      <c r="L207" s="64"/>
      <c r="M207" s="64"/>
      <c r="N207" s="64"/>
      <c r="O207" s="64"/>
      <c r="P207" s="64"/>
      <c r="Q207" s="64"/>
      <c r="R207" s="64"/>
      <c r="S207" s="64"/>
      <c r="T207" s="64"/>
      <c r="U207" s="64"/>
      <c r="V207" s="64"/>
      <c r="W207" s="64"/>
      <c r="X207" s="64"/>
      <c r="Y207" s="64"/>
      <c r="Z207" s="64"/>
      <c r="AA207" s="64"/>
      <c r="AB207" s="64"/>
      <c r="AC207" s="64"/>
      <c r="AD207" s="64"/>
      <c r="AE207" s="64"/>
      <c r="AF207" s="64"/>
      <c r="AG207" s="64"/>
    </row>
    <row r="208" spans="1:33">
      <c r="A208" s="64"/>
      <c r="B208" s="64"/>
      <c r="C208" s="64"/>
      <c r="D208" s="64"/>
      <c r="E208" s="70"/>
      <c r="F208" s="70"/>
      <c r="G208" s="64"/>
      <c r="H208" s="64"/>
      <c r="I208" s="64"/>
      <c r="J208" s="64"/>
      <c r="K208" s="64"/>
      <c r="L208" s="64"/>
      <c r="M208" s="64"/>
      <c r="N208" s="64"/>
      <c r="O208" s="64"/>
      <c r="P208" s="64"/>
      <c r="Q208" s="64"/>
      <c r="R208" s="64"/>
      <c r="S208" s="64"/>
      <c r="T208" s="64"/>
      <c r="U208" s="64"/>
      <c r="V208" s="64"/>
      <c r="W208" s="64"/>
      <c r="X208" s="64"/>
      <c r="Y208" s="64"/>
      <c r="Z208" s="64"/>
      <c r="AA208" s="64"/>
      <c r="AB208" s="64"/>
      <c r="AC208" s="64"/>
      <c r="AD208" s="64"/>
      <c r="AE208" s="64"/>
      <c r="AF208" s="64"/>
      <c r="AG208" s="64"/>
    </row>
    <row r="209" spans="1:33">
      <c r="A209" s="64"/>
      <c r="B209" s="64"/>
      <c r="C209" s="64"/>
      <c r="D209" s="64"/>
      <c r="E209" s="70"/>
      <c r="F209" s="70"/>
      <c r="G209" s="64"/>
      <c r="H209" s="64"/>
      <c r="I209" s="64"/>
      <c r="J209" s="64"/>
      <c r="K209" s="64"/>
      <c r="L209" s="64"/>
      <c r="M209" s="64"/>
      <c r="N209" s="64"/>
      <c r="O209" s="64"/>
      <c r="P209" s="64"/>
      <c r="Q209" s="64"/>
      <c r="R209" s="64"/>
      <c r="S209" s="64"/>
      <c r="T209" s="64"/>
      <c r="U209" s="64"/>
      <c r="V209" s="64"/>
      <c r="W209" s="64"/>
      <c r="X209" s="64"/>
      <c r="Y209" s="64"/>
      <c r="Z209" s="64"/>
      <c r="AA209" s="64"/>
      <c r="AB209" s="64"/>
      <c r="AC209" s="64"/>
      <c r="AD209" s="64"/>
      <c r="AE209" s="64"/>
      <c r="AF209" s="64"/>
      <c r="AG209" s="64"/>
    </row>
    <row r="210" spans="1:33">
      <c r="A210" s="64"/>
      <c r="B210" s="64"/>
      <c r="C210" s="64"/>
      <c r="D210" s="64"/>
      <c r="E210" s="70"/>
      <c r="F210" s="70"/>
      <c r="G210" s="64"/>
      <c r="H210" s="64"/>
      <c r="I210" s="64"/>
      <c r="J210" s="64"/>
      <c r="K210" s="64"/>
      <c r="L210" s="64"/>
      <c r="M210" s="64"/>
      <c r="N210" s="64"/>
      <c r="O210" s="64"/>
      <c r="P210" s="64"/>
      <c r="Q210" s="64"/>
      <c r="R210" s="64"/>
      <c r="S210" s="64"/>
      <c r="T210" s="64"/>
      <c r="U210" s="64"/>
      <c r="V210" s="64"/>
      <c r="W210" s="64"/>
      <c r="X210" s="64"/>
      <c r="Y210" s="64"/>
      <c r="Z210" s="64"/>
      <c r="AA210" s="64"/>
      <c r="AB210" s="64"/>
      <c r="AC210" s="64"/>
      <c r="AD210" s="64"/>
      <c r="AE210" s="64"/>
      <c r="AF210" s="64"/>
      <c r="AG210" s="64"/>
    </row>
    <row r="211" spans="1:33">
      <c r="A211" s="64"/>
      <c r="B211" s="64"/>
      <c r="C211" s="64"/>
      <c r="D211" s="64"/>
      <c r="E211" s="70"/>
      <c r="F211" s="70"/>
      <c r="G211" s="64"/>
      <c r="H211" s="64"/>
      <c r="I211" s="64"/>
      <c r="J211" s="64"/>
      <c r="K211" s="64"/>
      <c r="L211" s="64"/>
      <c r="M211" s="64"/>
      <c r="N211" s="64"/>
      <c r="O211" s="64"/>
      <c r="P211" s="64"/>
      <c r="Q211" s="64"/>
      <c r="R211" s="64"/>
      <c r="S211" s="64"/>
      <c r="T211" s="64"/>
      <c r="U211" s="64"/>
      <c r="V211" s="64"/>
      <c r="W211" s="64"/>
      <c r="X211" s="64"/>
      <c r="Y211" s="64"/>
      <c r="Z211" s="64"/>
      <c r="AA211" s="64"/>
      <c r="AB211" s="64"/>
      <c r="AC211" s="64"/>
      <c r="AD211" s="64"/>
      <c r="AE211" s="64"/>
      <c r="AF211" s="64"/>
      <c r="AG211" s="64"/>
    </row>
    <row r="212" spans="1:33">
      <c r="A212" s="64"/>
      <c r="B212" s="64"/>
      <c r="C212" s="64"/>
      <c r="D212" s="64"/>
      <c r="E212" s="70"/>
      <c r="F212" s="70"/>
      <c r="G212" s="64"/>
      <c r="H212" s="64"/>
      <c r="I212" s="64"/>
      <c r="J212" s="64"/>
      <c r="K212" s="64"/>
      <c r="L212" s="64"/>
      <c r="M212" s="64"/>
      <c r="N212" s="64"/>
      <c r="O212" s="64"/>
      <c r="P212" s="64"/>
      <c r="Q212" s="64"/>
      <c r="R212" s="64"/>
      <c r="S212" s="64"/>
      <c r="T212" s="64"/>
      <c r="U212" s="64"/>
      <c r="V212" s="64"/>
      <c r="W212" s="64"/>
      <c r="X212" s="64"/>
      <c r="Y212" s="64"/>
      <c r="Z212" s="64"/>
      <c r="AA212" s="64"/>
      <c r="AB212" s="64"/>
      <c r="AC212" s="64"/>
      <c r="AD212" s="64"/>
      <c r="AE212" s="64"/>
      <c r="AF212" s="64"/>
      <c r="AG212" s="64"/>
    </row>
    <row r="213" spans="1:33">
      <c r="A213" s="64"/>
      <c r="B213" s="64"/>
      <c r="C213" s="64"/>
      <c r="D213" s="64"/>
      <c r="E213" s="70"/>
      <c r="F213" s="70"/>
      <c r="G213" s="64"/>
      <c r="H213" s="64"/>
      <c r="I213" s="64"/>
      <c r="J213" s="64"/>
      <c r="K213" s="64"/>
      <c r="L213" s="64"/>
      <c r="M213" s="64"/>
      <c r="N213" s="64"/>
      <c r="O213" s="64"/>
      <c r="P213" s="64"/>
      <c r="Q213" s="64"/>
      <c r="R213" s="64"/>
      <c r="S213" s="64"/>
      <c r="T213" s="64"/>
      <c r="U213" s="64"/>
      <c r="V213" s="64"/>
      <c r="W213" s="64"/>
      <c r="X213" s="64"/>
      <c r="Y213" s="64"/>
      <c r="Z213" s="64"/>
      <c r="AA213" s="64"/>
      <c r="AB213" s="64"/>
      <c r="AC213" s="64"/>
      <c r="AD213" s="64"/>
      <c r="AE213" s="64"/>
      <c r="AF213" s="64"/>
      <c r="AG213" s="64"/>
    </row>
    <row r="214" spans="1:33">
      <c r="A214" s="64"/>
      <c r="B214" s="64"/>
      <c r="C214" s="64"/>
      <c r="D214" s="64"/>
      <c r="E214" s="70"/>
      <c r="F214" s="70"/>
      <c r="G214" s="64"/>
      <c r="H214" s="64"/>
      <c r="I214" s="64"/>
      <c r="J214" s="64"/>
      <c r="K214" s="64"/>
      <c r="L214" s="64"/>
      <c r="M214" s="64"/>
      <c r="N214" s="64"/>
      <c r="O214" s="64"/>
      <c r="P214" s="64"/>
      <c r="Q214" s="64"/>
      <c r="R214" s="64"/>
      <c r="S214" s="64"/>
      <c r="T214" s="64"/>
      <c r="U214" s="64"/>
      <c r="V214" s="64"/>
      <c r="W214" s="64"/>
      <c r="X214" s="64"/>
      <c r="Y214" s="64"/>
      <c r="Z214" s="64"/>
      <c r="AA214" s="64"/>
      <c r="AB214" s="64"/>
      <c r="AC214" s="64"/>
      <c r="AD214" s="64"/>
      <c r="AE214" s="64"/>
      <c r="AF214" s="64"/>
      <c r="AG214" s="64"/>
    </row>
    <row r="215" spans="1:33">
      <c r="A215" s="64"/>
      <c r="B215" s="64"/>
      <c r="C215" s="64"/>
      <c r="D215" s="64"/>
      <c r="E215" s="70"/>
      <c r="F215" s="70"/>
      <c r="G215" s="64"/>
      <c r="H215" s="64"/>
      <c r="I215" s="64"/>
      <c r="J215" s="64"/>
      <c r="K215" s="64"/>
      <c r="L215" s="64"/>
      <c r="M215" s="64"/>
      <c r="N215" s="64"/>
      <c r="O215" s="64"/>
      <c r="P215" s="64"/>
      <c r="Q215" s="64"/>
      <c r="R215" s="64"/>
      <c r="S215" s="64"/>
      <c r="T215" s="64"/>
      <c r="U215" s="64"/>
      <c r="V215" s="64"/>
      <c r="W215" s="64"/>
      <c r="X215" s="64"/>
      <c r="Y215" s="64"/>
      <c r="Z215" s="64"/>
      <c r="AA215" s="64"/>
      <c r="AB215" s="64"/>
      <c r="AC215" s="64"/>
      <c r="AD215" s="64"/>
      <c r="AE215" s="64"/>
      <c r="AF215" s="64"/>
      <c r="AG215" s="64"/>
    </row>
    <row r="216" spans="1:33">
      <c r="A216" s="64"/>
      <c r="B216" s="64"/>
      <c r="C216" s="64"/>
      <c r="D216" s="64"/>
      <c r="E216" s="70"/>
      <c r="F216" s="70"/>
      <c r="G216" s="64"/>
      <c r="H216" s="64"/>
      <c r="I216" s="64"/>
      <c r="J216" s="64"/>
      <c r="K216" s="64"/>
      <c r="L216" s="64"/>
      <c r="M216" s="64"/>
      <c r="N216" s="64"/>
      <c r="O216" s="64"/>
      <c r="P216" s="64"/>
      <c r="Q216" s="64"/>
      <c r="R216" s="64"/>
      <c r="S216" s="64"/>
      <c r="T216" s="64"/>
      <c r="U216" s="64"/>
      <c r="V216" s="64"/>
      <c r="W216" s="64"/>
      <c r="X216" s="64"/>
      <c r="Y216" s="64"/>
      <c r="Z216" s="64"/>
      <c r="AA216" s="64"/>
      <c r="AB216" s="64"/>
      <c r="AC216" s="64"/>
      <c r="AD216" s="64"/>
      <c r="AE216" s="64"/>
      <c r="AF216" s="64"/>
      <c r="AG216" s="64"/>
    </row>
    <row r="217" spans="1:33">
      <c r="A217" s="64"/>
      <c r="B217" s="64"/>
      <c r="C217" s="64"/>
      <c r="D217" s="64"/>
      <c r="E217" s="70"/>
      <c r="F217" s="70"/>
      <c r="G217" s="64"/>
      <c r="H217" s="64"/>
      <c r="I217" s="64"/>
      <c r="J217" s="64"/>
      <c r="K217" s="64"/>
      <c r="L217" s="64"/>
      <c r="M217" s="64"/>
      <c r="N217" s="64"/>
      <c r="O217" s="64"/>
      <c r="P217" s="64"/>
      <c r="Q217" s="64"/>
      <c r="R217" s="64"/>
      <c r="S217" s="64"/>
      <c r="T217" s="64"/>
      <c r="U217" s="64"/>
      <c r="V217" s="64"/>
      <c r="W217" s="64"/>
      <c r="X217" s="64"/>
      <c r="Y217" s="64"/>
      <c r="Z217" s="64"/>
      <c r="AA217" s="64"/>
      <c r="AB217" s="64"/>
      <c r="AC217" s="64"/>
      <c r="AD217" s="64"/>
      <c r="AE217" s="64"/>
      <c r="AF217" s="64"/>
      <c r="AG217" s="64"/>
    </row>
    <row r="218" spans="1:33">
      <c r="A218" s="64"/>
      <c r="B218" s="64"/>
      <c r="C218" s="64"/>
      <c r="D218" s="64"/>
      <c r="E218" s="70"/>
      <c r="F218" s="70"/>
      <c r="G218" s="64"/>
      <c r="H218" s="64"/>
      <c r="I218" s="64"/>
      <c r="J218" s="64"/>
      <c r="K218" s="64"/>
      <c r="L218" s="64"/>
      <c r="M218" s="64"/>
      <c r="N218" s="64"/>
      <c r="O218" s="64"/>
      <c r="P218" s="64"/>
      <c r="Q218" s="64"/>
      <c r="R218" s="64"/>
      <c r="S218" s="64"/>
      <c r="T218" s="64"/>
      <c r="U218" s="64"/>
      <c r="V218" s="64"/>
      <c r="W218" s="64"/>
      <c r="X218" s="64"/>
      <c r="Y218" s="64"/>
      <c r="Z218" s="64"/>
      <c r="AA218" s="64"/>
      <c r="AB218" s="64"/>
      <c r="AC218" s="64"/>
      <c r="AD218" s="64"/>
      <c r="AE218" s="64"/>
      <c r="AF218" s="64"/>
      <c r="AG218" s="64"/>
    </row>
    <row r="219" spans="1:33">
      <c r="A219" s="64"/>
      <c r="B219" s="64"/>
      <c r="C219" s="64"/>
      <c r="D219" s="64"/>
      <c r="E219" s="70"/>
      <c r="F219" s="70"/>
      <c r="G219" s="64"/>
      <c r="H219" s="64"/>
      <c r="I219" s="64"/>
      <c r="J219" s="64"/>
      <c r="K219" s="64"/>
      <c r="L219" s="64"/>
      <c r="M219" s="64"/>
      <c r="N219" s="64"/>
      <c r="O219" s="64"/>
      <c r="P219" s="64"/>
      <c r="Q219" s="64"/>
      <c r="R219" s="64"/>
      <c r="S219" s="64"/>
      <c r="T219" s="64"/>
      <c r="U219" s="64"/>
      <c r="V219" s="64"/>
      <c r="W219" s="64"/>
      <c r="X219" s="64"/>
      <c r="Y219" s="64"/>
      <c r="Z219" s="64"/>
      <c r="AA219" s="64"/>
      <c r="AB219" s="64"/>
      <c r="AC219" s="64"/>
      <c r="AD219" s="64"/>
      <c r="AE219" s="64"/>
      <c r="AF219" s="64"/>
      <c r="AG219" s="64"/>
    </row>
    <row r="220" spans="1:33">
      <c r="A220" s="64"/>
      <c r="B220" s="64"/>
      <c r="C220" s="64"/>
      <c r="D220" s="64"/>
      <c r="E220" s="70"/>
      <c r="F220" s="70"/>
      <c r="G220" s="64"/>
      <c r="H220" s="64"/>
      <c r="I220" s="64"/>
      <c r="J220" s="64"/>
      <c r="K220" s="64"/>
      <c r="L220" s="64"/>
      <c r="M220" s="64"/>
      <c r="N220" s="64"/>
      <c r="O220" s="64"/>
      <c r="P220" s="64"/>
      <c r="Q220" s="64"/>
      <c r="R220" s="64"/>
      <c r="S220" s="64"/>
      <c r="T220" s="64"/>
      <c r="U220" s="64"/>
      <c r="V220" s="64"/>
      <c r="W220" s="64"/>
      <c r="X220" s="64"/>
      <c r="Y220" s="64"/>
      <c r="Z220" s="64"/>
      <c r="AA220" s="64"/>
      <c r="AB220" s="64"/>
      <c r="AC220" s="64"/>
      <c r="AD220" s="64"/>
      <c r="AE220" s="64"/>
      <c r="AF220" s="64"/>
      <c r="AG220" s="64"/>
    </row>
    <row r="221" spans="1:33">
      <c r="A221" s="64"/>
      <c r="B221" s="64"/>
      <c r="C221" s="64"/>
      <c r="D221" s="64"/>
      <c r="E221" s="70"/>
      <c r="F221" s="70"/>
      <c r="G221" s="64"/>
      <c r="H221" s="64"/>
      <c r="I221" s="64"/>
      <c r="J221" s="64"/>
      <c r="K221" s="64"/>
      <c r="L221" s="64"/>
      <c r="M221" s="64"/>
      <c r="N221" s="64"/>
      <c r="O221" s="64"/>
      <c r="P221" s="64"/>
      <c r="Q221" s="64"/>
      <c r="R221" s="64"/>
      <c r="S221" s="64"/>
      <c r="T221" s="64"/>
      <c r="U221" s="64"/>
      <c r="V221" s="64"/>
      <c r="W221" s="64"/>
      <c r="X221" s="64"/>
      <c r="Y221" s="64"/>
      <c r="Z221" s="64"/>
      <c r="AA221" s="64"/>
      <c r="AB221" s="64"/>
      <c r="AC221" s="64"/>
      <c r="AD221" s="64"/>
      <c r="AE221" s="64"/>
      <c r="AF221" s="64"/>
      <c r="AG221" s="64"/>
    </row>
    <row r="222" spans="1:33">
      <c r="A222" s="64"/>
      <c r="B222" s="64"/>
      <c r="C222" s="64"/>
      <c r="D222" s="64"/>
      <c r="E222" s="70"/>
      <c r="F222" s="70"/>
      <c r="G222" s="64"/>
      <c r="H222" s="64"/>
      <c r="I222" s="64"/>
      <c r="J222" s="64"/>
      <c r="K222" s="64"/>
      <c r="L222" s="64"/>
      <c r="M222" s="64"/>
      <c r="N222" s="64"/>
      <c r="O222" s="64"/>
      <c r="P222" s="64"/>
      <c r="Q222" s="64"/>
      <c r="R222" s="64"/>
      <c r="S222" s="64"/>
      <c r="T222" s="64"/>
      <c r="U222" s="64"/>
      <c r="V222" s="64"/>
      <c r="W222" s="64"/>
      <c r="X222" s="64"/>
      <c r="Y222" s="64"/>
      <c r="Z222" s="64"/>
      <c r="AA222" s="64"/>
      <c r="AB222" s="64"/>
      <c r="AC222" s="64"/>
      <c r="AD222" s="64"/>
      <c r="AE222" s="64"/>
      <c r="AF222" s="64"/>
      <c r="AG222" s="64"/>
    </row>
    <row r="223" spans="1:33">
      <c r="A223" s="64"/>
      <c r="B223" s="64"/>
      <c r="C223" s="64"/>
      <c r="D223" s="64"/>
      <c r="E223" s="70"/>
      <c r="F223" s="70"/>
      <c r="G223" s="64"/>
      <c r="H223" s="64"/>
      <c r="I223" s="64"/>
      <c r="J223" s="64"/>
      <c r="K223" s="64"/>
      <c r="L223" s="64"/>
      <c r="M223" s="64"/>
      <c r="N223" s="64"/>
      <c r="O223" s="64"/>
      <c r="P223" s="64"/>
      <c r="Q223" s="64"/>
      <c r="R223" s="64"/>
      <c r="S223" s="64"/>
      <c r="T223" s="64"/>
      <c r="U223" s="64"/>
      <c r="V223" s="64"/>
      <c r="W223" s="64"/>
      <c r="X223" s="64"/>
      <c r="Y223" s="64"/>
      <c r="Z223" s="64"/>
      <c r="AA223" s="64"/>
      <c r="AB223" s="64"/>
      <c r="AC223" s="64"/>
      <c r="AD223" s="64"/>
      <c r="AE223" s="64"/>
      <c r="AF223" s="64"/>
      <c r="AG223" s="64"/>
    </row>
    <row r="224" spans="1:33">
      <c r="A224" s="64"/>
      <c r="B224" s="64"/>
      <c r="C224" s="64"/>
      <c r="D224" s="64"/>
      <c r="E224" s="70"/>
      <c r="F224" s="70"/>
      <c r="G224" s="64"/>
      <c r="H224" s="64"/>
      <c r="I224" s="64"/>
      <c r="J224" s="64"/>
      <c r="K224" s="64"/>
      <c r="L224" s="64"/>
      <c r="M224" s="64"/>
      <c r="N224" s="64"/>
      <c r="O224" s="64"/>
      <c r="P224" s="64"/>
      <c r="Q224" s="64"/>
      <c r="R224" s="64"/>
      <c r="S224" s="64"/>
      <c r="T224" s="64"/>
      <c r="U224" s="64"/>
      <c r="V224" s="64"/>
      <c r="W224" s="64"/>
      <c r="X224" s="64"/>
      <c r="Y224" s="64"/>
      <c r="Z224" s="64"/>
      <c r="AA224" s="64"/>
      <c r="AB224" s="64"/>
      <c r="AC224" s="64"/>
      <c r="AD224" s="64"/>
      <c r="AE224" s="64"/>
      <c r="AF224" s="64"/>
      <c r="AG224" s="64"/>
    </row>
    <row r="225" spans="1:33">
      <c r="A225" s="64"/>
      <c r="B225" s="64"/>
      <c r="C225" s="64"/>
      <c r="D225" s="64"/>
      <c r="E225" s="70"/>
      <c r="F225" s="70"/>
      <c r="G225" s="64"/>
      <c r="H225" s="64"/>
      <c r="I225" s="64"/>
      <c r="J225" s="64"/>
      <c r="K225" s="64"/>
      <c r="L225" s="64"/>
      <c r="M225" s="64"/>
      <c r="N225" s="64"/>
      <c r="O225" s="64"/>
      <c r="P225" s="64"/>
      <c r="Q225" s="64"/>
      <c r="R225" s="64"/>
      <c r="S225" s="64"/>
      <c r="T225" s="64"/>
      <c r="U225" s="64"/>
      <c r="V225" s="64"/>
      <c r="W225" s="64"/>
      <c r="X225" s="64"/>
      <c r="Y225" s="64"/>
      <c r="Z225" s="64"/>
      <c r="AA225" s="64"/>
      <c r="AB225" s="64"/>
      <c r="AC225" s="64"/>
      <c r="AD225" s="64"/>
      <c r="AE225" s="64"/>
      <c r="AF225" s="64"/>
      <c r="AG225" s="64"/>
    </row>
    <row r="226" spans="1:33">
      <c r="A226" s="64"/>
      <c r="B226" s="64"/>
      <c r="C226" s="64"/>
      <c r="D226" s="64"/>
      <c r="E226" s="70"/>
      <c r="F226" s="70"/>
      <c r="G226" s="64"/>
      <c r="H226" s="64"/>
      <c r="I226" s="64"/>
      <c r="J226" s="64"/>
      <c r="K226" s="64"/>
      <c r="L226" s="64"/>
      <c r="M226" s="64"/>
      <c r="N226" s="64"/>
      <c r="O226" s="64"/>
      <c r="P226" s="64"/>
      <c r="Q226" s="64"/>
      <c r="R226" s="64"/>
      <c r="S226" s="64"/>
      <c r="T226" s="64"/>
      <c r="U226" s="64"/>
      <c r="V226" s="64"/>
      <c r="W226" s="64"/>
      <c r="X226" s="64"/>
      <c r="Y226" s="64"/>
      <c r="Z226" s="64"/>
      <c r="AA226" s="64"/>
      <c r="AB226" s="64"/>
      <c r="AC226" s="64"/>
      <c r="AD226" s="64"/>
      <c r="AE226" s="64"/>
      <c r="AF226" s="64"/>
      <c r="AG226" s="64"/>
    </row>
    <row r="227" spans="1:33">
      <c r="A227" s="64"/>
      <c r="B227" s="64"/>
      <c r="C227" s="64"/>
      <c r="D227" s="64"/>
      <c r="E227" s="70"/>
      <c r="F227" s="70"/>
      <c r="G227" s="64"/>
      <c r="H227" s="64"/>
      <c r="I227" s="64"/>
      <c r="J227" s="64"/>
      <c r="K227" s="64"/>
      <c r="L227" s="64"/>
      <c r="M227" s="64"/>
      <c r="N227" s="64"/>
      <c r="O227" s="64"/>
      <c r="P227" s="64"/>
      <c r="Q227" s="64"/>
      <c r="R227" s="64"/>
      <c r="S227" s="64"/>
      <c r="T227" s="64"/>
      <c r="U227" s="64"/>
      <c r="V227" s="64"/>
      <c r="W227" s="64"/>
      <c r="X227" s="64"/>
      <c r="Y227" s="64"/>
      <c r="Z227" s="64"/>
      <c r="AA227" s="64"/>
      <c r="AB227" s="64"/>
      <c r="AC227" s="64"/>
      <c r="AD227" s="64"/>
      <c r="AE227" s="64"/>
      <c r="AF227" s="64"/>
      <c r="AG227" s="64"/>
    </row>
    <row r="228" spans="1:33">
      <c r="A228" s="64"/>
      <c r="B228" s="64"/>
      <c r="C228" s="64"/>
      <c r="D228" s="64"/>
      <c r="E228" s="70"/>
      <c r="F228" s="70"/>
      <c r="G228" s="64"/>
      <c r="H228" s="64"/>
      <c r="I228" s="64"/>
      <c r="J228" s="64"/>
      <c r="K228" s="64"/>
      <c r="L228" s="64"/>
      <c r="M228" s="64"/>
      <c r="N228" s="64"/>
      <c r="O228" s="64"/>
      <c r="P228" s="64"/>
      <c r="Q228" s="64"/>
      <c r="R228" s="64"/>
      <c r="S228" s="64"/>
      <c r="T228" s="64"/>
      <c r="U228" s="64"/>
      <c r="V228" s="64"/>
      <c r="W228" s="64"/>
      <c r="X228" s="64"/>
      <c r="Y228" s="64"/>
      <c r="Z228" s="64"/>
      <c r="AA228" s="64"/>
      <c r="AB228" s="64"/>
      <c r="AC228" s="64"/>
      <c r="AD228" s="64"/>
      <c r="AE228" s="64"/>
      <c r="AF228" s="64"/>
      <c r="AG228" s="64"/>
    </row>
    <row r="229" spans="1:33">
      <c r="A229" s="64"/>
      <c r="B229" s="64"/>
      <c r="C229" s="64"/>
      <c r="D229" s="64"/>
      <c r="E229" s="70"/>
      <c r="F229" s="70"/>
      <c r="G229" s="64"/>
      <c r="H229" s="64"/>
      <c r="I229" s="64"/>
      <c r="J229" s="64"/>
      <c r="K229" s="64"/>
      <c r="L229" s="64"/>
      <c r="M229" s="64"/>
      <c r="N229" s="64"/>
      <c r="O229" s="64"/>
      <c r="P229" s="64"/>
      <c r="Q229" s="64"/>
      <c r="R229" s="64"/>
      <c r="S229" s="64"/>
      <c r="T229" s="64"/>
      <c r="U229" s="64"/>
      <c r="V229" s="64"/>
      <c r="W229" s="64"/>
      <c r="X229" s="64"/>
      <c r="Y229" s="64"/>
      <c r="Z229" s="64"/>
      <c r="AA229" s="64"/>
      <c r="AB229" s="64"/>
      <c r="AC229" s="64"/>
      <c r="AD229" s="64"/>
      <c r="AE229" s="64"/>
      <c r="AF229" s="64"/>
      <c r="AG229" s="64"/>
    </row>
    <row r="230" spans="1:33">
      <c r="A230" s="64"/>
      <c r="B230" s="64"/>
      <c r="C230" s="64"/>
      <c r="D230" s="64"/>
      <c r="E230" s="70"/>
      <c r="F230" s="70"/>
      <c r="G230" s="64"/>
      <c r="H230" s="64"/>
      <c r="I230" s="64"/>
      <c r="J230" s="64"/>
      <c r="K230" s="64"/>
      <c r="L230" s="64"/>
      <c r="M230" s="64"/>
      <c r="N230" s="64"/>
      <c r="O230" s="64"/>
      <c r="P230" s="64"/>
      <c r="Q230" s="64"/>
      <c r="R230" s="64"/>
      <c r="S230" s="64"/>
      <c r="T230" s="64"/>
      <c r="U230" s="64"/>
      <c r="V230" s="64"/>
      <c r="W230" s="64"/>
      <c r="X230" s="64"/>
      <c r="Y230" s="64"/>
      <c r="Z230" s="64"/>
      <c r="AA230" s="64"/>
      <c r="AB230" s="64"/>
      <c r="AC230" s="64"/>
      <c r="AD230" s="64"/>
      <c r="AE230" s="64"/>
      <c r="AF230" s="64"/>
      <c r="AG230" s="64"/>
    </row>
    <row r="231" spans="1:33">
      <c r="A231" s="64"/>
      <c r="B231" s="64"/>
      <c r="C231" s="64"/>
      <c r="D231" s="64"/>
      <c r="E231" s="70"/>
      <c r="F231" s="70"/>
      <c r="G231" s="64"/>
      <c r="H231" s="64"/>
      <c r="I231" s="64"/>
      <c r="J231" s="64"/>
      <c r="K231" s="64"/>
      <c r="L231" s="64"/>
      <c r="M231" s="64"/>
      <c r="N231" s="64"/>
      <c r="O231" s="64"/>
      <c r="P231" s="64"/>
      <c r="Q231" s="64"/>
      <c r="R231" s="64"/>
      <c r="S231" s="64"/>
      <c r="T231" s="64"/>
      <c r="U231" s="64"/>
      <c r="V231" s="64"/>
      <c r="W231" s="64"/>
      <c r="X231" s="64"/>
      <c r="Y231" s="64"/>
      <c r="Z231" s="64"/>
      <c r="AA231" s="64"/>
      <c r="AB231" s="64"/>
      <c r="AC231" s="64"/>
      <c r="AD231" s="64"/>
      <c r="AE231" s="64"/>
      <c r="AF231" s="64"/>
      <c r="AG231" s="64"/>
    </row>
    <row r="232" spans="1:33">
      <c r="A232" s="64"/>
      <c r="B232" s="64"/>
      <c r="C232" s="64"/>
      <c r="D232" s="64"/>
      <c r="E232" s="70"/>
      <c r="F232" s="70"/>
      <c r="G232" s="64"/>
      <c r="H232" s="64"/>
      <c r="I232" s="64"/>
      <c r="J232" s="64"/>
      <c r="K232" s="64"/>
      <c r="L232" s="64"/>
      <c r="M232" s="64"/>
      <c r="N232" s="64"/>
      <c r="O232" s="64"/>
      <c r="P232" s="64"/>
      <c r="Q232" s="64"/>
      <c r="R232" s="64"/>
      <c r="S232" s="64"/>
      <c r="T232" s="64"/>
      <c r="U232" s="64"/>
      <c r="V232" s="64"/>
      <c r="W232" s="64"/>
      <c r="X232" s="64"/>
      <c r="Y232" s="64"/>
      <c r="Z232" s="64"/>
      <c r="AA232" s="64"/>
      <c r="AB232" s="64"/>
      <c r="AC232" s="64"/>
      <c r="AD232" s="64"/>
      <c r="AE232" s="64"/>
      <c r="AF232" s="64"/>
      <c r="AG232" s="64"/>
    </row>
    <row r="233" spans="1:33">
      <c r="A233" s="64"/>
      <c r="B233" s="64"/>
      <c r="C233" s="64"/>
      <c r="D233" s="64"/>
      <c r="E233" s="70"/>
      <c r="F233" s="70"/>
      <c r="G233" s="64"/>
      <c r="H233" s="64"/>
      <c r="I233" s="64"/>
      <c r="J233" s="64"/>
      <c r="K233" s="64"/>
      <c r="L233" s="64"/>
      <c r="M233" s="64"/>
      <c r="N233" s="64"/>
      <c r="O233" s="64"/>
      <c r="P233" s="64"/>
      <c r="Q233" s="64"/>
      <c r="R233" s="64"/>
      <c r="S233" s="64"/>
      <c r="T233" s="64"/>
      <c r="U233" s="64"/>
      <c r="V233" s="64"/>
      <c r="W233" s="64"/>
      <c r="X233" s="64"/>
      <c r="Y233" s="64"/>
      <c r="Z233" s="64"/>
      <c r="AA233" s="64"/>
      <c r="AB233" s="64"/>
      <c r="AC233" s="64"/>
      <c r="AD233" s="64"/>
      <c r="AE233" s="64"/>
      <c r="AF233" s="64"/>
      <c r="AG233" s="64"/>
    </row>
    <row r="234" spans="1:33">
      <c r="A234" s="64"/>
      <c r="B234" s="64"/>
      <c r="C234" s="64"/>
      <c r="D234" s="64"/>
      <c r="E234" s="70"/>
      <c r="F234" s="70"/>
      <c r="G234" s="64"/>
      <c r="H234" s="64"/>
      <c r="I234" s="64"/>
      <c r="J234" s="64"/>
      <c r="K234" s="64"/>
      <c r="L234" s="64"/>
      <c r="M234" s="64"/>
      <c r="N234" s="64"/>
      <c r="O234" s="64"/>
      <c r="P234" s="64"/>
      <c r="Q234" s="64"/>
      <c r="R234" s="64"/>
      <c r="S234" s="64"/>
      <c r="T234" s="64"/>
      <c r="U234" s="64"/>
      <c r="V234" s="64"/>
      <c r="W234" s="64"/>
      <c r="X234" s="64"/>
      <c r="Y234" s="64"/>
      <c r="Z234" s="64"/>
      <c r="AA234" s="64"/>
      <c r="AB234" s="64"/>
      <c r="AC234" s="64"/>
      <c r="AD234" s="64"/>
      <c r="AE234" s="64"/>
      <c r="AF234" s="64"/>
      <c r="AG234" s="64"/>
    </row>
    <row r="235" spans="1:33">
      <c r="A235" s="64"/>
      <c r="B235" s="64"/>
      <c r="C235" s="64"/>
      <c r="D235" s="64"/>
      <c r="E235" s="70"/>
      <c r="F235" s="70"/>
      <c r="G235" s="64"/>
      <c r="H235" s="64"/>
      <c r="I235" s="64"/>
      <c r="J235" s="64"/>
      <c r="K235" s="64"/>
      <c r="L235" s="64"/>
      <c r="M235" s="64"/>
      <c r="N235" s="64"/>
      <c r="O235" s="64"/>
      <c r="P235" s="64"/>
      <c r="Q235" s="64"/>
      <c r="R235" s="64"/>
      <c r="S235" s="64"/>
      <c r="T235" s="64"/>
      <c r="U235" s="64"/>
      <c r="V235" s="64"/>
      <c r="W235" s="64"/>
      <c r="X235" s="64"/>
      <c r="Y235" s="64"/>
      <c r="Z235" s="64"/>
      <c r="AA235" s="64"/>
      <c r="AB235" s="64"/>
      <c r="AC235" s="64"/>
      <c r="AD235" s="64"/>
      <c r="AE235" s="64"/>
      <c r="AF235" s="64"/>
      <c r="AG235" s="64"/>
    </row>
    <row r="236" spans="1:33">
      <c r="A236" s="64"/>
      <c r="B236" s="64"/>
      <c r="C236" s="64"/>
      <c r="D236" s="64"/>
      <c r="E236" s="70"/>
      <c r="F236" s="70"/>
      <c r="G236" s="64"/>
      <c r="H236" s="64"/>
      <c r="I236" s="64"/>
      <c r="J236" s="64"/>
      <c r="K236" s="64"/>
      <c r="L236" s="64"/>
      <c r="M236" s="64"/>
      <c r="N236" s="64"/>
      <c r="O236" s="64"/>
      <c r="P236" s="64"/>
      <c r="Q236" s="64"/>
      <c r="R236" s="64"/>
      <c r="S236" s="64"/>
      <c r="T236" s="64"/>
      <c r="U236" s="64"/>
      <c r="V236" s="64"/>
      <c r="W236" s="64"/>
      <c r="X236" s="64"/>
      <c r="Y236" s="64"/>
      <c r="Z236" s="64"/>
      <c r="AA236" s="64"/>
      <c r="AB236" s="64"/>
      <c r="AC236" s="64"/>
      <c r="AD236" s="64"/>
      <c r="AE236" s="64"/>
      <c r="AF236" s="64"/>
      <c r="AG236" s="64"/>
    </row>
    <row r="237" spans="1:33">
      <c r="A237" s="64"/>
      <c r="B237" s="64"/>
      <c r="C237" s="64"/>
      <c r="D237" s="64"/>
      <c r="E237" s="70"/>
      <c r="F237" s="70"/>
      <c r="G237" s="64"/>
      <c r="H237" s="64"/>
      <c r="I237" s="64"/>
      <c r="J237" s="64"/>
      <c r="K237" s="64"/>
      <c r="L237" s="64"/>
      <c r="M237" s="64"/>
      <c r="N237" s="64"/>
      <c r="O237" s="64"/>
      <c r="P237" s="64"/>
      <c r="Q237" s="64"/>
      <c r="R237" s="64"/>
      <c r="S237" s="64"/>
      <c r="T237" s="64"/>
      <c r="U237" s="64"/>
      <c r="V237" s="64"/>
      <c r="W237" s="64"/>
      <c r="X237" s="64"/>
      <c r="Y237" s="64"/>
      <c r="Z237" s="64"/>
      <c r="AA237" s="64"/>
      <c r="AB237" s="64"/>
      <c r="AC237" s="64"/>
      <c r="AD237" s="64"/>
      <c r="AE237" s="64"/>
      <c r="AF237" s="64"/>
      <c r="AG237" s="64"/>
    </row>
    <row r="238" spans="1:33">
      <c r="A238" s="64"/>
      <c r="B238" s="64"/>
      <c r="C238" s="64"/>
      <c r="D238" s="64"/>
      <c r="E238" s="70"/>
      <c r="F238" s="70"/>
      <c r="G238" s="64"/>
      <c r="H238" s="64"/>
      <c r="I238" s="64"/>
      <c r="J238" s="64"/>
      <c r="K238" s="64"/>
      <c r="L238" s="64"/>
      <c r="M238" s="64"/>
      <c r="N238" s="64"/>
      <c r="O238" s="64"/>
      <c r="P238" s="64"/>
      <c r="Q238" s="64"/>
      <c r="R238" s="64"/>
      <c r="S238" s="64"/>
      <c r="T238" s="64"/>
      <c r="U238" s="64"/>
      <c r="V238" s="64"/>
      <c r="W238" s="64"/>
      <c r="X238" s="64"/>
      <c r="Y238" s="64"/>
      <c r="Z238" s="64"/>
      <c r="AA238" s="64"/>
      <c r="AB238" s="64"/>
      <c r="AC238" s="64"/>
      <c r="AD238" s="64"/>
      <c r="AE238" s="64"/>
      <c r="AF238" s="64"/>
      <c r="AG238" s="64"/>
    </row>
    <row r="239" spans="1:33">
      <c r="A239" s="64"/>
      <c r="B239" s="64"/>
      <c r="C239" s="64"/>
      <c r="D239" s="64"/>
      <c r="E239" s="70"/>
      <c r="F239" s="70"/>
      <c r="G239" s="64"/>
      <c r="H239" s="64"/>
      <c r="I239" s="64"/>
      <c r="J239" s="64"/>
      <c r="K239" s="64"/>
      <c r="L239" s="64"/>
      <c r="M239" s="64"/>
      <c r="N239" s="64"/>
      <c r="O239" s="64"/>
      <c r="P239" s="64"/>
      <c r="Q239" s="64"/>
      <c r="R239" s="64"/>
      <c r="S239" s="64"/>
      <c r="T239" s="64"/>
      <c r="U239" s="64"/>
      <c r="V239" s="64"/>
      <c r="W239" s="64"/>
      <c r="X239" s="64"/>
      <c r="Y239" s="64"/>
      <c r="Z239" s="64"/>
      <c r="AA239" s="64"/>
      <c r="AB239" s="64"/>
      <c r="AC239" s="64"/>
      <c r="AD239" s="64"/>
      <c r="AE239" s="64"/>
      <c r="AF239" s="64"/>
      <c r="AG239" s="64"/>
    </row>
    <row r="240" spans="1:33">
      <c r="A240" s="64"/>
      <c r="B240" s="64"/>
      <c r="C240" s="64"/>
      <c r="D240" s="64"/>
      <c r="E240" s="70"/>
      <c r="F240" s="70"/>
      <c r="G240" s="64"/>
      <c r="H240" s="64"/>
      <c r="I240" s="64"/>
      <c r="J240" s="64"/>
      <c r="K240" s="64"/>
      <c r="L240" s="64"/>
      <c r="M240" s="64"/>
      <c r="N240" s="64"/>
      <c r="O240" s="64"/>
      <c r="P240" s="64"/>
      <c r="Q240" s="64"/>
      <c r="R240" s="64"/>
      <c r="S240" s="64"/>
      <c r="T240" s="64"/>
      <c r="U240" s="64"/>
      <c r="V240" s="64"/>
      <c r="W240" s="64"/>
      <c r="X240" s="64"/>
      <c r="Y240" s="64"/>
      <c r="Z240" s="64"/>
      <c r="AA240" s="64"/>
      <c r="AB240" s="64"/>
      <c r="AC240" s="64"/>
      <c r="AD240" s="64"/>
      <c r="AE240" s="64"/>
      <c r="AF240" s="64"/>
      <c r="AG240" s="64"/>
    </row>
    <row r="241" spans="1:33">
      <c r="A241" s="64"/>
      <c r="B241" s="64"/>
      <c r="C241" s="64"/>
      <c r="D241" s="64"/>
      <c r="E241" s="70"/>
      <c r="F241" s="70"/>
      <c r="G241" s="64"/>
      <c r="H241" s="64"/>
      <c r="I241" s="64"/>
      <c r="J241" s="64"/>
      <c r="K241" s="64"/>
      <c r="L241" s="64"/>
      <c r="M241" s="64"/>
      <c r="N241" s="64"/>
      <c r="O241" s="64"/>
      <c r="P241" s="64"/>
      <c r="Q241" s="64"/>
      <c r="R241" s="64"/>
      <c r="S241" s="64"/>
      <c r="T241" s="64"/>
      <c r="U241" s="64"/>
      <c r="V241" s="64"/>
      <c r="W241" s="64"/>
      <c r="X241" s="64"/>
      <c r="Y241" s="64"/>
      <c r="Z241" s="64"/>
      <c r="AA241" s="64"/>
      <c r="AB241" s="64"/>
      <c r="AC241" s="64"/>
      <c r="AD241" s="64"/>
      <c r="AE241" s="64"/>
      <c r="AF241" s="64"/>
      <c r="AG241" s="64"/>
    </row>
    <row r="242" spans="1:33">
      <c r="A242" s="64"/>
      <c r="B242" s="64"/>
      <c r="C242" s="64"/>
      <c r="D242" s="64"/>
      <c r="E242" s="70"/>
      <c r="F242" s="70"/>
      <c r="G242" s="64"/>
      <c r="H242" s="64"/>
      <c r="I242" s="64"/>
      <c r="J242" s="64"/>
      <c r="K242" s="64"/>
      <c r="L242" s="64"/>
      <c r="M242" s="64"/>
      <c r="N242" s="64"/>
      <c r="O242" s="64"/>
      <c r="P242" s="64"/>
      <c r="Q242" s="64"/>
      <c r="R242" s="64"/>
      <c r="S242" s="64"/>
      <c r="T242" s="64"/>
      <c r="U242" s="64"/>
      <c r="V242" s="64"/>
      <c r="W242" s="64"/>
      <c r="X242" s="64"/>
      <c r="Y242" s="64"/>
      <c r="Z242" s="64"/>
      <c r="AA242" s="64"/>
      <c r="AB242" s="64"/>
      <c r="AC242" s="64"/>
      <c r="AD242" s="64"/>
      <c r="AE242" s="64"/>
      <c r="AF242" s="64"/>
      <c r="AG242" s="64"/>
    </row>
    <row r="243" spans="1:33">
      <c r="A243" s="64"/>
      <c r="B243" s="64"/>
      <c r="C243" s="64"/>
      <c r="D243" s="64"/>
      <c r="E243" s="70"/>
      <c r="F243" s="70"/>
      <c r="G243" s="64"/>
      <c r="H243" s="64"/>
      <c r="I243" s="64"/>
      <c r="J243" s="64"/>
      <c r="K243" s="64"/>
      <c r="L243" s="64"/>
      <c r="M243" s="64"/>
      <c r="N243" s="64"/>
      <c r="O243" s="64"/>
      <c r="P243" s="64"/>
      <c r="Q243" s="64"/>
      <c r="R243" s="64"/>
      <c r="S243" s="64"/>
      <c r="T243" s="64"/>
      <c r="U243" s="64"/>
      <c r="V243" s="64"/>
      <c r="W243" s="64"/>
      <c r="X243" s="64"/>
      <c r="Y243" s="64"/>
      <c r="Z243" s="64"/>
      <c r="AA243" s="64"/>
      <c r="AB243" s="64"/>
      <c r="AC243" s="64"/>
      <c r="AD243" s="64"/>
      <c r="AE243" s="64"/>
      <c r="AF243" s="64"/>
      <c r="AG243" s="64"/>
    </row>
    <row r="244" spans="1:33">
      <c r="A244" s="64"/>
      <c r="B244" s="64"/>
      <c r="C244" s="64"/>
      <c r="D244" s="64"/>
      <c r="E244" s="70"/>
      <c r="F244" s="70"/>
      <c r="G244" s="64"/>
      <c r="H244" s="64"/>
      <c r="I244" s="64"/>
      <c r="J244" s="64"/>
      <c r="K244" s="64"/>
      <c r="L244" s="64"/>
      <c r="M244" s="64"/>
      <c r="N244" s="64"/>
      <c r="O244" s="64"/>
      <c r="P244" s="64"/>
      <c r="Q244" s="64"/>
      <c r="R244" s="64"/>
      <c r="S244" s="64"/>
      <c r="T244" s="64"/>
      <c r="U244" s="64"/>
      <c r="V244" s="64"/>
      <c r="W244" s="64"/>
      <c r="X244" s="64"/>
      <c r="Y244" s="64"/>
      <c r="Z244" s="64"/>
      <c r="AA244" s="64"/>
      <c r="AB244" s="64"/>
      <c r="AC244" s="64"/>
      <c r="AD244" s="64"/>
      <c r="AE244" s="64"/>
      <c r="AF244" s="64"/>
      <c r="AG244" s="64"/>
    </row>
    <row r="245" spans="1:33">
      <c r="A245" s="64"/>
      <c r="B245" s="64"/>
      <c r="C245" s="64"/>
      <c r="D245" s="64"/>
      <c r="E245" s="70"/>
      <c r="F245" s="70"/>
      <c r="G245" s="64"/>
      <c r="H245" s="64"/>
      <c r="I245" s="64"/>
      <c r="J245" s="64"/>
      <c r="K245" s="64"/>
      <c r="L245" s="64"/>
      <c r="M245" s="64"/>
      <c r="N245" s="64"/>
      <c r="O245" s="64"/>
      <c r="P245" s="64"/>
      <c r="Q245" s="64"/>
      <c r="R245" s="64"/>
      <c r="S245" s="64"/>
      <c r="T245" s="64"/>
      <c r="U245" s="64"/>
      <c r="V245" s="64"/>
      <c r="W245" s="64"/>
      <c r="X245" s="64"/>
      <c r="Y245" s="64"/>
      <c r="Z245" s="64"/>
      <c r="AA245" s="64"/>
      <c r="AB245" s="64"/>
      <c r="AC245" s="64"/>
      <c r="AD245" s="64"/>
      <c r="AE245" s="64"/>
      <c r="AF245" s="64"/>
      <c r="AG245" s="64"/>
    </row>
    <row r="246" spans="1:33">
      <c r="A246" s="64"/>
      <c r="B246" s="64"/>
      <c r="C246" s="64"/>
      <c r="D246" s="64"/>
      <c r="E246" s="70"/>
      <c r="F246" s="70"/>
      <c r="G246" s="64"/>
      <c r="H246" s="64"/>
      <c r="I246" s="64"/>
      <c r="J246" s="64"/>
      <c r="K246" s="64"/>
      <c r="L246" s="64"/>
      <c r="M246" s="64"/>
      <c r="N246" s="64"/>
      <c r="O246" s="64"/>
      <c r="P246" s="64"/>
      <c r="Q246" s="64"/>
      <c r="R246" s="64"/>
      <c r="S246" s="64"/>
      <c r="T246" s="64"/>
      <c r="U246" s="64"/>
      <c r="V246" s="64"/>
      <c r="W246" s="64"/>
      <c r="X246" s="64"/>
      <c r="Y246" s="64"/>
      <c r="Z246" s="64"/>
      <c r="AA246" s="64"/>
      <c r="AB246" s="64"/>
      <c r="AC246" s="64"/>
      <c r="AD246" s="64"/>
      <c r="AE246" s="64"/>
      <c r="AF246" s="64"/>
      <c r="AG246" s="64"/>
    </row>
    <row r="247" spans="1:33">
      <c r="A247" s="64"/>
      <c r="B247" s="64"/>
      <c r="C247" s="64"/>
      <c r="D247" s="64"/>
      <c r="E247" s="70"/>
      <c r="F247" s="70"/>
      <c r="G247" s="64"/>
      <c r="H247" s="64"/>
      <c r="I247" s="64"/>
      <c r="J247" s="64"/>
      <c r="K247" s="64"/>
      <c r="L247" s="64"/>
      <c r="M247" s="64"/>
      <c r="N247" s="64"/>
      <c r="O247" s="64"/>
      <c r="P247" s="64"/>
      <c r="Q247" s="64"/>
      <c r="R247" s="64"/>
      <c r="S247" s="64"/>
      <c r="T247" s="64"/>
      <c r="U247" s="64"/>
      <c r="V247" s="64"/>
      <c r="W247" s="64"/>
      <c r="X247" s="64"/>
      <c r="Y247" s="64"/>
      <c r="Z247" s="64"/>
      <c r="AA247" s="64"/>
      <c r="AB247" s="64"/>
      <c r="AC247" s="64"/>
      <c r="AD247" s="64"/>
      <c r="AE247" s="64"/>
      <c r="AF247" s="64"/>
      <c r="AG247" s="64"/>
    </row>
    <row r="248" spans="1:33">
      <c r="A248" s="64"/>
      <c r="B248" s="64"/>
      <c r="C248" s="64"/>
      <c r="D248" s="64"/>
      <c r="E248" s="70"/>
      <c r="F248" s="70"/>
      <c r="G248" s="64"/>
      <c r="H248" s="64"/>
      <c r="I248" s="64"/>
      <c r="J248" s="64"/>
      <c r="K248" s="64"/>
      <c r="L248" s="64"/>
      <c r="M248" s="64"/>
      <c r="N248" s="64"/>
      <c r="O248" s="64"/>
      <c r="P248" s="64"/>
      <c r="Q248" s="64"/>
      <c r="R248" s="64"/>
      <c r="S248" s="64"/>
      <c r="T248" s="64"/>
      <c r="U248" s="64"/>
      <c r="V248" s="64"/>
      <c r="W248" s="64"/>
      <c r="X248" s="64"/>
      <c r="Y248" s="64"/>
      <c r="Z248" s="64"/>
      <c r="AA248" s="64"/>
      <c r="AB248" s="64"/>
      <c r="AC248" s="64"/>
      <c r="AD248" s="64"/>
      <c r="AE248" s="64"/>
      <c r="AF248" s="64"/>
      <c r="AG248" s="64"/>
    </row>
    <row r="249" spans="1:33">
      <c r="A249" s="64"/>
      <c r="B249" s="64"/>
      <c r="C249" s="64"/>
      <c r="D249" s="64"/>
      <c r="E249" s="70"/>
      <c r="F249" s="70"/>
      <c r="G249" s="64"/>
      <c r="H249" s="64"/>
      <c r="I249" s="64"/>
      <c r="J249" s="64"/>
      <c r="K249" s="64"/>
      <c r="L249" s="64"/>
      <c r="M249" s="64"/>
      <c r="N249" s="64"/>
      <c r="O249" s="64"/>
      <c r="P249" s="64"/>
      <c r="Q249" s="64"/>
      <c r="R249" s="64"/>
      <c r="S249" s="64"/>
      <c r="T249" s="64"/>
      <c r="U249" s="64"/>
      <c r="V249" s="64"/>
      <c r="W249" s="64"/>
      <c r="X249" s="64"/>
      <c r="Y249" s="64"/>
      <c r="Z249" s="64"/>
      <c r="AA249" s="64"/>
      <c r="AB249" s="64"/>
      <c r="AC249" s="64"/>
      <c r="AD249" s="64"/>
      <c r="AE249" s="64"/>
      <c r="AF249" s="64"/>
      <c r="AG249" s="64"/>
    </row>
    <row r="250" spans="1:33">
      <c r="A250" s="64"/>
      <c r="B250" s="64"/>
      <c r="C250" s="64"/>
      <c r="D250" s="64"/>
      <c r="E250" s="70"/>
      <c r="F250" s="70"/>
      <c r="G250" s="64"/>
      <c r="H250" s="64"/>
      <c r="I250" s="64"/>
      <c r="J250" s="64"/>
      <c r="K250" s="64"/>
      <c r="L250" s="64"/>
      <c r="M250" s="64"/>
      <c r="N250" s="64"/>
      <c r="O250" s="64"/>
      <c r="P250" s="64"/>
      <c r="Q250" s="64"/>
      <c r="R250" s="64"/>
      <c r="S250" s="64"/>
      <c r="T250" s="64"/>
      <c r="U250" s="64"/>
      <c r="V250" s="64"/>
      <c r="W250" s="64"/>
      <c r="X250" s="64"/>
      <c r="Y250" s="64"/>
      <c r="Z250" s="64"/>
      <c r="AA250" s="64"/>
      <c r="AB250" s="64"/>
      <c r="AC250" s="64"/>
      <c r="AD250" s="64"/>
      <c r="AE250" s="64"/>
      <c r="AF250" s="64"/>
      <c r="AG250" s="64"/>
    </row>
    <row r="251" spans="1:33">
      <c r="A251" s="64"/>
      <c r="B251" s="64"/>
      <c r="C251" s="64"/>
      <c r="D251" s="64"/>
      <c r="E251" s="70"/>
      <c r="F251" s="70"/>
      <c r="G251" s="64"/>
      <c r="H251" s="64"/>
      <c r="I251" s="64"/>
      <c r="J251" s="64"/>
      <c r="K251" s="64"/>
      <c r="L251" s="64"/>
      <c r="M251" s="64"/>
      <c r="N251" s="64"/>
      <c r="O251" s="64"/>
      <c r="P251" s="64"/>
      <c r="Q251" s="64"/>
      <c r="R251" s="64"/>
      <c r="S251" s="64"/>
      <c r="T251" s="64"/>
      <c r="U251" s="64"/>
      <c r="V251" s="64"/>
      <c r="W251" s="64"/>
      <c r="X251" s="64"/>
      <c r="Y251" s="64"/>
      <c r="Z251" s="64"/>
      <c r="AA251" s="64"/>
      <c r="AB251" s="64"/>
      <c r="AC251" s="64"/>
      <c r="AD251" s="64"/>
      <c r="AE251" s="64"/>
      <c r="AF251" s="64"/>
      <c r="AG251" s="64"/>
    </row>
    <row r="252" spans="1:33">
      <c r="A252" s="64"/>
      <c r="B252" s="64"/>
      <c r="C252" s="64"/>
      <c r="D252" s="64"/>
      <c r="E252" s="70"/>
      <c r="F252" s="70"/>
      <c r="G252" s="64"/>
      <c r="H252" s="64"/>
      <c r="I252" s="64"/>
      <c r="J252" s="64"/>
      <c r="K252" s="64"/>
      <c r="L252" s="64"/>
      <c r="M252" s="64"/>
      <c r="N252" s="64"/>
      <c r="O252" s="64"/>
      <c r="P252" s="64"/>
      <c r="Q252" s="64"/>
      <c r="R252" s="64"/>
      <c r="S252" s="64"/>
      <c r="T252" s="64"/>
      <c r="U252" s="64"/>
      <c r="V252" s="64"/>
      <c r="W252" s="64"/>
      <c r="X252" s="64"/>
      <c r="Y252" s="64"/>
      <c r="Z252" s="64"/>
      <c r="AA252" s="64"/>
      <c r="AB252" s="64"/>
      <c r="AC252" s="64"/>
      <c r="AD252" s="64"/>
      <c r="AE252" s="64"/>
      <c r="AF252" s="64"/>
      <c r="AG252" s="64"/>
    </row>
    <row r="253" spans="1:33">
      <c r="A253" s="64"/>
      <c r="B253" s="64"/>
      <c r="C253" s="64"/>
      <c r="D253" s="64"/>
      <c r="E253" s="70"/>
      <c r="F253" s="70"/>
      <c r="G253" s="64"/>
      <c r="H253" s="64"/>
      <c r="I253" s="64"/>
      <c r="J253" s="64"/>
      <c r="K253" s="64"/>
      <c r="L253" s="64"/>
      <c r="M253" s="64"/>
      <c r="N253" s="64"/>
      <c r="O253" s="64"/>
      <c r="P253" s="64"/>
      <c r="Q253" s="64"/>
      <c r="R253" s="64"/>
      <c r="S253" s="64"/>
      <c r="T253" s="64"/>
      <c r="U253" s="64"/>
      <c r="V253" s="64"/>
      <c r="W253" s="64"/>
      <c r="X253" s="64"/>
      <c r="Y253" s="64"/>
      <c r="Z253" s="64"/>
      <c r="AA253" s="64"/>
      <c r="AB253" s="64"/>
      <c r="AC253" s="64"/>
      <c r="AD253" s="64"/>
      <c r="AE253" s="64"/>
      <c r="AF253" s="64"/>
      <c r="AG253" s="64"/>
    </row>
    <row r="254" spans="1:33">
      <c r="A254" s="64"/>
      <c r="B254" s="64"/>
      <c r="C254" s="64"/>
      <c r="D254" s="64"/>
      <c r="E254" s="70"/>
      <c r="F254" s="70"/>
      <c r="G254" s="64"/>
      <c r="H254" s="64"/>
      <c r="I254" s="64"/>
      <c r="J254" s="64"/>
      <c r="K254" s="64"/>
      <c r="L254" s="64"/>
      <c r="M254" s="64"/>
      <c r="N254" s="64"/>
      <c r="O254" s="64"/>
      <c r="P254" s="64"/>
      <c r="Q254" s="64"/>
      <c r="R254" s="64"/>
      <c r="S254" s="64"/>
      <c r="T254" s="64"/>
      <c r="U254" s="64"/>
      <c r="V254" s="64"/>
      <c r="W254" s="64"/>
      <c r="X254" s="64"/>
      <c r="Y254" s="64"/>
      <c r="Z254" s="64"/>
      <c r="AA254" s="64"/>
      <c r="AB254" s="64"/>
      <c r="AC254" s="64"/>
      <c r="AD254" s="64"/>
      <c r="AE254" s="64"/>
      <c r="AF254" s="64"/>
      <c r="AG254" s="64"/>
    </row>
    <row r="255" spans="1:33">
      <c r="A255" s="64"/>
      <c r="B255" s="64"/>
      <c r="C255" s="64"/>
      <c r="D255" s="64"/>
      <c r="E255" s="70"/>
      <c r="F255" s="70"/>
      <c r="G255" s="64"/>
      <c r="H255" s="64"/>
      <c r="I255" s="64"/>
      <c r="J255" s="64"/>
      <c r="K255" s="64"/>
      <c r="L255" s="64"/>
      <c r="M255" s="64"/>
      <c r="N255" s="64"/>
      <c r="O255" s="64"/>
      <c r="P255" s="64"/>
      <c r="Q255" s="64"/>
      <c r="R255" s="64"/>
      <c r="S255" s="64"/>
      <c r="T255" s="64"/>
      <c r="U255" s="64"/>
      <c r="V255" s="64"/>
      <c r="W255" s="64"/>
      <c r="X255" s="64"/>
      <c r="Y255" s="64"/>
      <c r="Z255" s="64"/>
      <c r="AA255" s="64"/>
      <c r="AB255" s="64"/>
      <c r="AC255" s="64"/>
      <c r="AD255" s="64"/>
      <c r="AE255" s="64"/>
      <c r="AF255" s="64"/>
      <c r="AG255" s="64"/>
    </row>
    <row r="256" spans="1:33">
      <c r="A256" s="64"/>
      <c r="B256" s="64"/>
      <c r="C256" s="64"/>
      <c r="D256" s="64"/>
      <c r="E256" s="70"/>
      <c r="F256" s="70"/>
      <c r="G256" s="64"/>
      <c r="H256" s="64"/>
      <c r="I256" s="64"/>
      <c r="J256" s="64"/>
      <c r="K256" s="64"/>
      <c r="L256" s="64"/>
      <c r="M256" s="64"/>
      <c r="N256" s="64"/>
      <c r="O256" s="64"/>
      <c r="P256" s="64"/>
      <c r="Q256" s="64"/>
      <c r="R256" s="64"/>
      <c r="S256" s="64"/>
      <c r="T256" s="64"/>
      <c r="U256" s="64"/>
      <c r="V256" s="64"/>
      <c r="W256" s="64"/>
      <c r="X256" s="64"/>
      <c r="Y256" s="64"/>
      <c r="Z256" s="64"/>
      <c r="AA256" s="64"/>
      <c r="AB256" s="64"/>
      <c r="AC256" s="64"/>
      <c r="AD256" s="64"/>
      <c r="AE256" s="64"/>
      <c r="AF256" s="64"/>
      <c r="AG256" s="64"/>
    </row>
    <row r="257" spans="1:33">
      <c r="A257" s="64"/>
      <c r="B257" s="64"/>
      <c r="C257" s="64"/>
      <c r="D257" s="64"/>
      <c r="E257" s="70"/>
      <c r="F257" s="70"/>
      <c r="G257" s="64"/>
      <c r="H257" s="64"/>
      <c r="I257" s="64"/>
      <c r="J257" s="64"/>
      <c r="K257" s="64"/>
      <c r="L257" s="64"/>
      <c r="M257" s="64"/>
      <c r="N257" s="64"/>
      <c r="O257" s="64"/>
      <c r="P257" s="64"/>
      <c r="Q257" s="64"/>
      <c r="R257" s="64"/>
      <c r="S257" s="64"/>
      <c r="T257" s="64"/>
      <c r="U257" s="64"/>
      <c r="V257" s="64"/>
      <c r="W257" s="64"/>
      <c r="X257" s="64"/>
      <c r="Y257" s="64"/>
      <c r="Z257" s="64"/>
      <c r="AA257" s="64"/>
      <c r="AB257" s="64"/>
      <c r="AC257" s="64"/>
      <c r="AD257" s="64"/>
      <c r="AE257" s="64"/>
      <c r="AF257" s="64"/>
      <c r="AG257" s="64"/>
    </row>
    <row r="258" spans="1:33">
      <c r="A258" s="64"/>
      <c r="B258" s="64"/>
      <c r="C258" s="64"/>
      <c r="D258" s="64"/>
      <c r="E258" s="70"/>
      <c r="F258" s="70"/>
      <c r="G258" s="64"/>
      <c r="H258" s="64"/>
      <c r="I258" s="64"/>
      <c r="J258" s="64"/>
      <c r="K258" s="64"/>
      <c r="L258" s="64"/>
      <c r="M258" s="64"/>
      <c r="N258" s="64"/>
      <c r="O258" s="64"/>
      <c r="P258" s="64"/>
      <c r="Q258" s="64"/>
      <c r="R258" s="64"/>
      <c r="S258" s="64"/>
      <c r="T258" s="64"/>
      <c r="U258" s="64"/>
      <c r="V258" s="64"/>
      <c r="W258" s="64"/>
      <c r="X258" s="64"/>
      <c r="Y258" s="64"/>
      <c r="Z258" s="64"/>
      <c r="AA258" s="64"/>
      <c r="AB258" s="64"/>
      <c r="AC258" s="64"/>
      <c r="AD258" s="64"/>
      <c r="AE258" s="64"/>
      <c r="AF258" s="64"/>
      <c r="AG258" s="64"/>
    </row>
    <row r="259" spans="1:33">
      <c r="A259" s="64"/>
      <c r="B259" s="64"/>
      <c r="C259" s="64"/>
      <c r="D259" s="64"/>
      <c r="E259" s="70"/>
      <c r="F259" s="70"/>
      <c r="G259" s="64"/>
      <c r="H259" s="64"/>
      <c r="I259" s="64"/>
      <c r="J259" s="64"/>
      <c r="K259" s="64"/>
      <c r="L259" s="64"/>
      <c r="M259" s="64"/>
      <c r="N259" s="64"/>
      <c r="O259" s="64"/>
      <c r="P259" s="64"/>
      <c r="Q259" s="64"/>
      <c r="R259" s="64"/>
      <c r="S259" s="64"/>
      <c r="T259" s="64"/>
      <c r="U259" s="64"/>
      <c r="V259" s="64"/>
      <c r="W259" s="64"/>
      <c r="X259" s="64"/>
      <c r="Y259" s="64"/>
      <c r="Z259" s="64"/>
      <c r="AA259" s="64"/>
      <c r="AB259" s="64"/>
      <c r="AC259" s="64"/>
      <c r="AD259" s="64"/>
      <c r="AE259" s="64"/>
      <c r="AF259" s="64"/>
      <c r="AG259" s="64"/>
    </row>
    <row r="260" spans="1:33">
      <c r="A260" s="64"/>
      <c r="B260" s="64"/>
      <c r="C260" s="64"/>
      <c r="D260" s="64"/>
      <c r="E260" s="70"/>
      <c r="F260" s="70"/>
      <c r="G260" s="64"/>
      <c r="H260" s="64"/>
      <c r="I260" s="64"/>
      <c r="J260" s="64"/>
      <c r="K260" s="64"/>
      <c r="L260" s="64"/>
      <c r="M260" s="64"/>
      <c r="N260" s="64"/>
      <c r="O260" s="64"/>
      <c r="P260" s="64"/>
      <c r="Q260" s="64"/>
      <c r="R260" s="64"/>
      <c r="S260" s="64"/>
      <c r="T260" s="64"/>
      <c r="U260" s="64"/>
      <c r="V260" s="64"/>
      <c r="W260" s="64"/>
      <c r="X260" s="64"/>
      <c r="Y260" s="64"/>
      <c r="Z260" s="64"/>
      <c r="AA260" s="64"/>
      <c r="AB260" s="64"/>
      <c r="AC260" s="64"/>
      <c r="AD260" s="64"/>
      <c r="AE260" s="64"/>
      <c r="AF260" s="64"/>
      <c r="AG260" s="64"/>
    </row>
    <row r="261" spans="1:33">
      <c r="A261" s="64"/>
      <c r="B261" s="64"/>
      <c r="C261" s="64"/>
      <c r="D261" s="64"/>
      <c r="E261" s="70"/>
      <c r="F261" s="70"/>
      <c r="G261" s="64"/>
      <c r="H261" s="64"/>
      <c r="I261" s="64"/>
      <c r="J261" s="64"/>
      <c r="K261" s="64"/>
      <c r="L261" s="64"/>
      <c r="M261" s="64"/>
      <c r="N261" s="64"/>
      <c r="O261" s="64"/>
      <c r="P261" s="64"/>
      <c r="Q261" s="64"/>
      <c r="R261" s="64"/>
      <c r="S261" s="64"/>
      <c r="T261" s="64"/>
      <c r="U261" s="64"/>
      <c r="V261" s="64"/>
      <c r="W261" s="64"/>
      <c r="X261" s="64"/>
      <c r="Y261" s="64"/>
      <c r="Z261" s="64"/>
      <c r="AA261" s="64"/>
      <c r="AB261" s="64"/>
      <c r="AC261" s="64"/>
      <c r="AD261" s="64"/>
      <c r="AE261" s="64"/>
      <c r="AF261" s="64"/>
      <c r="AG261" s="64"/>
    </row>
    <row r="262" spans="1:33">
      <c r="A262" s="64"/>
      <c r="B262" s="64"/>
      <c r="C262" s="64"/>
      <c r="D262" s="64"/>
      <c r="E262" s="70"/>
      <c r="F262" s="70"/>
      <c r="G262" s="64"/>
      <c r="H262" s="64"/>
      <c r="I262" s="64"/>
      <c r="J262" s="64"/>
      <c r="K262" s="64"/>
      <c r="L262" s="64"/>
      <c r="M262" s="64"/>
      <c r="N262" s="64"/>
      <c r="O262" s="64"/>
      <c r="P262" s="64"/>
      <c r="Q262" s="64"/>
      <c r="R262" s="64"/>
      <c r="S262" s="64"/>
      <c r="T262" s="64"/>
      <c r="U262" s="64"/>
      <c r="V262" s="64"/>
      <c r="W262" s="64"/>
      <c r="X262" s="64"/>
      <c r="Y262" s="64"/>
      <c r="Z262" s="64"/>
      <c r="AA262" s="64"/>
      <c r="AB262" s="64"/>
      <c r="AC262" s="64"/>
      <c r="AD262" s="64"/>
      <c r="AE262" s="64"/>
      <c r="AF262" s="64"/>
      <c r="AG262" s="64"/>
    </row>
    <row r="263" spans="1:33">
      <c r="A263" s="64"/>
      <c r="B263" s="64"/>
      <c r="C263" s="64"/>
      <c r="D263" s="64"/>
      <c r="E263" s="70"/>
      <c r="F263" s="70"/>
      <c r="G263" s="64"/>
      <c r="H263" s="64"/>
      <c r="I263" s="64"/>
      <c r="J263" s="64"/>
      <c r="K263" s="64"/>
      <c r="L263" s="64"/>
      <c r="M263" s="64"/>
      <c r="N263" s="64"/>
      <c r="O263" s="64"/>
      <c r="P263" s="64"/>
      <c r="Q263" s="64"/>
      <c r="R263" s="64"/>
      <c r="S263" s="64"/>
      <c r="T263" s="64"/>
      <c r="U263" s="64"/>
      <c r="V263" s="64"/>
      <c r="W263" s="64"/>
      <c r="X263" s="64"/>
      <c r="Y263" s="64"/>
      <c r="Z263" s="64"/>
      <c r="AA263" s="64"/>
      <c r="AB263" s="64"/>
      <c r="AC263" s="64"/>
      <c r="AD263" s="64"/>
      <c r="AE263" s="64"/>
      <c r="AF263" s="64"/>
      <c r="AG263" s="64"/>
    </row>
    <row r="264" spans="1:33">
      <c r="A264" s="64"/>
      <c r="B264" s="64"/>
      <c r="C264" s="64"/>
      <c r="D264" s="64"/>
      <c r="E264" s="70"/>
      <c r="F264" s="70"/>
      <c r="G264" s="64"/>
      <c r="H264" s="64"/>
      <c r="I264" s="64"/>
      <c r="J264" s="64"/>
      <c r="K264" s="64"/>
      <c r="L264" s="64"/>
      <c r="M264" s="64"/>
      <c r="N264" s="64"/>
      <c r="O264" s="64"/>
      <c r="P264" s="64"/>
      <c r="Q264" s="64"/>
      <c r="R264" s="64"/>
      <c r="S264" s="64"/>
      <c r="T264" s="64"/>
      <c r="U264" s="64"/>
      <c r="V264" s="64"/>
      <c r="W264" s="64"/>
      <c r="X264" s="64"/>
      <c r="Y264" s="64"/>
      <c r="Z264" s="64"/>
      <c r="AA264" s="64"/>
      <c r="AB264" s="64"/>
      <c r="AC264" s="64"/>
      <c r="AD264" s="64"/>
      <c r="AE264" s="64"/>
      <c r="AF264" s="64"/>
      <c r="AG264" s="64"/>
    </row>
    <row r="265" spans="1:33">
      <c r="A265" s="64"/>
      <c r="B265" s="64"/>
      <c r="C265" s="64"/>
      <c r="D265" s="64"/>
      <c r="E265" s="70"/>
      <c r="F265" s="70"/>
      <c r="G265" s="64"/>
      <c r="H265" s="64"/>
      <c r="I265" s="64"/>
      <c r="J265" s="64"/>
      <c r="K265" s="64"/>
      <c r="L265" s="64"/>
      <c r="M265" s="64"/>
      <c r="N265" s="64"/>
      <c r="O265" s="64"/>
      <c r="P265" s="64"/>
      <c r="Q265" s="64"/>
      <c r="R265" s="64"/>
      <c r="S265" s="64"/>
      <c r="T265" s="64"/>
      <c r="U265" s="64"/>
      <c r="V265" s="64"/>
      <c r="W265" s="64"/>
      <c r="X265" s="64"/>
      <c r="Y265" s="64"/>
      <c r="Z265" s="64"/>
      <c r="AA265" s="64"/>
      <c r="AB265" s="64"/>
      <c r="AC265" s="64"/>
      <c r="AD265" s="64"/>
      <c r="AE265" s="64"/>
      <c r="AF265" s="64"/>
      <c r="AG265" s="64"/>
    </row>
    <row r="266" spans="1:33">
      <c r="A266" s="64"/>
      <c r="B266" s="64"/>
      <c r="C266" s="64"/>
      <c r="D266" s="64"/>
      <c r="E266" s="70"/>
      <c r="F266" s="70"/>
      <c r="G266" s="64"/>
      <c r="H266" s="64"/>
      <c r="I266" s="64"/>
      <c r="J266" s="64"/>
      <c r="K266" s="64"/>
      <c r="L266" s="64"/>
      <c r="M266" s="64"/>
      <c r="N266" s="64"/>
      <c r="O266" s="64"/>
      <c r="P266" s="64"/>
      <c r="Q266" s="64"/>
      <c r="R266" s="64"/>
      <c r="S266" s="64"/>
      <c r="T266" s="64"/>
      <c r="U266" s="64"/>
      <c r="V266" s="64"/>
      <c r="W266" s="64"/>
      <c r="X266" s="64"/>
      <c r="Y266" s="64"/>
      <c r="Z266" s="64"/>
      <c r="AA266" s="64"/>
      <c r="AB266" s="64"/>
      <c r="AC266" s="64"/>
      <c r="AD266" s="64"/>
      <c r="AE266" s="64"/>
      <c r="AF266" s="64"/>
      <c r="AG266" s="64"/>
    </row>
    <row r="267" spans="1:33">
      <c r="A267" s="64"/>
      <c r="B267" s="64"/>
      <c r="C267" s="64"/>
      <c r="D267" s="64"/>
      <c r="E267" s="70"/>
      <c r="F267" s="70"/>
      <c r="G267" s="64"/>
      <c r="H267" s="64"/>
      <c r="I267" s="64"/>
      <c r="J267" s="64"/>
      <c r="K267" s="64"/>
      <c r="L267" s="64"/>
      <c r="M267" s="64"/>
      <c r="N267" s="64"/>
      <c r="O267" s="64"/>
      <c r="P267" s="64"/>
      <c r="Q267" s="64"/>
      <c r="R267" s="64"/>
      <c r="S267" s="64"/>
      <c r="T267" s="64"/>
      <c r="U267" s="64"/>
      <c r="V267" s="64"/>
      <c r="W267" s="64"/>
      <c r="X267" s="64"/>
      <c r="Y267" s="64"/>
      <c r="Z267" s="64"/>
      <c r="AA267" s="64"/>
      <c r="AB267" s="64"/>
      <c r="AC267" s="64"/>
      <c r="AD267" s="64"/>
      <c r="AE267" s="64"/>
      <c r="AF267" s="64"/>
      <c r="AG267" s="64"/>
    </row>
    <row r="268" spans="1:33">
      <c r="A268" s="64"/>
      <c r="B268" s="64"/>
      <c r="C268" s="64"/>
      <c r="D268" s="64"/>
      <c r="E268" s="70"/>
      <c r="F268" s="70"/>
      <c r="G268" s="64"/>
      <c r="H268" s="64"/>
      <c r="I268" s="64"/>
      <c r="J268" s="64"/>
      <c r="K268" s="64"/>
      <c r="L268" s="64"/>
      <c r="M268" s="64"/>
      <c r="N268" s="64"/>
      <c r="O268" s="64"/>
      <c r="P268" s="64"/>
      <c r="Q268" s="64"/>
      <c r="R268" s="64"/>
      <c r="S268" s="64"/>
      <c r="T268" s="64"/>
      <c r="U268" s="64"/>
      <c r="V268" s="64"/>
      <c r="W268" s="64"/>
      <c r="X268" s="64"/>
      <c r="Y268" s="64"/>
      <c r="Z268" s="64"/>
      <c r="AA268" s="64"/>
      <c r="AB268" s="64"/>
      <c r="AC268" s="64"/>
      <c r="AD268" s="64"/>
      <c r="AE268" s="64"/>
      <c r="AF268" s="64"/>
      <c r="AG268" s="64"/>
    </row>
    <row r="269" spans="1:33">
      <c r="A269" s="64"/>
      <c r="B269" s="64"/>
      <c r="C269" s="64"/>
      <c r="D269" s="64"/>
      <c r="E269" s="70"/>
      <c r="F269" s="70"/>
      <c r="G269" s="64"/>
      <c r="H269" s="64"/>
      <c r="I269" s="64"/>
      <c r="J269" s="64"/>
      <c r="K269" s="64"/>
      <c r="L269" s="64"/>
      <c r="M269" s="64"/>
      <c r="N269" s="64"/>
      <c r="O269" s="64"/>
      <c r="P269" s="64"/>
      <c r="Q269" s="64"/>
      <c r="R269" s="64"/>
      <c r="S269" s="64"/>
      <c r="T269" s="64"/>
      <c r="U269" s="64"/>
      <c r="V269" s="64"/>
      <c r="W269" s="64"/>
      <c r="X269" s="64"/>
      <c r="Y269" s="64"/>
      <c r="Z269" s="64"/>
      <c r="AA269" s="64"/>
      <c r="AB269" s="64"/>
      <c r="AC269" s="64"/>
      <c r="AD269" s="64"/>
      <c r="AE269" s="64"/>
      <c r="AF269" s="64"/>
      <c r="AG269" s="64"/>
    </row>
    <row r="270" spans="1:33">
      <c r="A270" s="64"/>
      <c r="B270" s="64"/>
      <c r="C270" s="64"/>
      <c r="D270" s="64"/>
      <c r="E270" s="70"/>
      <c r="F270" s="70"/>
      <c r="G270" s="64"/>
      <c r="H270" s="64"/>
      <c r="I270" s="64"/>
      <c r="J270" s="64"/>
      <c r="K270" s="64"/>
      <c r="L270" s="64"/>
      <c r="M270" s="64"/>
      <c r="N270" s="64"/>
      <c r="O270" s="64"/>
      <c r="P270" s="64"/>
      <c r="Q270" s="64"/>
      <c r="R270" s="64"/>
      <c r="S270" s="64"/>
      <c r="T270" s="64"/>
      <c r="U270" s="64"/>
      <c r="V270" s="64"/>
      <c r="W270" s="64"/>
      <c r="X270" s="64"/>
      <c r="Y270" s="64"/>
      <c r="Z270" s="64"/>
      <c r="AA270" s="64"/>
      <c r="AB270" s="64"/>
      <c r="AC270" s="64"/>
      <c r="AD270" s="64"/>
      <c r="AE270" s="64"/>
      <c r="AF270" s="64"/>
      <c r="AG270" s="64"/>
    </row>
    <row r="271" spans="1:33">
      <c r="A271" s="64"/>
      <c r="B271" s="64"/>
      <c r="C271" s="64"/>
      <c r="D271" s="64"/>
      <c r="E271" s="70"/>
      <c r="F271" s="70"/>
      <c r="G271" s="64"/>
      <c r="H271" s="64"/>
      <c r="I271" s="64"/>
      <c r="J271" s="64"/>
      <c r="K271" s="64"/>
      <c r="L271" s="64"/>
      <c r="M271" s="64"/>
      <c r="N271" s="64"/>
      <c r="O271" s="64"/>
      <c r="P271" s="64"/>
      <c r="Q271" s="64"/>
      <c r="R271" s="64"/>
      <c r="S271" s="64"/>
      <c r="T271" s="64"/>
      <c r="U271" s="64"/>
      <c r="V271" s="64"/>
      <c r="W271" s="64"/>
      <c r="X271" s="64"/>
      <c r="Y271" s="64"/>
      <c r="Z271" s="64"/>
      <c r="AA271" s="64"/>
      <c r="AB271" s="64"/>
      <c r="AC271" s="64"/>
      <c r="AD271" s="64"/>
      <c r="AE271" s="64"/>
      <c r="AF271" s="64"/>
      <c r="AG271" s="64"/>
    </row>
    <row r="272" spans="1:33">
      <c r="A272" s="64"/>
      <c r="B272" s="64"/>
      <c r="C272" s="64"/>
      <c r="D272" s="64"/>
      <c r="E272" s="70"/>
      <c r="F272" s="70"/>
      <c r="G272" s="64"/>
      <c r="H272" s="64"/>
      <c r="I272" s="64"/>
      <c r="J272" s="64"/>
      <c r="K272" s="64"/>
      <c r="L272" s="64"/>
      <c r="M272" s="64"/>
      <c r="N272" s="64"/>
      <c r="O272" s="64"/>
      <c r="P272" s="64"/>
      <c r="Q272" s="64"/>
      <c r="R272" s="64"/>
      <c r="S272" s="64"/>
      <c r="T272" s="64"/>
      <c r="U272" s="64"/>
      <c r="V272" s="64"/>
      <c r="W272" s="64"/>
      <c r="X272" s="64"/>
      <c r="Y272" s="64"/>
      <c r="Z272" s="64"/>
      <c r="AA272" s="64"/>
      <c r="AB272" s="64"/>
      <c r="AC272" s="64"/>
      <c r="AD272" s="64"/>
      <c r="AE272" s="64"/>
      <c r="AF272" s="64"/>
      <c r="AG272" s="64"/>
    </row>
    <row r="273" spans="1:33">
      <c r="A273" s="64"/>
      <c r="B273" s="64"/>
      <c r="C273" s="64"/>
      <c r="D273" s="64"/>
      <c r="E273" s="70"/>
      <c r="F273" s="70"/>
      <c r="G273" s="64"/>
      <c r="H273" s="64"/>
      <c r="I273" s="64"/>
      <c r="J273" s="64"/>
      <c r="K273" s="64"/>
      <c r="L273" s="64"/>
      <c r="M273" s="64"/>
      <c r="N273" s="64"/>
      <c r="O273" s="64"/>
      <c r="P273" s="64"/>
      <c r="Q273" s="64"/>
      <c r="R273" s="64"/>
      <c r="S273" s="64"/>
      <c r="T273" s="64"/>
      <c r="U273" s="64"/>
      <c r="V273" s="64"/>
      <c r="W273" s="64"/>
      <c r="X273" s="64"/>
      <c r="Y273" s="64"/>
      <c r="Z273" s="64"/>
      <c r="AA273" s="64"/>
      <c r="AB273" s="64"/>
      <c r="AC273" s="64"/>
      <c r="AD273" s="64"/>
      <c r="AE273" s="64"/>
      <c r="AF273" s="64"/>
      <c r="AG273" s="64"/>
    </row>
    <row r="274" spans="1:33">
      <c r="A274" s="64"/>
      <c r="B274" s="64"/>
      <c r="C274" s="64"/>
      <c r="D274" s="64"/>
      <c r="E274" s="70"/>
      <c r="F274" s="70"/>
      <c r="G274" s="64"/>
      <c r="H274" s="64"/>
      <c r="I274" s="64"/>
      <c r="J274" s="64"/>
      <c r="K274" s="64"/>
      <c r="L274" s="64"/>
      <c r="M274" s="64"/>
      <c r="N274" s="64"/>
      <c r="O274" s="64"/>
      <c r="P274" s="64"/>
      <c r="Q274" s="64"/>
      <c r="R274" s="64"/>
      <c r="S274" s="64"/>
      <c r="T274" s="64"/>
      <c r="U274" s="64"/>
      <c r="V274" s="64"/>
      <c r="W274" s="64"/>
      <c r="X274" s="64"/>
      <c r="Y274" s="64"/>
      <c r="Z274" s="64"/>
      <c r="AA274" s="64"/>
      <c r="AB274" s="64"/>
      <c r="AC274" s="64"/>
      <c r="AD274" s="64"/>
      <c r="AE274" s="64"/>
      <c r="AF274" s="64"/>
      <c r="AG274" s="64"/>
    </row>
    <row r="275" spans="1:33">
      <c r="A275" s="64"/>
      <c r="B275" s="64"/>
      <c r="C275" s="64"/>
      <c r="D275" s="64"/>
      <c r="E275" s="70"/>
      <c r="F275" s="70"/>
      <c r="G275" s="64"/>
      <c r="H275" s="64"/>
      <c r="I275" s="64"/>
      <c r="J275" s="64"/>
      <c r="K275" s="64"/>
      <c r="L275" s="64"/>
      <c r="M275" s="64"/>
      <c r="N275" s="64"/>
      <c r="O275" s="64"/>
      <c r="P275" s="64"/>
      <c r="Q275" s="64"/>
      <c r="R275" s="64"/>
      <c r="S275" s="64"/>
      <c r="T275" s="64"/>
      <c r="U275" s="64"/>
      <c r="V275" s="64"/>
      <c r="W275" s="64"/>
      <c r="X275" s="64"/>
      <c r="Y275" s="64"/>
      <c r="Z275" s="64"/>
      <c r="AA275" s="64"/>
      <c r="AB275" s="64"/>
      <c r="AC275" s="64"/>
      <c r="AD275" s="64"/>
      <c r="AE275" s="64"/>
      <c r="AF275" s="64"/>
      <c r="AG275" s="64"/>
    </row>
    <row r="276" spans="1:33">
      <c r="A276" s="64"/>
      <c r="B276" s="64"/>
      <c r="C276" s="64"/>
      <c r="D276" s="64"/>
      <c r="E276" s="70"/>
      <c r="F276" s="70"/>
      <c r="G276" s="64"/>
      <c r="H276" s="64"/>
      <c r="I276" s="64"/>
      <c r="J276" s="64"/>
      <c r="K276" s="64"/>
      <c r="L276" s="64"/>
      <c r="M276" s="64"/>
      <c r="N276" s="64"/>
      <c r="O276" s="64"/>
      <c r="P276" s="64"/>
      <c r="Q276" s="64"/>
      <c r="R276" s="64"/>
      <c r="S276" s="64"/>
      <c r="T276" s="64"/>
      <c r="U276" s="64"/>
      <c r="V276" s="64"/>
      <c r="W276" s="64"/>
      <c r="X276" s="64"/>
      <c r="Y276" s="64"/>
      <c r="Z276" s="64"/>
      <c r="AA276" s="64"/>
      <c r="AB276" s="64"/>
      <c r="AC276" s="64"/>
      <c r="AD276" s="64"/>
      <c r="AE276" s="64"/>
      <c r="AF276" s="64"/>
      <c r="AG276" s="64"/>
    </row>
    <row r="277" spans="1:33">
      <c r="A277" s="64"/>
      <c r="B277" s="64"/>
      <c r="C277" s="64"/>
      <c r="D277" s="64"/>
      <c r="E277" s="70"/>
      <c r="F277" s="70"/>
      <c r="G277" s="64"/>
      <c r="H277" s="64"/>
      <c r="I277" s="64"/>
      <c r="J277" s="64"/>
      <c r="K277" s="64"/>
      <c r="L277" s="64"/>
      <c r="M277" s="64"/>
      <c r="N277" s="64"/>
      <c r="O277" s="64"/>
      <c r="P277" s="64"/>
      <c r="Q277" s="64"/>
      <c r="R277" s="64"/>
      <c r="S277" s="64"/>
      <c r="T277" s="64"/>
      <c r="U277" s="64"/>
      <c r="V277" s="64"/>
      <c r="W277" s="64"/>
      <c r="X277" s="64"/>
      <c r="Y277" s="64"/>
      <c r="Z277" s="64"/>
      <c r="AA277" s="64"/>
      <c r="AB277" s="64"/>
      <c r="AC277" s="64"/>
      <c r="AD277" s="64"/>
      <c r="AE277" s="64"/>
      <c r="AF277" s="64"/>
      <c r="AG277" s="64"/>
    </row>
    <row r="278" spans="1:33">
      <c r="A278" s="64"/>
      <c r="B278" s="64"/>
      <c r="C278" s="64"/>
      <c r="D278" s="64"/>
      <c r="E278" s="70"/>
      <c r="F278" s="70"/>
      <c r="G278" s="64"/>
      <c r="H278" s="64"/>
      <c r="I278" s="64"/>
      <c r="J278" s="64"/>
      <c r="K278" s="64"/>
      <c r="L278" s="64"/>
      <c r="M278" s="64"/>
      <c r="N278" s="64"/>
      <c r="O278" s="64"/>
      <c r="P278" s="64"/>
      <c r="Q278" s="64"/>
      <c r="R278" s="64"/>
      <c r="S278" s="64"/>
      <c r="T278" s="64"/>
      <c r="U278" s="64"/>
      <c r="V278" s="64"/>
      <c r="W278" s="64"/>
      <c r="X278" s="64"/>
      <c r="Y278" s="64"/>
      <c r="Z278" s="64"/>
      <c r="AA278" s="64"/>
      <c r="AB278" s="64"/>
      <c r="AC278" s="64"/>
      <c r="AD278" s="64"/>
      <c r="AE278" s="64"/>
      <c r="AF278" s="64"/>
      <c r="AG278" s="64"/>
    </row>
    <row r="279" spans="1:33">
      <c r="A279" s="64"/>
      <c r="B279" s="64"/>
      <c r="C279" s="64"/>
      <c r="D279" s="64"/>
      <c r="E279" s="70"/>
      <c r="F279" s="70"/>
      <c r="G279" s="64"/>
      <c r="H279" s="64"/>
      <c r="I279" s="64"/>
      <c r="J279" s="64"/>
      <c r="K279" s="64"/>
      <c r="L279" s="64"/>
      <c r="M279" s="64"/>
      <c r="N279" s="64"/>
      <c r="O279" s="64"/>
      <c r="P279" s="64"/>
      <c r="Q279" s="64"/>
      <c r="R279" s="64"/>
      <c r="S279" s="64"/>
      <c r="T279" s="64"/>
      <c r="U279" s="64"/>
      <c r="V279" s="64"/>
      <c r="W279" s="64"/>
      <c r="X279" s="64"/>
      <c r="Y279" s="64"/>
      <c r="Z279" s="64"/>
      <c r="AA279" s="64"/>
      <c r="AB279" s="64"/>
      <c r="AC279" s="64"/>
      <c r="AD279" s="64"/>
      <c r="AE279" s="64"/>
      <c r="AF279" s="64"/>
      <c r="AG279" s="64"/>
    </row>
    <row r="280" spans="1:33">
      <c r="A280" s="64"/>
      <c r="B280" s="64"/>
      <c r="C280" s="64"/>
      <c r="D280" s="64"/>
      <c r="E280" s="70"/>
      <c r="F280" s="70"/>
      <c r="G280" s="64"/>
      <c r="H280" s="64"/>
      <c r="I280" s="64"/>
      <c r="J280" s="64"/>
      <c r="K280" s="64"/>
      <c r="L280" s="64"/>
      <c r="M280" s="64"/>
      <c r="N280" s="64"/>
      <c r="O280" s="64"/>
      <c r="P280" s="64"/>
      <c r="Q280" s="64"/>
      <c r="R280" s="64"/>
      <c r="S280" s="64"/>
      <c r="T280" s="64"/>
      <c r="U280" s="64"/>
      <c r="V280" s="64"/>
      <c r="W280" s="64"/>
      <c r="X280" s="64"/>
      <c r="Y280" s="64"/>
      <c r="Z280" s="64"/>
      <c r="AA280" s="64"/>
      <c r="AB280" s="64"/>
      <c r="AC280" s="64"/>
      <c r="AD280" s="64"/>
      <c r="AE280" s="64"/>
      <c r="AF280" s="64"/>
      <c r="AG280" s="64"/>
    </row>
    <row r="281" spans="1:33">
      <c r="A281" s="64"/>
      <c r="B281" s="64"/>
      <c r="C281" s="64"/>
      <c r="D281" s="64"/>
      <c r="E281" s="70"/>
      <c r="F281" s="70"/>
      <c r="G281" s="64"/>
      <c r="H281" s="64"/>
      <c r="I281" s="64"/>
      <c r="J281" s="64"/>
      <c r="K281" s="64"/>
      <c r="L281" s="64"/>
      <c r="M281" s="64"/>
      <c r="N281" s="64"/>
      <c r="O281" s="64"/>
      <c r="P281" s="64"/>
      <c r="Q281" s="64"/>
      <c r="R281" s="64"/>
      <c r="S281" s="64"/>
      <c r="T281" s="64"/>
      <c r="U281" s="64"/>
      <c r="V281" s="64"/>
      <c r="W281" s="64"/>
      <c r="X281" s="64"/>
      <c r="Y281" s="64"/>
      <c r="Z281" s="64"/>
      <c r="AA281" s="64"/>
      <c r="AB281" s="64"/>
      <c r="AC281" s="64"/>
      <c r="AD281" s="64"/>
      <c r="AE281" s="64"/>
      <c r="AF281" s="64"/>
      <c r="AG281" s="64"/>
    </row>
    <row r="282" spans="1:33">
      <c r="A282" s="64"/>
      <c r="B282" s="64"/>
      <c r="C282" s="64"/>
      <c r="D282" s="64"/>
      <c r="E282" s="70"/>
      <c r="F282" s="70"/>
      <c r="G282" s="64"/>
      <c r="H282" s="64"/>
      <c r="I282" s="64"/>
      <c r="J282" s="64"/>
      <c r="K282" s="64"/>
      <c r="L282" s="64"/>
      <c r="M282" s="64"/>
      <c r="N282" s="64"/>
      <c r="O282" s="64"/>
      <c r="P282" s="64"/>
      <c r="Q282" s="64"/>
      <c r="R282" s="64"/>
      <c r="S282" s="64"/>
      <c r="T282" s="64"/>
      <c r="U282" s="64"/>
      <c r="V282" s="64"/>
      <c r="W282" s="64"/>
      <c r="X282" s="64"/>
      <c r="Y282" s="64"/>
      <c r="Z282" s="64"/>
      <c r="AA282" s="64"/>
      <c r="AB282" s="64"/>
      <c r="AC282" s="64"/>
      <c r="AD282" s="64"/>
      <c r="AE282" s="64"/>
      <c r="AF282" s="64"/>
      <c r="AG282" s="64"/>
    </row>
    <row r="283" spans="1:33">
      <c r="A283" s="64"/>
      <c r="B283" s="64"/>
      <c r="C283" s="64"/>
      <c r="D283" s="64"/>
      <c r="E283" s="70"/>
      <c r="F283" s="70"/>
      <c r="G283" s="64"/>
      <c r="H283" s="64"/>
      <c r="I283" s="64"/>
      <c r="J283" s="64"/>
      <c r="K283" s="64"/>
      <c r="L283" s="64"/>
      <c r="M283" s="64"/>
      <c r="N283" s="64"/>
      <c r="O283" s="64"/>
      <c r="P283" s="64"/>
      <c r="Q283" s="64"/>
      <c r="R283" s="64"/>
      <c r="S283" s="64"/>
      <c r="T283" s="64"/>
      <c r="U283" s="64"/>
      <c r="V283" s="64"/>
      <c r="W283" s="64"/>
      <c r="X283" s="64"/>
      <c r="Y283" s="64"/>
      <c r="Z283" s="64"/>
      <c r="AA283" s="64"/>
      <c r="AB283" s="64"/>
      <c r="AC283" s="64"/>
      <c r="AD283" s="64"/>
      <c r="AE283" s="64"/>
      <c r="AF283" s="64"/>
      <c r="AG283" s="64"/>
    </row>
    <row r="284" spans="1:33">
      <c r="A284" s="64"/>
      <c r="B284" s="64"/>
      <c r="C284" s="64"/>
      <c r="D284" s="64"/>
      <c r="E284" s="70"/>
      <c r="F284" s="70"/>
      <c r="G284" s="64"/>
      <c r="H284" s="64"/>
      <c r="I284" s="64"/>
      <c r="J284" s="64"/>
      <c r="K284" s="64"/>
      <c r="L284" s="64"/>
      <c r="M284" s="64"/>
      <c r="N284" s="64"/>
      <c r="O284" s="64"/>
      <c r="P284" s="64"/>
      <c r="Q284" s="64"/>
      <c r="R284" s="64"/>
      <c r="S284" s="64"/>
      <c r="T284" s="64"/>
      <c r="U284" s="64"/>
      <c r="V284" s="64"/>
      <c r="W284" s="64"/>
      <c r="X284" s="64"/>
      <c r="Y284" s="64"/>
      <c r="Z284" s="64"/>
      <c r="AA284" s="64"/>
      <c r="AB284" s="64"/>
      <c r="AC284" s="64"/>
      <c r="AD284" s="64"/>
      <c r="AE284" s="64"/>
      <c r="AF284" s="64"/>
      <c r="AG284" s="64"/>
    </row>
    <row r="285" spans="1:33">
      <c r="A285" s="64"/>
      <c r="B285" s="64"/>
      <c r="C285" s="64"/>
      <c r="D285" s="64"/>
      <c r="E285" s="70"/>
      <c r="F285" s="70"/>
      <c r="G285" s="64"/>
      <c r="H285" s="64"/>
      <c r="I285" s="64"/>
      <c r="J285" s="64"/>
      <c r="K285" s="64"/>
      <c r="L285" s="64"/>
      <c r="M285" s="64"/>
      <c r="N285" s="64"/>
      <c r="O285" s="64"/>
      <c r="P285" s="64"/>
      <c r="Q285" s="64"/>
      <c r="R285" s="64"/>
      <c r="S285" s="64"/>
      <c r="T285" s="64"/>
      <c r="U285" s="64"/>
      <c r="V285" s="64"/>
      <c r="W285" s="64"/>
      <c r="X285" s="64"/>
      <c r="Y285" s="64"/>
      <c r="Z285" s="64"/>
      <c r="AA285" s="64"/>
      <c r="AB285" s="64"/>
      <c r="AC285" s="64"/>
      <c r="AD285" s="64"/>
      <c r="AE285" s="64"/>
      <c r="AF285" s="64"/>
      <c r="AG285" s="64"/>
    </row>
    <row r="286" spans="1:33">
      <c r="A286" s="64"/>
      <c r="B286" s="64"/>
      <c r="C286" s="64"/>
      <c r="D286" s="64"/>
      <c r="E286" s="70"/>
      <c r="F286" s="70"/>
      <c r="G286" s="64"/>
      <c r="H286" s="64"/>
      <c r="I286" s="64"/>
      <c r="J286" s="64"/>
      <c r="K286" s="64"/>
      <c r="L286" s="64"/>
      <c r="M286" s="64"/>
      <c r="N286" s="64"/>
      <c r="O286" s="64"/>
      <c r="P286" s="64"/>
      <c r="Q286" s="64"/>
      <c r="R286" s="64"/>
      <c r="S286" s="64"/>
      <c r="T286" s="64"/>
      <c r="U286" s="64"/>
      <c r="V286" s="64"/>
      <c r="W286" s="64"/>
      <c r="X286" s="64"/>
      <c r="Y286" s="64"/>
      <c r="Z286" s="64"/>
      <c r="AA286" s="64"/>
      <c r="AB286" s="64"/>
      <c r="AC286" s="64"/>
      <c r="AD286" s="64"/>
      <c r="AE286" s="64"/>
      <c r="AF286" s="64"/>
      <c r="AG286" s="64"/>
    </row>
    <row r="287" spans="1:33">
      <c r="A287" s="64"/>
      <c r="B287" s="64"/>
      <c r="C287" s="64"/>
      <c r="D287" s="64"/>
      <c r="E287" s="70"/>
      <c r="F287" s="70"/>
      <c r="G287" s="64"/>
      <c r="H287" s="64"/>
      <c r="I287" s="64"/>
      <c r="J287" s="64"/>
      <c r="K287" s="64"/>
      <c r="L287" s="64"/>
      <c r="M287" s="64"/>
      <c r="N287" s="64"/>
      <c r="O287" s="64"/>
      <c r="P287" s="64"/>
      <c r="Q287" s="64"/>
      <c r="R287" s="64"/>
      <c r="S287" s="64"/>
      <c r="T287" s="64"/>
      <c r="U287" s="64"/>
      <c r="V287" s="64"/>
      <c r="W287" s="64"/>
      <c r="X287" s="64"/>
      <c r="Y287" s="64"/>
      <c r="Z287" s="64"/>
      <c r="AA287" s="64"/>
      <c r="AB287" s="64"/>
      <c r="AC287" s="64"/>
      <c r="AD287" s="64"/>
      <c r="AE287" s="64"/>
      <c r="AF287" s="64"/>
      <c r="AG287" s="64"/>
    </row>
    <row r="288" spans="1:33">
      <c r="A288" s="64"/>
      <c r="B288" s="64"/>
      <c r="C288" s="64"/>
      <c r="D288" s="64"/>
      <c r="E288" s="70"/>
      <c r="F288" s="70"/>
      <c r="G288" s="64"/>
      <c r="H288" s="64"/>
      <c r="I288" s="64"/>
      <c r="J288" s="64"/>
      <c r="K288" s="64"/>
      <c r="L288" s="64"/>
      <c r="M288" s="64"/>
      <c r="N288" s="64"/>
      <c r="O288" s="64"/>
      <c r="P288" s="64"/>
      <c r="Q288" s="64"/>
      <c r="R288" s="64"/>
      <c r="S288" s="64"/>
      <c r="T288" s="64"/>
      <c r="U288" s="64"/>
      <c r="V288" s="64"/>
      <c r="W288" s="64"/>
      <c r="X288" s="64"/>
      <c r="Y288" s="64"/>
      <c r="Z288" s="64"/>
      <c r="AA288" s="64"/>
      <c r="AB288" s="64"/>
      <c r="AC288" s="64"/>
      <c r="AD288" s="64"/>
      <c r="AE288" s="64"/>
      <c r="AF288" s="64"/>
      <c r="AG288" s="64"/>
    </row>
    <row r="289" spans="1:33">
      <c r="A289" s="64"/>
      <c r="B289" s="64"/>
      <c r="C289" s="64"/>
      <c r="D289" s="64"/>
      <c r="E289" s="70"/>
      <c r="F289" s="70"/>
      <c r="G289" s="64"/>
      <c r="H289" s="64"/>
      <c r="I289" s="64"/>
      <c r="J289" s="64"/>
      <c r="K289" s="64"/>
      <c r="L289" s="64"/>
      <c r="M289" s="64"/>
      <c r="N289" s="64"/>
      <c r="O289" s="64"/>
      <c r="P289" s="64"/>
      <c r="Q289" s="64"/>
      <c r="R289" s="64"/>
      <c r="S289" s="64"/>
      <c r="T289" s="64"/>
      <c r="U289" s="64"/>
      <c r="V289" s="64"/>
      <c r="W289" s="64"/>
      <c r="X289" s="64"/>
      <c r="Y289" s="64"/>
      <c r="Z289" s="64"/>
      <c r="AA289" s="64"/>
      <c r="AB289" s="64"/>
      <c r="AC289" s="64"/>
      <c r="AD289" s="64"/>
      <c r="AE289" s="64"/>
      <c r="AF289" s="64"/>
      <c r="AG289" s="64"/>
    </row>
    <row r="290" spans="1:33">
      <c r="A290" s="64"/>
      <c r="B290" s="64"/>
      <c r="C290" s="64"/>
      <c r="D290" s="64"/>
      <c r="E290" s="70"/>
      <c r="F290" s="70"/>
      <c r="G290" s="64"/>
      <c r="H290" s="64"/>
      <c r="I290" s="64"/>
      <c r="J290" s="64"/>
      <c r="K290" s="64"/>
      <c r="L290" s="64"/>
      <c r="M290" s="64"/>
      <c r="N290" s="64"/>
      <c r="O290" s="64"/>
      <c r="P290" s="64"/>
      <c r="Q290" s="64"/>
      <c r="R290" s="64"/>
      <c r="S290" s="64"/>
      <c r="T290" s="64"/>
      <c r="U290" s="64"/>
      <c r="V290" s="64"/>
      <c r="W290" s="64"/>
      <c r="X290" s="64"/>
      <c r="Y290" s="64"/>
      <c r="Z290" s="64"/>
      <c r="AA290" s="64"/>
      <c r="AB290" s="64"/>
      <c r="AC290" s="64"/>
      <c r="AD290" s="64"/>
      <c r="AE290" s="64"/>
      <c r="AF290" s="64"/>
      <c r="AG290" s="64"/>
    </row>
    <row r="291" spans="1:33">
      <c r="A291" s="64"/>
      <c r="B291" s="64"/>
      <c r="C291" s="64"/>
      <c r="D291" s="64"/>
      <c r="E291" s="70"/>
      <c r="F291" s="70"/>
      <c r="G291" s="64"/>
      <c r="H291" s="64"/>
      <c r="I291" s="64"/>
      <c r="J291" s="64"/>
      <c r="K291" s="64"/>
      <c r="L291" s="64"/>
      <c r="M291" s="64"/>
      <c r="N291" s="64"/>
      <c r="O291" s="64"/>
      <c r="P291" s="64"/>
      <c r="Q291" s="64"/>
      <c r="R291" s="64"/>
      <c r="S291" s="64"/>
      <c r="T291" s="64"/>
      <c r="U291" s="64"/>
      <c r="V291" s="64"/>
      <c r="W291" s="64"/>
      <c r="X291" s="64"/>
      <c r="Y291" s="64"/>
      <c r="Z291" s="64"/>
      <c r="AA291" s="64"/>
      <c r="AB291" s="64"/>
      <c r="AC291" s="64"/>
      <c r="AD291" s="64"/>
      <c r="AE291" s="64"/>
      <c r="AF291" s="64"/>
      <c r="AG291" s="64"/>
    </row>
    <row r="292" spans="1:33">
      <c r="A292" s="64"/>
      <c r="B292" s="64"/>
      <c r="C292" s="64"/>
      <c r="D292" s="64"/>
      <c r="E292" s="70"/>
      <c r="F292" s="70"/>
      <c r="G292" s="64"/>
      <c r="H292" s="64"/>
      <c r="I292" s="64"/>
      <c r="J292" s="64"/>
      <c r="K292" s="64"/>
      <c r="L292" s="64"/>
      <c r="M292" s="64"/>
      <c r="N292" s="64"/>
      <c r="O292" s="64"/>
      <c r="P292" s="64"/>
      <c r="Q292" s="64"/>
      <c r="R292" s="64"/>
      <c r="S292" s="64"/>
      <c r="T292" s="64"/>
      <c r="U292" s="64"/>
      <c r="V292" s="64"/>
      <c r="W292" s="64"/>
      <c r="X292" s="64"/>
      <c r="Y292" s="64"/>
      <c r="Z292" s="64"/>
      <c r="AA292" s="64"/>
      <c r="AB292" s="64"/>
      <c r="AC292" s="64"/>
      <c r="AD292" s="64"/>
      <c r="AE292" s="64"/>
      <c r="AF292" s="64"/>
      <c r="AG292" s="64"/>
    </row>
    <row r="293" spans="1:33">
      <c r="A293" s="64"/>
      <c r="B293" s="64"/>
      <c r="C293" s="64"/>
      <c r="D293" s="64"/>
      <c r="E293" s="70"/>
      <c r="F293" s="70"/>
      <c r="G293" s="64"/>
      <c r="H293" s="64"/>
      <c r="I293" s="64"/>
      <c r="J293" s="64"/>
      <c r="K293" s="64"/>
      <c r="L293" s="64"/>
      <c r="M293" s="64"/>
      <c r="N293" s="64"/>
      <c r="O293" s="64"/>
      <c r="P293" s="64"/>
      <c r="Q293" s="64"/>
      <c r="R293" s="64"/>
      <c r="S293" s="64"/>
      <c r="T293" s="64"/>
      <c r="U293" s="64"/>
      <c r="V293" s="64"/>
      <c r="W293" s="64"/>
      <c r="X293" s="64"/>
      <c r="Y293" s="64"/>
      <c r="Z293" s="64"/>
      <c r="AA293" s="64"/>
      <c r="AB293" s="64"/>
      <c r="AC293" s="64"/>
      <c r="AD293" s="64"/>
      <c r="AE293" s="64"/>
      <c r="AF293" s="64"/>
      <c r="AG293" s="64"/>
    </row>
    <row r="294" spans="1:33">
      <c r="A294" s="64"/>
      <c r="B294" s="64"/>
      <c r="C294" s="64"/>
      <c r="D294" s="64"/>
      <c r="E294" s="70"/>
      <c r="F294" s="70"/>
      <c r="G294" s="64"/>
      <c r="H294" s="64"/>
      <c r="I294" s="64"/>
      <c r="J294" s="64"/>
      <c r="K294" s="64"/>
      <c r="L294" s="64"/>
      <c r="M294" s="64"/>
      <c r="N294" s="64"/>
      <c r="O294" s="64"/>
      <c r="P294" s="64"/>
      <c r="Q294" s="64"/>
      <c r="R294" s="64"/>
      <c r="S294" s="64"/>
      <c r="T294" s="64"/>
      <c r="U294" s="64"/>
      <c r="V294" s="64"/>
      <c r="W294" s="64"/>
      <c r="X294" s="64"/>
      <c r="Y294" s="64"/>
      <c r="Z294" s="64"/>
      <c r="AA294" s="64"/>
      <c r="AB294" s="64"/>
      <c r="AC294" s="64"/>
      <c r="AD294" s="64"/>
      <c r="AE294" s="64"/>
      <c r="AF294" s="64"/>
      <c r="AG294" s="64"/>
    </row>
    <row r="295" spans="1:33">
      <c r="A295" s="64"/>
      <c r="B295" s="64"/>
      <c r="C295" s="64"/>
      <c r="D295" s="64"/>
      <c r="E295" s="70"/>
      <c r="F295" s="70"/>
      <c r="G295" s="64"/>
      <c r="H295" s="64"/>
      <c r="I295" s="64"/>
      <c r="J295" s="64"/>
      <c r="K295" s="64"/>
      <c r="L295" s="64"/>
      <c r="M295" s="64"/>
      <c r="N295" s="64"/>
      <c r="O295" s="64"/>
      <c r="P295" s="64"/>
      <c r="Q295" s="64"/>
      <c r="R295" s="64"/>
      <c r="S295" s="64"/>
      <c r="T295" s="64"/>
      <c r="U295" s="64"/>
      <c r="V295" s="64"/>
      <c r="W295" s="64"/>
      <c r="X295" s="64"/>
      <c r="Y295" s="64"/>
      <c r="Z295" s="64"/>
      <c r="AA295" s="64"/>
      <c r="AB295" s="64"/>
      <c r="AC295" s="64"/>
      <c r="AD295" s="64"/>
      <c r="AE295" s="64"/>
      <c r="AF295" s="64"/>
      <c r="AG295" s="64"/>
    </row>
    <row r="296" spans="1:33">
      <c r="A296" s="64"/>
      <c r="B296" s="64"/>
      <c r="C296" s="64"/>
      <c r="D296" s="64"/>
      <c r="E296" s="70"/>
      <c r="F296" s="70"/>
      <c r="G296" s="64"/>
      <c r="H296" s="64"/>
      <c r="I296" s="64"/>
      <c r="J296" s="64"/>
      <c r="K296" s="64"/>
      <c r="L296" s="64"/>
      <c r="M296" s="64"/>
      <c r="N296" s="64"/>
      <c r="O296" s="64"/>
      <c r="P296" s="64"/>
      <c r="Q296" s="64"/>
      <c r="R296" s="64"/>
      <c r="S296" s="64"/>
      <c r="T296" s="64"/>
      <c r="U296" s="64"/>
      <c r="V296" s="64"/>
      <c r="W296" s="64"/>
      <c r="X296" s="64"/>
      <c r="Y296" s="64"/>
      <c r="Z296" s="64"/>
      <c r="AA296" s="64"/>
      <c r="AB296" s="64"/>
      <c r="AC296" s="64"/>
      <c r="AD296" s="64"/>
      <c r="AE296" s="64"/>
      <c r="AF296" s="64"/>
      <c r="AG296" s="64"/>
    </row>
    <row r="297" spans="1:33">
      <c r="A297" s="64"/>
      <c r="B297" s="64"/>
      <c r="C297" s="64"/>
      <c r="D297" s="64"/>
      <c r="E297" s="70"/>
      <c r="F297" s="70"/>
      <c r="G297" s="64"/>
      <c r="H297" s="64"/>
      <c r="I297" s="64"/>
      <c r="J297" s="64"/>
      <c r="K297" s="64"/>
      <c r="L297" s="64"/>
      <c r="M297" s="64"/>
      <c r="N297" s="64"/>
      <c r="O297" s="64"/>
      <c r="P297" s="64"/>
      <c r="Q297" s="64"/>
      <c r="R297" s="64"/>
      <c r="S297" s="64"/>
      <c r="T297" s="64"/>
      <c r="U297" s="64"/>
      <c r="V297" s="64"/>
      <c r="W297" s="64"/>
      <c r="X297" s="64"/>
      <c r="Y297" s="64"/>
      <c r="Z297" s="64"/>
      <c r="AA297" s="64"/>
      <c r="AB297" s="64"/>
      <c r="AC297" s="64"/>
      <c r="AD297" s="64"/>
      <c r="AE297" s="64"/>
      <c r="AF297" s="64"/>
      <c r="AG297" s="64"/>
    </row>
    <row r="298" spans="1:33">
      <c r="A298" s="64"/>
      <c r="B298" s="64"/>
      <c r="C298" s="64"/>
      <c r="D298" s="64"/>
      <c r="E298" s="70"/>
      <c r="F298" s="70"/>
      <c r="G298" s="64"/>
      <c r="H298" s="64"/>
      <c r="I298" s="64"/>
      <c r="J298" s="64"/>
      <c r="K298" s="64"/>
      <c r="L298" s="64"/>
      <c r="M298" s="64"/>
      <c r="N298" s="64"/>
      <c r="O298" s="64"/>
      <c r="P298" s="64"/>
      <c r="Q298" s="64"/>
      <c r="R298" s="64"/>
      <c r="S298" s="64"/>
      <c r="T298" s="64"/>
      <c r="U298" s="64"/>
      <c r="V298" s="64"/>
      <c r="W298" s="64"/>
      <c r="X298" s="64"/>
      <c r="Y298" s="64"/>
      <c r="Z298" s="64"/>
      <c r="AA298" s="64"/>
      <c r="AB298" s="64"/>
      <c r="AC298" s="64"/>
      <c r="AD298" s="64"/>
      <c r="AE298" s="64"/>
      <c r="AF298" s="64"/>
      <c r="AG298" s="64"/>
    </row>
    <row r="299" spans="1:33">
      <c r="A299" s="64"/>
      <c r="B299" s="64"/>
      <c r="C299" s="64"/>
      <c r="D299" s="64"/>
      <c r="E299" s="70"/>
      <c r="F299" s="70"/>
      <c r="G299" s="64"/>
      <c r="H299" s="64"/>
      <c r="I299" s="64"/>
      <c r="J299" s="64"/>
      <c r="K299" s="64"/>
      <c r="L299" s="64"/>
      <c r="M299" s="64"/>
      <c r="N299" s="64"/>
      <c r="O299" s="64"/>
      <c r="P299" s="64"/>
      <c r="Q299" s="64"/>
      <c r="R299" s="64"/>
      <c r="S299" s="64"/>
      <c r="T299" s="64"/>
      <c r="U299" s="64"/>
      <c r="V299" s="64"/>
      <c r="W299" s="64"/>
      <c r="X299" s="64"/>
      <c r="Y299" s="64"/>
      <c r="Z299" s="64"/>
      <c r="AA299" s="64"/>
      <c r="AB299" s="64"/>
      <c r="AC299" s="64"/>
      <c r="AD299" s="64"/>
      <c r="AE299" s="64"/>
      <c r="AF299" s="64"/>
      <c r="AG299" s="64"/>
    </row>
    <row r="300" spans="1:33">
      <c r="A300" s="64"/>
      <c r="B300" s="64"/>
      <c r="C300" s="64"/>
      <c r="D300" s="64"/>
      <c r="E300" s="70"/>
      <c r="F300" s="70"/>
      <c r="G300" s="64"/>
      <c r="H300" s="64"/>
      <c r="I300" s="64"/>
      <c r="J300" s="64"/>
      <c r="K300" s="64"/>
      <c r="L300" s="64"/>
      <c r="M300" s="64"/>
      <c r="N300" s="64"/>
      <c r="O300" s="64"/>
      <c r="P300" s="64"/>
      <c r="Q300" s="64"/>
      <c r="R300" s="64"/>
      <c r="S300" s="64"/>
      <c r="T300" s="64"/>
      <c r="U300" s="64"/>
      <c r="V300" s="64"/>
      <c r="W300" s="64"/>
      <c r="X300" s="64"/>
      <c r="Y300" s="64"/>
      <c r="Z300" s="64"/>
      <c r="AA300" s="64"/>
      <c r="AB300" s="64"/>
      <c r="AC300" s="64"/>
      <c r="AD300" s="64"/>
      <c r="AE300" s="64"/>
      <c r="AF300" s="64"/>
      <c r="AG300" s="64"/>
    </row>
    <row r="301" spans="1:33">
      <c r="A301" s="64"/>
      <c r="B301" s="64"/>
      <c r="C301" s="64"/>
      <c r="D301" s="64"/>
      <c r="E301" s="70"/>
      <c r="F301" s="70"/>
      <c r="G301" s="64"/>
      <c r="H301" s="64"/>
      <c r="I301" s="64"/>
      <c r="J301" s="64"/>
      <c r="K301" s="64"/>
      <c r="L301" s="64"/>
      <c r="M301" s="64"/>
      <c r="N301" s="64"/>
      <c r="O301" s="64"/>
      <c r="P301" s="64"/>
      <c r="Q301" s="64"/>
      <c r="R301" s="64"/>
      <c r="S301" s="64"/>
      <c r="T301" s="64"/>
      <c r="U301" s="64"/>
      <c r="V301" s="64"/>
      <c r="W301" s="64"/>
      <c r="X301" s="64"/>
      <c r="Y301" s="64"/>
      <c r="Z301" s="64"/>
      <c r="AA301" s="64"/>
      <c r="AB301" s="64"/>
      <c r="AC301" s="64"/>
      <c r="AD301" s="64"/>
      <c r="AE301" s="64"/>
      <c r="AF301" s="64"/>
      <c r="AG301" s="64"/>
    </row>
    <row r="302" spans="1:33">
      <c r="A302" s="64"/>
      <c r="B302" s="64"/>
      <c r="C302" s="64"/>
      <c r="D302" s="64"/>
      <c r="E302" s="70"/>
      <c r="F302" s="70"/>
      <c r="G302" s="64"/>
      <c r="H302" s="64"/>
      <c r="I302" s="64"/>
      <c r="J302" s="64"/>
      <c r="K302" s="64"/>
      <c r="L302" s="64"/>
      <c r="M302" s="64"/>
      <c r="N302" s="64"/>
      <c r="O302" s="64"/>
      <c r="P302" s="64"/>
      <c r="Q302" s="64"/>
      <c r="R302" s="64"/>
      <c r="S302" s="64"/>
      <c r="T302" s="64"/>
      <c r="U302" s="64"/>
      <c r="V302" s="64"/>
      <c r="W302" s="64"/>
      <c r="X302" s="64"/>
      <c r="Y302" s="64"/>
      <c r="Z302" s="64"/>
      <c r="AA302" s="64"/>
      <c r="AB302" s="64"/>
      <c r="AC302" s="64"/>
      <c r="AD302" s="64"/>
      <c r="AE302" s="64"/>
      <c r="AF302" s="64"/>
      <c r="AG302" s="64"/>
    </row>
    <row r="303" spans="1:33">
      <c r="A303" s="64"/>
      <c r="B303" s="64"/>
      <c r="C303" s="64"/>
      <c r="D303" s="64"/>
      <c r="E303" s="70"/>
      <c r="F303" s="70"/>
      <c r="G303" s="64"/>
      <c r="H303" s="64"/>
      <c r="I303" s="64"/>
      <c r="J303" s="64"/>
      <c r="K303" s="64"/>
      <c r="L303" s="64"/>
      <c r="M303" s="64"/>
      <c r="N303" s="64"/>
      <c r="O303" s="64"/>
      <c r="P303" s="64"/>
      <c r="Q303" s="64"/>
      <c r="R303" s="64"/>
      <c r="S303" s="64"/>
      <c r="T303" s="64"/>
      <c r="U303" s="64"/>
      <c r="V303" s="64"/>
      <c r="W303" s="64"/>
      <c r="X303" s="64"/>
      <c r="Y303" s="64"/>
      <c r="Z303" s="64"/>
      <c r="AA303" s="64"/>
      <c r="AB303" s="64"/>
      <c r="AC303" s="64"/>
      <c r="AD303" s="64"/>
      <c r="AE303" s="64"/>
      <c r="AF303" s="64"/>
      <c r="AG303" s="64"/>
    </row>
    <row r="304" spans="1:33">
      <c r="A304" s="64"/>
      <c r="B304" s="64"/>
      <c r="C304" s="64"/>
      <c r="D304" s="64"/>
      <c r="E304" s="70"/>
      <c r="F304" s="70"/>
      <c r="G304" s="64"/>
      <c r="H304" s="64"/>
      <c r="I304" s="64"/>
      <c r="J304" s="64"/>
      <c r="K304" s="64"/>
      <c r="L304" s="64"/>
      <c r="M304" s="64"/>
      <c r="N304" s="64"/>
      <c r="O304" s="64"/>
      <c r="P304" s="64"/>
      <c r="Q304" s="64"/>
      <c r="R304" s="64"/>
      <c r="S304" s="64"/>
      <c r="T304" s="64"/>
      <c r="U304" s="64"/>
      <c r="V304" s="64"/>
      <c r="W304" s="64"/>
      <c r="X304" s="64"/>
      <c r="Y304" s="64"/>
      <c r="Z304" s="64"/>
      <c r="AA304" s="64"/>
      <c r="AB304" s="64"/>
      <c r="AC304" s="64"/>
      <c r="AD304" s="64"/>
      <c r="AE304" s="64"/>
      <c r="AF304" s="64"/>
      <c r="AG304" s="64"/>
    </row>
    <row r="305" spans="1:33">
      <c r="A305" s="64"/>
      <c r="B305" s="64"/>
      <c r="C305" s="64"/>
      <c r="D305" s="64"/>
      <c r="E305" s="70"/>
      <c r="F305" s="70"/>
      <c r="G305" s="64"/>
      <c r="H305" s="64"/>
      <c r="I305" s="64"/>
      <c r="J305" s="64"/>
      <c r="K305" s="64"/>
      <c r="L305" s="64"/>
      <c r="M305" s="64"/>
      <c r="N305" s="64"/>
      <c r="O305" s="64"/>
      <c r="P305" s="64"/>
      <c r="Q305" s="64"/>
      <c r="R305" s="64"/>
      <c r="S305" s="64"/>
      <c r="T305" s="64"/>
      <c r="U305" s="64"/>
      <c r="V305" s="64"/>
      <c r="W305" s="64"/>
      <c r="X305" s="64"/>
      <c r="Y305" s="64"/>
      <c r="Z305" s="64"/>
      <c r="AA305" s="64"/>
      <c r="AB305" s="64"/>
      <c r="AC305" s="64"/>
      <c r="AD305" s="64"/>
      <c r="AE305" s="64"/>
      <c r="AF305" s="64"/>
      <c r="AG305" s="64"/>
    </row>
    <row r="306" spans="1:33">
      <c r="A306" s="64"/>
      <c r="B306" s="64"/>
      <c r="C306" s="64"/>
      <c r="D306" s="64"/>
      <c r="E306" s="70"/>
      <c r="F306" s="70"/>
      <c r="G306" s="64"/>
      <c r="H306" s="64"/>
      <c r="I306" s="64"/>
      <c r="J306" s="64"/>
      <c r="K306" s="64"/>
      <c r="L306" s="64"/>
      <c r="M306" s="64"/>
      <c r="N306" s="64"/>
      <c r="O306" s="64"/>
      <c r="P306" s="64"/>
      <c r="Q306" s="64"/>
      <c r="R306" s="64"/>
      <c r="S306" s="64"/>
      <c r="T306" s="64"/>
      <c r="U306" s="64"/>
      <c r="V306" s="64"/>
      <c r="W306" s="64"/>
      <c r="X306" s="64"/>
      <c r="Y306" s="64"/>
      <c r="Z306" s="64"/>
      <c r="AA306" s="64"/>
      <c r="AB306" s="64"/>
      <c r="AC306" s="64"/>
      <c r="AD306" s="64"/>
      <c r="AE306" s="64"/>
      <c r="AF306" s="64"/>
      <c r="AG306" s="64"/>
    </row>
    <row r="307" spans="1:33">
      <c r="A307" s="64"/>
      <c r="B307" s="64"/>
      <c r="C307" s="64"/>
      <c r="D307" s="64"/>
      <c r="E307" s="70"/>
      <c r="F307" s="70"/>
      <c r="G307" s="64"/>
      <c r="H307" s="64"/>
      <c r="I307" s="64"/>
      <c r="J307" s="64"/>
      <c r="K307" s="64"/>
      <c r="L307" s="64"/>
      <c r="M307" s="64"/>
      <c r="N307" s="64"/>
      <c r="O307" s="64"/>
      <c r="P307" s="64"/>
      <c r="Q307" s="64"/>
      <c r="R307" s="64"/>
      <c r="S307" s="64"/>
      <c r="T307" s="64"/>
      <c r="U307" s="64"/>
      <c r="V307" s="64"/>
      <c r="W307" s="64"/>
      <c r="X307" s="64"/>
      <c r="Y307" s="64"/>
      <c r="Z307" s="64"/>
      <c r="AA307" s="64"/>
      <c r="AB307" s="64"/>
      <c r="AC307" s="64"/>
      <c r="AD307" s="64"/>
      <c r="AE307" s="64"/>
      <c r="AF307" s="64"/>
      <c r="AG307" s="64"/>
    </row>
    <row r="308" spans="1:33">
      <c r="A308" s="64"/>
      <c r="B308" s="64"/>
      <c r="C308" s="64"/>
      <c r="D308" s="64"/>
      <c r="E308" s="70"/>
      <c r="F308" s="70"/>
      <c r="G308" s="64"/>
      <c r="H308" s="64"/>
      <c r="I308" s="64"/>
      <c r="J308" s="64"/>
      <c r="K308" s="64"/>
      <c r="L308" s="64"/>
      <c r="M308" s="64"/>
      <c r="N308" s="64"/>
      <c r="O308" s="64"/>
      <c r="P308" s="64"/>
      <c r="Q308" s="64"/>
      <c r="R308" s="64"/>
      <c r="S308" s="64"/>
      <c r="T308" s="64"/>
      <c r="U308" s="64"/>
      <c r="V308" s="64"/>
      <c r="W308" s="64"/>
      <c r="X308" s="64"/>
      <c r="Y308" s="64"/>
      <c r="Z308" s="64"/>
      <c r="AA308" s="64"/>
      <c r="AB308" s="64"/>
      <c r="AC308" s="64"/>
      <c r="AD308" s="64"/>
      <c r="AE308" s="64"/>
      <c r="AF308" s="64"/>
      <c r="AG308" s="64"/>
    </row>
    <row r="309" spans="1:33">
      <c r="A309" s="64"/>
      <c r="B309" s="64"/>
      <c r="C309" s="64"/>
      <c r="D309" s="64"/>
      <c r="E309" s="70"/>
      <c r="F309" s="70"/>
      <c r="G309" s="64"/>
      <c r="H309" s="64"/>
      <c r="I309" s="64"/>
      <c r="J309" s="64"/>
      <c r="K309" s="64"/>
      <c r="L309" s="64"/>
      <c r="M309" s="64"/>
      <c r="N309" s="64"/>
      <c r="O309" s="64"/>
      <c r="P309" s="64"/>
      <c r="Q309" s="64"/>
      <c r="R309" s="64"/>
      <c r="S309" s="64"/>
      <c r="T309" s="64"/>
      <c r="U309" s="64"/>
      <c r="V309" s="64"/>
      <c r="W309" s="64"/>
      <c r="X309" s="64"/>
      <c r="Y309" s="64"/>
      <c r="Z309" s="64"/>
      <c r="AA309" s="64"/>
      <c r="AB309" s="64"/>
      <c r="AC309" s="64"/>
      <c r="AD309" s="64"/>
      <c r="AE309" s="64"/>
      <c r="AF309" s="64"/>
      <c r="AG309" s="64"/>
    </row>
    <row r="310" spans="1:33">
      <c r="A310" s="64"/>
      <c r="B310" s="64"/>
      <c r="C310" s="64"/>
      <c r="D310" s="64"/>
      <c r="E310" s="70"/>
      <c r="F310" s="70"/>
      <c r="G310" s="64"/>
      <c r="H310" s="64"/>
      <c r="I310" s="64"/>
      <c r="J310" s="64"/>
      <c r="K310" s="64"/>
      <c r="L310" s="64"/>
      <c r="M310" s="64"/>
      <c r="N310" s="64"/>
      <c r="O310" s="64"/>
      <c r="P310" s="64"/>
      <c r="Q310" s="64"/>
      <c r="R310" s="64"/>
      <c r="S310" s="64"/>
      <c r="T310" s="64"/>
      <c r="U310" s="64"/>
      <c r="V310" s="64"/>
      <c r="W310" s="64"/>
      <c r="X310" s="64"/>
      <c r="Y310" s="64"/>
      <c r="Z310" s="64"/>
      <c r="AA310" s="64"/>
      <c r="AB310" s="64"/>
      <c r="AC310" s="64"/>
      <c r="AD310" s="64"/>
      <c r="AE310" s="64"/>
      <c r="AF310" s="64"/>
      <c r="AG310" s="64"/>
    </row>
    <row r="311" spans="1:33">
      <c r="A311" s="64"/>
      <c r="B311" s="64"/>
      <c r="C311" s="64"/>
      <c r="D311" s="64"/>
      <c r="E311" s="70"/>
      <c r="F311" s="70"/>
      <c r="G311" s="64"/>
      <c r="H311" s="64"/>
      <c r="I311" s="64"/>
      <c r="J311" s="64"/>
      <c r="K311" s="64"/>
      <c r="L311" s="64"/>
      <c r="M311" s="64"/>
      <c r="N311" s="64"/>
      <c r="O311" s="64"/>
      <c r="P311" s="64"/>
      <c r="Q311" s="64"/>
      <c r="R311" s="64"/>
      <c r="S311" s="64"/>
      <c r="T311" s="64"/>
      <c r="U311" s="64"/>
      <c r="V311" s="64"/>
      <c r="W311" s="64"/>
      <c r="X311" s="64"/>
      <c r="Y311" s="64"/>
      <c r="Z311" s="64"/>
      <c r="AA311" s="64"/>
      <c r="AB311" s="64"/>
      <c r="AC311" s="64"/>
      <c r="AD311" s="64"/>
      <c r="AE311" s="64"/>
      <c r="AF311" s="64"/>
      <c r="AG311" s="64"/>
    </row>
    <row r="312" spans="1:33">
      <c r="A312" s="64"/>
      <c r="B312" s="64"/>
      <c r="C312" s="64"/>
      <c r="D312" s="64"/>
      <c r="E312" s="70"/>
      <c r="F312" s="70"/>
      <c r="G312" s="64"/>
      <c r="H312" s="64"/>
      <c r="I312" s="64"/>
      <c r="J312" s="64"/>
      <c r="K312" s="64"/>
      <c r="L312" s="64"/>
      <c r="M312" s="64"/>
      <c r="N312" s="64"/>
      <c r="O312" s="64"/>
      <c r="P312" s="64"/>
      <c r="Q312" s="64"/>
      <c r="R312" s="64"/>
      <c r="S312" s="64"/>
      <c r="T312" s="64"/>
      <c r="U312" s="64"/>
      <c r="V312" s="64"/>
      <c r="W312" s="64"/>
      <c r="X312" s="64"/>
      <c r="Y312" s="64"/>
      <c r="Z312" s="64"/>
      <c r="AA312" s="64"/>
      <c r="AB312" s="64"/>
      <c r="AC312" s="64"/>
      <c r="AD312" s="64"/>
      <c r="AE312" s="64"/>
      <c r="AF312" s="64"/>
      <c r="AG312" s="64"/>
    </row>
    <row r="313" spans="1:33">
      <c r="A313" s="64"/>
      <c r="B313" s="64"/>
      <c r="C313" s="64"/>
      <c r="D313" s="64"/>
      <c r="E313" s="70"/>
      <c r="F313" s="70"/>
      <c r="G313" s="64"/>
      <c r="H313" s="64"/>
      <c r="I313" s="64"/>
      <c r="J313" s="64"/>
      <c r="K313" s="64"/>
      <c r="L313" s="64"/>
      <c r="M313" s="64"/>
      <c r="N313" s="64"/>
      <c r="O313" s="64"/>
      <c r="P313" s="64"/>
      <c r="Q313" s="64"/>
      <c r="R313" s="64"/>
      <c r="S313" s="64"/>
      <c r="T313" s="64"/>
      <c r="U313" s="64"/>
      <c r="V313" s="64"/>
      <c r="W313" s="64"/>
      <c r="X313" s="64"/>
      <c r="Y313" s="64"/>
      <c r="Z313" s="64"/>
      <c r="AA313" s="64"/>
      <c r="AB313" s="64"/>
      <c r="AC313" s="64"/>
      <c r="AD313" s="64"/>
      <c r="AE313" s="64"/>
      <c r="AF313" s="64"/>
      <c r="AG313" s="64"/>
    </row>
    <row r="314" spans="1:33">
      <c r="A314" s="64"/>
      <c r="B314" s="64"/>
      <c r="C314" s="64"/>
      <c r="D314" s="64"/>
      <c r="E314" s="70"/>
      <c r="F314" s="70"/>
      <c r="G314" s="64"/>
      <c r="H314" s="64"/>
      <c r="I314" s="64"/>
      <c r="J314" s="64"/>
      <c r="K314" s="64"/>
      <c r="L314" s="64"/>
      <c r="M314" s="64"/>
      <c r="N314" s="64"/>
      <c r="O314" s="64"/>
      <c r="P314" s="64"/>
      <c r="Q314" s="64"/>
      <c r="R314" s="64"/>
      <c r="S314" s="64"/>
      <c r="T314" s="64"/>
      <c r="U314" s="64"/>
      <c r="V314" s="64"/>
      <c r="W314" s="64"/>
      <c r="X314" s="64"/>
      <c r="Y314" s="64"/>
      <c r="Z314" s="64"/>
      <c r="AA314" s="64"/>
      <c r="AB314" s="64"/>
      <c r="AC314" s="64"/>
      <c r="AD314" s="64"/>
      <c r="AE314" s="64"/>
      <c r="AF314" s="64"/>
      <c r="AG314" s="64"/>
    </row>
    <row r="315" spans="1:33">
      <c r="A315" s="64"/>
      <c r="B315" s="64"/>
      <c r="C315" s="64"/>
      <c r="D315" s="64"/>
      <c r="E315" s="70"/>
      <c r="F315" s="70"/>
      <c r="G315" s="64"/>
      <c r="H315" s="64"/>
      <c r="I315" s="64"/>
      <c r="J315" s="64"/>
      <c r="K315" s="64"/>
      <c r="L315" s="64"/>
      <c r="M315" s="64"/>
      <c r="N315" s="64"/>
      <c r="O315" s="64"/>
      <c r="P315" s="64"/>
      <c r="Q315" s="64"/>
      <c r="R315" s="64"/>
      <c r="S315" s="64"/>
      <c r="T315" s="64"/>
      <c r="U315" s="64"/>
      <c r="V315" s="64"/>
      <c r="W315" s="64"/>
      <c r="X315" s="64"/>
      <c r="Y315" s="64"/>
      <c r="Z315" s="64"/>
      <c r="AA315" s="64"/>
      <c r="AB315" s="64"/>
      <c r="AC315" s="64"/>
      <c r="AD315" s="64"/>
      <c r="AE315" s="64"/>
      <c r="AF315" s="64"/>
      <c r="AG315" s="64"/>
    </row>
    <row r="316" spans="1:33">
      <c r="A316" s="64"/>
      <c r="B316" s="64"/>
      <c r="C316" s="64"/>
      <c r="D316" s="64"/>
      <c r="E316" s="70"/>
      <c r="F316" s="70"/>
      <c r="G316" s="64"/>
      <c r="H316" s="64"/>
      <c r="I316" s="64"/>
      <c r="J316" s="64"/>
      <c r="K316" s="64"/>
      <c r="L316" s="64"/>
      <c r="M316" s="64"/>
      <c r="N316" s="64"/>
      <c r="O316" s="64"/>
      <c r="P316" s="64"/>
      <c r="Q316" s="64"/>
      <c r="R316" s="64"/>
      <c r="S316" s="64"/>
      <c r="T316" s="64"/>
      <c r="U316" s="64"/>
      <c r="V316" s="64"/>
      <c r="W316" s="64"/>
      <c r="X316" s="64"/>
      <c r="Y316" s="64"/>
      <c r="Z316" s="64"/>
      <c r="AA316" s="64"/>
      <c r="AB316" s="64"/>
      <c r="AC316" s="64"/>
      <c r="AD316" s="64"/>
      <c r="AE316" s="64"/>
      <c r="AF316" s="64"/>
      <c r="AG316" s="64"/>
    </row>
    <row r="317" spans="1:33">
      <c r="A317" s="64"/>
      <c r="B317" s="64"/>
      <c r="C317" s="64"/>
      <c r="D317" s="64"/>
      <c r="E317" s="70"/>
      <c r="F317" s="70"/>
      <c r="G317" s="64"/>
      <c r="H317" s="64"/>
      <c r="I317" s="64"/>
      <c r="J317" s="64"/>
      <c r="K317" s="64"/>
      <c r="L317" s="64"/>
      <c r="M317" s="64"/>
      <c r="N317" s="64"/>
      <c r="O317" s="64"/>
      <c r="P317" s="64"/>
      <c r="Q317" s="64"/>
      <c r="R317" s="64"/>
      <c r="S317" s="64"/>
      <c r="T317" s="64"/>
      <c r="U317" s="64"/>
      <c r="V317" s="64"/>
      <c r="W317" s="64"/>
      <c r="X317" s="64"/>
      <c r="Y317" s="64"/>
      <c r="Z317" s="64"/>
      <c r="AA317" s="64"/>
      <c r="AB317" s="64"/>
      <c r="AC317" s="64"/>
      <c r="AD317" s="64"/>
      <c r="AE317" s="64"/>
      <c r="AF317" s="64"/>
      <c r="AG317" s="64"/>
    </row>
    <row r="318" spans="1:33">
      <c r="A318" s="64"/>
      <c r="B318" s="64"/>
      <c r="C318" s="64"/>
      <c r="D318" s="64"/>
      <c r="E318" s="70"/>
      <c r="F318" s="70"/>
      <c r="G318" s="64"/>
      <c r="H318" s="64"/>
      <c r="I318" s="64"/>
      <c r="J318" s="64"/>
      <c r="K318" s="64"/>
      <c r="L318" s="64"/>
      <c r="M318" s="64"/>
      <c r="N318" s="64"/>
      <c r="O318" s="64"/>
      <c r="P318" s="64"/>
      <c r="Q318" s="64"/>
      <c r="R318" s="64"/>
      <c r="S318" s="64"/>
      <c r="T318" s="64"/>
      <c r="U318" s="64"/>
      <c r="V318" s="64"/>
      <c r="W318" s="64"/>
      <c r="X318" s="64"/>
      <c r="Y318" s="64"/>
      <c r="Z318" s="64"/>
      <c r="AA318" s="64"/>
      <c r="AB318" s="64"/>
      <c r="AC318" s="64"/>
      <c r="AD318" s="64"/>
      <c r="AE318" s="64"/>
      <c r="AF318" s="64"/>
      <c r="AG318" s="64"/>
    </row>
    <row r="319" spans="1:33">
      <c r="A319" s="64"/>
      <c r="B319" s="64"/>
      <c r="C319" s="64"/>
      <c r="D319" s="64"/>
      <c r="E319" s="70"/>
      <c r="F319" s="70"/>
      <c r="G319" s="64"/>
      <c r="H319" s="64"/>
      <c r="I319" s="64"/>
      <c r="J319" s="64"/>
      <c r="K319" s="64"/>
      <c r="L319" s="64"/>
      <c r="M319" s="64"/>
      <c r="N319" s="64"/>
      <c r="O319" s="64"/>
      <c r="P319" s="64"/>
      <c r="Q319" s="64"/>
      <c r="R319" s="64"/>
      <c r="S319" s="64"/>
      <c r="T319" s="64"/>
      <c r="U319" s="64"/>
      <c r="V319" s="64"/>
      <c r="W319" s="64"/>
      <c r="X319" s="64"/>
      <c r="Y319" s="64"/>
      <c r="Z319" s="64"/>
      <c r="AA319" s="64"/>
      <c r="AB319" s="64"/>
      <c r="AC319" s="64"/>
      <c r="AD319" s="64"/>
      <c r="AE319" s="64"/>
      <c r="AF319" s="64"/>
      <c r="AG319" s="64"/>
    </row>
    <row r="320" spans="1:33">
      <c r="A320" s="64"/>
      <c r="B320" s="64"/>
      <c r="C320" s="64"/>
      <c r="D320" s="64"/>
      <c r="E320" s="70"/>
      <c r="F320" s="70"/>
      <c r="G320" s="64"/>
      <c r="H320" s="64"/>
      <c r="I320" s="64"/>
      <c r="J320" s="64"/>
      <c r="K320" s="64"/>
      <c r="L320" s="64"/>
      <c r="M320" s="64"/>
      <c r="N320" s="64"/>
      <c r="O320" s="64"/>
      <c r="P320" s="64"/>
      <c r="Q320" s="64"/>
      <c r="R320" s="64"/>
      <c r="S320" s="64"/>
      <c r="T320" s="64"/>
      <c r="U320" s="64"/>
      <c r="V320" s="64"/>
      <c r="W320" s="64"/>
      <c r="X320" s="64"/>
      <c r="Y320" s="64"/>
      <c r="Z320" s="64"/>
      <c r="AA320" s="64"/>
      <c r="AB320" s="64"/>
      <c r="AC320" s="64"/>
      <c r="AD320" s="64"/>
      <c r="AE320" s="64"/>
      <c r="AF320" s="64"/>
      <c r="AG320" s="64"/>
    </row>
    <row r="321" spans="1:33">
      <c r="A321" s="64"/>
      <c r="B321" s="64"/>
      <c r="C321" s="64"/>
      <c r="D321" s="64"/>
      <c r="E321" s="70"/>
      <c r="F321" s="70"/>
      <c r="G321" s="64"/>
      <c r="H321" s="64"/>
      <c r="I321" s="64"/>
      <c r="J321" s="64"/>
      <c r="K321" s="64"/>
      <c r="L321" s="64"/>
      <c r="M321" s="64"/>
      <c r="N321" s="64"/>
      <c r="O321" s="64"/>
      <c r="P321" s="64"/>
      <c r="Q321" s="64"/>
      <c r="R321" s="64"/>
      <c r="S321" s="64"/>
      <c r="T321" s="64"/>
      <c r="U321" s="64"/>
      <c r="V321" s="64"/>
      <c r="W321" s="64"/>
      <c r="X321" s="64"/>
      <c r="Y321" s="64"/>
      <c r="Z321" s="64"/>
      <c r="AA321" s="64"/>
      <c r="AB321" s="64"/>
      <c r="AC321" s="64"/>
      <c r="AD321" s="64"/>
      <c r="AE321" s="64"/>
      <c r="AF321" s="64"/>
      <c r="AG321" s="64"/>
    </row>
    <row r="322" spans="1:33">
      <c r="A322" s="64"/>
      <c r="B322" s="64"/>
      <c r="C322" s="64"/>
      <c r="D322" s="64"/>
      <c r="E322" s="70"/>
      <c r="F322" s="70"/>
      <c r="G322" s="64"/>
      <c r="H322" s="64"/>
      <c r="I322" s="64"/>
      <c r="J322" s="64"/>
      <c r="K322" s="64"/>
      <c r="L322" s="64"/>
      <c r="M322" s="64"/>
      <c r="N322" s="64"/>
      <c r="O322" s="64"/>
      <c r="P322" s="64"/>
      <c r="Q322" s="64"/>
      <c r="R322" s="64"/>
      <c r="S322" s="64"/>
      <c r="T322" s="64"/>
      <c r="U322" s="64"/>
      <c r="V322" s="64"/>
      <c r="W322" s="64"/>
      <c r="X322" s="64"/>
      <c r="Y322" s="64"/>
      <c r="Z322" s="64"/>
      <c r="AA322" s="64"/>
      <c r="AB322" s="64"/>
      <c r="AC322" s="64"/>
      <c r="AD322" s="64"/>
      <c r="AE322" s="64"/>
      <c r="AF322" s="64"/>
      <c r="AG322" s="64"/>
    </row>
    <row r="323" spans="1:33">
      <c r="A323" s="64"/>
      <c r="B323" s="64"/>
      <c r="C323" s="64"/>
      <c r="D323" s="64"/>
      <c r="E323" s="70"/>
      <c r="F323" s="70"/>
      <c r="G323" s="64"/>
      <c r="H323" s="64"/>
      <c r="I323" s="64"/>
      <c r="J323" s="64"/>
      <c r="K323" s="64"/>
      <c r="L323" s="64"/>
      <c r="M323" s="64"/>
      <c r="N323" s="64"/>
      <c r="O323" s="64"/>
      <c r="P323" s="64"/>
      <c r="Q323" s="64"/>
      <c r="R323" s="64"/>
      <c r="S323" s="64"/>
      <c r="T323" s="64"/>
      <c r="U323" s="64"/>
      <c r="V323" s="64"/>
      <c r="W323" s="64"/>
      <c r="X323" s="64"/>
      <c r="Y323" s="64"/>
      <c r="Z323" s="64"/>
      <c r="AA323" s="64"/>
      <c r="AB323" s="64"/>
      <c r="AC323" s="64"/>
      <c r="AD323" s="64"/>
      <c r="AE323" s="64"/>
      <c r="AF323" s="64"/>
      <c r="AG323" s="64"/>
    </row>
    <row r="324" spans="1:33">
      <c r="A324" s="64"/>
      <c r="B324" s="64"/>
      <c r="C324" s="64"/>
      <c r="D324" s="64"/>
      <c r="E324" s="70"/>
      <c r="F324" s="70"/>
      <c r="G324" s="64"/>
      <c r="H324" s="64"/>
      <c r="I324" s="64"/>
      <c r="J324" s="64"/>
      <c r="K324" s="64"/>
      <c r="L324" s="64"/>
      <c r="M324" s="64"/>
      <c r="N324" s="64"/>
      <c r="O324" s="64"/>
      <c r="P324" s="64"/>
      <c r="Q324" s="64"/>
      <c r="R324" s="64"/>
      <c r="S324" s="64"/>
      <c r="T324" s="64"/>
      <c r="U324" s="64"/>
      <c r="V324" s="64"/>
      <c r="W324" s="64"/>
      <c r="X324" s="64"/>
      <c r="Y324" s="64"/>
      <c r="Z324" s="64"/>
      <c r="AA324" s="64"/>
      <c r="AB324" s="64"/>
      <c r="AC324" s="64"/>
      <c r="AD324" s="64"/>
      <c r="AE324" s="64"/>
      <c r="AF324" s="64"/>
      <c r="AG324" s="64"/>
    </row>
    <row r="325" spans="1:33">
      <c r="A325" s="64"/>
      <c r="B325" s="64"/>
      <c r="C325" s="64"/>
      <c r="D325" s="64"/>
      <c r="E325" s="70"/>
      <c r="F325" s="70"/>
      <c r="G325" s="64"/>
      <c r="H325" s="64"/>
      <c r="I325" s="64"/>
      <c r="J325" s="64"/>
      <c r="K325" s="64"/>
      <c r="L325" s="64"/>
      <c r="M325" s="64"/>
      <c r="N325" s="64"/>
      <c r="O325" s="64"/>
      <c r="P325" s="64"/>
      <c r="Q325" s="64"/>
      <c r="R325" s="64"/>
      <c r="S325" s="64"/>
      <c r="T325" s="64"/>
      <c r="U325" s="64"/>
      <c r="V325" s="64"/>
      <c r="W325" s="64"/>
      <c r="X325" s="64"/>
      <c r="Y325" s="64"/>
      <c r="Z325" s="64"/>
      <c r="AA325" s="64"/>
      <c r="AB325" s="64"/>
      <c r="AC325" s="64"/>
      <c r="AD325" s="64"/>
      <c r="AE325" s="64"/>
      <c r="AF325" s="64"/>
      <c r="AG325" s="64"/>
    </row>
    <row r="326" spans="1:33">
      <c r="A326" s="64"/>
      <c r="B326" s="64"/>
      <c r="C326" s="64"/>
      <c r="D326" s="64"/>
      <c r="E326" s="70"/>
      <c r="F326" s="70"/>
      <c r="G326" s="64"/>
      <c r="H326" s="64"/>
      <c r="I326" s="64"/>
      <c r="J326" s="64"/>
      <c r="K326" s="64"/>
      <c r="L326" s="64"/>
      <c r="M326" s="64"/>
      <c r="N326" s="64"/>
      <c r="O326" s="64"/>
      <c r="P326" s="64"/>
      <c r="Q326" s="64"/>
      <c r="R326" s="64"/>
      <c r="S326" s="64"/>
      <c r="T326" s="64"/>
      <c r="U326" s="64"/>
      <c r="V326" s="64"/>
      <c r="W326" s="64"/>
      <c r="X326" s="64"/>
      <c r="Y326" s="64"/>
      <c r="Z326" s="64"/>
      <c r="AA326" s="64"/>
      <c r="AB326" s="64"/>
      <c r="AC326" s="64"/>
      <c r="AD326" s="64"/>
      <c r="AE326" s="64"/>
      <c r="AF326" s="64"/>
      <c r="AG326" s="64"/>
    </row>
    <row r="327" spans="1:33">
      <c r="A327" s="64"/>
      <c r="B327" s="64"/>
      <c r="C327" s="64"/>
      <c r="D327" s="64"/>
      <c r="E327" s="70"/>
      <c r="F327" s="70"/>
      <c r="G327" s="64"/>
      <c r="H327" s="64"/>
      <c r="I327" s="64"/>
      <c r="J327" s="64"/>
      <c r="K327" s="64"/>
      <c r="L327" s="64"/>
      <c r="M327" s="64"/>
      <c r="N327" s="64"/>
      <c r="O327" s="64"/>
      <c r="P327" s="64"/>
      <c r="Q327" s="64"/>
      <c r="R327" s="64"/>
      <c r="S327" s="64"/>
      <c r="T327" s="64"/>
      <c r="U327" s="64"/>
      <c r="V327" s="64"/>
      <c r="W327" s="64"/>
      <c r="X327" s="64"/>
      <c r="Y327" s="64"/>
      <c r="Z327" s="64"/>
      <c r="AA327" s="64"/>
      <c r="AB327" s="64"/>
      <c r="AC327" s="64"/>
      <c r="AD327" s="64"/>
      <c r="AE327" s="64"/>
      <c r="AF327" s="64"/>
      <c r="AG327" s="64"/>
    </row>
    <row r="328" spans="1:33">
      <c r="A328" s="64"/>
      <c r="B328" s="64"/>
      <c r="C328" s="64"/>
      <c r="D328" s="64"/>
      <c r="E328" s="70"/>
      <c r="F328" s="70"/>
      <c r="G328" s="64"/>
      <c r="H328" s="64"/>
      <c r="I328" s="64"/>
      <c r="J328" s="64"/>
      <c r="K328" s="64"/>
      <c r="L328" s="64"/>
      <c r="M328" s="64"/>
      <c r="N328" s="64"/>
      <c r="O328" s="64"/>
      <c r="P328" s="64"/>
      <c r="Q328" s="64"/>
      <c r="R328" s="64"/>
      <c r="S328" s="64"/>
      <c r="T328" s="64"/>
      <c r="U328" s="64"/>
      <c r="V328" s="64"/>
      <c r="W328" s="64"/>
      <c r="X328" s="64"/>
      <c r="Y328" s="64"/>
      <c r="Z328" s="64"/>
      <c r="AA328" s="64"/>
      <c r="AB328" s="64"/>
      <c r="AC328" s="64"/>
      <c r="AD328" s="64"/>
      <c r="AE328" s="64"/>
      <c r="AF328" s="64"/>
      <c r="AG328" s="64"/>
    </row>
    <row r="329" spans="1:33">
      <c r="A329" s="64"/>
      <c r="B329" s="64"/>
      <c r="C329" s="64"/>
      <c r="D329" s="64"/>
      <c r="E329" s="70"/>
      <c r="F329" s="70"/>
      <c r="G329" s="64"/>
      <c r="H329" s="64"/>
      <c r="I329" s="64"/>
      <c r="J329" s="64"/>
      <c r="K329" s="64"/>
      <c r="L329" s="64"/>
      <c r="M329" s="64"/>
      <c r="N329" s="64"/>
      <c r="O329" s="64"/>
      <c r="P329" s="64"/>
      <c r="Q329" s="64"/>
      <c r="R329" s="64"/>
      <c r="S329" s="64"/>
      <c r="T329" s="64"/>
      <c r="U329" s="64"/>
      <c r="V329" s="64"/>
      <c r="W329" s="64"/>
      <c r="X329" s="64"/>
      <c r="Y329" s="64"/>
      <c r="Z329" s="64"/>
      <c r="AA329" s="64"/>
      <c r="AB329" s="64"/>
      <c r="AC329" s="64"/>
      <c r="AD329" s="64"/>
      <c r="AE329" s="64"/>
      <c r="AF329" s="64"/>
      <c r="AG329" s="64"/>
    </row>
    <row r="330" spans="1:33">
      <c r="A330" s="64"/>
      <c r="B330" s="64"/>
      <c r="C330" s="64"/>
      <c r="D330" s="64"/>
      <c r="E330" s="70"/>
      <c r="F330" s="70"/>
      <c r="G330" s="64"/>
      <c r="H330" s="64"/>
      <c r="I330" s="64"/>
      <c r="J330" s="64"/>
      <c r="K330" s="64"/>
      <c r="L330" s="64"/>
      <c r="M330" s="64"/>
      <c r="N330" s="64"/>
      <c r="O330" s="64"/>
      <c r="P330" s="64"/>
      <c r="Q330" s="64"/>
      <c r="R330" s="64"/>
      <c r="S330" s="64"/>
      <c r="T330" s="64"/>
      <c r="U330" s="64"/>
      <c r="V330" s="64"/>
      <c r="W330" s="64"/>
      <c r="X330" s="64"/>
      <c r="Y330" s="64"/>
      <c r="Z330" s="64"/>
      <c r="AA330" s="64"/>
      <c r="AB330" s="64"/>
      <c r="AC330" s="64"/>
      <c r="AD330" s="64"/>
      <c r="AE330" s="64"/>
      <c r="AF330" s="64"/>
      <c r="AG330" s="64"/>
    </row>
    <row r="331" spans="1:33">
      <c r="A331" s="64"/>
      <c r="B331" s="64"/>
      <c r="C331" s="64"/>
      <c r="D331" s="64"/>
      <c r="E331" s="70"/>
      <c r="F331" s="70"/>
      <c r="G331" s="64"/>
      <c r="H331" s="64"/>
      <c r="I331" s="64"/>
      <c r="J331" s="64"/>
      <c r="K331" s="64"/>
      <c r="L331" s="64"/>
      <c r="M331" s="64"/>
      <c r="N331" s="64"/>
      <c r="O331" s="64"/>
      <c r="P331" s="64"/>
      <c r="Q331" s="64"/>
      <c r="R331" s="64"/>
      <c r="S331" s="64"/>
      <c r="T331" s="64"/>
      <c r="U331" s="64"/>
      <c r="V331" s="64"/>
      <c r="W331" s="64"/>
      <c r="X331" s="64"/>
      <c r="Y331" s="64"/>
      <c r="Z331" s="64"/>
      <c r="AA331" s="64"/>
      <c r="AB331" s="64"/>
      <c r="AC331" s="64"/>
      <c r="AD331" s="64"/>
      <c r="AE331" s="64"/>
      <c r="AF331" s="64"/>
      <c r="AG331" s="64"/>
    </row>
    <row r="332" spans="1:33">
      <c r="A332" s="64"/>
      <c r="B332" s="64"/>
      <c r="C332" s="64"/>
      <c r="D332" s="64"/>
      <c r="E332" s="70"/>
      <c r="F332" s="70"/>
      <c r="G332" s="64"/>
      <c r="H332" s="64"/>
      <c r="I332" s="64"/>
      <c r="J332" s="64"/>
      <c r="K332" s="64"/>
      <c r="L332" s="64"/>
      <c r="M332" s="64"/>
      <c r="N332" s="64"/>
      <c r="O332" s="64"/>
      <c r="P332" s="64"/>
      <c r="Q332" s="64"/>
      <c r="R332" s="64"/>
      <c r="S332" s="64"/>
      <c r="T332" s="64"/>
      <c r="U332" s="64"/>
      <c r="V332" s="64"/>
      <c r="W332" s="64"/>
      <c r="X332" s="64"/>
      <c r="Y332" s="64"/>
      <c r="Z332" s="64"/>
      <c r="AA332" s="64"/>
      <c r="AB332" s="64"/>
      <c r="AC332" s="64"/>
      <c r="AD332" s="64"/>
      <c r="AE332" s="64"/>
      <c r="AF332" s="64"/>
      <c r="AG332" s="64"/>
    </row>
    <row r="333" spans="1:33">
      <c r="A333" s="64"/>
      <c r="B333" s="64"/>
      <c r="C333" s="64"/>
      <c r="D333" s="64"/>
      <c r="E333" s="70"/>
      <c r="F333" s="70"/>
      <c r="G333" s="64"/>
      <c r="H333" s="64"/>
      <c r="I333" s="64"/>
      <c r="J333" s="64"/>
      <c r="K333" s="64"/>
      <c r="L333" s="64"/>
      <c r="M333" s="64"/>
      <c r="N333" s="64"/>
      <c r="O333" s="64"/>
      <c r="P333" s="64"/>
      <c r="Q333" s="64"/>
      <c r="R333" s="64"/>
      <c r="S333" s="64"/>
      <c r="T333" s="64"/>
      <c r="U333" s="64"/>
      <c r="V333" s="64"/>
      <c r="W333" s="64"/>
      <c r="X333" s="64"/>
      <c r="Y333" s="64"/>
      <c r="Z333" s="64"/>
      <c r="AA333" s="64"/>
      <c r="AB333" s="64"/>
      <c r="AC333" s="64"/>
      <c r="AD333" s="64"/>
      <c r="AE333" s="64"/>
      <c r="AF333" s="64"/>
      <c r="AG333" s="64"/>
    </row>
    <row r="334" spans="1:33">
      <c r="A334" s="64"/>
      <c r="B334" s="64"/>
      <c r="C334" s="64"/>
      <c r="D334" s="64"/>
      <c r="E334" s="70"/>
      <c r="F334" s="70"/>
      <c r="G334" s="64"/>
      <c r="H334" s="64"/>
      <c r="I334" s="64"/>
      <c r="J334" s="64"/>
      <c r="K334" s="64"/>
      <c r="L334" s="64"/>
      <c r="M334" s="64"/>
      <c r="N334" s="64"/>
      <c r="O334" s="64"/>
      <c r="P334" s="64"/>
      <c r="Q334" s="64"/>
      <c r="R334" s="64"/>
      <c r="S334" s="64"/>
      <c r="T334" s="64"/>
      <c r="U334" s="64"/>
      <c r="V334" s="64"/>
      <c r="W334" s="64"/>
      <c r="X334" s="64"/>
      <c r="Y334" s="64"/>
      <c r="Z334" s="64"/>
      <c r="AA334" s="64"/>
      <c r="AB334" s="64"/>
      <c r="AC334" s="64"/>
      <c r="AD334" s="64"/>
      <c r="AE334" s="64"/>
      <c r="AF334" s="64"/>
      <c r="AG334" s="64"/>
    </row>
    <row r="335" spans="1:33">
      <c r="A335" s="64"/>
      <c r="B335" s="64"/>
      <c r="C335" s="64"/>
      <c r="D335" s="64"/>
      <c r="E335" s="70"/>
      <c r="F335" s="70"/>
      <c r="G335" s="64"/>
      <c r="H335" s="64"/>
      <c r="I335" s="64"/>
      <c r="J335" s="64"/>
      <c r="K335" s="64"/>
      <c r="L335" s="64"/>
      <c r="M335" s="64"/>
      <c r="N335" s="64"/>
      <c r="O335" s="64"/>
      <c r="P335" s="64"/>
      <c r="Q335" s="64"/>
      <c r="R335" s="64"/>
      <c r="S335" s="64"/>
      <c r="T335" s="64"/>
      <c r="U335" s="64"/>
      <c r="V335" s="64"/>
      <c r="W335" s="64"/>
      <c r="X335" s="64"/>
      <c r="Y335" s="64"/>
      <c r="Z335" s="64"/>
      <c r="AA335" s="64"/>
      <c r="AB335" s="64"/>
      <c r="AC335" s="64"/>
      <c r="AD335" s="64"/>
      <c r="AE335" s="64"/>
      <c r="AF335" s="64"/>
      <c r="AG335" s="64"/>
    </row>
    <row r="336" spans="1:33">
      <c r="A336" s="64"/>
      <c r="B336" s="64"/>
      <c r="C336" s="64"/>
      <c r="D336" s="64"/>
      <c r="E336" s="70"/>
      <c r="F336" s="70"/>
      <c r="G336" s="64"/>
      <c r="H336" s="64"/>
      <c r="I336" s="64"/>
      <c r="J336" s="64"/>
      <c r="K336" s="64"/>
      <c r="L336" s="64"/>
      <c r="M336" s="64"/>
      <c r="N336" s="64"/>
      <c r="O336" s="64"/>
      <c r="P336" s="64"/>
      <c r="Q336" s="64"/>
      <c r="R336" s="64"/>
      <c r="S336" s="64"/>
      <c r="T336" s="64"/>
      <c r="U336" s="64"/>
      <c r="V336" s="64"/>
      <c r="W336" s="64"/>
      <c r="X336" s="64"/>
      <c r="Y336" s="64"/>
      <c r="Z336" s="64"/>
      <c r="AA336" s="64"/>
      <c r="AB336" s="64"/>
      <c r="AC336" s="64"/>
      <c r="AD336" s="64"/>
      <c r="AE336" s="64"/>
      <c r="AF336" s="64"/>
      <c r="AG336" s="64"/>
    </row>
    <row r="337" spans="1:33">
      <c r="A337" s="64"/>
      <c r="B337" s="64"/>
      <c r="C337" s="64"/>
      <c r="D337" s="64"/>
      <c r="E337" s="70"/>
      <c r="F337" s="70"/>
      <c r="G337" s="64"/>
      <c r="H337" s="64"/>
      <c r="I337" s="64"/>
      <c r="J337" s="64"/>
      <c r="K337" s="64"/>
      <c r="L337" s="64"/>
      <c r="M337" s="64"/>
      <c r="N337" s="64"/>
      <c r="O337" s="64"/>
      <c r="P337" s="64"/>
      <c r="Q337" s="64"/>
      <c r="R337" s="64"/>
      <c r="S337" s="64"/>
      <c r="T337" s="64"/>
      <c r="U337" s="64"/>
      <c r="V337" s="64"/>
      <c r="W337" s="64"/>
      <c r="X337" s="64"/>
      <c r="Y337" s="64"/>
      <c r="Z337" s="64"/>
      <c r="AA337" s="64"/>
      <c r="AB337" s="64"/>
      <c r="AC337" s="64"/>
      <c r="AD337" s="64"/>
      <c r="AE337" s="64"/>
      <c r="AF337" s="64"/>
      <c r="AG337" s="64"/>
    </row>
    <row r="338" spans="1:33">
      <c r="A338" s="64"/>
      <c r="B338" s="64"/>
      <c r="C338" s="64"/>
      <c r="D338" s="64"/>
      <c r="E338" s="70"/>
      <c r="F338" s="70"/>
      <c r="G338" s="64"/>
      <c r="H338" s="64"/>
      <c r="I338" s="64"/>
      <c r="J338" s="64"/>
      <c r="K338" s="64"/>
      <c r="L338" s="64"/>
      <c r="M338" s="64"/>
      <c r="N338" s="64"/>
      <c r="O338" s="64"/>
      <c r="P338" s="64"/>
      <c r="Q338" s="64"/>
      <c r="R338" s="64"/>
      <c r="S338" s="64"/>
      <c r="T338" s="64"/>
      <c r="U338" s="64"/>
      <c r="V338" s="64"/>
      <c r="W338" s="64"/>
      <c r="X338" s="64"/>
      <c r="Y338" s="64"/>
      <c r="Z338" s="64"/>
      <c r="AA338" s="64"/>
      <c r="AB338" s="64"/>
      <c r="AC338" s="64"/>
      <c r="AD338" s="64"/>
      <c r="AE338" s="64"/>
      <c r="AF338" s="64"/>
      <c r="AG338" s="64"/>
    </row>
    <row r="339" spans="1:33">
      <c r="A339" s="64"/>
      <c r="B339" s="64"/>
      <c r="C339" s="64"/>
      <c r="D339" s="64"/>
      <c r="E339" s="70"/>
      <c r="F339" s="70"/>
      <c r="G339" s="64"/>
      <c r="H339" s="64"/>
      <c r="I339" s="64"/>
      <c r="J339" s="64"/>
      <c r="K339" s="64"/>
      <c r="L339" s="64"/>
      <c r="M339" s="64"/>
      <c r="N339" s="64"/>
      <c r="O339" s="64"/>
      <c r="P339" s="64"/>
      <c r="Q339" s="64"/>
      <c r="R339" s="64"/>
      <c r="S339" s="64"/>
      <c r="T339" s="64"/>
      <c r="U339" s="64"/>
      <c r="V339" s="64"/>
      <c r="W339" s="64"/>
      <c r="X339" s="64"/>
      <c r="Y339" s="64"/>
      <c r="Z339" s="64"/>
      <c r="AA339" s="64"/>
      <c r="AB339" s="64"/>
      <c r="AC339" s="64"/>
      <c r="AD339" s="64"/>
      <c r="AE339" s="64"/>
      <c r="AF339" s="64"/>
      <c r="AG339" s="64"/>
    </row>
    <row r="340" spans="1:33">
      <c r="A340" s="64"/>
      <c r="B340" s="64"/>
      <c r="C340" s="64"/>
      <c r="D340" s="64"/>
      <c r="E340" s="70"/>
      <c r="F340" s="70"/>
      <c r="G340" s="64"/>
      <c r="H340" s="64"/>
      <c r="I340" s="64"/>
      <c r="J340" s="64"/>
      <c r="K340" s="64"/>
      <c r="L340" s="64"/>
      <c r="M340" s="64"/>
      <c r="N340" s="64"/>
      <c r="O340" s="64"/>
      <c r="P340" s="64"/>
      <c r="Q340" s="64"/>
      <c r="R340" s="64"/>
      <c r="S340" s="64"/>
      <c r="T340" s="64"/>
      <c r="U340" s="64"/>
      <c r="V340" s="64"/>
      <c r="W340" s="64"/>
      <c r="X340" s="64"/>
      <c r="Y340" s="64"/>
      <c r="Z340" s="64"/>
      <c r="AA340" s="64"/>
      <c r="AB340" s="64"/>
      <c r="AC340" s="64"/>
      <c r="AD340" s="64"/>
      <c r="AE340" s="64"/>
      <c r="AF340" s="64"/>
      <c r="AG340" s="64"/>
    </row>
    <row r="341" spans="1:33">
      <c r="A341" s="64"/>
      <c r="B341" s="64"/>
      <c r="C341" s="64"/>
      <c r="D341" s="64"/>
      <c r="E341" s="70"/>
      <c r="F341" s="70"/>
      <c r="G341" s="64"/>
      <c r="H341" s="64"/>
      <c r="I341" s="64"/>
      <c r="J341" s="64"/>
      <c r="K341" s="64"/>
      <c r="L341" s="64"/>
      <c r="M341" s="64"/>
      <c r="N341" s="64"/>
      <c r="O341" s="64"/>
      <c r="P341" s="64"/>
      <c r="Q341" s="64"/>
      <c r="R341" s="64"/>
      <c r="S341" s="64"/>
      <c r="T341" s="64"/>
      <c r="U341" s="64"/>
      <c r="V341" s="64"/>
      <c r="W341" s="64"/>
      <c r="X341" s="64"/>
      <c r="Y341" s="64"/>
      <c r="Z341" s="64"/>
      <c r="AA341" s="64"/>
      <c r="AB341" s="64"/>
      <c r="AC341" s="64"/>
      <c r="AD341" s="64"/>
      <c r="AE341" s="64"/>
      <c r="AF341" s="64"/>
      <c r="AG341" s="64"/>
    </row>
    <row r="342" spans="1:33">
      <c r="A342" s="64"/>
      <c r="B342" s="64"/>
      <c r="C342" s="64"/>
      <c r="D342" s="64"/>
      <c r="E342" s="70"/>
      <c r="F342" s="70"/>
      <c r="G342" s="64"/>
      <c r="H342" s="64"/>
      <c r="I342" s="64"/>
      <c r="J342" s="64"/>
      <c r="K342" s="64"/>
      <c r="L342" s="64"/>
      <c r="M342" s="64"/>
      <c r="N342" s="64"/>
      <c r="O342" s="64"/>
      <c r="P342" s="64"/>
      <c r="Q342" s="64"/>
      <c r="R342" s="64"/>
      <c r="S342" s="64"/>
      <c r="T342" s="64"/>
      <c r="U342" s="64"/>
      <c r="V342" s="64"/>
      <c r="W342" s="64"/>
      <c r="X342" s="64"/>
      <c r="Y342" s="64"/>
      <c r="Z342" s="64"/>
      <c r="AA342" s="64"/>
      <c r="AB342" s="64"/>
      <c r="AC342" s="64"/>
      <c r="AD342" s="64"/>
      <c r="AE342" s="64"/>
      <c r="AF342" s="64"/>
      <c r="AG342" s="64"/>
    </row>
    <row r="343" spans="1:33">
      <c r="A343" s="64"/>
      <c r="B343" s="64"/>
      <c r="C343" s="64"/>
      <c r="D343" s="64"/>
      <c r="E343" s="70"/>
      <c r="F343" s="70"/>
      <c r="G343" s="64"/>
      <c r="H343" s="64"/>
      <c r="I343" s="64"/>
      <c r="J343" s="64"/>
      <c r="K343" s="64"/>
      <c r="L343" s="64"/>
      <c r="M343" s="64"/>
      <c r="N343" s="64"/>
      <c r="O343" s="64"/>
      <c r="P343" s="64"/>
      <c r="Q343" s="64"/>
      <c r="R343" s="64"/>
      <c r="S343" s="64"/>
      <c r="T343" s="64"/>
      <c r="U343" s="64"/>
      <c r="V343" s="64"/>
      <c r="W343" s="64"/>
      <c r="X343" s="64"/>
      <c r="Y343" s="64"/>
      <c r="Z343" s="64"/>
      <c r="AA343" s="64"/>
      <c r="AB343" s="64"/>
      <c r="AC343" s="64"/>
      <c r="AD343" s="64"/>
      <c r="AE343" s="64"/>
      <c r="AF343" s="64"/>
      <c r="AG343" s="64"/>
    </row>
    <row r="344" spans="1:33">
      <c r="A344" s="64"/>
      <c r="B344" s="64"/>
      <c r="C344" s="64"/>
      <c r="D344" s="64"/>
      <c r="E344" s="70"/>
      <c r="F344" s="70"/>
      <c r="G344" s="64"/>
      <c r="H344" s="64"/>
      <c r="I344" s="64"/>
      <c r="J344" s="64"/>
      <c r="K344" s="64"/>
      <c r="L344" s="64"/>
      <c r="M344" s="64"/>
      <c r="N344" s="64"/>
      <c r="O344" s="64"/>
      <c r="P344" s="64"/>
      <c r="Q344" s="64"/>
      <c r="R344" s="64"/>
      <c r="S344" s="64"/>
      <c r="T344" s="64"/>
      <c r="U344" s="64"/>
      <c r="V344" s="64"/>
      <c r="W344" s="64"/>
      <c r="X344" s="64"/>
      <c r="Y344" s="64"/>
      <c r="Z344" s="64"/>
      <c r="AA344" s="64"/>
      <c r="AB344" s="64"/>
      <c r="AC344" s="64"/>
      <c r="AD344" s="64"/>
      <c r="AE344" s="64"/>
      <c r="AF344" s="64"/>
      <c r="AG344" s="64"/>
    </row>
    <row r="345" spans="1:33">
      <c r="A345" s="64"/>
      <c r="B345" s="64"/>
      <c r="C345" s="64"/>
      <c r="D345" s="64"/>
      <c r="E345" s="70"/>
      <c r="F345" s="70"/>
      <c r="G345" s="64"/>
      <c r="H345" s="64"/>
      <c r="I345" s="64"/>
      <c r="J345" s="64"/>
      <c r="K345" s="64"/>
      <c r="L345" s="64"/>
      <c r="M345" s="64"/>
      <c r="N345" s="64"/>
      <c r="O345" s="64"/>
      <c r="P345" s="64"/>
      <c r="Q345" s="64"/>
      <c r="R345" s="64"/>
      <c r="S345" s="64"/>
      <c r="T345" s="64"/>
      <c r="U345" s="64"/>
      <c r="V345" s="64"/>
      <c r="W345" s="64"/>
      <c r="X345" s="64"/>
      <c r="Y345" s="64"/>
      <c r="Z345" s="64"/>
      <c r="AA345" s="64"/>
      <c r="AB345" s="64"/>
      <c r="AC345" s="64"/>
      <c r="AD345" s="64"/>
      <c r="AE345" s="64"/>
      <c r="AF345" s="64"/>
      <c r="AG345" s="64"/>
    </row>
    <row r="346" spans="1:33">
      <c r="A346" s="64"/>
      <c r="B346" s="64"/>
      <c r="C346" s="64"/>
      <c r="D346" s="64"/>
      <c r="E346" s="70"/>
      <c r="F346" s="70"/>
      <c r="G346" s="64"/>
      <c r="H346" s="64"/>
      <c r="I346" s="64"/>
      <c r="J346" s="64"/>
      <c r="K346" s="64"/>
      <c r="L346" s="64"/>
      <c r="M346" s="64"/>
      <c r="N346" s="64"/>
      <c r="O346" s="64"/>
      <c r="P346" s="64"/>
      <c r="Q346" s="64"/>
      <c r="R346" s="64"/>
      <c r="S346" s="64"/>
      <c r="T346" s="64"/>
      <c r="U346" s="64"/>
      <c r="V346" s="64"/>
      <c r="W346" s="64"/>
      <c r="X346" s="64"/>
      <c r="Y346" s="64"/>
      <c r="Z346" s="64"/>
      <c r="AA346" s="64"/>
      <c r="AB346" s="64"/>
      <c r="AC346" s="64"/>
      <c r="AD346" s="64"/>
      <c r="AE346" s="64"/>
      <c r="AF346" s="64"/>
      <c r="AG346" s="64"/>
    </row>
    <row r="347" spans="1:33">
      <c r="A347" s="64"/>
      <c r="B347" s="64"/>
      <c r="C347" s="64"/>
      <c r="D347" s="64"/>
      <c r="E347" s="70"/>
      <c r="F347" s="70"/>
      <c r="G347" s="64"/>
      <c r="H347" s="64"/>
      <c r="I347" s="64"/>
      <c r="J347" s="64"/>
      <c r="K347" s="64"/>
      <c r="L347" s="64"/>
      <c r="M347" s="64"/>
      <c r="N347" s="64"/>
      <c r="O347" s="64"/>
      <c r="P347" s="64"/>
      <c r="Q347" s="64"/>
      <c r="R347" s="64"/>
      <c r="S347" s="64"/>
      <c r="T347" s="64"/>
      <c r="U347" s="64"/>
      <c r="V347" s="64"/>
      <c r="W347" s="64"/>
      <c r="X347" s="64"/>
      <c r="Y347" s="64"/>
      <c r="Z347" s="64"/>
      <c r="AA347" s="64"/>
      <c r="AB347" s="64"/>
      <c r="AC347" s="64"/>
      <c r="AD347" s="64"/>
      <c r="AE347" s="64"/>
      <c r="AF347" s="64"/>
      <c r="AG347" s="64"/>
    </row>
    <row r="348" spans="1:33">
      <c r="A348" s="64"/>
      <c r="B348" s="64"/>
      <c r="C348" s="64"/>
      <c r="D348" s="64"/>
      <c r="E348" s="70"/>
      <c r="F348" s="70"/>
      <c r="G348" s="64"/>
      <c r="H348" s="64"/>
      <c r="I348" s="64"/>
      <c r="J348" s="64"/>
      <c r="K348" s="64"/>
      <c r="L348" s="64"/>
      <c r="M348" s="64"/>
      <c r="N348" s="64"/>
      <c r="O348" s="64"/>
      <c r="P348" s="64"/>
      <c r="Q348" s="64"/>
      <c r="R348" s="64"/>
      <c r="S348" s="64"/>
      <c r="T348" s="64"/>
      <c r="U348" s="64"/>
      <c r="V348" s="64"/>
      <c r="W348" s="64"/>
      <c r="X348" s="64"/>
      <c r="Y348" s="64"/>
      <c r="Z348" s="64"/>
      <c r="AA348" s="64"/>
      <c r="AB348" s="64"/>
      <c r="AC348" s="64"/>
      <c r="AD348" s="64"/>
      <c r="AE348" s="64"/>
      <c r="AF348" s="64"/>
      <c r="AG348" s="64"/>
    </row>
    <row r="349" spans="1:33">
      <c r="A349" s="64"/>
      <c r="B349" s="64"/>
      <c r="C349" s="64"/>
      <c r="D349" s="64"/>
      <c r="E349" s="70"/>
      <c r="F349" s="70"/>
      <c r="G349" s="64"/>
      <c r="H349" s="64"/>
      <c r="I349" s="64"/>
      <c r="J349" s="64"/>
      <c r="K349" s="64"/>
      <c r="L349" s="64"/>
      <c r="M349" s="64"/>
      <c r="N349" s="64"/>
      <c r="O349" s="64"/>
      <c r="P349" s="64"/>
      <c r="Q349" s="64"/>
      <c r="R349" s="64"/>
      <c r="S349" s="64"/>
      <c r="T349" s="64"/>
      <c r="U349" s="64"/>
      <c r="V349" s="64"/>
      <c r="W349" s="64"/>
      <c r="X349" s="64"/>
      <c r="Y349" s="64"/>
      <c r="Z349" s="64"/>
      <c r="AA349" s="64"/>
      <c r="AB349" s="64"/>
      <c r="AC349" s="64"/>
      <c r="AD349" s="64"/>
      <c r="AE349" s="64"/>
      <c r="AF349" s="64"/>
      <c r="AG349" s="64"/>
    </row>
    <row r="350" spans="1:33">
      <c r="A350" s="64"/>
      <c r="B350" s="64"/>
      <c r="C350" s="64"/>
      <c r="D350" s="64"/>
      <c r="E350" s="70"/>
      <c r="F350" s="70"/>
      <c r="G350" s="64"/>
      <c r="H350" s="64"/>
      <c r="I350" s="64"/>
      <c r="J350" s="64"/>
      <c r="K350" s="64"/>
      <c r="L350" s="64"/>
      <c r="M350" s="64"/>
      <c r="N350" s="64"/>
      <c r="O350" s="64"/>
      <c r="P350" s="64"/>
      <c r="Q350" s="64"/>
      <c r="R350" s="64"/>
      <c r="S350" s="64"/>
      <c r="T350" s="64"/>
      <c r="U350" s="64"/>
      <c r="V350" s="64"/>
      <c r="W350" s="64"/>
      <c r="X350" s="64"/>
      <c r="Y350" s="64"/>
      <c r="Z350" s="64"/>
      <c r="AA350" s="64"/>
      <c r="AB350" s="64"/>
      <c r="AC350" s="64"/>
      <c r="AD350" s="64"/>
      <c r="AE350" s="64"/>
      <c r="AF350" s="64"/>
      <c r="AG350" s="64"/>
    </row>
    <row r="351" spans="1:33">
      <c r="A351" s="64"/>
      <c r="B351" s="64"/>
      <c r="C351" s="64"/>
      <c r="D351" s="64"/>
      <c r="E351" s="70"/>
      <c r="F351" s="70"/>
      <c r="G351" s="64"/>
      <c r="H351" s="64"/>
      <c r="I351" s="64"/>
      <c r="J351" s="64"/>
      <c r="K351" s="64"/>
      <c r="L351" s="64"/>
      <c r="M351" s="64"/>
      <c r="N351" s="64"/>
      <c r="O351" s="64"/>
      <c r="P351" s="64"/>
      <c r="Q351" s="64"/>
      <c r="R351" s="64"/>
      <c r="S351" s="64"/>
      <c r="T351" s="64"/>
      <c r="U351" s="64"/>
      <c r="V351" s="64"/>
      <c r="W351" s="64"/>
      <c r="X351" s="64"/>
      <c r="Y351" s="64"/>
      <c r="Z351" s="64"/>
      <c r="AA351" s="64"/>
      <c r="AB351" s="64"/>
      <c r="AC351" s="64"/>
      <c r="AD351" s="64"/>
      <c r="AE351" s="64"/>
      <c r="AF351" s="64"/>
      <c r="AG351" s="64"/>
    </row>
    <row r="352" spans="1:33">
      <c r="A352" s="64"/>
      <c r="B352" s="64"/>
      <c r="C352" s="64"/>
      <c r="D352" s="64"/>
      <c r="E352" s="70"/>
      <c r="F352" s="70"/>
      <c r="G352" s="64"/>
      <c r="H352" s="64"/>
      <c r="I352" s="64"/>
      <c r="J352" s="64"/>
      <c r="K352" s="64"/>
      <c r="L352" s="64"/>
      <c r="M352" s="64"/>
      <c r="N352" s="64"/>
      <c r="O352" s="64"/>
      <c r="P352" s="64"/>
      <c r="Q352" s="64"/>
      <c r="R352" s="64"/>
      <c r="S352" s="64"/>
      <c r="T352" s="64"/>
      <c r="U352" s="64"/>
      <c r="V352" s="64"/>
      <c r="W352" s="64"/>
      <c r="X352" s="64"/>
      <c r="Y352" s="64"/>
      <c r="Z352" s="64"/>
      <c r="AA352" s="64"/>
      <c r="AB352" s="64"/>
      <c r="AC352" s="64"/>
      <c r="AD352" s="64"/>
      <c r="AE352" s="64"/>
      <c r="AF352" s="64"/>
      <c r="AG352" s="64"/>
    </row>
    <row r="353" spans="1:33">
      <c r="A353" s="64"/>
      <c r="B353" s="64"/>
      <c r="C353" s="64"/>
      <c r="D353" s="64"/>
      <c r="E353" s="70"/>
      <c r="F353" s="70"/>
      <c r="G353" s="64"/>
      <c r="H353" s="64"/>
      <c r="I353" s="64"/>
      <c r="J353" s="64"/>
      <c r="K353" s="64"/>
      <c r="L353" s="64"/>
      <c r="M353" s="64"/>
      <c r="N353" s="64"/>
      <c r="O353" s="64"/>
      <c r="P353" s="64"/>
      <c r="Q353" s="64"/>
      <c r="R353" s="64"/>
      <c r="S353" s="64"/>
      <c r="T353" s="64"/>
      <c r="U353" s="64"/>
      <c r="V353" s="64"/>
      <c r="W353" s="64"/>
      <c r="X353" s="64"/>
      <c r="Y353" s="64"/>
      <c r="Z353" s="64"/>
      <c r="AA353" s="64"/>
      <c r="AB353" s="64"/>
      <c r="AC353" s="64"/>
      <c r="AD353" s="64"/>
      <c r="AE353" s="64"/>
      <c r="AF353" s="64"/>
      <c r="AG353" s="64"/>
    </row>
    <row r="354" spans="1:33">
      <c r="A354" s="64"/>
      <c r="B354" s="64"/>
      <c r="C354" s="64"/>
      <c r="D354" s="64"/>
      <c r="E354" s="70"/>
      <c r="F354" s="70"/>
      <c r="G354" s="64"/>
      <c r="H354" s="64"/>
      <c r="I354" s="64"/>
      <c r="J354" s="64"/>
      <c r="K354" s="64"/>
      <c r="L354" s="64"/>
      <c r="M354" s="64"/>
      <c r="N354" s="64"/>
      <c r="O354" s="64"/>
      <c r="P354" s="64"/>
      <c r="Q354" s="64"/>
      <c r="R354" s="64"/>
      <c r="S354" s="64"/>
      <c r="T354" s="64"/>
      <c r="U354" s="64"/>
      <c r="V354" s="64"/>
      <c r="W354" s="64"/>
      <c r="X354" s="64"/>
      <c r="Y354" s="64"/>
      <c r="Z354" s="64"/>
      <c r="AA354" s="64"/>
      <c r="AB354" s="64"/>
      <c r="AC354" s="64"/>
      <c r="AD354" s="64"/>
      <c r="AE354" s="64"/>
      <c r="AF354" s="64"/>
      <c r="AG354" s="64"/>
    </row>
    <row r="355" spans="1:33">
      <c r="A355" s="64"/>
      <c r="B355" s="64"/>
      <c r="C355" s="64"/>
      <c r="D355" s="64"/>
      <c r="E355" s="70"/>
      <c r="F355" s="70"/>
      <c r="G355" s="64"/>
      <c r="H355" s="64"/>
      <c r="I355" s="64"/>
      <c r="J355" s="64"/>
      <c r="K355" s="64"/>
      <c r="L355" s="64"/>
      <c r="M355" s="64"/>
      <c r="N355" s="64"/>
      <c r="O355" s="64"/>
      <c r="P355" s="64"/>
      <c r="Q355" s="64"/>
      <c r="R355" s="64"/>
      <c r="S355" s="64"/>
      <c r="T355" s="64"/>
      <c r="U355" s="64"/>
      <c r="V355" s="64"/>
      <c r="W355" s="64"/>
      <c r="X355" s="64"/>
      <c r="Y355" s="64"/>
      <c r="Z355" s="64"/>
      <c r="AA355" s="64"/>
      <c r="AB355" s="64"/>
      <c r="AC355" s="64"/>
      <c r="AD355" s="64"/>
      <c r="AE355" s="64"/>
      <c r="AF355" s="64"/>
      <c r="AG355" s="64"/>
    </row>
    <row r="356" spans="1:33">
      <c r="A356" s="64"/>
      <c r="B356" s="64"/>
      <c r="C356" s="64"/>
      <c r="D356" s="64"/>
      <c r="E356" s="70"/>
      <c r="F356" s="70"/>
      <c r="G356" s="64"/>
      <c r="H356" s="64"/>
      <c r="I356" s="64"/>
      <c r="J356" s="64"/>
      <c r="K356" s="64"/>
      <c r="L356" s="64"/>
      <c r="M356" s="64"/>
      <c r="N356" s="64"/>
      <c r="O356" s="64"/>
      <c r="P356" s="64"/>
      <c r="Q356" s="64"/>
      <c r="R356" s="64"/>
      <c r="S356" s="64"/>
      <c r="T356" s="64"/>
      <c r="U356" s="64"/>
      <c r="V356" s="64"/>
      <c r="W356" s="64"/>
      <c r="X356" s="64"/>
      <c r="Y356" s="64"/>
      <c r="Z356" s="64"/>
      <c r="AA356" s="64"/>
      <c r="AB356" s="64"/>
      <c r="AC356" s="64"/>
      <c r="AD356" s="64"/>
      <c r="AE356" s="64"/>
      <c r="AF356" s="64"/>
      <c r="AG356" s="64"/>
    </row>
    <row r="357" spans="1:33">
      <c r="A357" s="64"/>
      <c r="B357" s="64"/>
      <c r="C357" s="64"/>
      <c r="D357" s="64"/>
      <c r="E357" s="70"/>
      <c r="F357" s="70"/>
      <c r="G357" s="64"/>
      <c r="H357" s="64"/>
      <c r="I357" s="64"/>
      <c r="J357" s="64"/>
      <c r="K357" s="64"/>
      <c r="L357" s="64"/>
      <c r="M357" s="64"/>
      <c r="N357" s="64"/>
      <c r="O357" s="64"/>
      <c r="P357" s="64"/>
      <c r="Q357" s="64"/>
      <c r="R357" s="64"/>
      <c r="S357" s="64"/>
      <c r="T357" s="64"/>
      <c r="U357" s="64"/>
      <c r="V357" s="64"/>
      <c r="W357" s="64"/>
      <c r="X357" s="64"/>
      <c r="Y357" s="64"/>
      <c r="Z357" s="64"/>
      <c r="AA357" s="64"/>
      <c r="AB357" s="64"/>
      <c r="AC357" s="64"/>
      <c r="AD357" s="64"/>
      <c r="AE357" s="64"/>
      <c r="AF357" s="64"/>
      <c r="AG357" s="64"/>
    </row>
    <row r="358" spans="1:33">
      <c r="A358" s="64"/>
      <c r="B358" s="64"/>
      <c r="C358" s="64"/>
      <c r="D358" s="64"/>
      <c r="E358" s="70"/>
      <c r="F358" s="70"/>
      <c r="G358" s="64"/>
      <c r="H358" s="64"/>
      <c r="I358" s="64"/>
      <c r="J358" s="64"/>
      <c r="K358" s="64"/>
      <c r="L358" s="64"/>
      <c r="M358" s="64"/>
      <c r="N358" s="64"/>
      <c r="O358" s="64"/>
      <c r="P358" s="64"/>
      <c r="Q358" s="64"/>
      <c r="R358" s="64"/>
      <c r="S358" s="64"/>
      <c r="T358" s="64"/>
      <c r="U358" s="64"/>
      <c r="V358" s="64"/>
      <c r="W358" s="64"/>
      <c r="X358" s="64"/>
      <c r="Y358" s="64"/>
      <c r="Z358" s="64"/>
      <c r="AA358" s="64"/>
      <c r="AB358" s="64"/>
      <c r="AC358" s="64"/>
      <c r="AD358" s="64"/>
      <c r="AE358" s="64"/>
      <c r="AF358" s="64"/>
      <c r="AG358" s="64"/>
    </row>
    <row r="359" spans="1:33">
      <c r="A359" s="64"/>
      <c r="B359" s="64"/>
      <c r="C359" s="64"/>
      <c r="D359" s="64"/>
      <c r="E359" s="70"/>
      <c r="F359" s="70"/>
      <c r="G359" s="64"/>
      <c r="H359" s="64"/>
      <c r="I359" s="64"/>
      <c r="J359" s="64"/>
      <c r="K359" s="64"/>
      <c r="L359" s="64"/>
      <c r="M359" s="64"/>
      <c r="N359" s="64"/>
      <c r="O359" s="64"/>
      <c r="P359" s="64"/>
      <c r="Q359" s="64"/>
      <c r="R359" s="64"/>
      <c r="S359" s="64"/>
      <c r="T359" s="64"/>
      <c r="U359" s="64"/>
      <c r="V359" s="64"/>
      <c r="W359" s="64"/>
      <c r="X359" s="64"/>
      <c r="Y359" s="64"/>
      <c r="Z359" s="64"/>
      <c r="AA359" s="64"/>
      <c r="AB359" s="64"/>
      <c r="AC359" s="64"/>
      <c r="AD359" s="64"/>
      <c r="AE359" s="64"/>
      <c r="AF359" s="64"/>
      <c r="AG359" s="64"/>
    </row>
    <row r="360" spans="1:33">
      <c r="A360" s="64"/>
      <c r="B360" s="64"/>
      <c r="C360" s="64"/>
      <c r="D360" s="64"/>
      <c r="E360" s="70"/>
      <c r="F360" s="70"/>
      <c r="G360" s="64"/>
      <c r="H360" s="64"/>
      <c r="I360" s="64"/>
      <c r="J360" s="64"/>
      <c r="K360" s="64"/>
      <c r="L360" s="64"/>
      <c r="M360" s="64"/>
      <c r="N360" s="64"/>
      <c r="O360" s="64"/>
      <c r="P360" s="64"/>
      <c r="Q360" s="64"/>
      <c r="R360" s="64"/>
      <c r="S360" s="64"/>
      <c r="T360" s="64"/>
      <c r="U360" s="64"/>
      <c r="V360" s="64"/>
      <c r="W360" s="64"/>
      <c r="X360" s="64"/>
      <c r="Y360" s="64"/>
      <c r="Z360" s="64"/>
      <c r="AA360" s="64"/>
      <c r="AB360" s="64"/>
      <c r="AC360" s="64"/>
      <c r="AD360" s="64"/>
      <c r="AE360" s="64"/>
      <c r="AF360" s="64"/>
      <c r="AG360" s="64"/>
    </row>
    <row r="361" spans="1:33">
      <c r="A361" s="64"/>
      <c r="B361" s="64"/>
      <c r="C361" s="64"/>
      <c r="D361" s="64"/>
      <c r="E361" s="70"/>
      <c r="F361" s="70"/>
      <c r="G361" s="64"/>
      <c r="H361" s="64"/>
      <c r="I361" s="64"/>
      <c r="J361" s="64"/>
      <c r="K361" s="64"/>
      <c r="L361" s="64"/>
      <c r="M361" s="64"/>
      <c r="N361" s="64"/>
      <c r="O361" s="64"/>
      <c r="P361" s="64"/>
      <c r="Q361" s="64"/>
      <c r="R361" s="64"/>
      <c r="S361" s="64"/>
      <c r="T361" s="64"/>
      <c r="U361" s="64"/>
      <c r="V361" s="64"/>
      <c r="W361" s="64"/>
      <c r="X361" s="64"/>
      <c r="Y361" s="64"/>
      <c r="Z361" s="64"/>
      <c r="AA361" s="64"/>
      <c r="AB361" s="64"/>
      <c r="AC361" s="64"/>
      <c r="AD361" s="64"/>
      <c r="AE361" s="64"/>
      <c r="AF361" s="64"/>
      <c r="AG361" s="64"/>
    </row>
    <row r="362" spans="1:33">
      <c r="A362" s="64"/>
      <c r="B362" s="64"/>
      <c r="C362" s="64"/>
      <c r="D362" s="64"/>
      <c r="E362" s="70"/>
      <c r="F362" s="70"/>
      <c r="G362" s="64"/>
      <c r="H362" s="64"/>
      <c r="I362" s="64"/>
      <c r="J362" s="64"/>
      <c r="K362" s="64"/>
      <c r="L362" s="64"/>
      <c r="M362" s="64"/>
      <c r="N362" s="64"/>
      <c r="O362" s="64"/>
      <c r="P362" s="64"/>
      <c r="Q362" s="64"/>
      <c r="R362" s="64"/>
      <c r="S362" s="64"/>
      <c r="T362" s="64"/>
      <c r="U362" s="64"/>
      <c r="V362" s="64"/>
      <c r="W362" s="64"/>
      <c r="X362" s="64"/>
      <c r="Y362" s="64"/>
      <c r="Z362" s="64"/>
      <c r="AA362" s="64"/>
      <c r="AB362" s="64"/>
      <c r="AC362" s="64"/>
      <c r="AD362" s="64"/>
      <c r="AE362" s="64"/>
      <c r="AF362" s="64"/>
      <c r="AG362" s="64"/>
    </row>
    <row r="363" spans="1:33">
      <c r="A363" s="64"/>
      <c r="B363" s="64"/>
      <c r="C363" s="64"/>
      <c r="D363" s="64"/>
      <c r="E363" s="70"/>
      <c r="F363" s="70"/>
      <c r="G363" s="64"/>
      <c r="H363" s="64"/>
      <c r="I363" s="64"/>
      <c r="J363" s="64"/>
      <c r="K363" s="64"/>
      <c r="L363" s="64"/>
      <c r="M363" s="64"/>
      <c r="N363" s="64"/>
      <c r="O363" s="64"/>
      <c r="P363" s="64"/>
      <c r="Q363" s="64"/>
      <c r="R363" s="64"/>
      <c r="S363" s="64"/>
      <c r="T363" s="64"/>
      <c r="U363" s="64"/>
      <c r="V363" s="64"/>
      <c r="W363" s="64"/>
      <c r="X363" s="64"/>
      <c r="Y363" s="64"/>
      <c r="Z363" s="64"/>
      <c r="AA363" s="64"/>
      <c r="AB363" s="64"/>
      <c r="AC363" s="64"/>
      <c r="AD363" s="64"/>
      <c r="AE363" s="64"/>
      <c r="AF363" s="64"/>
      <c r="AG363" s="64"/>
    </row>
    <row r="364" spans="1:33">
      <c r="A364" s="64"/>
      <c r="B364" s="64"/>
      <c r="C364" s="64"/>
      <c r="D364" s="64"/>
      <c r="E364" s="70"/>
      <c r="F364" s="70"/>
      <c r="G364" s="64"/>
      <c r="H364" s="64"/>
      <c r="I364" s="64"/>
      <c r="J364" s="64"/>
      <c r="K364" s="64"/>
      <c r="L364" s="64"/>
      <c r="M364" s="64"/>
      <c r="N364" s="64"/>
      <c r="O364" s="64"/>
      <c r="P364" s="64"/>
      <c r="Q364" s="64"/>
      <c r="R364" s="64"/>
      <c r="S364" s="64"/>
      <c r="T364" s="64"/>
      <c r="U364" s="64"/>
      <c r="V364" s="64"/>
      <c r="W364" s="64"/>
      <c r="X364" s="64"/>
      <c r="Y364" s="64"/>
      <c r="Z364" s="64"/>
      <c r="AA364" s="64"/>
      <c r="AB364" s="64"/>
      <c r="AC364" s="64"/>
      <c r="AD364" s="64"/>
      <c r="AE364" s="64"/>
      <c r="AF364" s="64"/>
      <c r="AG364" s="64"/>
    </row>
    <row r="365" spans="1:33">
      <c r="A365" s="64"/>
      <c r="B365" s="64"/>
      <c r="C365" s="64"/>
      <c r="D365" s="64"/>
      <c r="E365" s="70"/>
      <c r="F365" s="70"/>
      <c r="G365" s="64"/>
      <c r="H365" s="64"/>
      <c r="I365" s="64"/>
      <c r="J365" s="64"/>
      <c r="K365" s="64"/>
      <c r="L365" s="64"/>
      <c r="M365" s="64"/>
      <c r="N365" s="64"/>
      <c r="O365" s="64"/>
      <c r="P365" s="64"/>
      <c r="Q365" s="64"/>
      <c r="R365" s="64"/>
      <c r="S365" s="64"/>
      <c r="T365" s="64"/>
      <c r="U365" s="64"/>
      <c r="V365" s="64"/>
      <c r="W365" s="64"/>
      <c r="X365" s="64"/>
      <c r="Y365" s="64"/>
      <c r="Z365" s="64"/>
      <c r="AA365" s="64"/>
      <c r="AB365" s="64"/>
      <c r="AC365" s="64"/>
      <c r="AD365" s="64"/>
      <c r="AE365" s="64"/>
      <c r="AF365" s="64"/>
      <c r="AG365" s="64"/>
    </row>
    <row r="366" spans="1:33">
      <c r="A366" s="64"/>
      <c r="B366" s="64"/>
      <c r="C366" s="64"/>
      <c r="D366" s="64"/>
      <c r="E366" s="70"/>
      <c r="F366" s="70"/>
      <c r="G366" s="64"/>
      <c r="H366" s="64"/>
      <c r="I366" s="64"/>
      <c r="J366" s="64"/>
      <c r="K366" s="64"/>
      <c r="L366" s="64"/>
      <c r="M366" s="64"/>
      <c r="N366" s="64"/>
      <c r="O366" s="64"/>
      <c r="P366" s="64"/>
      <c r="Q366" s="64"/>
      <c r="R366" s="64"/>
      <c r="S366" s="64"/>
      <c r="T366" s="64"/>
      <c r="U366" s="64"/>
      <c r="V366" s="64"/>
      <c r="W366" s="64"/>
      <c r="X366" s="64"/>
      <c r="Y366" s="64"/>
      <c r="Z366" s="64"/>
      <c r="AA366" s="64"/>
      <c r="AB366" s="64"/>
      <c r="AC366" s="64"/>
      <c r="AD366" s="64"/>
      <c r="AE366" s="64"/>
      <c r="AF366" s="64"/>
      <c r="AG366" s="64"/>
    </row>
    <row r="367" spans="1:33">
      <c r="A367" s="64"/>
      <c r="B367" s="64"/>
      <c r="C367" s="64"/>
      <c r="D367" s="64"/>
      <c r="E367" s="70"/>
      <c r="F367" s="70"/>
      <c r="G367" s="64"/>
      <c r="H367" s="64"/>
      <c r="I367" s="64"/>
      <c r="J367" s="64"/>
      <c r="K367" s="64"/>
      <c r="L367" s="64"/>
      <c r="M367" s="64"/>
      <c r="N367" s="64"/>
      <c r="O367" s="64"/>
      <c r="P367" s="64"/>
      <c r="Q367" s="64"/>
      <c r="R367" s="64"/>
      <c r="S367" s="64"/>
      <c r="T367" s="64"/>
      <c r="U367" s="64"/>
      <c r="V367" s="64"/>
      <c r="W367" s="64"/>
      <c r="X367" s="64"/>
      <c r="Y367" s="64"/>
      <c r="Z367" s="64"/>
      <c r="AA367" s="64"/>
      <c r="AB367" s="64"/>
      <c r="AC367" s="64"/>
      <c r="AD367" s="64"/>
      <c r="AE367" s="64"/>
      <c r="AF367" s="64"/>
      <c r="AG367" s="64"/>
    </row>
    <row r="368" spans="1:33">
      <c r="A368" s="64"/>
      <c r="B368" s="64"/>
      <c r="C368" s="64"/>
      <c r="D368" s="64"/>
      <c r="E368" s="70"/>
      <c r="F368" s="70"/>
      <c r="G368" s="64"/>
      <c r="H368" s="64"/>
      <c r="I368" s="64"/>
      <c r="J368" s="64"/>
      <c r="K368" s="64"/>
      <c r="L368" s="64"/>
      <c r="M368" s="64"/>
      <c r="N368" s="64"/>
      <c r="O368" s="64"/>
      <c r="P368" s="64"/>
      <c r="Q368" s="64"/>
      <c r="R368" s="64"/>
      <c r="S368" s="64"/>
      <c r="T368" s="64"/>
      <c r="U368" s="64"/>
      <c r="V368" s="64"/>
      <c r="W368" s="64"/>
      <c r="X368" s="64"/>
      <c r="Y368" s="64"/>
      <c r="Z368" s="64"/>
      <c r="AA368" s="64"/>
      <c r="AB368" s="64"/>
      <c r="AC368" s="64"/>
      <c r="AD368" s="64"/>
      <c r="AE368" s="64"/>
      <c r="AF368" s="64"/>
      <c r="AG368" s="64"/>
    </row>
    <row r="369" spans="1:33">
      <c r="A369" s="64"/>
      <c r="B369" s="64"/>
      <c r="C369" s="64"/>
      <c r="D369" s="64"/>
      <c r="E369" s="70"/>
      <c r="F369" s="70"/>
      <c r="G369" s="64"/>
      <c r="H369" s="64"/>
      <c r="I369" s="64"/>
      <c r="J369" s="64"/>
      <c r="K369" s="64"/>
      <c r="L369" s="64"/>
      <c r="M369" s="64"/>
      <c r="N369" s="64"/>
      <c r="O369" s="64"/>
      <c r="P369" s="64"/>
      <c r="Q369" s="64"/>
      <c r="R369" s="64"/>
      <c r="S369" s="64"/>
      <c r="T369" s="64"/>
      <c r="U369" s="64"/>
      <c r="V369" s="64"/>
      <c r="W369" s="64"/>
      <c r="X369" s="64"/>
      <c r="Y369" s="64"/>
      <c r="Z369" s="64"/>
      <c r="AA369" s="64"/>
      <c r="AB369" s="64"/>
      <c r="AC369" s="64"/>
      <c r="AD369" s="64"/>
      <c r="AE369" s="64"/>
      <c r="AF369" s="64"/>
      <c r="AG369" s="64"/>
    </row>
    <row r="370" spans="1:33">
      <c r="A370" s="64"/>
      <c r="B370" s="64"/>
      <c r="C370" s="64"/>
      <c r="D370" s="64"/>
      <c r="E370" s="70"/>
      <c r="F370" s="70"/>
      <c r="G370" s="64"/>
      <c r="H370" s="64"/>
      <c r="I370" s="64"/>
      <c r="J370" s="64"/>
      <c r="K370" s="64"/>
      <c r="L370" s="64"/>
      <c r="M370" s="64"/>
      <c r="N370" s="64"/>
      <c r="O370" s="64"/>
      <c r="P370" s="64"/>
      <c r="Q370" s="64"/>
      <c r="R370" s="64"/>
      <c r="S370" s="64"/>
      <c r="T370" s="64"/>
      <c r="U370" s="64"/>
      <c r="V370" s="64"/>
      <c r="W370" s="64"/>
      <c r="X370" s="64"/>
      <c r="Y370" s="64"/>
      <c r="Z370" s="64"/>
      <c r="AA370" s="64"/>
      <c r="AB370" s="64"/>
      <c r="AC370" s="64"/>
      <c r="AD370" s="64"/>
      <c r="AE370" s="64"/>
      <c r="AF370" s="64"/>
      <c r="AG370" s="64"/>
    </row>
    <row r="371" spans="1:33">
      <c r="A371" s="64"/>
      <c r="B371" s="64"/>
      <c r="C371" s="64"/>
      <c r="D371" s="64"/>
      <c r="E371" s="70"/>
      <c r="F371" s="70"/>
      <c r="G371" s="64"/>
      <c r="H371" s="64"/>
      <c r="I371" s="64"/>
      <c r="J371" s="64"/>
      <c r="K371" s="64"/>
      <c r="L371" s="64"/>
      <c r="M371" s="64"/>
      <c r="N371" s="64"/>
      <c r="O371" s="64"/>
      <c r="P371" s="64"/>
      <c r="Q371" s="64"/>
      <c r="R371" s="64"/>
      <c r="S371" s="64"/>
      <c r="T371" s="64"/>
      <c r="U371" s="64"/>
      <c r="V371" s="64"/>
      <c r="W371" s="64"/>
      <c r="X371" s="64"/>
      <c r="Y371" s="64"/>
      <c r="Z371" s="64"/>
      <c r="AA371" s="64"/>
      <c r="AB371" s="64"/>
      <c r="AC371" s="64"/>
      <c r="AD371" s="64"/>
      <c r="AE371" s="64"/>
      <c r="AF371" s="64"/>
      <c r="AG371" s="64"/>
    </row>
    <row r="372" spans="1:33">
      <c r="A372" s="64"/>
      <c r="B372" s="64"/>
      <c r="C372" s="64"/>
      <c r="D372" s="64"/>
      <c r="E372" s="70"/>
      <c r="F372" s="70"/>
      <c r="G372" s="64"/>
      <c r="H372" s="64"/>
      <c r="I372" s="64"/>
      <c r="J372" s="64"/>
      <c r="K372" s="64"/>
      <c r="L372" s="64"/>
      <c r="M372" s="64"/>
      <c r="N372" s="64"/>
      <c r="O372" s="64"/>
      <c r="P372" s="64"/>
      <c r="Q372" s="64"/>
      <c r="R372" s="64"/>
      <c r="S372" s="64"/>
      <c r="T372" s="64"/>
      <c r="U372" s="64"/>
      <c r="V372" s="64"/>
      <c r="W372" s="64"/>
      <c r="X372" s="64"/>
      <c r="Y372" s="64"/>
      <c r="Z372" s="64"/>
      <c r="AA372" s="64"/>
      <c r="AB372" s="64"/>
      <c r="AC372" s="64"/>
      <c r="AD372" s="64"/>
      <c r="AE372" s="64"/>
      <c r="AF372" s="64"/>
      <c r="AG372" s="64"/>
    </row>
    <row r="373" spans="1:33">
      <c r="A373" s="64"/>
      <c r="B373" s="64"/>
      <c r="C373" s="64"/>
      <c r="D373" s="64"/>
      <c r="E373" s="70"/>
      <c r="F373" s="70"/>
      <c r="G373" s="64"/>
      <c r="H373" s="64"/>
      <c r="I373" s="64"/>
      <c r="J373" s="64"/>
      <c r="K373" s="64"/>
      <c r="L373" s="64"/>
      <c r="M373" s="64"/>
      <c r="N373" s="64"/>
      <c r="O373" s="64"/>
      <c r="P373" s="64"/>
      <c r="Q373" s="64"/>
      <c r="R373" s="64"/>
      <c r="S373" s="64"/>
      <c r="T373" s="64"/>
      <c r="U373" s="64"/>
      <c r="V373" s="64"/>
      <c r="W373" s="64"/>
      <c r="X373" s="64"/>
      <c r="Y373" s="64"/>
      <c r="Z373" s="64"/>
      <c r="AA373" s="64"/>
      <c r="AB373" s="64"/>
      <c r="AC373" s="64"/>
      <c r="AD373" s="64"/>
      <c r="AE373" s="64"/>
      <c r="AF373" s="64"/>
      <c r="AG373" s="64"/>
    </row>
    <row r="374" spans="1:33">
      <c r="A374" s="64"/>
      <c r="B374" s="64"/>
      <c r="C374" s="64"/>
      <c r="D374" s="64"/>
      <c r="E374" s="70"/>
      <c r="F374" s="70"/>
      <c r="G374" s="64"/>
      <c r="H374" s="64"/>
      <c r="I374" s="64"/>
      <c r="J374" s="64"/>
      <c r="K374" s="64"/>
      <c r="L374" s="64"/>
      <c r="M374" s="64"/>
      <c r="N374" s="64"/>
      <c r="O374" s="64"/>
      <c r="P374" s="64"/>
      <c r="Q374" s="64"/>
      <c r="R374" s="64"/>
      <c r="S374" s="64"/>
      <c r="T374" s="64"/>
      <c r="U374" s="64"/>
      <c r="V374" s="64"/>
      <c r="W374" s="64"/>
      <c r="X374" s="64"/>
      <c r="Y374" s="64"/>
      <c r="Z374" s="64"/>
      <c r="AA374" s="64"/>
      <c r="AB374" s="64"/>
      <c r="AC374" s="64"/>
      <c r="AD374" s="64"/>
      <c r="AE374" s="64"/>
      <c r="AF374" s="64"/>
      <c r="AG374" s="64"/>
    </row>
    <row r="375" spans="1:33">
      <c r="A375" s="64"/>
      <c r="B375" s="64"/>
      <c r="C375" s="64"/>
      <c r="D375" s="64"/>
      <c r="E375" s="70"/>
      <c r="F375" s="70"/>
      <c r="G375" s="64"/>
      <c r="H375" s="64"/>
      <c r="I375" s="64"/>
      <c r="J375" s="64"/>
      <c r="K375" s="64"/>
      <c r="L375" s="64"/>
      <c r="M375" s="64"/>
      <c r="N375" s="64"/>
      <c r="O375" s="64"/>
      <c r="P375" s="64"/>
      <c r="Q375" s="64"/>
      <c r="R375" s="64"/>
      <c r="S375" s="64"/>
      <c r="T375" s="64"/>
      <c r="U375" s="64"/>
      <c r="V375" s="64"/>
      <c r="W375" s="64"/>
      <c r="X375" s="64"/>
      <c r="Y375" s="64"/>
      <c r="Z375" s="64"/>
      <c r="AA375" s="64"/>
      <c r="AB375" s="64"/>
      <c r="AC375" s="64"/>
      <c r="AD375" s="64"/>
      <c r="AE375" s="64"/>
      <c r="AF375" s="64"/>
      <c r="AG375" s="64"/>
    </row>
    <row r="376" spans="1:33">
      <c r="A376" s="64"/>
      <c r="B376" s="64"/>
      <c r="C376" s="64"/>
      <c r="D376" s="64"/>
      <c r="E376" s="70"/>
      <c r="F376" s="70"/>
      <c r="G376" s="64"/>
      <c r="H376" s="64"/>
      <c r="I376" s="64"/>
      <c r="J376" s="64"/>
      <c r="K376" s="64"/>
      <c r="L376" s="64"/>
      <c r="M376" s="64"/>
      <c r="N376" s="64"/>
      <c r="O376" s="64"/>
      <c r="P376" s="64"/>
      <c r="Q376" s="64"/>
      <c r="R376" s="64"/>
      <c r="S376" s="64"/>
      <c r="T376" s="64"/>
      <c r="U376" s="64"/>
      <c r="V376" s="64"/>
      <c r="W376" s="64"/>
      <c r="X376" s="64"/>
      <c r="Y376" s="64"/>
      <c r="Z376" s="64"/>
      <c r="AA376" s="64"/>
      <c r="AB376" s="64"/>
      <c r="AC376" s="64"/>
      <c r="AD376" s="64"/>
      <c r="AE376" s="64"/>
      <c r="AF376" s="64"/>
      <c r="AG376" s="64"/>
    </row>
    <row r="377" spans="1:33">
      <c r="A377" s="64"/>
      <c r="B377" s="64"/>
      <c r="C377" s="64"/>
      <c r="D377" s="64"/>
      <c r="E377" s="70"/>
      <c r="F377" s="70"/>
      <c r="G377" s="64"/>
      <c r="H377" s="64"/>
      <c r="I377" s="64"/>
      <c r="J377" s="64"/>
      <c r="K377" s="64"/>
      <c r="L377" s="64"/>
      <c r="M377" s="64"/>
      <c r="N377" s="64"/>
      <c r="O377" s="64"/>
      <c r="P377" s="64"/>
      <c r="Q377" s="64"/>
      <c r="R377" s="64"/>
      <c r="S377" s="64"/>
      <c r="T377" s="64"/>
      <c r="U377" s="64"/>
      <c r="V377" s="64"/>
      <c r="W377" s="64"/>
      <c r="X377" s="64"/>
      <c r="Y377" s="64"/>
      <c r="Z377" s="64"/>
      <c r="AA377" s="64"/>
      <c r="AB377" s="64"/>
      <c r="AC377" s="64"/>
      <c r="AD377" s="64"/>
      <c r="AE377" s="64"/>
      <c r="AF377" s="64"/>
      <c r="AG377" s="64"/>
    </row>
    <row r="378" spans="1:33">
      <c r="A378" s="64"/>
      <c r="B378" s="64"/>
      <c r="C378" s="64"/>
      <c r="D378" s="64"/>
      <c r="E378" s="70"/>
      <c r="F378" s="70"/>
      <c r="G378" s="64"/>
      <c r="H378" s="64"/>
      <c r="I378" s="64"/>
      <c r="J378" s="64"/>
      <c r="K378" s="64"/>
      <c r="L378" s="64"/>
      <c r="M378" s="64"/>
      <c r="N378" s="64"/>
      <c r="O378" s="64"/>
      <c r="P378" s="64"/>
      <c r="Q378" s="64"/>
      <c r="R378" s="64"/>
      <c r="S378" s="64"/>
      <c r="T378" s="64"/>
      <c r="U378" s="64"/>
      <c r="V378" s="64"/>
      <c r="W378" s="64"/>
      <c r="X378" s="64"/>
      <c r="Y378" s="64"/>
      <c r="Z378" s="64"/>
      <c r="AA378" s="64"/>
      <c r="AB378" s="64"/>
      <c r="AC378" s="64"/>
      <c r="AD378" s="64"/>
      <c r="AE378" s="64"/>
      <c r="AF378" s="64"/>
      <c r="AG378" s="64"/>
    </row>
    <row r="379" spans="1:33">
      <c r="A379" s="64"/>
      <c r="B379" s="64"/>
      <c r="C379" s="64"/>
      <c r="D379" s="64"/>
      <c r="E379" s="70"/>
      <c r="F379" s="70"/>
      <c r="G379" s="64"/>
      <c r="H379" s="64"/>
      <c r="I379" s="64"/>
      <c r="J379" s="64"/>
      <c r="K379" s="64"/>
      <c r="L379" s="64"/>
      <c r="M379" s="64"/>
      <c r="N379" s="64"/>
      <c r="O379" s="64"/>
      <c r="P379" s="64"/>
      <c r="Q379" s="64"/>
      <c r="R379" s="64"/>
      <c r="S379" s="64"/>
      <c r="T379" s="64"/>
      <c r="U379" s="64"/>
      <c r="V379" s="64"/>
      <c r="W379" s="64"/>
      <c r="X379" s="64"/>
      <c r="Y379" s="64"/>
      <c r="Z379" s="64"/>
      <c r="AA379" s="64"/>
      <c r="AB379" s="64"/>
      <c r="AC379" s="64"/>
      <c r="AD379" s="64"/>
      <c r="AE379" s="64"/>
      <c r="AF379" s="64"/>
      <c r="AG379" s="64"/>
    </row>
    <row r="380" spans="1:33">
      <c r="A380" s="64"/>
      <c r="B380" s="64"/>
      <c r="C380" s="64"/>
      <c r="D380" s="64"/>
      <c r="E380" s="70"/>
      <c r="F380" s="70"/>
      <c r="G380" s="64"/>
      <c r="H380" s="64"/>
      <c r="I380" s="64"/>
      <c r="J380" s="64"/>
      <c r="K380" s="64"/>
      <c r="L380" s="64"/>
      <c r="M380" s="64"/>
      <c r="N380" s="64"/>
      <c r="O380" s="64"/>
      <c r="P380" s="64"/>
      <c r="Q380" s="64"/>
      <c r="R380" s="64"/>
      <c r="S380" s="64"/>
      <c r="T380" s="64"/>
      <c r="U380" s="64"/>
      <c r="V380" s="64"/>
      <c r="W380" s="64"/>
      <c r="X380" s="64"/>
      <c r="Y380" s="64"/>
      <c r="Z380" s="64"/>
      <c r="AA380" s="64"/>
      <c r="AB380" s="64"/>
      <c r="AC380" s="64"/>
      <c r="AD380" s="64"/>
      <c r="AE380" s="64"/>
      <c r="AF380" s="64"/>
      <c r="AG380" s="64"/>
    </row>
    <row r="381" spans="1:33">
      <c r="A381" s="64"/>
      <c r="B381" s="64"/>
      <c r="C381" s="64"/>
      <c r="D381" s="64"/>
      <c r="E381" s="70"/>
      <c r="F381" s="70"/>
      <c r="G381" s="64"/>
      <c r="H381" s="64"/>
      <c r="I381" s="64"/>
      <c r="J381" s="64"/>
      <c r="K381" s="64"/>
      <c r="L381" s="64"/>
      <c r="M381" s="64"/>
      <c r="N381" s="64"/>
      <c r="O381" s="64"/>
      <c r="P381" s="64"/>
      <c r="Q381" s="64"/>
      <c r="R381" s="64"/>
      <c r="S381" s="64"/>
      <c r="T381" s="64"/>
      <c r="U381" s="64"/>
      <c r="V381" s="64"/>
      <c r="W381" s="64"/>
      <c r="X381" s="64"/>
      <c r="Y381" s="64"/>
      <c r="Z381" s="64"/>
      <c r="AA381" s="64"/>
      <c r="AB381" s="64"/>
      <c r="AC381" s="64"/>
      <c r="AD381" s="64"/>
      <c r="AE381" s="64"/>
      <c r="AF381" s="64"/>
      <c r="AG381" s="64"/>
    </row>
    <row r="382" spans="1:33">
      <c r="A382" s="64"/>
      <c r="B382" s="64"/>
      <c r="C382" s="64"/>
      <c r="D382" s="64"/>
      <c r="E382" s="70"/>
      <c r="F382" s="70"/>
      <c r="G382" s="64"/>
      <c r="H382" s="64"/>
      <c r="I382" s="64"/>
      <c r="J382" s="64"/>
      <c r="K382" s="64"/>
      <c r="L382" s="64"/>
      <c r="M382" s="64"/>
      <c r="N382" s="64"/>
      <c r="O382" s="64"/>
      <c r="P382" s="64"/>
      <c r="Q382" s="64"/>
      <c r="R382" s="64"/>
      <c r="S382" s="64"/>
      <c r="T382" s="64"/>
      <c r="U382" s="64"/>
      <c r="V382" s="64"/>
      <c r="W382" s="64"/>
      <c r="X382" s="64"/>
      <c r="Y382" s="64"/>
      <c r="Z382" s="64"/>
      <c r="AA382" s="64"/>
      <c r="AB382" s="64"/>
      <c r="AC382" s="64"/>
      <c r="AD382" s="64"/>
      <c r="AE382" s="64"/>
      <c r="AF382" s="64"/>
      <c r="AG382" s="64"/>
    </row>
    <row r="383" spans="1:33">
      <c r="A383" s="64"/>
      <c r="B383" s="64"/>
      <c r="C383" s="64"/>
      <c r="D383" s="64"/>
      <c r="E383" s="70"/>
      <c r="F383" s="70"/>
      <c r="G383" s="64"/>
      <c r="H383" s="64"/>
      <c r="I383" s="64"/>
      <c r="J383" s="64"/>
      <c r="K383" s="64"/>
      <c r="L383" s="64"/>
      <c r="M383" s="64"/>
      <c r="N383" s="64"/>
      <c r="O383" s="64"/>
      <c r="P383" s="64"/>
      <c r="Q383" s="64"/>
      <c r="R383" s="64"/>
      <c r="S383" s="64"/>
      <c r="T383" s="64"/>
      <c r="U383" s="64"/>
      <c r="V383" s="64"/>
      <c r="W383" s="64"/>
      <c r="X383" s="64"/>
      <c r="Y383" s="64"/>
      <c r="Z383" s="64"/>
      <c r="AA383" s="64"/>
      <c r="AB383" s="64"/>
      <c r="AC383" s="64"/>
      <c r="AD383" s="64"/>
      <c r="AE383" s="64"/>
      <c r="AF383" s="64"/>
      <c r="AG383" s="64"/>
    </row>
    <row r="384" spans="1:33">
      <c r="A384" s="64"/>
      <c r="B384" s="64"/>
      <c r="C384" s="64"/>
      <c r="D384" s="64"/>
      <c r="E384" s="70"/>
      <c r="F384" s="70"/>
      <c r="G384" s="64"/>
      <c r="H384" s="64"/>
      <c r="I384" s="64"/>
      <c r="J384" s="64"/>
      <c r="K384" s="64"/>
      <c r="L384" s="64"/>
      <c r="M384" s="64"/>
      <c r="N384" s="64"/>
      <c r="O384" s="64"/>
      <c r="P384" s="64"/>
      <c r="Q384" s="64"/>
      <c r="R384" s="64"/>
      <c r="S384" s="64"/>
      <c r="T384" s="64"/>
      <c r="U384" s="64"/>
      <c r="V384" s="64"/>
      <c r="W384" s="64"/>
      <c r="X384" s="64"/>
      <c r="Y384" s="64"/>
      <c r="Z384" s="64"/>
      <c r="AA384" s="64"/>
      <c r="AB384" s="64"/>
      <c r="AC384" s="64"/>
      <c r="AD384" s="64"/>
      <c r="AE384" s="64"/>
      <c r="AF384" s="64"/>
      <c r="AG384" s="64"/>
    </row>
    <row r="385" spans="1:33">
      <c r="A385" s="64"/>
      <c r="B385" s="64"/>
      <c r="C385" s="64"/>
      <c r="D385" s="64"/>
      <c r="E385" s="70"/>
      <c r="F385" s="70"/>
      <c r="G385" s="64"/>
      <c r="H385" s="64"/>
      <c r="I385" s="64"/>
      <c r="J385" s="64"/>
      <c r="K385" s="64"/>
      <c r="L385" s="64"/>
      <c r="M385" s="64"/>
      <c r="N385" s="64"/>
      <c r="O385" s="64"/>
      <c r="P385" s="64"/>
      <c r="Q385" s="64"/>
      <c r="R385" s="64"/>
      <c r="S385" s="64"/>
      <c r="T385" s="64"/>
      <c r="U385" s="64"/>
      <c r="V385" s="64"/>
      <c r="W385" s="64"/>
      <c r="X385" s="64"/>
      <c r="Y385" s="64"/>
      <c r="Z385" s="64"/>
      <c r="AA385" s="64"/>
      <c r="AB385" s="64"/>
      <c r="AC385" s="64"/>
      <c r="AD385" s="64"/>
      <c r="AE385" s="64"/>
      <c r="AF385" s="64"/>
      <c r="AG385" s="64"/>
    </row>
    <row r="386" spans="1:33">
      <c r="A386" s="64"/>
      <c r="B386" s="64"/>
      <c r="C386" s="64"/>
      <c r="D386" s="64"/>
      <c r="E386" s="70"/>
      <c r="F386" s="70"/>
      <c r="G386" s="64"/>
      <c r="H386" s="64"/>
      <c r="I386" s="64"/>
      <c r="J386" s="64"/>
      <c r="K386" s="64"/>
      <c r="L386" s="64"/>
      <c r="M386" s="64"/>
      <c r="N386" s="64"/>
      <c r="O386" s="64"/>
      <c r="P386" s="64"/>
      <c r="Q386" s="64"/>
      <c r="R386" s="64"/>
      <c r="S386" s="64"/>
      <c r="T386" s="64"/>
      <c r="U386" s="64"/>
      <c r="V386" s="64"/>
      <c r="W386" s="64"/>
      <c r="X386" s="64"/>
      <c r="Y386" s="64"/>
      <c r="Z386" s="64"/>
      <c r="AA386" s="64"/>
      <c r="AB386" s="64"/>
      <c r="AC386" s="64"/>
      <c r="AD386" s="64"/>
      <c r="AE386" s="64"/>
      <c r="AF386" s="64"/>
      <c r="AG386" s="64"/>
    </row>
    <row r="387" spans="1:33">
      <c r="A387" s="64"/>
      <c r="B387" s="64"/>
      <c r="C387" s="64"/>
      <c r="D387" s="64"/>
      <c r="E387" s="70"/>
      <c r="F387" s="70"/>
      <c r="G387" s="64"/>
      <c r="H387" s="64"/>
      <c r="I387" s="64"/>
      <c r="J387" s="64"/>
      <c r="K387" s="64"/>
      <c r="L387" s="64"/>
      <c r="M387" s="64"/>
      <c r="N387" s="64"/>
      <c r="O387" s="64"/>
      <c r="P387" s="64"/>
      <c r="Q387" s="64"/>
      <c r="R387" s="64"/>
      <c r="S387" s="64"/>
      <c r="T387" s="64"/>
      <c r="U387" s="64"/>
      <c r="V387" s="64"/>
      <c r="W387" s="64"/>
      <c r="X387" s="64"/>
      <c r="Y387" s="64"/>
      <c r="Z387" s="64"/>
      <c r="AA387" s="64"/>
      <c r="AB387" s="64"/>
      <c r="AC387" s="64"/>
      <c r="AD387" s="64"/>
      <c r="AE387" s="64"/>
      <c r="AF387" s="64"/>
      <c r="AG387" s="64"/>
    </row>
    <row r="388" spans="1:33">
      <c r="A388" s="64"/>
      <c r="B388" s="64"/>
      <c r="C388" s="64"/>
      <c r="D388" s="64"/>
      <c r="E388" s="70"/>
      <c r="F388" s="70"/>
      <c r="G388" s="64"/>
      <c r="H388" s="64"/>
      <c r="I388" s="64"/>
      <c r="J388" s="64"/>
      <c r="K388" s="64"/>
      <c r="L388" s="64"/>
      <c r="M388" s="64"/>
      <c r="N388" s="64"/>
      <c r="O388" s="64"/>
      <c r="P388" s="64"/>
      <c r="Q388" s="64"/>
      <c r="R388" s="64"/>
      <c r="S388" s="64"/>
      <c r="T388" s="64"/>
      <c r="U388" s="64"/>
      <c r="V388" s="64"/>
      <c r="W388" s="64"/>
      <c r="X388" s="64"/>
      <c r="Y388" s="64"/>
      <c r="Z388" s="64"/>
      <c r="AA388" s="64"/>
      <c r="AB388" s="64"/>
      <c r="AC388" s="64"/>
      <c r="AD388" s="64"/>
      <c r="AE388" s="64"/>
      <c r="AF388" s="64"/>
      <c r="AG388" s="64"/>
    </row>
    <row r="389" spans="1:33">
      <c r="A389" s="64"/>
      <c r="B389" s="64"/>
      <c r="C389" s="64"/>
      <c r="D389" s="64"/>
      <c r="E389" s="70"/>
      <c r="F389" s="70"/>
      <c r="G389" s="64"/>
      <c r="H389" s="64"/>
      <c r="I389" s="64"/>
      <c r="J389" s="64"/>
      <c r="K389" s="64"/>
      <c r="L389" s="64"/>
      <c r="M389" s="64"/>
      <c r="N389" s="64"/>
      <c r="O389" s="64"/>
      <c r="P389" s="64"/>
      <c r="Q389" s="64"/>
      <c r="R389" s="64"/>
      <c r="S389" s="64"/>
      <c r="T389" s="64"/>
      <c r="U389" s="64"/>
      <c r="V389" s="64"/>
      <c r="W389" s="64"/>
      <c r="X389" s="64"/>
      <c r="Y389" s="64"/>
      <c r="Z389" s="64"/>
      <c r="AA389" s="64"/>
      <c r="AB389" s="64"/>
      <c r="AC389" s="64"/>
      <c r="AD389" s="64"/>
      <c r="AE389" s="64"/>
      <c r="AF389" s="64"/>
      <c r="AG389" s="64"/>
    </row>
    <row r="390" spans="1:33">
      <c r="A390" s="64"/>
      <c r="B390" s="64"/>
      <c r="C390" s="64"/>
      <c r="D390" s="64"/>
      <c r="E390" s="70"/>
      <c r="F390" s="70"/>
      <c r="G390" s="64"/>
      <c r="H390" s="64"/>
      <c r="I390" s="64"/>
      <c r="J390" s="64"/>
      <c r="K390" s="64"/>
      <c r="L390" s="64"/>
      <c r="M390" s="64"/>
      <c r="N390" s="64"/>
      <c r="O390" s="64"/>
      <c r="P390" s="64"/>
      <c r="Q390" s="64"/>
      <c r="R390" s="64"/>
      <c r="S390" s="64"/>
      <c r="T390" s="64"/>
      <c r="U390" s="64"/>
      <c r="V390" s="64"/>
      <c r="W390" s="64"/>
      <c r="X390" s="64"/>
      <c r="Y390" s="64"/>
      <c r="Z390" s="64"/>
      <c r="AA390" s="64"/>
      <c r="AB390" s="64"/>
      <c r="AC390" s="64"/>
      <c r="AD390" s="64"/>
      <c r="AE390" s="64"/>
      <c r="AF390" s="64"/>
      <c r="AG390" s="64"/>
    </row>
    <row r="391" spans="1:33">
      <c r="A391" s="64"/>
      <c r="B391" s="64"/>
      <c r="C391" s="64"/>
      <c r="D391" s="64"/>
      <c r="E391" s="70"/>
      <c r="F391" s="70"/>
      <c r="G391" s="64"/>
      <c r="H391" s="64"/>
      <c r="I391" s="64"/>
      <c r="J391" s="64"/>
      <c r="K391" s="64"/>
      <c r="L391" s="64"/>
      <c r="M391" s="64"/>
      <c r="N391" s="64"/>
      <c r="O391" s="64"/>
      <c r="P391" s="64"/>
      <c r="Q391" s="64"/>
      <c r="R391" s="64"/>
      <c r="S391" s="64"/>
      <c r="T391" s="64"/>
      <c r="U391" s="64"/>
      <c r="V391" s="64"/>
      <c r="W391" s="64"/>
      <c r="X391" s="64"/>
      <c r="Y391" s="64"/>
      <c r="Z391" s="64"/>
      <c r="AA391" s="64"/>
      <c r="AB391" s="64"/>
      <c r="AC391" s="64"/>
      <c r="AD391" s="64"/>
      <c r="AE391" s="64"/>
      <c r="AF391" s="64"/>
      <c r="AG391" s="64"/>
    </row>
    <row r="392" spans="1:33">
      <c r="A392" s="64"/>
      <c r="B392" s="64"/>
      <c r="C392" s="64"/>
      <c r="D392" s="64"/>
      <c r="E392" s="70"/>
      <c r="F392" s="70"/>
      <c r="G392" s="64"/>
      <c r="H392" s="64"/>
      <c r="I392" s="64"/>
      <c r="J392" s="64"/>
      <c r="K392" s="64"/>
      <c r="L392" s="64"/>
      <c r="M392" s="64"/>
      <c r="N392" s="64"/>
      <c r="O392" s="64"/>
      <c r="P392" s="64"/>
      <c r="Q392" s="64"/>
      <c r="R392" s="64"/>
      <c r="S392" s="64"/>
      <c r="T392" s="64"/>
      <c r="U392" s="64"/>
      <c r="V392" s="64"/>
      <c r="W392" s="64"/>
      <c r="X392" s="64"/>
      <c r="Y392" s="64"/>
      <c r="Z392" s="64"/>
      <c r="AA392" s="64"/>
      <c r="AB392" s="64"/>
      <c r="AC392" s="64"/>
      <c r="AD392" s="64"/>
      <c r="AE392" s="64"/>
      <c r="AF392" s="64"/>
      <c r="AG392" s="64"/>
    </row>
    <row r="393" spans="1:33">
      <c r="A393" s="64"/>
      <c r="B393" s="64"/>
      <c r="C393" s="64"/>
      <c r="D393" s="64"/>
      <c r="E393" s="70"/>
      <c r="F393" s="70"/>
      <c r="G393" s="64"/>
      <c r="H393" s="64"/>
      <c r="I393" s="64"/>
      <c r="J393" s="64"/>
      <c r="K393" s="64"/>
      <c r="L393" s="64"/>
      <c r="M393" s="64"/>
      <c r="N393" s="64"/>
      <c r="O393" s="64"/>
      <c r="P393" s="64"/>
      <c r="Q393" s="64"/>
      <c r="R393" s="64"/>
      <c r="S393" s="64"/>
      <c r="T393" s="64"/>
      <c r="U393" s="64"/>
      <c r="V393" s="64"/>
      <c r="W393" s="64"/>
      <c r="X393" s="64"/>
      <c r="Y393" s="64"/>
      <c r="Z393" s="64"/>
      <c r="AA393" s="64"/>
      <c r="AB393" s="64"/>
      <c r="AC393" s="64"/>
      <c r="AD393" s="64"/>
      <c r="AE393" s="64"/>
      <c r="AF393" s="64"/>
      <c r="AG393" s="64"/>
    </row>
    <row r="394" spans="1:33">
      <c r="A394" s="64"/>
      <c r="B394" s="64"/>
      <c r="C394" s="64"/>
      <c r="D394" s="64"/>
      <c r="E394" s="70"/>
      <c r="F394" s="70"/>
      <c r="G394" s="64"/>
      <c r="H394" s="64"/>
      <c r="I394" s="64"/>
      <c r="J394" s="64"/>
      <c r="K394" s="64"/>
      <c r="L394" s="64"/>
      <c r="M394" s="64"/>
      <c r="N394" s="64"/>
      <c r="O394" s="64"/>
      <c r="P394" s="64"/>
      <c r="Q394" s="64"/>
      <c r="R394" s="64"/>
      <c r="S394" s="64"/>
      <c r="T394" s="64"/>
      <c r="U394" s="64"/>
      <c r="V394" s="64"/>
      <c r="W394" s="64"/>
      <c r="X394" s="64"/>
      <c r="Y394" s="64"/>
      <c r="Z394" s="64"/>
      <c r="AA394" s="64"/>
      <c r="AB394" s="64"/>
      <c r="AC394" s="64"/>
      <c r="AD394" s="64"/>
      <c r="AE394" s="64"/>
      <c r="AF394" s="64"/>
      <c r="AG394" s="64"/>
    </row>
    <row r="395" spans="1:33">
      <c r="A395" s="64"/>
      <c r="B395" s="64"/>
      <c r="C395" s="64"/>
      <c r="D395" s="64"/>
      <c r="E395" s="70"/>
      <c r="F395" s="70"/>
      <c r="G395" s="64"/>
      <c r="H395" s="64"/>
      <c r="I395" s="64"/>
      <c r="J395" s="64"/>
      <c r="K395" s="64"/>
      <c r="L395" s="64"/>
      <c r="M395" s="64"/>
      <c r="N395" s="64"/>
      <c r="O395" s="64"/>
      <c r="P395" s="64"/>
      <c r="Q395" s="64"/>
      <c r="R395" s="64"/>
      <c r="S395" s="64"/>
      <c r="T395" s="64"/>
      <c r="U395" s="64"/>
      <c r="V395" s="64"/>
      <c r="W395" s="64"/>
      <c r="X395" s="64"/>
      <c r="Y395" s="64"/>
      <c r="Z395" s="64"/>
      <c r="AA395" s="64"/>
      <c r="AB395" s="64"/>
      <c r="AC395" s="64"/>
      <c r="AD395" s="64"/>
      <c r="AE395" s="64"/>
      <c r="AF395" s="64"/>
      <c r="AG395" s="64"/>
    </row>
    <row r="396" spans="1:33">
      <c r="A396" s="64"/>
      <c r="B396" s="64"/>
      <c r="C396" s="64"/>
      <c r="D396" s="64"/>
      <c r="E396" s="70"/>
      <c r="F396" s="70"/>
      <c r="G396" s="64"/>
      <c r="H396" s="64"/>
      <c r="I396" s="64"/>
      <c r="J396" s="64"/>
      <c r="K396" s="64"/>
      <c r="L396" s="64"/>
      <c r="M396" s="64"/>
      <c r="N396" s="64"/>
      <c r="O396" s="64"/>
      <c r="P396" s="64"/>
      <c r="Q396" s="64"/>
      <c r="R396" s="64"/>
      <c r="S396" s="64"/>
      <c r="T396" s="64"/>
      <c r="U396" s="64"/>
      <c r="V396" s="64"/>
      <c r="W396" s="64"/>
      <c r="X396" s="64"/>
      <c r="Y396" s="64"/>
      <c r="Z396" s="64"/>
      <c r="AA396" s="64"/>
      <c r="AB396" s="64"/>
      <c r="AC396" s="64"/>
      <c r="AD396" s="64"/>
      <c r="AE396" s="64"/>
      <c r="AF396" s="64"/>
      <c r="AG396" s="64"/>
    </row>
    <row r="397" spans="1:33">
      <c r="A397" s="64"/>
      <c r="B397" s="64"/>
      <c r="C397" s="64"/>
      <c r="D397" s="64"/>
      <c r="E397" s="70"/>
      <c r="F397" s="70"/>
      <c r="G397" s="64"/>
      <c r="H397" s="64"/>
      <c r="I397" s="64"/>
      <c r="J397" s="64"/>
      <c r="K397" s="64"/>
      <c r="L397" s="64"/>
      <c r="M397" s="64"/>
      <c r="N397" s="64"/>
      <c r="O397" s="64"/>
      <c r="P397" s="64"/>
      <c r="Q397" s="64"/>
      <c r="R397" s="64"/>
      <c r="S397" s="64"/>
      <c r="T397" s="64"/>
      <c r="U397" s="64"/>
      <c r="V397" s="64"/>
      <c r="W397" s="64"/>
      <c r="X397" s="64"/>
      <c r="Y397" s="64"/>
      <c r="Z397" s="64"/>
      <c r="AA397" s="64"/>
      <c r="AB397" s="64"/>
      <c r="AC397" s="64"/>
      <c r="AD397" s="64"/>
      <c r="AE397" s="64"/>
      <c r="AF397" s="64"/>
      <c r="AG397" s="64"/>
    </row>
    <row r="398" spans="1:33">
      <c r="A398" s="64"/>
      <c r="B398" s="64"/>
      <c r="C398" s="64"/>
      <c r="D398" s="64"/>
      <c r="E398" s="70"/>
      <c r="F398" s="70"/>
      <c r="G398" s="64"/>
      <c r="H398" s="64"/>
      <c r="I398" s="64"/>
      <c r="J398" s="64"/>
      <c r="K398" s="64"/>
      <c r="L398" s="64"/>
      <c r="M398" s="64"/>
      <c r="N398" s="64"/>
      <c r="O398" s="64"/>
      <c r="P398" s="64"/>
      <c r="Q398" s="64"/>
      <c r="R398" s="64"/>
      <c r="S398" s="64"/>
      <c r="T398" s="64"/>
      <c r="U398" s="64"/>
      <c r="V398" s="64"/>
      <c r="W398" s="64"/>
      <c r="X398" s="64"/>
      <c r="Y398" s="64"/>
      <c r="Z398" s="64"/>
      <c r="AA398" s="64"/>
      <c r="AB398" s="64"/>
      <c r="AC398" s="64"/>
      <c r="AD398" s="64"/>
      <c r="AE398" s="64"/>
      <c r="AF398" s="64"/>
      <c r="AG398" s="64"/>
    </row>
    <row r="399" spans="1:33">
      <c r="A399" s="64"/>
      <c r="B399" s="64"/>
      <c r="C399" s="64"/>
      <c r="D399" s="64"/>
      <c r="E399" s="70"/>
      <c r="F399" s="70"/>
      <c r="G399" s="64"/>
      <c r="H399" s="64"/>
      <c r="I399" s="64"/>
      <c r="J399" s="64"/>
      <c r="K399" s="64"/>
      <c r="L399" s="64"/>
      <c r="M399" s="64"/>
      <c r="N399" s="64"/>
      <c r="O399" s="64"/>
      <c r="P399" s="64"/>
      <c r="Q399" s="64"/>
      <c r="R399" s="64"/>
      <c r="S399" s="64"/>
      <c r="T399" s="64"/>
      <c r="U399" s="64"/>
      <c r="V399" s="64"/>
      <c r="W399" s="64"/>
      <c r="X399" s="64"/>
      <c r="Y399" s="64"/>
      <c r="Z399" s="64"/>
      <c r="AA399" s="64"/>
      <c r="AB399" s="64"/>
      <c r="AC399" s="64"/>
      <c r="AD399" s="64"/>
      <c r="AE399" s="64"/>
      <c r="AF399" s="64"/>
      <c r="AG399" s="64"/>
    </row>
    <row r="400" spans="1:33">
      <c r="A400" s="64"/>
      <c r="B400" s="64"/>
      <c r="C400" s="64"/>
      <c r="D400" s="64"/>
      <c r="E400" s="70"/>
      <c r="F400" s="70"/>
      <c r="G400" s="64"/>
      <c r="H400" s="64"/>
      <c r="I400" s="64"/>
      <c r="J400" s="64"/>
      <c r="K400" s="64"/>
      <c r="L400" s="64"/>
      <c r="M400" s="64"/>
      <c r="N400" s="64"/>
      <c r="O400" s="64"/>
      <c r="P400" s="64"/>
      <c r="Q400" s="64"/>
      <c r="R400" s="64"/>
      <c r="S400" s="64"/>
      <c r="T400" s="64"/>
      <c r="U400" s="64"/>
      <c r="V400" s="64"/>
      <c r="W400" s="64"/>
      <c r="X400" s="64"/>
      <c r="Y400" s="64"/>
      <c r="Z400" s="64"/>
      <c r="AA400" s="64"/>
      <c r="AB400" s="64"/>
      <c r="AC400" s="64"/>
      <c r="AD400" s="64"/>
      <c r="AE400" s="64"/>
      <c r="AF400" s="64"/>
      <c r="AG400" s="64"/>
    </row>
    <row r="401" spans="1:33">
      <c r="A401" s="64"/>
      <c r="B401" s="64"/>
      <c r="C401" s="64"/>
      <c r="D401" s="64"/>
      <c r="E401" s="70"/>
      <c r="F401" s="70"/>
      <c r="G401" s="64"/>
      <c r="H401" s="64"/>
      <c r="I401" s="64"/>
      <c r="J401" s="64"/>
      <c r="K401" s="64"/>
      <c r="L401" s="64"/>
      <c r="M401" s="64"/>
      <c r="N401" s="64"/>
      <c r="O401" s="64"/>
      <c r="P401" s="64"/>
      <c r="Q401" s="64"/>
      <c r="R401" s="64"/>
      <c r="S401" s="64"/>
      <c r="T401" s="64"/>
      <c r="U401" s="64"/>
      <c r="V401" s="64"/>
      <c r="W401" s="64"/>
      <c r="X401" s="64"/>
      <c r="Y401" s="64"/>
      <c r="Z401" s="64"/>
      <c r="AA401" s="64"/>
      <c r="AB401" s="64"/>
      <c r="AC401" s="64"/>
      <c r="AD401" s="64"/>
      <c r="AE401" s="64"/>
      <c r="AF401" s="64"/>
      <c r="AG401" s="64"/>
    </row>
    <row r="402" spans="1:33">
      <c r="A402" s="64"/>
      <c r="B402" s="64"/>
      <c r="C402" s="64"/>
      <c r="D402" s="64"/>
      <c r="E402" s="70"/>
      <c r="F402" s="70"/>
      <c r="G402" s="64"/>
      <c r="H402" s="64"/>
      <c r="I402" s="64"/>
      <c r="J402" s="64"/>
      <c r="K402" s="64"/>
      <c r="L402" s="64"/>
      <c r="M402" s="64"/>
      <c r="N402" s="64"/>
      <c r="O402" s="64"/>
      <c r="P402" s="64"/>
      <c r="Q402" s="64"/>
      <c r="R402" s="64"/>
      <c r="S402" s="64"/>
      <c r="T402" s="64"/>
      <c r="U402" s="64"/>
      <c r="V402" s="64"/>
      <c r="W402" s="64"/>
      <c r="X402" s="64"/>
      <c r="Y402" s="64"/>
      <c r="Z402" s="64"/>
      <c r="AA402" s="64"/>
      <c r="AB402" s="64"/>
      <c r="AC402" s="64"/>
      <c r="AD402" s="64"/>
      <c r="AE402" s="64"/>
      <c r="AF402" s="64"/>
      <c r="AG402" s="64"/>
    </row>
    <row r="403" spans="1:33">
      <c r="A403" s="64"/>
      <c r="B403" s="64"/>
      <c r="C403" s="64"/>
      <c r="D403" s="64"/>
      <c r="E403" s="70"/>
      <c r="F403" s="70"/>
      <c r="G403" s="64"/>
      <c r="H403" s="64"/>
      <c r="I403" s="64"/>
      <c r="J403" s="64"/>
      <c r="K403" s="64"/>
      <c r="L403" s="64"/>
      <c r="M403" s="64"/>
      <c r="N403" s="64"/>
      <c r="O403" s="64"/>
      <c r="P403" s="64"/>
      <c r="Q403" s="64"/>
      <c r="R403" s="64"/>
      <c r="S403" s="64"/>
      <c r="T403" s="64"/>
      <c r="U403" s="64"/>
      <c r="V403" s="64"/>
      <c r="W403" s="64"/>
      <c r="X403" s="64"/>
      <c r="Y403" s="64"/>
      <c r="Z403" s="64"/>
      <c r="AA403" s="64"/>
      <c r="AB403" s="64"/>
      <c r="AC403" s="64"/>
      <c r="AD403" s="64"/>
      <c r="AE403" s="64"/>
      <c r="AF403" s="64"/>
      <c r="AG403" s="64"/>
    </row>
    <row r="404" spans="1:33">
      <c r="A404" s="64"/>
      <c r="B404" s="64"/>
      <c r="C404" s="64"/>
      <c r="D404" s="64"/>
      <c r="E404" s="70"/>
      <c r="F404" s="70"/>
      <c r="G404" s="64"/>
      <c r="H404" s="64"/>
      <c r="I404" s="64"/>
      <c r="J404" s="64"/>
      <c r="K404" s="64"/>
      <c r="L404" s="64"/>
      <c r="M404" s="64"/>
      <c r="N404" s="64"/>
      <c r="O404" s="64"/>
      <c r="P404" s="64"/>
      <c r="Q404" s="64"/>
      <c r="R404" s="64"/>
      <c r="S404" s="64"/>
      <c r="T404" s="64"/>
      <c r="U404" s="64"/>
      <c r="V404" s="64"/>
      <c r="W404" s="64"/>
      <c r="X404" s="64"/>
      <c r="Y404" s="64"/>
      <c r="Z404" s="64"/>
      <c r="AA404" s="64"/>
      <c r="AB404" s="64"/>
      <c r="AC404" s="64"/>
      <c r="AD404" s="64"/>
      <c r="AE404" s="64"/>
      <c r="AF404" s="64"/>
      <c r="AG404" s="64"/>
    </row>
    <row r="405" spans="1:33">
      <c r="A405" s="64"/>
      <c r="B405" s="64"/>
      <c r="C405" s="64"/>
      <c r="D405" s="64"/>
      <c r="E405" s="70"/>
      <c r="F405" s="70"/>
      <c r="G405" s="64"/>
      <c r="H405" s="64"/>
      <c r="I405" s="64"/>
      <c r="J405" s="64"/>
      <c r="K405" s="64"/>
      <c r="L405" s="64"/>
      <c r="M405" s="64"/>
      <c r="N405" s="64"/>
      <c r="O405" s="64"/>
      <c r="P405" s="64"/>
      <c r="Q405" s="64"/>
      <c r="R405" s="64"/>
      <c r="S405" s="64"/>
      <c r="T405" s="64"/>
      <c r="U405" s="64"/>
      <c r="V405" s="64"/>
      <c r="W405" s="64"/>
      <c r="X405" s="64"/>
      <c r="Y405" s="64"/>
      <c r="Z405" s="64"/>
      <c r="AA405" s="64"/>
      <c r="AB405" s="64"/>
      <c r="AC405" s="64"/>
      <c r="AD405" s="64"/>
      <c r="AE405" s="64"/>
      <c r="AF405" s="64"/>
      <c r="AG405" s="64"/>
    </row>
    <row r="406" spans="1:33">
      <c r="A406" s="64"/>
      <c r="B406" s="64"/>
      <c r="C406" s="64"/>
      <c r="D406" s="64"/>
      <c r="E406" s="70"/>
      <c r="F406" s="70"/>
      <c r="G406" s="64"/>
      <c r="H406" s="64"/>
      <c r="I406" s="64"/>
      <c r="J406" s="64"/>
      <c r="K406" s="64"/>
      <c r="L406" s="64"/>
      <c r="M406" s="64"/>
      <c r="N406" s="64"/>
      <c r="O406" s="64"/>
      <c r="P406" s="64"/>
      <c r="Q406" s="64"/>
      <c r="R406" s="64"/>
      <c r="S406" s="64"/>
      <c r="T406" s="64"/>
      <c r="U406" s="64"/>
      <c r="V406" s="64"/>
      <c r="W406" s="64"/>
      <c r="X406" s="64"/>
      <c r="Y406" s="64"/>
      <c r="Z406" s="64"/>
      <c r="AA406" s="64"/>
      <c r="AB406" s="64"/>
      <c r="AC406" s="64"/>
      <c r="AD406" s="64"/>
      <c r="AE406" s="64"/>
      <c r="AF406" s="64"/>
      <c r="AG406" s="64"/>
    </row>
    <row r="407" spans="1:33">
      <c r="A407" s="64"/>
      <c r="B407" s="64"/>
      <c r="C407" s="64"/>
      <c r="D407" s="64"/>
      <c r="E407" s="70"/>
      <c r="F407" s="70"/>
      <c r="G407" s="64"/>
      <c r="H407" s="64"/>
      <c r="I407" s="64"/>
      <c r="J407" s="64"/>
      <c r="K407" s="64"/>
      <c r="L407" s="64"/>
      <c r="M407" s="64"/>
      <c r="N407" s="64"/>
      <c r="O407" s="64"/>
      <c r="P407" s="64"/>
      <c r="Q407" s="64"/>
      <c r="R407" s="64"/>
      <c r="S407" s="64"/>
      <c r="T407" s="64"/>
      <c r="U407" s="64"/>
      <c r="V407" s="64"/>
      <c r="W407" s="64"/>
      <c r="X407" s="64"/>
      <c r="Y407" s="64"/>
      <c r="Z407" s="64"/>
      <c r="AA407" s="64"/>
      <c r="AB407" s="64"/>
      <c r="AC407" s="64"/>
      <c r="AD407" s="64"/>
      <c r="AE407" s="64"/>
      <c r="AF407" s="64"/>
      <c r="AG407" s="64"/>
    </row>
    <row r="408" spans="1:33">
      <c r="A408" s="64"/>
      <c r="B408" s="64"/>
      <c r="C408" s="64"/>
      <c r="D408" s="64"/>
      <c r="E408" s="70"/>
      <c r="F408" s="70"/>
      <c r="G408" s="64"/>
      <c r="H408" s="64"/>
      <c r="I408" s="64"/>
      <c r="J408" s="64"/>
      <c r="K408" s="64"/>
      <c r="L408" s="64"/>
      <c r="M408" s="64"/>
      <c r="N408" s="64"/>
      <c r="O408" s="64"/>
      <c r="P408" s="64"/>
      <c r="Q408" s="64"/>
      <c r="R408" s="64"/>
      <c r="S408" s="64"/>
      <c r="T408" s="64"/>
      <c r="U408" s="64"/>
      <c r="V408" s="64"/>
      <c r="W408" s="64"/>
      <c r="X408" s="64"/>
      <c r="Y408" s="64"/>
      <c r="Z408" s="64"/>
      <c r="AA408" s="64"/>
      <c r="AB408" s="64"/>
      <c r="AC408" s="64"/>
      <c r="AD408" s="64"/>
      <c r="AE408" s="64"/>
      <c r="AF408" s="64"/>
      <c r="AG408" s="64"/>
    </row>
    <row r="409" spans="1:33">
      <c r="A409" s="64"/>
      <c r="B409" s="64"/>
      <c r="C409" s="64"/>
      <c r="D409" s="64"/>
      <c r="E409" s="70"/>
      <c r="F409" s="70"/>
      <c r="G409" s="64"/>
      <c r="H409" s="64"/>
      <c r="I409" s="64"/>
      <c r="J409" s="64"/>
      <c r="K409" s="64"/>
      <c r="L409" s="64"/>
      <c r="M409" s="64"/>
      <c r="N409" s="64"/>
      <c r="O409" s="64"/>
      <c r="P409" s="64"/>
      <c r="Q409" s="64"/>
      <c r="R409" s="64"/>
      <c r="S409" s="64"/>
      <c r="T409" s="64"/>
      <c r="U409" s="64"/>
      <c r="V409" s="64"/>
      <c r="W409" s="64"/>
      <c r="X409" s="64"/>
      <c r="Y409" s="64"/>
      <c r="Z409" s="64"/>
      <c r="AA409" s="64"/>
      <c r="AB409" s="64"/>
      <c r="AC409" s="64"/>
      <c r="AD409" s="64"/>
      <c r="AE409" s="64"/>
      <c r="AF409" s="64"/>
      <c r="AG409" s="64"/>
    </row>
    <row r="410" spans="1:33">
      <c r="A410" s="64"/>
      <c r="B410" s="64"/>
      <c r="C410" s="64"/>
      <c r="D410" s="64"/>
      <c r="E410" s="70"/>
      <c r="F410" s="70"/>
      <c r="G410" s="64"/>
      <c r="H410" s="64"/>
      <c r="I410" s="64"/>
      <c r="J410" s="64"/>
      <c r="K410" s="64"/>
      <c r="L410" s="64"/>
      <c r="M410" s="64"/>
      <c r="N410" s="64"/>
      <c r="O410" s="64"/>
      <c r="P410" s="64"/>
      <c r="Q410" s="64"/>
      <c r="R410" s="64"/>
      <c r="S410" s="64"/>
      <c r="T410" s="64"/>
      <c r="U410" s="64"/>
      <c r="V410" s="64"/>
      <c r="W410" s="64"/>
      <c r="X410" s="64"/>
      <c r="Y410" s="64"/>
      <c r="Z410" s="64"/>
      <c r="AA410" s="64"/>
      <c r="AB410" s="64"/>
      <c r="AC410" s="64"/>
      <c r="AD410" s="64"/>
      <c r="AE410" s="64"/>
      <c r="AF410" s="64"/>
      <c r="AG410" s="64"/>
    </row>
    <row r="411" spans="1:33">
      <c r="A411" s="64"/>
      <c r="B411" s="64"/>
      <c r="C411" s="64"/>
      <c r="D411" s="64"/>
      <c r="E411" s="70"/>
      <c r="F411" s="70"/>
      <c r="G411" s="64"/>
      <c r="H411" s="64"/>
      <c r="I411" s="64"/>
      <c r="J411" s="64"/>
      <c r="K411" s="64"/>
      <c r="L411" s="64"/>
      <c r="M411" s="64"/>
      <c r="N411" s="64"/>
      <c r="O411" s="64"/>
      <c r="P411" s="64"/>
      <c r="Q411" s="64"/>
      <c r="R411" s="64"/>
      <c r="S411" s="64"/>
      <c r="T411" s="64"/>
      <c r="U411" s="64"/>
      <c r="V411" s="64"/>
      <c r="W411" s="64"/>
      <c r="X411" s="64"/>
      <c r="Y411" s="64"/>
      <c r="Z411" s="64"/>
      <c r="AA411" s="64"/>
      <c r="AB411" s="64"/>
      <c r="AC411" s="64"/>
      <c r="AD411" s="64"/>
      <c r="AE411" s="64"/>
      <c r="AF411" s="64"/>
      <c r="AG411" s="64"/>
    </row>
    <row r="412" spans="1:33">
      <c r="A412" s="64"/>
      <c r="B412" s="64"/>
      <c r="C412" s="64"/>
      <c r="D412" s="64"/>
      <c r="E412" s="70"/>
      <c r="F412" s="70"/>
      <c r="G412" s="64"/>
      <c r="H412" s="64"/>
      <c r="I412" s="64"/>
      <c r="J412" s="64"/>
      <c r="K412" s="64"/>
      <c r="L412" s="64"/>
      <c r="M412" s="64"/>
      <c r="N412" s="64"/>
      <c r="O412" s="64"/>
      <c r="P412" s="64"/>
      <c r="Q412" s="64"/>
      <c r="R412" s="64"/>
      <c r="S412" s="64"/>
      <c r="T412" s="64"/>
      <c r="U412" s="64"/>
      <c r="V412" s="64"/>
      <c r="W412" s="64"/>
      <c r="X412" s="64"/>
      <c r="Y412" s="64"/>
      <c r="Z412" s="64"/>
      <c r="AA412" s="64"/>
      <c r="AB412" s="64"/>
      <c r="AC412" s="64"/>
      <c r="AD412" s="64"/>
      <c r="AE412" s="64"/>
      <c r="AF412" s="64"/>
      <c r="AG412" s="64"/>
    </row>
    <row r="413" spans="1:33">
      <c r="A413" s="64"/>
      <c r="B413" s="64"/>
      <c r="C413" s="64"/>
      <c r="D413" s="64"/>
      <c r="E413" s="70"/>
      <c r="F413" s="70"/>
      <c r="G413" s="64"/>
      <c r="H413" s="64"/>
      <c r="I413" s="64"/>
      <c r="J413" s="64"/>
      <c r="K413" s="64"/>
      <c r="L413" s="64"/>
      <c r="M413" s="64"/>
      <c r="N413" s="64"/>
      <c r="O413" s="64"/>
      <c r="P413" s="64"/>
      <c r="Q413" s="64"/>
      <c r="R413" s="64"/>
      <c r="S413" s="64"/>
      <c r="T413" s="64"/>
      <c r="U413" s="64"/>
      <c r="V413" s="64"/>
      <c r="W413" s="64"/>
      <c r="X413" s="64"/>
      <c r="Y413" s="64"/>
      <c r="Z413" s="64"/>
      <c r="AA413" s="64"/>
      <c r="AB413" s="64"/>
      <c r="AC413" s="64"/>
      <c r="AD413" s="64"/>
      <c r="AE413" s="64"/>
      <c r="AF413" s="64"/>
      <c r="AG413" s="64"/>
    </row>
    <row r="414" spans="1:33">
      <c r="A414" s="64"/>
      <c r="B414" s="64"/>
      <c r="C414" s="64"/>
      <c r="D414" s="64"/>
      <c r="E414" s="70"/>
      <c r="F414" s="70"/>
      <c r="G414" s="64"/>
      <c r="H414" s="64"/>
      <c r="I414" s="64"/>
      <c r="J414" s="64"/>
      <c r="K414" s="64"/>
      <c r="L414" s="64"/>
      <c r="M414" s="64"/>
      <c r="N414" s="64"/>
      <c r="O414" s="64"/>
      <c r="P414" s="64"/>
      <c r="Q414" s="64"/>
      <c r="R414" s="64"/>
      <c r="S414" s="64"/>
      <c r="T414" s="64"/>
      <c r="U414" s="64"/>
      <c r="V414" s="64"/>
      <c r="W414" s="64"/>
      <c r="X414" s="64"/>
      <c r="Y414" s="64"/>
      <c r="Z414" s="64"/>
      <c r="AA414" s="64"/>
      <c r="AB414" s="64"/>
      <c r="AC414" s="64"/>
      <c r="AD414" s="64"/>
      <c r="AE414" s="64"/>
      <c r="AF414" s="64"/>
      <c r="AG414" s="64"/>
    </row>
    <row r="415" spans="1:33">
      <c r="A415" s="64"/>
      <c r="B415" s="64"/>
      <c r="C415" s="64"/>
      <c r="D415" s="64"/>
      <c r="E415" s="70"/>
      <c r="F415" s="70"/>
      <c r="G415" s="64"/>
      <c r="H415" s="64"/>
      <c r="I415" s="64"/>
      <c r="J415" s="64"/>
      <c r="K415" s="64"/>
      <c r="L415" s="64"/>
      <c r="M415" s="64"/>
      <c r="N415" s="64"/>
      <c r="O415" s="64"/>
      <c r="P415" s="64"/>
      <c r="Q415" s="64"/>
      <c r="R415" s="64"/>
      <c r="S415" s="64"/>
      <c r="T415" s="64"/>
      <c r="U415" s="64"/>
      <c r="V415" s="64"/>
      <c r="W415" s="64"/>
      <c r="X415" s="64"/>
      <c r="Y415" s="64"/>
      <c r="Z415" s="64"/>
      <c r="AA415" s="64"/>
      <c r="AB415" s="64"/>
      <c r="AC415" s="64"/>
      <c r="AD415" s="64"/>
      <c r="AE415" s="64"/>
      <c r="AF415" s="64"/>
      <c r="AG415" s="64"/>
    </row>
    <row r="416" spans="1:33">
      <c r="A416" s="64"/>
      <c r="B416" s="64"/>
      <c r="C416" s="64"/>
      <c r="D416" s="64"/>
      <c r="E416" s="70"/>
      <c r="F416" s="70"/>
      <c r="G416" s="64"/>
      <c r="H416" s="64"/>
      <c r="I416" s="64"/>
      <c r="J416" s="64"/>
      <c r="K416" s="64"/>
      <c r="L416" s="64"/>
      <c r="M416" s="64"/>
      <c r="N416" s="64"/>
      <c r="O416" s="64"/>
      <c r="P416" s="64"/>
      <c r="Q416" s="64"/>
      <c r="R416" s="64"/>
      <c r="S416" s="64"/>
      <c r="T416" s="64"/>
      <c r="U416" s="64"/>
      <c r="V416" s="64"/>
      <c r="W416" s="64"/>
      <c r="X416" s="64"/>
      <c r="Y416" s="64"/>
      <c r="Z416" s="64"/>
      <c r="AA416" s="64"/>
      <c r="AB416" s="64"/>
      <c r="AC416" s="64"/>
      <c r="AD416" s="64"/>
      <c r="AE416" s="64"/>
      <c r="AF416" s="64"/>
      <c r="AG416" s="64"/>
    </row>
    <row r="417" spans="1:33">
      <c r="A417" s="64"/>
      <c r="B417" s="64"/>
      <c r="C417" s="64"/>
      <c r="D417" s="64"/>
      <c r="E417" s="70"/>
      <c r="F417" s="70"/>
      <c r="G417" s="64"/>
      <c r="H417" s="64"/>
      <c r="I417" s="64"/>
      <c r="J417" s="64"/>
      <c r="K417" s="64"/>
      <c r="L417" s="64"/>
      <c r="M417" s="64"/>
      <c r="N417" s="64"/>
      <c r="O417" s="64"/>
      <c r="P417" s="64"/>
      <c r="Q417" s="64"/>
      <c r="R417" s="64"/>
      <c r="S417" s="64"/>
      <c r="T417" s="64"/>
      <c r="U417" s="64"/>
      <c r="V417" s="64"/>
      <c r="W417" s="64"/>
      <c r="X417" s="64"/>
      <c r="Y417" s="64"/>
      <c r="Z417" s="64"/>
      <c r="AA417" s="64"/>
      <c r="AB417" s="64"/>
      <c r="AC417" s="64"/>
      <c r="AD417" s="64"/>
      <c r="AE417" s="64"/>
      <c r="AF417" s="64"/>
      <c r="AG417" s="64"/>
    </row>
    <row r="418" spans="1:33">
      <c r="A418" s="64"/>
      <c r="B418" s="64"/>
      <c r="C418" s="64"/>
      <c r="D418" s="64"/>
      <c r="E418" s="70"/>
      <c r="F418" s="70"/>
      <c r="G418" s="64"/>
      <c r="H418" s="64"/>
      <c r="I418" s="64"/>
      <c r="J418" s="64"/>
      <c r="K418" s="64"/>
      <c r="L418" s="64"/>
      <c r="M418" s="64"/>
      <c r="N418" s="64"/>
      <c r="O418" s="64"/>
      <c r="P418" s="64"/>
      <c r="Q418" s="64"/>
      <c r="R418" s="64"/>
      <c r="S418" s="64"/>
      <c r="T418" s="64"/>
      <c r="U418" s="64"/>
      <c r="V418" s="64"/>
      <c r="W418" s="64"/>
      <c r="X418" s="64"/>
      <c r="Y418" s="64"/>
      <c r="Z418" s="64"/>
      <c r="AA418" s="64"/>
      <c r="AB418" s="64"/>
      <c r="AC418" s="64"/>
      <c r="AD418" s="64"/>
      <c r="AE418" s="64"/>
      <c r="AF418" s="64"/>
      <c r="AG418" s="64"/>
    </row>
    <row r="419" spans="1:33">
      <c r="A419" s="64"/>
      <c r="B419" s="64"/>
      <c r="C419" s="64"/>
      <c r="D419" s="64"/>
      <c r="E419" s="70"/>
      <c r="F419" s="70"/>
      <c r="G419" s="64"/>
      <c r="H419" s="64"/>
      <c r="I419" s="64"/>
      <c r="J419" s="64"/>
      <c r="K419" s="64"/>
      <c r="L419" s="64"/>
      <c r="M419" s="64"/>
      <c r="N419" s="64"/>
      <c r="O419" s="64"/>
      <c r="P419" s="64"/>
      <c r="Q419" s="64"/>
      <c r="R419" s="64"/>
      <c r="S419" s="64"/>
      <c r="T419" s="64"/>
      <c r="U419" s="64"/>
      <c r="V419" s="64"/>
      <c r="W419" s="64"/>
      <c r="X419" s="64"/>
      <c r="Y419" s="64"/>
      <c r="Z419" s="64"/>
      <c r="AA419" s="64"/>
      <c r="AB419" s="64"/>
      <c r="AC419" s="64"/>
      <c r="AD419" s="64"/>
      <c r="AE419" s="64"/>
      <c r="AF419" s="64"/>
      <c r="AG419" s="64"/>
    </row>
    <row r="420" spans="1:33">
      <c r="A420" s="64"/>
      <c r="B420" s="64"/>
      <c r="C420" s="64"/>
      <c r="D420" s="64"/>
      <c r="E420" s="70"/>
      <c r="F420" s="70"/>
      <c r="G420" s="64"/>
      <c r="H420" s="64"/>
      <c r="I420" s="64"/>
      <c r="J420" s="64"/>
      <c r="K420" s="64"/>
      <c r="L420" s="64"/>
      <c r="M420" s="64"/>
      <c r="N420" s="64"/>
      <c r="O420" s="64"/>
      <c r="P420" s="64"/>
      <c r="Q420" s="64"/>
      <c r="R420" s="64"/>
      <c r="S420" s="64"/>
      <c r="T420" s="64"/>
      <c r="U420" s="64"/>
      <c r="V420" s="64"/>
      <c r="W420" s="64"/>
      <c r="X420" s="64"/>
      <c r="Y420" s="64"/>
      <c r="Z420" s="64"/>
      <c r="AA420" s="64"/>
      <c r="AB420" s="64"/>
      <c r="AC420" s="64"/>
      <c r="AD420" s="64"/>
      <c r="AE420" s="64"/>
      <c r="AF420" s="64"/>
      <c r="AG420" s="64"/>
    </row>
    <row r="421" spans="1:33">
      <c r="A421" s="64"/>
      <c r="B421" s="64"/>
      <c r="C421" s="64"/>
      <c r="D421" s="64"/>
      <c r="E421" s="70"/>
      <c r="F421" s="70"/>
      <c r="G421" s="64"/>
      <c r="H421" s="64"/>
      <c r="I421" s="64"/>
      <c r="J421" s="64"/>
      <c r="K421" s="64"/>
      <c r="L421" s="64"/>
      <c r="M421" s="64"/>
      <c r="N421" s="64"/>
      <c r="O421" s="64"/>
      <c r="P421" s="64"/>
      <c r="Q421" s="64"/>
      <c r="R421" s="64"/>
      <c r="S421" s="64"/>
      <c r="T421" s="64"/>
      <c r="U421" s="64"/>
      <c r="V421" s="64"/>
      <c r="W421" s="64"/>
      <c r="X421" s="64"/>
      <c r="Y421" s="64"/>
      <c r="Z421" s="64"/>
      <c r="AA421" s="64"/>
      <c r="AB421" s="64"/>
      <c r="AC421" s="64"/>
      <c r="AD421" s="64"/>
      <c r="AE421" s="64"/>
      <c r="AF421" s="64"/>
      <c r="AG421" s="64"/>
    </row>
    <row r="422" spans="1:33">
      <c r="A422" s="64"/>
      <c r="B422" s="64"/>
      <c r="C422" s="64"/>
      <c r="D422" s="64"/>
      <c r="E422" s="70"/>
      <c r="F422" s="70"/>
      <c r="G422" s="64"/>
      <c r="H422" s="64"/>
      <c r="I422" s="64"/>
      <c r="J422" s="64"/>
      <c r="K422" s="64"/>
      <c r="L422" s="64"/>
      <c r="M422" s="64"/>
      <c r="N422" s="64"/>
      <c r="O422" s="64"/>
      <c r="P422" s="64"/>
      <c r="Q422" s="64"/>
      <c r="R422" s="64"/>
      <c r="S422" s="64"/>
      <c r="T422" s="64"/>
      <c r="U422" s="64"/>
      <c r="V422" s="64"/>
      <c r="W422" s="64"/>
      <c r="X422" s="64"/>
      <c r="Y422" s="64"/>
      <c r="Z422" s="64"/>
      <c r="AA422" s="64"/>
      <c r="AB422" s="64"/>
      <c r="AC422" s="64"/>
      <c r="AD422" s="64"/>
      <c r="AE422" s="64"/>
      <c r="AF422" s="64"/>
      <c r="AG422" s="64"/>
    </row>
    <row r="423" spans="1:33">
      <c r="A423" s="64"/>
      <c r="B423" s="64"/>
      <c r="C423" s="64"/>
      <c r="D423" s="64"/>
      <c r="E423" s="70"/>
      <c r="F423" s="70"/>
      <c r="G423" s="64"/>
      <c r="H423" s="64"/>
      <c r="I423" s="64"/>
      <c r="J423" s="64"/>
      <c r="K423" s="64"/>
      <c r="L423" s="64"/>
      <c r="M423" s="64"/>
      <c r="N423" s="64"/>
      <c r="O423" s="64"/>
      <c r="P423" s="64"/>
      <c r="Q423" s="64"/>
      <c r="R423" s="64"/>
      <c r="S423" s="64"/>
      <c r="T423" s="64"/>
      <c r="U423" s="64"/>
      <c r="V423" s="64"/>
      <c r="W423" s="64"/>
      <c r="X423" s="64"/>
      <c r="Y423" s="64"/>
      <c r="Z423" s="64"/>
      <c r="AA423" s="64"/>
      <c r="AB423" s="64"/>
      <c r="AC423" s="64"/>
      <c r="AD423" s="64"/>
      <c r="AE423" s="64"/>
      <c r="AF423" s="64"/>
      <c r="AG423" s="64"/>
    </row>
    <row r="424" spans="1:33">
      <c r="A424" s="64"/>
      <c r="B424" s="64"/>
      <c r="C424" s="64"/>
      <c r="D424" s="64"/>
      <c r="E424" s="70"/>
      <c r="F424" s="70"/>
      <c r="G424" s="64"/>
      <c r="H424" s="64"/>
      <c r="I424" s="64"/>
      <c r="J424" s="64"/>
      <c r="K424" s="64"/>
      <c r="L424" s="64"/>
      <c r="M424" s="64"/>
      <c r="N424" s="64"/>
      <c r="O424" s="64"/>
      <c r="P424" s="64"/>
      <c r="Q424" s="64"/>
      <c r="R424" s="64"/>
      <c r="S424" s="64"/>
      <c r="T424" s="64"/>
      <c r="U424" s="64"/>
      <c r="V424" s="64"/>
      <c r="W424" s="64"/>
      <c r="X424" s="64"/>
      <c r="Y424" s="64"/>
      <c r="Z424" s="64"/>
      <c r="AA424" s="64"/>
      <c r="AB424" s="64"/>
      <c r="AC424" s="64"/>
      <c r="AD424" s="64"/>
      <c r="AE424" s="64"/>
      <c r="AF424" s="64"/>
      <c r="AG424" s="64"/>
    </row>
    <row r="425" spans="1:33">
      <c r="A425" s="64"/>
      <c r="B425" s="64"/>
      <c r="C425" s="64"/>
      <c r="D425" s="64"/>
      <c r="E425" s="70"/>
      <c r="F425" s="70"/>
      <c r="G425" s="64"/>
      <c r="H425" s="64"/>
      <c r="I425" s="64"/>
      <c r="J425" s="64"/>
      <c r="K425" s="64"/>
      <c r="L425" s="64"/>
      <c r="M425" s="64"/>
      <c r="N425" s="64"/>
      <c r="O425" s="64"/>
      <c r="P425" s="64"/>
      <c r="Q425" s="64"/>
      <c r="R425" s="64"/>
      <c r="S425" s="64"/>
      <c r="T425" s="64"/>
      <c r="U425" s="64"/>
      <c r="V425" s="64"/>
      <c r="W425" s="64"/>
      <c r="X425" s="64"/>
      <c r="Y425" s="64"/>
      <c r="Z425" s="64"/>
      <c r="AA425" s="64"/>
      <c r="AB425" s="64"/>
      <c r="AC425" s="64"/>
      <c r="AD425" s="64"/>
      <c r="AE425" s="64"/>
      <c r="AF425" s="64"/>
      <c r="AG425" s="64"/>
    </row>
    <row r="426" spans="1:33">
      <c r="A426" s="64"/>
      <c r="B426" s="64"/>
      <c r="C426" s="64"/>
      <c r="D426" s="64"/>
      <c r="E426" s="70"/>
      <c r="F426" s="70"/>
      <c r="G426" s="64"/>
      <c r="H426" s="64"/>
      <c r="I426" s="64"/>
      <c r="J426" s="64"/>
      <c r="K426" s="64"/>
      <c r="L426" s="64"/>
      <c r="M426" s="64"/>
      <c r="N426" s="64"/>
      <c r="O426" s="64"/>
      <c r="P426" s="64"/>
      <c r="Q426" s="64"/>
      <c r="R426" s="64"/>
      <c r="S426" s="64"/>
      <c r="T426" s="64"/>
      <c r="U426" s="64"/>
      <c r="V426" s="64"/>
      <c r="W426" s="64"/>
      <c r="X426" s="64"/>
      <c r="Y426" s="64"/>
      <c r="Z426" s="64"/>
      <c r="AA426" s="64"/>
      <c r="AB426" s="64"/>
      <c r="AC426" s="64"/>
      <c r="AD426" s="64"/>
      <c r="AE426" s="64"/>
      <c r="AF426" s="64"/>
      <c r="AG426" s="64"/>
    </row>
    <row r="427" spans="1:33">
      <c r="A427" s="64"/>
      <c r="B427" s="64"/>
      <c r="C427" s="64"/>
      <c r="D427" s="64"/>
      <c r="E427" s="70"/>
      <c r="F427" s="70"/>
      <c r="G427" s="64"/>
      <c r="H427" s="64"/>
      <c r="I427" s="64"/>
      <c r="J427" s="64"/>
      <c r="K427" s="64"/>
      <c r="L427" s="64"/>
      <c r="M427" s="64"/>
      <c r="N427" s="64"/>
      <c r="O427" s="64"/>
      <c r="P427" s="64"/>
      <c r="Q427" s="64"/>
      <c r="R427" s="64"/>
      <c r="S427" s="64"/>
      <c r="T427" s="64"/>
      <c r="U427" s="64"/>
      <c r="V427" s="64"/>
      <c r="W427" s="64"/>
      <c r="X427" s="64"/>
      <c r="Y427" s="64"/>
      <c r="Z427" s="64"/>
      <c r="AA427" s="64"/>
      <c r="AB427" s="64"/>
      <c r="AC427" s="64"/>
      <c r="AD427" s="64"/>
      <c r="AE427" s="64"/>
      <c r="AF427" s="64"/>
      <c r="AG427" s="64"/>
    </row>
    <row r="428" spans="1:33">
      <c r="A428" s="64"/>
      <c r="B428" s="64"/>
      <c r="C428" s="64"/>
      <c r="D428" s="64"/>
      <c r="E428" s="70"/>
      <c r="F428" s="70"/>
      <c r="G428" s="64"/>
      <c r="H428" s="64"/>
      <c r="I428" s="64"/>
      <c r="J428" s="64"/>
      <c r="K428" s="64"/>
      <c r="L428" s="64"/>
      <c r="M428" s="64"/>
      <c r="N428" s="64"/>
      <c r="O428" s="64"/>
      <c r="P428" s="64"/>
      <c r="Q428" s="64"/>
      <c r="R428" s="64"/>
      <c r="S428" s="64"/>
      <c r="T428" s="64"/>
      <c r="U428" s="64"/>
      <c r="V428" s="64"/>
      <c r="W428" s="64"/>
      <c r="X428" s="64"/>
      <c r="Y428" s="64"/>
      <c r="Z428" s="64"/>
      <c r="AA428" s="64"/>
      <c r="AB428" s="64"/>
      <c r="AC428" s="64"/>
      <c r="AD428" s="64"/>
      <c r="AE428" s="64"/>
      <c r="AF428" s="64"/>
      <c r="AG428" s="64"/>
    </row>
    <row r="429" spans="1:33">
      <c r="A429" s="64"/>
      <c r="B429" s="64"/>
      <c r="C429" s="64"/>
      <c r="D429" s="64"/>
      <c r="E429" s="70"/>
      <c r="F429" s="70"/>
      <c r="G429" s="64"/>
      <c r="H429" s="64"/>
      <c r="I429" s="64"/>
      <c r="J429" s="64"/>
      <c r="K429" s="64"/>
      <c r="L429" s="64"/>
      <c r="M429" s="64"/>
      <c r="N429" s="64"/>
      <c r="O429" s="64"/>
      <c r="P429" s="64"/>
      <c r="Q429" s="64"/>
      <c r="R429" s="64"/>
      <c r="S429" s="64"/>
      <c r="T429" s="64"/>
      <c r="U429" s="64"/>
      <c r="V429" s="64"/>
      <c r="W429" s="64"/>
      <c r="X429" s="64"/>
      <c r="Y429" s="64"/>
      <c r="Z429" s="64"/>
      <c r="AA429" s="64"/>
      <c r="AB429" s="64"/>
      <c r="AC429" s="64"/>
      <c r="AD429" s="64"/>
      <c r="AE429" s="64"/>
      <c r="AF429" s="64"/>
      <c r="AG429" s="64"/>
    </row>
    <row r="430" spans="1:33">
      <c r="A430" s="64"/>
      <c r="B430" s="64"/>
      <c r="C430" s="64"/>
      <c r="D430" s="64"/>
      <c r="E430" s="70"/>
      <c r="F430" s="70"/>
      <c r="G430" s="64"/>
      <c r="H430" s="64"/>
      <c r="I430" s="64"/>
      <c r="J430" s="64"/>
      <c r="K430" s="64"/>
      <c r="L430" s="64"/>
      <c r="M430" s="64"/>
      <c r="N430" s="64"/>
      <c r="O430" s="64"/>
      <c r="P430" s="64"/>
      <c r="Q430" s="64"/>
      <c r="R430" s="64"/>
      <c r="S430" s="64"/>
      <c r="T430" s="64"/>
      <c r="U430" s="64"/>
      <c r="V430" s="64"/>
      <c r="W430" s="64"/>
      <c r="X430" s="64"/>
      <c r="Y430" s="64"/>
      <c r="Z430" s="64"/>
      <c r="AA430" s="64"/>
      <c r="AB430" s="64"/>
      <c r="AC430" s="64"/>
      <c r="AD430" s="64"/>
      <c r="AE430" s="64"/>
      <c r="AF430" s="64"/>
      <c r="AG430" s="64"/>
    </row>
    <row r="431" spans="1:33">
      <c r="A431" s="64"/>
      <c r="B431" s="64"/>
      <c r="C431" s="64"/>
      <c r="D431" s="64"/>
      <c r="E431" s="70"/>
      <c r="F431" s="70"/>
      <c r="G431" s="64"/>
      <c r="H431" s="64"/>
      <c r="I431" s="64"/>
      <c r="J431" s="64"/>
      <c r="K431" s="64"/>
      <c r="L431" s="64"/>
      <c r="M431" s="64"/>
      <c r="N431" s="64"/>
      <c r="O431" s="64"/>
      <c r="P431" s="64"/>
      <c r="Q431" s="64"/>
      <c r="R431" s="64"/>
      <c r="S431" s="64"/>
      <c r="T431" s="64"/>
      <c r="U431" s="64"/>
      <c r="V431" s="64"/>
      <c r="W431" s="64"/>
      <c r="X431" s="64"/>
      <c r="Y431" s="64"/>
      <c r="Z431" s="64"/>
      <c r="AA431" s="64"/>
      <c r="AB431" s="64"/>
      <c r="AC431" s="64"/>
      <c r="AD431" s="64"/>
      <c r="AE431" s="64"/>
      <c r="AF431" s="64"/>
      <c r="AG431" s="64"/>
    </row>
    <row r="432" spans="1:33">
      <c r="A432" s="64"/>
      <c r="B432" s="64"/>
      <c r="C432" s="64"/>
      <c r="D432" s="64"/>
      <c r="E432" s="70"/>
      <c r="F432" s="70"/>
      <c r="G432" s="64"/>
      <c r="H432" s="64"/>
      <c r="I432" s="64"/>
      <c r="J432" s="64"/>
      <c r="K432" s="64"/>
      <c r="L432" s="64"/>
      <c r="M432" s="64"/>
      <c r="N432" s="64"/>
      <c r="O432" s="64"/>
      <c r="P432" s="64"/>
      <c r="Q432" s="64"/>
      <c r="R432" s="64"/>
      <c r="S432" s="64"/>
      <c r="T432" s="64"/>
      <c r="U432" s="64"/>
      <c r="V432" s="64"/>
      <c r="W432" s="64"/>
      <c r="X432" s="64"/>
      <c r="Y432" s="64"/>
      <c r="Z432" s="64"/>
      <c r="AA432" s="64"/>
      <c r="AB432" s="64"/>
      <c r="AC432" s="64"/>
      <c r="AD432" s="64"/>
      <c r="AE432" s="64"/>
      <c r="AF432" s="64"/>
      <c r="AG432" s="64"/>
    </row>
    <row r="433" spans="1:33">
      <c r="A433" s="64"/>
      <c r="B433" s="64"/>
      <c r="C433" s="64"/>
      <c r="D433" s="64"/>
      <c r="E433" s="70"/>
      <c r="F433" s="70"/>
      <c r="G433" s="64"/>
      <c r="H433" s="64"/>
      <c r="I433" s="64"/>
      <c r="J433" s="64"/>
      <c r="K433" s="64"/>
      <c r="L433" s="64"/>
      <c r="M433" s="64"/>
      <c r="N433" s="64"/>
      <c r="O433" s="64"/>
      <c r="P433" s="64"/>
      <c r="Q433" s="64"/>
      <c r="R433" s="64"/>
      <c r="S433" s="64"/>
      <c r="T433" s="64"/>
      <c r="U433" s="64"/>
      <c r="V433" s="64"/>
      <c r="W433" s="64"/>
      <c r="X433" s="64"/>
      <c r="Y433" s="64"/>
      <c r="Z433" s="64"/>
      <c r="AA433" s="64"/>
      <c r="AB433" s="64"/>
      <c r="AC433" s="64"/>
      <c r="AD433" s="64"/>
      <c r="AE433" s="64"/>
      <c r="AF433" s="64"/>
      <c r="AG433" s="64"/>
    </row>
    <row r="434" spans="1:33">
      <c r="A434" s="64"/>
      <c r="B434" s="64"/>
      <c r="C434" s="64"/>
      <c r="D434" s="64"/>
      <c r="E434" s="70"/>
      <c r="F434" s="70"/>
      <c r="G434" s="64"/>
      <c r="H434" s="64"/>
      <c r="I434" s="64"/>
      <c r="J434" s="64"/>
      <c r="K434" s="64"/>
      <c r="L434" s="64"/>
      <c r="M434" s="64"/>
      <c r="N434" s="64"/>
      <c r="O434" s="64"/>
      <c r="P434" s="64"/>
      <c r="Q434" s="64"/>
      <c r="R434" s="64"/>
      <c r="S434" s="64"/>
      <c r="T434" s="64"/>
      <c r="U434" s="64"/>
      <c r="V434" s="64"/>
      <c r="W434" s="64"/>
      <c r="X434" s="64"/>
      <c r="Y434" s="64"/>
      <c r="Z434" s="64"/>
      <c r="AA434" s="64"/>
      <c r="AB434" s="64"/>
      <c r="AC434" s="64"/>
      <c r="AD434" s="64"/>
      <c r="AE434" s="64"/>
      <c r="AF434" s="64"/>
      <c r="AG434" s="64"/>
    </row>
    <row r="435" spans="1:33">
      <c r="A435" s="64"/>
      <c r="B435" s="64"/>
      <c r="C435" s="64"/>
      <c r="D435" s="64"/>
      <c r="E435" s="70"/>
      <c r="F435" s="70"/>
      <c r="G435" s="64"/>
      <c r="H435" s="64"/>
      <c r="I435" s="64"/>
      <c r="J435" s="64"/>
      <c r="K435" s="64"/>
      <c r="L435" s="64"/>
      <c r="M435" s="64"/>
      <c r="N435" s="64"/>
      <c r="O435" s="64"/>
      <c r="P435" s="64"/>
      <c r="Q435" s="64"/>
      <c r="R435" s="64"/>
      <c r="S435" s="64"/>
      <c r="T435" s="64"/>
      <c r="U435" s="64"/>
      <c r="V435" s="64"/>
      <c r="W435" s="64"/>
      <c r="X435" s="64"/>
      <c r="Y435" s="64"/>
      <c r="Z435" s="64"/>
      <c r="AA435" s="64"/>
      <c r="AB435" s="64"/>
      <c r="AC435" s="64"/>
      <c r="AD435" s="64"/>
      <c r="AE435" s="64"/>
      <c r="AF435" s="64"/>
      <c r="AG435" s="64"/>
    </row>
    <row r="436" spans="1:33">
      <c r="A436" s="64"/>
      <c r="B436" s="64"/>
      <c r="C436" s="64"/>
      <c r="D436" s="64"/>
      <c r="E436" s="70"/>
      <c r="F436" s="70"/>
      <c r="G436" s="64"/>
      <c r="H436" s="64"/>
      <c r="I436" s="64"/>
      <c r="J436" s="64"/>
      <c r="K436" s="64"/>
      <c r="L436" s="64"/>
      <c r="M436" s="64"/>
      <c r="N436" s="64"/>
      <c r="O436" s="64"/>
      <c r="P436" s="64"/>
      <c r="Q436" s="64"/>
      <c r="R436" s="64"/>
      <c r="S436" s="64"/>
      <c r="T436" s="64"/>
      <c r="U436" s="64"/>
      <c r="V436" s="64"/>
      <c r="W436" s="64"/>
      <c r="X436" s="64"/>
      <c r="Y436" s="64"/>
      <c r="Z436" s="64"/>
      <c r="AA436" s="64"/>
      <c r="AB436" s="64"/>
      <c r="AC436" s="64"/>
      <c r="AD436" s="64"/>
      <c r="AE436" s="64"/>
      <c r="AF436" s="64"/>
      <c r="AG436" s="64"/>
    </row>
    <row r="437" spans="1:33">
      <c r="A437" s="64"/>
      <c r="B437" s="64"/>
      <c r="C437" s="64"/>
      <c r="D437" s="64"/>
      <c r="E437" s="70"/>
      <c r="F437" s="70"/>
      <c r="G437" s="64"/>
      <c r="H437" s="64"/>
      <c r="I437" s="64"/>
      <c r="J437" s="64"/>
      <c r="K437" s="64"/>
      <c r="L437" s="64"/>
      <c r="M437" s="64"/>
      <c r="N437" s="64"/>
      <c r="O437" s="64"/>
      <c r="P437" s="64"/>
      <c r="Q437" s="64"/>
      <c r="R437" s="64"/>
      <c r="S437" s="64"/>
      <c r="T437" s="64"/>
      <c r="U437" s="64"/>
      <c r="V437" s="64"/>
      <c r="W437" s="64"/>
      <c r="X437" s="64"/>
      <c r="Y437" s="64"/>
      <c r="Z437" s="64"/>
      <c r="AA437" s="64"/>
      <c r="AB437" s="64"/>
      <c r="AC437" s="64"/>
      <c r="AD437" s="64"/>
      <c r="AE437" s="64"/>
      <c r="AF437" s="64"/>
      <c r="AG437" s="64"/>
    </row>
    <row r="438" spans="1:33">
      <c r="A438" s="64"/>
      <c r="B438" s="64"/>
      <c r="C438" s="64"/>
      <c r="D438" s="64"/>
      <c r="E438" s="70"/>
      <c r="F438" s="70"/>
      <c r="G438" s="64"/>
      <c r="H438" s="64"/>
      <c r="I438" s="64"/>
      <c r="J438" s="64"/>
      <c r="K438" s="64"/>
      <c r="L438" s="64"/>
      <c r="M438" s="64"/>
      <c r="N438" s="64"/>
      <c r="O438" s="64"/>
      <c r="P438" s="64"/>
      <c r="Q438" s="64"/>
      <c r="R438" s="64"/>
      <c r="S438" s="64"/>
      <c r="T438" s="64"/>
      <c r="U438" s="64"/>
      <c r="V438" s="64"/>
      <c r="W438" s="64"/>
      <c r="X438" s="64"/>
      <c r="Y438" s="64"/>
      <c r="Z438" s="64"/>
      <c r="AA438" s="64"/>
      <c r="AB438" s="64"/>
      <c r="AC438" s="64"/>
      <c r="AD438" s="64"/>
      <c r="AE438" s="64"/>
      <c r="AF438" s="64"/>
      <c r="AG438" s="64"/>
    </row>
    <row r="439" spans="1:33">
      <c r="A439" s="64"/>
      <c r="B439" s="64"/>
      <c r="C439" s="64"/>
      <c r="D439" s="64"/>
      <c r="E439" s="70"/>
      <c r="F439" s="70"/>
      <c r="G439" s="64"/>
      <c r="H439" s="64"/>
      <c r="I439" s="64"/>
      <c r="J439" s="64"/>
      <c r="K439" s="64"/>
      <c r="L439" s="64"/>
      <c r="M439" s="64"/>
      <c r="N439" s="64"/>
      <c r="O439" s="64"/>
      <c r="P439" s="64"/>
      <c r="Q439" s="64"/>
      <c r="R439" s="64"/>
      <c r="S439" s="64"/>
      <c r="T439" s="64"/>
      <c r="U439" s="64"/>
      <c r="V439" s="64"/>
      <c r="W439" s="64"/>
      <c r="X439" s="64"/>
      <c r="Y439" s="64"/>
      <c r="Z439" s="64"/>
      <c r="AA439" s="64"/>
      <c r="AB439" s="64"/>
      <c r="AC439" s="64"/>
      <c r="AD439" s="64"/>
      <c r="AE439" s="64"/>
      <c r="AF439" s="64"/>
      <c r="AG439" s="64"/>
    </row>
    <row r="440" spans="1:33">
      <c r="A440" s="64"/>
      <c r="B440" s="64"/>
      <c r="C440" s="64"/>
      <c r="D440" s="64"/>
      <c r="E440" s="70"/>
      <c r="F440" s="70"/>
      <c r="G440" s="64"/>
      <c r="H440" s="64"/>
      <c r="I440" s="64"/>
      <c r="J440" s="64"/>
      <c r="K440" s="64"/>
      <c r="L440" s="64"/>
      <c r="M440" s="64"/>
      <c r="N440" s="64"/>
      <c r="O440" s="64"/>
      <c r="P440" s="64"/>
      <c r="Q440" s="64"/>
      <c r="R440" s="64"/>
      <c r="S440" s="64"/>
      <c r="T440" s="64"/>
      <c r="U440" s="64"/>
      <c r="V440" s="64"/>
      <c r="W440" s="64"/>
      <c r="X440" s="64"/>
      <c r="Y440" s="64"/>
      <c r="Z440" s="64"/>
      <c r="AA440" s="64"/>
      <c r="AB440" s="64"/>
      <c r="AC440" s="64"/>
      <c r="AD440" s="64"/>
      <c r="AE440" s="64"/>
      <c r="AF440" s="64"/>
      <c r="AG440" s="64"/>
    </row>
    <row r="441" spans="1:33">
      <c r="A441" s="64"/>
      <c r="B441" s="64"/>
      <c r="C441" s="64"/>
      <c r="D441" s="64"/>
      <c r="E441" s="70"/>
      <c r="F441" s="70"/>
      <c r="G441" s="64"/>
      <c r="H441" s="64"/>
      <c r="I441" s="64"/>
      <c r="J441" s="64"/>
      <c r="K441" s="64"/>
      <c r="L441" s="64"/>
      <c r="M441" s="64"/>
      <c r="N441" s="64"/>
      <c r="O441" s="64"/>
      <c r="P441" s="64"/>
      <c r="Q441" s="64"/>
      <c r="R441" s="64"/>
      <c r="S441" s="64"/>
      <c r="T441" s="64"/>
      <c r="U441" s="64"/>
      <c r="V441" s="64"/>
      <c r="W441" s="64"/>
      <c r="X441" s="64"/>
      <c r="Y441" s="64"/>
      <c r="Z441" s="64"/>
      <c r="AA441" s="64"/>
      <c r="AB441" s="64"/>
      <c r="AC441" s="64"/>
      <c r="AD441" s="64"/>
      <c r="AE441" s="64"/>
      <c r="AF441" s="64"/>
      <c r="AG441" s="64"/>
    </row>
    <row r="442" spans="1:33">
      <c r="A442" s="64"/>
      <c r="B442" s="64"/>
      <c r="C442" s="64"/>
      <c r="D442" s="64"/>
      <c r="E442" s="70"/>
      <c r="F442" s="70"/>
      <c r="G442" s="64"/>
      <c r="H442" s="64"/>
      <c r="I442" s="64"/>
      <c r="J442" s="64"/>
      <c r="K442" s="64"/>
      <c r="L442" s="64"/>
      <c r="M442" s="64"/>
      <c r="N442" s="64"/>
      <c r="O442" s="64"/>
      <c r="P442" s="64"/>
      <c r="Q442" s="64"/>
      <c r="R442" s="64"/>
      <c r="S442" s="64"/>
      <c r="T442" s="64"/>
      <c r="U442" s="64"/>
      <c r="V442" s="64"/>
      <c r="W442" s="64"/>
      <c r="X442" s="64"/>
      <c r="Y442" s="64"/>
      <c r="Z442" s="64"/>
      <c r="AA442" s="64"/>
      <c r="AB442" s="64"/>
      <c r="AC442" s="64"/>
      <c r="AD442" s="64"/>
      <c r="AE442" s="64"/>
      <c r="AF442" s="64"/>
      <c r="AG442" s="64"/>
    </row>
    <row r="443" spans="1:33">
      <c r="A443" s="64"/>
      <c r="B443" s="64"/>
      <c r="C443" s="64"/>
      <c r="D443" s="64"/>
      <c r="E443" s="70"/>
      <c r="F443" s="70"/>
      <c r="G443" s="64"/>
      <c r="H443" s="64"/>
      <c r="I443" s="64"/>
      <c r="J443" s="64"/>
      <c r="K443" s="64"/>
      <c r="L443" s="64"/>
      <c r="M443" s="64"/>
      <c r="N443" s="64"/>
      <c r="O443" s="64"/>
      <c r="P443" s="64"/>
      <c r="Q443" s="64"/>
      <c r="R443" s="64"/>
      <c r="S443" s="64"/>
      <c r="T443" s="64"/>
      <c r="U443" s="64"/>
      <c r="V443" s="64"/>
      <c r="W443" s="64"/>
      <c r="X443" s="64"/>
      <c r="Y443" s="64"/>
      <c r="Z443" s="64"/>
      <c r="AA443" s="64"/>
      <c r="AB443" s="64"/>
      <c r="AC443" s="64"/>
      <c r="AD443" s="64"/>
      <c r="AE443" s="64"/>
      <c r="AF443" s="64"/>
      <c r="AG443" s="64"/>
    </row>
    <row r="444" spans="1:33">
      <c r="A444" s="64"/>
      <c r="B444" s="64"/>
      <c r="C444" s="64"/>
      <c r="D444" s="64"/>
      <c r="E444" s="70"/>
      <c r="F444" s="70"/>
      <c r="G444" s="64"/>
      <c r="H444" s="64"/>
      <c r="I444" s="64"/>
      <c r="J444" s="64"/>
      <c r="K444" s="64"/>
      <c r="L444" s="64"/>
      <c r="M444" s="64"/>
      <c r="N444" s="64"/>
      <c r="O444" s="64"/>
      <c r="P444" s="64"/>
      <c r="Q444" s="64"/>
      <c r="R444" s="64"/>
      <c r="S444" s="64"/>
      <c r="T444" s="64"/>
      <c r="U444" s="64"/>
      <c r="V444" s="64"/>
      <c r="W444" s="64"/>
      <c r="X444" s="64"/>
      <c r="Y444" s="64"/>
      <c r="Z444" s="64"/>
      <c r="AA444" s="64"/>
      <c r="AB444" s="64"/>
      <c r="AC444" s="64"/>
      <c r="AD444" s="64"/>
      <c r="AE444" s="64"/>
      <c r="AF444" s="64"/>
      <c r="AG444" s="64"/>
    </row>
    <row r="445" spans="1:33">
      <c r="A445" s="64"/>
      <c r="B445" s="64"/>
      <c r="C445" s="64"/>
      <c r="D445" s="64"/>
      <c r="E445" s="70"/>
      <c r="F445" s="70"/>
      <c r="G445" s="64"/>
      <c r="H445" s="64"/>
      <c r="I445" s="64"/>
      <c r="J445" s="64"/>
      <c r="K445" s="64"/>
      <c r="L445" s="64"/>
      <c r="M445" s="64"/>
      <c r="N445" s="64"/>
      <c r="O445" s="64"/>
      <c r="P445" s="64"/>
      <c r="Q445" s="64"/>
      <c r="R445" s="64"/>
      <c r="S445" s="64"/>
      <c r="T445" s="64"/>
      <c r="U445" s="64"/>
      <c r="V445" s="64"/>
      <c r="W445" s="64"/>
      <c r="X445" s="64"/>
      <c r="Y445" s="64"/>
      <c r="Z445" s="64"/>
      <c r="AA445" s="64"/>
      <c r="AB445" s="64"/>
      <c r="AC445" s="64"/>
      <c r="AD445" s="64"/>
      <c r="AE445" s="64"/>
      <c r="AF445" s="64"/>
      <c r="AG445" s="64"/>
    </row>
    <row r="446" spans="1:33">
      <c r="A446" s="64"/>
      <c r="B446" s="64"/>
      <c r="C446" s="64"/>
      <c r="D446" s="64"/>
      <c r="E446" s="70"/>
      <c r="F446" s="70"/>
      <c r="G446" s="64"/>
      <c r="H446" s="64"/>
      <c r="I446" s="64"/>
      <c r="J446" s="64"/>
      <c r="K446" s="64"/>
      <c r="L446" s="64"/>
      <c r="M446" s="64"/>
      <c r="N446" s="64"/>
      <c r="O446" s="64"/>
      <c r="P446" s="64"/>
      <c r="Q446" s="64"/>
      <c r="R446" s="64"/>
      <c r="S446" s="64"/>
      <c r="T446" s="64"/>
      <c r="U446" s="64"/>
      <c r="V446" s="64"/>
      <c r="W446" s="64"/>
      <c r="X446" s="64"/>
      <c r="Y446" s="64"/>
      <c r="Z446" s="64"/>
      <c r="AA446" s="64"/>
      <c r="AB446" s="64"/>
      <c r="AC446" s="64"/>
      <c r="AD446" s="64"/>
      <c r="AE446" s="64"/>
      <c r="AF446" s="64"/>
      <c r="AG446" s="64"/>
    </row>
    <row r="447" spans="1:33">
      <c r="A447" s="64"/>
      <c r="B447" s="64"/>
      <c r="C447" s="64"/>
      <c r="D447" s="64"/>
      <c r="E447" s="70"/>
      <c r="F447" s="70"/>
      <c r="G447" s="64"/>
      <c r="H447" s="64"/>
      <c r="I447" s="64"/>
      <c r="J447" s="64"/>
      <c r="K447" s="64"/>
      <c r="L447" s="64"/>
      <c r="M447" s="64"/>
      <c r="N447" s="64"/>
      <c r="O447" s="64"/>
      <c r="P447" s="64"/>
      <c r="Q447" s="64"/>
      <c r="R447" s="64"/>
      <c r="S447" s="64"/>
      <c r="T447" s="64"/>
      <c r="U447" s="64"/>
      <c r="V447" s="64"/>
      <c r="W447" s="64"/>
      <c r="X447" s="64"/>
      <c r="Y447" s="64"/>
      <c r="Z447" s="64"/>
      <c r="AA447" s="64"/>
      <c r="AB447" s="64"/>
      <c r="AC447" s="64"/>
      <c r="AD447" s="64"/>
      <c r="AE447" s="64"/>
      <c r="AF447" s="64"/>
      <c r="AG447" s="64"/>
    </row>
    <row r="448" spans="1:33">
      <c r="A448" s="64"/>
      <c r="B448" s="64"/>
      <c r="C448" s="64"/>
      <c r="D448" s="64"/>
      <c r="E448" s="70"/>
      <c r="F448" s="70"/>
      <c r="G448" s="64"/>
      <c r="H448" s="64"/>
      <c r="I448" s="64"/>
      <c r="J448" s="64"/>
      <c r="K448" s="64"/>
      <c r="L448" s="64"/>
      <c r="M448" s="64"/>
      <c r="N448" s="64"/>
      <c r="O448" s="64"/>
      <c r="P448" s="64"/>
      <c r="Q448" s="64"/>
      <c r="R448" s="64"/>
      <c r="S448" s="64"/>
      <c r="T448" s="64"/>
      <c r="U448" s="64"/>
      <c r="V448" s="64"/>
      <c r="W448" s="64"/>
      <c r="X448" s="64"/>
      <c r="Y448" s="64"/>
      <c r="Z448" s="64"/>
      <c r="AA448" s="64"/>
      <c r="AB448" s="64"/>
      <c r="AC448" s="64"/>
      <c r="AD448" s="64"/>
      <c r="AE448" s="64"/>
      <c r="AF448" s="64"/>
      <c r="AG448" s="64"/>
    </row>
    <row r="449" spans="1:33">
      <c r="A449" s="64"/>
      <c r="B449" s="64"/>
      <c r="C449" s="64"/>
      <c r="D449" s="64"/>
      <c r="E449" s="70"/>
      <c r="F449" s="70"/>
      <c r="G449" s="64"/>
      <c r="H449" s="64"/>
      <c r="I449" s="64"/>
      <c r="J449" s="64"/>
      <c r="K449" s="64"/>
      <c r="L449" s="64"/>
      <c r="M449" s="64"/>
      <c r="N449" s="64"/>
      <c r="O449" s="64"/>
      <c r="P449" s="64"/>
      <c r="Q449" s="64"/>
      <c r="R449" s="64"/>
      <c r="S449" s="64"/>
      <c r="T449" s="64"/>
      <c r="U449" s="64"/>
      <c r="V449" s="64"/>
      <c r="W449" s="64"/>
      <c r="X449" s="64"/>
      <c r="Y449" s="64"/>
      <c r="Z449" s="64"/>
      <c r="AA449" s="64"/>
      <c r="AB449" s="64"/>
      <c r="AC449" s="64"/>
      <c r="AD449" s="64"/>
      <c r="AE449" s="64"/>
      <c r="AF449" s="64"/>
      <c r="AG449" s="64"/>
    </row>
    <row r="450" spans="1:33">
      <c r="A450" s="64"/>
      <c r="B450" s="64"/>
      <c r="C450" s="64"/>
      <c r="D450" s="64"/>
      <c r="E450" s="70"/>
      <c r="F450" s="70"/>
      <c r="G450" s="64"/>
      <c r="H450" s="64"/>
      <c r="I450" s="64"/>
      <c r="J450" s="64"/>
      <c r="K450" s="64"/>
      <c r="L450" s="64"/>
      <c r="M450" s="64"/>
      <c r="N450" s="64"/>
      <c r="O450" s="64"/>
      <c r="P450" s="64"/>
      <c r="Q450" s="64"/>
      <c r="R450" s="64"/>
      <c r="S450" s="64"/>
      <c r="T450" s="64"/>
      <c r="U450" s="64"/>
      <c r="V450" s="64"/>
      <c r="W450" s="64"/>
      <c r="X450" s="64"/>
      <c r="Y450" s="64"/>
      <c r="Z450" s="64"/>
      <c r="AA450" s="64"/>
      <c r="AB450" s="64"/>
      <c r="AC450" s="64"/>
      <c r="AD450" s="64"/>
      <c r="AE450" s="64"/>
      <c r="AF450" s="64"/>
      <c r="AG450" s="64"/>
    </row>
    <row r="451" spans="1:33">
      <c r="A451" s="64"/>
      <c r="B451" s="64"/>
      <c r="C451" s="64"/>
      <c r="D451" s="64"/>
      <c r="E451" s="70"/>
      <c r="F451" s="70"/>
      <c r="G451" s="64"/>
      <c r="H451" s="64"/>
      <c r="I451" s="64"/>
      <c r="J451" s="64"/>
      <c r="K451" s="64"/>
      <c r="L451" s="64"/>
      <c r="M451" s="64"/>
      <c r="N451" s="64"/>
      <c r="O451" s="64"/>
      <c r="P451" s="64"/>
      <c r="Q451" s="64"/>
      <c r="R451" s="64"/>
      <c r="S451" s="64"/>
      <c r="T451" s="64"/>
      <c r="U451" s="64"/>
      <c r="V451" s="64"/>
      <c r="W451" s="64"/>
      <c r="X451" s="64"/>
      <c r="Y451" s="64"/>
      <c r="Z451" s="64"/>
      <c r="AA451" s="64"/>
      <c r="AB451" s="64"/>
      <c r="AC451" s="64"/>
      <c r="AD451" s="64"/>
      <c r="AE451" s="64"/>
      <c r="AF451" s="64"/>
      <c r="AG451" s="64"/>
    </row>
    <row r="452" spans="1:33">
      <c r="A452" s="64"/>
      <c r="B452" s="64"/>
      <c r="C452" s="64"/>
      <c r="D452" s="64"/>
      <c r="E452" s="70"/>
      <c r="F452" s="70"/>
      <c r="G452" s="64"/>
      <c r="H452" s="64"/>
      <c r="I452" s="64"/>
      <c r="J452" s="64"/>
      <c r="K452" s="64"/>
      <c r="L452" s="64"/>
      <c r="M452" s="64"/>
      <c r="N452" s="64"/>
      <c r="O452" s="64"/>
      <c r="P452" s="64"/>
      <c r="Q452" s="64"/>
      <c r="R452" s="64"/>
      <c r="S452" s="64"/>
      <c r="T452" s="64"/>
      <c r="U452" s="64"/>
      <c r="V452" s="64"/>
      <c r="W452" s="64"/>
      <c r="X452" s="64"/>
      <c r="Y452" s="64"/>
      <c r="Z452" s="64"/>
      <c r="AA452" s="64"/>
      <c r="AB452" s="64"/>
      <c r="AC452" s="64"/>
      <c r="AD452" s="64"/>
      <c r="AE452" s="64"/>
      <c r="AF452" s="64"/>
      <c r="AG452" s="64"/>
    </row>
    <row r="453" spans="1:33">
      <c r="A453" s="64"/>
      <c r="B453" s="64"/>
      <c r="C453" s="64"/>
      <c r="D453" s="64"/>
      <c r="E453" s="70"/>
      <c r="F453" s="70"/>
      <c r="G453" s="64"/>
      <c r="H453" s="64"/>
      <c r="I453" s="64"/>
      <c r="J453" s="64"/>
      <c r="K453" s="64"/>
      <c r="L453" s="64"/>
      <c r="M453" s="64"/>
      <c r="N453" s="64"/>
      <c r="O453" s="64"/>
      <c r="P453" s="64"/>
      <c r="Q453" s="64"/>
      <c r="R453" s="64"/>
      <c r="S453" s="64"/>
      <c r="T453" s="64"/>
      <c r="U453" s="64"/>
      <c r="V453" s="64"/>
      <c r="W453" s="64"/>
      <c r="X453" s="64"/>
      <c r="Y453" s="64"/>
      <c r="Z453" s="64"/>
      <c r="AA453" s="64"/>
      <c r="AB453" s="64"/>
      <c r="AC453" s="64"/>
      <c r="AD453" s="64"/>
      <c r="AE453" s="64"/>
      <c r="AF453" s="64"/>
      <c r="AG453" s="64"/>
    </row>
    <row r="454" spans="1:33">
      <c r="A454" s="64"/>
      <c r="B454" s="64"/>
      <c r="C454" s="64"/>
      <c r="D454" s="64"/>
      <c r="E454" s="70"/>
      <c r="F454" s="70"/>
      <c r="G454" s="64"/>
      <c r="H454" s="64"/>
      <c r="I454" s="64"/>
      <c r="J454" s="64"/>
      <c r="K454" s="64"/>
      <c r="L454" s="64"/>
      <c r="M454" s="64"/>
      <c r="N454" s="64"/>
      <c r="O454" s="64"/>
      <c r="P454" s="64"/>
      <c r="Q454" s="64"/>
      <c r="R454" s="64"/>
      <c r="S454" s="64"/>
      <c r="T454" s="64"/>
      <c r="U454" s="64"/>
      <c r="V454" s="64"/>
      <c r="W454" s="64"/>
      <c r="X454" s="64"/>
      <c r="Y454" s="64"/>
      <c r="Z454" s="64"/>
      <c r="AA454" s="64"/>
      <c r="AB454" s="64"/>
      <c r="AC454" s="64"/>
      <c r="AD454" s="64"/>
      <c r="AE454" s="64"/>
      <c r="AF454" s="64"/>
      <c r="AG454" s="64"/>
    </row>
    <row r="455" spans="1:33">
      <c r="A455" s="64"/>
      <c r="B455" s="64"/>
      <c r="C455" s="64"/>
      <c r="D455" s="64"/>
      <c r="E455" s="70"/>
      <c r="F455" s="70"/>
      <c r="G455" s="64"/>
      <c r="H455" s="64"/>
      <c r="I455" s="64"/>
      <c r="J455" s="64"/>
      <c r="K455" s="64"/>
      <c r="L455" s="64"/>
      <c r="M455" s="64"/>
      <c r="N455" s="64"/>
      <c r="O455" s="64"/>
      <c r="P455" s="64"/>
      <c r="Q455" s="64"/>
      <c r="R455" s="64"/>
      <c r="S455" s="64"/>
      <c r="T455" s="64"/>
      <c r="U455" s="64"/>
      <c r="V455" s="64"/>
      <c r="W455" s="64"/>
      <c r="X455" s="64"/>
      <c r="Y455" s="64"/>
      <c r="Z455" s="64"/>
      <c r="AA455" s="64"/>
      <c r="AB455" s="64"/>
      <c r="AC455" s="64"/>
      <c r="AD455" s="64"/>
      <c r="AE455" s="64"/>
      <c r="AF455" s="64"/>
      <c r="AG455" s="64"/>
    </row>
    <row r="456" spans="1:33">
      <c r="A456" s="64"/>
      <c r="B456" s="64"/>
      <c r="C456" s="64"/>
      <c r="D456" s="64"/>
      <c r="E456" s="70"/>
      <c r="F456" s="70"/>
      <c r="G456" s="64"/>
      <c r="H456" s="64"/>
      <c r="I456" s="64"/>
      <c r="J456" s="64"/>
      <c r="K456" s="64"/>
      <c r="L456" s="64"/>
      <c r="M456" s="64"/>
      <c r="N456" s="64"/>
      <c r="O456" s="64"/>
      <c r="P456" s="64"/>
      <c r="Q456" s="64"/>
      <c r="R456" s="64"/>
      <c r="S456" s="64"/>
      <c r="T456" s="64"/>
      <c r="U456" s="64"/>
      <c r="V456" s="64"/>
      <c r="W456" s="64"/>
      <c r="X456" s="64"/>
      <c r="Y456" s="64"/>
      <c r="Z456" s="64"/>
      <c r="AA456" s="64"/>
      <c r="AB456" s="64"/>
      <c r="AC456" s="64"/>
      <c r="AD456" s="64"/>
      <c r="AE456" s="64"/>
      <c r="AF456" s="64"/>
      <c r="AG456" s="64"/>
    </row>
    <row r="457" spans="1:33">
      <c r="A457" s="64"/>
      <c r="B457" s="64"/>
      <c r="C457" s="64"/>
      <c r="D457" s="64"/>
      <c r="E457" s="70"/>
      <c r="F457" s="70"/>
      <c r="G457" s="64"/>
      <c r="H457" s="64"/>
      <c r="I457" s="64"/>
      <c r="J457" s="64"/>
      <c r="K457" s="64"/>
      <c r="L457" s="64"/>
      <c r="M457" s="64"/>
      <c r="N457" s="64"/>
      <c r="O457" s="64"/>
      <c r="P457" s="64"/>
      <c r="Q457" s="64"/>
      <c r="R457" s="64"/>
      <c r="S457" s="64"/>
      <c r="T457" s="64"/>
      <c r="U457" s="64"/>
      <c r="V457" s="64"/>
      <c r="W457" s="64"/>
      <c r="X457" s="64"/>
      <c r="Y457" s="64"/>
      <c r="Z457" s="64"/>
      <c r="AA457" s="64"/>
      <c r="AB457" s="64"/>
      <c r="AC457" s="64"/>
      <c r="AD457" s="64"/>
      <c r="AE457" s="64"/>
      <c r="AF457" s="64"/>
      <c r="AG457" s="64"/>
    </row>
    <row r="458" spans="1:33">
      <c r="A458" s="64"/>
      <c r="B458" s="64"/>
      <c r="C458" s="64"/>
      <c r="D458" s="64"/>
      <c r="E458" s="70"/>
      <c r="F458" s="70"/>
      <c r="G458" s="64"/>
      <c r="H458" s="64"/>
      <c r="I458" s="64"/>
      <c r="J458" s="64"/>
      <c r="K458" s="64"/>
      <c r="L458" s="64"/>
      <c r="M458" s="64"/>
      <c r="N458" s="64"/>
      <c r="O458" s="64"/>
      <c r="P458" s="64"/>
      <c r="Q458" s="64"/>
      <c r="R458" s="64"/>
      <c r="S458" s="64"/>
      <c r="T458" s="64"/>
      <c r="U458" s="64"/>
      <c r="V458" s="64"/>
      <c r="W458" s="64"/>
      <c r="X458" s="64"/>
      <c r="Y458" s="64"/>
      <c r="Z458" s="64"/>
      <c r="AA458" s="64"/>
      <c r="AB458" s="64"/>
      <c r="AC458" s="64"/>
      <c r="AD458" s="64"/>
      <c r="AE458" s="64"/>
      <c r="AF458" s="64"/>
      <c r="AG458" s="64"/>
    </row>
    <row r="459" spans="1:33">
      <c r="A459" s="64"/>
      <c r="B459" s="64"/>
      <c r="C459" s="64"/>
      <c r="D459" s="64"/>
      <c r="E459" s="70"/>
      <c r="F459" s="70"/>
      <c r="G459" s="64"/>
      <c r="H459" s="64"/>
      <c r="I459" s="64"/>
      <c r="J459" s="64"/>
      <c r="K459" s="64"/>
      <c r="L459" s="64"/>
      <c r="M459" s="64"/>
      <c r="N459" s="64"/>
      <c r="O459" s="64"/>
      <c r="P459" s="64"/>
      <c r="Q459" s="64"/>
      <c r="R459" s="64"/>
      <c r="S459" s="64"/>
      <c r="T459" s="64"/>
      <c r="U459" s="64"/>
      <c r="V459" s="64"/>
      <c r="W459" s="64"/>
      <c r="X459" s="64"/>
      <c r="Y459" s="64"/>
      <c r="Z459" s="64"/>
      <c r="AA459" s="64"/>
      <c r="AB459" s="64"/>
      <c r="AC459" s="64"/>
      <c r="AD459" s="64"/>
      <c r="AE459" s="64"/>
      <c r="AF459" s="64"/>
      <c r="AG459" s="64"/>
    </row>
    <row r="460" spans="1:33">
      <c r="A460" s="64"/>
      <c r="B460" s="64"/>
      <c r="C460" s="64"/>
      <c r="D460" s="64"/>
      <c r="E460" s="70"/>
      <c r="F460" s="70"/>
      <c r="G460" s="64"/>
      <c r="H460" s="64"/>
      <c r="I460" s="64"/>
      <c r="J460" s="64"/>
      <c r="K460" s="64"/>
      <c r="L460" s="64"/>
      <c r="M460" s="64"/>
      <c r="N460" s="64"/>
      <c r="O460" s="64"/>
      <c r="P460" s="64"/>
      <c r="Q460" s="64"/>
      <c r="R460" s="64"/>
      <c r="S460" s="64"/>
      <c r="T460" s="64"/>
      <c r="U460" s="64"/>
      <c r="V460" s="64"/>
      <c r="W460" s="64"/>
      <c r="X460" s="64"/>
      <c r="Y460" s="64"/>
      <c r="Z460" s="64"/>
      <c r="AA460" s="64"/>
      <c r="AB460" s="64"/>
      <c r="AC460" s="64"/>
      <c r="AD460" s="64"/>
      <c r="AE460" s="64"/>
      <c r="AF460" s="64"/>
      <c r="AG460" s="64"/>
    </row>
    <row r="461" spans="1:33">
      <c r="A461" s="64"/>
      <c r="B461" s="64"/>
      <c r="C461" s="64"/>
      <c r="D461" s="64"/>
      <c r="E461" s="70"/>
      <c r="F461" s="70"/>
      <c r="G461" s="64"/>
      <c r="H461" s="64"/>
      <c r="I461" s="64"/>
      <c r="J461" s="64"/>
      <c r="K461" s="64"/>
      <c r="L461" s="64"/>
      <c r="M461" s="64"/>
      <c r="N461" s="64"/>
      <c r="O461" s="64"/>
      <c r="P461" s="64"/>
      <c r="Q461" s="64"/>
      <c r="R461" s="64"/>
      <c r="S461" s="64"/>
      <c r="T461" s="64"/>
      <c r="U461" s="64"/>
      <c r="V461" s="64"/>
      <c r="W461" s="64"/>
      <c r="X461" s="64"/>
      <c r="Y461" s="64"/>
      <c r="Z461" s="64"/>
      <c r="AA461" s="64"/>
      <c r="AB461" s="64"/>
      <c r="AC461" s="64"/>
      <c r="AD461" s="64"/>
      <c r="AE461" s="64"/>
      <c r="AF461" s="64"/>
      <c r="AG461" s="64"/>
    </row>
    <row r="462" spans="1:33">
      <c r="A462" s="64"/>
      <c r="B462" s="64"/>
      <c r="C462" s="64"/>
      <c r="D462" s="64"/>
      <c r="E462" s="70"/>
      <c r="F462" s="70"/>
      <c r="G462" s="64"/>
      <c r="H462" s="64"/>
      <c r="I462" s="64"/>
      <c r="J462" s="64"/>
      <c r="K462" s="64"/>
      <c r="L462" s="64"/>
      <c r="M462" s="64"/>
      <c r="N462" s="64"/>
      <c r="O462" s="64"/>
      <c r="P462" s="64"/>
      <c r="Q462" s="64"/>
      <c r="R462" s="64"/>
      <c r="S462" s="64"/>
      <c r="T462" s="64"/>
      <c r="U462" s="64"/>
      <c r="V462" s="64"/>
      <c r="W462" s="64"/>
      <c r="X462" s="64"/>
      <c r="Y462" s="64"/>
      <c r="Z462" s="64"/>
      <c r="AA462" s="64"/>
      <c r="AB462" s="64"/>
      <c r="AC462" s="64"/>
      <c r="AD462" s="64"/>
      <c r="AE462" s="64"/>
      <c r="AF462" s="64"/>
      <c r="AG462" s="64"/>
    </row>
    <row r="463" spans="1:33">
      <c r="A463" s="64"/>
      <c r="B463" s="64"/>
      <c r="C463" s="64"/>
      <c r="D463" s="64"/>
      <c r="E463" s="70"/>
      <c r="F463" s="70"/>
      <c r="G463" s="64"/>
      <c r="H463" s="64"/>
      <c r="I463" s="64"/>
      <c r="J463" s="64"/>
      <c r="K463" s="64"/>
      <c r="L463" s="64"/>
      <c r="M463" s="64"/>
      <c r="N463" s="64"/>
      <c r="O463" s="64"/>
      <c r="P463" s="64"/>
      <c r="Q463" s="64"/>
      <c r="R463" s="64"/>
      <c r="S463" s="64"/>
      <c r="T463" s="64"/>
      <c r="U463" s="64"/>
      <c r="V463" s="64"/>
      <c r="W463" s="64"/>
      <c r="X463" s="64"/>
      <c r="Y463" s="64"/>
      <c r="Z463" s="64"/>
      <c r="AA463" s="64"/>
      <c r="AB463" s="64"/>
      <c r="AC463" s="64"/>
      <c r="AD463" s="64"/>
      <c r="AE463" s="64"/>
      <c r="AF463" s="64"/>
      <c r="AG463" s="64"/>
    </row>
    <row r="464" spans="1:33">
      <c r="A464" s="64"/>
      <c r="B464" s="64"/>
      <c r="C464" s="64"/>
      <c r="D464" s="64"/>
      <c r="E464" s="70"/>
      <c r="F464" s="70"/>
      <c r="G464" s="64"/>
      <c r="H464" s="64"/>
      <c r="I464" s="64"/>
      <c r="J464" s="64"/>
      <c r="K464" s="64"/>
      <c r="L464" s="64"/>
      <c r="M464" s="64"/>
      <c r="N464" s="64"/>
      <c r="O464" s="64"/>
      <c r="P464" s="64"/>
      <c r="Q464" s="64"/>
      <c r="R464" s="64"/>
      <c r="S464" s="64"/>
      <c r="T464" s="64"/>
      <c r="U464" s="64"/>
      <c r="V464" s="64"/>
      <c r="W464" s="64"/>
      <c r="X464" s="64"/>
      <c r="Y464" s="64"/>
      <c r="Z464" s="64"/>
      <c r="AA464" s="64"/>
      <c r="AB464" s="64"/>
      <c r="AC464" s="64"/>
      <c r="AD464" s="64"/>
      <c r="AE464" s="64"/>
      <c r="AF464" s="64"/>
      <c r="AG464" s="64"/>
    </row>
    <row r="465" spans="1:33">
      <c r="A465" s="64"/>
      <c r="B465" s="64"/>
      <c r="C465" s="64"/>
      <c r="D465" s="64"/>
      <c r="E465" s="70"/>
      <c r="F465" s="70"/>
      <c r="G465" s="64"/>
      <c r="H465" s="64"/>
      <c r="I465" s="64"/>
      <c r="J465" s="64"/>
      <c r="K465" s="64"/>
      <c r="L465" s="64"/>
      <c r="M465" s="64"/>
      <c r="N465" s="64"/>
      <c r="O465" s="64"/>
      <c r="P465" s="64"/>
      <c r="Q465" s="64"/>
      <c r="R465" s="64"/>
      <c r="S465" s="64"/>
      <c r="T465" s="64"/>
      <c r="U465" s="64"/>
      <c r="V465" s="64"/>
      <c r="W465" s="64"/>
      <c r="X465" s="64"/>
      <c r="Y465" s="64"/>
      <c r="Z465" s="64"/>
      <c r="AA465" s="64"/>
      <c r="AB465" s="64"/>
      <c r="AC465" s="64"/>
      <c r="AD465" s="64"/>
      <c r="AE465" s="64"/>
      <c r="AF465" s="64"/>
      <c r="AG465" s="64"/>
    </row>
    <row r="466" spans="1:33">
      <c r="A466" s="64"/>
      <c r="B466" s="64"/>
      <c r="C466" s="64"/>
      <c r="D466" s="64"/>
      <c r="E466" s="70"/>
      <c r="F466" s="70"/>
      <c r="G466" s="64"/>
      <c r="H466" s="64"/>
      <c r="I466" s="64"/>
      <c r="J466" s="64"/>
      <c r="K466" s="64"/>
      <c r="L466" s="64"/>
      <c r="M466" s="64"/>
      <c r="N466" s="64"/>
      <c r="O466" s="64"/>
      <c r="P466" s="64"/>
      <c r="Q466" s="64"/>
      <c r="R466" s="64"/>
      <c r="S466" s="64"/>
      <c r="T466" s="64"/>
      <c r="U466" s="64"/>
      <c r="V466" s="64"/>
      <c r="W466" s="64"/>
      <c r="X466" s="64"/>
      <c r="Y466" s="64"/>
      <c r="Z466" s="64"/>
      <c r="AA466" s="64"/>
      <c r="AB466" s="64"/>
      <c r="AC466" s="64"/>
      <c r="AD466" s="64"/>
      <c r="AE466" s="64"/>
      <c r="AF466" s="64"/>
      <c r="AG466" s="64"/>
    </row>
    <row r="467" spans="1:33">
      <c r="A467" s="64"/>
      <c r="B467" s="64"/>
      <c r="C467" s="64"/>
      <c r="D467" s="64"/>
      <c r="E467" s="70"/>
      <c r="F467" s="70"/>
      <c r="G467" s="64"/>
      <c r="H467" s="64"/>
      <c r="I467" s="64"/>
      <c r="J467" s="64"/>
      <c r="K467" s="64"/>
      <c r="L467" s="64"/>
      <c r="M467" s="64"/>
      <c r="N467" s="64"/>
      <c r="O467" s="64"/>
      <c r="P467" s="64"/>
      <c r="Q467" s="64"/>
      <c r="R467" s="64"/>
      <c r="S467" s="64"/>
      <c r="T467" s="64"/>
      <c r="U467" s="64"/>
      <c r="V467" s="64"/>
      <c r="W467" s="64"/>
      <c r="X467" s="64"/>
      <c r="Y467" s="64"/>
      <c r="Z467" s="64"/>
      <c r="AA467" s="64"/>
      <c r="AB467" s="64"/>
      <c r="AC467" s="64"/>
      <c r="AD467" s="64"/>
      <c r="AE467" s="64"/>
      <c r="AF467" s="64"/>
      <c r="AG467" s="64"/>
    </row>
    <row r="468" spans="1:33">
      <c r="A468" s="64"/>
      <c r="B468" s="64"/>
      <c r="C468" s="64"/>
      <c r="D468" s="64"/>
      <c r="E468" s="70"/>
      <c r="F468" s="70"/>
      <c r="G468" s="64"/>
      <c r="H468" s="64"/>
      <c r="I468" s="64"/>
      <c r="J468" s="64"/>
      <c r="K468" s="64"/>
      <c r="L468" s="64"/>
      <c r="M468" s="64"/>
      <c r="N468" s="64"/>
      <c r="O468" s="64"/>
      <c r="P468" s="64"/>
      <c r="Q468" s="64"/>
      <c r="R468" s="64"/>
      <c r="S468" s="64"/>
      <c r="T468" s="64"/>
      <c r="U468" s="64"/>
      <c r="V468" s="64"/>
      <c r="W468" s="64"/>
      <c r="X468" s="64"/>
      <c r="Y468" s="64"/>
      <c r="Z468" s="64"/>
      <c r="AA468" s="64"/>
      <c r="AB468" s="64"/>
      <c r="AC468" s="64"/>
      <c r="AD468" s="64"/>
      <c r="AE468" s="64"/>
      <c r="AF468" s="64"/>
      <c r="AG468" s="64"/>
    </row>
    <row r="469" spans="1:33">
      <c r="A469" s="64"/>
      <c r="B469" s="64"/>
      <c r="C469" s="64"/>
      <c r="D469" s="64"/>
      <c r="E469" s="70"/>
      <c r="F469" s="70"/>
      <c r="G469" s="64"/>
      <c r="H469" s="64"/>
      <c r="I469" s="64"/>
      <c r="J469" s="64"/>
      <c r="K469" s="64"/>
      <c r="L469" s="64"/>
      <c r="M469" s="64"/>
      <c r="N469" s="64"/>
      <c r="O469" s="64"/>
      <c r="P469" s="64"/>
      <c r="Q469" s="64"/>
      <c r="R469" s="64"/>
      <c r="S469" s="64"/>
      <c r="T469" s="64"/>
      <c r="U469" s="64"/>
      <c r="V469" s="64"/>
      <c r="W469" s="64"/>
      <c r="X469" s="64"/>
      <c r="Y469" s="64"/>
      <c r="Z469" s="64"/>
      <c r="AA469" s="64"/>
      <c r="AB469" s="64"/>
      <c r="AC469" s="64"/>
      <c r="AD469" s="64"/>
      <c r="AE469" s="64"/>
      <c r="AF469" s="64"/>
      <c r="AG469" s="64"/>
    </row>
    <row r="470" spans="1:33">
      <c r="A470" s="64"/>
      <c r="B470" s="64"/>
      <c r="C470" s="64"/>
      <c r="D470" s="64"/>
      <c r="E470" s="70"/>
      <c r="F470" s="70"/>
      <c r="G470" s="64"/>
      <c r="H470" s="64"/>
      <c r="I470" s="64"/>
      <c r="J470" s="64"/>
      <c r="K470" s="64"/>
      <c r="L470" s="64"/>
      <c r="M470" s="64"/>
      <c r="N470" s="64"/>
      <c r="O470" s="64"/>
      <c r="P470" s="64"/>
      <c r="Q470" s="64"/>
      <c r="R470" s="64"/>
      <c r="S470" s="64"/>
      <c r="T470" s="64"/>
      <c r="U470" s="64"/>
      <c r="V470" s="64"/>
      <c r="W470" s="64"/>
      <c r="X470" s="64"/>
      <c r="Y470" s="64"/>
      <c r="Z470" s="64"/>
      <c r="AA470" s="64"/>
      <c r="AB470" s="64"/>
      <c r="AC470" s="64"/>
      <c r="AD470" s="64"/>
      <c r="AE470" s="64"/>
      <c r="AF470" s="64"/>
      <c r="AG470" s="64"/>
    </row>
    <row r="471" spans="1:33">
      <c r="A471" s="64"/>
      <c r="B471" s="64"/>
      <c r="C471" s="64"/>
      <c r="D471" s="64"/>
      <c r="E471" s="70"/>
      <c r="F471" s="70"/>
      <c r="G471" s="64"/>
      <c r="H471" s="64"/>
      <c r="I471" s="64"/>
      <c r="J471" s="64"/>
      <c r="K471" s="64"/>
      <c r="L471" s="64"/>
      <c r="M471" s="64"/>
      <c r="N471" s="64"/>
      <c r="O471" s="64"/>
      <c r="P471" s="64"/>
      <c r="Q471" s="64"/>
      <c r="R471" s="64"/>
      <c r="S471" s="64"/>
      <c r="T471" s="64"/>
      <c r="U471" s="64"/>
      <c r="V471" s="64"/>
      <c r="W471" s="64"/>
      <c r="X471" s="64"/>
      <c r="Y471" s="64"/>
      <c r="Z471" s="64"/>
      <c r="AA471" s="64"/>
      <c r="AB471" s="64"/>
      <c r="AC471" s="64"/>
      <c r="AD471" s="64"/>
      <c r="AE471" s="64"/>
      <c r="AF471" s="64"/>
      <c r="AG471" s="64"/>
    </row>
    <row r="472" spans="1:33">
      <c r="A472" s="64"/>
      <c r="B472" s="64"/>
      <c r="C472" s="64"/>
      <c r="D472" s="64"/>
      <c r="E472" s="70"/>
      <c r="F472" s="70"/>
      <c r="G472" s="64"/>
      <c r="H472" s="64"/>
      <c r="I472" s="64"/>
      <c r="J472" s="64"/>
      <c r="K472" s="64"/>
      <c r="L472" s="64"/>
      <c r="M472" s="64"/>
      <c r="N472" s="64"/>
      <c r="O472" s="64"/>
      <c r="P472" s="64"/>
      <c r="Q472" s="64"/>
      <c r="R472" s="64"/>
      <c r="S472" s="64"/>
      <c r="T472" s="64"/>
      <c r="U472" s="64"/>
      <c r="V472" s="64"/>
      <c r="W472" s="64"/>
      <c r="X472" s="64"/>
      <c r="Y472" s="64"/>
      <c r="Z472" s="64"/>
      <c r="AA472" s="64"/>
      <c r="AB472" s="64"/>
      <c r="AC472" s="64"/>
      <c r="AD472" s="64"/>
      <c r="AE472" s="64"/>
      <c r="AF472" s="64"/>
      <c r="AG472" s="64"/>
    </row>
    <row r="473" spans="1:33">
      <c r="A473" s="64"/>
      <c r="B473" s="64"/>
      <c r="C473" s="64"/>
      <c r="D473" s="64"/>
      <c r="E473" s="70"/>
      <c r="F473" s="70"/>
      <c r="G473" s="64"/>
      <c r="H473" s="64"/>
      <c r="I473" s="64"/>
      <c r="J473" s="64"/>
      <c r="K473" s="64"/>
      <c r="L473" s="64"/>
      <c r="M473" s="64"/>
      <c r="N473" s="64"/>
      <c r="O473" s="64"/>
      <c r="P473" s="64"/>
      <c r="Q473" s="64"/>
      <c r="R473" s="64"/>
      <c r="S473" s="64"/>
      <c r="T473" s="64"/>
      <c r="U473" s="64"/>
      <c r="V473" s="64"/>
      <c r="W473" s="64"/>
      <c r="X473" s="64"/>
      <c r="Y473" s="64"/>
      <c r="Z473" s="64"/>
      <c r="AA473" s="64"/>
      <c r="AB473" s="64"/>
      <c r="AC473" s="64"/>
      <c r="AD473" s="64"/>
      <c r="AE473" s="64"/>
      <c r="AF473" s="64"/>
      <c r="AG473" s="64"/>
    </row>
    <row r="474" spans="1:33">
      <c r="A474" s="64"/>
      <c r="B474" s="64"/>
      <c r="C474" s="64"/>
      <c r="D474" s="64"/>
      <c r="E474" s="70"/>
      <c r="F474" s="70"/>
      <c r="G474" s="64"/>
      <c r="H474" s="64"/>
      <c r="I474" s="64"/>
      <c r="J474" s="64"/>
      <c r="K474" s="64"/>
      <c r="L474" s="64"/>
      <c r="M474" s="64"/>
      <c r="N474" s="64"/>
      <c r="O474" s="64"/>
      <c r="P474" s="64"/>
      <c r="Q474" s="64"/>
      <c r="R474" s="64"/>
      <c r="S474" s="64"/>
      <c r="T474" s="64"/>
      <c r="U474" s="64"/>
      <c r="V474" s="64"/>
      <c r="W474" s="64"/>
      <c r="X474" s="64"/>
      <c r="Y474" s="64"/>
      <c r="Z474" s="64"/>
      <c r="AA474" s="64"/>
      <c r="AB474" s="64"/>
      <c r="AC474" s="64"/>
      <c r="AD474" s="64"/>
      <c r="AE474" s="64"/>
      <c r="AF474" s="64"/>
      <c r="AG474" s="64"/>
    </row>
    <row r="475" spans="1:33">
      <c r="A475" s="64"/>
      <c r="B475" s="64"/>
      <c r="C475" s="64"/>
      <c r="D475" s="64"/>
      <c r="E475" s="70"/>
      <c r="F475" s="70"/>
      <c r="G475" s="64"/>
      <c r="H475" s="64"/>
      <c r="I475" s="64"/>
      <c r="J475" s="64"/>
      <c r="K475" s="64"/>
      <c r="L475" s="64"/>
      <c r="M475" s="64"/>
      <c r="N475" s="64"/>
      <c r="O475" s="64"/>
      <c r="P475" s="64"/>
      <c r="Q475" s="64"/>
      <c r="R475" s="64"/>
      <c r="S475" s="64"/>
      <c r="T475" s="64"/>
      <c r="U475" s="64"/>
      <c r="V475" s="64"/>
      <c r="W475" s="64"/>
      <c r="X475" s="64"/>
      <c r="Y475" s="64"/>
      <c r="Z475" s="64"/>
      <c r="AA475" s="64"/>
      <c r="AB475" s="64"/>
      <c r="AC475" s="64"/>
      <c r="AD475" s="64"/>
      <c r="AE475" s="64"/>
      <c r="AF475" s="64"/>
      <c r="AG475" s="64"/>
    </row>
    <row r="476" spans="1:33">
      <c r="A476" s="64"/>
      <c r="B476" s="64"/>
      <c r="C476" s="64"/>
      <c r="D476" s="64"/>
      <c r="E476" s="70"/>
      <c r="F476" s="70"/>
      <c r="G476" s="64"/>
      <c r="H476" s="64"/>
      <c r="I476" s="64"/>
      <c r="J476" s="64"/>
      <c r="K476" s="64"/>
      <c r="L476" s="64"/>
      <c r="M476" s="64"/>
      <c r="N476" s="64"/>
      <c r="O476" s="64"/>
      <c r="P476" s="64"/>
      <c r="Q476" s="64"/>
      <c r="R476" s="64"/>
      <c r="S476" s="64"/>
      <c r="T476" s="64"/>
      <c r="U476" s="64"/>
      <c r="V476" s="64"/>
      <c r="W476" s="64"/>
      <c r="X476" s="64"/>
      <c r="Y476" s="64"/>
      <c r="Z476" s="64"/>
      <c r="AA476" s="64"/>
      <c r="AB476" s="64"/>
      <c r="AC476" s="64"/>
      <c r="AD476" s="64"/>
      <c r="AE476" s="64"/>
      <c r="AF476" s="64"/>
      <c r="AG476" s="64"/>
    </row>
    <row r="477" spans="1:33">
      <c r="A477" s="64"/>
      <c r="B477" s="64"/>
      <c r="C477" s="64"/>
      <c r="D477" s="64"/>
      <c r="E477" s="70"/>
      <c r="F477" s="70"/>
      <c r="G477" s="64"/>
      <c r="H477" s="64"/>
      <c r="I477" s="64"/>
      <c r="J477" s="64"/>
      <c r="K477" s="64"/>
      <c r="L477" s="64"/>
      <c r="M477" s="64"/>
      <c r="N477" s="64"/>
      <c r="O477" s="64"/>
      <c r="P477" s="64"/>
      <c r="Q477" s="64"/>
      <c r="R477" s="64"/>
      <c r="S477" s="64"/>
      <c r="T477" s="64"/>
      <c r="U477" s="64"/>
      <c r="V477" s="64"/>
      <c r="W477" s="64"/>
      <c r="X477" s="64"/>
      <c r="Y477" s="64"/>
      <c r="Z477" s="64"/>
      <c r="AA477" s="64"/>
      <c r="AB477" s="64"/>
      <c r="AC477" s="64"/>
      <c r="AD477" s="64"/>
      <c r="AE477" s="64"/>
      <c r="AF477" s="64"/>
      <c r="AG477" s="64"/>
    </row>
    <row r="478" spans="1:33">
      <c r="A478" s="64"/>
      <c r="B478" s="64"/>
      <c r="C478" s="64"/>
      <c r="D478" s="64"/>
      <c r="E478" s="70"/>
      <c r="F478" s="70"/>
      <c r="G478" s="64"/>
      <c r="H478" s="64"/>
      <c r="I478" s="64"/>
      <c r="J478" s="64"/>
      <c r="K478" s="64"/>
      <c r="L478" s="64"/>
      <c r="M478" s="64"/>
      <c r="N478" s="64"/>
      <c r="O478" s="64"/>
      <c r="P478" s="64"/>
      <c r="Q478" s="64"/>
      <c r="R478" s="64"/>
      <c r="S478" s="64"/>
      <c r="T478" s="64"/>
      <c r="U478" s="64"/>
      <c r="V478" s="64"/>
      <c r="W478" s="64"/>
      <c r="X478" s="64"/>
      <c r="Y478" s="64"/>
      <c r="Z478" s="64"/>
      <c r="AA478" s="64"/>
      <c r="AB478" s="64"/>
      <c r="AC478" s="64"/>
      <c r="AD478" s="64"/>
      <c r="AE478" s="64"/>
      <c r="AF478" s="64"/>
      <c r="AG478" s="64"/>
    </row>
    <row r="479" spans="1:33">
      <c r="A479" s="64"/>
      <c r="B479" s="64"/>
      <c r="C479" s="64"/>
      <c r="D479" s="64"/>
      <c r="E479" s="70"/>
      <c r="F479" s="70"/>
      <c r="G479" s="64"/>
      <c r="H479" s="64"/>
      <c r="I479" s="64"/>
      <c r="J479" s="64"/>
      <c r="K479" s="64"/>
      <c r="L479" s="64"/>
      <c r="M479" s="64"/>
      <c r="N479" s="64"/>
      <c r="O479" s="64"/>
      <c r="P479" s="64"/>
      <c r="Q479" s="64"/>
      <c r="R479" s="64"/>
      <c r="S479" s="64"/>
      <c r="T479" s="64"/>
      <c r="U479" s="64"/>
      <c r="V479" s="64"/>
      <c r="W479" s="64"/>
      <c r="X479" s="64"/>
      <c r="Y479" s="64"/>
      <c r="Z479" s="64"/>
      <c r="AA479" s="64"/>
      <c r="AB479" s="64"/>
      <c r="AC479" s="64"/>
      <c r="AD479" s="64"/>
      <c r="AE479" s="64"/>
      <c r="AF479" s="64"/>
      <c r="AG479" s="64"/>
    </row>
    <row r="480" spans="1:33">
      <c r="A480" s="64"/>
      <c r="B480" s="64"/>
      <c r="C480" s="64"/>
      <c r="D480" s="64"/>
      <c r="E480" s="70"/>
      <c r="F480" s="70"/>
      <c r="G480" s="64"/>
      <c r="H480" s="64"/>
      <c r="I480" s="64"/>
      <c r="J480" s="64"/>
      <c r="K480" s="64"/>
      <c r="L480" s="64"/>
      <c r="M480" s="64"/>
      <c r="N480" s="64"/>
      <c r="O480" s="64"/>
      <c r="P480" s="64"/>
      <c r="Q480" s="64"/>
      <c r="R480" s="64"/>
      <c r="S480" s="64"/>
      <c r="T480" s="64"/>
      <c r="U480" s="64"/>
      <c r="V480" s="64"/>
      <c r="W480" s="64"/>
      <c r="X480" s="64"/>
      <c r="Y480" s="64"/>
      <c r="Z480" s="64"/>
      <c r="AA480" s="64"/>
      <c r="AB480" s="64"/>
      <c r="AC480" s="64"/>
      <c r="AD480" s="64"/>
      <c r="AE480" s="64"/>
      <c r="AF480" s="64"/>
      <c r="AG480" s="64"/>
    </row>
    <row r="481" spans="1:33">
      <c r="A481" s="64"/>
      <c r="B481" s="64"/>
      <c r="C481" s="64"/>
      <c r="D481" s="64"/>
      <c r="E481" s="70"/>
      <c r="F481" s="70"/>
      <c r="G481" s="64"/>
      <c r="H481" s="64"/>
      <c r="I481" s="64"/>
      <c r="J481" s="64"/>
      <c r="K481" s="64"/>
      <c r="L481" s="64"/>
      <c r="M481" s="64"/>
      <c r="N481" s="64"/>
      <c r="O481" s="64"/>
      <c r="P481" s="64"/>
      <c r="Q481" s="64"/>
      <c r="R481" s="64"/>
      <c r="S481" s="64"/>
      <c r="T481" s="64"/>
      <c r="U481" s="64"/>
      <c r="V481" s="64"/>
      <c r="W481" s="64"/>
      <c r="X481" s="64"/>
      <c r="Y481" s="64"/>
      <c r="Z481" s="64"/>
      <c r="AA481" s="64"/>
      <c r="AB481" s="64"/>
      <c r="AC481" s="64"/>
      <c r="AD481" s="64"/>
      <c r="AE481" s="64"/>
      <c r="AF481" s="64"/>
      <c r="AG481" s="64"/>
    </row>
    <row r="482" spans="1:33">
      <c r="A482" s="64"/>
      <c r="B482" s="64"/>
      <c r="C482" s="64"/>
      <c r="D482" s="64"/>
      <c r="E482" s="70"/>
      <c r="F482" s="70"/>
      <c r="G482" s="64"/>
      <c r="H482" s="64"/>
      <c r="I482" s="64"/>
      <c r="J482" s="64"/>
      <c r="K482" s="64"/>
      <c r="L482" s="64"/>
      <c r="M482" s="64"/>
      <c r="N482" s="64"/>
      <c r="O482" s="64"/>
      <c r="P482" s="64"/>
      <c r="Q482" s="64"/>
      <c r="R482" s="64"/>
      <c r="S482" s="64"/>
      <c r="T482" s="64"/>
      <c r="U482" s="64"/>
      <c r="V482" s="64"/>
      <c r="W482" s="64"/>
      <c r="X482" s="64"/>
      <c r="Y482" s="64"/>
      <c r="Z482" s="64"/>
      <c r="AA482" s="64"/>
      <c r="AB482" s="64"/>
      <c r="AC482" s="64"/>
      <c r="AD482" s="64"/>
      <c r="AE482" s="64"/>
      <c r="AF482" s="64"/>
      <c r="AG482" s="64"/>
    </row>
    <row r="483" spans="1:33">
      <c r="A483" s="64"/>
      <c r="B483" s="64"/>
      <c r="C483" s="64"/>
      <c r="D483" s="64"/>
      <c r="E483" s="70"/>
      <c r="F483" s="70"/>
      <c r="G483" s="64"/>
      <c r="H483" s="64"/>
      <c r="I483" s="64"/>
      <c r="J483" s="64"/>
      <c r="K483" s="64"/>
      <c r="L483" s="64"/>
      <c r="M483" s="64"/>
      <c r="N483" s="64"/>
      <c r="O483" s="64"/>
      <c r="P483" s="64"/>
      <c r="Q483" s="64"/>
      <c r="R483" s="64"/>
      <c r="S483" s="64"/>
      <c r="T483" s="64"/>
      <c r="U483" s="64"/>
      <c r="V483" s="64"/>
      <c r="W483" s="64"/>
      <c r="X483" s="64"/>
      <c r="Y483" s="64"/>
      <c r="Z483" s="64"/>
      <c r="AA483" s="64"/>
      <c r="AB483" s="64"/>
      <c r="AC483" s="64"/>
      <c r="AD483" s="64"/>
      <c r="AE483" s="64"/>
      <c r="AF483" s="64"/>
      <c r="AG483" s="64"/>
    </row>
    <row r="484" spans="1:33">
      <c r="A484" s="64"/>
      <c r="B484" s="64"/>
      <c r="C484" s="64"/>
      <c r="D484" s="64"/>
      <c r="E484" s="70"/>
      <c r="F484" s="70"/>
      <c r="G484" s="64"/>
      <c r="H484" s="64"/>
      <c r="I484" s="64"/>
      <c r="J484" s="64"/>
      <c r="K484" s="64"/>
      <c r="L484" s="64"/>
      <c r="M484" s="64"/>
      <c r="N484" s="64"/>
      <c r="O484" s="64"/>
      <c r="P484" s="64"/>
      <c r="Q484" s="64"/>
      <c r="R484" s="64"/>
      <c r="S484" s="64"/>
      <c r="T484" s="64"/>
      <c r="U484" s="64"/>
      <c r="V484" s="64"/>
      <c r="W484" s="64"/>
      <c r="X484" s="64"/>
      <c r="Y484" s="64"/>
      <c r="Z484" s="64"/>
      <c r="AA484" s="64"/>
      <c r="AB484" s="64"/>
      <c r="AC484" s="64"/>
      <c r="AD484" s="64"/>
      <c r="AE484" s="64"/>
      <c r="AF484" s="64"/>
      <c r="AG484" s="64"/>
    </row>
    <row r="485" spans="1:33">
      <c r="A485" s="64"/>
      <c r="B485" s="64"/>
      <c r="C485" s="64"/>
      <c r="D485" s="64"/>
      <c r="E485" s="70"/>
      <c r="F485" s="70"/>
      <c r="G485" s="64"/>
      <c r="H485" s="64"/>
      <c r="I485" s="64"/>
      <c r="J485" s="64"/>
      <c r="K485" s="64"/>
      <c r="L485" s="64"/>
      <c r="M485" s="64"/>
      <c r="N485" s="64"/>
      <c r="O485" s="64"/>
      <c r="P485" s="64"/>
      <c r="Q485" s="64"/>
      <c r="R485" s="64"/>
      <c r="S485" s="64"/>
      <c r="T485" s="64"/>
      <c r="U485" s="64"/>
      <c r="V485" s="64"/>
      <c r="W485" s="64"/>
      <c r="X485" s="64"/>
      <c r="Y485" s="64"/>
      <c r="Z485" s="64"/>
      <c r="AA485" s="64"/>
      <c r="AB485" s="64"/>
      <c r="AC485" s="64"/>
      <c r="AD485" s="64"/>
      <c r="AE485" s="64"/>
      <c r="AF485" s="64"/>
      <c r="AG485" s="64"/>
    </row>
    <row r="486" spans="1:33">
      <c r="A486" s="64"/>
      <c r="B486" s="64"/>
      <c r="C486" s="64"/>
      <c r="D486" s="64"/>
      <c r="E486" s="70"/>
      <c r="F486" s="70"/>
      <c r="G486" s="64"/>
      <c r="H486" s="64"/>
      <c r="I486" s="64"/>
      <c r="J486" s="64"/>
      <c r="K486" s="64"/>
      <c r="L486" s="64"/>
      <c r="M486" s="64"/>
      <c r="N486" s="64"/>
      <c r="O486" s="64"/>
      <c r="P486" s="64"/>
      <c r="Q486" s="64"/>
      <c r="R486" s="64"/>
      <c r="S486" s="64"/>
      <c r="T486" s="64"/>
      <c r="U486" s="64"/>
      <c r="V486" s="64"/>
      <c r="W486" s="64"/>
      <c r="X486" s="64"/>
      <c r="Y486" s="64"/>
      <c r="Z486" s="64"/>
      <c r="AA486" s="64"/>
      <c r="AB486" s="64"/>
      <c r="AC486" s="64"/>
      <c r="AD486" s="64"/>
      <c r="AE486" s="64"/>
      <c r="AF486" s="64"/>
      <c r="AG486" s="64"/>
    </row>
    <row r="487" spans="1:33">
      <c r="A487" s="64"/>
      <c r="B487" s="64"/>
      <c r="C487" s="64"/>
      <c r="D487" s="64"/>
      <c r="E487" s="70"/>
      <c r="F487" s="70"/>
      <c r="G487" s="64"/>
      <c r="H487" s="64"/>
      <c r="I487" s="64"/>
      <c r="J487" s="64"/>
      <c r="K487" s="64"/>
      <c r="L487" s="64"/>
      <c r="M487" s="64"/>
      <c r="N487" s="64"/>
      <c r="O487" s="64"/>
      <c r="P487" s="64"/>
      <c r="Q487" s="64"/>
      <c r="R487" s="64"/>
      <c r="S487" s="64"/>
      <c r="T487" s="64"/>
      <c r="U487" s="64"/>
      <c r="V487" s="64"/>
      <c r="W487" s="64"/>
      <c r="X487" s="64"/>
      <c r="Y487" s="64"/>
      <c r="Z487" s="64"/>
      <c r="AA487" s="64"/>
      <c r="AB487" s="64"/>
      <c r="AC487" s="64"/>
      <c r="AD487" s="64"/>
      <c r="AE487" s="64"/>
      <c r="AF487" s="64"/>
      <c r="AG487" s="64"/>
    </row>
    <row r="488" spans="1:33">
      <c r="A488" s="64"/>
      <c r="B488" s="64"/>
      <c r="C488" s="64"/>
      <c r="D488" s="64"/>
      <c r="E488" s="70"/>
      <c r="F488" s="70"/>
      <c r="G488" s="64"/>
      <c r="H488" s="64"/>
      <c r="I488" s="64"/>
      <c r="J488" s="64"/>
      <c r="K488" s="64"/>
      <c r="L488" s="64"/>
      <c r="M488" s="64"/>
      <c r="N488" s="64"/>
      <c r="O488" s="64"/>
      <c r="P488" s="64"/>
      <c r="Q488" s="64"/>
      <c r="R488" s="64"/>
      <c r="S488" s="64"/>
      <c r="T488" s="64"/>
      <c r="U488" s="64"/>
      <c r="V488" s="64"/>
      <c r="W488" s="64"/>
      <c r="X488" s="64"/>
      <c r="Y488" s="64"/>
      <c r="Z488" s="64"/>
      <c r="AA488" s="64"/>
      <c r="AB488" s="64"/>
      <c r="AC488" s="64"/>
      <c r="AD488" s="64"/>
      <c r="AE488" s="64"/>
      <c r="AF488" s="64"/>
      <c r="AG488" s="64"/>
    </row>
    <row r="489" spans="1:33">
      <c r="A489" s="64"/>
      <c r="B489" s="64"/>
      <c r="C489" s="64"/>
      <c r="D489" s="64"/>
      <c r="E489" s="70"/>
      <c r="F489" s="70"/>
      <c r="G489" s="64"/>
      <c r="H489" s="64"/>
      <c r="I489" s="64"/>
      <c r="J489" s="64"/>
      <c r="K489" s="64"/>
      <c r="L489" s="64"/>
      <c r="M489" s="64"/>
      <c r="N489" s="64"/>
      <c r="O489" s="64"/>
      <c r="P489" s="64"/>
      <c r="Q489" s="64"/>
      <c r="R489" s="64"/>
      <c r="S489" s="64"/>
      <c r="T489" s="64"/>
      <c r="U489" s="64"/>
      <c r="V489" s="64"/>
      <c r="W489" s="64"/>
      <c r="X489" s="64"/>
      <c r="Y489" s="64"/>
      <c r="Z489" s="64"/>
      <c r="AA489" s="64"/>
      <c r="AB489" s="64"/>
      <c r="AC489" s="64"/>
      <c r="AD489" s="64"/>
      <c r="AE489" s="64"/>
      <c r="AF489" s="64"/>
      <c r="AG489" s="64"/>
    </row>
    <row r="490" spans="1:33">
      <c r="A490" s="64"/>
      <c r="B490" s="64"/>
      <c r="C490" s="64"/>
      <c r="D490" s="64"/>
      <c r="E490" s="70"/>
      <c r="F490" s="70"/>
      <c r="G490" s="64"/>
      <c r="H490" s="64"/>
      <c r="I490" s="64"/>
      <c r="J490" s="64"/>
      <c r="K490" s="64"/>
      <c r="L490" s="64"/>
      <c r="M490" s="64"/>
      <c r="N490" s="64"/>
      <c r="O490" s="64"/>
      <c r="P490" s="64"/>
      <c r="Q490" s="64"/>
      <c r="R490" s="64"/>
      <c r="S490" s="64"/>
      <c r="T490" s="64"/>
      <c r="U490" s="64"/>
      <c r="V490" s="64"/>
      <c r="W490" s="64"/>
      <c r="X490" s="64"/>
      <c r="Y490" s="64"/>
      <c r="Z490" s="64"/>
      <c r="AA490" s="64"/>
      <c r="AB490" s="64"/>
      <c r="AC490" s="64"/>
      <c r="AD490" s="64"/>
      <c r="AE490" s="64"/>
      <c r="AF490" s="64"/>
      <c r="AG490" s="64"/>
    </row>
    <row r="491" spans="1:33">
      <c r="A491" s="64"/>
      <c r="B491" s="64"/>
      <c r="C491" s="64"/>
      <c r="D491" s="64"/>
      <c r="E491" s="70"/>
      <c r="F491" s="70"/>
      <c r="G491" s="64"/>
      <c r="H491" s="64"/>
      <c r="I491" s="64"/>
      <c r="J491" s="64"/>
      <c r="K491" s="64"/>
      <c r="L491" s="64"/>
      <c r="M491" s="64"/>
      <c r="N491" s="64"/>
      <c r="O491" s="64"/>
      <c r="P491" s="64"/>
      <c r="Q491" s="64"/>
      <c r="R491" s="64"/>
      <c r="S491" s="64"/>
      <c r="T491" s="64"/>
      <c r="U491" s="64"/>
      <c r="V491" s="64"/>
      <c r="W491" s="64"/>
      <c r="X491" s="64"/>
      <c r="Y491" s="64"/>
      <c r="Z491" s="64"/>
      <c r="AA491" s="64"/>
      <c r="AB491" s="64"/>
      <c r="AC491" s="64"/>
      <c r="AD491" s="64"/>
      <c r="AE491" s="64"/>
      <c r="AF491" s="64"/>
      <c r="AG491" s="64"/>
    </row>
    <row r="492" spans="1:33">
      <c r="A492" s="64"/>
      <c r="B492" s="64"/>
      <c r="C492" s="64"/>
      <c r="D492" s="64"/>
      <c r="E492" s="70"/>
      <c r="F492" s="70"/>
      <c r="G492" s="64"/>
      <c r="H492" s="64"/>
      <c r="I492" s="64"/>
      <c r="J492" s="64"/>
      <c r="K492" s="64"/>
      <c r="L492" s="64"/>
      <c r="M492" s="64"/>
      <c r="N492" s="64"/>
      <c r="O492" s="64"/>
      <c r="P492" s="64"/>
      <c r="Q492" s="64"/>
      <c r="R492" s="64"/>
      <c r="S492" s="64"/>
      <c r="T492" s="64"/>
      <c r="U492" s="64"/>
      <c r="V492" s="64"/>
      <c r="W492" s="64"/>
      <c r="X492" s="64"/>
      <c r="Y492" s="64"/>
      <c r="Z492" s="64"/>
      <c r="AA492" s="64"/>
      <c r="AB492" s="64"/>
      <c r="AC492" s="64"/>
      <c r="AD492" s="64"/>
      <c r="AE492" s="64"/>
      <c r="AF492" s="64"/>
      <c r="AG492" s="64"/>
    </row>
    <row r="493" spans="1:33">
      <c r="A493" s="64"/>
      <c r="B493" s="64"/>
      <c r="C493" s="64"/>
      <c r="D493" s="64"/>
      <c r="E493" s="70"/>
      <c r="F493" s="70"/>
      <c r="G493" s="64"/>
      <c r="H493" s="64"/>
      <c r="I493" s="64"/>
      <c r="J493" s="64"/>
      <c r="K493" s="64"/>
      <c r="L493" s="64"/>
      <c r="M493" s="64"/>
      <c r="N493" s="64"/>
      <c r="O493" s="64"/>
      <c r="P493" s="64"/>
      <c r="Q493" s="64"/>
      <c r="R493" s="64"/>
      <c r="S493" s="64"/>
      <c r="T493" s="64"/>
      <c r="U493" s="64"/>
      <c r="V493" s="64"/>
      <c r="W493" s="64"/>
      <c r="X493" s="64"/>
      <c r="Y493" s="64"/>
      <c r="Z493" s="64"/>
      <c r="AA493" s="64"/>
      <c r="AB493" s="64"/>
      <c r="AC493" s="64"/>
      <c r="AD493" s="64"/>
      <c r="AE493" s="64"/>
      <c r="AF493" s="64"/>
      <c r="AG493" s="64"/>
    </row>
    <row r="494" spans="1:33">
      <c r="A494" s="64"/>
      <c r="B494" s="64"/>
      <c r="C494" s="64"/>
      <c r="D494" s="64"/>
      <c r="E494" s="70"/>
      <c r="F494" s="70"/>
      <c r="G494" s="64"/>
      <c r="H494" s="64"/>
      <c r="I494" s="64"/>
      <c r="J494" s="64"/>
      <c r="K494" s="64"/>
      <c r="L494" s="64"/>
      <c r="M494" s="64"/>
      <c r="N494" s="64"/>
      <c r="O494" s="64"/>
      <c r="P494" s="64"/>
      <c r="Q494" s="64"/>
      <c r="R494" s="64"/>
      <c r="S494" s="64"/>
      <c r="T494" s="64"/>
      <c r="U494" s="64"/>
      <c r="V494" s="64"/>
      <c r="W494" s="64"/>
      <c r="X494" s="64"/>
      <c r="Y494" s="64"/>
      <c r="Z494" s="64"/>
      <c r="AA494" s="64"/>
      <c r="AB494" s="64"/>
      <c r="AC494" s="64"/>
      <c r="AD494" s="64"/>
      <c r="AE494" s="64"/>
      <c r="AF494" s="64"/>
      <c r="AG494" s="64"/>
    </row>
    <row r="495" spans="1:33">
      <c r="A495" s="64"/>
      <c r="B495" s="64"/>
      <c r="C495" s="64"/>
      <c r="D495" s="64"/>
      <c r="E495" s="70"/>
      <c r="F495" s="70"/>
      <c r="G495" s="64"/>
      <c r="H495" s="64"/>
      <c r="I495" s="64"/>
      <c r="J495" s="64"/>
      <c r="K495" s="64"/>
      <c r="L495" s="64"/>
      <c r="M495" s="64"/>
      <c r="N495" s="64"/>
      <c r="O495" s="64"/>
      <c r="P495" s="64"/>
      <c r="Q495" s="64"/>
      <c r="R495" s="64"/>
      <c r="S495" s="64"/>
      <c r="T495" s="64"/>
      <c r="U495" s="64"/>
      <c r="V495" s="64"/>
      <c r="W495" s="64"/>
      <c r="X495" s="64"/>
      <c r="Y495" s="64"/>
      <c r="Z495" s="64"/>
      <c r="AA495" s="64"/>
      <c r="AB495" s="64"/>
      <c r="AC495" s="64"/>
      <c r="AD495" s="64"/>
      <c r="AE495" s="64"/>
      <c r="AF495" s="64"/>
      <c r="AG495" s="64"/>
    </row>
    <row r="496" spans="1:33">
      <c r="A496" s="64"/>
      <c r="B496" s="64"/>
      <c r="C496" s="64"/>
      <c r="D496" s="64"/>
      <c r="E496" s="70"/>
      <c r="F496" s="70"/>
      <c r="G496" s="64"/>
      <c r="H496" s="64"/>
      <c r="I496" s="64"/>
      <c r="J496" s="64"/>
      <c r="K496" s="64"/>
      <c r="L496" s="64"/>
      <c r="M496" s="64"/>
      <c r="N496" s="64"/>
      <c r="O496" s="64"/>
      <c r="P496" s="64"/>
      <c r="Q496" s="64"/>
      <c r="R496" s="64"/>
      <c r="S496" s="64"/>
      <c r="T496" s="64"/>
      <c r="U496" s="64"/>
      <c r="V496" s="64"/>
      <c r="W496" s="64"/>
      <c r="X496" s="64"/>
      <c r="Y496" s="64"/>
      <c r="Z496" s="64"/>
      <c r="AA496" s="64"/>
      <c r="AB496" s="64"/>
      <c r="AC496" s="64"/>
      <c r="AD496" s="64"/>
      <c r="AE496" s="64"/>
      <c r="AF496" s="64"/>
      <c r="AG496" s="64"/>
    </row>
    <row r="497" spans="1:33">
      <c r="A497" s="64"/>
      <c r="B497" s="64"/>
      <c r="C497" s="64"/>
      <c r="D497" s="64"/>
      <c r="E497" s="70"/>
      <c r="F497" s="70"/>
      <c r="G497" s="64"/>
      <c r="H497" s="64"/>
      <c r="I497" s="64"/>
      <c r="J497" s="64"/>
      <c r="K497" s="64"/>
      <c r="L497" s="64"/>
      <c r="M497" s="64"/>
      <c r="N497" s="64"/>
      <c r="O497" s="64"/>
      <c r="P497" s="64"/>
      <c r="Q497" s="64"/>
      <c r="R497" s="64"/>
      <c r="S497" s="64"/>
      <c r="T497" s="64"/>
      <c r="U497" s="64"/>
      <c r="V497" s="64"/>
      <c r="W497" s="64"/>
      <c r="X497" s="64"/>
      <c r="Y497" s="64"/>
      <c r="Z497" s="64"/>
      <c r="AA497" s="64"/>
      <c r="AB497" s="64"/>
      <c r="AC497" s="64"/>
      <c r="AD497" s="64"/>
      <c r="AE497" s="64"/>
      <c r="AF497" s="64"/>
      <c r="AG497" s="64"/>
    </row>
    <row r="498" spans="1:33">
      <c r="A498" s="64"/>
      <c r="B498" s="64"/>
      <c r="C498" s="64"/>
      <c r="D498" s="64"/>
      <c r="E498" s="70"/>
      <c r="F498" s="70"/>
      <c r="G498" s="64"/>
      <c r="H498" s="64"/>
      <c r="I498" s="64"/>
      <c r="J498" s="64"/>
      <c r="K498" s="64"/>
      <c r="L498" s="64"/>
      <c r="M498" s="64"/>
      <c r="N498" s="64"/>
      <c r="O498" s="64"/>
      <c r="P498" s="64"/>
      <c r="Q498" s="64"/>
      <c r="R498" s="64"/>
      <c r="S498" s="64"/>
      <c r="T498" s="64"/>
      <c r="U498" s="64"/>
      <c r="V498" s="64"/>
      <c r="W498" s="64"/>
      <c r="X498" s="64"/>
      <c r="Y498" s="64"/>
      <c r="Z498" s="64"/>
      <c r="AA498" s="64"/>
      <c r="AB498" s="64"/>
      <c r="AC498" s="64"/>
      <c r="AD498" s="64"/>
      <c r="AE498" s="64"/>
      <c r="AF498" s="64"/>
      <c r="AG498" s="64"/>
    </row>
    <row r="499" spans="1:33">
      <c r="A499" s="64"/>
      <c r="B499" s="64"/>
      <c r="C499" s="64"/>
      <c r="D499" s="64"/>
      <c r="E499" s="70"/>
      <c r="F499" s="70"/>
      <c r="G499" s="64"/>
      <c r="H499" s="64"/>
      <c r="I499" s="64"/>
      <c r="J499" s="64"/>
      <c r="K499" s="64"/>
      <c r="L499" s="64"/>
      <c r="M499" s="64"/>
      <c r="N499" s="64"/>
      <c r="O499" s="64"/>
      <c r="P499" s="64"/>
      <c r="Q499" s="64"/>
      <c r="R499" s="64"/>
      <c r="S499" s="64"/>
      <c r="T499" s="64"/>
      <c r="U499" s="64"/>
      <c r="V499" s="64"/>
      <c r="W499" s="64"/>
      <c r="X499" s="64"/>
      <c r="Y499" s="64"/>
      <c r="Z499" s="64"/>
      <c r="AA499" s="64"/>
      <c r="AB499" s="64"/>
      <c r="AC499" s="64"/>
      <c r="AD499" s="64"/>
      <c r="AE499" s="64"/>
      <c r="AF499" s="64"/>
      <c r="AG499" s="64"/>
    </row>
    <row r="500" spans="1:33">
      <c r="A500" s="64"/>
      <c r="B500" s="64"/>
      <c r="C500" s="64"/>
      <c r="D500" s="64"/>
      <c r="E500" s="70"/>
      <c r="F500" s="70"/>
      <c r="G500" s="64"/>
      <c r="H500" s="64"/>
      <c r="I500" s="64"/>
      <c r="J500" s="64"/>
      <c r="K500" s="64"/>
      <c r="L500" s="64"/>
      <c r="M500" s="64"/>
      <c r="N500" s="64"/>
      <c r="O500" s="64"/>
      <c r="P500" s="64"/>
      <c r="Q500" s="64"/>
      <c r="R500" s="64"/>
      <c r="S500" s="64"/>
      <c r="T500" s="64"/>
      <c r="U500" s="64"/>
      <c r="V500" s="64"/>
      <c r="W500" s="64"/>
      <c r="X500" s="64"/>
      <c r="Y500" s="64"/>
      <c r="Z500" s="64"/>
      <c r="AA500" s="64"/>
      <c r="AB500" s="64"/>
      <c r="AC500" s="64"/>
      <c r="AD500" s="64"/>
      <c r="AE500" s="64"/>
      <c r="AF500" s="64"/>
      <c r="AG500" s="64"/>
    </row>
    <row r="501" spans="1:33">
      <c r="A501" s="64"/>
      <c r="B501" s="64"/>
      <c r="C501" s="64"/>
      <c r="D501" s="64"/>
      <c r="E501" s="70"/>
      <c r="F501" s="70"/>
      <c r="G501" s="64"/>
      <c r="H501" s="64"/>
      <c r="I501" s="64"/>
      <c r="J501" s="64"/>
      <c r="K501" s="64"/>
      <c r="L501" s="64"/>
      <c r="M501" s="64"/>
      <c r="N501" s="64"/>
      <c r="O501" s="64"/>
      <c r="P501" s="64"/>
      <c r="Q501" s="64"/>
      <c r="R501" s="64"/>
      <c r="S501" s="64"/>
      <c r="T501" s="64"/>
      <c r="U501" s="64"/>
      <c r="V501" s="64"/>
      <c r="W501" s="64"/>
      <c r="X501" s="64"/>
      <c r="Y501" s="64"/>
      <c r="Z501" s="64"/>
      <c r="AA501" s="64"/>
      <c r="AB501" s="64"/>
      <c r="AC501" s="64"/>
      <c r="AD501" s="64"/>
      <c r="AE501" s="64"/>
      <c r="AF501" s="64"/>
      <c r="AG501" s="64"/>
    </row>
    <row r="502" spans="1:33">
      <c r="A502" s="64"/>
      <c r="B502" s="64"/>
      <c r="C502" s="64"/>
      <c r="D502" s="64"/>
      <c r="E502" s="70"/>
      <c r="F502" s="70"/>
      <c r="G502" s="64"/>
      <c r="H502" s="64"/>
      <c r="I502" s="64"/>
      <c r="J502" s="64"/>
      <c r="K502" s="64"/>
      <c r="L502" s="64"/>
      <c r="M502" s="64"/>
      <c r="N502" s="64"/>
      <c r="O502" s="64"/>
      <c r="P502" s="64"/>
      <c r="Q502" s="64"/>
      <c r="R502" s="64"/>
      <c r="S502" s="64"/>
      <c r="T502" s="64"/>
      <c r="U502" s="64"/>
      <c r="V502" s="64"/>
      <c r="W502" s="64"/>
      <c r="X502" s="64"/>
      <c r="Y502" s="64"/>
      <c r="Z502" s="64"/>
      <c r="AA502" s="64"/>
      <c r="AB502" s="64"/>
      <c r="AC502" s="64"/>
      <c r="AD502" s="64"/>
      <c r="AE502" s="64"/>
      <c r="AF502" s="64"/>
      <c r="AG502" s="64"/>
    </row>
    <row r="503" spans="1:33">
      <c r="A503" s="64"/>
      <c r="B503" s="64"/>
      <c r="C503" s="64"/>
      <c r="D503" s="64"/>
      <c r="E503" s="70"/>
      <c r="F503" s="70"/>
      <c r="G503" s="64"/>
      <c r="H503" s="64"/>
      <c r="I503" s="64"/>
      <c r="J503" s="64"/>
      <c r="K503" s="64"/>
      <c r="L503" s="64"/>
      <c r="M503" s="64"/>
      <c r="N503" s="64"/>
      <c r="O503" s="64"/>
      <c r="P503" s="64"/>
      <c r="Q503" s="64"/>
      <c r="R503" s="64"/>
      <c r="S503" s="64"/>
      <c r="T503" s="64"/>
      <c r="U503" s="64"/>
      <c r="V503" s="64"/>
      <c r="W503" s="64"/>
      <c r="X503" s="64"/>
      <c r="Y503" s="64"/>
      <c r="Z503" s="64"/>
      <c r="AA503" s="64"/>
      <c r="AB503" s="64"/>
      <c r="AC503" s="64"/>
      <c r="AD503" s="64"/>
      <c r="AE503" s="64"/>
      <c r="AF503" s="64"/>
      <c r="AG503" s="64"/>
    </row>
    <row r="504" spans="1:33">
      <c r="A504" s="64"/>
      <c r="B504" s="64"/>
      <c r="C504" s="64"/>
      <c r="D504" s="64"/>
      <c r="E504" s="70"/>
      <c r="F504" s="70"/>
      <c r="G504" s="64"/>
      <c r="H504" s="64"/>
      <c r="I504" s="64"/>
      <c r="J504" s="64"/>
      <c r="K504" s="64"/>
      <c r="L504" s="64"/>
      <c r="M504" s="64"/>
      <c r="N504" s="64"/>
      <c r="O504" s="64"/>
      <c r="P504" s="64"/>
      <c r="Q504" s="64"/>
      <c r="R504" s="64"/>
      <c r="S504" s="64"/>
      <c r="T504" s="64"/>
      <c r="U504" s="64"/>
      <c r="V504" s="64"/>
      <c r="W504" s="64"/>
      <c r="X504" s="64"/>
      <c r="Y504" s="64"/>
      <c r="Z504" s="64"/>
      <c r="AA504" s="64"/>
      <c r="AB504" s="64"/>
      <c r="AC504" s="64"/>
      <c r="AD504" s="64"/>
      <c r="AE504" s="64"/>
      <c r="AF504" s="64"/>
      <c r="AG504" s="64"/>
    </row>
    <row r="505" spans="1:33">
      <c r="A505" s="64"/>
      <c r="B505" s="64"/>
      <c r="C505" s="64"/>
      <c r="D505" s="64"/>
      <c r="E505" s="70"/>
      <c r="F505" s="70"/>
      <c r="G505" s="64"/>
      <c r="H505" s="64"/>
      <c r="I505" s="64"/>
      <c r="J505" s="64"/>
      <c r="K505" s="64"/>
      <c r="L505" s="64"/>
      <c r="M505" s="64"/>
      <c r="N505" s="64"/>
      <c r="O505" s="64"/>
      <c r="P505" s="64"/>
      <c r="Q505" s="64"/>
      <c r="R505" s="64"/>
      <c r="S505" s="64"/>
      <c r="T505" s="64"/>
      <c r="U505" s="64"/>
      <c r="V505" s="64"/>
      <c r="W505" s="64"/>
      <c r="X505" s="64"/>
      <c r="Y505" s="64"/>
      <c r="Z505" s="64"/>
      <c r="AA505" s="64"/>
      <c r="AB505" s="64"/>
      <c r="AC505" s="64"/>
      <c r="AD505" s="64"/>
      <c r="AE505" s="64"/>
      <c r="AF505" s="64"/>
      <c r="AG505" s="64"/>
    </row>
    <row r="506" spans="1:33">
      <c r="A506" s="64"/>
      <c r="B506" s="64"/>
      <c r="C506" s="64"/>
      <c r="D506" s="64"/>
      <c r="E506" s="70"/>
      <c r="F506" s="70"/>
      <c r="G506" s="64"/>
      <c r="H506" s="64"/>
      <c r="I506" s="64"/>
      <c r="J506" s="64"/>
      <c r="K506" s="64"/>
      <c r="L506" s="64"/>
      <c r="M506" s="64"/>
      <c r="N506" s="64"/>
      <c r="O506" s="64"/>
      <c r="P506" s="64"/>
      <c r="Q506" s="64"/>
      <c r="R506" s="64"/>
      <c r="S506" s="64"/>
      <c r="T506" s="64"/>
      <c r="U506" s="64"/>
      <c r="V506" s="64"/>
      <c r="W506" s="64"/>
      <c r="X506" s="64"/>
      <c r="Y506" s="64"/>
      <c r="Z506" s="64"/>
      <c r="AA506" s="64"/>
      <c r="AB506" s="64"/>
      <c r="AC506" s="64"/>
      <c r="AD506" s="64"/>
      <c r="AE506" s="64"/>
      <c r="AF506" s="64"/>
      <c r="AG506" s="64"/>
    </row>
    <row r="507" spans="1:33">
      <c r="A507" s="64"/>
      <c r="B507" s="64"/>
      <c r="C507" s="64"/>
      <c r="D507" s="64"/>
      <c r="E507" s="70"/>
      <c r="F507" s="70"/>
      <c r="G507" s="64"/>
      <c r="H507" s="64"/>
      <c r="I507" s="64"/>
      <c r="J507" s="64"/>
      <c r="K507" s="64"/>
      <c r="L507" s="64"/>
      <c r="M507" s="64"/>
      <c r="N507" s="64"/>
      <c r="O507" s="64"/>
      <c r="P507" s="64"/>
      <c r="Q507" s="64"/>
      <c r="R507" s="64"/>
      <c r="S507" s="64"/>
      <c r="T507" s="64"/>
      <c r="U507" s="64"/>
      <c r="V507" s="64"/>
      <c r="W507" s="64"/>
      <c r="X507" s="64"/>
      <c r="Y507" s="64"/>
      <c r="Z507" s="64"/>
      <c r="AA507" s="64"/>
      <c r="AB507" s="64"/>
      <c r="AC507" s="64"/>
      <c r="AD507" s="64"/>
      <c r="AE507" s="64"/>
      <c r="AF507" s="64"/>
      <c r="AG507" s="64"/>
    </row>
    <row r="508" spans="1:33">
      <c r="A508" s="64"/>
      <c r="B508" s="64"/>
      <c r="C508" s="64"/>
      <c r="D508" s="64"/>
      <c r="E508" s="70"/>
      <c r="F508" s="70"/>
      <c r="G508" s="64"/>
      <c r="H508" s="64"/>
      <c r="I508" s="64"/>
      <c r="J508" s="64"/>
      <c r="K508" s="64"/>
      <c r="L508" s="64"/>
      <c r="M508" s="64"/>
      <c r="N508" s="64"/>
      <c r="O508" s="64"/>
      <c r="P508" s="64"/>
      <c r="Q508" s="64"/>
      <c r="R508" s="64"/>
      <c r="S508" s="64"/>
      <c r="T508" s="64"/>
      <c r="U508" s="64"/>
      <c r="V508" s="64"/>
      <c r="W508" s="64"/>
      <c r="X508" s="64"/>
      <c r="Y508" s="64"/>
      <c r="Z508" s="64"/>
      <c r="AA508" s="64"/>
      <c r="AB508" s="64"/>
      <c r="AC508" s="64"/>
      <c r="AD508" s="64"/>
      <c r="AE508" s="64"/>
      <c r="AF508" s="64"/>
      <c r="AG508" s="64"/>
    </row>
    <row r="509" spans="1:33">
      <c r="A509" s="64"/>
      <c r="B509" s="64"/>
      <c r="C509" s="64"/>
      <c r="D509" s="64"/>
      <c r="E509" s="70"/>
      <c r="F509" s="70"/>
      <c r="G509" s="64"/>
      <c r="H509" s="64"/>
      <c r="I509" s="64"/>
      <c r="J509" s="64"/>
      <c r="K509" s="64"/>
      <c r="L509" s="64"/>
      <c r="M509" s="64"/>
      <c r="N509" s="64"/>
      <c r="O509" s="64"/>
      <c r="P509" s="64"/>
      <c r="Q509" s="64"/>
      <c r="R509" s="64"/>
      <c r="S509" s="64"/>
      <c r="T509" s="64"/>
      <c r="U509" s="64"/>
      <c r="V509" s="64"/>
      <c r="W509" s="64"/>
      <c r="X509" s="64"/>
      <c r="Y509" s="64"/>
      <c r="Z509" s="64"/>
      <c r="AA509" s="64"/>
      <c r="AB509" s="64"/>
      <c r="AC509" s="64"/>
      <c r="AD509" s="64"/>
      <c r="AE509" s="64"/>
      <c r="AF509" s="64"/>
      <c r="AG509" s="64"/>
    </row>
    <row r="510" spans="1:33">
      <c r="A510" s="64"/>
      <c r="B510" s="64"/>
      <c r="C510" s="64"/>
      <c r="D510" s="64"/>
      <c r="E510" s="70"/>
      <c r="F510" s="70"/>
      <c r="G510" s="64"/>
      <c r="H510" s="64"/>
      <c r="I510" s="64"/>
      <c r="J510" s="64"/>
      <c r="K510" s="64"/>
      <c r="L510" s="64"/>
      <c r="M510" s="64"/>
      <c r="N510" s="64"/>
      <c r="O510" s="64"/>
      <c r="P510" s="64"/>
      <c r="Q510" s="64"/>
      <c r="R510" s="64"/>
      <c r="S510" s="64"/>
      <c r="T510" s="64"/>
      <c r="U510" s="64"/>
      <c r="V510" s="64"/>
      <c r="W510" s="64"/>
      <c r="X510" s="64"/>
      <c r="Y510" s="64"/>
      <c r="Z510" s="64"/>
      <c r="AA510" s="64"/>
      <c r="AB510" s="64"/>
      <c r="AC510" s="64"/>
      <c r="AD510" s="64"/>
      <c r="AE510" s="64"/>
      <c r="AF510" s="64"/>
      <c r="AG510" s="64"/>
    </row>
    <row r="511" spans="1:33">
      <c r="A511" s="64"/>
      <c r="B511" s="64"/>
      <c r="C511" s="64"/>
      <c r="D511" s="64"/>
      <c r="E511" s="70"/>
      <c r="F511" s="70"/>
      <c r="G511" s="64"/>
      <c r="H511" s="64"/>
      <c r="I511" s="64"/>
      <c r="J511" s="64"/>
      <c r="K511" s="64"/>
      <c r="L511" s="64"/>
      <c r="M511" s="64"/>
      <c r="N511" s="64"/>
      <c r="O511" s="64"/>
      <c r="P511" s="64"/>
      <c r="Q511" s="64"/>
      <c r="R511" s="64"/>
      <c r="S511" s="64"/>
      <c r="T511" s="64"/>
      <c r="U511" s="64"/>
      <c r="V511" s="64"/>
      <c r="W511" s="64"/>
      <c r="X511" s="64"/>
      <c r="Y511" s="64"/>
      <c r="Z511" s="64"/>
      <c r="AA511" s="64"/>
      <c r="AB511" s="64"/>
      <c r="AC511" s="64"/>
      <c r="AD511" s="64"/>
      <c r="AE511" s="64"/>
      <c r="AF511" s="64"/>
      <c r="AG511" s="64"/>
    </row>
    <row r="512" spans="1:33">
      <c r="A512" s="64"/>
      <c r="B512" s="64"/>
      <c r="C512" s="64"/>
      <c r="D512" s="64"/>
      <c r="E512" s="70"/>
      <c r="F512" s="70"/>
      <c r="G512" s="64"/>
      <c r="H512" s="64"/>
      <c r="I512" s="64"/>
      <c r="J512" s="64"/>
      <c r="K512" s="64"/>
      <c r="L512" s="64"/>
      <c r="M512" s="64"/>
      <c r="N512" s="64"/>
      <c r="O512" s="64"/>
      <c r="P512" s="64"/>
      <c r="Q512" s="64"/>
      <c r="R512" s="64"/>
      <c r="S512" s="64"/>
      <c r="T512" s="64"/>
      <c r="U512" s="64"/>
      <c r="V512" s="64"/>
      <c r="W512" s="64"/>
      <c r="X512" s="64"/>
      <c r="Y512" s="64"/>
      <c r="Z512" s="64"/>
      <c r="AA512" s="64"/>
      <c r="AB512" s="64"/>
      <c r="AC512" s="64"/>
      <c r="AD512" s="64"/>
      <c r="AE512" s="64"/>
      <c r="AF512" s="64"/>
      <c r="AG512" s="64"/>
    </row>
    <row r="513" spans="1:33">
      <c r="A513" s="64"/>
      <c r="B513" s="64"/>
      <c r="C513" s="64"/>
      <c r="D513" s="64"/>
      <c r="E513" s="70"/>
      <c r="F513" s="70"/>
      <c r="G513" s="64"/>
      <c r="H513" s="64"/>
      <c r="I513" s="64"/>
      <c r="J513" s="64"/>
      <c r="K513" s="64"/>
      <c r="L513" s="64"/>
      <c r="M513" s="64"/>
      <c r="N513" s="64"/>
      <c r="O513" s="64"/>
      <c r="P513" s="64"/>
      <c r="Q513" s="64"/>
      <c r="R513" s="64"/>
      <c r="S513" s="64"/>
      <c r="T513" s="64"/>
      <c r="U513" s="64"/>
      <c r="V513" s="64"/>
      <c r="W513" s="64"/>
      <c r="X513" s="64"/>
      <c r="Y513" s="64"/>
      <c r="Z513" s="64"/>
      <c r="AA513" s="64"/>
      <c r="AB513" s="64"/>
      <c r="AC513" s="64"/>
      <c r="AD513" s="64"/>
      <c r="AE513" s="64"/>
      <c r="AF513" s="64"/>
      <c r="AG513" s="64"/>
    </row>
    <row r="514" spans="1:33">
      <c r="A514" s="64"/>
      <c r="B514" s="64"/>
      <c r="C514" s="64"/>
      <c r="D514" s="64"/>
      <c r="E514" s="70"/>
      <c r="F514" s="70"/>
      <c r="G514" s="64"/>
      <c r="H514" s="64"/>
      <c r="I514" s="64"/>
      <c r="J514" s="64"/>
      <c r="K514" s="64"/>
      <c r="L514" s="64"/>
      <c r="M514" s="64"/>
      <c r="N514" s="64"/>
      <c r="O514" s="64"/>
      <c r="P514" s="64"/>
      <c r="Q514" s="64"/>
      <c r="R514" s="64"/>
      <c r="S514" s="64"/>
      <c r="T514" s="64"/>
      <c r="U514" s="64"/>
      <c r="V514" s="64"/>
      <c r="W514" s="64"/>
      <c r="X514" s="64"/>
      <c r="Y514" s="64"/>
      <c r="Z514" s="64"/>
      <c r="AA514" s="64"/>
      <c r="AB514" s="64"/>
      <c r="AC514" s="64"/>
      <c r="AD514" s="64"/>
      <c r="AE514" s="64"/>
      <c r="AF514" s="64"/>
      <c r="AG514" s="64"/>
    </row>
    <row r="515" spans="1:33">
      <c r="A515" s="64"/>
      <c r="B515" s="64"/>
      <c r="C515" s="64"/>
      <c r="D515" s="64"/>
      <c r="E515" s="70"/>
      <c r="F515" s="70"/>
      <c r="G515" s="64"/>
      <c r="H515" s="64"/>
      <c r="I515" s="64"/>
      <c r="J515" s="64"/>
      <c r="K515" s="64"/>
      <c r="L515" s="64"/>
      <c r="M515" s="64"/>
      <c r="N515" s="64"/>
      <c r="O515" s="64"/>
      <c r="P515" s="64"/>
      <c r="Q515" s="64"/>
      <c r="R515" s="64"/>
      <c r="S515" s="64"/>
      <c r="T515" s="64"/>
      <c r="U515" s="64"/>
      <c r="V515" s="64"/>
      <c r="W515" s="64"/>
      <c r="X515" s="64"/>
      <c r="Y515" s="64"/>
      <c r="Z515" s="64"/>
      <c r="AA515" s="64"/>
      <c r="AB515" s="64"/>
      <c r="AC515" s="64"/>
      <c r="AD515" s="64"/>
      <c r="AE515" s="64"/>
      <c r="AF515" s="64"/>
      <c r="AG515" s="64"/>
    </row>
    <row r="516" spans="1:33">
      <c r="A516" s="64"/>
      <c r="B516" s="64"/>
      <c r="C516" s="64"/>
      <c r="D516" s="64"/>
      <c r="E516" s="70"/>
      <c r="F516" s="70"/>
      <c r="G516" s="64"/>
      <c r="H516" s="64"/>
      <c r="I516" s="64"/>
      <c r="J516" s="64"/>
      <c r="K516" s="64"/>
      <c r="L516" s="64"/>
      <c r="M516" s="64"/>
      <c r="N516" s="64"/>
      <c r="O516" s="64"/>
      <c r="P516" s="64"/>
      <c r="Q516" s="64"/>
      <c r="R516" s="64"/>
      <c r="S516" s="64"/>
      <c r="T516" s="64"/>
      <c r="U516" s="64"/>
      <c r="V516" s="64"/>
      <c r="W516" s="64"/>
      <c r="X516" s="64"/>
      <c r="Y516" s="64"/>
      <c r="Z516" s="64"/>
      <c r="AA516" s="64"/>
      <c r="AB516" s="64"/>
      <c r="AC516" s="64"/>
      <c r="AD516" s="64"/>
      <c r="AE516" s="64"/>
      <c r="AF516" s="64"/>
      <c r="AG516" s="64"/>
    </row>
    <row r="517" spans="1:33">
      <c r="A517" s="64"/>
      <c r="B517" s="64"/>
      <c r="C517" s="64"/>
      <c r="D517" s="64"/>
      <c r="E517" s="70"/>
      <c r="F517" s="70"/>
      <c r="G517" s="64"/>
      <c r="H517" s="64"/>
      <c r="I517" s="64"/>
      <c r="J517" s="64"/>
      <c r="K517" s="64"/>
      <c r="L517" s="64"/>
      <c r="M517" s="64"/>
      <c r="N517" s="64"/>
      <c r="O517" s="64"/>
      <c r="P517" s="64"/>
      <c r="Q517" s="64"/>
      <c r="R517" s="64"/>
      <c r="S517" s="64"/>
      <c r="T517" s="64"/>
      <c r="U517" s="64"/>
      <c r="V517" s="64"/>
      <c r="W517" s="64"/>
      <c r="X517" s="64"/>
      <c r="Y517" s="64"/>
      <c r="Z517" s="64"/>
      <c r="AA517" s="64"/>
      <c r="AB517" s="64"/>
      <c r="AC517" s="64"/>
      <c r="AD517" s="64"/>
      <c r="AE517" s="64"/>
      <c r="AF517" s="64"/>
      <c r="AG517" s="64"/>
    </row>
    <row r="518" spans="1:33">
      <c r="A518" s="64"/>
      <c r="B518" s="64"/>
      <c r="C518" s="64"/>
      <c r="D518" s="64"/>
      <c r="E518" s="70"/>
      <c r="F518" s="70"/>
      <c r="G518" s="64"/>
      <c r="H518" s="64"/>
      <c r="I518" s="64"/>
      <c r="J518" s="64"/>
      <c r="K518" s="64"/>
      <c r="L518" s="64"/>
      <c r="M518" s="64"/>
      <c r="N518" s="64"/>
      <c r="O518" s="64"/>
      <c r="P518" s="64"/>
      <c r="Q518" s="64"/>
      <c r="R518" s="64"/>
      <c r="S518" s="64"/>
      <c r="T518" s="64"/>
      <c r="U518" s="64"/>
      <c r="V518" s="64"/>
      <c r="W518" s="64"/>
      <c r="X518" s="64"/>
      <c r="Y518" s="64"/>
      <c r="Z518" s="64"/>
      <c r="AA518" s="64"/>
      <c r="AB518" s="64"/>
      <c r="AC518" s="64"/>
      <c r="AD518" s="64"/>
      <c r="AE518" s="64"/>
      <c r="AF518" s="64"/>
      <c r="AG518" s="64"/>
    </row>
    <row r="519" spans="1:33">
      <c r="A519" s="64"/>
      <c r="B519" s="64"/>
      <c r="C519" s="64"/>
      <c r="D519" s="64"/>
      <c r="E519" s="70"/>
      <c r="F519" s="70"/>
      <c r="G519" s="64"/>
      <c r="H519" s="64"/>
      <c r="I519" s="64"/>
      <c r="J519" s="64"/>
      <c r="K519" s="64"/>
      <c r="L519" s="64"/>
      <c r="M519" s="64"/>
      <c r="N519" s="64"/>
      <c r="O519" s="64"/>
      <c r="P519" s="64"/>
      <c r="Q519" s="64"/>
      <c r="R519" s="64"/>
      <c r="S519" s="64"/>
      <c r="T519" s="64"/>
      <c r="U519" s="64"/>
      <c r="V519" s="64"/>
      <c r="W519" s="64"/>
      <c r="X519" s="64"/>
      <c r="Y519" s="64"/>
      <c r="Z519" s="64"/>
      <c r="AA519" s="64"/>
      <c r="AB519" s="64"/>
      <c r="AC519" s="64"/>
      <c r="AD519" s="64"/>
      <c r="AE519" s="64"/>
      <c r="AF519" s="64"/>
      <c r="AG519" s="64"/>
    </row>
    <row r="520" spans="1:33">
      <c r="A520" s="64"/>
      <c r="B520" s="64"/>
      <c r="C520" s="64"/>
      <c r="D520" s="64"/>
      <c r="E520" s="70"/>
      <c r="F520" s="70"/>
      <c r="G520" s="64"/>
      <c r="H520" s="64"/>
      <c r="I520" s="64"/>
      <c r="J520" s="64"/>
      <c r="K520" s="64"/>
      <c r="L520" s="64"/>
      <c r="M520" s="64"/>
      <c r="N520" s="64"/>
      <c r="O520" s="64"/>
      <c r="P520" s="64"/>
      <c r="Q520" s="64"/>
      <c r="R520" s="64"/>
      <c r="S520" s="64"/>
      <c r="T520" s="64"/>
      <c r="U520" s="64"/>
      <c r="V520" s="64"/>
      <c r="W520" s="64"/>
      <c r="X520" s="64"/>
      <c r="Y520" s="64"/>
      <c r="Z520" s="64"/>
      <c r="AA520" s="64"/>
      <c r="AB520" s="64"/>
      <c r="AC520" s="64"/>
      <c r="AD520" s="64"/>
      <c r="AE520" s="64"/>
      <c r="AF520" s="64"/>
      <c r="AG520" s="64"/>
    </row>
    <row r="521" spans="1:33">
      <c r="A521" s="64"/>
      <c r="B521" s="64"/>
      <c r="C521" s="64"/>
      <c r="D521" s="64"/>
      <c r="E521" s="70"/>
      <c r="F521" s="70"/>
      <c r="G521" s="64"/>
      <c r="H521" s="64"/>
      <c r="I521" s="64"/>
      <c r="J521" s="64"/>
      <c r="K521" s="64"/>
      <c r="L521" s="64"/>
      <c r="M521" s="64"/>
      <c r="N521" s="64"/>
      <c r="O521" s="64"/>
      <c r="P521" s="64"/>
      <c r="Q521" s="64"/>
      <c r="R521" s="64"/>
      <c r="S521" s="64"/>
      <c r="T521" s="64"/>
      <c r="U521" s="64"/>
      <c r="V521" s="64"/>
      <c r="W521" s="64"/>
      <c r="X521" s="64"/>
      <c r="Y521" s="64"/>
      <c r="Z521" s="64"/>
      <c r="AA521" s="64"/>
      <c r="AB521" s="64"/>
      <c r="AC521" s="64"/>
      <c r="AD521" s="64"/>
      <c r="AE521" s="64"/>
      <c r="AF521" s="64"/>
      <c r="AG521" s="64"/>
    </row>
    <row r="522" spans="1:33">
      <c r="A522" s="64"/>
      <c r="B522" s="64"/>
      <c r="C522" s="64"/>
      <c r="D522" s="64"/>
      <c r="E522" s="70"/>
      <c r="F522" s="70"/>
      <c r="G522" s="64"/>
      <c r="H522" s="64"/>
      <c r="I522" s="64"/>
      <c r="J522" s="64"/>
      <c r="K522" s="64"/>
      <c r="L522" s="64"/>
      <c r="M522" s="64"/>
      <c r="N522" s="64"/>
      <c r="O522" s="64"/>
      <c r="P522" s="64"/>
      <c r="Q522" s="64"/>
      <c r="R522" s="64"/>
      <c r="S522" s="64"/>
      <c r="T522" s="64"/>
      <c r="U522" s="64"/>
      <c r="V522" s="64"/>
      <c r="W522" s="64"/>
      <c r="X522" s="64"/>
      <c r="Y522" s="64"/>
      <c r="Z522" s="64"/>
      <c r="AA522" s="64"/>
      <c r="AB522" s="64"/>
      <c r="AC522" s="64"/>
      <c r="AD522" s="64"/>
      <c r="AE522" s="64"/>
      <c r="AF522" s="64"/>
      <c r="AG522" s="64"/>
    </row>
    <row r="523" spans="1:33">
      <c r="A523" s="64"/>
      <c r="B523" s="64"/>
      <c r="C523" s="64"/>
      <c r="D523" s="64"/>
      <c r="E523" s="70"/>
      <c r="F523" s="70"/>
      <c r="G523" s="64"/>
      <c r="H523" s="64"/>
      <c r="I523" s="64"/>
      <c r="J523" s="64"/>
      <c r="K523" s="64"/>
      <c r="L523" s="64"/>
      <c r="M523" s="64"/>
      <c r="N523" s="64"/>
      <c r="O523" s="64"/>
      <c r="P523" s="64"/>
      <c r="Q523" s="64"/>
      <c r="R523" s="64"/>
      <c r="S523" s="64"/>
      <c r="T523" s="64"/>
      <c r="U523" s="64"/>
      <c r="V523" s="64"/>
      <c r="W523" s="64"/>
      <c r="X523" s="64"/>
      <c r="Y523" s="64"/>
      <c r="Z523" s="64"/>
      <c r="AA523" s="64"/>
      <c r="AB523" s="64"/>
      <c r="AC523" s="64"/>
      <c r="AD523" s="64"/>
      <c r="AE523" s="64"/>
      <c r="AF523" s="64"/>
      <c r="AG523" s="64"/>
    </row>
    <row r="524" spans="1:33">
      <c r="A524" s="64"/>
      <c r="B524" s="64"/>
      <c r="C524" s="64"/>
      <c r="D524" s="64"/>
      <c r="E524" s="70"/>
      <c r="F524" s="70"/>
      <c r="G524" s="64"/>
      <c r="H524" s="64"/>
      <c r="I524" s="64"/>
      <c r="J524" s="64"/>
      <c r="K524" s="64"/>
      <c r="L524" s="64"/>
      <c r="M524" s="64"/>
      <c r="N524" s="64"/>
      <c r="O524" s="64"/>
      <c r="P524" s="64"/>
      <c r="Q524" s="64"/>
      <c r="R524" s="64"/>
      <c r="S524" s="64"/>
      <c r="T524" s="64"/>
      <c r="U524" s="64"/>
      <c r="V524" s="64"/>
      <c r="W524" s="64"/>
      <c r="X524" s="64"/>
      <c r="Y524" s="64"/>
      <c r="Z524" s="64"/>
      <c r="AA524" s="64"/>
      <c r="AB524" s="64"/>
      <c r="AC524" s="64"/>
      <c r="AD524" s="64"/>
      <c r="AE524" s="64"/>
      <c r="AF524" s="64"/>
      <c r="AG524" s="64"/>
    </row>
    <row r="525" spans="1:33">
      <c r="A525" s="64"/>
      <c r="B525" s="64"/>
      <c r="C525" s="64"/>
      <c r="D525" s="64"/>
      <c r="E525" s="70"/>
      <c r="F525" s="70"/>
      <c r="G525" s="64"/>
      <c r="H525" s="64"/>
      <c r="I525" s="64"/>
      <c r="J525" s="64"/>
      <c r="K525" s="64"/>
      <c r="L525" s="64"/>
      <c r="M525" s="64"/>
      <c r="N525" s="64"/>
      <c r="O525" s="64"/>
      <c r="P525" s="64"/>
      <c r="Q525" s="64"/>
      <c r="R525" s="64"/>
      <c r="S525" s="64"/>
      <c r="T525" s="64"/>
      <c r="U525" s="64"/>
      <c r="V525" s="64"/>
      <c r="W525" s="64"/>
      <c r="X525" s="64"/>
      <c r="Y525" s="64"/>
      <c r="Z525" s="64"/>
      <c r="AA525" s="64"/>
      <c r="AB525" s="64"/>
      <c r="AC525" s="64"/>
      <c r="AD525" s="64"/>
      <c r="AE525" s="64"/>
      <c r="AF525" s="64"/>
      <c r="AG525" s="64"/>
    </row>
    <row r="526" spans="1:33">
      <c r="A526" s="64"/>
      <c r="B526" s="64"/>
      <c r="C526" s="64"/>
      <c r="D526" s="64"/>
      <c r="E526" s="70"/>
      <c r="F526" s="70"/>
      <c r="G526" s="64"/>
      <c r="H526" s="64"/>
      <c r="I526" s="64"/>
      <c r="J526" s="64"/>
      <c r="K526" s="64"/>
      <c r="L526" s="64"/>
      <c r="M526" s="64"/>
      <c r="N526" s="64"/>
      <c r="O526" s="64"/>
      <c r="P526" s="64"/>
      <c r="Q526" s="64"/>
      <c r="R526" s="64"/>
      <c r="S526" s="64"/>
      <c r="T526" s="64"/>
      <c r="U526" s="64"/>
      <c r="V526" s="64"/>
      <c r="W526" s="64"/>
      <c r="X526" s="64"/>
      <c r="Y526" s="64"/>
      <c r="Z526" s="64"/>
      <c r="AA526" s="64"/>
      <c r="AB526" s="64"/>
      <c r="AC526" s="64"/>
      <c r="AD526" s="64"/>
      <c r="AE526" s="64"/>
      <c r="AF526" s="64"/>
      <c r="AG526" s="64"/>
    </row>
    <row r="527" spans="1:33">
      <c r="A527" s="64"/>
      <c r="B527" s="64"/>
      <c r="C527" s="64"/>
      <c r="D527" s="64"/>
      <c r="E527" s="70"/>
      <c r="F527" s="70"/>
      <c r="G527" s="64"/>
      <c r="H527" s="64"/>
      <c r="I527" s="64"/>
      <c r="J527" s="64"/>
      <c r="K527" s="64"/>
      <c r="L527" s="64"/>
      <c r="M527" s="64"/>
      <c r="N527" s="64"/>
      <c r="O527" s="64"/>
      <c r="P527" s="64"/>
      <c r="Q527" s="64"/>
      <c r="R527" s="64"/>
      <c r="S527" s="64"/>
      <c r="T527" s="64"/>
      <c r="U527" s="64"/>
      <c r="V527" s="64"/>
      <c r="W527" s="64"/>
      <c r="X527" s="64"/>
      <c r="Y527" s="64"/>
      <c r="Z527" s="64"/>
      <c r="AA527" s="64"/>
      <c r="AB527" s="64"/>
      <c r="AC527" s="64"/>
      <c r="AD527" s="64"/>
      <c r="AE527" s="64"/>
      <c r="AF527" s="64"/>
      <c r="AG527" s="64"/>
    </row>
    <row r="528" spans="1:33">
      <c r="A528" s="64"/>
      <c r="B528" s="64"/>
      <c r="C528" s="64"/>
      <c r="D528" s="64"/>
      <c r="E528" s="70"/>
      <c r="F528" s="70"/>
      <c r="G528" s="64"/>
      <c r="H528" s="64"/>
      <c r="I528" s="64"/>
      <c r="J528" s="64"/>
      <c r="K528" s="64"/>
      <c r="L528" s="64"/>
      <c r="M528" s="64"/>
      <c r="N528" s="64"/>
      <c r="O528" s="64"/>
      <c r="P528" s="64"/>
      <c r="Q528" s="64"/>
      <c r="R528" s="64"/>
      <c r="S528" s="64"/>
      <c r="T528" s="64"/>
      <c r="U528" s="64"/>
      <c r="V528" s="64"/>
      <c r="W528" s="64"/>
      <c r="X528" s="64"/>
      <c r="Y528" s="64"/>
      <c r="Z528" s="64"/>
      <c r="AA528" s="64"/>
      <c r="AB528" s="64"/>
      <c r="AC528" s="64"/>
      <c r="AD528" s="64"/>
      <c r="AE528" s="64"/>
      <c r="AF528" s="64"/>
      <c r="AG528" s="64"/>
    </row>
    <row r="529" spans="1:33">
      <c r="A529" s="64"/>
      <c r="B529" s="64"/>
      <c r="C529" s="64"/>
      <c r="D529" s="64"/>
      <c r="E529" s="70"/>
      <c r="F529" s="70"/>
      <c r="G529" s="64"/>
      <c r="H529" s="64"/>
      <c r="I529" s="64"/>
      <c r="J529" s="64"/>
      <c r="K529" s="64"/>
      <c r="L529" s="64"/>
      <c r="M529" s="64"/>
      <c r="N529" s="64"/>
      <c r="O529" s="64"/>
      <c r="P529" s="64"/>
      <c r="Q529" s="64"/>
      <c r="R529" s="64"/>
      <c r="S529" s="64"/>
      <c r="T529" s="64"/>
      <c r="U529" s="64"/>
      <c r="V529" s="64"/>
      <c r="W529" s="64"/>
      <c r="X529" s="64"/>
      <c r="Y529" s="64"/>
      <c r="Z529" s="64"/>
      <c r="AA529" s="64"/>
      <c r="AB529" s="64"/>
      <c r="AC529" s="64"/>
      <c r="AD529" s="64"/>
      <c r="AE529" s="64"/>
      <c r="AF529" s="64"/>
      <c r="AG529" s="64"/>
    </row>
    <row r="530" spans="1:33">
      <c r="A530" s="64"/>
      <c r="B530" s="64"/>
      <c r="C530" s="64"/>
      <c r="D530" s="64"/>
      <c r="E530" s="70"/>
      <c r="F530" s="70"/>
      <c r="G530" s="64"/>
      <c r="H530" s="64"/>
      <c r="I530" s="64"/>
      <c r="J530" s="64"/>
      <c r="K530" s="64"/>
      <c r="L530" s="64"/>
      <c r="M530" s="64"/>
      <c r="N530" s="64"/>
      <c r="O530" s="64"/>
      <c r="P530" s="64"/>
      <c r="Q530" s="64"/>
      <c r="R530" s="64"/>
      <c r="S530" s="64"/>
      <c r="T530" s="64"/>
      <c r="U530" s="64"/>
      <c r="V530" s="64"/>
      <c r="W530" s="64"/>
      <c r="X530" s="64"/>
      <c r="Y530" s="64"/>
      <c r="Z530" s="64"/>
      <c r="AA530" s="64"/>
      <c r="AB530" s="64"/>
      <c r="AC530" s="64"/>
      <c r="AD530" s="64"/>
      <c r="AE530" s="64"/>
      <c r="AF530" s="64"/>
      <c r="AG530" s="64"/>
    </row>
    <row r="531" spans="1:33">
      <c r="A531" s="64"/>
      <c r="B531" s="64"/>
      <c r="C531" s="64"/>
      <c r="D531" s="64"/>
      <c r="E531" s="70"/>
      <c r="F531" s="70"/>
      <c r="G531" s="64"/>
      <c r="H531" s="64"/>
      <c r="I531" s="64"/>
      <c r="J531" s="64"/>
      <c r="K531" s="64"/>
      <c r="L531" s="64"/>
      <c r="M531" s="64"/>
      <c r="N531" s="64"/>
      <c r="O531" s="64"/>
      <c r="P531" s="64"/>
      <c r="Q531" s="64"/>
      <c r="R531" s="64"/>
      <c r="S531" s="64"/>
      <c r="T531" s="64"/>
      <c r="U531" s="64"/>
      <c r="V531" s="64"/>
      <c r="W531" s="64"/>
      <c r="X531" s="64"/>
      <c r="Y531" s="64"/>
      <c r="Z531" s="64"/>
      <c r="AA531" s="64"/>
      <c r="AB531" s="64"/>
      <c r="AC531" s="64"/>
      <c r="AD531" s="64"/>
      <c r="AE531" s="64"/>
      <c r="AF531" s="64"/>
      <c r="AG531" s="64"/>
    </row>
    <row r="532" spans="1:33">
      <c r="A532" s="64"/>
      <c r="B532" s="64"/>
      <c r="C532" s="64"/>
      <c r="D532" s="64"/>
      <c r="E532" s="70"/>
      <c r="F532" s="70"/>
      <c r="G532" s="64"/>
      <c r="H532" s="64"/>
      <c r="I532" s="64"/>
      <c r="J532" s="64"/>
      <c r="K532" s="64"/>
      <c r="L532" s="64"/>
      <c r="M532" s="64"/>
      <c r="N532" s="64"/>
      <c r="O532" s="64"/>
      <c r="P532" s="64"/>
      <c r="Q532" s="64"/>
      <c r="R532" s="64"/>
      <c r="S532" s="64"/>
      <c r="T532" s="64"/>
      <c r="U532" s="64"/>
      <c r="V532" s="64"/>
      <c r="W532" s="64"/>
      <c r="X532" s="64"/>
      <c r="Y532" s="64"/>
      <c r="Z532" s="64"/>
      <c r="AA532" s="64"/>
      <c r="AB532" s="64"/>
      <c r="AC532" s="64"/>
      <c r="AD532" s="64"/>
      <c r="AE532" s="64"/>
      <c r="AF532" s="64"/>
      <c r="AG532" s="64"/>
    </row>
    <row r="533" spans="1:33">
      <c r="A533" s="64"/>
      <c r="B533" s="64"/>
      <c r="C533" s="64"/>
      <c r="D533" s="64"/>
      <c r="E533" s="70"/>
      <c r="F533" s="70"/>
      <c r="G533" s="64"/>
      <c r="H533" s="64"/>
      <c r="I533" s="64"/>
      <c r="J533" s="64"/>
      <c r="K533" s="64"/>
      <c r="L533" s="64"/>
      <c r="M533" s="64"/>
      <c r="N533" s="64"/>
      <c r="O533" s="64"/>
      <c r="P533" s="64"/>
      <c r="Q533" s="64"/>
      <c r="R533" s="64"/>
      <c r="S533" s="64"/>
      <c r="T533" s="64"/>
      <c r="U533" s="64"/>
      <c r="V533" s="64"/>
      <c r="W533" s="64"/>
      <c r="X533" s="64"/>
      <c r="Y533" s="64"/>
      <c r="Z533" s="64"/>
      <c r="AA533" s="64"/>
      <c r="AB533" s="64"/>
      <c r="AC533" s="64"/>
      <c r="AD533" s="64"/>
      <c r="AE533" s="64"/>
      <c r="AF533" s="64"/>
      <c r="AG533" s="64"/>
    </row>
    <row r="534" spans="1:33">
      <c r="A534" s="64"/>
      <c r="B534" s="64"/>
      <c r="C534" s="64"/>
      <c r="D534" s="64"/>
      <c r="E534" s="70"/>
      <c r="F534" s="70"/>
      <c r="G534" s="64"/>
      <c r="H534" s="64"/>
      <c r="I534" s="64"/>
      <c r="J534" s="64"/>
      <c r="K534" s="64"/>
      <c r="L534" s="64"/>
      <c r="M534" s="64"/>
      <c r="N534" s="64"/>
      <c r="O534" s="64"/>
      <c r="P534" s="64"/>
      <c r="Q534" s="64"/>
      <c r="R534" s="64"/>
      <c r="S534" s="64"/>
      <c r="T534" s="64"/>
      <c r="U534" s="64"/>
      <c r="V534" s="64"/>
      <c r="W534" s="64"/>
      <c r="X534" s="64"/>
      <c r="Y534" s="64"/>
      <c r="Z534" s="64"/>
      <c r="AA534" s="64"/>
      <c r="AB534" s="64"/>
      <c r="AC534" s="64"/>
      <c r="AD534" s="64"/>
      <c r="AE534" s="64"/>
      <c r="AF534" s="64"/>
      <c r="AG534" s="64"/>
    </row>
    <row r="535" spans="1:33">
      <c r="A535" s="64"/>
      <c r="B535" s="64"/>
      <c r="C535" s="64"/>
      <c r="D535" s="64"/>
      <c r="E535" s="70"/>
      <c r="F535" s="70"/>
      <c r="G535" s="64"/>
      <c r="H535" s="64"/>
      <c r="I535" s="64"/>
      <c r="J535" s="64"/>
      <c r="K535" s="64"/>
      <c r="L535" s="64"/>
      <c r="M535" s="64"/>
      <c r="N535" s="64"/>
      <c r="O535" s="64"/>
      <c r="P535" s="64"/>
      <c r="Q535" s="64"/>
      <c r="R535" s="64"/>
      <c r="S535" s="64"/>
      <c r="T535" s="64"/>
      <c r="U535" s="64"/>
      <c r="V535" s="64"/>
      <c r="W535" s="64"/>
      <c r="X535" s="64"/>
      <c r="Y535" s="64"/>
      <c r="Z535" s="64"/>
      <c r="AA535" s="64"/>
      <c r="AB535" s="64"/>
      <c r="AC535" s="64"/>
      <c r="AD535" s="64"/>
      <c r="AE535" s="64"/>
      <c r="AF535" s="64"/>
      <c r="AG535" s="64"/>
    </row>
    <row r="536" spans="1:33">
      <c r="A536" s="64"/>
      <c r="B536" s="64"/>
      <c r="C536" s="64"/>
      <c r="D536" s="64"/>
      <c r="E536" s="70"/>
      <c r="F536" s="70"/>
      <c r="G536" s="64"/>
      <c r="H536" s="64"/>
      <c r="I536" s="64"/>
      <c r="J536" s="64"/>
      <c r="K536" s="64"/>
      <c r="L536" s="64"/>
      <c r="M536" s="64"/>
      <c r="N536" s="64"/>
      <c r="O536" s="64"/>
      <c r="P536" s="64"/>
      <c r="Q536" s="64"/>
      <c r="R536" s="64"/>
      <c r="S536" s="64"/>
      <c r="T536" s="64"/>
      <c r="U536" s="64"/>
      <c r="V536" s="64"/>
      <c r="W536" s="64"/>
      <c r="X536" s="64"/>
      <c r="Y536" s="64"/>
      <c r="Z536" s="64"/>
      <c r="AA536" s="64"/>
      <c r="AB536" s="64"/>
      <c r="AC536" s="64"/>
      <c r="AD536" s="64"/>
      <c r="AE536" s="64"/>
      <c r="AF536" s="64"/>
      <c r="AG536" s="64"/>
    </row>
    <row r="537" spans="1:33">
      <c r="A537" s="64"/>
      <c r="B537" s="64"/>
      <c r="C537" s="64"/>
      <c r="D537" s="64"/>
      <c r="E537" s="70"/>
      <c r="F537" s="70"/>
      <c r="G537" s="64"/>
      <c r="H537" s="64"/>
      <c r="I537" s="64"/>
      <c r="J537" s="64"/>
      <c r="K537" s="64"/>
      <c r="L537" s="64"/>
      <c r="M537" s="64"/>
      <c r="N537" s="64"/>
      <c r="O537" s="64"/>
      <c r="P537" s="64"/>
      <c r="Q537" s="64"/>
      <c r="R537" s="64"/>
      <c r="S537" s="64"/>
      <c r="T537" s="64"/>
      <c r="U537" s="64"/>
      <c r="V537" s="64"/>
      <c r="W537" s="64"/>
      <c r="X537" s="64"/>
      <c r="Y537" s="64"/>
      <c r="Z537" s="64"/>
      <c r="AA537" s="64"/>
      <c r="AB537" s="64"/>
      <c r="AC537" s="64"/>
      <c r="AD537" s="64"/>
      <c r="AE537" s="64"/>
      <c r="AF537" s="64"/>
      <c r="AG537" s="64"/>
    </row>
    <row r="538" spans="1:33">
      <c r="A538" s="64"/>
      <c r="B538" s="64"/>
      <c r="C538" s="64"/>
      <c r="D538" s="64"/>
      <c r="E538" s="70"/>
      <c r="F538" s="70"/>
      <c r="G538" s="64"/>
      <c r="H538" s="64"/>
      <c r="I538" s="64"/>
      <c r="J538" s="64"/>
      <c r="K538" s="64"/>
      <c r="L538" s="64"/>
      <c r="M538" s="64"/>
      <c r="N538" s="64"/>
      <c r="O538" s="64"/>
      <c r="P538" s="64"/>
      <c r="Q538" s="64"/>
      <c r="R538" s="64"/>
      <c r="S538" s="64"/>
      <c r="T538" s="64"/>
      <c r="U538" s="64"/>
      <c r="V538" s="64"/>
      <c r="W538" s="64"/>
      <c r="X538" s="64"/>
      <c r="Y538" s="64"/>
      <c r="Z538" s="64"/>
      <c r="AA538" s="64"/>
      <c r="AB538" s="64"/>
      <c r="AC538" s="64"/>
      <c r="AD538" s="64"/>
      <c r="AE538" s="64"/>
      <c r="AF538" s="64"/>
      <c r="AG538" s="64"/>
    </row>
    <row r="539" spans="1:33">
      <c r="A539" s="64"/>
      <c r="B539" s="64"/>
      <c r="C539" s="64"/>
      <c r="D539" s="64"/>
      <c r="E539" s="70"/>
      <c r="F539" s="70"/>
      <c r="G539" s="64"/>
      <c r="H539" s="64"/>
      <c r="I539" s="64"/>
      <c r="J539" s="64"/>
      <c r="K539" s="64"/>
      <c r="L539" s="64"/>
      <c r="M539" s="64"/>
      <c r="N539" s="64"/>
      <c r="O539" s="64"/>
      <c r="P539" s="64"/>
      <c r="Q539" s="64"/>
      <c r="R539" s="64"/>
      <c r="S539" s="64"/>
      <c r="T539" s="64"/>
      <c r="U539" s="64"/>
      <c r="V539" s="64"/>
      <c r="W539" s="64"/>
      <c r="X539" s="64"/>
      <c r="Y539" s="64"/>
      <c r="Z539" s="64"/>
      <c r="AA539" s="64"/>
      <c r="AB539" s="64"/>
      <c r="AC539" s="64"/>
      <c r="AD539" s="64"/>
      <c r="AE539" s="64"/>
      <c r="AF539" s="64"/>
      <c r="AG539" s="64"/>
    </row>
    <row r="540" spans="1:33">
      <c r="A540" s="64"/>
      <c r="B540" s="64"/>
      <c r="C540" s="64"/>
      <c r="D540" s="64"/>
      <c r="E540" s="70"/>
      <c r="F540" s="70"/>
      <c r="G540" s="64"/>
      <c r="H540" s="64"/>
      <c r="I540" s="64"/>
      <c r="J540" s="64"/>
      <c r="K540" s="64"/>
      <c r="L540" s="64"/>
      <c r="M540" s="64"/>
      <c r="N540" s="64"/>
      <c r="O540" s="64"/>
      <c r="P540" s="64"/>
      <c r="Q540" s="64"/>
      <c r="R540" s="64"/>
      <c r="S540" s="64"/>
      <c r="T540" s="64"/>
      <c r="U540" s="64"/>
      <c r="V540" s="64"/>
      <c r="W540" s="64"/>
      <c r="X540" s="64"/>
      <c r="Y540" s="64"/>
      <c r="Z540" s="64"/>
      <c r="AA540" s="64"/>
      <c r="AB540" s="64"/>
      <c r="AC540" s="64"/>
      <c r="AD540" s="64"/>
      <c r="AE540" s="64"/>
      <c r="AF540" s="64"/>
      <c r="AG540" s="64"/>
    </row>
    <row r="541" spans="1:33">
      <c r="A541" s="64"/>
      <c r="B541" s="64"/>
      <c r="C541" s="64"/>
      <c r="D541" s="64"/>
      <c r="E541" s="70"/>
      <c r="F541" s="70"/>
      <c r="G541" s="64"/>
      <c r="H541" s="64"/>
      <c r="I541" s="64"/>
      <c r="J541" s="64"/>
      <c r="K541" s="64"/>
      <c r="L541" s="64"/>
      <c r="M541" s="64"/>
      <c r="N541" s="64"/>
      <c r="O541" s="64"/>
      <c r="P541" s="64"/>
      <c r="Q541" s="64"/>
      <c r="R541" s="64"/>
      <c r="S541" s="64"/>
      <c r="T541" s="64"/>
      <c r="U541" s="64"/>
      <c r="V541" s="64"/>
      <c r="W541" s="64"/>
      <c r="X541" s="64"/>
      <c r="Y541" s="64"/>
      <c r="Z541" s="64"/>
      <c r="AA541" s="64"/>
      <c r="AB541" s="64"/>
      <c r="AC541" s="64"/>
      <c r="AD541" s="64"/>
      <c r="AE541" s="64"/>
      <c r="AF541" s="64"/>
      <c r="AG541" s="64"/>
    </row>
    <row r="542" spans="1:33">
      <c r="A542" s="64"/>
      <c r="B542" s="64"/>
      <c r="C542" s="64"/>
      <c r="D542" s="64"/>
      <c r="E542" s="70"/>
      <c r="F542" s="70"/>
      <c r="G542" s="64"/>
      <c r="H542" s="64"/>
      <c r="I542" s="64"/>
      <c r="J542" s="64"/>
      <c r="K542" s="64"/>
      <c r="L542" s="64"/>
      <c r="M542" s="64"/>
      <c r="N542" s="64"/>
      <c r="O542" s="64"/>
      <c r="P542" s="64"/>
      <c r="Q542" s="64"/>
      <c r="R542" s="64"/>
      <c r="S542" s="64"/>
      <c r="T542" s="64"/>
      <c r="U542" s="64"/>
      <c r="V542" s="64"/>
      <c r="W542" s="64"/>
      <c r="X542" s="64"/>
      <c r="Y542" s="64"/>
      <c r="Z542" s="64"/>
      <c r="AA542" s="64"/>
      <c r="AB542" s="64"/>
      <c r="AC542" s="64"/>
      <c r="AD542" s="64"/>
      <c r="AE542" s="64"/>
      <c r="AF542" s="64"/>
      <c r="AG542" s="64"/>
    </row>
    <row r="543" spans="1:33">
      <c r="A543" s="64"/>
      <c r="B543" s="64"/>
      <c r="C543" s="64"/>
      <c r="D543" s="64"/>
      <c r="E543" s="70"/>
      <c r="F543" s="70"/>
      <c r="G543" s="64"/>
      <c r="H543" s="64"/>
      <c r="I543" s="64"/>
      <c r="J543" s="64"/>
      <c r="K543" s="64"/>
      <c r="L543" s="64"/>
      <c r="M543" s="64"/>
      <c r="N543" s="64"/>
      <c r="O543" s="64"/>
      <c r="P543" s="64"/>
      <c r="Q543" s="64"/>
      <c r="R543" s="64"/>
      <c r="S543" s="64"/>
      <c r="T543" s="64"/>
      <c r="U543" s="64"/>
      <c r="V543" s="64"/>
      <c r="W543" s="64"/>
      <c r="X543" s="64"/>
      <c r="Y543" s="64"/>
      <c r="Z543" s="64"/>
      <c r="AA543" s="64"/>
      <c r="AB543" s="64"/>
      <c r="AC543" s="64"/>
      <c r="AD543" s="64"/>
      <c r="AE543" s="64"/>
      <c r="AF543" s="64"/>
      <c r="AG543" s="64"/>
    </row>
    <row r="544" spans="1:33">
      <c r="A544" s="64"/>
      <c r="B544" s="64"/>
      <c r="C544" s="64"/>
      <c r="D544" s="64"/>
      <c r="E544" s="70"/>
      <c r="F544" s="70"/>
      <c r="G544" s="64"/>
      <c r="H544" s="64"/>
      <c r="I544" s="64"/>
      <c r="J544" s="64"/>
      <c r="K544" s="64"/>
      <c r="L544" s="64"/>
      <c r="M544" s="64"/>
      <c r="N544" s="64"/>
      <c r="O544" s="64"/>
      <c r="P544" s="64"/>
      <c r="Q544" s="64"/>
      <c r="R544" s="64"/>
      <c r="S544" s="64"/>
      <c r="T544" s="64"/>
      <c r="U544" s="64"/>
      <c r="V544" s="64"/>
      <c r="W544" s="64"/>
      <c r="X544" s="64"/>
      <c r="Y544" s="64"/>
      <c r="Z544" s="64"/>
      <c r="AA544" s="64"/>
      <c r="AB544" s="64"/>
      <c r="AC544" s="64"/>
      <c r="AD544" s="64"/>
      <c r="AE544" s="64"/>
      <c r="AF544" s="64"/>
      <c r="AG544" s="64"/>
    </row>
    <row r="545" spans="1:33">
      <c r="A545" s="64"/>
      <c r="B545" s="64"/>
      <c r="C545" s="64"/>
      <c r="D545" s="64"/>
      <c r="E545" s="70"/>
      <c r="F545" s="70"/>
      <c r="G545" s="64"/>
      <c r="H545" s="64"/>
      <c r="I545" s="64"/>
      <c r="J545" s="64"/>
      <c r="K545" s="64"/>
      <c r="L545" s="64"/>
      <c r="M545" s="64"/>
      <c r="N545" s="64"/>
      <c r="O545" s="64"/>
      <c r="P545" s="64"/>
      <c r="Q545" s="64"/>
      <c r="R545" s="64"/>
      <c r="S545" s="64"/>
      <c r="T545" s="64"/>
      <c r="U545" s="64"/>
      <c r="V545" s="64"/>
      <c r="W545" s="64"/>
      <c r="X545" s="64"/>
      <c r="Y545" s="64"/>
      <c r="Z545" s="64"/>
      <c r="AA545" s="64"/>
      <c r="AB545" s="64"/>
      <c r="AC545" s="64"/>
      <c r="AD545" s="64"/>
      <c r="AE545" s="64"/>
      <c r="AF545" s="64"/>
      <c r="AG545" s="64"/>
    </row>
    <row r="546" spans="1:33">
      <c r="A546" s="64"/>
      <c r="B546" s="64"/>
      <c r="C546" s="64"/>
      <c r="D546" s="64"/>
      <c r="E546" s="70"/>
      <c r="F546" s="70"/>
      <c r="G546" s="64"/>
      <c r="H546" s="64"/>
      <c r="I546" s="64"/>
      <c r="J546" s="64"/>
      <c r="K546" s="64"/>
      <c r="L546" s="64"/>
      <c r="M546" s="64"/>
      <c r="N546" s="64"/>
      <c r="O546" s="64"/>
      <c r="P546" s="64"/>
      <c r="Q546" s="64"/>
      <c r="R546" s="64"/>
      <c r="S546" s="64"/>
      <c r="T546" s="64"/>
      <c r="U546" s="64"/>
      <c r="V546" s="64"/>
      <c r="W546" s="64"/>
      <c r="X546" s="64"/>
      <c r="Y546" s="64"/>
      <c r="Z546" s="64"/>
      <c r="AA546" s="64"/>
      <c r="AB546" s="64"/>
      <c r="AC546" s="64"/>
      <c r="AD546" s="64"/>
      <c r="AE546" s="64"/>
      <c r="AF546" s="64"/>
      <c r="AG546" s="64"/>
    </row>
    <row r="547" spans="1:33">
      <c r="A547" s="64"/>
      <c r="B547" s="64"/>
      <c r="C547" s="64"/>
      <c r="D547" s="64"/>
      <c r="E547" s="70"/>
      <c r="F547" s="70"/>
      <c r="G547" s="64"/>
      <c r="H547" s="64"/>
      <c r="I547" s="64"/>
      <c r="J547" s="64"/>
      <c r="K547" s="64"/>
      <c r="L547" s="64"/>
      <c r="M547" s="64"/>
      <c r="N547" s="64"/>
      <c r="O547" s="64"/>
      <c r="P547" s="64"/>
      <c r="Q547" s="64"/>
      <c r="R547" s="64"/>
      <c r="S547" s="64"/>
      <c r="T547" s="64"/>
      <c r="U547" s="64"/>
      <c r="V547" s="64"/>
      <c r="W547" s="64"/>
      <c r="X547" s="64"/>
      <c r="Y547" s="64"/>
      <c r="Z547" s="64"/>
      <c r="AA547" s="64"/>
      <c r="AB547" s="64"/>
      <c r="AC547" s="64"/>
      <c r="AD547" s="64"/>
      <c r="AE547" s="64"/>
      <c r="AF547" s="64"/>
      <c r="AG547" s="64"/>
    </row>
    <row r="548" spans="1:33">
      <c r="A548" s="64"/>
      <c r="B548" s="64"/>
      <c r="C548" s="64"/>
      <c r="D548" s="64"/>
      <c r="E548" s="70"/>
      <c r="F548" s="70"/>
      <c r="G548" s="64"/>
      <c r="H548" s="64"/>
      <c r="I548" s="64"/>
      <c r="J548" s="64"/>
      <c r="K548" s="64"/>
      <c r="L548" s="64"/>
      <c r="M548" s="64"/>
      <c r="N548" s="64"/>
      <c r="O548" s="64"/>
      <c r="P548" s="64"/>
      <c r="Q548" s="64"/>
      <c r="R548" s="64"/>
      <c r="S548" s="64"/>
      <c r="T548" s="64"/>
      <c r="U548" s="64"/>
      <c r="V548" s="64"/>
      <c r="W548" s="64"/>
      <c r="X548" s="64"/>
      <c r="Y548" s="64"/>
      <c r="Z548" s="64"/>
      <c r="AA548" s="64"/>
      <c r="AB548" s="64"/>
      <c r="AC548" s="64"/>
      <c r="AD548" s="64"/>
      <c r="AE548" s="64"/>
      <c r="AF548" s="64"/>
      <c r="AG548" s="64"/>
    </row>
    <row r="549" spans="1:33">
      <c r="A549" s="64"/>
      <c r="B549" s="64"/>
      <c r="C549" s="64"/>
      <c r="D549" s="64"/>
      <c r="E549" s="70"/>
      <c r="F549" s="70"/>
      <c r="G549" s="64"/>
      <c r="H549" s="64"/>
      <c r="I549" s="64"/>
      <c r="J549" s="64"/>
      <c r="K549" s="64"/>
      <c r="L549" s="64"/>
      <c r="M549" s="64"/>
      <c r="N549" s="64"/>
      <c r="O549" s="64"/>
      <c r="P549" s="64"/>
      <c r="Q549" s="64"/>
      <c r="R549" s="64"/>
      <c r="S549" s="64"/>
      <c r="T549" s="64"/>
      <c r="U549" s="64"/>
      <c r="V549" s="64"/>
      <c r="W549" s="64"/>
      <c r="X549" s="64"/>
      <c r="Y549" s="64"/>
      <c r="Z549" s="64"/>
      <c r="AA549" s="64"/>
      <c r="AB549" s="64"/>
      <c r="AC549" s="64"/>
      <c r="AD549" s="64"/>
      <c r="AE549" s="64"/>
      <c r="AF549" s="64"/>
      <c r="AG549" s="64"/>
    </row>
    <row r="550" spans="1:33">
      <c r="A550" s="64"/>
      <c r="B550" s="64"/>
      <c r="C550" s="64"/>
      <c r="D550" s="64"/>
      <c r="E550" s="70"/>
      <c r="F550" s="70"/>
      <c r="G550" s="64"/>
      <c r="H550" s="64"/>
      <c r="I550" s="64"/>
      <c r="J550" s="64"/>
      <c r="K550" s="64"/>
      <c r="L550" s="64"/>
      <c r="M550" s="64"/>
      <c r="N550" s="64"/>
      <c r="O550" s="64"/>
      <c r="P550" s="64"/>
      <c r="Q550" s="64"/>
      <c r="R550" s="64"/>
      <c r="S550" s="64"/>
      <c r="T550" s="64"/>
      <c r="U550" s="64"/>
      <c r="V550" s="64"/>
      <c r="W550" s="64"/>
      <c r="X550" s="64"/>
      <c r="Y550" s="64"/>
      <c r="Z550" s="64"/>
      <c r="AA550" s="64"/>
      <c r="AB550" s="64"/>
      <c r="AC550" s="64"/>
      <c r="AD550" s="64"/>
      <c r="AE550" s="64"/>
      <c r="AF550" s="64"/>
      <c r="AG550" s="64"/>
    </row>
    <row r="551" spans="1:33">
      <c r="A551" s="64"/>
      <c r="B551" s="64"/>
      <c r="C551" s="64"/>
      <c r="D551" s="64"/>
      <c r="E551" s="70"/>
      <c r="F551" s="70"/>
      <c r="G551" s="64"/>
      <c r="H551" s="64"/>
      <c r="I551" s="64"/>
      <c r="J551" s="64"/>
      <c r="K551" s="64"/>
      <c r="L551" s="64"/>
      <c r="M551" s="64"/>
      <c r="N551" s="64"/>
      <c r="O551" s="64"/>
      <c r="P551" s="64"/>
      <c r="Q551" s="64"/>
      <c r="R551" s="64"/>
      <c r="S551" s="64"/>
      <c r="T551" s="64"/>
      <c r="U551" s="64"/>
      <c r="V551" s="64"/>
      <c r="W551" s="64"/>
      <c r="X551" s="64"/>
      <c r="Y551" s="64"/>
      <c r="Z551" s="64"/>
      <c r="AA551" s="64"/>
      <c r="AB551" s="64"/>
      <c r="AC551" s="64"/>
      <c r="AD551" s="64"/>
      <c r="AE551" s="64"/>
      <c r="AF551" s="64"/>
      <c r="AG551" s="64"/>
    </row>
    <row r="552" spans="1:33">
      <c r="A552" s="64"/>
      <c r="B552" s="64"/>
      <c r="C552" s="64"/>
      <c r="D552" s="64"/>
      <c r="E552" s="70"/>
      <c r="F552" s="70"/>
      <c r="G552" s="64"/>
      <c r="H552" s="64"/>
      <c r="I552" s="64"/>
      <c r="J552" s="64"/>
      <c r="K552" s="64"/>
      <c r="L552" s="64"/>
      <c r="M552" s="64"/>
      <c r="N552" s="64"/>
      <c r="O552" s="64"/>
      <c r="P552" s="64"/>
      <c r="Q552" s="64"/>
      <c r="R552" s="64"/>
      <c r="S552" s="64"/>
      <c r="T552" s="64"/>
      <c r="U552" s="64"/>
      <c r="V552" s="64"/>
      <c r="W552" s="64"/>
      <c r="X552" s="64"/>
      <c r="Y552" s="64"/>
      <c r="Z552" s="64"/>
      <c r="AA552" s="64"/>
      <c r="AB552" s="64"/>
      <c r="AC552" s="64"/>
      <c r="AD552" s="64"/>
      <c r="AE552" s="64"/>
      <c r="AF552" s="64"/>
      <c r="AG552" s="64"/>
    </row>
    <row r="553" spans="1:33">
      <c r="A553" s="64"/>
      <c r="B553" s="64"/>
      <c r="C553" s="64"/>
      <c r="D553" s="64"/>
      <c r="E553" s="70"/>
      <c r="F553" s="70"/>
      <c r="G553" s="64"/>
      <c r="H553" s="64"/>
      <c r="I553" s="64"/>
      <c r="J553" s="64"/>
      <c r="K553" s="64"/>
      <c r="L553" s="64"/>
      <c r="M553" s="64"/>
      <c r="N553" s="64"/>
      <c r="O553" s="64"/>
      <c r="P553" s="64"/>
      <c r="Q553" s="64"/>
      <c r="R553" s="64"/>
      <c r="S553" s="64"/>
      <c r="T553" s="64"/>
      <c r="U553" s="64"/>
      <c r="V553" s="64"/>
      <c r="W553" s="64"/>
      <c r="X553" s="64"/>
      <c r="Y553" s="64"/>
      <c r="Z553" s="64"/>
      <c r="AA553" s="64"/>
      <c r="AB553" s="64"/>
      <c r="AC553" s="64"/>
      <c r="AD553" s="64"/>
      <c r="AE553" s="64"/>
      <c r="AF553" s="64"/>
      <c r="AG553" s="64"/>
    </row>
    <row r="554" spans="1:33">
      <c r="A554" s="64"/>
      <c r="B554" s="64"/>
      <c r="C554" s="64"/>
      <c r="D554" s="64"/>
      <c r="E554" s="70"/>
      <c r="F554" s="70"/>
      <c r="G554" s="64"/>
      <c r="H554" s="64"/>
      <c r="I554" s="64"/>
      <c r="J554" s="64"/>
      <c r="K554" s="64"/>
      <c r="L554" s="64"/>
      <c r="M554" s="64"/>
      <c r="N554" s="64"/>
      <c r="O554" s="64"/>
      <c r="P554" s="64"/>
      <c r="Q554" s="64"/>
      <c r="R554" s="64"/>
      <c r="S554" s="64"/>
      <c r="T554" s="64"/>
      <c r="U554" s="64"/>
      <c r="V554" s="64"/>
      <c r="W554" s="64"/>
      <c r="X554" s="64"/>
      <c r="Y554" s="64"/>
      <c r="Z554" s="64"/>
      <c r="AA554" s="64"/>
      <c r="AB554" s="64"/>
      <c r="AC554" s="64"/>
      <c r="AD554" s="64"/>
      <c r="AE554" s="64"/>
      <c r="AF554" s="64"/>
      <c r="AG554" s="64"/>
    </row>
    <row r="555" spans="1:33">
      <c r="A555" s="64"/>
      <c r="B555" s="64"/>
      <c r="C555" s="64"/>
      <c r="D555" s="64"/>
      <c r="E555" s="70"/>
      <c r="F555" s="70"/>
      <c r="G555" s="64"/>
      <c r="H555" s="64"/>
      <c r="I555" s="64"/>
      <c r="J555" s="64"/>
      <c r="K555" s="64"/>
      <c r="L555" s="64"/>
      <c r="M555" s="64"/>
      <c r="N555" s="64"/>
      <c r="O555" s="64"/>
      <c r="P555" s="64"/>
      <c r="Q555" s="64"/>
      <c r="R555" s="64"/>
      <c r="S555" s="64"/>
      <c r="T555" s="64"/>
      <c r="U555" s="64"/>
      <c r="V555" s="64"/>
      <c r="W555" s="64"/>
      <c r="X555" s="64"/>
      <c r="Y555" s="64"/>
      <c r="Z555" s="64"/>
      <c r="AA555" s="64"/>
      <c r="AB555" s="64"/>
      <c r="AC555" s="64"/>
      <c r="AD555" s="64"/>
      <c r="AE555" s="64"/>
      <c r="AF555" s="64"/>
      <c r="AG555" s="64"/>
    </row>
    <row r="556" spans="1:33">
      <c r="A556" s="64"/>
      <c r="B556" s="64"/>
      <c r="C556" s="64"/>
      <c r="D556" s="64"/>
      <c r="E556" s="70"/>
      <c r="F556" s="70"/>
      <c r="G556" s="64"/>
      <c r="H556" s="64"/>
      <c r="I556" s="64"/>
      <c r="J556" s="64"/>
      <c r="K556" s="64"/>
      <c r="L556" s="64"/>
      <c r="M556" s="64"/>
      <c r="N556" s="64"/>
      <c r="O556" s="64"/>
      <c r="P556" s="64"/>
      <c r="Q556" s="64"/>
      <c r="R556" s="64"/>
      <c r="S556" s="64"/>
      <c r="T556" s="64"/>
      <c r="U556" s="64"/>
      <c r="V556" s="64"/>
      <c r="W556" s="64"/>
      <c r="X556" s="64"/>
      <c r="Y556" s="64"/>
      <c r="Z556" s="64"/>
      <c r="AA556" s="64"/>
      <c r="AB556" s="64"/>
      <c r="AC556" s="64"/>
      <c r="AD556" s="64"/>
      <c r="AE556" s="64"/>
      <c r="AF556" s="64"/>
      <c r="AG556" s="64"/>
    </row>
    <row r="557" spans="1:33">
      <c r="A557" s="64"/>
      <c r="B557" s="64"/>
      <c r="C557" s="64"/>
      <c r="D557" s="64"/>
      <c r="E557" s="70"/>
      <c r="F557" s="70"/>
      <c r="G557" s="64"/>
      <c r="H557" s="64"/>
      <c r="I557" s="64"/>
      <c r="J557" s="64"/>
      <c r="K557" s="64"/>
      <c r="L557" s="64"/>
      <c r="M557" s="64"/>
      <c r="N557" s="64"/>
      <c r="O557" s="64"/>
      <c r="P557" s="64"/>
      <c r="Q557" s="64"/>
      <c r="R557" s="64"/>
      <c r="S557" s="64"/>
      <c r="T557" s="64"/>
      <c r="U557" s="64"/>
      <c r="V557" s="64"/>
      <c r="W557" s="64"/>
      <c r="X557" s="64"/>
      <c r="Y557" s="64"/>
      <c r="Z557" s="64"/>
      <c r="AA557" s="64"/>
      <c r="AB557" s="64"/>
      <c r="AC557" s="64"/>
      <c r="AD557" s="64"/>
      <c r="AE557" s="64"/>
      <c r="AF557" s="64"/>
      <c r="AG557" s="64"/>
    </row>
    <row r="558" spans="1:33">
      <c r="A558" s="64"/>
      <c r="B558" s="64"/>
      <c r="C558" s="64"/>
      <c r="D558" s="64"/>
      <c r="E558" s="70"/>
      <c r="F558" s="70"/>
      <c r="G558" s="64"/>
      <c r="H558" s="64"/>
      <c r="I558" s="64"/>
      <c r="J558" s="64"/>
      <c r="K558" s="64"/>
      <c r="L558" s="64"/>
      <c r="M558" s="64"/>
      <c r="N558" s="64"/>
      <c r="O558" s="64"/>
      <c r="P558" s="64"/>
      <c r="Q558" s="64"/>
      <c r="R558" s="64"/>
      <c r="S558" s="64"/>
      <c r="T558" s="64"/>
      <c r="U558" s="64"/>
      <c r="V558" s="64"/>
      <c r="W558" s="64"/>
      <c r="X558" s="64"/>
      <c r="Y558" s="64"/>
      <c r="Z558" s="64"/>
      <c r="AA558" s="64"/>
      <c r="AB558" s="64"/>
      <c r="AC558" s="64"/>
      <c r="AD558" s="64"/>
      <c r="AE558" s="64"/>
      <c r="AF558" s="64"/>
      <c r="AG558" s="64"/>
    </row>
    <row r="559" spans="1:33">
      <c r="A559" s="64"/>
      <c r="B559" s="64"/>
      <c r="C559" s="64"/>
      <c r="D559" s="64"/>
      <c r="E559" s="70"/>
      <c r="F559" s="70"/>
      <c r="G559" s="64"/>
      <c r="H559" s="64"/>
      <c r="I559" s="64"/>
      <c r="J559" s="64"/>
      <c r="K559" s="64"/>
      <c r="L559" s="64"/>
      <c r="M559" s="64"/>
      <c r="N559" s="64"/>
      <c r="O559" s="64"/>
      <c r="P559" s="64"/>
      <c r="Q559" s="64"/>
      <c r="R559" s="64"/>
      <c r="S559" s="64"/>
      <c r="T559" s="64"/>
      <c r="U559" s="64"/>
      <c r="V559" s="64"/>
      <c r="W559" s="64"/>
      <c r="X559" s="64"/>
      <c r="Y559" s="64"/>
      <c r="Z559" s="64"/>
      <c r="AA559" s="64"/>
      <c r="AB559" s="64"/>
      <c r="AC559" s="64"/>
      <c r="AD559" s="64"/>
      <c r="AE559" s="64"/>
      <c r="AF559" s="64"/>
      <c r="AG559" s="64"/>
    </row>
    <row r="560" spans="1:33">
      <c r="A560" s="64"/>
      <c r="B560" s="64"/>
      <c r="C560" s="64"/>
      <c r="D560" s="64"/>
      <c r="E560" s="70"/>
      <c r="F560" s="70"/>
      <c r="G560" s="64"/>
      <c r="H560" s="64"/>
      <c r="I560" s="64"/>
      <c r="J560" s="64"/>
      <c r="K560" s="64"/>
      <c r="L560" s="64"/>
      <c r="M560" s="64"/>
      <c r="N560" s="64"/>
      <c r="O560" s="64"/>
      <c r="P560" s="64"/>
      <c r="Q560" s="64"/>
      <c r="R560" s="64"/>
      <c r="S560" s="64"/>
      <c r="T560" s="64"/>
      <c r="U560" s="64"/>
      <c r="V560" s="64"/>
      <c r="W560" s="64"/>
      <c r="X560" s="64"/>
      <c r="Y560" s="64"/>
      <c r="Z560" s="64"/>
      <c r="AA560" s="64"/>
      <c r="AB560" s="64"/>
      <c r="AC560" s="64"/>
      <c r="AD560" s="64"/>
      <c r="AE560" s="64"/>
      <c r="AF560" s="64"/>
      <c r="AG560" s="64"/>
    </row>
    <row r="561" spans="1:33">
      <c r="A561" s="64"/>
      <c r="B561" s="64"/>
      <c r="C561" s="64"/>
      <c r="D561" s="64"/>
      <c r="E561" s="70"/>
      <c r="F561" s="70"/>
      <c r="G561" s="64"/>
      <c r="H561" s="64"/>
      <c r="I561" s="64"/>
      <c r="J561" s="64"/>
      <c r="K561" s="64"/>
      <c r="L561" s="64"/>
      <c r="M561" s="64"/>
      <c r="N561" s="64"/>
      <c r="O561" s="64"/>
      <c r="P561" s="64"/>
      <c r="Q561" s="64"/>
      <c r="R561" s="64"/>
      <c r="S561" s="64"/>
      <c r="T561" s="64"/>
      <c r="U561" s="64"/>
      <c r="V561" s="64"/>
      <c r="W561" s="64"/>
      <c r="X561" s="64"/>
      <c r="Y561" s="64"/>
      <c r="Z561" s="64"/>
      <c r="AA561" s="64"/>
      <c r="AB561" s="64"/>
      <c r="AC561" s="64"/>
      <c r="AD561" s="64"/>
      <c r="AE561" s="64"/>
      <c r="AF561" s="64"/>
      <c r="AG561" s="64"/>
    </row>
    <row r="562" spans="1:33">
      <c r="A562" s="64"/>
      <c r="B562" s="64"/>
      <c r="C562" s="64"/>
      <c r="D562" s="64"/>
      <c r="E562" s="70"/>
      <c r="F562" s="70"/>
      <c r="G562" s="64"/>
      <c r="H562" s="64"/>
      <c r="I562" s="64"/>
      <c r="J562" s="64"/>
      <c r="K562" s="64"/>
      <c r="L562" s="64"/>
      <c r="M562" s="64"/>
      <c r="N562" s="64"/>
      <c r="O562" s="64"/>
      <c r="P562" s="64"/>
      <c r="Q562" s="64"/>
      <c r="R562" s="64"/>
      <c r="S562" s="64"/>
      <c r="T562" s="64"/>
      <c r="U562" s="64"/>
      <c r="V562" s="64"/>
      <c r="W562" s="64"/>
      <c r="X562" s="64"/>
      <c r="Y562" s="64"/>
      <c r="Z562" s="64"/>
      <c r="AA562" s="64"/>
      <c r="AB562" s="64"/>
      <c r="AC562" s="64"/>
      <c r="AD562" s="64"/>
      <c r="AE562" s="64"/>
      <c r="AF562" s="64"/>
      <c r="AG562" s="64"/>
    </row>
    <row r="563" spans="1:33">
      <c r="A563" s="64"/>
      <c r="B563" s="64"/>
      <c r="C563" s="64"/>
      <c r="D563" s="64"/>
      <c r="E563" s="70"/>
      <c r="F563" s="70"/>
      <c r="G563" s="64"/>
      <c r="H563" s="64"/>
      <c r="I563" s="64"/>
      <c r="J563" s="64"/>
      <c r="K563" s="64"/>
      <c r="L563" s="64"/>
      <c r="M563" s="64"/>
      <c r="N563" s="64"/>
      <c r="O563" s="64"/>
      <c r="P563" s="64"/>
      <c r="Q563" s="64"/>
      <c r="R563" s="64"/>
      <c r="S563" s="64"/>
      <c r="T563" s="64"/>
      <c r="U563" s="64"/>
      <c r="V563" s="64"/>
      <c r="W563" s="64"/>
      <c r="X563" s="64"/>
      <c r="Y563" s="64"/>
      <c r="Z563" s="64"/>
      <c r="AA563" s="64"/>
      <c r="AB563" s="64"/>
      <c r="AC563" s="64"/>
      <c r="AD563" s="64"/>
      <c r="AE563" s="64"/>
      <c r="AF563" s="64"/>
      <c r="AG563" s="64"/>
    </row>
    <row r="564" spans="1:33">
      <c r="A564" s="64"/>
      <c r="B564" s="64"/>
      <c r="C564" s="64"/>
      <c r="D564" s="64"/>
      <c r="E564" s="70"/>
      <c r="F564" s="70"/>
      <c r="G564" s="64"/>
      <c r="H564" s="64"/>
      <c r="I564" s="64"/>
      <c r="J564" s="64"/>
      <c r="K564" s="64"/>
      <c r="L564" s="64"/>
      <c r="M564" s="64"/>
      <c r="N564" s="64"/>
      <c r="O564" s="64"/>
      <c r="P564" s="64"/>
      <c r="Q564" s="64"/>
      <c r="R564" s="64"/>
      <c r="S564" s="64"/>
      <c r="T564" s="64"/>
      <c r="U564" s="64"/>
      <c r="V564" s="64"/>
      <c r="W564" s="64"/>
      <c r="X564" s="64"/>
      <c r="Y564" s="64"/>
      <c r="Z564" s="64"/>
      <c r="AA564" s="64"/>
      <c r="AB564" s="64"/>
      <c r="AC564" s="64"/>
      <c r="AD564" s="64"/>
      <c r="AE564" s="64"/>
      <c r="AF564" s="64"/>
      <c r="AG564" s="64"/>
    </row>
    <row r="565" spans="1:33">
      <c r="A565" s="64"/>
      <c r="B565" s="64"/>
      <c r="C565" s="64"/>
      <c r="D565" s="64"/>
      <c r="E565" s="70"/>
      <c r="F565" s="70"/>
      <c r="G565" s="64"/>
      <c r="H565" s="64"/>
      <c r="I565" s="64"/>
      <c r="J565" s="64"/>
      <c r="K565" s="64"/>
      <c r="L565" s="64"/>
      <c r="M565" s="64"/>
      <c r="N565" s="64"/>
      <c r="O565" s="64"/>
      <c r="P565" s="64"/>
      <c r="Q565" s="64"/>
      <c r="R565" s="64"/>
      <c r="S565" s="64"/>
      <c r="T565" s="64"/>
      <c r="U565" s="64"/>
      <c r="V565" s="64"/>
      <c r="W565" s="64"/>
      <c r="X565" s="64"/>
      <c r="Y565" s="64"/>
      <c r="Z565" s="64"/>
      <c r="AA565" s="64"/>
      <c r="AB565" s="64"/>
      <c r="AC565" s="64"/>
      <c r="AD565" s="64"/>
      <c r="AE565" s="64"/>
      <c r="AF565" s="64"/>
      <c r="AG565" s="64"/>
    </row>
    <row r="566" spans="1:33">
      <c r="A566" s="64"/>
      <c r="B566" s="64"/>
      <c r="C566" s="64"/>
      <c r="D566" s="64"/>
      <c r="E566" s="70"/>
      <c r="F566" s="70"/>
      <c r="G566" s="64"/>
      <c r="H566" s="64"/>
      <c r="I566" s="64"/>
      <c r="J566" s="64"/>
      <c r="K566" s="64"/>
      <c r="L566" s="64"/>
      <c r="M566" s="64"/>
      <c r="N566" s="64"/>
      <c r="O566" s="64"/>
      <c r="P566" s="64"/>
      <c r="Q566" s="64"/>
      <c r="R566" s="64"/>
      <c r="S566" s="64"/>
      <c r="T566" s="64"/>
      <c r="U566" s="64"/>
      <c r="V566" s="64"/>
      <c r="W566" s="64"/>
      <c r="X566" s="64"/>
      <c r="Y566" s="64"/>
      <c r="Z566" s="64"/>
      <c r="AA566" s="64"/>
      <c r="AB566" s="64"/>
      <c r="AC566" s="64"/>
      <c r="AD566" s="64"/>
      <c r="AE566" s="64"/>
      <c r="AF566" s="64"/>
      <c r="AG566" s="64"/>
    </row>
    <row r="567" spans="1:33">
      <c r="A567" s="64"/>
      <c r="B567" s="64"/>
      <c r="C567" s="64"/>
      <c r="D567" s="64"/>
      <c r="E567" s="70"/>
      <c r="F567" s="70"/>
      <c r="G567" s="64"/>
      <c r="H567" s="64"/>
      <c r="I567" s="64"/>
      <c r="J567" s="64"/>
      <c r="K567" s="64"/>
      <c r="L567" s="64"/>
      <c r="M567" s="64"/>
      <c r="N567" s="64"/>
      <c r="O567" s="64"/>
      <c r="P567" s="64"/>
      <c r="Q567" s="64"/>
      <c r="R567" s="64"/>
      <c r="S567" s="64"/>
      <c r="T567" s="64"/>
      <c r="U567" s="64"/>
      <c r="V567" s="64"/>
      <c r="W567" s="64"/>
      <c r="X567" s="64"/>
      <c r="Y567" s="64"/>
      <c r="Z567" s="64"/>
      <c r="AA567" s="64"/>
      <c r="AB567" s="64"/>
      <c r="AC567" s="64"/>
      <c r="AD567" s="64"/>
      <c r="AE567" s="64"/>
      <c r="AF567" s="64"/>
      <c r="AG567" s="64"/>
    </row>
    <row r="568" spans="1:33">
      <c r="A568" s="64"/>
      <c r="B568" s="64"/>
      <c r="C568" s="64"/>
      <c r="D568" s="64"/>
      <c r="E568" s="70"/>
      <c r="F568" s="70"/>
      <c r="G568" s="64"/>
      <c r="H568" s="64"/>
      <c r="I568" s="64"/>
      <c r="J568" s="64"/>
      <c r="K568" s="64"/>
      <c r="L568" s="64"/>
      <c r="M568" s="64"/>
      <c r="N568" s="64"/>
      <c r="O568" s="64"/>
      <c r="P568" s="64"/>
      <c r="Q568" s="64"/>
      <c r="R568" s="64"/>
      <c r="S568" s="64"/>
      <c r="T568" s="64"/>
      <c r="U568" s="64"/>
      <c r="V568" s="64"/>
      <c r="W568" s="64"/>
      <c r="X568" s="64"/>
      <c r="Y568" s="64"/>
      <c r="Z568" s="64"/>
      <c r="AA568" s="64"/>
      <c r="AB568" s="64"/>
      <c r="AC568" s="64"/>
      <c r="AD568" s="64"/>
      <c r="AE568" s="64"/>
      <c r="AF568" s="64"/>
      <c r="AG568" s="64"/>
    </row>
    <row r="569" spans="1:33">
      <c r="A569" s="64"/>
      <c r="B569" s="64"/>
      <c r="C569" s="64"/>
      <c r="D569" s="64"/>
      <c r="E569" s="70"/>
      <c r="F569" s="70"/>
      <c r="G569" s="64"/>
      <c r="H569" s="64"/>
      <c r="I569" s="64"/>
      <c r="J569" s="64"/>
      <c r="K569" s="64"/>
      <c r="L569" s="64"/>
      <c r="M569" s="64"/>
      <c r="N569" s="64"/>
      <c r="O569" s="64"/>
      <c r="P569" s="64"/>
      <c r="Q569" s="64"/>
      <c r="R569" s="64"/>
      <c r="S569" s="64"/>
      <c r="T569" s="64"/>
      <c r="U569" s="64"/>
      <c r="V569" s="64"/>
      <c r="W569" s="64"/>
      <c r="X569" s="64"/>
      <c r="Y569" s="64"/>
      <c r="Z569" s="64"/>
      <c r="AA569" s="64"/>
      <c r="AB569" s="64"/>
      <c r="AC569" s="64"/>
      <c r="AD569" s="64"/>
      <c r="AE569" s="64"/>
      <c r="AF569" s="64"/>
      <c r="AG569" s="64"/>
    </row>
    <row r="570" spans="1:33">
      <c r="A570" s="64"/>
      <c r="B570" s="64"/>
      <c r="C570" s="64"/>
      <c r="D570" s="64"/>
      <c r="E570" s="70"/>
      <c r="F570" s="70"/>
      <c r="G570" s="64"/>
      <c r="H570" s="64"/>
      <c r="I570" s="64"/>
      <c r="J570" s="64"/>
      <c r="K570" s="64"/>
      <c r="L570" s="64"/>
      <c r="M570" s="64"/>
      <c r="N570" s="64"/>
      <c r="O570" s="64"/>
      <c r="P570" s="64"/>
      <c r="Q570" s="64"/>
      <c r="R570" s="64"/>
      <c r="S570" s="64"/>
      <c r="T570" s="64"/>
      <c r="U570" s="64"/>
      <c r="V570" s="64"/>
      <c r="W570" s="64"/>
      <c r="X570" s="64"/>
      <c r="Y570" s="64"/>
      <c r="Z570" s="64"/>
      <c r="AA570" s="64"/>
      <c r="AB570" s="64"/>
      <c r="AC570" s="64"/>
      <c r="AD570" s="64"/>
      <c r="AE570" s="64"/>
      <c r="AF570" s="64"/>
      <c r="AG570" s="64"/>
    </row>
    <row r="571" spans="1:33">
      <c r="A571" s="64"/>
      <c r="B571" s="64"/>
      <c r="C571" s="64"/>
      <c r="D571" s="64"/>
      <c r="E571" s="70"/>
      <c r="F571" s="70"/>
      <c r="G571" s="64"/>
      <c r="H571" s="64"/>
      <c r="I571" s="64"/>
      <c r="J571" s="64"/>
      <c r="K571" s="64"/>
      <c r="L571" s="64"/>
      <c r="M571" s="64"/>
      <c r="N571" s="64"/>
      <c r="O571" s="64"/>
      <c r="P571" s="64"/>
      <c r="Q571" s="64"/>
      <c r="R571" s="64"/>
      <c r="S571" s="64"/>
      <c r="T571" s="64"/>
      <c r="U571" s="64"/>
      <c r="V571" s="64"/>
      <c r="W571" s="64"/>
      <c r="X571" s="64"/>
      <c r="Y571" s="64"/>
      <c r="Z571" s="64"/>
      <c r="AA571" s="64"/>
      <c r="AB571" s="64"/>
      <c r="AC571" s="64"/>
      <c r="AD571" s="64"/>
      <c r="AE571" s="64"/>
      <c r="AF571" s="64"/>
      <c r="AG571" s="64"/>
    </row>
    <row r="572" spans="1:33">
      <c r="A572" s="64"/>
      <c r="B572" s="64"/>
      <c r="C572" s="64"/>
      <c r="D572" s="64"/>
      <c r="E572" s="70"/>
      <c r="F572" s="70"/>
      <c r="G572" s="64"/>
      <c r="H572" s="64"/>
      <c r="I572" s="64"/>
      <c r="J572" s="64"/>
      <c r="K572" s="64"/>
      <c r="L572" s="64"/>
      <c r="M572" s="64"/>
      <c r="N572" s="64"/>
      <c r="O572" s="64"/>
      <c r="P572" s="64"/>
      <c r="Q572" s="64"/>
      <c r="R572" s="64"/>
      <c r="S572" s="64"/>
      <c r="T572" s="64"/>
      <c r="U572" s="64"/>
      <c r="V572" s="64"/>
      <c r="W572" s="64"/>
      <c r="X572" s="64"/>
      <c r="Y572" s="64"/>
      <c r="Z572" s="64"/>
      <c r="AA572" s="64"/>
      <c r="AB572" s="64"/>
      <c r="AC572" s="64"/>
      <c r="AD572" s="64"/>
      <c r="AE572" s="64"/>
      <c r="AF572" s="64"/>
      <c r="AG572" s="64"/>
    </row>
    <row r="573" spans="1:33">
      <c r="A573" s="64"/>
      <c r="B573" s="64"/>
      <c r="C573" s="64"/>
      <c r="D573" s="64"/>
      <c r="E573" s="70"/>
      <c r="F573" s="70"/>
      <c r="G573" s="64"/>
      <c r="H573" s="64"/>
      <c r="I573" s="64"/>
      <c r="J573" s="64"/>
      <c r="K573" s="64"/>
      <c r="L573" s="64"/>
      <c r="M573" s="64"/>
      <c r="N573" s="64"/>
      <c r="O573" s="64"/>
      <c r="P573" s="64"/>
      <c r="Q573" s="64"/>
      <c r="R573" s="64"/>
      <c r="S573" s="64"/>
      <c r="T573" s="64"/>
      <c r="U573" s="64"/>
      <c r="V573" s="64"/>
      <c r="W573" s="64"/>
      <c r="X573" s="64"/>
      <c r="Y573" s="64"/>
      <c r="Z573" s="64"/>
      <c r="AA573" s="64"/>
      <c r="AB573" s="64"/>
      <c r="AC573" s="64"/>
      <c r="AD573" s="64"/>
      <c r="AE573" s="64"/>
      <c r="AF573" s="64"/>
      <c r="AG573" s="64"/>
    </row>
    <row r="574" spans="1:33">
      <c r="A574" s="64"/>
      <c r="B574" s="64"/>
      <c r="C574" s="64"/>
      <c r="D574" s="64"/>
      <c r="E574" s="70"/>
      <c r="F574" s="70"/>
      <c r="G574" s="64"/>
      <c r="H574" s="64"/>
      <c r="I574" s="64"/>
      <c r="J574" s="64"/>
      <c r="K574" s="64"/>
      <c r="L574" s="64"/>
      <c r="M574" s="64"/>
      <c r="N574" s="64"/>
      <c r="O574" s="64"/>
      <c r="P574" s="64"/>
      <c r="Q574" s="64"/>
      <c r="R574" s="64"/>
      <c r="S574" s="64"/>
      <c r="T574" s="64"/>
      <c r="U574" s="64"/>
      <c r="V574" s="64"/>
      <c r="W574" s="64"/>
      <c r="X574" s="64"/>
      <c r="Y574" s="64"/>
      <c r="Z574" s="64"/>
      <c r="AA574" s="64"/>
      <c r="AB574" s="64"/>
      <c r="AC574" s="64"/>
      <c r="AD574" s="64"/>
      <c r="AE574" s="64"/>
      <c r="AF574" s="64"/>
      <c r="AG574" s="64"/>
    </row>
    <row r="575" spans="1:33">
      <c r="A575" s="64"/>
      <c r="B575" s="64"/>
      <c r="C575" s="64"/>
      <c r="D575" s="64"/>
      <c r="E575" s="70"/>
      <c r="F575" s="70"/>
      <c r="G575" s="64"/>
      <c r="H575" s="64"/>
      <c r="I575" s="64"/>
      <c r="J575" s="64"/>
      <c r="K575" s="64"/>
      <c r="L575" s="64"/>
      <c r="M575" s="64"/>
      <c r="N575" s="64"/>
      <c r="O575" s="64"/>
      <c r="P575" s="64"/>
      <c r="Q575" s="64"/>
      <c r="R575" s="64"/>
      <c r="S575" s="64"/>
      <c r="T575" s="64"/>
      <c r="U575" s="64"/>
      <c r="V575" s="64"/>
      <c r="W575" s="64"/>
      <c r="X575" s="64"/>
      <c r="Y575" s="64"/>
      <c r="Z575" s="64"/>
      <c r="AA575" s="64"/>
      <c r="AB575" s="64"/>
      <c r="AC575" s="64"/>
      <c r="AD575" s="64"/>
      <c r="AE575" s="64"/>
      <c r="AF575" s="64"/>
      <c r="AG575" s="64"/>
    </row>
    <row r="576" spans="1:33">
      <c r="A576" s="64"/>
      <c r="B576" s="64"/>
      <c r="C576" s="64"/>
      <c r="D576" s="64"/>
      <c r="E576" s="70"/>
      <c r="F576" s="70"/>
      <c r="G576" s="64"/>
      <c r="H576" s="64"/>
      <c r="I576" s="64"/>
      <c r="J576" s="64"/>
      <c r="K576" s="64"/>
      <c r="L576" s="64"/>
      <c r="M576" s="64"/>
      <c r="N576" s="64"/>
      <c r="O576" s="64"/>
      <c r="P576" s="64"/>
      <c r="Q576" s="64"/>
      <c r="R576" s="64"/>
      <c r="S576" s="64"/>
      <c r="T576" s="64"/>
      <c r="U576" s="64"/>
      <c r="V576" s="64"/>
      <c r="W576" s="64"/>
      <c r="X576" s="64"/>
      <c r="Y576" s="64"/>
      <c r="Z576" s="64"/>
      <c r="AA576" s="64"/>
      <c r="AB576" s="64"/>
      <c r="AC576" s="64"/>
      <c r="AD576" s="64"/>
      <c r="AE576" s="64"/>
      <c r="AF576" s="64"/>
      <c r="AG576" s="64"/>
    </row>
    <row r="577" spans="1:33">
      <c r="A577" s="64"/>
      <c r="B577" s="64"/>
      <c r="C577" s="64"/>
      <c r="D577" s="64"/>
      <c r="E577" s="70"/>
      <c r="F577" s="70"/>
      <c r="G577" s="64"/>
      <c r="H577" s="64"/>
      <c r="I577" s="64"/>
      <c r="J577" s="64"/>
      <c r="K577" s="64"/>
      <c r="L577" s="64"/>
      <c r="M577" s="64"/>
      <c r="N577" s="64"/>
      <c r="O577" s="64"/>
      <c r="P577" s="64"/>
      <c r="Q577" s="64"/>
      <c r="R577" s="64"/>
      <c r="S577" s="64"/>
      <c r="T577" s="64"/>
      <c r="U577" s="64"/>
      <c r="V577" s="64"/>
      <c r="W577" s="64"/>
      <c r="X577" s="64"/>
      <c r="Y577" s="64"/>
      <c r="Z577" s="64"/>
      <c r="AA577" s="64"/>
      <c r="AB577" s="64"/>
      <c r="AC577" s="64"/>
      <c r="AD577" s="64"/>
      <c r="AE577" s="64"/>
      <c r="AF577" s="64"/>
      <c r="AG577" s="64"/>
    </row>
    <row r="578" spans="1:33">
      <c r="A578" s="64"/>
      <c r="B578" s="64"/>
      <c r="C578" s="64"/>
      <c r="D578" s="64"/>
      <c r="E578" s="70"/>
      <c r="F578" s="70"/>
      <c r="G578" s="64"/>
      <c r="H578" s="64"/>
      <c r="I578" s="64"/>
      <c r="J578" s="64"/>
      <c r="K578" s="64"/>
      <c r="L578" s="64"/>
      <c r="M578" s="64"/>
      <c r="N578" s="64"/>
      <c r="O578" s="64"/>
      <c r="P578" s="64"/>
      <c r="Q578" s="64"/>
      <c r="R578" s="64"/>
      <c r="S578" s="64"/>
      <c r="T578" s="64"/>
      <c r="U578" s="64"/>
      <c r="V578" s="64"/>
      <c r="W578" s="64"/>
      <c r="X578" s="64"/>
      <c r="Y578" s="64"/>
      <c r="Z578" s="64"/>
      <c r="AA578" s="64"/>
      <c r="AB578" s="64"/>
      <c r="AC578" s="64"/>
      <c r="AD578" s="64"/>
      <c r="AE578" s="64"/>
      <c r="AF578" s="64"/>
      <c r="AG578" s="64"/>
    </row>
    <row r="579" spans="1:33">
      <c r="A579" s="64"/>
      <c r="B579" s="64"/>
      <c r="C579" s="64"/>
      <c r="D579" s="64"/>
      <c r="E579" s="70"/>
      <c r="F579" s="70"/>
      <c r="G579" s="64"/>
      <c r="H579" s="64"/>
      <c r="I579" s="64"/>
      <c r="J579" s="64"/>
      <c r="K579" s="64"/>
      <c r="L579" s="64"/>
      <c r="M579" s="64"/>
      <c r="N579" s="64"/>
      <c r="O579" s="64"/>
      <c r="P579" s="64"/>
      <c r="Q579" s="64"/>
      <c r="R579" s="64"/>
      <c r="S579" s="64"/>
      <c r="T579" s="64"/>
      <c r="U579" s="64"/>
      <c r="V579" s="64"/>
      <c r="W579" s="64"/>
      <c r="X579" s="64"/>
      <c r="Y579" s="64"/>
      <c r="Z579" s="64"/>
      <c r="AA579" s="64"/>
      <c r="AB579" s="64"/>
      <c r="AC579" s="64"/>
      <c r="AD579" s="64"/>
      <c r="AE579" s="64"/>
      <c r="AF579" s="64"/>
      <c r="AG579" s="64"/>
    </row>
    <row r="580" spans="1:33">
      <c r="A580" s="64"/>
      <c r="B580" s="64"/>
      <c r="C580" s="64"/>
      <c r="D580" s="64"/>
      <c r="E580" s="70"/>
      <c r="F580" s="70"/>
      <c r="G580" s="64"/>
      <c r="H580" s="64"/>
      <c r="I580" s="64"/>
      <c r="J580" s="64"/>
      <c r="K580" s="64"/>
      <c r="L580" s="64"/>
      <c r="M580" s="64"/>
      <c r="N580" s="64"/>
      <c r="O580" s="64"/>
      <c r="P580" s="64"/>
      <c r="Q580" s="64"/>
      <c r="R580" s="64"/>
      <c r="S580" s="64"/>
      <c r="T580" s="64"/>
      <c r="U580" s="64"/>
      <c r="V580" s="64"/>
      <c r="W580" s="64"/>
      <c r="X580" s="64"/>
      <c r="Y580" s="64"/>
      <c r="Z580" s="64"/>
      <c r="AA580" s="64"/>
      <c r="AB580" s="64"/>
      <c r="AC580" s="64"/>
      <c r="AD580" s="64"/>
      <c r="AE580" s="64"/>
      <c r="AF580" s="64"/>
      <c r="AG580" s="64"/>
    </row>
    <row r="581" spans="1:33">
      <c r="A581" s="64"/>
      <c r="B581" s="64"/>
      <c r="C581" s="64"/>
      <c r="D581" s="64"/>
      <c r="E581" s="70"/>
      <c r="F581" s="70"/>
      <c r="G581" s="64"/>
      <c r="H581" s="64"/>
      <c r="I581" s="64"/>
      <c r="J581" s="64"/>
      <c r="K581" s="64"/>
      <c r="L581" s="64"/>
      <c r="M581" s="64"/>
      <c r="N581" s="64"/>
      <c r="O581" s="64"/>
      <c r="P581" s="64"/>
      <c r="Q581" s="64"/>
      <c r="R581" s="64"/>
      <c r="S581" s="64"/>
      <c r="T581" s="64"/>
      <c r="U581" s="64"/>
      <c r="V581" s="64"/>
      <c r="W581" s="64"/>
      <c r="X581" s="64"/>
      <c r="Y581" s="64"/>
      <c r="Z581" s="64"/>
      <c r="AA581" s="64"/>
      <c r="AB581" s="64"/>
      <c r="AC581" s="64"/>
      <c r="AD581" s="64"/>
      <c r="AE581" s="64"/>
      <c r="AF581" s="64"/>
      <c r="AG581" s="64"/>
    </row>
    <row r="582" spans="1:33">
      <c r="A582" s="64"/>
      <c r="B582" s="64"/>
      <c r="C582" s="64"/>
      <c r="D582" s="64"/>
      <c r="E582" s="70"/>
      <c r="F582" s="70"/>
      <c r="G582" s="64"/>
      <c r="H582" s="64"/>
      <c r="I582" s="64"/>
      <c r="J582" s="64"/>
      <c r="K582" s="64"/>
      <c r="L582" s="64"/>
      <c r="M582" s="64"/>
      <c r="N582" s="64"/>
      <c r="O582" s="64"/>
      <c r="P582" s="64"/>
      <c r="Q582" s="64"/>
      <c r="R582" s="64"/>
      <c r="S582" s="64"/>
      <c r="T582" s="64"/>
      <c r="U582" s="64"/>
      <c r="V582" s="64"/>
      <c r="W582" s="64"/>
      <c r="X582" s="64"/>
      <c r="Y582" s="64"/>
      <c r="Z582" s="64"/>
      <c r="AA582" s="64"/>
      <c r="AB582" s="64"/>
      <c r="AC582" s="64"/>
      <c r="AD582" s="64"/>
      <c r="AE582" s="64"/>
      <c r="AF582" s="64"/>
      <c r="AG582" s="64"/>
    </row>
    <row r="583" spans="1:33">
      <c r="A583" s="64"/>
      <c r="B583" s="64"/>
      <c r="C583" s="64"/>
      <c r="D583" s="64"/>
      <c r="E583" s="70"/>
      <c r="F583" s="70"/>
      <c r="G583" s="64"/>
      <c r="H583" s="64"/>
      <c r="I583" s="64"/>
      <c r="J583" s="64"/>
      <c r="K583" s="64"/>
      <c r="L583" s="64"/>
      <c r="M583" s="64"/>
      <c r="N583" s="64"/>
      <c r="O583" s="64"/>
      <c r="P583" s="64"/>
      <c r="Q583" s="64"/>
      <c r="R583" s="64"/>
      <c r="S583" s="64"/>
      <c r="T583" s="64"/>
      <c r="U583" s="64"/>
      <c r="V583" s="64"/>
      <c r="W583" s="64"/>
      <c r="X583" s="64"/>
      <c r="Y583" s="64"/>
      <c r="Z583" s="64"/>
      <c r="AA583" s="64"/>
      <c r="AB583" s="64"/>
      <c r="AC583" s="64"/>
      <c r="AD583" s="64"/>
      <c r="AE583" s="64"/>
      <c r="AF583" s="64"/>
      <c r="AG583" s="64"/>
    </row>
    <row r="584" spans="1:33">
      <c r="A584" s="64"/>
      <c r="B584" s="64"/>
      <c r="C584" s="64"/>
      <c r="D584" s="64"/>
      <c r="E584" s="70"/>
      <c r="F584" s="70"/>
      <c r="G584" s="64"/>
      <c r="H584" s="64"/>
      <c r="I584" s="64"/>
      <c r="J584" s="64"/>
      <c r="K584" s="64"/>
      <c r="L584" s="64"/>
      <c r="M584" s="64"/>
      <c r="N584" s="64"/>
      <c r="O584" s="64"/>
      <c r="P584" s="64"/>
      <c r="Q584" s="64"/>
      <c r="R584" s="64"/>
      <c r="S584" s="64"/>
      <c r="T584" s="64"/>
      <c r="U584" s="64"/>
      <c r="V584" s="64"/>
      <c r="W584" s="64"/>
      <c r="X584" s="64"/>
      <c r="Y584" s="64"/>
      <c r="Z584" s="64"/>
      <c r="AA584" s="64"/>
      <c r="AB584" s="64"/>
      <c r="AC584" s="64"/>
      <c r="AD584" s="64"/>
      <c r="AE584" s="64"/>
      <c r="AF584" s="64"/>
      <c r="AG584" s="64"/>
    </row>
    <row r="585" spans="1:33">
      <c r="A585" s="64"/>
      <c r="B585" s="64"/>
      <c r="C585" s="64"/>
      <c r="D585" s="64"/>
      <c r="E585" s="70"/>
      <c r="F585" s="70"/>
      <c r="G585" s="64"/>
      <c r="H585" s="64"/>
      <c r="I585" s="64"/>
      <c r="J585" s="64"/>
      <c r="K585" s="64"/>
      <c r="L585" s="64"/>
      <c r="M585" s="64"/>
      <c r="N585" s="64"/>
      <c r="O585" s="64"/>
      <c r="P585" s="64"/>
      <c r="Q585" s="64"/>
      <c r="R585" s="64"/>
      <c r="S585" s="64"/>
      <c r="T585" s="64"/>
      <c r="U585" s="64"/>
      <c r="V585" s="64"/>
      <c r="W585" s="64"/>
      <c r="X585" s="64"/>
      <c r="Y585" s="64"/>
      <c r="Z585" s="64"/>
      <c r="AA585" s="64"/>
      <c r="AB585" s="64"/>
      <c r="AC585" s="64"/>
      <c r="AD585" s="64"/>
      <c r="AE585" s="64"/>
      <c r="AF585" s="64"/>
      <c r="AG585" s="64"/>
    </row>
    <row r="586" spans="1:33">
      <c r="A586" s="64"/>
      <c r="B586" s="64"/>
      <c r="C586" s="64"/>
      <c r="D586" s="64"/>
      <c r="E586" s="70"/>
      <c r="F586" s="70"/>
      <c r="G586" s="64"/>
      <c r="H586" s="64"/>
      <c r="I586" s="64"/>
      <c r="J586" s="64"/>
      <c r="K586" s="64"/>
      <c r="L586" s="64"/>
      <c r="M586" s="64"/>
      <c r="N586" s="64"/>
      <c r="O586" s="64"/>
      <c r="P586" s="64"/>
      <c r="Q586" s="64"/>
      <c r="R586" s="64"/>
      <c r="S586" s="64"/>
      <c r="T586" s="64"/>
      <c r="U586" s="64"/>
      <c r="V586" s="64"/>
      <c r="W586" s="64"/>
      <c r="X586" s="64"/>
      <c r="Y586" s="64"/>
      <c r="Z586" s="64"/>
      <c r="AA586" s="64"/>
      <c r="AB586" s="64"/>
      <c r="AC586" s="64"/>
      <c r="AD586" s="64"/>
      <c r="AE586" s="64"/>
      <c r="AF586" s="64"/>
      <c r="AG586" s="64"/>
    </row>
    <row r="587" spans="1:33">
      <c r="A587" s="64"/>
      <c r="B587" s="64"/>
      <c r="C587" s="64"/>
      <c r="D587" s="64"/>
      <c r="E587" s="70"/>
      <c r="F587" s="70"/>
      <c r="G587" s="64"/>
      <c r="H587" s="64"/>
      <c r="I587" s="64"/>
      <c r="J587" s="64"/>
      <c r="K587" s="64"/>
      <c r="L587" s="64"/>
      <c r="M587" s="64"/>
      <c r="N587" s="64"/>
      <c r="O587" s="64"/>
      <c r="P587" s="64"/>
      <c r="Q587" s="64"/>
      <c r="R587" s="64"/>
      <c r="S587" s="64"/>
      <c r="T587" s="64"/>
      <c r="U587" s="64"/>
      <c r="V587" s="64"/>
      <c r="W587" s="64"/>
      <c r="X587" s="64"/>
      <c r="Y587" s="64"/>
      <c r="Z587" s="64"/>
      <c r="AA587" s="64"/>
      <c r="AB587" s="64"/>
      <c r="AC587" s="64"/>
      <c r="AD587" s="64"/>
      <c r="AE587" s="64"/>
      <c r="AF587" s="64"/>
      <c r="AG587" s="64"/>
    </row>
    <row r="588" spans="1:33">
      <c r="A588" s="64"/>
      <c r="B588" s="64"/>
      <c r="C588" s="64"/>
      <c r="D588" s="64"/>
      <c r="E588" s="70"/>
      <c r="F588" s="70"/>
      <c r="G588" s="64"/>
      <c r="H588" s="64"/>
      <c r="I588" s="64"/>
      <c r="J588" s="64"/>
      <c r="K588" s="64"/>
      <c r="L588" s="64"/>
      <c r="M588" s="64"/>
      <c r="N588" s="64"/>
      <c r="O588" s="64"/>
      <c r="P588" s="64"/>
      <c r="Q588" s="64"/>
      <c r="R588" s="64"/>
      <c r="S588" s="64"/>
      <c r="T588" s="64"/>
      <c r="U588" s="64"/>
      <c r="V588" s="64"/>
      <c r="W588" s="64"/>
      <c r="X588" s="64"/>
      <c r="Y588" s="64"/>
      <c r="Z588" s="64"/>
      <c r="AA588" s="64"/>
      <c r="AB588" s="64"/>
      <c r="AC588" s="64"/>
      <c r="AD588" s="64"/>
      <c r="AE588" s="64"/>
      <c r="AF588" s="64"/>
      <c r="AG588" s="64"/>
    </row>
    <row r="589" spans="1:33">
      <c r="A589" s="64"/>
      <c r="B589" s="64"/>
      <c r="C589" s="64"/>
      <c r="D589" s="64"/>
      <c r="E589" s="70"/>
      <c r="F589" s="70"/>
      <c r="G589" s="64"/>
      <c r="H589" s="64"/>
      <c r="I589" s="64"/>
      <c r="J589" s="64"/>
      <c r="K589" s="64"/>
      <c r="L589" s="64"/>
      <c r="M589" s="64"/>
      <c r="N589" s="64"/>
      <c r="O589" s="64"/>
      <c r="P589" s="64"/>
      <c r="Q589" s="64"/>
      <c r="R589" s="64"/>
      <c r="S589" s="64"/>
      <c r="T589" s="64"/>
      <c r="U589" s="64"/>
      <c r="V589" s="64"/>
      <c r="W589" s="64"/>
      <c r="X589" s="64"/>
      <c r="Y589" s="64"/>
      <c r="Z589" s="64"/>
      <c r="AA589" s="64"/>
      <c r="AB589" s="64"/>
      <c r="AC589" s="64"/>
      <c r="AD589" s="64"/>
      <c r="AE589" s="64"/>
      <c r="AF589" s="64"/>
      <c r="AG589" s="64"/>
    </row>
    <row r="590" spans="1:33">
      <c r="A590" s="64"/>
      <c r="B590" s="64"/>
      <c r="C590" s="64"/>
      <c r="D590" s="64"/>
      <c r="E590" s="70"/>
      <c r="F590" s="70"/>
      <c r="G590" s="64"/>
      <c r="H590" s="64"/>
      <c r="I590" s="64"/>
      <c r="J590" s="64"/>
      <c r="K590" s="64"/>
      <c r="L590" s="64"/>
      <c r="M590" s="64"/>
      <c r="N590" s="64"/>
      <c r="O590" s="64"/>
      <c r="P590" s="64"/>
      <c r="Q590" s="64"/>
      <c r="R590" s="64"/>
      <c r="S590" s="64"/>
      <c r="T590" s="64"/>
      <c r="U590" s="64"/>
      <c r="V590" s="64"/>
      <c r="W590" s="64"/>
      <c r="X590" s="64"/>
      <c r="Y590" s="64"/>
      <c r="Z590" s="64"/>
      <c r="AA590" s="64"/>
      <c r="AB590" s="64"/>
      <c r="AC590" s="64"/>
      <c r="AD590" s="64"/>
      <c r="AE590" s="64"/>
      <c r="AF590" s="64"/>
      <c r="AG590" s="64"/>
    </row>
    <row r="591" spans="1:33">
      <c r="A591" s="64"/>
      <c r="B591" s="64"/>
      <c r="C591" s="64"/>
      <c r="D591" s="64"/>
      <c r="E591" s="70"/>
      <c r="F591" s="70"/>
      <c r="G591" s="64"/>
      <c r="H591" s="64"/>
      <c r="I591" s="64"/>
      <c r="J591" s="64"/>
      <c r="K591" s="64"/>
      <c r="L591" s="64"/>
      <c r="M591" s="64"/>
      <c r="N591" s="64"/>
      <c r="O591" s="64"/>
      <c r="P591" s="64"/>
      <c r="Q591" s="64"/>
      <c r="R591" s="64"/>
      <c r="S591" s="64"/>
      <c r="T591" s="64"/>
      <c r="U591" s="64"/>
      <c r="V591" s="64"/>
      <c r="W591" s="64"/>
      <c r="X591" s="64"/>
      <c r="Y591" s="64"/>
      <c r="Z591" s="64"/>
      <c r="AA591" s="64"/>
      <c r="AB591" s="64"/>
      <c r="AC591" s="64"/>
      <c r="AD591" s="64"/>
      <c r="AE591" s="64"/>
      <c r="AF591" s="64"/>
      <c r="AG591" s="64"/>
    </row>
    <row r="592" spans="1:33">
      <c r="A592" s="64"/>
      <c r="B592" s="64"/>
      <c r="C592" s="64"/>
      <c r="D592" s="64"/>
      <c r="E592" s="70"/>
      <c r="F592" s="70"/>
      <c r="G592" s="64"/>
      <c r="H592" s="64"/>
      <c r="I592" s="64"/>
      <c r="J592" s="64"/>
      <c r="K592" s="64"/>
      <c r="L592" s="64"/>
      <c r="M592" s="64"/>
      <c r="N592" s="64"/>
      <c r="O592" s="64"/>
      <c r="P592" s="64"/>
      <c r="Q592" s="64"/>
      <c r="R592" s="64"/>
      <c r="S592" s="64"/>
      <c r="T592" s="64"/>
      <c r="U592" s="64"/>
      <c r="V592" s="64"/>
      <c r="W592" s="64"/>
      <c r="X592" s="64"/>
      <c r="Y592" s="64"/>
      <c r="Z592" s="64"/>
      <c r="AA592" s="64"/>
      <c r="AB592" s="64"/>
      <c r="AC592" s="64"/>
      <c r="AD592" s="64"/>
      <c r="AE592" s="64"/>
      <c r="AF592" s="64"/>
      <c r="AG592" s="64"/>
    </row>
    <row r="593" spans="1:33">
      <c r="A593" s="64"/>
      <c r="B593" s="64"/>
      <c r="C593" s="64"/>
      <c r="D593" s="64"/>
      <c r="E593" s="70"/>
      <c r="F593" s="70"/>
      <c r="G593" s="64"/>
      <c r="H593" s="64"/>
      <c r="I593" s="64"/>
      <c r="J593" s="64"/>
      <c r="K593" s="64"/>
      <c r="L593" s="64"/>
      <c r="M593" s="64"/>
      <c r="N593" s="64"/>
      <c r="O593" s="64"/>
      <c r="P593" s="64"/>
      <c r="Q593" s="64"/>
      <c r="R593" s="64"/>
      <c r="S593" s="64"/>
      <c r="T593" s="64"/>
      <c r="U593" s="64"/>
      <c r="V593" s="64"/>
      <c r="W593" s="64"/>
      <c r="X593" s="64"/>
      <c r="Y593" s="64"/>
      <c r="Z593" s="64"/>
      <c r="AA593" s="64"/>
      <c r="AB593" s="64"/>
      <c r="AC593" s="64"/>
      <c r="AD593" s="64"/>
      <c r="AE593" s="64"/>
      <c r="AF593" s="64"/>
      <c r="AG593" s="64"/>
    </row>
    <row r="594" spans="1:33">
      <c r="A594" s="64"/>
      <c r="B594" s="64"/>
      <c r="C594" s="64"/>
      <c r="D594" s="64"/>
      <c r="E594" s="70"/>
      <c r="F594" s="70"/>
      <c r="G594" s="64"/>
      <c r="H594" s="64"/>
      <c r="I594" s="64"/>
      <c r="J594" s="64"/>
      <c r="K594" s="64"/>
      <c r="L594" s="64"/>
      <c r="M594" s="64"/>
      <c r="N594" s="64"/>
      <c r="O594" s="64"/>
      <c r="P594" s="64"/>
      <c r="Q594" s="64"/>
      <c r="R594" s="64"/>
      <c r="S594" s="64"/>
      <c r="T594" s="64"/>
      <c r="U594" s="64"/>
      <c r="V594" s="64"/>
      <c r="W594" s="64"/>
      <c r="X594" s="64"/>
      <c r="Y594" s="64"/>
      <c r="Z594" s="64"/>
      <c r="AA594" s="64"/>
      <c r="AB594" s="64"/>
      <c r="AC594" s="64"/>
      <c r="AD594" s="64"/>
      <c r="AE594" s="64"/>
      <c r="AF594" s="64"/>
      <c r="AG594" s="64"/>
    </row>
    <row r="595" spans="1:33">
      <c r="A595" s="64"/>
      <c r="B595" s="64"/>
      <c r="C595" s="64"/>
      <c r="D595" s="64"/>
      <c r="E595" s="70"/>
      <c r="F595" s="70"/>
      <c r="G595" s="64"/>
      <c r="H595" s="64"/>
      <c r="I595" s="64"/>
      <c r="J595" s="64"/>
      <c r="K595" s="64"/>
      <c r="L595" s="64"/>
      <c r="M595" s="64"/>
      <c r="N595" s="64"/>
      <c r="O595" s="64"/>
      <c r="P595" s="64"/>
      <c r="Q595" s="64"/>
      <c r="R595" s="64"/>
      <c r="S595" s="64"/>
      <c r="T595" s="64"/>
      <c r="U595" s="64"/>
      <c r="V595" s="64"/>
      <c r="W595" s="64"/>
      <c r="X595" s="64"/>
      <c r="Y595" s="64"/>
      <c r="Z595" s="64"/>
      <c r="AA595" s="64"/>
      <c r="AB595" s="64"/>
      <c r="AC595" s="64"/>
      <c r="AD595" s="64"/>
      <c r="AE595" s="64"/>
      <c r="AF595" s="64"/>
      <c r="AG595" s="64"/>
    </row>
    <row r="596" spans="1:33">
      <c r="A596" s="64"/>
      <c r="B596" s="64"/>
      <c r="C596" s="64"/>
      <c r="D596" s="64"/>
      <c r="E596" s="70"/>
      <c r="F596" s="70"/>
      <c r="G596" s="64"/>
      <c r="H596" s="64"/>
      <c r="I596" s="64"/>
      <c r="J596" s="64"/>
      <c r="K596" s="64"/>
      <c r="L596" s="64"/>
      <c r="M596" s="64"/>
      <c r="N596" s="64"/>
      <c r="O596" s="64"/>
      <c r="P596" s="64"/>
      <c r="Q596" s="64"/>
      <c r="R596" s="64"/>
      <c r="S596" s="64"/>
      <c r="T596" s="64"/>
      <c r="U596" s="64"/>
      <c r="V596" s="64"/>
      <c r="W596" s="64"/>
      <c r="X596" s="64"/>
      <c r="Y596" s="64"/>
      <c r="Z596" s="64"/>
      <c r="AA596" s="64"/>
      <c r="AB596" s="64"/>
      <c r="AC596" s="64"/>
      <c r="AD596" s="64"/>
      <c r="AE596" s="64"/>
      <c r="AF596" s="64"/>
      <c r="AG596" s="64"/>
    </row>
    <row r="597" spans="1:33">
      <c r="A597" s="64"/>
      <c r="B597" s="64"/>
      <c r="C597" s="64"/>
      <c r="D597" s="64"/>
      <c r="E597" s="70"/>
      <c r="F597" s="70"/>
      <c r="G597" s="64"/>
      <c r="H597" s="64"/>
      <c r="I597" s="64"/>
      <c r="J597" s="64"/>
      <c r="K597" s="64"/>
      <c r="L597" s="64"/>
      <c r="M597" s="64"/>
      <c r="N597" s="64"/>
      <c r="O597" s="64"/>
      <c r="P597" s="64"/>
      <c r="Q597" s="64"/>
      <c r="R597" s="64"/>
      <c r="S597" s="64"/>
      <c r="T597" s="64"/>
      <c r="U597" s="64"/>
      <c r="V597" s="64"/>
      <c r="W597" s="64"/>
      <c r="X597" s="64"/>
      <c r="Y597" s="64"/>
      <c r="Z597" s="64"/>
      <c r="AA597" s="64"/>
      <c r="AB597" s="64"/>
      <c r="AC597" s="64"/>
      <c r="AD597" s="64"/>
      <c r="AE597" s="64"/>
      <c r="AF597" s="64"/>
      <c r="AG597" s="64"/>
    </row>
    <row r="598" spans="1:33">
      <c r="A598" s="64"/>
      <c r="B598" s="64"/>
      <c r="C598" s="64"/>
      <c r="D598" s="64"/>
      <c r="E598" s="70"/>
      <c r="F598" s="70"/>
      <c r="G598" s="64"/>
      <c r="H598" s="64"/>
      <c r="I598" s="64"/>
      <c r="J598" s="64"/>
      <c r="K598" s="64"/>
      <c r="L598" s="64"/>
      <c r="M598" s="64"/>
      <c r="N598" s="64"/>
      <c r="O598" s="64"/>
      <c r="P598" s="64"/>
      <c r="Q598" s="64"/>
      <c r="R598" s="64"/>
      <c r="S598" s="64"/>
      <c r="T598" s="64"/>
      <c r="U598" s="64"/>
      <c r="V598" s="64"/>
      <c r="W598" s="64"/>
      <c r="X598" s="64"/>
      <c r="Y598" s="64"/>
      <c r="Z598" s="64"/>
      <c r="AA598" s="64"/>
      <c r="AB598" s="64"/>
      <c r="AC598" s="64"/>
      <c r="AD598" s="64"/>
      <c r="AE598" s="64"/>
      <c r="AF598" s="64"/>
      <c r="AG598" s="64"/>
    </row>
    <row r="599" spans="1:33">
      <c r="A599" s="64"/>
      <c r="B599" s="64"/>
      <c r="C599" s="64"/>
      <c r="D599" s="64"/>
      <c r="E599" s="70"/>
      <c r="F599" s="70"/>
      <c r="G599" s="64"/>
      <c r="H599" s="64"/>
      <c r="I599" s="64"/>
      <c r="J599" s="64"/>
      <c r="K599" s="64"/>
      <c r="L599" s="64"/>
      <c r="M599" s="64"/>
      <c r="N599" s="64"/>
      <c r="O599" s="64"/>
      <c r="P599" s="64"/>
      <c r="Q599" s="64"/>
      <c r="R599" s="64"/>
      <c r="S599" s="64"/>
      <c r="T599" s="64"/>
      <c r="U599" s="64"/>
      <c r="V599" s="64"/>
      <c r="W599" s="64"/>
      <c r="X599" s="64"/>
      <c r="Y599" s="64"/>
      <c r="Z599" s="64"/>
      <c r="AA599" s="64"/>
      <c r="AB599" s="64"/>
      <c r="AC599" s="64"/>
      <c r="AD599" s="64"/>
      <c r="AE599" s="64"/>
      <c r="AF599" s="64"/>
      <c r="AG599" s="64"/>
    </row>
    <row r="600" spans="1:33">
      <c r="A600" s="64"/>
      <c r="B600" s="64"/>
      <c r="C600" s="64"/>
      <c r="D600" s="64"/>
      <c r="E600" s="70"/>
      <c r="F600" s="70"/>
      <c r="G600" s="64"/>
      <c r="H600" s="64"/>
      <c r="I600" s="64"/>
      <c r="J600" s="64"/>
      <c r="K600" s="64"/>
      <c r="L600" s="64"/>
      <c r="M600" s="64"/>
      <c r="N600" s="64"/>
      <c r="O600" s="64"/>
      <c r="P600" s="64"/>
      <c r="Q600" s="64"/>
      <c r="R600" s="64"/>
      <c r="S600" s="64"/>
      <c r="T600" s="64"/>
      <c r="U600" s="64"/>
      <c r="V600" s="64"/>
      <c r="W600" s="64"/>
      <c r="X600" s="64"/>
      <c r="Y600" s="64"/>
      <c r="Z600" s="64"/>
      <c r="AA600" s="64"/>
      <c r="AB600" s="64"/>
      <c r="AC600" s="64"/>
      <c r="AD600" s="64"/>
      <c r="AE600" s="64"/>
      <c r="AF600" s="64"/>
      <c r="AG600" s="64"/>
    </row>
    <row r="601" spans="1:33">
      <c r="A601" s="64"/>
      <c r="B601" s="64"/>
      <c r="C601" s="64"/>
      <c r="D601" s="64"/>
      <c r="E601" s="70"/>
      <c r="F601" s="70"/>
      <c r="G601" s="64"/>
      <c r="H601" s="64"/>
      <c r="I601" s="64"/>
      <c r="J601" s="64"/>
      <c r="K601" s="64"/>
      <c r="L601" s="64"/>
      <c r="M601" s="64"/>
      <c r="N601" s="64"/>
      <c r="O601" s="64"/>
      <c r="P601" s="64"/>
      <c r="Q601" s="64"/>
      <c r="R601" s="64"/>
      <c r="S601" s="64"/>
      <c r="T601" s="64"/>
      <c r="U601" s="64"/>
      <c r="V601" s="64"/>
      <c r="W601" s="64"/>
      <c r="X601" s="64"/>
      <c r="Y601" s="64"/>
      <c r="Z601" s="64"/>
      <c r="AA601" s="64"/>
      <c r="AB601" s="64"/>
      <c r="AC601" s="64"/>
      <c r="AD601" s="64"/>
      <c r="AE601" s="64"/>
      <c r="AF601" s="64"/>
      <c r="AG601" s="64"/>
    </row>
    <row r="602" spans="1:33">
      <c r="A602" s="64"/>
      <c r="B602" s="64"/>
      <c r="C602" s="64"/>
      <c r="D602" s="64"/>
      <c r="E602" s="70"/>
      <c r="F602" s="70"/>
      <c r="G602" s="64"/>
      <c r="H602" s="64"/>
      <c r="I602" s="64"/>
      <c r="J602" s="64"/>
      <c r="K602" s="64"/>
      <c r="L602" s="64"/>
      <c r="M602" s="64"/>
      <c r="N602" s="64"/>
      <c r="O602" s="64"/>
      <c r="P602" s="64"/>
      <c r="Q602" s="64"/>
      <c r="R602" s="64"/>
      <c r="S602" s="64"/>
      <c r="T602" s="64"/>
      <c r="U602" s="64"/>
      <c r="V602" s="64"/>
      <c r="W602" s="64"/>
      <c r="X602" s="64"/>
      <c r="Y602" s="64"/>
      <c r="Z602" s="64"/>
      <c r="AA602" s="64"/>
      <c r="AB602" s="64"/>
      <c r="AC602" s="64"/>
      <c r="AD602" s="64"/>
      <c r="AE602" s="64"/>
      <c r="AF602" s="64"/>
      <c r="AG602" s="64"/>
    </row>
    <row r="603" spans="1:33">
      <c r="A603" s="64"/>
      <c r="B603" s="64"/>
      <c r="C603" s="64"/>
      <c r="D603" s="64"/>
      <c r="E603" s="70"/>
      <c r="F603" s="70"/>
      <c r="G603" s="64"/>
      <c r="H603" s="64"/>
      <c r="I603" s="64"/>
      <c r="J603" s="64"/>
      <c r="K603" s="64"/>
      <c r="L603" s="64"/>
      <c r="M603" s="64"/>
      <c r="N603" s="64"/>
      <c r="O603" s="64"/>
      <c r="P603" s="64"/>
      <c r="Q603" s="64"/>
      <c r="R603" s="64"/>
      <c r="S603" s="64"/>
      <c r="T603" s="64"/>
      <c r="U603" s="64"/>
      <c r="V603" s="64"/>
      <c r="W603" s="64"/>
      <c r="X603" s="64"/>
      <c r="Y603" s="64"/>
      <c r="Z603" s="64"/>
      <c r="AA603" s="64"/>
      <c r="AB603" s="64"/>
      <c r="AC603" s="64"/>
      <c r="AD603" s="64"/>
      <c r="AE603" s="64"/>
      <c r="AF603" s="64"/>
      <c r="AG603" s="64"/>
    </row>
    <row r="604" spans="1:33">
      <c r="A604" s="64"/>
      <c r="B604" s="64"/>
      <c r="C604" s="64"/>
      <c r="D604" s="64"/>
      <c r="E604" s="70"/>
      <c r="F604" s="70"/>
      <c r="G604" s="64"/>
      <c r="H604" s="64"/>
      <c r="I604" s="64"/>
      <c r="J604" s="64"/>
      <c r="K604" s="64"/>
      <c r="L604" s="64"/>
      <c r="M604" s="64"/>
      <c r="N604" s="64"/>
      <c r="O604" s="64"/>
      <c r="P604" s="64"/>
      <c r="Q604" s="64"/>
      <c r="R604" s="64"/>
      <c r="S604" s="64"/>
      <c r="T604" s="64"/>
      <c r="U604" s="64"/>
      <c r="V604" s="64"/>
      <c r="W604" s="64"/>
      <c r="X604" s="64"/>
      <c r="Y604" s="64"/>
      <c r="Z604" s="64"/>
      <c r="AA604" s="64"/>
      <c r="AB604" s="64"/>
      <c r="AC604" s="64"/>
      <c r="AD604" s="64"/>
      <c r="AE604" s="64"/>
      <c r="AF604" s="64"/>
      <c r="AG604" s="64"/>
    </row>
    <row r="605" spans="1:33">
      <c r="A605" s="64"/>
      <c r="B605" s="64"/>
      <c r="C605" s="64"/>
      <c r="D605" s="64"/>
      <c r="E605" s="70"/>
      <c r="F605" s="70"/>
      <c r="G605" s="64"/>
      <c r="H605" s="64"/>
      <c r="I605" s="64"/>
      <c r="J605" s="64"/>
      <c r="K605" s="64"/>
      <c r="L605" s="64"/>
      <c r="M605" s="64"/>
      <c r="N605" s="64"/>
      <c r="O605" s="64"/>
      <c r="P605" s="64"/>
      <c r="Q605" s="64"/>
      <c r="R605" s="64"/>
      <c r="S605" s="64"/>
      <c r="T605" s="64"/>
      <c r="U605" s="64"/>
      <c r="V605" s="64"/>
      <c r="W605" s="64"/>
      <c r="X605" s="64"/>
      <c r="Y605" s="64"/>
      <c r="Z605" s="64"/>
      <c r="AA605" s="64"/>
      <c r="AB605" s="64"/>
      <c r="AC605" s="64"/>
      <c r="AD605" s="64"/>
      <c r="AE605" s="64"/>
      <c r="AF605" s="64"/>
      <c r="AG605" s="64"/>
    </row>
    <row r="606" spans="1:33">
      <c r="A606" s="64"/>
      <c r="B606" s="64"/>
      <c r="C606" s="64"/>
      <c r="D606" s="64"/>
      <c r="E606" s="70"/>
      <c r="F606" s="70"/>
      <c r="G606" s="64"/>
      <c r="H606" s="64"/>
      <c r="I606" s="64"/>
      <c r="J606" s="64"/>
      <c r="K606" s="64"/>
      <c r="L606" s="64"/>
      <c r="M606" s="64"/>
      <c r="N606" s="64"/>
      <c r="O606" s="64"/>
      <c r="P606" s="64"/>
      <c r="Q606" s="64"/>
      <c r="R606" s="64"/>
      <c r="S606" s="64"/>
      <c r="T606" s="64"/>
      <c r="U606" s="64"/>
      <c r="V606" s="64"/>
      <c r="W606" s="64"/>
      <c r="X606" s="64"/>
      <c r="Y606" s="64"/>
      <c r="Z606" s="64"/>
      <c r="AA606" s="64"/>
      <c r="AB606" s="64"/>
      <c r="AC606" s="64"/>
      <c r="AD606" s="64"/>
      <c r="AE606" s="64"/>
      <c r="AF606" s="64"/>
      <c r="AG606" s="64"/>
    </row>
    <row r="607" spans="1:33">
      <c r="A607" s="64"/>
      <c r="B607" s="64"/>
      <c r="C607" s="64"/>
      <c r="D607" s="64"/>
      <c r="E607" s="70"/>
      <c r="F607" s="70"/>
      <c r="G607" s="64"/>
      <c r="H607" s="64"/>
      <c r="I607" s="64"/>
      <c r="J607" s="64"/>
      <c r="K607" s="64"/>
      <c r="L607" s="64"/>
      <c r="M607" s="64"/>
      <c r="N607" s="64"/>
      <c r="O607" s="64"/>
      <c r="P607" s="64"/>
      <c r="Q607" s="64"/>
      <c r="R607" s="64"/>
      <c r="S607" s="64"/>
      <c r="T607" s="64"/>
      <c r="U607" s="64"/>
      <c r="V607" s="64"/>
      <c r="W607" s="64"/>
      <c r="X607" s="64"/>
      <c r="Y607" s="64"/>
      <c r="Z607" s="64"/>
      <c r="AA607" s="64"/>
      <c r="AB607" s="64"/>
      <c r="AC607" s="64"/>
      <c r="AD607" s="64"/>
      <c r="AE607" s="64"/>
      <c r="AF607" s="64"/>
      <c r="AG607" s="64"/>
    </row>
    <row r="608" spans="1:33">
      <c r="A608" s="64"/>
      <c r="B608" s="64"/>
      <c r="C608" s="64"/>
      <c r="D608" s="64"/>
      <c r="E608" s="70"/>
      <c r="F608" s="70"/>
      <c r="G608" s="64"/>
      <c r="H608" s="64"/>
      <c r="I608" s="64"/>
      <c r="J608" s="64"/>
      <c r="K608" s="64"/>
      <c r="L608" s="64"/>
      <c r="M608" s="64"/>
      <c r="N608" s="64"/>
      <c r="O608" s="64"/>
      <c r="P608" s="64"/>
      <c r="Q608" s="64"/>
      <c r="R608" s="64"/>
      <c r="S608" s="64"/>
      <c r="T608" s="64"/>
      <c r="U608" s="64"/>
      <c r="V608" s="64"/>
      <c r="W608" s="64"/>
      <c r="X608" s="64"/>
      <c r="Y608" s="64"/>
      <c r="Z608" s="64"/>
      <c r="AA608" s="64"/>
      <c r="AB608" s="64"/>
      <c r="AC608" s="64"/>
      <c r="AD608" s="64"/>
      <c r="AE608" s="64"/>
      <c r="AF608" s="64"/>
      <c r="AG608" s="64"/>
    </row>
    <row r="609" spans="1:33">
      <c r="A609" s="64"/>
      <c r="B609" s="64"/>
      <c r="C609" s="64"/>
      <c r="D609" s="64"/>
      <c r="E609" s="70"/>
      <c r="F609" s="70"/>
      <c r="G609" s="64"/>
      <c r="H609" s="64"/>
      <c r="I609" s="64"/>
      <c r="J609" s="64"/>
      <c r="K609" s="64"/>
      <c r="L609" s="64"/>
      <c r="M609" s="64"/>
      <c r="N609" s="64"/>
      <c r="O609" s="64"/>
      <c r="P609" s="64"/>
      <c r="Q609" s="64"/>
      <c r="R609" s="64"/>
      <c r="S609" s="64"/>
      <c r="T609" s="64"/>
      <c r="U609" s="64"/>
      <c r="V609" s="64"/>
      <c r="W609" s="64"/>
      <c r="X609" s="64"/>
      <c r="Y609" s="64"/>
      <c r="Z609" s="64"/>
      <c r="AA609" s="64"/>
      <c r="AB609" s="64"/>
      <c r="AC609" s="64"/>
      <c r="AD609" s="64"/>
      <c r="AE609" s="64"/>
      <c r="AF609" s="64"/>
      <c r="AG609" s="64"/>
    </row>
    <row r="610" spans="1:33">
      <c r="A610" s="64"/>
      <c r="B610" s="64"/>
      <c r="C610" s="64"/>
      <c r="D610" s="64"/>
      <c r="E610" s="70"/>
      <c r="F610" s="70"/>
      <c r="G610" s="64"/>
      <c r="H610" s="64"/>
      <c r="I610" s="64"/>
      <c r="J610" s="64"/>
      <c r="K610" s="64"/>
      <c r="L610" s="64"/>
      <c r="M610" s="64"/>
      <c r="N610" s="64"/>
      <c r="O610" s="64"/>
      <c r="P610" s="64"/>
      <c r="Q610" s="64"/>
      <c r="R610" s="64"/>
      <c r="S610" s="64"/>
      <c r="T610" s="64"/>
      <c r="U610" s="64"/>
      <c r="V610" s="64"/>
      <c r="W610" s="64"/>
      <c r="X610" s="64"/>
      <c r="Y610" s="64"/>
      <c r="Z610" s="64"/>
      <c r="AA610" s="64"/>
      <c r="AB610" s="64"/>
      <c r="AC610" s="64"/>
      <c r="AD610" s="64"/>
      <c r="AE610" s="64"/>
      <c r="AF610" s="64"/>
      <c r="AG610" s="64"/>
    </row>
    <row r="611" spans="1:33">
      <c r="A611" s="64"/>
      <c r="B611" s="64"/>
      <c r="C611" s="64"/>
      <c r="D611" s="64"/>
      <c r="E611" s="70"/>
      <c r="F611" s="70"/>
      <c r="G611" s="64"/>
      <c r="H611" s="64"/>
      <c r="I611" s="64"/>
      <c r="J611" s="64"/>
      <c r="K611" s="64"/>
      <c r="L611" s="64"/>
      <c r="M611" s="64"/>
      <c r="N611" s="64"/>
      <c r="O611" s="64"/>
      <c r="P611" s="64"/>
      <c r="Q611" s="64"/>
      <c r="R611" s="64"/>
      <c r="S611" s="64"/>
      <c r="T611" s="64"/>
      <c r="U611" s="64"/>
      <c r="V611" s="64"/>
      <c r="W611" s="64"/>
      <c r="X611" s="64"/>
      <c r="Y611" s="64"/>
      <c r="Z611" s="64"/>
      <c r="AA611" s="64"/>
      <c r="AB611" s="64"/>
      <c r="AC611" s="64"/>
      <c r="AD611" s="64"/>
      <c r="AE611" s="64"/>
      <c r="AF611" s="64"/>
      <c r="AG611" s="64"/>
    </row>
    <row r="612" spans="1:33">
      <c r="A612" s="64"/>
      <c r="B612" s="64"/>
      <c r="C612" s="64"/>
      <c r="D612" s="64"/>
      <c r="E612" s="70"/>
      <c r="F612" s="70"/>
      <c r="G612" s="64"/>
      <c r="H612" s="64"/>
      <c r="I612" s="64"/>
      <c r="J612" s="64"/>
      <c r="K612" s="64"/>
      <c r="L612" s="64"/>
      <c r="M612" s="64"/>
      <c r="N612" s="64"/>
      <c r="O612" s="64"/>
      <c r="P612" s="64"/>
      <c r="Q612" s="64"/>
      <c r="R612" s="64"/>
      <c r="S612" s="64"/>
      <c r="T612" s="64"/>
      <c r="U612" s="64"/>
      <c r="V612" s="64"/>
      <c r="W612" s="64"/>
      <c r="X612" s="64"/>
      <c r="Y612" s="64"/>
      <c r="Z612" s="64"/>
      <c r="AA612" s="64"/>
      <c r="AB612" s="64"/>
      <c r="AC612" s="64"/>
      <c r="AD612" s="64"/>
      <c r="AE612" s="64"/>
      <c r="AF612" s="64"/>
      <c r="AG612" s="64"/>
    </row>
    <row r="613" spans="1:33">
      <c r="A613" s="64"/>
      <c r="B613" s="64"/>
      <c r="C613" s="64"/>
      <c r="D613" s="64"/>
      <c r="E613" s="70"/>
      <c r="F613" s="70"/>
      <c r="G613" s="64"/>
      <c r="H613" s="64"/>
      <c r="I613" s="64"/>
      <c r="J613" s="64"/>
      <c r="K613" s="64"/>
      <c r="L613" s="64"/>
      <c r="M613" s="64"/>
      <c r="N613" s="64"/>
      <c r="O613" s="64"/>
      <c r="P613" s="64"/>
      <c r="Q613" s="64"/>
      <c r="R613" s="64"/>
      <c r="S613" s="64"/>
      <c r="T613" s="64"/>
      <c r="U613" s="64"/>
      <c r="V613" s="64"/>
      <c r="W613" s="64"/>
      <c r="X613" s="64"/>
      <c r="Y613" s="64"/>
      <c r="Z613" s="64"/>
      <c r="AA613" s="64"/>
      <c r="AB613" s="64"/>
      <c r="AC613" s="64"/>
      <c r="AD613" s="64"/>
      <c r="AE613" s="64"/>
      <c r="AF613" s="64"/>
      <c r="AG613" s="64"/>
    </row>
    <row r="614" spans="1:33">
      <c r="A614" s="64"/>
      <c r="B614" s="64"/>
      <c r="C614" s="64"/>
      <c r="D614" s="64"/>
      <c r="E614" s="70"/>
      <c r="F614" s="70"/>
      <c r="G614" s="64"/>
      <c r="H614" s="64"/>
      <c r="I614" s="64"/>
      <c r="J614" s="64"/>
      <c r="K614" s="64"/>
      <c r="L614" s="64"/>
      <c r="M614" s="64"/>
      <c r="N614" s="64"/>
      <c r="O614" s="64"/>
      <c r="P614" s="64"/>
      <c r="Q614" s="64"/>
      <c r="R614" s="64"/>
      <c r="S614" s="64"/>
      <c r="T614" s="64"/>
      <c r="U614" s="64"/>
      <c r="V614" s="64"/>
      <c r="W614" s="64"/>
      <c r="X614" s="64"/>
      <c r="Y614" s="64"/>
      <c r="Z614" s="64"/>
      <c r="AA614" s="64"/>
      <c r="AB614" s="64"/>
      <c r="AC614" s="64"/>
      <c r="AD614" s="64"/>
      <c r="AE614" s="64"/>
      <c r="AF614" s="64"/>
      <c r="AG614" s="64"/>
    </row>
    <row r="615" spans="1:33">
      <c r="A615" s="64"/>
      <c r="B615" s="64"/>
      <c r="C615" s="64"/>
      <c r="D615" s="64"/>
      <c r="E615" s="70"/>
      <c r="F615" s="70"/>
      <c r="G615" s="64"/>
      <c r="H615" s="64"/>
      <c r="I615" s="64"/>
      <c r="J615" s="64"/>
      <c r="K615" s="64"/>
      <c r="L615" s="64"/>
      <c r="M615" s="64"/>
      <c r="N615" s="64"/>
      <c r="O615" s="64"/>
      <c r="P615" s="64"/>
      <c r="Q615" s="64"/>
      <c r="R615" s="64"/>
      <c r="S615" s="64"/>
      <c r="T615" s="64"/>
      <c r="U615" s="64"/>
      <c r="V615" s="64"/>
      <c r="W615" s="64"/>
      <c r="X615" s="64"/>
      <c r="Y615" s="64"/>
      <c r="Z615" s="64"/>
      <c r="AA615" s="64"/>
      <c r="AB615" s="64"/>
      <c r="AC615" s="64"/>
      <c r="AD615" s="64"/>
      <c r="AE615" s="64"/>
      <c r="AF615" s="64"/>
      <c r="AG615" s="64"/>
    </row>
    <row r="616" spans="1:33">
      <c r="A616" s="64"/>
      <c r="B616" s="64"/>
      <c r="C616" s="64"/>
      <c r="D616" s="64"/>
      <c r="E616" s="70"/>
      <c r="F616" s="70"/>
      <c r="G616" s="64"/>
      <c r="H616" s="64"/>
      <c r="I616" s="64"/>
      <c r="J616" s="64"/>
      <c r="K616" s="64"/>
      <c r="L616" s="64"/>
      <c r="M616" s="64"/>
      <c r="N616" s="64"/>
      <c r="O616" s="64"/>
      <c r="P616" s="64"/>
      <c r="Q616" s="64"/>
      <c r="R616" s="64"/>
      <c r="S616" s="64"/>
      <c r="T616" s="64"/>
      <c r="U616" s="64"/>
      <c r="V616" s="64"/>
      <c r="W616" s="64"/>
      <c r="X616" s="64"/>
      <c r="Y616" s="64"/>
      <c r="Z616" s="64"/>
      <c r="AA616" s="64"/>
      <c r="AB616" s="64"/>
      <c r="AC616" s="64"/>
      <c r="AD616" s="64"/>
      <c r="AE616" s="64"/>
      <c r="AF616" s="64"/>
      <c r="AG616" s="64"/>
    </row>
    <row r="617" spans="1:33">
      <c r="A617" s="64"/>
      <c r="B617" s="64"/>
      <c r="C617" s="64"/>
      <c r="D617" s="64"/>
      <c r="E617" s="70"/>
      <c r="F617" s="70"/>
      <c r="G617" s="64"/>
      <c r="H617" s="64"/>
      <c r="I617" s="64"/>
      <c r="J617" s="64"/>
      <c r="K617" s="64"/>
      <c r="L617" s="64"/>
      <c r="M617" s="64"/>
      <c r="N617" s="64"/>
      <c r="O617" s="64"/>
      <c r="P617" s="64"/>
      <c r="Q617" s="64"/>
      <c r="R617" s="64"/>
      <c r="S617" s="64"/>
      <c r="T617" s="64"/>
      <c r="U617" s="64"/>
      <c r="V617" s="64"/>
      <c r="W617" s="64"/>
      <c r="X617" s="64"/>
      <c r="Y617" s="64"/>
      <c r="Z617" s="64"/>
      <c r="AA617" s="64"/>
      <c r="AB617" s="64"/>
      <c r="AC617" s="64"/>
      <c r="AD617" s="64"/>
      <c r="AE617" s="64"/>
      <c r="AF617" s="64"/>
      <c r="AG617" s="64"/>
    </row>
    <row r="618" spans="1:33">
      <c r="A618" s="64"/>
      <c r="B618" s="64"/>
      <c r="C618" s="64"/>
      <c r="D618" s="64"/>
      <c r="E618" s="70"/>
      <c r="F618" s="70"/>
      <c r="G618" s="64"/>
      <c r="H618" s="64"/>
      <c r="I618" s="64"/>
      <c r="J618" s="64"/>
      <c r="K618" s="64"/>
      <c r="L618" s="64"/>
      <c r="M618" s="64"/>
      <c r="N618" s="64"/>
      <c r="O618" s="64"/>
      <c r="P618" s="64"/>
      <c r="Q618" s="64"/>
      <c r="R618" s="64"/>
      <c r="S618" s="64"/>
      <c r="T618" s="64"/>
      <c r="U618" s="64"/>
      <c r="V618" s="64"/>
      <c r="W618" s="64"/>
      <c r="X618" s="64"/>
      <c r="Y618" s="64"/>
      <c r="Z618" s="64"/>
      <c r="AA618" s="64"/>
      <c r="AB618" s="64"/>
      <c r="AC618" s="64"/>
      <c r="AD618" s="64"/>
      <c r="AE618" s="64"/>
      <c r="AF618" s="64"/>
      <c r="AG618" s="64"/>
    </row>
    <row r="619" spans="1:33">
      <c r="A619" s="64"/>
      <c r="B619" s="64"/>
      <c r="C619" s="64"/>
      <c r="D619" s="64"/>
      <c r="E619" s="70"/>
      <c r="F619" s="70"/>
      <c r="G619" s="64"/>
      <c r="H619" s="64"/>
      <c r="I619" s="64"/>
      <c r="J619" s="64"/>
      <c r="K619" s="64"/>
      <c r="L619" s="64"/>
      <c r="M619" s="64"/>
      <c r="N619" s="64"/>
      <c r="O619" s="64"/>
      <c r="P619" s="64"/>
      <c r="Q619" s="64"/>
      <c r="R619" s="64"/>
      <c r="S619" s="64"/>
      <c r="T619" s="64"/>
      <c r="U619" s="64"/>
      <c r="V619" s="64"/>
      <c r="W619" s="64"/>
      <c r="X619" s="64"/>
      <c r="Y619" s="64"/>
      <c r="Z619" s="64"/>
      <c r="AA619" s="64"/>
      <c r="AB619" s="64"/>
      <c r="AC619" s="64"/>
      <c r="AD619" s="64"/>
      <c r="AE619" s="64"/>
      <c r="AF619" s="64"/>
      <c r="AG619" s="64"/>
    </row>
    <row r="620" spans="1:33">
      <c r="A620" s="64"/>
      <c r="B620" s="64"/>
      <c r="C620" s="64"/>
      <c r="D620" s="64"/>
      <c r="E620" s="70"/>
      <c r="F620" s="70"/>
      <c r="G620" s="64"/>
      <c r="H620" s="64"/>
      <c r="I620" s="64"/>
      <c r="J620" s="64"/>
      <c r="K620" s="64"/>
      <c r="L620" s="64"/>
      <c r="M620" s="64"/>
      <c r="N620" s="64"/>
      <c r="O620" s="64"/>
      <c r="P620" s="64"/>
      <c r="Q620" s="64"/>
      <c r="R620" s="64"/>
      <c r="S620" s="64"/>
      <c r="T620" s="64"/>
      <c r="U620" s="64"/>
      <c r="V620" s="64"/>
      <c r="W620" s="64"/>
      <c r="X620" s="64"/>
      <c r="Y620" s="64"/>
      <c r="Z620" s="64"/>
      <c r="AA620" s="64"/>
      <c r="AB620" s="64"/>
      <c r="AC620" s="64"/>
      <c r="AD620" s="64"/>
      <c r="AE620" s="64"/>
      <c r="AF620" s="64"/>
      <c r="AG620" s="64"/>
    </row>
    <row r="621" spans="1:33">
      <c r="A621" s="64"/>
      <c r="B621" s="64"/>
      <c r="C621" s="64"/>
      <c r="D621" s="64"/>
      <c r="E621" s="70"/>
      <c r="F621" s="70"/>
      <c r="G621" s="64"/>
      <c r="H621" s="64"/>
      <c r="I621" s="64"/>
      <c r="J621" s="64"/>
      <c r="K621" s="64"/>
      <c r="L621" s="64"/>
      <c r="M621" s="64"/>
      <c r="N621" s="64"/>
      <c r="O621" s="64"/>
      <c r="P621" s="64"/>
      <c r="Q621" s="64"/>
      <c r="R621" s="64"/>
      <c r="S621" s="64"/>
      <c r="T621" s="64"/>
      <c r="U621" s="64"/>
      <c r="V621" s="64"/>
      <c r="W621" s="64"/>
      <c r="X621" s="64"/>
      <c r="Y621" s="64"/>
      <c r="Z621" s="64"/>
      <c r="AA621" s="64"/>
      <c r="AB621" s="64"/>
      <c r="AC621" s="64"/>
      <c r="AD621" s="64"/>
      <c r="AE621" s="64"/>
      <c r="AF621" s="64"/>
      <c r="AG621" s="64"/>
    </row>
    <row r="622" spans="1:33">
      <c r="A622" s="64"/>
      <c r="B622" s="64"/>
      <c r="C622" s="64"/>
      <c r="D622" s="64"/>
      <c r="E622" s="70"/>
      <c r="F622" s="70"/>
      <c r="G622" s="64"/>
      <c r="H622" s="64"/>
      <c r="I622" s="64"/>
      <c r="J622" s="64"/>
      <c r="K622" s="64"/>
      <c r="L622" s="64"/>
      <c r="M622" s="64"/>
      <c r="N622" s="64"/>
      <c r="O622" s="64"/>
      <c r="P622" s="64"/>
      <c r="Q622" s="64"/>
      <c r="R622" s="64"/>
      <c r="S622" s="64"/>
      <c r="T622" s="64"/>
      <c r="U622" s="64"/>
      <c r="V622" s="64"/>
      <c r="W622" s="64"/>
      <c r="X622" s="64"/>
      <c r="Y622" s="64"/>
      <c r="Z622" s="64"/>
      <c r="AA622" s="64"/>
      <c r="AB622" s="64"/>
      <c r="AC622" s="64"/>
      <c r="AD622" s="64"/>
      <c r="AE622" s="64"/>
      <c r="AF622" s="64"/>
      <c r="AG622" s="64"/>
    </row>
    <row r="623" spans="1:33">
      <c r="A623" s="64"/>
      <c r="B623" s="64"/>
      <c r="C623" s="64"/>
      <c r="D623" s="64"/>
      <c r="E623" s="70"/>
      <c r="F623" s="70"/>
      <c r="G623" s="64"/>
      <c r="H623" s="64"/>
      <c r="I623" s="64"/>
      <c r="J623" s="64"/>
      <c r="K623" s="64"/>
      <c r="L623" s="64"/>
      <c r="M623" s="64"/>
      <c r="N623" s="64"/>
      <c r="O623" s="64"/>
      <c r="P623" s="64"/>
      <c r="Q623" s="64"/>
      <c r="R623" s="64"/>
      <c r="S623" s="64"/>
      <c r="T623" s="64"/>
      <c r="U623" s="64"/>
      <c r="V623" s="64"/>
      <c r="W623" s="64"/>
      <c r="X623" s="64"/>
      <c r="Y623" s="64"/>
      <c r="Z623" s="64"/>
      <c r="AA623" s="64"/>
      <c r="AB623" s="64"/>
      <c r="AC623" s="64"/>
      <c r="AD623" s="64"/>
      <c r="AE623" s="64"/>
      <c r="AF623" s="64"/>
      <c r="AG623" s="64"/>
    </row>
    <row r="624" spans="1:33">
      <c r="A624" s="64"/>
      <c r="B624" s="64"/>
      <c r="C624" s="64"/>
      <c r="D624" s="64"/>
      <c r="E624" s="70"/>
      <c r="F624" s="70"/>
      <c r="G624" s="64"/>
      <c r="H624" s="64"/>
      <c r="I624" s="64"/>
      <c r="J624" s="64"/>
      <c r="K624" s="64"/>
      <c r="L624" s="64"/>
      <c r="M624" s="64"/>
      <c r="N624" s="64"/>
      <c r="O624" s="64"/>
      <c r="P624" s="64"/>
      <c r="Q624" s="64"/>
      <c r="R624" s="64"/>
      <c r="S624" s="64"/>
      <c r="T624" s="64"/>
      <c r="U624" s="64"/>
      <c r="V624" s="64"/>
      <c r="W624" s="64"/>
      <c r="X624" s="64"/>
      <c r="Y624" s="64"/>
      <c r="Z624" s="64"/>
      <c r="AA624" s="64"/>
      <c r="AB624" s="64"/>
      <c r="AC624" s="64"/>
      <c r="AD624" s="64"/>
      <c r="AE624" s="64"/>
      <c r="AF624" s="64"/>
      <c r="AG624" s="64"/>
    </row>
    <row r="625" spans="1:33">
      <c r="A625" s="64"/>
      <c r="B625" s="64"/>
      <c r="C625" s="64"/>
      <c r="D625" s="64"/>
      <c r="E625" s="70"/>
      <c r="F625" s="70"/>
      <c r="G625" s="64"/>
      <c r="H625" s="64"/>
      <c r="I625" s="64"/>
      <c r="J625" s="64"/>
      <c r="K625" s="64"/>
      <c r="L625" s="64"/>
      <c r="M625" s="64"/>
      <c r="N625" s="64"/>
      <c r="O625" s="64"/>
      <c r="P625" s="64"/>
      <c r="Q625" s="64"/>
      <c r="R625" s="64"/>
      <c r="S625" s="64"/>
      <c r="T625" s="64"/>
      <c r="U625" s="64"/>
      <c r="V625" s="64"/>
      <c r="W625" s="64"/>
      <c r="X625" s="64"/>
      <c r="Y625" s="64"/>
      <c r="Z625" s="64"/>
      <c r="AA625" s="64"/>
      <c r="AB625" s="64"/>
      <c r="AC625" s="64"/>
      <c r="AD625" s="64"/>
      <c r="AE625" s="64"/>
      <c r="AF625" s="64"/>
      <c r="AG625" s="64"/>
    </row>
    <row r="626" spans="1:33">
      <c r="A626" s="64"/>
      <c r="B626" s="64"/>
      <c r="C626" s="64"/>
      <c r="D626" s="64"/>
      <c r="E626" s="70"/>
      <c r="F626" s="70"/>
      <c r="G626" s="64"/>
      <c r="H626" s="64"/>
      <c r="I626" s="64"/>
      <c r="J626" s="64"/>
      <c r="K626" s="64"/>
      <c r="L626" s="64"/>
      <c r="M626" s="64"/>
      <c r="N626" s="64"/>
      <c r="O626" s="64"/>
      <c r="P626" s="64"/>
      <c r="Q626" s="64"/>
      <c r="R626" s="64"/>
      <c r="S626" s="64"/>
      <c r="T626" s="64"/>
      <c r="U626" s="64"/>
      <c r="V626" s="64"/>
      <c r="W626" s="64"/>
      <c r="X626" s="64"/>
      <c r="Y626" s="64"/>
      <c r="Z626" s="64"/>
      <c r="AA626" s="64"/>
      <c r="AB626" s="64"/>
      <c r="AC626" s="64"/>
      <c r="AD626" s="64"/>
      <c r="AE626" s="64"/>
      <c r="AF626" s="64"/>
      <c r="AG626" s="64"/>
    </row>
    <row r="627" spans="1:33">
      <c r="A627" s="64"/>
      <c r="B627" s="64"/>
      <c r="C627" s="64"/>
      <c r="D627" s="64"/>
      <c r="E627" s="70"/>
      <c r="F627" s="70"/>
      <c r="G627" s="64"/>
      <c r="H627" s="64"/>
      <c r="I627" s="64"/>
      <c r="J627" s="64"/>
      <c r="K627" s="64"/>
      <c r="L627" s="64"/>
      <c r="M627" s="64"/>
      <c r="N627" s="64"/>
      <c r="O627" s="64"/>
      <c r="P627" s="64"/>
      <c r="Q627" s="64"/>
      <c r="R627" s="64"/>
      <c r="S627" s="64"/>
      <c r="T627" s="64"/>
      <c r="U627" s="64"/>
      <c r="V627" s="64"/>
      <c r="W627" s="64"/>
      <c r="X627" s="64"/>
      <c r="Y627" s="64"/>
      <c r="Z627" s="64"/>
      <c r="AA627" s="64"/>
      <c r="AB627" s="64"/>
      <c r="AC627" s="64"/>
      <c r="AD627" s="64"/>
      <c r="AE627" s="64"/>
      <c r="AF627" s="64"/>
      <c r="AG627" s="64"/>
    </row>
    <row r="628" spans="1:33">
      <c r="A628" s="64"/>
      <c r="B628" s="64"/>
      <c r="C628" s="64"/>
      <c r="D628" s="64"/>
      <c r="E628" s="70"/>
      <c r="F628" s="70"/>
      <c r="G628" s="64"/>
      <c r="H628" s="64"/>
      <c r="I628" s="64"/>
      <c r="J628" s="64"/>
      <c r="K628" s="64"/>
      <c r="L628" s="64"/>
      <c r="M628" s="64"/>
      <c r="N628" s="64"/>
      <c r="O628" s="64"/>
      <c r="P628" s="64"/>
      <c r="Q628" s="64"/>
      <c r="R628" s="64"/>
      <c r="S628" s="64"/>
      <c r="T628" s="64"/>
      <c r="U628" s="64"/>
      <c r="V628" s="64"/>
      <c r="W628" s="64"/>
      <c r="X628" s="64"/>
      <c r="Y628" s="64"/>
      <c r="Z628" s="64"/>
      <c r="AA628" s="64"/>
      <c r="AB628" s="64"/>
      <c r="AC628" s="64"/>
      <c r="AD628" s="64"/>
      <c r="AE628" s="64"/>
      <c r="AF628" s="64"/>
      <c r="AG628" s="64"/>
    </row>
    <row r="629" spans="1:33">
      <c r="A629" s="64"/>
      <c r="B629" s="64"/>
      <c r="C629" s="64"/>
      <c r="D629" s="64"/>
      <c r="E629" s="70"/>
      <c r="F629" s="70"/>
      <c r="G629" s="64"/>
      <c r="H629" s="64"/>
      <c r="I629" s="64"/>
      <c r="J629" s="64"/>
      <c r="K629" s="64"/>
      <c r="L629" s="64"/>
      <c r="M629" s="64"/>
      <c r="N629" s="64"/>
      <c r="O629" s="64"/>
      <c r="P629" s="64"/>
      <c r="Q629" s="64"/>
      <c r="R629" s="64"/>
      <c r="S629" s="64"/>
      <c r="T629" s="64"/>
      <c r="U629" s="64"/>
      <c r="V629" s="64"/>
      <c r="W629" s="64"/>
      <c r="X629" s="64"/>
      <c r="Y629" s="64"/>
      <c r="Z629" s="64"/>
      <c r="AA629" s="64"/>
      <c r="AB629" s="64"/>
      <c r="AC629" s="64"/>
      <c r="AD629" s="64"/>
      <c r="AE629" s="64"/>
      <c r="AF629" s="64"/>
      <c r="AG629" s="64"/>
    </row>
    <row r="630" spans="1:33">
      <c r="A630" s="64"/>
      <c r="B630" s="64"/>
      <c r="C630" s="64"/>
      <c r="D630" s="64"/>
      <c r="E630" s="70"/>
      <c r="F630" s="70"/>
      <c r="G630" s="64"/>
      <c r="H630" s="64"/>
      <c r="I630" s="64"/>
      <c r="J630" s="64"/>
      <c r="K630" s="64"/>
      <c r="L630" s="64"/>
      <c r="M630" s="64"/>
      <c r="N630" s="64"/>
      <c r="O630" s="64"/>
      <c r="P630" s="64"/>
      <c r="Q630" s="64"/>
      <c r="R630" s="64"/>
      <c r="S630" s="64"/>
      <c r="T630" s="64"/>
      <c r="U630" s="64"/>
      <c r="V630" s="64"/>
      <c r="W630" s="64"/>
      <c r="X630" s="64"/>
      <c r="Y630" s="64"/>
      <c r="Z630" s="64"/>
      <c r="AA630" s="64"/>
      <c r="AB630" s="64"/>
      <c r="AC630" s="64"/>
      <c r="AD630" s="64"/>
      <c r="AE630" s="64"/>
      <c r="AF630" s="64"/>
      <c r="AG630" s="64"/>
    </row>
    <row r="631" spans="1:33">
      <c r="A631" s="64"/>
      <c r="B631" s="64"/>
      <c r="C631" s="64"/>
      <c r="D631" s="64"/>
      <c r="E631" s="70"/>
      <c r="F631" s="70"/>
      <c r="G631" s="64"/>
      <c r="H631" s="64"/>
      <c r="I631" s="64"/>
      <c r="J631" s="64"/>
      <c r="K631" s="64"/>
      <c r="L631" s="64"/>
      <c r="M631" s="64"/>
      <c r="N631" s="64"/>
      <c r="O631" s="64"/>
      <c r="P631" s="64"/>
      <c r="Q631" s="64"/>
      <c r="R631" s="64"/>
      <c r="S631" s="64"/>
      <c r="T631" s="64"/>
      <c r="U631" s="64"/>
      <c r="V631" s="64"/>
      <c r="W631" s="64"/>
      <c r="X631" s="64"/>
      <c r="Y631" s="64"/>
      <c r="Z631" s="64"/>
      <c r="AA631" s="64"/>
      <c r="AB631" s="64"/>
      <c r="AC631" s="64"/>
      <c r="AD631" s="64"/>
      <c r="AE631" s="64"/>
      <c r="AF631" s="64"/>
      <c r="AG631" s="64"/>
    </row>
    <row r="632" spans="1:33">
      <c r="A632" s="64"/>
      <c r="B632" s="64"/>
      <c r="C632" s="64"/>
      <c r="D632" s="64"/>
      <c r="E632" s="70"/>
      <c r="F632" s="70"/>
      <c r="G632" s="64"/>
      <c r="H632" s="64"/>
      <c r="I632" s="64"/>
      <c r="J632" s="64"/>
      <c r="K632" s="64"/>
      <c r="L632" s="64"/>
      <c r="M632" s="64"/>
      <c r="N632" s="64"/>
      <c r="O632" s="64"/>
      <c r="P632" s="64"/>
      <c r="Q632" s="64"/>
      <c r="R632" s="64"/>
      <c r="S632" s="64"/>
      <c r="T632" s="64"/>
      <c r="U632" s="64"/>
      <c r="V632" s="64"/>
      <c r="W632" s="64"/>
      <c r="X632" s="64"/>
      <c r="Y632" s="64"/>
      <c r="Z632" s="64"/>
      <c r="AA632" s="64"/>
      <c r="AB632" s="64"/>
      <c r="AC632" s="64"/>
      <c r="AD632" s="64"/>
      <c r="AE632" s="64"/>
      <c r="AF632" s="64"/>
      <c r="AG632" s="64"/>
    </row>
    <row r="633" spans="1:33">
      <c r="A633" s="64"/>
      <c r="B633" s="64"/>
      <c r="C633" s="64"/>
      <c r="D633" s="64"/>
      <c r="E633" s="70"/>
      <c r="F633" s="70"/>
      <c r="G633" s="64"/>
      <c r="H633" s="64"/>
      <c r="I633" s="64"/>
      <c r="J633" s="64"/>
      <c r="K633" s="64"/>
      <c r="L633" s="64"/>
      <c r="M633" s="64"/>
      <c r="N633" s="64"/>
      <c r="O633" s="64"/>
      <c r="P633" s="64"/>
      <c r="Q633" s="64"/>
      <c r="R633" s="64"/>
      <c r="S633" s="64"/>
      <c r="T633" s="64"/>
      <c r="U633" s="64"/>
      <c r="V633" s="64"/>
      <c r="W633" s="64"/>
      <c r="X633" s="64"/>
      <c r="Y633" s="64"/>
      <c r="Z633" s="64"/>
      <c r="AA633" s="64"/>
      <c r="AB633" s="64"/>
      <c r="AC633" s="64"/>
      <c r="AD633" s="64"/>
      <c r="AE633" s="64"/>
      <c r="AF633" s="64"/>
      <c r="AG633" s="64"/>
    </row>
    <row r="634" spans="1:33">
      <c r="A634" s="64"/>
      <c r="B634" s="64"/>
      <c r="C634" s="64"/>
      <c r="D634" s="64"/>
      <c r="E634" s="70"/>
      <c r="F634" s="70"/>
      <c r="G634" s="64"/>
      <c r="H634" s="64"/>
      <c r="I634" s="64"/>
      <c r="J634" s="64"/>
      <c r="K634" s="64"/>
      <c r="L634" s="64"/>
      <c r="M634" s="64"/>
      <c r="N634" s="64"/>
      <c r="O634" s="64"/>
      <c r="P634" s="64"/>
      <c r="Q634" s="64"/>
      <c r="R634" s="64"/>
      <c r="S634" s="64"/>
      <c r="T634" s="64"/>
      <c r="U634" s="64"/>
      <c r="V634" s="64"/>
      <c r="W634" s="64"/>
      <c r="X634" s="64"/>
      <c r="Y634" s="64"/>
      <c r="Z634" s="64"/>
      <c r="AA634" s="64"/>
      <c r="AB634" s="64"/>
      <c r="AC634" s="64"/>
      <c r="AD634" s="64"/>
      <c r="AE634" s="64"/>
      <c r="AF634" s="64"/>
      <c r="AG634" s="64"/>
    </row>
    <row r="635" spans="1:33">
      <c r="A635" s="64"/>
      <c r="B635" s="64"/>
      <c r="C635" s="64"/>
      <c r="D635" s="64"/>
      <c r="E635" s="70"/>
      <c r="F635" s="70"/>
      <c r="G635" s="64"/>
      <c r="H635" s="64"/>
      <c r="I635" s="64"/>
      <c r="J635" s="64"/>
      <c r="K635" s="64"/>
      <c r="L635" s="64"/>
      <c r="M635" s="64"/>
      <c r="N635" s="64"/>
      <c r="O635" s="64"/>
      <c r="P635" s="64"/>
      <c r="Q635" s="64"/>
      <c r="R635" s="64"/>
      <c r="S635" s="64"/>
      <c r="T635" s="64"/>
      <c r="U635" s="64"/>
      <c r="V635" s="64"/>
      <c r="W635" s="64"/>
      <c r="X635" s="64"/>
      <c r="Y635" s="64"/>
      <c r="Z635" s="64"/>
      <c r="AA635" s="64"/>
      <c r="AB635" s="64"/>
      <c r="AC635" s="64"/>
      <c r="AD635" s="64"/>
      <c r="AE635" s="64"/>
      <c r="AF635" s="64"/>
      <c r="AG635" s="64"/>
    </row>
    <row r="636" spans="1:33">
      <c r="A636" s="64"/>
      <c r="B636" s="64"/>
      <c r="C636" s="64"/>
      <c r="D636" s="64"/>
      <c r="E636" s="70"/>
      <c r="F636" s="70"/>
      <c r="G636" s="64"/>
      <c r="H636" s="64"/>
      <c r="I636" s="64"/>
      <c r="J636" s="64"/>
      <c r="K636" s="64"/>
      <c r="L636" s="64"/>
      <c r="M636" s="64"/>
      <c r="N636" s="64"/>
      <c r="O636" s="64"/>
      <c r="P636" s="64"/>
      <c r="Q636" s="64"/>
      <c r="R636" s="64"/>
      <c r="S636" s="64"/>
      <c r="T636" s="64"/>
      <c r="U636" s="64"/>
      <c r="V636" s="64"/>
      <c r="W636" s="64"/>
      <c r="X636" s="64"/>
      <c r="Y636" s="64"/>
      <c r="Z636" s="64"/>
      <c r="AA636" s="64"/>
      <c r="AB636" s="64"/>
      <c r="AC636" s="64"/>
      <c r="AD636" s="64"/>
      <c r="AE636" s="64"/>
      <c r="AF636" s="64"/>
      <c r="AG636" s="64"/>
    </row>
    <row r="637" spans="1:33">
      <c r="A637" s="64"/>
      <c r="B637" s="64"/>
      <c r="C637" s="64"/>
      <c r="D637" s="64"/>
      <c r="E637" s="70"/>
      <c r="F637" s="70"/>
      <c r="G637" s="64"/>
      <c r="H637" s="64"/>
      <c r="I637" s="64"/>
      <c r="J637" s="64"/>
      <c r="K637" s="64"/>
      <c r="L637" s="64"/>
      <c r="M637" s="64"/>
      <c r="N637" s="64"/>
      <c r="O637" s="64"/>
      <c r="P637" s="64"/>
      <c r="Q637" s="64"/>
      <c r="R637" s="64"/>
      <c r="S637" s="64"/>
      <c r="T637" s="64"/>
      <c r="U637" s="64"/>
      <c r="V637" s="64"/>
      <c r="W637" s="64"/>
      <c r="X637" s="64"/>
      <c r="Y637" s="64"/>
      <c r="Z637" s="64"/>
      <c r="AA637" s="64"/>
      <c r="AB637" s="64"/>
      <c r="AC637" s="64"/>
      <c r="AD637" s="64"/>
      <c r="AE637" s="64"/>
      <c r="AF637" s="64"/>
      <c r="AG637" s="64"/>
    </row>
    <row r="638" spans="1:33">
      <c r="A638" s="64"/>
      <c r="B638" s="64"/>
      <c r="C638" s="64"/>
      <c r="D638" s="64"/>
      <c r="E638" s="70"/>
      <c r="F638" s="70"/>
      <c r="G638" s="64"/>
      <c r="H638" s="64"/>
      <c r="I638" s="64"/>
      <c r="J638" s="64"/>
      <c r="K638" s="64"/>
      <c r="L638" s="64"/>
      <c r="M638" s="64"/>
      <c r="N638" s="64"/>
      <c r="O638" s="64"/>
      <c r="P638" s="64"/>
      <c r="Q638" s="64"/>
      <c r="R638" s="64"/>
      <c r="S638" s="64"/>
      <c r="T638" s="64"/>
      <c r="U638" s="64"/>
      <c r="V638" s="64"/>
      <c r="W638" s="64"/>
      <c r="X638" s="64"/>
      <c r="Y638" s="64"/>
      <c r="Z638" s="64"/>
      <c r="AA638" s="64"/>
      <c r="AB638" s="64"/>
      <c r="AC638" s="64"/>
      <c r="AD638" s="64"/>
      <c r="AE638" s="64"/>
      <c r="AF638" s="64"/>
      <c r="AG638" s="64"/>
    </row>
    <row r="639" spans="1:33">
      <c r="A639" s="64"/>
      <c r="B639" s="64"/>
      <c r="C639" s="64"/>
      <c r="D639" s="64"/>
      <c r="E639" s="70"/>
      <c r="F639" s="70"/>
      <c r="G639" s="64"/>
      <c r="H639" s="64"/>
      <c r="I639" s="64"/>
      <c r="J639" s="64"/>
      <c r="K639" s="64"/>
      <c r="L639" s="64"/>
      <c r="M639" s="64"/>
      <c r="N639" s="64"/>
      <c r="O639" s="64"/>
      <c r="P639" s="64"/>
      <c r="Q639" s="64"/>
      <c r="R639" s="64"/>
      <c r="S639" s="64"/>
      <c r="T639" s="64"/>
      <c r="U639" s="64"/>
      <c r="V639" s="64"/>
      <c r="W639" s="64"/>
      <c r="X639" s="64"/>
      <c r="Y639" s="64"/>
      <c r="Z639" s="64"/>
      <c r="AA639" s="64"/>
      <c r="AB639" s="64"/>
      <c r="AC639" s="64"/>
      <c r="AD639" s="64"/>
      <c r="AE639" s="64"/>
      <c r="AF639" s="64"/>
      <c r="AG639" s="64"/>
    </row>
    <row r="640" spans="1:33">
      <c r="A640" s="64"/>
      <c r="B640" s="64"/>
      <c r="C640" s="64"/>
      <c r="D640" s="64"/>
      <c r="E640" s="70"/>
      <c r="F640" s="70"/>
      <c r="G640" s="64"/>
      <c r="H640" s="64"/>
      <c r="I640" s="64"/>
      <c r="J640" s="64"/>
      <c r="K640" s="64"/>
      <c r="L640" s="64"/>
      <c r="M640" s="64"/>
      <c r="N640" s="64"/>
      <c r="O640" s="64"/>
      <c r="P640" s="64"/>
      <c r="Q640" s="64"/>
      <c r="R640" s="64"/>
      <c r="S640" s="64"/>
      <c r="T640" s="64"/>
      <c r="U640" s="64"/>
      <c r="V640" s="64"/>
      <c r="W640" s="64"/>
      <c r="X640" s="64"/>
      <c r="Y640" s="64"/>
      <c r="Z640" s="64"/>
      <c r="AA640" s="64"/>
      <c r="AB640" s="64"/>
      <c r="AC640" s="64"/>
      <c r="AD640" s="64"/>
      <c r="AE640" s="64"/>
      <c r="AF640" s="64"/>
      <c r="AG640" s="64"/>
    </row>
    <row r="641" spans="1:33">
      <c r="A641" s="64"/>
      <c r="B641" s="64"/>
      <c r="C641" s="64"/>
      <c r="D641" s="64"/>
      <c r="E641" s="70"/>
      <c r="F641" s="70"/>
      <c r="G641" s="64"/>
      <c r="H641" s="64"/>
      <c r="I641" s="64"/>
      <c r="J641" s="64"/>
      <c r="K641" s="64"/>
      <c r="L641" s="64"/>
      <c r="M641" s="64"/>
      <c r="N641" s="64"/>
      <c r="O641" s="64"/>
      <c r="P641" s="64"/>
      <c r="Q641" s="64"/>
      <c r="R641" s="64"/>
      <c r="S641" s="64"/>
      <c r="T641" s="64"/>
      <c r="U641" s="64"/>
      <c r="V641" s="64"/>
      <c r="W641" s="64"/>
      <c r="X641" s="64"/>
      <c r="Y641" s="64"/>
      <c r="Z641" s="64"/>
      <c r="AA641" s="64"/>
      <c r="AB641" s="64"/>
      <c r="AC641" s="64"/>
      <c r="AD641" s="64"/>
      <c r="AE641" s="64"/>
      <c r="AF641" s="64"/>
      <c r="AG641" s="64"/>
    </row>
    <row r="642" spans="1:33">
      <c r="A642" s="64"/>
      <c r="B642" s="64"/>
      <c r="C642" s="64"/>
      <c r="D642" s="64"/>
      <c r="E642" s="70"/>
      <c r="F642" s="70"/>
      <c r="G642" s="64"/>
      <c r="H642" s="64"/>
      <c r="I642" s="64"/>
      <c r="J642" s="64"/>
      <c r="K642" s="64"/>
      <c r="L642" s="64"/>
      <c r="M642" s="64"/>
      <c r="N642" s="64"/>
      <c r="O642" s="64"/>
      <c r="P642" s="64"/>
      <c r="Q642" s="64"/>
      <c r="R642" s="64"/>
      <c r="S642" s="64"/>
      <c r="T642" s="64"/>
      <c r="U642" s="64"/>
      <c r="V642" s="64"/>
      <c r="W642" s="64"/>
      <c r="X642" s="64"/>
      <c r="Y642" s="64"/>
      <c r="Z642" s="64"/>
      <c r="AA642" s="64"/>
      <c r="AB642" s="64"/>
      <c r="AC642" s="64"/>
      <c r="AD642" s="64"/>
      <c r="AE642" s="64"/>
      <c r="AF642" s="64"/>
      <c r="AG642" s="64"/>
    </row>
    <row r="643" spans="1:33">
      <c r="A643" s="64"/>
      <c r="B643" s="64"/>
      <c r="C643" s="64"/>
      <c r="D643" s="64"/>
      <c r="E643" s="70"/>
      <c r="F643" s="70"/>
      <c r="G643" s="64"/>
      <c r="H643" s="64"/>
      <c r="I643" s="64"/>
      <c r="J643" s="64"/>
      <c r="K643" s="64"/>
      <c r="L643" s="64"/>
      <c r="M643" s="64"/>
      <c r="N643" s="64"/>
      <c r="O643" s="64"/>
      <c r="P643" s="64"/>
      <c r="Q643" s="64"/>
      <c r="R643" s="64"/>
      <c r="S643" s="64"/>
      <c r="T643" s="64"/>
      <c r="U643" s="64"/>
      <c r="V643" s="64"/>
      <c r="W643" s="64"/>
      <c r="X643" s="64"/>
      <c r="Y643" s="64"/>
      <c r="Z643" s="64"/>
      <c r="AA643" s="64"/>
      <c r="AB643" s="64"/>
      <c r="AC643" s="64"/>
      <c r="AD643" s="64"/>
      <c r="AE643" s="64"/>
      <c r="AF643" s="64"/>
      <c r="AG643" s="64"/>
    </row>
    <row r="644" spans="1:33">
      <c r="A644" s="64"/>
      <c r="B644" s="64"/>
      <c r="C644" s="64"/>
      <c r="D644" s="64"/>
      <c r="E644" s="70"/>
      <c r="F644" s="70"/>
      <c r="G644" s="64"/>
      <c r="H644" s="64"/>
      <c r="I644" s="64"/>
      <c r="J644" s="64"/>
      <c r="K644" s="64"/>
      <c r="L644" s="64"/>
      <c r="M644" s="64"/>
      <c r="N644" s="64"/>
      <c r="O644" s="64"/>
      <c r="P644" s="64"/>
      <c r="Q644" s="64"/>
      <c r="R644" s="64"/>
      <c r="S644" s="64"/>
      <c r="T644" s="64"/>
      <c r="U644" s="64"/>
      <c r="V644" s="64"/>
      <c r="W644" s="64"/>
      <c r="X644" s="64"/>
      <c r="Y644" s="64"/>
      <c r="Z644" s="64"/>
      <c r="AA644" s="64"/>
      <c r="AB644" s="64"/>
      <c r="AC644" s="64"/>
      <c r="AD644" s="64"/>
      <c r="AE644" s="64"/>
      <c r="AF644" s="64"/>
      <c r="AG644" s="64"/>
    </row>
    <row r="645" spans="1:33">
      <c r="A645" s="64"/>
      <c r="B645" s="64"/>
      <c r="C645" s="64"/>
      <c r="D645" s="64"/>
      <c r="E645" s="70"/>
      <c r="F645" s="70"/>
      <c r="G645" s="64"/>
      <c r="H645" s="64"/>
      <c r="I645" s="64"/>
      <c r="J645" s="64"/>
      <c r="K645" s="64"/>
      <c r="L645" s="64"/>
      <c r="M645" s="64"/>
      <c r="N645" s="64"/>
      <c r="O645" s="64"/>
      <c r="P645" s="64"/>
      <c r="Q645" s="64"/>
      <c r="R645" s="64"/>
      <c r="S645" s="64"/>
      <c r="T645" s="64"/>
      <c r="U645" s="64"/>
      <c r="V645" s="64"/>
      <c r="W645" s="64"/>
      <c r="X645" s="64"/>
      <c r="Y645" s="64"/>
      <c r="Z645" s="64"/>
      <c r="AA645" s="64"/>
      <c r="AB645" s="64"/>
      <c r="AC645" s="64"/>
      <c r="AD645" s="64"/>
      <c r="AE645" s="64"/>
      <c r="AF645" s="64"/>
      <c r="AG645" s="64"/>
    </row>
    <row r="646" spans="1:33">
      <c r="A646" s="64"/>
      <c r="B646" s="64"/>
      <c r="C646" s="64"/>
      <c r="D646" s="64"/>
      <c r="E646" s="70"/>
      <c r="F646" s="70"/>
      <c r="G646" s="64"/>
      <c r="H646" s="64"/>
      <c r="I646" s="64"/>
      <c r="J646" s="64"/>
      <c r="K646" s="64"/>
      <c r="L646" s="64"/>
      <c r="M646" s="64"/>
      <c r="N646" s="64"/>
      <c r="O646" s="64"/>
      <c r="P646" s="64"/>
      <c r="Q646" s="64"/>
      <c r="R646" s="64"/>
      <c r="S646" s="64"/>
      <c r="T646" s="64"/>
      <c r="U646" s="64"/>
      <c r="V646" s="64"/>
      <c r="W646" s="64"/>
      <c r="X646" s="64"/>
      <c r="Y646" s="64"/>
      <c r="Z646" s="64"/>
      <c r="AA646" s="64"/>
      <c r="AB646" s="64"/>
      <c r="AC646" s="64"/>
      <c r="AD646" s="64"/>
      <c r="AE646" s="64"/>
      <c r="AF646" s="64"/>
      <c r="AG646" s="64"/>
    </row>
    <row r="647" spans="1:33">
      <c r="A647" s="64"/>
      <c r="B647" s="64"/>
      <c r="C647" s="64"/>
      <c r="D647" s="64"/>
      <c r="E647" s="70"/>
      <c r="F647" s="70"/>
      <c r="G647" s="64"/>
      <c r="H647" s="64"/>
      <c r="I647" s="64"/>
      <c r="J647" s="64"/>
      <c r="K647" s="64"/>
      <c r="L647" s="64"/>
      <c r="M647" s="64"/>
      <c r="N647" s="64"/>
      <c r="O647" s="64"/>
      <c r="P647" s="64"/>
      <c r="Q647" s="64"/>
      <c r="R647" s="64"/>
      <c r="S647" s="64"/>
      <c r="T647" s="64"/>
      <c r="U647" s="64"/>
      <c r="V647" s="64"/>
      <c r="W647" s="64"/>
      <c r="X647" s="64"/>
      <c r="Y647" s="64"/>
      <c r="Z647" s="64"/>
      <c r="AA647" s="64"/>
      <c r="AB647" s="64"/>
      <c r="AC647" s="64"/>
      <c r="AD647" s="64"/>
      <c r="AE647" s="64"/>
      <c r="AF647" s="64"/>
      <c r="AG647" s="64"/>
    </row>
    <row r="648" spans="1:33">
      <c r="A648" s="64"/>
      <c r="B648" s="64"/>
      <c r="C648" s="64"/>
      <c r="D648" s="64"/>
      <c r="E648" s="70"/>
      <c r="F648" s="70"/>
      <c r="G648" s="64"/>
      <c r="H648" s="64"/>
      <c r="I648" s="64"/>
      <c r="J648" s="64"/>
      <c r="K648" s="64"/>
      <c r="L648" s="64"/>
      <c r="M648" s="64"/>
      <c r="N648" s="64"/>
      <c r="O648" s="64"/>
      <c r="P648" s="64"/>
      <c r="Q648" s="64"/>
      <c r="R648" s="64"/>
      <c r="S648" s="64"/>
      <c r="T648" s="64"/>
      <c r="U648" s="64"/>
      <c r="V648" s="64"/>
      <c r="W648" s="64"/>
      <c r="X648" s="64"/>
      <c r="Y648" s="64"/>
      <c r="Z648" s="64"/>
      <c r="AA648" s="64"/>
      <c r="AB648" s="64"/>
      <c r="AC648" s="64"/>
      <c r="AD648" s="64"/>
      <c r="AE648" s="64"/>
      <c r="AF648" s="64"/>
      <c r="AG648" s="64"/>
    </row>
    <row r="649" spans="1:33">
      <c r="A649" s="64"/>
      <c r="B649" s="64"/>
      <c r="C649" s="64"/>
      <c r="D649" s="64"/>
      <c r="E649" s="70"/>
      <c r="F649" s="70"/>
      <c r="G649" s="64"/>
      <c r="H649" s="64"/>
      <c r="I649" s="64"/>
      <c r="J649" s="64"/>
      <c r="K649" s="64"/>
      <c r="L649" s="64"/>
      <c r="M649" s="64"/>
      <c r="N649" s="64"/>
      <c r="O649" s="64"/>
      <c r="P649" s="64"/>
      <c r="Q649" s="64"/>
      <c r="R649" s="64"/>
      <c r="S649" s="64"/>
      <c r="T649" s="64"/>
      <c r="U649" s="64"/>
      <c r="V649" s="64"/>
      <c r="W649" s="64"/>
      <c r="X649" s="64"/>
      <c r="Y649" s="64"/>
      <c r="Z649" s="64"/>
      <c r="AA649" s="64"/>
      <c r="AB649" s="64"/>
      <c r="AC649" s="64"/>
      <c r="AD649" s="64"/>
      <c r="AE649" s="64"/>
      <c r="AF649" s="64"/>
      <c r="AG649" s="64"/>
    </row>
    <row r="650" spans="1:33">
      <c r="A650" s="64"/>
      <c r="B650" s="64"/>
      <c r="C650" s="64"/>
      <c r="D650" s="64"/>
      <c r="E650" s="70"/>
      <c r="F650" s="70"/>
      <c r="G650" s="64"/>
      <c r="H650" s="64"/>
      <c r="I650" s="64"/>
      <c r="J650" s="64"/>
      <c r="K650" s="64"/>
      <c r="L650" s="64"/>
      <c r="M650" s="64"/>
      <c r="N650" s="64"/>
      <c r="O650" s="64"/>
      <c r="P650" s="64"/>
      <c r="Q650" s="64"/>
      <c r="R650" s="64"/>
      <c r="S650" s="64"/>
      <c r="T650" s="64"/>
      <c r="U650" s="64"/>
      <c r="V650" s="64"/>
      <c r="W650" s="64"/>
      <c r="X650" s="64"/>
      <c r="Y650" s="64"/>
      <c r="Z650" s="64"/>
      <c r="AA650" s="64"/>
      <c r="AB650" s="64"/>
      <c r="AC650" s="64"/>
      <c r="AD650" s="64"/>
      <c r="AE650" s="64"/>
      <c r="AF650" s="64"/>
      <c r="AG650" s="64"/>
    </row>
    <row r="651" spans="1:33">
      <c r="A651" s="64"/>
      <c r="B651" s="64"/>
      <c r="C651" s="64"/>
      <c r="D651" s="64"/>
      <c r="E651" s="70"/>
      <c r="F651" s="70"/>
      <c r="G651" s="64"/>
      <c r="H651" s="64"/>
      <c r="I651" s="64"/>
      <c r="J651" s="64"/>
      <c r="K651" s="64"/>
      <c r="L651" s="64"/>
      <c r="M651" s="64"/>
      <c r="N651" s="64"/>
      <c r="O651" s="64"/>
      <c r="P651" s="64"/>
      <c r="Q651" s="64"/>
      <c r="R651" s="64"/>
      <c r="S651" s="64"/>
      <c r="T651" s="64"/>
      <c r="U651" s="64"/>
      <c r="V651" s="64"/>
      <c r="W651" s="64"/>
      <c r="X651" s="64"/>
      <c r="Y651" s="64"/>
      <c r="Z651" s="64"/>
      <c r="AA651" s="64"/>
      <c r="AB651" s="64"/>
      <c r="AC651" s="64"/>
      <c r="AD651" s="64"/>
      <c r="AE651" s="64"/>
      <c r="AF651" s="64"/>
      <c r="AG651" s="64"/>
    </row>
    <row r="652" spans="1:33">
      <c r="A652" s="64"/>
      <c r="B652" s="64"/>
      <c r="C652" s="64"/>
      <c r="D652" s="64"/>
      <c r="E652" s="70"/>
      <c r="F652" s="70"/>
      <c r="G652" s="64"/>
      <c r="H652" s="64"/>
      <c r="I652" s="64"/>
      <c r="J652" s="64"/>
      <c r="K652" s="64"/>
      <c r="L652" s="64"/>
      <c r="M652" s="64"/>
      <c r="N652" s="64"/>
      <c r="O652" s="64"/>
      <c r="P652" s="64"/>
      <c r="Q652" s="64"/>
      <c r="R652" s="64"/>
      <c r="S652" s="64"/>
      <c r="T652" s="64"/>
      <c r="U652" s="64"/>
      <c r="V652" s="64"/>
      <c r="W652" s="64"/>
      <c r="X652" s="64"/>
      <c r="Y652" s="64"/>
      <c r="Z652" s="64"/>
      <c r="AA652" s="64"/>
      <c r="AB652" s="64"/>
      <c r="AC652" s="64"/>
      <c r="AD652" s="64"/>
      <c r="AE652" s="64"/>
      <c r="AF652" s="64"/>
      <c r="AG652" s="64"/>
    </row>
    <row r="653" spans="1:33">
      <c r="A653" s="64"/>
      <c r="B653" s="64"/>
      <c r="C653" s="64"/>
      <c r="D653" s="64"/>
      <c r="E653" s="70"/>
      <c r="F653" s="70"/>
      <c r="G653" s="64"/>
      <c r="H653" s="64"/>
      <c r="I653" s="64"/>
      <c r="J653" s="64"/>
      <c r="K653" s="64"/>
      <c r="L653" s="64"/>
      <c r="M653" s="64"/>
      <c r="N653" s="64"/>
      <c r="O653" s="64"/>
      <c r="P653" s="64"/>
      <c r="Q653" s="64"/>
      <c r="R653" s="64"/>
      <c r="S653" s="64"/>
      <c r="T653" s="64"/>
      <c r="U653" s="64"/>
      <c r="V653" s="64"/>
      <c r="W653" s="64"/>
      <c r="X653" s="64"/>
      <c r="Y653" s="64"/>
      <c r="Z653" s="64"/>
      <c r="AA653" s="64"/>
      <c r="AB653" s="64"/>
      <c r="AC653" s="64"/>
      <c r="AD653" s="64"/>
      <c r="AE653" s="64"/>
      <c r="AF653" s="64"/>
      <c r="AG653" s="64"/>
    </row>
    <row r="654" spans="1:33">
      <c r="A654" s="64"/>
      <c r="B654" s="64"/>
      <c r="C654" s="64"/>
      <c r="D654" s="64"/>
      <c r="E654" s="70"/>
      <c r="F654" s="70"/>
      <c r="G654" s="64"/>
      <c r="H654" s="64"/>
      <c r="I654" s="64"/>
      <c r="J654" s="64"/>
      <c r="K654" s="64"/>
      <c r="L654" s="64"/>
      <c r="M654" s="64"/>
      <c r="N654" s="64"/>
      <c r="O654" s="64"/>
      <c r="P654" s="64"/>
      <c r="Q654" s="64"/>
      <c r="R654" s="64"/>
      <c r="S654" s="64"/>
      <c r="T654" s="64"/>
      <c r="U654" s="64"/>
      <c r="V654" s="64"/>
      <c r="W654" s="64"/>
      <c r="X654" s="64"/>
      <c r="Y654" s="64"/>
      <c r="Z654" s="64"/>
      <c r="AA654" s="64"/>
      <c r="AB654" s="64"/>
      <c r="AC654" s="64"/>
      <c r="AD654" s="64"/>
      <c r="AE654" s="64"/>
      <c r="AF654" s="64"/>
      <c r="AG654" s="64"/>
    </row>
    <row r="655" spans="1:33">
      <c r="A655" s="64"/>
      <c r="B655" s="64"/>
      <c r="C655" s="64"/>
      <c r="D655" s="64"/>
      <c r="E655" s="70"/>
      <c r="F655" s="70"/>
      <c r="G655" s="64"/>
      <c r="H655" s="64"/>
      <c r="I655" s="64"/>
      <c r="J655" s="64"/>
      <c r="K655" s="64"/>
      <c r="L655" s="64"/>
      <c r="M655" s="64"/>
      <c r="N655" s="64"/>
      <c r="O655" s="64"/>
      <c r="P655" s="64"/>
      <c r="Q655" s="64"/>
      <c r="R655" s="64"/>
      <c r="S655" s="64"/>
      <c r="T655" s="64"/>
      <c r="U655" s="64"/>
      <c r="V655" s="64"/>
      <c r="W655" s="64"/>
      <c r="X655" s="64"/>
      <c r="Y655" s="64"/>
      <c r="Z655" s="64"/>
      <c r="AA655" s="64"/>
      <c r="AB655" s="64"/>
      <c r="AC655" s="64"/>
      <c r="AD655" s="64"/>
      <c r="AE655" s="64"/>
      <c r="AF655" s="64"/>
      <c r="AG655" s="64"/>
    </row>
    <row r="656" spans="1:33">
      <c r="A656" s="64"/>
      <c r="B656" s="64"/>
      <c r="C656" s="64"/>
      <c r="D656" s="64"/>
      <c r="E656" s="70"/>
      <c r="F656" s="70"/>
      <c r="G656" s="64"/>
      <c r="H656" s="64"/>
      <c r="I656" s="64"/>
      <c r="J656" s="64"/>
      <c r="K656" s="64"/>
      <c r="L656" s="64"/>
      <c r="M656" s="64"/>
      <c r="N656" s="64"/>
      <c r="O656" s="64"/>
      <c r="P656" s="64"/>
      <c r="Q656" s="64"/>
      <c r="R656" s="64"/>
      <c r="S656" s="64"/>
      <c r="T656" s="64"/>
      <c r="U656" s="64"/>
      <c r="V656" s="64"/>
      <c r="W656" s="64"/>
      <c r="X656" s="64"/>
      <c r="Y656" s="64"/>
      <c r="Z656" s="64"/>
      <c r="AA656" s="64"/>
      <c r="AB656" s="64"/>
      <c r="AC656" s="64"/>
      <c r="AD656" s="64"/>
      <c r="AE656" s="64"/>
      <c r="AF656" s="64"/>
      <c r="AG656" s="64"/>
    </row>
    <row r="657" spans="1:33">
      <c r="A657" s="64"/>
      <c r="B657" s="64"/>
      <c r="C657" s="64"/>
      <c r="D657" s="64"/>
      <c r="E657" s="70"/>
      <c r="F657" s="70"/>
      <c r="G657" s="64"/>
      <c r="H657" s="64"/>
      <c r="I657" s="64"/>
      <c r="J657" s="64"/>
      <c r="K657" s="64"/>
      <c r="L657" s="64"/>
      <c r="M657" s="64"/>
      <c r="N657" s="64"/>
      <c r="O657" s="64"/>
      <c r="P657" s="64"/>
      <c r="Q657" s="64"/>
      <c r="R657" s="64"/>
      <c r="S657" s="64"/>
      <c r="T657" s="64"/>
      <c r="U657" s="64"/>
      <c r="V657" s="64"/>
      <c r="W657" s="64"/>
      <c r="X657" s="64"/>
      <c r="Y657" s="64"/>
      <c r="Z657" s="64"/>
      <c r="AA657" s="64"/>
      <c r="AB657" s="64"/>
      <c r="AC657" s="64"/>
      <c r="AD657" s="64"/>
      <c r="AE657" s="64"/>
      <c r="AF657" s="64"/>
      <c r="AG657" s="64"/>
    </row>
    <row r="658" spans="1:33">
      <c r="A658" s="64"/>
      <c r="B658" s="64"/>
      <c r="C658" s="64"/>
      <c r="D658" s="64"/>
      <c r="E658" s="70"/>
      <c r="F658" s="70"/>
      <c r="G658" s="64"/>
      <c r="H658" s="64"/>
      <c r="I658" s="64"/>
      <c r="J658" s="64"/>
      <c r="K658" s="64"/>
      <c r="L658" s="64"/>
      <c r="M658" s="64"/>
      <c r="N658" s="64"/>
      <c r="O658" s="64"/>
      <c r="P658" s="64"/>
      <c r="Q658" s="64"/>
      <c r="R658" s="64"/>
      <c r="S658" s="64"/>
      <c r="T658" s="64"/>
      <c r="U658" s="64"/>
      <c r="V658" s="64"/>
      <c r="W658" s="64"/>
      <c r="X658" s="64"/>
      <c r="Y658" s="64"/>
      <c r="Z658" s="64"/>
      <c r="AA658" s="64"/>
      <c r="AB658" s="64"/>
      <c r="AC658" s="64"/>
      <c r="AD658" s="64"/>
      <c r="AE658" s="64"/>
      <c r="AF658" s="64"/>
      <c r="AG658" s="64"/>
    </row>
    <row r="659" spans="1:33">
      <c r="A659" s="64"/>
      <c r="B659" s="64"/>
      <c r="C659" s="64"/>
      <c r="D659" s="64"/>
      <c r="E659" s="70"/>
      <c r="F659" s="70"/>
      <c r="G659" s="64"/>
      <c r="H659" s="64"/>
      <c r="I659" s="64"/>
      <c r="J659" s="64"/>
      <c r="K659" s="64"/>
      <c r="L659" s="64"/>
      <c r="M659" s="64"/>
      <c r="N659" s="64"/>
      <c r="O659" s="64"/>
      <c r="P659" s="64"/>
      <c r="Q659" s="64"/>
      <c r="R659" s="64"/>
      <c r="S659" s="64"/>
      <c r="T659" s="64"/>
      <c r="U659" s="64"/>
      <c r="V659" s="64"/>
      <c r="W659" s="64"/>
      <c r="X659" s="64"/>
      <c r="Y659" s="64"/>
      <c r="Z659" s="64"/>
      <c r="AA659" s="64"/>
      <c r="AB659" s="64"/>
      <c r="AC659" s="64"/>
      <c r="AD659" s="64"/>
      <c r="AE659" s="64"/>
      <c r="AF659" s="64"/>
      <c r="AG659" s="64"/>
    </row>
    <row r="660" spans="1:33">
      <c r="A660" s="64"/>
      <c r="B660" s="64"/>
      <c r="C660" s="64"/>
      <c r="D660" s="64"/>
      <c r="E660" s="70"/>
      <c r="F660" s="70"/>
      <c r="G660" s="64"/>
      <c r="H660" s="64"/>
      <c r="I660" s="64"/>
      <c r="J660" s="64"/>
      <c r="K660" s="64"/>
      <c r="L660" s="64"/>
      <c r="M660" s="64"/>
      <c r="N660" s="64"/>
      <c r="O660" s="64"/>
      <c r="P660" s="64"/>
      <c r="Q660" s="64"/>
      <c r="R660" s="64"/>
      <c r="S660" s="64"/>
      <c r="T660" s="64"/>
      <c r="U660" s="64"/>
      <c r="V660" s="64"/>
      <c r="W660" s="64"/>
      <c r="X660" s="64"/>
      <c r="Y660" s="64"/>
      <c r="Z660" s="64"/>
      <c r="AA660" s="64"/>
      <c r="AB660" s="64"/>
      <c r="AC660" s="64"/>
      <c r="AD660" s="64"/>
      <c r="AE660" s="64"/>
      <c r="AF660" s="64"/>
      <c r="AG660" s="64"/>
    </row>
    <row r="661" spans="1:33">
      <c r="A661" s="64"/>
      <c r="B661" s="64"/>
      <c r="C661" s="64"/>
      <c r="D661" s="64"/>
      <c r="E661" s="70"/>
      <c r="F661" s="70"/>
      <c r="G661" s="64"/>
      <c r="H661" s="64"/>
      <c r="I661" s="64"/>
      <c r="J661" s="64"/>
      <c r="K661" s="64"/>
      <c r="L661" s="64"/>
      <c r="M661" s="64"/>
      <c r="N661" s="64"/>
      <c r="O661" s="64"/>
      <c r="P661" s="64"/>
      <c r="Q661" s="64"/>
      <c r="R661" s="64"/>
      <c r="S661" s="64"/>
      <c r="T661" s="64"/>
      <c r="U661" s="64"/>
      <c r="V661" s="64"/>
      <c r="W661" s="64"/>
      <c r="X661" s="64"/>
      <c r="Y661" s="64"/>
      <c r="Z661" s="64"/>
      <c r="AA661" s="64"/>
      <c r="AB661" s="64"/>
      <c r="AC661" s="64"/>
      <c r="AD661" s="64"/>
      <c r="AE661" s="64"/>
      <c r="AF661" s="64"/>
      <c r="AG661" s="64"/>
    </row>
    <row r="662" spans="1:33">
      <c r="A662" s="64"/>
      <c r="B662" s="64"/>
      <c r="C662" s="64"/>
      <c r="D662" s="64"/>
      <c r="E662" s="70"/>
      <c r="F662" s="70"/>
      <c r="G662" s="64"/>
      <c r="H662" s="64"/>
      <c r="I662" s="64"/>
      <c r="J662" s="64"/>
      <c r="K662" s="64"/>
      <c r="L662" s="64"/>
      <c r="M662" s="64"/>
      <c r="N662" s="64"/>
      <c r="O662" s="64"/>
      <c r="P662" s="64"/>
      <c r="Q662" s="64"/>
      <c r="R662" s="64"/>
      <c r="S662" s="64"/>
      <c r="T662" s="64"/>
      <c r="U662" s="64"/>
      <c r="V662" s="64"/>
      <c r="W662" s="64"/>
      <c r="X662" s="64"/>
      <c r="Y662" s="64"/>
      <c r="Z662" s="64"/>
      <c r="AA662" s="64"/>
      <c r="AB662" s="64"/>
      <c r="AC662" s="64"/>
      <c r="AD662" s="64"/>
      <c r="AE662" s="64"/>
      <c r="AF662" s="64"/>
      <c r="AG662" s="64"/>
    </row>
    <row r="663" spans="1:33">
      <c r="A663" s="64"/>
      <c r="B663" s="64"/>
      <c r="C663" s="64"/>
      <c r="D663" s="64"/>
      <c r="E663" s="70"/>
      <c r="F663" s="70"/>
      <c r="G663" s="64"/>
      <c r="H663" s="64"/>
      <c r="I663" s="64"/>
      <c r="J663" s="64"/>
      <c r="K663" s="64"/>
      <c r="L663" s="64"/>
      <c r="M663" s="64"/>
      <c r="N663" s="64"/>
      <c r="O663" s="64"/>
      <c r="P663" s="64"/>
      <c r="Q663" s="64"/>
      <c r="R663" s="64"/>
      <c r="S663" s="64"/>
      <c r="T663" s="64"/>
      <c r="U663" s="64"/>
      <c r="V663" s="64"/>
      <c r="W663" s="64"/>
      <c r="X663" s="64"/>
      <c r="Y663" s="64"/>
      <c r="Z663" s="64"/>
      <c r="AA663" s="64"/>
      <c r="AB663" s="64"/>
      <c r="AC663" s="64"/>
      <c r="AD663" s="64"/>
      <c r="AE663" s="64"/>
      <c r="AF663" s="64"/>
      <c r="AG663" s="64"/>
    </row>
    <row r="664" spans="1:33">
      <c r="A664" s="64"/>
      <c r="B664" s="64"/>
      <c r="C664" s="64"/>
      <c r="D664" s="64"/>
      <c r="E664" s="70"/>
      <c r="F664" s="70"/>
      <c r="G664" s="64"/>
      <c r="H664" s="64"/>
      <c r="I664" s="64"/>
      <c r="J664" s="64"/>
      <c r="K664" s="64"/>
      <c r="L664" s="64"/>
      <c r="M664" s="64"/>
      <c r="N664" s="64"/>
      <c r="O664" s="64"/>
      <c r="P664" s="64"/>
      <c r="Q664" s="64"/>
      <c r="R664" s="64"/>
      <c r="S664" s="64"/>
      <c r="T664" s="64"/>
      <c r="U664" s="64"/>
      <c r="V664" s="64"/>
      <c r="W664" s="64"/>
      <c r="X664" s="64"/>
      <c r="Y664" s="64"/>
      <c r="Z664" s="64"/>
      <c r="AA664" s="64"/>
      <c r="AB664" s="64"/>
      <c r="AC664" s="64"/>
      <c r="AD664" s="64"/>
      <c r="AE664" s="64"/>
      <c r="AF664" s="64"/>
      <c r="AG664" s="64"/>
    </row>
    <row r="665" spans="1:33">
      <c r="A665" s="64"/>
      <c r="B665" s="64"/>
      <c r="C665" s="64"/>
      <c r="D665" s="64"/>
      <c r="E665" s="70"/>
      <c r="F665" s="70"/>
      <c r="G665" s="64"/>
      <c r="H665" s="64"/>
      <c r="I665" s="64"/>
      <c r="J665" s="64"/>
      <c r="K665" s="64"/>
      <c r="L665" s="64"/>
      <c r="M665" s="64"/>
      <c r="N665" s="64"/>
      <c r="O665" s="64"/>
      <c r="P665" s="64"/>
      <c r="Q665" s="64"/>
      <c r="R665" s="64"/>
      <c r="S665" s="64"/>
      <c r="T665" s="64"/>
      <c r="U665" s="64"/>
      <c r="V665" s="64"/>
      <c r="W665" s="64"/>
      <c r="X665" s="64"/>
      <c r="Y665" s="64"/>
      <c r="Z665" s="64"/>
      <c r="AA665" s="64"/>
      <c r="AB665" s="64"/>
      <c r="AC665" s="64"/>
      <c r="AD665" s="64"/>
      <c r="AE665" s="64"/>
      <c r="AF665" s="64"/>
      <c r="AG665" s="64"/>
    </row>
    <row r="666" spans="1:33">
      <c r="A666" s="64"/>
      <c r="B666" s="64"/>
      <c r="C666" s="64"/>
      <c r="D666" s="64"/>
      <c r="E666" s="70"/>
      <c r="F666" s="70"/>
      <c r="G666" s="64"/>
      <c r="H666" s="64"/>
      <c r="I666" s="64"/>
      <c r="J666" s="64"/>
      <c r="K666" s="64"/>
      <c r="L666" s="64"/>
      <c r="M666" s="64"/>
      <c r="N666" s="64"/>
      <c r="O666" s="64"/>
      <c r="P666" s="64"/>
      <c r="Q666" s="64"/>
      <c r="R666" s="64"/>
      <c r="S666" s="64"/>
      <c r="T666" s="64"/>
      <c r="U666" s="64"/>
      <c r="V666" s="64"/>
      <c r="W666" s="64"/>
      <c r="X666" s="64"/>
      <c r="Y666" s="64"/>
      <c r="Z666" s="64"/>
      <c r="AA666" s="64"/>
      <c r="AB666" s="64"/>
      <c r="AC666" s="64"/>
      <c r="AD666" s="64"/>
      <c r="AE666" s="64"/>
      <c r="AF666" s="64"/>
      <c r="AG666" s="64"/>
    </row>
    <row r="667" spans="1:33">
      <c r="A667" s="64"/>
      <c r="B667" s="64"/>
      <c r="C667" s="64"/>
      <c r="D667" s="64"/>
      <c r="E667" s="70"/>
      <c r="F667" s="70"/>
      <c r="G667" s="64"/>
      <c r="H667" s="64"/>
      <c r="I667" s="64"/>
      <c r="J667" s="64"/>
      <c r="K667" s="64"/>
      <c r="L667" s="64"/>
      <c r="M667" s="64"/>
      <c r="N667" s="64"/>
      <c r="O667" s="64"/>
      <c r="P667" s="64"/>
      <c r="Q667" s="64"/>
      <c r="R667" s="64"/>
      <c r="S667" s="64"/>
      <c r="T667" s="64"/>
      <c r="U667" s="64"/>
      <c r="V667" s="64"/>
      <c r="W667" s="64"/>
      <c r="X667" s="64"/>
      <c r="Y667" s="64"/>
      <c r="Z667" s="64"/>
      <c r="AA667" s="64"/>
      <c r="AB667" s="64"/>
      <c r="AC667" s="64"/>
      <c r="AD667" s="64"/>
      <c r="AE667" s="64"/>
      <c r="AF667" s="64"/>
      <c r="AG667" s="64"/>
    </row>
    <row r="668" spans="1:33">
      <c r="A668" s="64"/>
      <c r="B668" s="64"/>
      <c r="C668" s="64"/>
      <c r="D668" s="64"/>
      <c r="E668" s="70"/>
      <c r="F668" s="70"/>
      <c r="G668" s="64"/>
      <c r="H668" s="64"/>
      <c r="I668" s="64"/>
      <c r="J668" s="64"/>
      <c r="K668" s="64"/>
      <c r="L668" s="64"/>
      <c r="M668" s="64"/>
      <c r="N668" s="64"/>
      <c r="O668" s="64"/>
      <c r="P668" s="64"/>
      <c r="Q668" s="64"/>
      <c r="R668" s="64"/>
      <c r="S668" s="64"/>
      <c r="T668" s="64"/>
      <c r="U668" s="64"/>
      <c r="V668" s="64"/>
      <c r="W668" s="64"/>
      <c r="X668" s="64"/>
      <c r="Y668" s="64"/>
      <c r="Z668" s="64"/>
      <c r="AA668" s="64"/>
      <c r="AB668" s="64"/>
      <c r="AC668" s="64"/>
      <c r="AD668" s="64"/>
      <c r="AE668" s="64"/>
      <c r="AF668" s="64"/>
      <c r="AG668" s="64"/>
    </row>
    <row r="669" spans="1:33">
      <c r="A669" s="64"/>
      <c r="B669" s="64"/>
      <c r="C669" s="64"/>
      <c r="D669" s="64"/>
      <c r="E669" s="70"/>
      <c r="F669" s="70"/>
      <c r="G669" s="64"/>
      <c r="H669" s="64"/>
      <c r="I669" s="64"/>
      <c r="J669" s="64"/>
      <c r="K669" s="64"/>
      <c r="L669" s="64"/>
      <c r="M669" s="64"/>
      <c r="N669" s="64"/>
      <c r="O669" s="64"/>
      <c r="P669" s="64"/>
      <c r="Q669" s="64"/>
      <c r="R669" s="64"/>
      <c r="S669" s="64"/>
      <c r="T669" s="64"/>
      <c r="U669" s="64"/>
      <c r="V669" s="64"/>
      <c r="W669" s="64"/>
      <c r="X669" s="64"/>
      <c r="Y669" s="64"/>
      <c r="Z669" s="64"/>
      <c r="AA669" s="64"/>
      <c r="AB669" s="64"/>
      <c r="AC669" s="64"/>
      <c r="AD669" s="64"/>
      <c r="AE669" s="64"/>
      <c r="AF669" s="64"/>
      <c r="AG669" s="64"/>
    </row>
    <row r="670" spans="1:33">
      <c r="A670" s="64"/>
      <c r="B670" s="64"/>
      <c r="C670" s="64"/>
      <c r="D670" s="64"/>
      <c r="E670" s="70"/>
      <c r="F670" s="70"/>
      <c r="G670" s="64"/>
      <c r="H670" s="64"/>
      <c r="I670" s="64"/>
      <c r="J670" s="64"/>
      <c r="K670" s="64"/>
      <c r="L670" s="64"/>
      <c r="M670" s="64"/>
      <c r="N670" s="64"/>
      <c r="O670" s="64"/>
      <c r="P670" s="64"/>
      <c r="Q670" s="64"/>
      <c r="R670" s="64"/>
      <c r="S670" s="64"/>
      <c r="T670" s="64"/>
      <c r="U670" s="64"/>
      <c r="V670" s="64"/>
      <c r="W670" s="64"/>
      <c r="X670" s="64"/>
      <c r="Y670" s="64"/>
      <c r="Z670" s="64"/>
      <c r="AA670" s="64"/>
      <c r="AB670" s="64"/>
      <c r="AC670" s="64"/>
      <c r="AD670" s="64"/>
      <c r="AE670" s="64"/>
      <c r="AF670" s="64"/>
      <c r="AG670" s="64"/>
    </row>
    <row r="671" spans="1:33">
      <c r="A671" s="64"/>
      <c r="B671" s="64"/>
      <c r="C671" s="64"/>
      <c r="D671" s="64"/>
      <c r="E671" s="70"/>
      <c r="F671" s="70"/>
      <c r="G671" s="64"/>
      <c r="H671" s="64"/>
      <c r="I671" s="64"/>
      <c r="J671" s="64"/>
      <c r="K671" s="64"/>
      <c r="L671" s="64"/>
      <c r="M671" s="64"/>
      <c r="N671" s="64"/>
      <c r="O671" s="64"/>
      <c r="P671" s="64"/>
      <c r="Q671" s="64"/>
      <c r="R671" s="64"/>
      <c r="S671" s="64"/>
      <c r="T671" s="64"/>
      <c r="U671" s="64"/>
      <c r="V671" s="64"/>
      <c r="W671" s="64"/>
      <c r="X671" s="64"/>
      <c r="Y671" s="64"/>
      <c r="Z671" s="64"/>
      <c r="AA671" s="64"/>
      <c r="AB671" s="64"/>
      <c r="AC671" s="64"/>
      <c r="AD671" s="64"/>
      <c r="AE671" s="64"/>
      <c r="AF671" s="64"/>
      <c r="AG671" s="64"/>
    </row>
    <row r="672" spans="1:33">
      <c r="A672" s="64"/>
      <c r="B672" s="64"/>
      <c r="C672" s="64"/>
      <c r="D672" s="64"/>
      <c r="E672" s="70"/>
      <c r="F672" s="70"/>
      <c r="G672" s="64"/>
      <c r="H672" s="64"/>
      <c r="I672" s="64"/>
      <c r="J672" s="64"/>
      <c r="K672" s="64"/>
      <c r="L672" s="64"/>
      <c r="M672" s="64"/>
      <c r="N672" s="64"/>
      <c r="O672" s="64"/>
      <c r="P672" s="64"/>
      <c r="Q672" s="64"/>
      <c r="R672" s="64"/>
      <c r="S672" s="64"/>
      <c r="T672" s="64"/>
      <c r="U672" s="64"/>
      <c r="V672" s="64"/>
      <c r="W672" s="64"/>
      <c r="X672" s="64"/>
      <c r="Y672" s="64"/>
      <c r="Z672" s="64"/>
      <c r="AA672" s="64"/>
      <c r="AB672" s="64"/>
      <c r="AC672" s="64"/>
      <c r="AD672" s="64"/>
      <c r="AE672" s="64"/>
      <c r="AF672" s="64"/>
      <c r="AG672" s="64"/>
    </row>
    <row r="673" spans="1:33">
      <c r="A673" s="64"/>
      <c r="B673" s="64"/>
      <c r="C673" s="64"/>
      <c r="D673" s="64"/>
      <c r="E673" s="70"/>
      <c r="F673" s="70"/>
      <c r="G673" s="64"/>
      <c r="H673" s="64"/>
      <c r="I673" s="64"/>
      <c r="J673" s="64"/>
      <c r="K673" s="64"/>
      <c r="L673" s="64"/>
      <c r="M673" s="64"/>
      <c r="N673" s="64"/>
      <c r="O673" s="64"/>
      <c r="P673" s="64"/>
      <c r="Q673" s="64"/>
      <c r="R673" s="64"/>
      <c r="S673" s="64"/>
      <c r="T673" s="64"/>
      <c r="U673" s="64"/>
      <c r="V673" s="64"/>
      <c r="W673" s="64"/>
      <c r="X673" s="64"/>
      <c r="Y673" s="64"/>
      <c r="Z673" s="64"/>
      <c r="AA673" s="64"/>
      <c r="AB673" s="64"/>
      <c r="AC673" s="64"/>
      <c r="AD673" s="64"/>
      <c r="AE673" s="64"/>
      <c r="AF673" s="64"/>
      <c r="AG673" s="64"/>
    </row>
    <row r="674" spans="1:33">
      <c r="A674" s="64"/>
      <c r="B674" s="64"/>
      <c r="C674" s="64"/>
      <c r="D674" s="64"/>
      <c r="E674" s="70"/>
      <c r="F674" s="70"/>
      <c r="G674" s="64"/>
      <c r="H674" s="64"/>
      <c r="I674" s="64"/>
      <c r="J674" s="64"/>
      <c r="K674" s="64"/>
      <c r="L674" s="64"/>
      <c r="M674" s="64"/>
      <c r="N674" s="64"/>
      <c r="O674" s="64"/>
      <c r="P674" s="64"/>
      <c r="Q674" s="64"/>
      <c r="R674" s="64"/>
      <c r="S674" s="64"/>
      <c r="T674" s="64"/>
      <c r="U674" s="64"/>
      <c r="V674" s="64"/>
      <c r="W674" s="64"/>
      <c r="X674" s="64"/>
      <c r="Y674" s="64"/>
      <c r="Z674" s="64"/>
      <c r="AA674" s="64"/>
      <c r="AB674" s="64"/>
      <c r="AC674" s="64"/>
      <c r="AD674" s="64"/>
      <c r="AE674" s="64"/>
      <c r="AF674" s="64"/>
      <c r="AG674" s="64"/>
    </row>
    <row r="675" spans="1:33">
      <c r="A675" s="64"/>
      <c r="B675" s="64"/>
      <c r="C675" s="64"/>
      <c r="D675" s="64"/>
      <c r="E675" s="70"/>
      <c r="F675" s="70"/>
      <c r="G675" s="64"/>
      <c r="H675" s="64"/>
      <c r="I675" s="64"/>
      <c r="J675" s="64"/>
      <c r="K675" s="64"/>
      <c r="L675" s="64"/>
      <c r="M675" s="64"/>
      <c r="N675" s="64"/>
      <c r="O675" s="64"/>
      <c r="P675" s="64"/>
      <c r="Q675" s="64"/>
      <c r="R675" s="64"/>
      <c r="S675" s="64"/>
      <c r="T675" s="64"/>
      <c r="U675" s="64"/>
      <c r="V675" s="64"/>
      <c r="W675" s="64"/>
      <c r="X675" s="64"/>
      <c r="Y675" s="64"/>
      <c r="Z675" s="64"/>
      <c r="AA675" s="64"/>
      <c r="AB675" s="64"/>
      <c r="AC675" s="64"/>
      <c r="AD675" s="64"/>
      <c r="AE675" s="64"/>
      <c r="AF675" s="64"/>
      <c r="AG675" s="64"/>
    </row>
    <row r="676" spans="1:33">
      <c r="A676" s="64"/>
      <c r="B676" s="64"/>
      <c r="C676" s="64"/>
      <c r="D676" s="64"/>
      <c r="E676" s="70"/>
      <c r="F676" s="70"/>
      <c r="G676" s="64"/>
      <c r="H676" s="64"/>
      <c r="I676" s="64"/>
      <c r="J676" s="64"/>
      <c r="K676" s="64"/>
      <c r="L676" s="64"/>
      <c r="M676" s="64"/>
      <c r="N676" s="64"/>
      <c r="O676" s="64"/>
      <c r="P676" s="64"/>
      <c r="Q676" s="64"/>
      <c r="R676" s="64"/>
      <c r="S676" s="64"/>
      <c r="T676" s="64"/>
      <c r="U676" s="64"/>
      <c r="V676" s="64"/>
      <c r="W676" s="64"/>
      <c r="X676" s="64"/>
      <c r="Y676" s="64"/>
      <c r="Z676" s="64"/>
      <c r="AA676" s="64"/>
      <c r="AB676" s="64"/>
      <c r="AC676" s="64"/>
      <c r="AD676" s="64"/>
      <c r="AE676" s="64"/>
      <c r="AF676" s="64"/>
      <c r="AG676" s="64"/>
    </row>
    <row r="677" spans="1:33">
      <c r="A677" s="64"/>
      <c r="B677" s="64"/>
      <c r="C677" s="64"/>
      <c r="D677" s="64"/>
      <c r="E677" s="70"/>
      <c r="F677" s="70"/>
      <c r="G677" s="64"/>
      <c r="H677" s="64"/>
      <c r="I677" s="64"/>
      <c r="J677" s="64"/>
      <c r="K677" s="64"/>
      <c r="L677" s="64"/>
      <c r="M677" s="64"/>
      <c r="N677" s="64"/>
      <c r="O677" s="64"/>
      <c r="P677" s="64"/>
      <c r="Q677" s="64"/>
      <c r="R677" s="64"/>
      <c r="S677" s="64"/>
      <c r="T677" s="64"/>
      <c r="U677" s="64"/>
      <c r="V677" s="64"/>
      <c r="W677" s="64"/>
      <c r="X677" s="64"/>
      <c r="Y677" s="64"/>
      <c r="Z677" s="64"/>
      <c r="AA677" s="64"/>
      <c r="AB677" s="64"/>
      <c r="AC677" s="64"/>
      <c r="AD677" s="64"/>
      <c r="AE677" s="64"/>
      <c r="AF677" s="64"/>
      <c r="AG677" s="64"/>
    </row>
    <row r="678" spans="1:33">
      <c r="A678" s="64"/>
      <c r="B678" s="64"/>
      <c r="C678" s="64"/>
      <c r="D678" s="64"/>
      <c r="E678" s="70"/>
      <c r="F678" s="70"/>
      <c r="G678" s="64"/>
      <c r="H678" s="64"/>
      <c r="I678" s="64"/>
      <c r="J678" s="64"/>
      <c r="K678" s="64"/>
      <c r="L678" s="64"/>
      <c r="M678" s="64"/>
      <c r="N678" s="64"/>
      <c r="O678" s="64"/>
      <c r="P678" s="64"/>
      <c r="Q678" s="64"/>
      <c r="R678" s="64"/>
      <c r="S678" s="64"/>
      <c r="T678" s="64"/>
      <c r="U678" s="64"/>
      <c r="V678" s="64"/>
      <c r="W678" s="64"/>
      <c r="X678" s="64"/>
      <c r="Y678" s="64"/>
      <c r="Z678" s="64"/>
      <c r="AA678" s="64"/>
      <c r="AB678" s="64"/>
      <c r="AC678" s="64"/>
      <c r="AD678" s="64"/>
      <c r="AE678" s="64"/>
      <c r="AF678" s="64"/>
      <c r="AG678" s="64"/>
    </row>
    <row r="679" spans="1:33">
      <c r="A679" s="64"/>
      <c r="B679" s="64"/>
      <c r="C679" s="64"/>
      <c r="D679" s="64"/>
      <c r="E679" s="70"/>
      <c r="F679" s="70"/>
      <c r="G679" s="64"/>
      <c r="H679" s="64"/>
      <c r="I679" s="64"/>
      <c r="J679" s="64"/>
      <c r="K679" s="64"/>
      <c r="L679" s="64"/>
      <c r="M679" s="64"/>
      <c r="N679" s="64"/>
      <c r="O679" s="64"/>
      <c r="P679" s="64"/>
      <c r="Q679" s="64"/>
      <c r="R679" s="64"/>
      <c r="S679" s="64"/>
      <c r="T679" s="64"/>
      <c r="U679" s="64"/>
      <c r="V679" s="64"/>
      <c r="W679" s="64"/>
      <c r="X679" s="64"/>
      <c r="Y679" s="64"/>
      <c r="Z679" s="64"/>
      <c r="AA679" s="64"/>
      <c r="AB679" s="64"/>
      <c r="AC679" s="64"/>
      <c r="AD679" s="64"/>
      <c r="AE679" s="64"/>
      <c r="AF679" s="64"/>
      <c r="AG679" s="64"/>
    </row>
    <row r="680" spans="1:33">
      <c r="A680" s="64"/>
      <c r="B680" s="64"/>
      <c r="C680" s="64"/>
      <c r="D680" s="64"/>
      <c r="E680" s="70"/>
      <c r="F680" s="70"/>
      <c r="G680" s="64"/>
      <c r="H680" s="64"/>
      <c r="I680" s="64"/>
      <c r="J680" s="64"/>
      <c r="K680" s="64"/>
      <c r="L680" s="64"/>
      <c r="M680" s="64"/>
      <c r="N680" s="64"/>
      <c r="O680" s="64"/>
      <c r="P680" s="64"/>
      <c r="Q680" s="64"/>
      <c r="R680" s="64"/>
      <c r="S680" s="64"/>
      <c r="T680" s="64"/>
      <c r="U680" s="64"/>
      <c r="V680" s="64"/>
      <c r="W680" s="64"/>
      <c r="X680" s="64"/>
      <c r="Y680" s="64"/>
      <c r="Z680" s="64"/>
      <c r="AA680" s="64"/>
      <c r="AB680" s="64"/>
      <c r="AC680" s="64"/>
      <c r="AD680" s="64"/>
      <c r="AE680" s="64"/>
      <c r="AF680" s="64"/>
      <c r="AG680" s="64"/>
    </row>
    <row r="681" spans="1:33">
      <c r="A681" s="64"/>
      <c r="B681" s="64"/>
      <c r="C681" s="64"/>
      <c r="D681" s="64"/>
      <c r="E681" s="70"/>
      <c r="F681" s="70"/>
      <c r="G681" s="64"/>
      <c r="H681" s="64"/>
      <c r="I681" s="64"/>
      <c r="J681" s="64"/>
      <c r="K681" s="64"/>
      <c r="L681" s="64"/>
      <c r="M681" s="64"/>
      <c r="N681" s="64"/>
      <c r="O681" s="64"/>
      <c r="P681" s="64"/>
      <c r="Q681" s="64"/>
      <c r="R681" s="64"/>
      <c r="S681" s="64"/>
      <c r="T681" s="64"/>
      <c r="U681" s="64"/>
      <c r="V681" s="64"/>
      <c r="W681" s="64"/>
      <c r="X681" s="64"/>
      <c r="Y681" s="64"/>
      <c r="Z681" s="64"/>
      <c r="AA681" s="64"/>
      <c r="AB681" s="64"/>
      <c r="AC681" s="64"/>
      <c r="AD681" s="64"/>
      <c r="AE681" s="64"/>
      <c r="AF681" s="64"/>
      <c r="AG681" s="64"/>
    </row>
    <row r="682" spans="1:33">
      <c r="A682" s="64"/>
      <c r="B682" s="64"/>
      <c r="C682" s="64"/>
      <c r="D682" s="64"/>
      <c r="E682" s="70"/>
      <c r="F682" s="70"/>
      <c r="G682" s="64"/>
      <c r="H682" s="64"/>
      <c r="I682" s="64"/>
      <c r="J682" s="64"/>
      <c r="K682" s="64"/>
      <c r="L682" s="64"/>
      <c r="M682" s="64"/>
      <c r="N682" s="64"/>
      <c r="O682" s="64"/>
      <c r="P682" s="64"/>
      <c r="Q682" s="64"/>
      <c r="R682" s="64"/>
      <c r="S682" s="64"/>
      <c r="T682" s="64"/>
      <c r="U682" s="64"/>
      <c r="V682" s="64"/>
      <c r="W682" s="64"/>
      <c r="X682" s="64"/>
      <c r="Y682" s="64"/>
      <c r="Z682" s="64"/>
      <c r="AA682" s="64"/>
      <c r="AB682" s="64"/>
      <c r="AC682" s="64"/>
      <c r="AD682" s="64"/>
      <c r="AE682" s="64"/>
      <c r="AF682" s="64"/>
      <c r="AG682" s="64"/>
    </row>
    <row r="683" spans="1:33">
      <c r="A683" s="64"/>
      <c r="B683" s="64"/>
      <c r="C683" s="64"/>
      <c r="D683" s="64"/>
      <c r="E683" s="70"/>
      <c r="F683" s="70"/>
      <c r="G683" s="64"/>
      <c r="H683" s="64"/>
      <c r="I683" s="64"/>
      <c r="J683" s="64"/>
      <c r="K683" s="64"/>
      <c r="L683" s="64"/>
      <c r="M683" s="64"/>
      <c r="N683" s="64"/>
      <c r="O683" s="64"/>
      <c r="P683" s="64"/>
      <c r="Q683" s="64"/>
      <c r="R683" s="64"/>
      <c r="S683" s="64"/>
      <c r="T683" s="64"/>
      <c r="U683" s="64"/>
      <c r="V683" s="64"/>
      <c r="W683" s="64"/>
      <c r="X683" s="64"/>
      <c r="Y683" s="64"/>
      <c r="Z683" s="64"/>
      <c r="AA683" s="64"/>
      <c r="AB683" s="64"/>
      <c r="AC683" s="64"/>
      <c r="AD683" s="64"/>
      <c r="AE683" s="64"/>
      <c r="AF683" s="64"/>
      <c r="AG683" s="64"/>
    </row>
    <row r="684" spans="1:33">
      <c r="A684" s="64"/>
      <c r="B684" s="64"/>
      <c r="C684" s="64"/>
      <c r="D684" s="64"/>
      <c r="E684" s="70"/>
      <c r="F684" s="70"/>
      <c r="G684" s="64"/>
      <c r="H684" s="64"/>
      <c r="I684" s="64"/>
      <c r="J684" s="64"/>
      <c r="K684" s="64"/>
      <c r="L684" s="64"/>
      <c r="M684" s="64"/>
      <c r="N684" s="64"/>
      <c r="O684" s="64"/>
      <c r="P684" s="64"/>
      <c r="Q684" s="64"/>
      <c r="R684" s="64"/>
      <c r="S684" s="64"/>
      <c r="T684" s="64"/>
      <c r="U684" s="64"/>
      <c r="V684" s="64"/>
      <c r="W684" s="64"/>
      <c r="X684" s="64"/>
      <c r="Y684" s="64"/>
      <c r="Z684" s="64"/>
      <c r="AA684" s="64"/>
      <c r="AB684" s="64"/>
      <c r="AC684" s="64"/>
      <c r="AD684" s="64"/>
      <c r="AE684" s="64"/>
      <c r="AF684" s="64"/>
      <c r="AG684" s="64"/>
    </row>
    <row r="685" spans="1:33">
      <c r="A685" s="64"/>
      <c r="B685" s="64"/>
      <c r="C685" s="64"/>
      <c r="D685" s="64"/>
      <c r="E685" s="70"/>
      <c r="F685" s="70"/>
      <c r="G685" s="64"/>
      <c r="H685" s="64"/>
      <c r="I685" s="64"/>
      <c r="J685" s="64"/>
      <c r="K685" s="64"/>
      <c r="L685" s="64"/>
      <c r="M685" s="64"/>
      <c r="N685" s="64"/>
      <c r="O685" s="64"/>
      <c r="P685" s="64"/>
      <c r="Q685" s="64"/>
      <c r="R685" s="64"/>
      <c r="S685" s="64"/>
      <c r="T685" s="64"/>
      <c r="U685" s="64"/>
      <c r="V685" s="64"/>
      <c r="W685" s="64"/>
      <c r="X685" s="64"/>
      <c r="Y685" s="64"/>
      <c r="Z685" s="64"/>
      <c r="AA685" s="64"/>
      <c r="AB685" s="64"/>
      <c r="AC685" s="64"/>
      <c r="AD685" s="64"/>
      <c r="AE685" s="64"/>
      <c r="AF685" s="64"/>
      <c r="AG685" s="64"/>
    </row>
    <row r="686" spans="1:33">
      <c r="A686" s="64"/>
      <c r="B686" s="64"/>
      <c r="C686" s="64"/>
      <c r="D686" s="64"/>
      <c r="E686" s="70"/>
      <c r="F686" s="70"/>
      <c r="G686" s="64"/>
      <c r="H686" s="64"/>
      <c r="I686" s="64"/>
      <c r="J686" s="64"/>
      <c r="K686" s="64"/>
      <c r="L686" s="64"/>
      <c r="M686" s="64"/>
      <c r="N686" s="64"/>
      <c r="O686" s="64"/>
      <c r="P686" s="64"/>
      <c r="Q686" s="64"/>
      <c r="R686" s="64"/>
      <c r="S686" s="64"/>
      <c r="T686" s="64"/>
      <c r="U686" s="64"/>
      <c r="V686" s="64"/>
      <c r="W686" s="64"/>
      <c r="X686" s="64"/>
      <c r="Y686" s="64"/>
      <c r="Z686" s="64"/>
      <c r="AA686" s="64"/>
      <c r="AB686" s="64"/>
      <c r="AC686" s="64"/>
      <c r="AD686" s="64"/>
      <c r="AE686" s="64"/>
      <c r="AF686" s="64"/>
      <c r="AG686" s="64"/>
    </row>
    <row r="687" spans="1:33">
      <c r="A687" s="64"/>
      <c r="B687" s="64"/>
      <c r="C687" s="64"/>
      <c r="D687" s="64"/>
      <c r="E687" s="70"/>
      <c r="F687" s="70"/>
      <c r="G687" s="64"/>
      <c r="H687" s="64"/>
      <c r="I687" s="64"/>
      <c r="J687" s="64"/>
      <c r="K687" s="64"/>
      <c r="L687" s="64"/>
      <c r="M687" s="64"/>
      <c r="N687" s="64"/>
      <c r="O687" s="64"/>
      <c r="P687" s="64"/>
      <c r="Q687" s="64"/>
      <c r="R687" s="64"/>
      <c r="S687" s="64"/>
      <c r="T687" s="64"/>
      <c r="U687" s="64"/>
      <c r="V687" s="64"/>
      <c r="W687" s="64"/>
      <c r="X687" s="64"/>
      <c r="Y687" s="64"/>
      <c r="Z687" s="64"/>
      <c r="AA687" s="64"/>
      <c r="AB687" s="64"/>
      <c r="AC687" s="64"/>
      <c r="AD687" s="64"/>
      <c r="AE687" s="64"/>
      <c r="AF687" s="64"/>
      <c r="AG687" s="64"/>
    </row>
    <row r="688" spans="1:33">
      <c r="A688" s="64"/>
      <c r="B688" s="64"/>
      <c r="C688" s="64"/>
      <c r="D688" s="64"/>
      <c r="E688" s="70"/>
      <c r="F688" s="70"/>
      <c r="G688" s="64"/>
      <c r="H688" s="64"/>
      <c r="I688" s="64"/>
      <c r="J688" s="64"/>
      <c r="K688" s="64"/>
      <c r="L688" s="64"/>
      <c r="M688" s="64"/>
      <c r="N688" s="64"/>
      <c r="O688" s="64"/>
      <c r="P688" s="64"/>
      <c r="Q688" s="64"/>
      <c r="R688" s="64"/>
      <c r="S688" s="64"/>
      <c r="T688" s="64"/>
      <c r="U688" s="64"/>
      <c r="V688" s="64"/>
      <c r="W688" s="64"/>
      <c r="X688" s="64"/>
      <c r="Y688" s="64"/>
      <c r="Z688" s="64"/>
      <c r="AA688" s="64"/>
      <c r="AB688" s="64"/>
      <c r="AC688" s="64"/>
      <c r="AD688" s="64"/>
      <c r="AE688" s="64"/>
      <c r="AF688" s="64"/>
      <c r="AG688" s="64"/>
    </row>
    <row r="689" spans="1:33">
      <c r="A689" s="64"/>
      <c r="B689" s="64"/>
      <c r="C689" s="64"/>
      <c r="D689" s="64"/>
      <c r="E689" s="70"/>
      <c r="F689" s="70"/>
      <c r="G689" s="64"/>
      <c r="H689" s="64"/>
      <c r="I689" s="64"/>
      <c r="J689" s="64"/>
      <c r="K689" s="64"/>
      <c r="L689" s="64"/>
      <c r="M689" s="64"/>
      <c r="N689" s="64"/>
      <c r="O689" s="64"/>
      <c r="P689" s="64"/>
      <c r="Q689" s="64"/>
      <c r="R689" s="64"/>
      <c r="S689" s="64"/>
      <c r="T689" s="64"/>
      <c r="U689" s="64"/>
      <c r="V689" s="64"/>
      <c r="W689" s="64"/>
      <c r="X689" s="64"/>
      <c r="Y689" s="64"/>
      <c r="Z689" s="64"/>
      <c r="AA689" s="64"/>
      <c r="AB689" s="64"/>
      <c r="AC689" s="64"/>
      <c r="AD689" s="64"/>
      <c r="AE689" s="64"/>
      <c r="AF689" s="64"/>
      <c r="AG689" s="64"/>
    </row>
    <row r="690" spans="1:33">
      <c r="A690" s="64"/>
      <c r="B690" s="64"/>
      <c r="C690" s="64"/>
      <c r="D690" s="64"/>
      <c r="E690" s="70"/>
      <c r="F690" s="70"/>
      <c r="G690" s="64"/>
      <c r="H690" s="64"/>
      <c r="I690" s="64"/>
      <c r="J690" s="64"/>
      <c r="K690" s="64"/>
      <c r="L690" s="64"/>
      <c r="M690" s="64"/>
      <c r="N690" s="64"/>
      <c r="O690" s="64"/>
      <c r="P690" s="64"/>
      <c r="Q690" s="64"/>
      <c r="R690" s="64"/>
      <c r="S690" s="64"/>
      <c r="T690" s="64"/>
      <c r="U690" s="64"/>
      <c r="V690" s="64"/>
      <c r="W690" s="64"/>
      <c r="X690" s="64"/>
      <c r="Y690" s="64"/>
      <c r="Z690" s="64"/>
      <c r="AA690" s="64"/>
      <c r="AB690" s="64"/>
      <c r="AC690" s="64"/>
      <c r="AD690" s="64"/>
      <c r="AE690" s="64"/>
      <c r="AF690" s="64"/>
      <c r="AG690" s="64"/>
    </row>
    <row r="691" spans="1:33">
      <c r="A691" s="64"/>
      <c r="B691" s="64"/>
      <c r="C691" s="64"/>
      <c r="D691" s="64"/>
      <c r="E691" s="70"/>
      <c r="F691" s="70"/>
      <c r="G691" s="64"/>
      <c r="H691" s="64"/>
      <c r="I691" s="64"/>
      <c r="J691" s="64"/>
      <c r="K691" s="64"/>
      <c r="L691" s="64"/>
      <c r="M691" s="64"/>
      <c r="N691" s="64"/>
      <c r="O691" s="64"/>
      <c r="P691" s="64"/>
      <c r="Q691" s="64"/>
      <c r="R691" s="64"/>
      <c r="S691" s="64"/>
      <c r="T691" s="64"/>
      <c r="U691" s="64"/>
      <c r="V691" s="64"/>
      <c r="W691" s="64"/>
      <c r="X691" s="64"/>
      <c r="Y691" s="64"/>
      <c r="Z691" s="64"/>
      <c r="AA691" s="64"/>
      <c r="AB691" s="64"/>
      <c r="AC691" s="64"/>
      <c r="AD691" s="64"/>
      <c r="AE691" s="64"/>
      <c r="AF691" s="64"/>
      <c r="AG691" s="64"/>
    </row>
    <row r="692" spans="1:33">
      <c r="A692" s="64"/>
      <c r="B692" s="64"/>
      <c r="C692" s="64"/>
      <c r="D692" s="64"/>
      <c r="E692" s="70"/>
      <c r="F692" s="70"/>
      <c r="G692" s="64"/>
      <c r="H692" s="64"/>
      <c r="I692" s="64"/>
      <c r="J692" s="64"/>
      <c r="K692" s="64"/>
      <c r="L692" s="64"/>
      <c r="M692" s="64"/>
      <c r="N692" s="64"/>
      <c r="O692" s="64"/>
      <c r="P692" s="64"/>
      <c r="Q692" s="64"/>
      <c r="R692" s="64"/>
      <c r="S692" s="64"/>
      <c r="T692" s="64"/>
      <c r="U692" s="64"/>
      <c r="V692" s="64"/>
      <c r="W692" s="64"/>
      <c r="X692" s="64"/>
      <c r="Y692" s="64"/>
      <c r="Z692" s="64"/>
      <c r="AA692" s="64"/>
      <c r="AB692" s="64"/>
      <c r="AC692" s="64"/>
      <c r="AD692" s="64"/>
      <c r="AE692" s="64"/>
      <c r="AF692" s="64"/>
      <c r="AG692" s="64"/>
    </row>
    <row r="693" spans="1:33">
      <c r="A693" s="64"/>
      <c r="B693" s="64"/>
      <c r="C693" s="64"/>
      <c r="D693" s="64"/>
      <c r="E693" s="70"/>
      <c r="F693" s="70"/>
      <c r="G693" s="64"/>
      <c r="H693" s="64"/>
      <c r="I693" s="64"/>
      <c r="J693" s="64"/>
      <c r="K693" s="64"/>
      <c r="L693" s="64"/>
      <c r="M693" s="64"/>
      <c r="N693" s="64"/>
      <c r="O693" s="64"/>
      <c r="P693" s="64"/>
      <c r="Q693" s="64"/>
      <c r="R693" s="64"/>
      <c r="S693" s="64"/>
      <c r="T693" s="64"/>
      <c r="U693" s="64"/>
      <c r="V693" s="64"/>
      <c r="W693" s="64"/>
      <c r="X693" s="64"/>
      <c r="Y693" s="64"/>
      <c r="Z693" s="64"/>
      <c r="AA693" s="64"/>
      <c r="AB693" s="64"/>
      <c r="AC693" s="64"/>
      <c r="AD693" s="64"/>
      <c r="AE693" s="64"/>
      <c r="AF693" s="64"/>
      <c r="AG693" s="64"/>
    </row>
    <row r="694" spans="1:33">
      <c r="A694" s="64"/>
      <c r="B694" s="64"/>
      <c r="C694" s="64"/>
      <c r="D694" s="64"/>
      <c r="E694" s="70"/>
      <c r="F694" s="70"/>
      <c r="G694" s="64"/>
      <c r="H694" s="64"/>
      <c r="I694" s="64"/>
      <c r="J694" s="64"/>
      <c r="K694" s="64"/>
      <c r="L694" s="64"/>
      <c r="M694" s="64"/>
      <c r="N694" s="64"/>
      <c r="O694" s="64"/>
      <c r="P694" s="64"/>
      <c r="Q694" s="64"/>
      <c r="R694" s="64"/>
      <c r="S694" s="64"/>
      <c r="T694" s="64"/>
      <c r="U694" s="64"/>
      <c r="V694" s="64"/>
      <c r="W694" s="64"/>
      <c r="X694" s="64"/>
      <c r="Y694" s="64"/>
      <c r="Z694" s="64"/>
      <c r="AA694" s="64"/>
      <c r="AB694" s="64"/>
      <c r="AC694" s="64"/>
      <c r="AD694" s="64"/>
      <c r="AE694" s="64"/>
      <c r="AF694" s="64"/>
      <c r="AG694" s="64"/>
    </row>
    <row r="695" spans="1:33">
      <c r="A695" s="64"/>
      <c r="B695" s="64"/>
      <c r="C695" s="64"/>
      <c r="D695" s="64"/>
      <c r="E695" s="70"/>
      <c r="F695" s="70"/>
      <c r="G695" s="64"/>
      <c r="H695" s="64"/>
      <c r="I695" s="64"/>
      <c r="J695" s="64"/>
      <c r="K695" s="64"/>
      <c r="L695" s="64"/>
      <c r="M695" s="64"/>
      <c r="N695" s="64"/>
      <c r="O695" s="64"/>
      <c r="P695" s="64"/>
      <c r="Q695" s="64"/>
      <c r="R695" s="64"/>
      <c r="S695" s="64"/>
      <c r="T695" s="64"/>
      <c r="U695" s="64"/>
      <c r="V695" s="64"/>
      <c r="W695" s="64"/>
      <c r="X695" s="64"/>
      <c r="Y695" s="64"/>
      <c r="Z695" s="64"/>
      <c r="AA695" s="64"/>
      <c r="AB695" s="64"/>
      <c r="AC695" s="64"/>
      <c r="AD695" s="64"/>
      <c r="AE695" s="64"/>
      <c r="AF695" s="64"/>
      <c r="AG695" s="64"/>
    </row>
    <row r="696" spans="1:33">
      <c r="A696" s="64"/>
      <c r="B696" s="64"/>
      <c r="C696" s="64"/>
      <c r="D696" s="64"/>
      <c r="E696" s="70"/>
      <c r="F696" s="70"/>
      <c r="G696" s="64"/>
      <c r="H696" s="64"/>
      <c r="I696" s="64"/>
      <c r="J696" s="64"/>
      <c r="K696" s="64"/>
      <c r="L696" s="64"/>
      <c r="M696" s="64"/>
      <c r="N696" s="64"/>
      <c r="O696" s="64"/>
      <c r="P696" s="64"/>
      <c r="Q696" s="64"/>
      <c r="R696" s="64"/>
      <c r="S696" s="64"/>
      <c r="T696" s="64"/>
      <c r="U696" s="64"/>
      <c r="V696" s="64"/>
      <c r="W696" s="64"/>
      <c r="X696" s="64"/>
      <c r="Y696" s="64"/>
      <c r="Z696" s="64"/>
      <c r="AA696" s="64"/>
      <c r="AB696" s="64"/>
      <c r="AC696" s="64"/>
      <c r="AD696" s="64"/>
      <c r="AE696" s="64"/>
      <c r="AF696" s="64"/>
      <c r="AG696" s="64"/>
    </row>
    <row r="697" spans="1:33">
      <c r="A697" s="64"/>
      <c r="B697" s="64"/>
      <c r="C697" s="64"/>
      <c r="D697" s="64"/>
      <c r="E697" s="70"/>
      <c r="F697" s="70"/>
      <c r="G697" s="64"/>
      <c r="H697" s="64"/>
      <c r="I697" s="64"/>
      <c r="J697" s="64"/>
      <c r="K697" s="64"/>
      <c r="L697" s="64"/>
      <c r="M697" s="64"/>
      <c r="N697" s="64"/>
      <c r="O697" s="64"/>
      <c r="P697" s="64"/>
      <c r="Q697" s="64"/>
      <c r="R697" s="64"/>
      <c r="S697" s="64"/>
      <c r="T697" s="64"/>
      <c r="U697" s="64"/>
      <c r="V697" s="64"/>
      <c r="W697" s="64"/>
      <c r="X697" s="64"/>
      <c r="Y697" s="64"/>
      <c r="Z697" s="64"/>
      <c r="AA697" s="64"/>
      <c r="AB697" s="64"/>
      <c r="AC697" s="64"/>
      <c r="AD697" s="64"/>
      <c r="AE697" s="64"/>
      <c r="AF697" s="64"/>
      <c r="AG697" s="64"/>
    </row>
    <row r="698" spans="1:33">
      <c r="A698" s="64"/>
      <c r="B698" s="64"/>
      <c r="C698" s="64"/>
      <c r="D698" s="64"/>
      <c r="E698" s="70"/>
      <c r="F698" s="70"/>
      <c r="G698" s="64"/>
      <c r="H698" s="64"/>
      <c r="I698" s="64"/>
      <c r="J698" s="64"/>
      <c r="K698" s="64"/>
      <c r="L698" s="64"/>
      <c r="M698" s="64"/>
      <c r="N698" s="64"/>
      <c r="O698" s="64"/>
      <c r="P698" s="64"/>
      <c r="Q698" s="64"/>
      <c r="R698" s="64"/>
      <c r="S698" s="64"/>
      <c r="T698" s="64"/>
      <c r="U698" s="64"/>
      <c r="V698" s="64"/>
      <c r="W698" s="64"/>
      <c r="X698" s="64"/>
      <c r="Y698" s="64"/>
      <c r="Z698" s="64"/>
      <c r="AA698" s="64"/>
      <c r="AB698" s="64"/>
      <c r="AC698" s="64"/>
      <c r="AD698" s="64"/>
      <c r="AE698" s="64"/>
      <c r="AF698" s="64"/>
      <c r="AG698" s="64"/>
    </row>
    <row r="699" spans="1:33">
      <c r="A699" s="64"/>
      <c r="B699" s="64"/>
      <c r="C699" s="64"/>
      <c r="D699" s="64"/>
      <c r="E699" s="70"/>
      <c r="F699" s="70"/>
      <c r="G699" s="64"/>
      <c r="H699" s="64"/>
      <c r="I699" s="64"/>
      <c r="J699" s="64"/>
      <c r="K699" s="64"/>
      <c r="L699" s="64"/>
      <c r="M699" s="64"/>
      <c r="N699" s="64"/>
      <c r="O699" s="64"/>
      <c r="P699" s="64"/>
      <c r="Q699" s="64"/>
      <c r="R699" s="64"/>
      <c r="S699" s="64"/>
      <c r="T699" s="64"/>
      <c r="U699" s="64"/>
      <c r="V699" s="64"/>
      <c r="W699" s="64"/>
      <c r="X699" s="64"/>
      <c r="Y699" s="64"/>
      <c r="Z699" s="64"/>
      <c r="AA699" s="64"/>
      <c r="AB699" s="64"/>
      <c r="AC699" s="64"/>
      <c r="AD699" s="64"/>
      <c r="AE699" s="64"/>
      <c r="AF699" s="64"/>
      <c r="AG699" s="64"/>
    </row>
    <row r="700" spans="1:33">
      <c r="A700" s="64"/>
      <c r="B700" s="64"/>
      <c r="C700" s="64"/>
      <c r="D700" s="64"/>
      <c r="E700" s="70"/>
      <c r="F700" s="70"/>
      <c r="G700" s="64"/>
      <c r="H700" s="64"/>
      <c r="I700" s="64"/>
      <c r="J700" s="64"/>
      <c r="K700" s="64"/>
      <c r="L700" s="64"/>
      <c r="M700" s="64"/>
      <c r="N700" s="64"/>
      <c r="O700" s="64"/>
      <c r="P700" s="64"/>
      <c r="Q700" s="64"/>
      <c r="R700" s="64"/>
      <c r="S700" s="64"/>
      <c r="T700" s="64"/>
      <c r="U700" s="64"/>
      <c r="V700" s="64"/>
      <c r="W700" s="64"/>
      <c r="X700" s="64"/>
      <c r="Y700" s="64"/>
      <c r="Z700" s="64"/>
      <c r="AA700" s="64"/>
      <c r="AB700" s="64"/>
      <c r="AC700" s="64"/>
      <c r="AD700" s="64"/>
      <c r="AE700" s="64"/>
      <c r="AF700" s="64"/>
      <c r="AG700" s="64"/>
    </row>
    <row r="701" spans="1:33">
      <c r="A701" s="64"/>
      <c r="B701" s="64"/>
      <c r="C701" s="64"/>
      <c r="D701" s="64"/>
      <c r="E701" s="70"/>
      <c r="F701" s="70"/>
      <c r="G701" s="64"/>
      <c r="H701" s="64"/>
      <c r="I701" s="64"/>
      <c r="J701" s="64"/>
      <c r="K701" s="64"/>
      <c r="L701" s="64"/>
      <c r="M701" s="64"/>
      <c r="N701" s="64"/>
      <c r="O701" s="64"/>
      <c r="P701" s="64"/>
      <c r="Q701" s="64"/>
      <c r="R701" s="64"/>
      <c r="S701" s="64"/>
      <c r="T701" s="64"/>
      <c r="U701" s="64"/>
      <c r="V701" s="64"/>
      <c r="W701" s="64"/>
      <c r="X701" s="64"/>
      <c r="Y701" s="64"/>
      <c r="Z701" s="64"/>
      <c r="AA701" s="64"/>
      <c r="AB701" s="64"/>
      <c r="AC701" s="64"/>
      <c r="AD701" s="64"/>
      <c r="AE701" s="64"/>
      <c r="AF701" s="64"/>
      <c r="AG701" s="64"/>
    </row>
    <row r="702" spans="1:33">
      <c r="A702" s="64"/>
      <c r="B702" s="64"/>
      <c r="C702" s="64"/>
      <c r="D702" s="64"/>
      <c r="E702" s="70"/>
      <c r="F702" s="70"/>
      <c r="G702" s="64"/>
      <c r="H702" s="64"/>
      <c r="I702" s="64"/>
      <c r="J702" s="64"/>
      <c r="K702" s="64"/>
      <c r="L702" s="64"/>
      <c r="M702" s="64"/>
      <c r="N702" s="64"/>
      <c r="O702" s="64"/>
      <c r="P702" s="64"/>
      <c r="Q702" s="64"/>
      <c r="R702" s="64"/>
      <c r="S702" s="64"/>
      <c r="T702" s="64"/>
      <c r="U702" s="64"/>
      <c r="V702" s="64"/>
      <c r="W702" s="64"/>
      <c r="X702" s="64"/>
      <c r="Y702" s="64"/>
      <c r="Z702" s="64"/>
      <c r="AA702" s="64"/>
      <c r="AB702" s="64"/>
      <c r="AC702" s="64"/>
      <c r="AD702" s="64"/>
      <c r="AE702" s="64"/>
      <c r="AF702" s="64"/>
      <c r="AG702" s="64"/>
    </row>
    <row r="703" spans="1:33">
      <c r="A703" s="64"/>
      <c r="B703" s="64"/>
      <c r="C703" s="64"/>
      <c r="D703" s="64"/>
      <c r="E703" s="70"/>
      <c r="F703" s="70"/>
      <c r="G703" s="64"/>
      <c r="H703" s="64"/>
      <c r="I703" s="64"/>
      <c r="J703" s="64"/>
      <c r="K703" s="64"/>
      <c r="L703" s="64"/>
      <c r="M703" s="64"/>
      <c r="N703" s="64"/>
      <c r="O703" s="64"/>
      <c r="P703" s="64"/>
      <c r="Q703" s="64"/>
      <c r="R703" s="64"/>
      <c r="S703" s="64"/>
      <c r="T703" s="64"/>
      <c r="U703" s="64"/>
      <c r="V703" s="64"/>
      <c r="W703" s="64"/>
      <c r="X703" s="64"/>
      <c r="Y703" s="64"/>
      <c r="Z703" s="64"/>
      <c r="AA703" s="64"/>
      <c r="AB703" s="64"/>
      <c r="AC703" s="64"/>
      <c r="AD703" s="64"/>
      <c r="AE703" s="64"/>
      <c r="AF703" s="64"/>
      <c r="AG703" s="64"/>
    </row>
    <row r="704" spans="1:33">
      <c r="A704" s="64"/>
      <c r="B704" s="64"/>
      <c r="C704" s="64"/>
      <c r="D704" s="64"/>
      <c r="E704" s="70"/>
      <c r="F704" s="70"/>
      <c r="G704" s="64"/>
      <c r="H704" s="64"/>
      <c r="I704" s="64"/>
      <c r="J704" s="64"/>
      <c r="K704" s="64"/>
      <c r="L704" s="64"/>
      <c r="M704" s="64"/>
      <c r="N704" s="64"/>
      <c r="O704" s="64"/>
      <c r="P704" s="64"/>
      <c r="Q704" s="64"/>
      <c r="R704" s="64"/>
      <c r="S704" s="64"/>
      <c r="T704" s="64"/>
      <c r="U704" s="64"/>
      <c r="V704" s="64"/>
      <c r="W704" s="64"/>
      <c r="X704" s="64"/>
      <c r="Y704" s="64"/>
      <c r="Z704" s="64"/>
      <c r="AA704" s="64"/>
      <c r="AB704" s="64"/>
      <c r="AC704" s="64"/>
      <c r="AD704" s="64"/>
      <c r="AE704" s="64"/>
      <c r="AF704" s="64"/>
      <c r="AG704" s="64"/>
    </row>
    <row r="705" spans="1:33">
      <c r="A705" s="64"/>
      <c r="B705" s="64"/>
      <c r="C705" s="64"/>
      <c r="D705" s="64"/>
      <c r="E705" s="70"/>
      <c r="F705" s="70"/>
      <c r="G705" s="64"/>
      <c r="H705" s="64"/>
      <c r="I705" s="64"/>
      <c r="J705" s="64"/>
      <c r="K705" s="64"/>
      <c r="L705" s="64"/>
      <c r="M705" s="64"/>
      <c r="N705" s="64"/>
      <c r="O705" s="64"/>
      <c r="P705" s="64"/>
      <c r="Q705" s="64"/>
      <c r="R705" s="64"/>
      <c r="S705" s="64"/>
      <c r="T705" s="64"/>
      <c r="U705" s="64"/>
      <c r="V705" s="64"/>
      <c r="W705" s="64"/>
      <c r="X705" s="64"/>
      <c r="Y705" s="64"/>
      <c r="Z705" s="64"/>
      <c r="AA705" s="64"/>
      <c r="AB705" s="64"/>
      <c r="AC705" s="64"/>
      <c r="AD705" s="64"/>
      <c r="AE705" s="64"/>
      <c r="AF705" s="64"/>
      <c r="AG705" s="64"/>
    </row>
    <row r="706" spans="1:33">
      <c r="A706" s="64"/>
      <c r="B706" s="64"/>
      <c r="C706" s="64"/>
      <c r="D706" s="64"/>
      <c r="E706" s="70"/>
      <c r="F706" s="70"/>
      <c r="G706" s="64"/>
      <c r="H706" s="64"/>
      <c r="I706" s="64"/>
      <c r="J706" s="64"/>
      <c r="K706" s="64"/>
      <c r="L706" s="64"/>
      <c r="M706" s="64"/>
      <c r="N706" s="64"/>
      <c r="O706" s="64"/>
      <c r="P706" s="64"/>
      <c r="Q706" s="64"/>
      <c r="R706" s="64"/>
      <c r="S706" s="64"/>
      <c r="T706" s="64"/>
      <c r="U706" s="64"/>
      <c r="V706" s="64"/>
      <c r="W706" s="64"/>
      <c r="X706" s="64"/>
      <c r="Y706" s="64"/>
      <c r="Z706" s="64"/>
      <c r="AA706" s="64"/>
      <c r="AB706" s="64"/>
      <c r="AC706" s="64"/>
      <c r="AD706" s="64"/>
      <c r="AE706" s="64"/>
      <c r="AF706" s="64"/>
      <c r="AG706" s="64"/>
    </row>
    <row r="707" spans="1:33">
      <c r="A707" s="64"/>
      <c r="B707" s="64"/>
      <c r="C707" s="64"/>
      <c r="D707" s="64"/>
      <c r="E707" s="70"/>
      <c r="F707" s="70"/>
      <c r="G707" s="64"/>
      <c r="H707" s="64"/>
      <c r="I707" s="64"/>
      <c r="J707" s="64"/>
      <c r="K707" s="64"/>
      <c r="L707" s="64"/>
      <c r="M707" s="64"/>
      <c r="N707" s="64"/>
      <c r="O707" s="64"/>
      <c r="P707" s="64"/>
      <c r="Q707" s="64"/>
      <c r="R707" s="64"/>
      <c r="S707" s="64"/>
      <c r="T707" s="64"/>
      <c r="U707" s="64"/>
      <c r="V707" s="64"/>
      <c r="W707" s="64"/>
      <c r="X707" s="64"/>
      <c r="Y707" s="64"/>
      <c r="Z707" s="64"/>
      <c r="AA707" s="64"/>
      <c r="AB707" s="64"/>
      <c r="AC707" s="64"/>
      <c r="AD707" s="64"/>
      <c r="AE707" s="64"/>
      <c r="AF707" s="64"/>
      <c r="AG707" s="64"/>
    </row>
    <row r="708" spans="1:33">
      <c r="A708" s="64"/>
      <c r="B708" s="64"/>
      <c r="C708" s="64"/>
      <c r="D708" s="64"/>
      <c r="E708" s="70"/>
      <c r="F708" s="70"/>
      <c r="G708" s="64"/>
      <c r="H708" s="64"/>
      <c r="I708" s="64"/>
      <c r="J708" s="64"/>
      <c r="K708" s="64"/>
      <c r="L708" s="64"/>
      <c r="M708" s="64"/>
      <c r="N708" s="64"/>
      <c r="O708" s="64"/>
      <c r="P708" s="64"/>
      <c r="Q708" s="64"/>
      <c r="R708" s="64"/>
      <c r="S708" s="64"/>
      <c r="T708" s="64"/>
      <c r="U708" s="64"/>
      <c r="V708" s="64"/>
      <c r="W708" s="64"/>
      <c r="X708" s="64"/>
      <c r="Y708" s="64"/>
      <c r="Z708" s="64"/>
      <c r="AA708" s="64"/>
      <c r="AB708" s="64"/>
      <c r="AC708" s="64"/>
      <c r="AD708" s="64"/>
      <c r="AE708" s="64"/>
      <c r="AF708" s="64"/>
      <c r="AG708" s="64"/>
    </row>
    <row r="709" spans="1:33">
      <c r="A709" s="64"/>
      <c r="B709" s="64"/>
      <c r="C709" s="64"/>
      <c r="D709" s="64"/>
      <c r="E709" s="70"/>
      <c r="F709" s="70"/>
      <c r="G709" s="64"/>
      <c r="H709" s="64"/>
      <c r="I709" s="64"/>
      <c r="J709" s="64"/>
      <c r="K709" s="64"/>
      <c r="L709" s="64"/>
      <c r="M709" s="64"/>
      <c r="N709" s="64"/>
      <c r="O709" s="64"/>
      <c r="P709" s="64"/>
      <c r="Q709" s="64"/>
      <c r="R709" s="64"/>
      <c r="S709" s="64"/>
      <c r="T709" s="64"/>
      <c r="U709" s="64"/>
      <c r="V709" s="64"/>
      <c r="W709" s="64"/>
      <c r="X709" s="64"/>
      <c r="Y709" s="64"/>
      <c r="Z709" s="64"/>
      <c r="AA709" s="64"/>
      <c r="AB709" s="64"/>
      <c r="AC709" s="64"/>
      <c r="AD709" s="64"/>
      <c r="AE709" s="64"/>
      <c r="AF709" s="64"/>
      <c r="AG709" s="64"/>
    </row>
    <row r="710" spans="1:33">
      <c r="A710" s="64"/>
      <c r="B710" s="64"/>
      <c r="C710" s="64"/>
      <c r="D710" s="64"/>
      <c r="E710" s="70"/>
      <c r="F710" s="70"/>
      <c r="G710" s="64"/>
      <c r="H710" s="64"/>
      <c r="I710" s="64"/>
      <c r="J710" s="64"/>
      <c r="K710" s="64"/>
      <c r="L710" s="64"/>
      <c r="M710" s="64"/>
      <c r="N710" s="64"/>
      <c r="O710" s="64"/>
      <c r="P710" s="64"/>
      <c r="Q710" s="64"/>
      <c r="R710" s="64"/>
      <c r="S710" s="64"/>
      <c r="T710" s="64"/>
      <c r="U710" s="64"/>
      <c r="V710" s="64"/>
      <c r="W710" s="64"/>
      <c r="X710" s="64"/>
      <c r="Y710" s="64"/>
      <c r="Z710" s="64"/>
      <c r="AA710" s="64"/>
      <c r="AB710" s="64"/>
      <c r="AC710" s="64"/>
      <c r="AD710" s="64"/>
      <c r="AE710" s="64"/>
      <c r="AF710" s="64"/>
      <c r="AG710" s="64"/>
    </row>
    <row r="711" spans="1:33">
      <c r="A711" s="64"/>
      <c r="B711" s="64"/>
      <c r="C711" s="64"/>
      <c r="D711" s="64"/>
      <c r="E711" s="70"/>
      <c r="F711" s="70"/>
      <c r="G711" s="64"/>
      <c r="H711" s="64"/>
      <c r="I711" s="64"/>
      <c r="J711" s="64"/>
      <c r="K711" s="64"/>
      <c r="L711" s="64"/>
      <c r="M711" s="64"/>
      <c r="N711" s="64"/>
      <c r="O711" s="64"/>
      <c r="P711" s="64"/>
      <c r="Q711" s="64"/>
      <c r="R711" s="64"/>
      <c r="S711" s="64"/>
      <c r="T711" s="64"/>
      <c r="U711" s="64"/>
      <c r="V711" s="64"/>
      <c r="W711" s="64"/>
      <c r="X711" s="64"/>
      <c r="Y711" s="64"/>
      <c r="Z711" s="64"/>
      <c r="AA711" s="64"/>
      <c r="AB711" s="64"/>
      <c r="AC711" s="64"/>
      <c r="AD711" s="64"/>
      <c r="AE711" s="64"/>
      <c r="AF711" s="64"/>
      <c r="AG711" s="64"/>
    </row>
    <row r="712" spans="1:33">
      <c r="A712" s="64"/>
      <c r="B712" s="64"/>
      <c r="C712" s="64"/>
      <c r="D712" s="64"/>
      <c r="E712" s="70"/>
      <c r="F712" s="70"/>
      <c r="G712" s="64"/>
      <c r="H712" s="64"/>
      <c r="I712" s="64"/>
      <c r="J712" s="64"/>
      <c r="K712" s="64"/>
      <c r="L712" s="64"/>
      <c r="M712" s="64"/>
      <c r="N712" s="64"/>
      <c r="O712" s="64"/>
      <c r="P712" s="64"/>
      <c r="Q712" s="64"/>
      <c r="R712" s="64"/>
      <c r="S712" s="64"/>
      <c r="T712" s="64"/>
      <c r="U712" s="64"/>
      <c r="V712" s="64"/>
      <c r="W712" s="64"/>
      <c r="X712" s="64"/>
      <c r="Y712" s="64"/>
      <c r="Z712" s="64"/>
      <c r="AA712" s="64"/>
      <c r="AB712" s="64"/>
      <c r="AC712" s="64"/>
      <c r="AD712" s="64"/>
      <c r="AE712" s="64"/>
      <c r="AF712" s="64"/>
      <c r="AG712" s="64"/>
    </row>
    <row r="713" spans="1:33">
      <c r="A713" s="64"/>
      <c r="B713" s="64"/>
      <c r="C713" s="64"/>
      <c r="D713" s="64"/>
      <c r="E713" s="70"/>
      <c r="F713" s="70"/>
      <c r="G713" s="64"/>
      <c r="H713" s="64"/>
      <c r="I713" s="64"/>
      <c r="J713" s="64"/>
      <c r="K713" s="64"/>
      <c r="L713" s="64"/>
      <c r="M713" s="64"/>
      <c r="N713" s="64"/>
      <c r="O713" s="64"/>
      <c r="P713" s="64"/>
      <c r="Q713" s="64"/>
      <c r="R713" s="64"/>
      <c r="S713" s="64"/>
      <c r="T713" s="64"/>
      <c r="U713" s="64"/>
      <c r="V713" s="64"/>
      <c r="W713" s="64"/>
      <c r="X713" s="64"/>
      <c r="Y713" s="64"/>
      <c r="Z713" s="64"/>
      <c r="AA713" s="64"/>
      <c r="AB713" s="64"/>
      <c r="AC713" s="64"/>
      <c r="AD713" s="64"/>
      <c r="AE713" s="64"/>
      <c r="AF713" s="64"/>
      <c r="AG713" s="64"/>
    </row>
    <row r="714" spans="1:33">
      <c r="A714" s="64"/>
      <c r="B714" s="64"/>
      <c r="C714" s="64"/>
      <c r="D714" s="64"/>
      <c r="E714" s="70"/>
      <c r="F714" s="70"/>
      <c r="G714" s="64"/>
      <c r="H714" s="64"/>
      <c r="I714" s="64"/>
      <c r="J714" s="64"/>
      <c r="K714" s="64"/>
      <c r="L714" s="64"/>
      <c r="M714" s="64"/>
      <c r="N714" s="64"/>
      <c r="O714" s="64"/>
      <c r="P714" s="64"/>
      <c r="Q714" s="64"/>
      <c r="R714" s="64"/>
      <c r="S714" s="64"/>
      <c r="T714" s="64"/>
      <c r="U714" s="64"/>
      <c r="V714" s="64"/>
      <c r="W714" s="64"/>
      <c r="X714" s="64"/>
      <c r="Y714" s="64"/>
      <c r="Z714" s="64"/>
      <c r="AA714" s="64"/>
      <c r="AB714" s="64"/>
      <c r="AC714" s="64"/>
      <c r="AD714" s="64"/>
      <c r="AE714" s="64"/>
      <c r="AF714" s="64"/>
      <c r="AG714" s="64"/>
    </row>
    <row r="715" spans="1:33">
      <c r="A715" s="64"/>
      <c r="B715" s="64"/>
      <c r="C715" s="64"/>
      <c r="D715" s="64"/>
      <c r="E715" s="70"/>
      <c r="F715" s="70"/>
      <c r="G715" s="64"/>
      <c r="H715" s="64"/>
      <c r="I715" s="64"/>
      <c r="J715" s="64"/>
      <c r="K715" s="64"/>
      <c r="L715" s="64"/>
      <c r="M715" s="64"/>
      <c r="N715" s="64"/>
      <c r="O715" s="64"/>
      <c r="P715" s="64"/>
      <c r="Q715" s="64"/>
      <c r="R715" s="64"/>
      <c r="S715" s="64"/>
      <c r="T715" s="64"/>
      <c r="U715" s="64"/>
      <c r="V715" s="64"/>
      <c r="W715" s="64"/>
      <c r="X715" s="64"/>
      <c r="Y715" s="64"/>
      <c r="Z715" s="64"/>
      <c r="AA715" s="64"/>
      <c r="AB715" s="64"/>
      <c r="AC715" s="64"/>
      <c r="AD715" s="64"/>
      <c r="AE715" s="64"/>
      <c r="AF715" s="64"/>
      <c r="AG715" s="64"/>
    </row>
    <row r="716" spans="1:33">
      <c r="A716" s="64"/>
      <c r="B716" s="64"/>
      <c r="C716" s="64"/>
      <c r="D716" s="64"/>
      <c r="E716" s="70"/>
      <c r="F716" s="70"/>
      <c r="G716" s="64"/>
      <c r="H716" s="64"/>
      <c r="I716" s="64"/>
      <c r="J716" s="64"/>
      <c r="K716" s="64"/>
      <c r="L716" s="64"/>
      <c r="M716" s="64"/>
      <c r="N716" s="64"/>
      <c r="O716" s="64"/>
      <c r="P716" s="64"/>
      <c r="Q716" s="64"/>
      <c r="R716" s="64"/>
      <c r="S716" s="64"/>
      <c r="T716" s="64"/>
      <c r="U716" s="64"/>
      <c r="V716" s="64"/>
      <c r="W716" s="64"/>
      <c r="X716" s="64"/>
      <c r="Y716" s="64"/>
      <c r="Z716" s="64"/>
      <c r="AA716" s="64"/>
      <c r="AB716" s="64"/>
      <c r="AC716" s="64"/>
      <c r="AD716" s="64"/>
      <c r="AE716" s="64"/>
      <c r="AF716" s="64"/>
      <c r="AG716" s="64"/>
    </row>
    <row r="717" spans="1:33">
      <c r="A717" s="64"/>
      <c r="B717" s="64"/>
      <c r="C717" s="64"/>
      <c r="D717" s="64"/>
      <c r="E717" s="70"/>
      <c r="F717" s="70"/>
      <c r="G717" s="64"/>
      <c r="H717" s="64"/>
      <c r="I717" s="64"/>
      <c r="J717" s="64"/>
      <c r="K717" s="64"/>
      <c r="L717" s="64"/>
      <c r="M717" s="64"/>
      <c r="N717" s="64"/>
      <c r="O717" s="64"/>
      <c r="P717" s="64"/>
      <c r="Q717" s="64"/>
      <c r="R717" s="64"/>
      <c r="S717" s="64"/>
      <c r="T717" s="64"/>
      <c r="U717" s="64"/>
      <c r="V717" s="64"/>
      <c r="W717" s="64"/>
      <c r="X717" s="64"/>
      <c r="Y717" s="64"/>
      <c r="Z717" s="64"/>
      <c r="AA717" s="64"/>
      <c r="AB717" s="64"/>
      <c r="AC717" s="64"/>
      <c r="AD717" s="64"/>
      <c r="AE717" s="64"/>
      <c r="AF717" s="64"/>
      <c r="AG717" s="64"/>
    </row>
    <row r="718" spans="1:33">
      <c r="A718" s="64"/>
      <c r="B718" s="64"/>
      <c r="C718" s="64"/>
      <c r="D718" s="64"/>
      <c r="E718" s="70"/>
      <c r="F718" s="70"/>
      <c r="G718" s="64"/>
      <c r="H718" s="64"/>
      <c r="I718" s="64"/>
      <c r="J718" s="64"/>
      <c r="K718" s="64"/>
      <c r="L718" s="64"/>
      <c r="M718" s="64"/>
      <c r="N718" s="64"/>
      <c r="O718" s="64"/>
      <c r="P718" s="64"/>
      <c r="Q718" s="64"/>
      <c r="R718" s="64"/>
      <c r="S718" s="64"/>
      <c r="T718" s="64"/>
      <c r="U718" s="64"/>
      <c r="V718" s="64"/>
      <c r="W718" s="64"/>
      <c r="X718" s="64"/>
      <c r="Y718" s="64"/>
      <c r="Z718" s="64"/>
      <c r="AA718" s="64"/>
      <c r="AB718" s="64"/>
      <c r="AC718" s="64"/>
      <c r="AD718" s="64"/>
      <c r="AE718" s="64"/>
      <c r="AF718" s="64"/>
      <c r="AG718" s="64"/>
    </row>
    <row r="719" spans="1:33">
      <c r="A719" s="64"/>
      <c r="B719" s="64"/>
      <c r="C719" s="64"/>
      <c r="D719" s="64"/>
      <c r="E719" s="70"/>
      <c r="F719" s="70"/>
      <c r="G719" s="64"/>
      <c r="H719" s="64"/>
      <c r="I719" s="64"/>
      <c r="J719" s="64"/>
      <c r="K719" s="64"/>
      <c r="L719" s="64"/>
      <c r="M719" s="64"/>
      <c r="N719" s="64"/>
      <c r="O719" s="64"/>
      <c r="P719" s="64"/>
      <c r="Q719" s="64"/>
      <c r="R719" s="64"/>
      <c r="S719" s="64"/>
      <c r="T719" s="64"/>
      <c r="U719" s="64"/>
      <c r="V719" s="64"/>
      <c r="W719" s="64"/>
      <c r="X719" s="64"/>
      <c r="Y719" s="64"/>
      <c r="Z719" s="64"/>
      <c r="AA719" s="64"/>
      <c r="AB719" s="64"/>
      <c r="AC719" s="64"/>
      <c r="AD719" s="64"/>
      <c r="AE719" s="64"/>
      <c r="AF719" s="64"/>
      <c r="AG719" s="64"/>
    </row>
    <row r="720" spans="1:33">
      <c r="A720" s="64"/>
      <c r="B720" s="64"/>
      <c r="C720" s="64"/>
      <c r="D720" s="64"/>
      <c r="E720" s="70"/>
      <c r="F720" s="70"/>
      <c r="G720" s="64"/>
      <c r="H720" s="64"/>
      <c r="I720" s="64"/>
      <c r="J720" s="64"/>
      <c r="K720" s="64"/>
      <c r="L720" s="64"/>
      <c r="M720" s="64"/>
      <c r="N720" s="64"/>
      <c r="O720" s="64"/>
      <c r="P720" s="64"/>
      <c r="Q720" s="64"/>
      <c r="R720" s="64"/>
      <c r="S720" s="64"/>
      <c r="T720" s="64"/>
      <c r="U720" s="64"/>
      <c r="V720" s="64"/>
      <c r="W720" s="64"/>
      <c r="X720" s="64"/>
      <c r="Y720" s="64"/>
      <c r="Z720" s="64"/>
      <c r="AA720" s="64"/>
      <c r="AB720" s="64"/>
      <c r="AC720" s="64"/>
      <c r="AD720" s="64"/>
      <c r="AE720" s="64"/>
      <c r="AF720" s="64"/>
      <c r="AG720" s="64"/>
    </row>
    <row r="721" spans="1:33">
      <c r="A721" s="64"/>
      <c r="B721" s="64"/>
      <c r="C721" s="64"/>
      <c r="D721" s="64"/>
      <c r="E721" s="70"/>
      <c r="F721" s="70"/>
      <c r="G721" s="64"/>
      <c r="H721" s="64"/>
      <c r="I721" s="64"/>
      <c r="J721" s="64"/>
      <c r="K721" s="64"/>
      <c r="L721" s="64"/>
      <c r="M721" s="64"/>
      <c r="N721" s="64"/>
      <c r="O721" s="64"/>
      <c r="P721" s="64"/>
      <c r="Q721" s="64"/>
      <c r="R721" s="64"/>
      <c r="S721" s="64"/>
      <c r="T721" s="64"/>
      <c r="U721" s="64"/>
      <c r="V721" s="64"/>
      <c r="W721" s="64"/>
      <c r="X721" s="64"/>
      <c r="Y721" s="64"/>
      <c r="Z721" s="64"/>
      <c r="AA721" s="64"/>
      <c r="AB721" s="64"/>
      <c r="AC721" s="64"/>
      <c r="AD721" s="64"/>
      <c r="AE721" s="64"/>
      <c r="AF721" s="64"/>
      <c r="AG721" s="64"/>
    </row>
    <row r="722" spans="1:33">
      <c r="A722" s="64"/>
      <c r="B722" s="64"/>
      <c r="C722" s="64"/>
      <c r="D722" s="64"/>
      <c r="E722" s="70"/>
      <c r="F722" s="70"/>
      <c r="G722" s="64"/>
      <c r="H722" s="64"/>
      <c r="I722" s="64"/>
      <c r="J722" s="64"/>
      <c r="K722" s="64"/>
      <c r="L722" s="64"/>
      <c r="M722" s="64"/>
      <c r="N722" s="64"/>
      <c r="O722" s="64"/>
      <c r="P722" s="64"/>
      <c r="Q722" s="64"/>
      <c r="R722" s="64"/>
      <c r="S722" s="64"/>
      <c r="T722" s="64"/>
      <c r="U722" s="64"/>
      <c r="V722" s="64"/>
      <c r="W722" s="64"/>
      <c r="X722" s="64"/>
      <c r="Y722" s="64"/>
      <c r="Z722" s="64"/>
      <c r="AA722" s="64"/>
      <c r="AB722" s="64"/>
      <c r="AC722" s="64"/>
      <c r="AD722" s="64"/>
      <c r="AE722" s="64"/>
      <c r="AF722" s="64"/>
      <c r="AG722" s="64"/>
    </row>
    <row r="723" spans="1:33">
      <c r="A723" s="64"/>
      <c r="B723" s="64"/>
      <c r="C723" s="64"/>
      <c r="D723" s="64"/>
      <c r="E723" s="70"/>
      <c r="F723" s="70"/>
      <c r="G723" s="64"/>
      <c r="H723" s="64"/>
      <c r="I723" s="64"/>
      <c r="J723" s="64"/>
      <c r="K723" s="64"/>
      <c r="L723" s="64"/>
      <c r="M723" s="64"/>
      <c r="N723" s="64"/>
      <c r="O723" s="64"/>
      <c r="P723" s="64"/>
      <c r="Q723" s="64"/>
      <c r="R723" s="64"/>
      <c r="S723" s="64"/>
      <c r="T723" s="64"/>
      <c r="U723" s="64"/>
      <c r="V723" s="64"/>
      <c r="W723" s="64"/>
      <c r="X723" s="64"/>
      <c r="Y723" s="64"/>
      <c r="Z723" s="64"/>
      <c r="AA723" s="64"/>
      <c r="AB723" s="64"/>
      <c r="AC723" s="64"/>
      <c r="AD723" s="64"/>
      <c r="AE723" s="64"/>
      <c r="AF723" s="64"/>
      <c r="AG723" s="64"/>
    </row>
    <row r="724" spans="1:33">
      <c r="A724" s="64"/>
      <c r="B724" s="64"/>
      <c r="C724" s="64"/>
      <c r="D724" s="64"/>
      <c r="E724" s="70"/>
      <c r="F724" s="70"/>
      <c r="G724" s="64"/>
      <c r="H724" s="64"/>
      <c r="I724" s="64"/>
      <c r="J724" s="64"/>
      <c r="K724" s="64"/>
      <c r="L724" s="64"/>
      <c r="M724" s="64"/>
      <c r="N724" s="64"/>
      <c r="O724" s="64"/>
      <c r="P724" s="64"/>
      <c r="Q724" s="64"/>
      <c r="R724" s="64"/>
      <c r="S724" s="64"/>
      <c r="T724" s="64"/>
      <c r="U724" s="64"/>
      <c r="V724" s="64"/>
      <c r="W724" s="64"/>
      <c r="X724" s="64"/>
      <c r="Y724" s="64"/>
      <c r="Z724" s="64"/>
      <c r="AA724" s="64"/>
      <c r="AB724" s="64"/>
      <c r="AC724" s="64"/>
      <c r="AD724" s="64"/>
      <c r="AE724" s="64"/>
      <c r="AF724" s="64"/>
      <c r="AG724" s="64"/>
    </row>
    <row r="725" spans="1:33">
      <c r="A725" s="64"/>
      <c r="B725" s="64"/>
      <c r="C725" s="64"/>
      <c r="D725" s="64"/>
      <c r="E725" s="70"/>
      <c r="F725" s="70"/>
      <c r="G725" s="64"/>
      <c r="H725" s="64"/>
      <c r="I725" s="64"/>
      <c r="J725" s="64"/>
      <c r="K725" s="64"/>
      <c r="L725" s="64"/>
      <c r="M725" s="64"/>
      <c r="N725" s="64"/>
      <c r="O725" s="64"/>
      <c r="P725" s="64"/>
      <c r="Q725" s="64"/>
      <c r="R725" s="64"/>
      <c r="S725" s="64"/>
      <c r="T725" s="64"/>
      <c r="U725" s="64"/>
      <c r="V725" s="64"/>
      <c r="W725" s="64"/>
      <c r="X725" s="64"/>
      <c r="Y725" s="64"/>
      <c r="Z725" s="64"/>
      <c r="AA725" s="64"/>
      <c r="AB725" s="64"/>
      <c r="AC725" s="64"/>
      <c r="AD725" s="64"/>
      <c r="AE725" s="64"/>
      <c r="AF725" s="64"/>
      <c r="AG725" s="64"/>
    </row>
    <row r="726" spans="1:33">
      <c r="A726" s="64"/>
      <c r="B726" s="64"/>
      <c r="C726" s="64"/>
      <c r="D726" s="64"/>
      <c r="E726" s="70"/>
      <c r="F726" s="70"/>
      <c r="G726" s="64"/>
      <c r="H726" s="64"/>
      <c r="I726" s="64"/>
      <c r="J726" s="64"/>
      <c r="K726" s="64"/>
      <c r="L726" s="64"/>
      <c r="M726" s="64"/>
      <c r="N726" s="64"/>
      <c r="O726" s="64"/>
      <c r="P726" s="64"/>
      <c r="Q726" s="64"/>
      <c r="R726" s="64"/>
      <c r="S726" s="64"/>
      <c r="T726" s="64"/>
      <c r="U726" s="64"/>
      <c r="V726" s="64"/>
      <c r="W726" s="64"/>
      <c r="X726" s="64"/>
      <c r="Y726" s="64"/>
      <c r="Z726" s="64"/>
      <c r="AA726" s="64"/>
      <c r="AB726" s="64"/>
      <c r="AC726" s="64"/>
      <c r="AD726" s="64"/>
      <c r="AE726" s="64"/>
      <c r="AF726" s="64"/>
      <c r="AG726" s="64"/>
    </row>
    <row r="727" spans="1:33">
      <c r="A727" s="64"/>
      <c r="B727" s="64"/>
      <c r="C727" s="64"/>
      <c r="D727" s="64"/>
      <c r="E727" s="70"/>
      <c r="F727" s="70"/>
      <c r="G727" s="64"/>
      <c r="H727" s="64"/>
      <c r="I727" s="64"/>
      <c r="J727" s="64"/>
      <c r="K727" s="64"/>
      <c r="L727" s="64"/>
      <c r="M727" s="64"/>
      <c r="N727" s="64"/>
      <c r="O727" s="64"/>
      <c r="P727" s="64"/>
      <c r="Q727" s="64"/>
      <c r="R727" s="64"/>
      <c r="S727" s="64"/>
      <c r="T727" s="64"/>
      <c r="U727" s="64"/>
      <c r="V727" s="64"/>
      <c r="W727" s="64"/>
      <c r="X727" s="64"/>
      <c r="Y727" s="64"/>
      <c r="Z727" s="64"/>
      <c r="AA727" s="64"/>
      <c r="AB727" s="64"/>
      <c r="AC727" s="64"/>
      <c r="AD727" s="64"/>
      <c r="AE727" s="64"/>
      <c r="AF727" s="64"/>
      <c r="AG727" s="64"/>
    </row>
    <row r="728" spans="1:33">
      <c r="A728" s="64"/>
      <c r="B728" s="64"/>
      <c r="C728" s="64"/>
      <c r="D728" s="64"/>
      <c r="E728" s="70"/>
      <c r="F728" s="70"/>
      <c r="G728" s="64"/>
      <c r="H728" s="64"/>
      <c r="I728" s="64"/>
      <c r="J728" s="64"/>
      <c r="K728" s="64"/>
      <c r="L728" s="64"/>
      <c r="M728" s="64"/>
      <c r="N728" s="64"/>
      <c r="O728" s="64"/>
      <c r="P728" s="64"/>
      <c r="Q728" s="64"/>
      <c r="R728" s="64"/>
      <c r="S728" s="64"/>
      <c r="T728" s="64"/>
      <c r="U728" s="64"/>
      <c r="V728" s="64"/>
      <c r="W728" s="64"/>
      <c r="X728" s="64"/>
      <c r="Y728" s="64"/>
      <c r="Z728" s="64"/>
      <c r="AA728" s="64"/>
      <c r="AB728" s="64"/>
      <c r="AC728" s="64"/>
      <c r="AD728" s="64"/>
      <c r="AE728" s="64"/>
      <c r="AF728" s="64"/>
      <c r="AG728" s="64"/>
    </row>
    <row r="729" spans="1:33">
      <c r="A729" s="64"/>
      <c r="B729" s="64"/>
      <c r="C729" s="64"/>
      <c r="D729" s="64"/>
      <c r="E729" s="70"/>
      <c r="F729" s="70"/>
      <c r="G729" s="64"/>
      <c r="H729" s="64"/>
      <c r="I729" s="64"/>
      <c r="J729" s="64"/>
      <c r="K729" s="64"/>
      <c r="L729" s="64"/>
      <c r="M729" s="64"/>
      <c r="N729" s="64"/>
      <c r="O729" s="64"/>
      <c r="P729" s="64"/>
      <c r="Q729" s="64"/>
      <c r="R729" s="64"/>
      <c r="S729" s="64"/>
      <c r="T729" s="64"/>
      <c r="U729" s="64"/>
      <c r="V729" s="64"/>
      <c r="W729" s="64"/>
      <c r="X729" s="64"/>
      <c r="Y729" s="64"/>
      <c r="Z729" s="64"/>
      <c r="AA729" s="64"/>
      <c r="AB729" s="64"/>
      <c r="AC729" s="64"/>
      <c r="AD729" s="64"/>
      <c r="AE729" s="64"/>
      <c r="AF729" s="64"/>
      <c r="AG729" s="64"/>
    </row>
    <row r="730" spans="1:33">
      <c r="A730" s="64"/>
      <c r="B730" s="64"/>
      <c r="C730" s="64"/>
      <c r="D730" s="64"/>
      <c r="E730" s="70"/>
      <c r="F730" s="70"/>
      <c r="G730" s="64"/>
      <c r="H730" s="64"/>
      <c r="I730" s="64"/>
      <c r="J730" s="64"/>
      <c r="K730" s="64"/>
      <c r="L730" s="64"/>
      <c r="M730" s="64"/>
      <c r="N730" s="64"/>
      <c r="O730" s="64"/>
      <c r="P730" s="64"/>
      <c r="Q730" s="64"/>
      <c r="R730" s="64"/>
      <c r="S730" s="64"/>
      <c r="T730" s="64"/>
      <c r="U730" s="64"/>
      <c r="V730" s="64"/>
      <c r="W730" s="64"/>
      <c r="X730" s="64"/>
      <c r="Y730" s="64"/>
      <c r="Z730" s="64"/>
      <c r="AA730" s="64"/>
      <c r="AB730" s="64"/>
      <c r="AC730" s="64"/>
      <c r="AD730" s="64"/>
      <c r="AE730" s="64"/>
      <c r="AF730" s="64"/>
      <c r="AG730" s="64"/>
    </row>
    <row r="731" spans="1:33">
      <c r="A731" s="64"/>
      <c r="B731" s="64"/>
      <c r="C731" s="64"/>
      <c r="D731" s="64"/>
      <c r="E731" s="70"/>
      <c r="F731" s="70"/>
      <c r="G731" s="64"/>
      <c r="H731" s="64"/>
      <c r="I731" s="64"/>
      <c r="J731" s="64"/>
      <c r="K731" s="64"/>
      <c r="L731" s="64"/>
      <c r="M731" s="64"/>
      <c r="N731" s="64"/>
      <c r="O731" s="64"/>
      <c r="P731" s="64"/>
      <c r="Q731" s="64"/>
      <c r="R731" s="64"/>
      <c r="S731" s="64"/>
      <c r="T731" s="64"/>
      <c r="U731" s="64"/>
      <c r="V731" s="64"/>
      <c r="W731" s="64"/>
      <c r="X731" s="64"/>
      <c r="Y731" s="64"/>
      <c r="Z731" s="64"/>
      <c r="AA731" s="64"/>
      <c r="AB731" s="64"/>
      <c r="AC731" s="64"/>
      <c r="AD731" s="64"/>
      <c r="AE731" s="64"/>
      <c r="AF731" s="64"/>
      <c r="AG731" s="64"/>
    </row>
    <row r="732" spans="1:33">
      <c r="A732" s="64"/>
      <c r="B732" s="64"/>
      <c r="C732" s="64"/>
      <c r="D732" s="64"/>
      <c r="E732" s="70"/>
      <c r="F732" s="70"/>
      <c r="G732" s="64"/>
      <c r="H732" s="64"/>
      <c r="I732" s="64"/>
      <c r="J732" s="64"/>
      <c r="K732" s="64"/>
      <c r="L732" s="64"/>
      <c r="M732" s="64"/>
      <c r="N732" s="64"/>
      <c r="O732" s="64"/>
      <c r="P732" s="64"/>
      <c r="Q732" s="64"/>
      <c r="R732" s="64"/>
      <c r="S732" s="64"/>
      <c r="T732" s="64"/>
      <c r="U732" s="64"/>
      <c r="V732" s="64"/>
      <c r="W732" s="64"/>
      <c r="X732" s="64"/>
      <c r="Y732" s="64"/>
      <c r="Z732" s="64"/>
      <c r="AA732" s="64"/>
      <c r="AB732" s="64"/>
      <c r="AC732" s="64"/>
      <c r="AD732" s="64"/>
      <c r="AE732" s="64"/>
      <c r="AF732" s="64"/>
      <c r="AG732" s="64"/>
    </row>
    <row r="733" spans="1:33">
      <c r="A733" s="64"/>
      <c r="B733" s="64"/>
      <c r="C733" s="64"/>
      <c r="D733" s="64"/>
      <c r="E733" s="70"/>
      <c r="F733" s="70"/>
      <c r="G733" s="64"/>
      <c r="H733" s="64"/>
      <c r="I733" s="64"/>
      <c r="J733" s="64"/>
      <c r="K733" s="64"/>
      <c r="L733" s="64"/>
      <c r="M733" s="64"/>
      <c r="N733" s="64"/>
      <c r="O733" s="64"/>
      <c r="P733" s="64"/>
      <c r="Q733" s="64"/>
      <c r="R733" s="64"/>
      <c r="S733" s="64"/>
      <c r="T733" s="64"/>
      <c r="U733" s="64"/>
      <c r="V733" s="64"/>
      <c r="W733" s="64"/>
      <c r="X733" s="64"/>
      <c r="Y733" s="64"/>
      <c r="Z733" s="64"/>
      <c r="AA733" s="64"/>
      <c r="AB733" s="64"/>
      <c r="AC733" s="64"/>
      <c r="AD733" s="64"/>
      <c r="AE733" s="64"/>
      <c r="AF733" s="64"/>
      <c r="AG733" s="64"/>
    </row>
    <row r="734" spans="1:33">
      <c r="A734" s="64"/>
      <c r="B734" s="64"/>
      <c r="C734" s="64"/>
      <c r="D734" s="64"/>
      <c r="E734" s="70"/>
      <c r="F734" s="70"/>
      <c r="G734" s="64"/>
      <c r="H734" s="64"/>
      <c r="I734" s="64"/>
      <c r="J734" s="64"/>
      <c r="K734" s="64"/>
      <c r="L734" s="64"/>
      <c r="M734" s="64"/>
      <c r="N734" s="64"/>
      <c r="O734" s="64"/>
      <c r="P734" s="64"/>
      <c r="Q734" s="64"/>
      <c r="R734" s="64"/>
      <c r="S734" s="64"/>
      <c r="T734" s="64"/>
      <c r="U734" s="64"/>
      <c r="V734" s="64"/>
      <c r="W734" s="64"/>
      <c r="X734" s="64"/>
      <c r="Y734" s="64"/>
      <c r="Z734" s="64"/>
      <c r="AA734" s="64"/>
      <c r="AB734" s="64"/>
      <c r="AC734" s="64"/>
      <c r="AD734" s="64"/>
      <c r="AE734" s="64"/>
      <c r="AF734" s="64"/>
      <c r="AG734" s="64"/>
    </row>
    <row r="735" spans="1:33">
      <c r="A735" s="64"/>
      <c r="B735" s="64"/>
      <c r="C735" s="64"/>
      <c r="D735" s="64"/>
      <c r="E735" s="70"/>
      <c r="F735" s="70"/>
      <c r="G735" s="64"/>
      <c r="H735" s="64"/>
      <c r="I735" s="64"/>
      <c r="J735" s="64"/>
      <c r="K735" s="64"/>
      <c r="L735" s="64"/>
      <c r="M735" s="64"/>
      <c r="N735" s="64"/>
      <c r="O735" s="64"/>
      <c r="P735" s="64"/>
      <c r="Q735" s="64"/>
      <c r="R735" s="64"/>
      <c r="S735" s="64"/>
      <c r="T735" s="64"/>
      <c r="U735" s="64"/>
      <c r="V735" s="64"/>
      <c r="W735" s="64"/>
      <c r="X735" s="64"/>
      <c r="Y735" s="64"/>
      <c r="Z735" s="64"/>
      <c r="AA735" s="64"/>
      <c r="AB735" s="64"/>
      <c r="AC735" s="64"/>
      <c r="AD735" s="64"/>
      <c r="AE735" s="64"/>
      <c r="AF735" s="64"/>
      <c r="AG735" s="64"/>
    </row>
    <row r="736" spans="1:33">
      <c r="A736" s="64"/>
      <c r="B736" s="64"/>
      <c r="C736" s="64"/>
      <c r="D736" s="64"/>
      <c r="E736" s="70"/>
      <c r="F736" s="70"/>
      <c r="G736" s="64"/>
      <c r="H736" s="64"/>
      <c r="I736" s="64"/>
      <c r="J736" s="64"/>
      <c r="K736" s="64"/>
      <c r="L736" s="64"/>
      <c r="M736" s="64"/>
      <c r="N736" s="64"/>
      <c r="O736" s="64"/>
      <c r="P736" s="64"/>
      <c r="Q736" s="64"/>
      <c r="R736" s="64"/>
      <c r="S736" s="64"/>
      <c r="T736" s="64"/>
      <c r="U736" s="64"/>
      <c r="V736" s="64"/>
      <c r="W736" s="64"/>
      <c r="X736" s="64"/>
      <c r="Y736" s="64"/>
      <c r="Z736" s="64"/>
      <c r="AA736" s="64"/>
      <c r="AB736" s="64"/>
      <c r="AC736" s="64"/>
      <c r="AD736" s="64"/>
      <c r="AE736" s="64"/>
      <c r="AF736" s="64"/>
      <c r="AG736" s="64"/>
    </row>
    <row r="737" spans="1:33">
      <c r="A737" s="64"/>
      <c r="B737" s="64"/>
      <c r="C737" s="64"/>
      <c r="D737" s="64"/>
      <c r="E737" s="70"/>
      <c r="F737" s="70"/>
      <c r="G737" s="64"/>
      <c r="H737" s="64"/>
      <c r="I737" s="64"/>
      <c r="J737" s="64"/>
      <c r="K737" s="64"/>
      <c r="L737" s="64"/>
      <c r="M737" s="64"/>
      <c r="N737" s="64"/>
      <c r="O737" s="64"/>
      <c r="P737" s="64"/>
      <c r="Q737" s="64"/>
      <c r="R737" s="64"/>
      <c r="S737" s="64"/>
      <c r="T737" s="64"/>
      <c r="U737" s="64"/>
      <c r="V737" s="64"/>
      <c r="W737" s="64"/>
      <c r="X737" s="64"/>
      <c r="Y737" s="64"/>
      <c r="Z737" s="64"/>
      <c r="AA737" s="64"/>
      <c r="AB737" s="64"/>
      <c r="AC737" s="64"/>
      <c r="AD737" s="64"/>
      <c r="AE737" s="64"/>
      <c r="AF737" s="64"/>
      <c r="AG737" s="64"/>
    </row>
    <row r="738" spans="1:33">
      <c r="A738" s="64"/>
      <c r="B738" s="64"/>
      <c r="C738" s="64"/>
      <c r="D738" s="64"/>
      <c r="E738" s="70"/>
      <c r="F738" s="70"/>
      <c r="G738" s="64"/>
      <c r="H738" s="64"/>
      <c r="I738" s="64"/>
      <c r="J738" s="64"/>
      <c r="K738" s="64"/>
      <c r="L738" s="64"/>
      <c r="M738" s="64"/>
      <c r="N738" s="64"/>
      <c r="O738" s="64"/>
      <c r="P738" s="64"/>
      <c r="Q738" s="64"/>
      <c r="R738" s="64"/>
      <c r="S738" s="64"/>
      <c r="T738" s="64"/>
      <c r="U738" s="64"/>
      <c r="V738" s="64"/>
      <c r="W738" s="64"/>
      <c r="X738" s="64"/>
      <c r="Y738" s="64"/>
      <c r="Z738" s="64"/>
      <c r="AA738" s="64"/>
      <c r="AB738" s="64"/>
      <c r="AC738" s="64"/>
      <c r="AD738" s="64"/>
      <c r="AE738" s="64"/>
      <c r="AF738" s="64"/>
      <c r="AG738" s="64"/>
    </row>
    <row r="739" spans="1:33">
      <c r="A739" s="64"/>
      <c r="B739" s="64"/>
      <c r="C739" s="64"/>
      <c r="D739" s="64"/>
      <c r="E739" s="70"/>
      <c r="F739" s="70"/>
      <c r="G739" s="64"/>
      <c r="H739" s="64"/>
      <c r="I739" s="64"/>
      <c r="J739" s="64"/>
      <c r="K739" s="64"/>
      <c r="L739" s="64"/>
      <c r="M739" s="64"/>
      <c r="N739" s="64"/>
      <c r="O739" s="64"/>
      <c r="P739" s="64"/>
      <c r="Q739" s="64"/>
      <c r="R739" s="64"/>
      <c r="S739" s="64"/>
      <c r="T739" s="64"/>
      <c r="U739" s="64"/>
      <c r="V739" s="64"/>
      <c r="W739" s="64"/>
      <c r="X739" s="64"/>
      <c r="Y739" s="64"/>
      <c r="Z739" s="64"/>
      <c r="AA739" s="64"/>
      <c r="AB739" s="64"/>
      <c r="AC739" s="64"/>
      <c r="AD739" s="64"/>
      <c r="AE739" s="64"/>
      <c r="AF739" s="64"/>
      <c r="AG739" s="64"/>
    </row>
    <row r="740" spans="1:33">
      <c r="A740" s="64"/>
      <c r="B740" s="64"/>
      <c r="C740" s="64"/>
      <c r="D740" s="64"/>
      <c r="E740" s="70"/>
      <c r="F740" s="70"/>
      <c r="G740" s="64"/>
      <c r="H740" s="64"/>
      <c r="I740" s="64"/>
      <c r="J740" s="64"/>
      <c r="K740" s="64"/>
      <c r="L740" s="64"/>
      <c r="M740" s="64"/>
      <c r="N740" s="64"/>
      <c r="O740" s="64"/>
      <c r="P740" s="64"/>
      <c r="Q740" s="64"/>
      <c r="R740" s="64"/>
      <c r="S740" s="64"/>
      <c r="T740" s="64"/>
      <c r="U740" s="64"/>
      <c r="V740" s="64"/>
      <c r="W740" s="64"/>
      <c r="X740" s="64"/>
      <c r="Y740" s="64"/>
      <c r="Z740" s="64"/>
      <c r="AA740" s="64"/>
      <c r="AB740" s="64"/>
      <c r="AC740" s="64"/>
      <c r="AD740" s="64"/>
      <c r="AE740" s="64"/>
      <c r="AF740" s="64"/>
      <c r="AG740" s="64"/>
    </row>
    <row r="741" spans="1:33">
      <c r="A741" s="64"/>
      <c r="B741" s="64"/>
      <c r="C741" s="64"/>
      <c r="D741" s="64"/>
      <c r="E741" s="70"/>
      <c r="F741" s="70"/>
      <c r="G741" s="64"/>
      <c r="H741" s="64"/>
      <c r="I741" s="64"/>
      <c r="J741" s="64"/>
      <c r="K741" s="64"/>
      <c r="L741" s="64"/>
      <c r="M741" s="64"/>
      <c r="N741" s="64"/>
      <c r="O741" s="64"/>
      <c r="P741" s="64"/>
      <c r="Q741" s="64"/>
      <c r="R741" s="64"/>
      <c r="S741" s="64"/>
      <c r="T741" s="64"/>
      <c r="U741" s="64"/>
      <c r="V741" s="64"/>
      <c r="W741" s="64"/>
      <c r="X741" s="64"/>
      <c r="Y741" s="64"/>
      <c r="Z741" s="64"/>
      <c r="AA741" s="64"/>
      <c r="AB741" s="64"/>
      <c r="AC741" s="64"/>
      <c r="AD741" s="64"/>
      <c r="AE741" s="64"/>
      <c r="AF741" s="64"/>
      <c r="AG741" s="64"/>
    </row>
    <row r="742" spans="1:33">
      <c r="A742" s="64"/>
      <c r="B742" s="64"/>
      <c r="C742" s="64"/>
      <c r="D742" s="64"/>
      <c r="E742" s="70"/>
      <c r="F742" s="70"/>
      <c r="G742" s="64"/>
      <c r="H742" s="64"/>
      <c r="I742" s="64"/>
      <c r="J742" s="64"/>
      <c r="K742" s="64"/>
      <c r="L742" s="64"/>
      <c r="M742" s="64"/>
      <c r="N742" s="64"/>
      <c r="O742" s="64"/>
      <c r="P742" s="64"/>
      <c r="Q742" s="64"/>
      <c r="R742" s="64"/>
      <c r="S742" s="64"/>
      <c r="T742" s="64"/>
      <c r="U742" s="64"/>
      <c r="V742" s="64"/>
      <c r="W742" s="64"/>
      <c r="X742" s="64"/>
      <c r="Y742" s="64"/>
      <c r="Z742" s="64"/>
      <c r="AA742" s="64"/>
      <c r="AB742" s="64"/>
      <c r="AC742" s="64"/>
      <c r="AD742" s="64"/>
      <c r="AE742" s="64"/>
      <c r="AF742" s="64"/>
      <c r="AG742" s="64"/>
    </row>
    <row r="743" spans="1:33">
      <c r="A743" s="64"/>
      <c r="B743" s="64"/>
      <c r="C743" s="64"/>
      <c r="D743" s="64"/>
      <c r="E743" s="70"/>
      <c r="F743" s="70"/>
      <c r="G743" s="64"/>
      <c r="H743" s="64"/>
      <c r="I743" s="64"/>
      <c r="J743" s="64"/>
      <c r="K743" s="64"/>
      <c r="L743" s="64"/>
      <c r="M743" s="64"/>
      <c r="N743" s="64"/>
      <c r="O743" s="64"/>
      <c r="P743" s="64"/>
      <c r="Q743" s="64"/>
      <c r="R743" s="64"/>
      <c r="S743" s="64"/>
      <c r="T743" s="64"/>
      <c r="U743" s="64"/>
      <c r="V743" s="64"/>
      <c r="W743" s="64"/>
      <c r="X743" s="64"/>
      <c r="Y743" s="64"/>
      <c r="Z743" s="64"/>
      <c r="AA743" s="64"/>
      <c r="AB743" s="64"/>
      <c r="AC743" s="64"/>
      <c r="AD743" s="64"/>
      <c r="AE743" s="64"/>
      <c r="AF743" s="64"/>
      <c r="AG743" s="64"/>
    </row>
    <row r="744" spans="1:33">
      <c r="A744" s="64"/>
      <c r="B744" s="64"/>
      <c r="C744" s="64"/>
      <c r="D744" s="64"/>
      <c r="E744" s="70"/>
      <c r="F744" s="70"/>
      <c r="G744" s="64"/>
      <c r="H744" s="64"/>
      <c r="I744" s="64"/>
      <c r="J744" s="64"/>
      <c r="K744" s="64"/>
      <c r="L744" s="64"/>
      <c r="M744" s="64"/>
      <c r="N744" s="64"/>
      <c r="O744" s="64"/>
      <c r="P744" s="64"/>
      <c r="Q744" s="64"/>
      <c r="R744" s="64"/>
      <c r="S744" s="64"/>
      <c r="T744" s="64"/>
      <c r="U744" s="64"/>
      <c r="V744" s="64"/>
      <c r="W744" s="64"/>
      <c r="X744" s="64"/>
      <c r="Y744" s="64"/>
      <c r="Z744" s="64"/>
      <c r="AA744" s="64"/>
      <c r="AB744" s="64"/>
      <c r="AC744" s="64"/>
      <c r="AD744" s="64"/>
      <c r="AE744" s="64"/>
      <c r="AF744" s="64"/>
      <c r="AG744" s="64"/>
    </row>
    <row r="745" spans="1:33">
      <c r="A745" s="64"/>
      <c r="B745" s="64"/>
      <c r="C745" s="64"/>
      <c r="D745" s="64"/>
      <c r="E745" s="70"/>
      <c r="F745" s="70"/>
      <c r="G745" s="64"/>
      <c r="H745" s="64"/>
      <c r="I745" s="64"/>
      <c r="J745" s="64"/>
      <c r="K745" s="64"/>
      <c r="L745" s="64"/>
      <c r="M745" s="64"/>
      <c r="N745" s="64"/>
      <c r="O745" s="64"/>
      <c r="P745" s="64"/>
      <c r="Q745" s="64"/>
      <c r="R745" s="64"/>
      <c r="S745" s="64"/>
      <c r="T745" s="64"/>
      <c r="U745" s="64"/>
      <c r="V745" s="64"/>
      <c r="W745" s="64"/>
      <c r="X745" s="64"/>
      <c r="Y745" s="64"/>
      <c r="Z745" s="64"/>
      <c r="AA745" s="64"/>
      <c r="AB745" s="64"/>
      <c r="AC745" s="64"/>
      <c r="AD745" s="64"/>
      <c r="AE745" s="64"/>
      <c r="AF745" s="64"/>
      <c r="AG745" s="64"/>
    </row>
    <row r="746" spans="1:33">
      <c r="A746" s="64"/>
      <c r="B746" s="64"/>
      <c r="C746" s="64"/>
      <c r="D746" s="64"/>
      <c r="E746" s="70"/>
      <c r="F746" s="70"/>
      <c r="G746" s="64"/>
      <c r="H746" s="64"/>
      <c r="I746" s="64"/>
      <c r="J746" s="64"/>
      <c r="K746" s="64"/>
      <c r="L746" s="64"/>
      <c r="M746" s="64"/>
      <c r="N746" s="64"/>
      <c r="O746" s="64"/>
      <c r="P746" s="64"/>
      <c r="Q746" s="64"/>
      <c r="R746" s="64"/>
      <c r="S746" s="64"/>
      <c r="T746" s="64"/>
      <c r="U746" s="64"/>
      <c r="V746" s="64"/>
      <c r="W746" s="64"/>
      <c r="X746" s="64"/>
      <c r="Y746" s="64"/>
      <c r="Z746" s="64"/>
      <c r="AA746" s="64"/>
      <c r="AB746" s="64"/>
      <c r="AC746" s="64"/>
      <c r="AD746" s="64"/>
      <c r="AE746" s="64"/>
      <c r="AF746" s="64"/>
      <c r="AG746" s="64"/>
    </row>
    <row r="747" spans="1:33">
      <c r="A747" s="64"/>
      <c r="B747" s="64"/>
      <c r="C747" s="64"/>
      <c r="D747" s="64"/>
      <c r="E747" s="70"/>
      <c r="F747" s="70"/>
      <c r="G747" s="64"/>
      <c r="H747" s="64"/>
      <c r="I747" s="64"/>
      <c r="J747" s="64"/>
      <c r="K747" s="64"/>
      <c r="L747" s="64"/>
      <c r="M747" s="64"/>
      <c r="N747" s="64"/>
      <c r="O747" s="64"/>
      <c r="P747" s="64"/>
      <c r="Q747" s="64"/>
      <c r="R747" s="64"/>
      <c r="S747" s="64"/>
      <c r="T747" s="64"/>
      <c r="U747" s="64"/>
      <c r="V747" s="64"/>
      <c r="W747" s="64"/>
      <c r="X747" s="64"/>
      <c r="Y747" s="64"/>
      <c r="Z747" s="64"/>
      <c r="AA747" s="64"/>
      <c r="AB747" s="64"/>
      <c r="AC747" s="64"/>
      <c r="AD747" s="64"/>
      <c r="AE747" s="64"/>
      <c r="AF747" s="64"/>
      <c r="AG747" s="64"/>
    </row>
    <row r="748" spans="1:33">
      <c r="A748" s="64"/>
      <c r="B748" s="64"/>
      <c r="C748" s="64"/>
      <c r="D748" s="64"/>
      <c r="E748" s="70"/>
      <c r="F748" s="70"/>
      <c r="G748" s="64"/>
      <c r="H748" s="64"/>
      <c r="I748" s="64"/>
      <c r="J748" s="64"/>
      <c r="K748" s="64"/>
      <c r="L748" s="64"/>
      <c r="M748" s="64"/>
      <c r="N748" s="64"/>
      <c r="O748" s="64"/>
      <c r="P748" s="64"/>
      <c r="Q748" s="64"/>
      <c r="R748" s="64"/>
      <c r="S748" s="64"/>
      <c r="T748" s="64"/>
      <c r="U748" s="64"/>
      <c r="V748" s="64"/>
      <c r="W748" s="64"/>
      <c r="X748" s="64"/>
      <c r="Y748" s="64"/>
      <c r="Z748" s="64"/>
      <c r="AA748" s="64"/>
      <c r="AB748" s="64"/>
      <c r="AC748" s="64"/>
      <c r="AD748" s="64"/>
      <c r="AE748" s="64"/>
      <c r="AF748" s="64"/>
      <c r="AG748" s="64"/>
    </row>
    <row r="749" spans="1:33">
      <c r="A749" s="64"/>
      <c r="B749" s="64"/>
      <c r="C749" s="64"/>
      <c r="D749" s="64"/>
      <c r="E749" s="70"/>
      <c r="F749" s="70"/>
      <c r="G749" s="64"/>
      <c r="H749" s="64"/>
      <c r="I749" s="64"/>
      <c r="J749" s="64"/>
      <c r="K749" s="64"/>
      <c r="L749" s="64"/>
      <c r="M749" s="64"/>
      <c r="N749" s="64"/>
      <c r="O749" s="64"/>
      <c r="P749" s="64"/>
      <c r="Q749" s="64"/>
      <c r="R749" s="64"/>
      <c r="S749" s="64"/>
      <c r="T749" s="64"/>
      <c r="U749" s="64"/>
      <c r="V749" s="64"/>
      <c r="W749" s="64"/>
      <c r="X749" s="64"/>
      <c r="Y749" s="64"/>
      <c r="Z749" s="64"/>
      <c r="AA749" s="64"/>
      <c r="AB749" s="64"/>
      <c r="AC749" s="64"/>
      <c r="AD749" s="64"/>
      <c r="AE749" s="64"/>
      <c r="AF749" s="64"/>
      <c r="AG749" s="64"/>
    </row>
    <row r="750" spans="1:33">
      <c r="A750" s="64"/>
      <c r="B750" s="64"/>
      <c r="C750" s="64"/>
      <c r="D750" s="64"/>
      <c r="E750" s="70"/>
      <c r="F750" s="70"/>
      <c r="G750" s="64"/>
      <c r="H750" s="64"/>
      <c r="I750" s="64"/>
      <c r="J750" s="64"/>
      <c r="K750" s="64"/>
      <c r="L750" s="64"/>
      <c r="M750" s="64"/>
      <c r="N750" s="64"/>
      <c r="O750" s="64"/>
      <c r="P750" s="64"/>
      <c r="Q750" s="64"/>
      <c r="R750" s="64"/>
      <c r="S750" s="64"/>
      <c r="T750" s="64"/>
      <c r="U750" s="64"/>
      <c r="V750" s="64"/>
      <c r="W750" s="64"/>
      <c r="X750" s="64"/>
      <c r="Y750" s="64"/>
      <c r="Z750" s="64"/>
      <c r="AA750" s="64"/>
      <c r="AB750" s="64"/>
      <c r="AC750" s="64"/>
      <c r="AD750" s="64"/>
      <c r="AE750" s="64"/>
      <c r="AF750" s="64"/>
      <c r="AG750" s="64"/>
    </row>
    <row r="751" spans="1:33">
      <c r="A751" s="64"/>
      <c r="B751" s="64"/>
      <c r="C751" s="64"/>
      <c r="D751" s="64"/>
      <c r="E751" s="70"/>
      <c r="F751" s="70"/>
      <c r="G751" s="64"/>
      <c r="H751" s="64"/>
      <c r="I751" s="64"/>
      <c r="J751" s="64"/>
      <c r="K751" s="64"/>
      <c r="L751" s="64"/>
      <c r="M751" s="64"/>
      <c r="N751" s="64"/>
      <c r="O751" s="64"/>
      <c r="P751" s="64"/>
      <c r="Q751" s="64"/>
      <c r="R751" s="64"/>
      <c r="S751" s="64"/>
      <c r="T751" s="64"/>
      <c r="U751" s="64"/>
      <c r="V751" s="64"/>
      <c r="W751" s="64"/>
      <c r="X751" s="64"/>
      <c r="Y751" s="64"/>
      <c r="Z751" s="64"/>
      <c r="AA751" s="64"/>
      <c r="AB751" s="64"/>
      <c r="AC751" s="64"/>
      <c r="AD751" s="64"/>
      <c r="AE751" s="64"/>
      <c r="AF751" s="64"/>
      <c r="AG751" s="64"/>
    </row>
    <row r="752" spans="1:33">
      <c r="A752" s="64"/>
      <c r="B752" s="64"/>
      <c r="C752" s="64"/>
      <c r="D752" s="64"/>
      <c r="E752" s="70"/>
      <c r="F752" s="70"/>
      <c r="G752" s="64"/>
      <c r="H752" s="64"/>
      <c r="I752" s="64"/>
      <c r="J752" s="64"/>
      <c r="K752" s="64"/>
      <c r="L752" s="64"/>
      <c r="M752" s="64"/>
      <c r="N752" s="64"/>
      <c r="O752" s="64"/>
      <c r="P752" s="64"/>
      <c r="Q752" s="64"/>
      <c r="R752" s="64"/>
      <c r="S752" s="64"/>
      <c r="T752" s="64"/>
      <c r="U752" s="64"/>
      <c r="V752" s="64"/>
      <c r="W752" s="64"/>
      <c r="X752" s="64"/>
      <c r="Y752" s="64"/>
      <c r="Z752" s="64"/>
      <c r="AA752" s="64"/>
      <c r="AB752" s="64"/>
      <c r="AC752" s="64"/>
      <c r="AD752" s="64"/>
      <c r="AE752" s="64"/>
      <c r="AF752" s="64"/>
      <c r="AG752" s="64"/>
    </row>
    <row r="753" spans="1:33">
      <c r="A753" s="64"/>
      <c r="B753" s="64"/>
      <c r="C753" s="64"/>
      <c r="D753" s="64"/>
      <c r="E753" s="70"/>
      <c r="F753" s="70"/>
      <c r="G753" s="64"/>
      <c r="H753" s="64"/>
      <c r="I753" s="64"/>
      <c r="J753" s="64"/>
      <c r="K753" s="64"/>
      <c r="L753" s="64"/>
      <c r="M753" s="64"/>
      <c r="N753" s="64"/>
      <c r="O753" s="64"/>
      <c r="P753" s="64"/>
      <c r="Q753" s="64"/>
      <c r="R753" s="64"/>
      <c r="S753" s="64"/>
      <c r="T753" s="64"/>
      <c r="U753" s="64"/>
      <c r="V753" s="64"/>
      <c r="W753" s="64"/>
      <c r="X753" s="64"/>
      <c r="Y753" s="64"/>
      <c r="Z753" s="64"/>
      <c r="AA753" s="64"/>
      <c r="AB753" s="64"/>
      <c r="AC753" s="64"/>
      <c r="AD753" s="64"/>
      <c r="AE753" s="64"/>
      <c r="AF753" s="64"/>
      <c r="AG753" s="64"/>
    </row>
    <row r="754" spans="1:33">
      <c r="A754" s="64"/>
      <c r="B754" s="64"/>
      <c r="C754" s="64"/>
      <c r="D754" s="64"/>
      <c r="E754" s="70"/>
      <c r="F754" s="70"/>
      <c r="G754" s="64"/>
      <c r="H754" s="64"/>
      <c r="I754" s="64"/>
      <c r="J754" s="64"/>
      <c r="K754" s="64"/>
      <c r="L754" s="64"/>
      <c r="M754" s="64"/>
      <c r="N754" s="64"/>
      <c r="O754" s="64"/>
      <c r="P754" s="64"/>
      <c r="Q754" s="64"/>
      <c r="R754" s="64"/>
      <c r="S754" s="64"/>
      <c r="T754" s="64"/>
      <c r="U754" s="64"/>
      <c r="V754" s="64"/>
      <c r="W754" s="64"/>
      <c r="X754" s="64"/>
      <c r="Y754" s="64"/>
      <c r="Z754" s="64"/>
      <c r="AA754" s="64"/>
      <c r="AB754" s="64"/>
      <c r="AC754" s="64"/>
      <c r="AD754" s="64"/>
      <c r="AE754" s="64"/>
      <c r="AF754" s="64"/>
      <c r="AG754" s="64"/>
    </row>
    <row r="755" spans="1:33">
      <c r="A755" s="64"/>
      <c r="B755" s="64"/>
      <c r="C755" s="64"/>
      <c r="D755" s="64"/>
      <c r="E755" s="70"/>
      <c r="F755" s="70"/>
      <c r="G755" s="64"/>
      <c r="H755" s="64"/>
      <c r="I755" s="64"/>
      <c r="J755" s="64"/>
      <c r="K755" s="64"/>
      <c r="L755" s="64"/>
      <c r="M755" s="64"/>
      <c r="N755" s="64"/>
      <c r="O755" s="64"/>
      <c r="P755" s="64"/>
      <c r="Q755" s="64"/>
      <c r="R755" s="64"/>
      <c r="S755" s="64"/>
      <c r="T755" s="64"/>
      <c r="U755" s="64"/>
      <c r="V755" s="64"/>
      <c r="W755" s="64"/>
      <c r="X755" s="64"/>
      <c r="Y755" s="64"/>
      <c r="Z755" s="64"/>
      <c r="AA755" s="64"/>
      <c r="AB755" s="64"/>
      <c r="AC755" s="64"/>
      <c r="AD755" s="64"/>
      <c r="AE755" s="64"/>
      <c r="AF755" s="64"/>
      <c r="AG755" s="64"/>
    </row>
    <row r="756" spans="1:33">
      <c r="A756" s="64"/>
      <c r="B756" s="64"/>
      <c r="C756" s="64"/>
      <c r="D756" s="64"/>
      <c r="E756" s="70"/>
      <c r="F756" s="70"/>
      <c r="G756" s="64"/>
      <c r="H756" s="64"/>
      <c r="I756" s="64"/>
      <c r="J756" s="64"/>
      <c r="K756" s="64"/>
      <c r="L756" s="64"/>
      <c r="M756" s="64"/>
      <c r="N756" s="64"/>
      <c r="O756" s="64"/>
      <c r="P756" s="64"/>
      <c r="Q756" s="64"/>
      <c r="R756" s="64"/>
      <c r="S756" s="64"/>
      <c r="T756" s="64"/>
      <c r="U756" s="64"/>
      <c r="V756" s="64"/>
      <c r="W756" s="64"/>
      <c r="X756" s="64"/>
      <c r="Y756" s="64"/>
      <c r="Z756" s="64"/>
      <c r="AA756" s="64"/>
      <c r="AB756" s="64"/>
      <c r="AC756" s="64"/>
      <c r="AD756" s="64"/>
      <c r="AE756" s="64"/>
      <c r="AF756" s="64"/>
      <c r="AG756" s="64"/>
    </row>
    <row r="757" spans="1:33">
      <c r="A757" s="64"/>
      <c r="B757" s="64"/>
      <c r="C757" s="64"/>
      <c r="D757" s="64"/>
      <c r="E757" s="70"/>
      <c r="F757" s="70"/>
      <c r="G757" s="64"/>
      <c r="H757" s="64"/>
      <c r="I757" s="64"/>
      <c r="J757" s="64"/>
      <c r="K757" s="64"/>
      <c r="L757" s="64"/>
      <c r="M757" s="64"/>
      <c r="N757" s="64"/>
      <c r="O757" s="64"/>
      <c r="P757" s="64"/>
      <c r="Q757" s="64"/>
      <c r="R757" s="64"/>
      <c r="S757" s="64"/>
      <c r="T757" s="64"/>
      <c r="U757" s="64"/>
      <c r="V757" s="64"/>
      <c r="W757" s="64"/>
      <c r="X757" s="64"/>
      <c r="Y757" s="64"/>
      <c r="Z757" s="64"/>
      <c r="AA757" s="64"/>
      <c r="AB757" s="64"/>
      <c r="AC757" s="64"/>
      <c r="AD757" s="64"/>
      <c r="AE757" s="64"/>
      <c r="AF757" s="64"/>
      <c r="AG757" s="64"/>
    </row>
    <row r="758" spans="1:33">
      <c r="A758" s="64"/>
      <c r="B758" s="64"/>
      <c r="C758" s="64"/>
      <c r="D758" s="64"/>
      <c r="E758" s="70"/>
      <c r="F758" s="70"/>
      <c r="G758" s="64"/>
      <c r="H758" s="64"/>
      <c r="I758" s="64"/>
      <c r="J758" s="64"/>
      <c r="K758" s="64"/>
      <c r="L758" s="64"/>
      <c r="M758" s="64"/>
      <c r="N758" s="64"/>
      <c r="O758" s="64"/>
      <c r="P758" s="64"/>
      <c r="Q758" s="64"/>
      <c r="R758" s="64"/>
      <c r="S758" s="64"/>
      <c r="T758" s="64"/>
      <c r="U758" s="64"/>
      <c r="V758" s="64"/>
      <c r="W758" s="64"/>
      <c r="X758" s="64"/>
      <c r="Y758" s="64"/>
      <c r="Z758" s="64"/>
      <c r="AA758" s="64"/>
      <c r="AB758" s="64"/>
      <c r="AC758" s="64"/>
      <c r="AD758" s="64"/>
      <c r="AE758" s="64"/>
      <c r="AF758" s="64"/>
      <c r="AG758" s="64"/>
    </row>
    <row r="759" spans="1:33">
      <c r="A759" s="64"/>
      <c r="B759" s="64"/>
      <c r="C759" s="64"/>
      <c r="D759" s="64"/>
      <c r="E759" s="70"/>
      <c r="F759" s="70"/>
      <c r="G759" s="64"/>
      <c r="H759" s="64"/>
      <c r="I759" s="64"/>
      <c r="J759" s="64"/>
      <c r="K759" s="64"/>
      <c r="L759" s="64"/>
      <c r="M759" s="64"/>
      <c r="N759" s="64"/>
      <c r="O759" s="64"/>
      <c r="P759" s="64"/>
      <c r="Q759" s="64"/>
      <c r="R759" s="64"/>
      <c r="S759" s="64"/>
      <c r="T759" s="64"/>
      <c r="U759" s="64"/>
      <c r="V759" s="64"/>
      <c r="W759" s="64"/>
      <c r="X759" s="64"/>
      <c r="Y759" s="64"/>
      <c r="Z759" s="64"/>
      <c r="AA759" s="64"/>
      <c r="AB759" s="64"/>
      <c r="AC759" s="64"/>
      <c r="AD759" s="64"/>
      <c r="AE759" s="64"/>
      <c r="AF759" s="64"/>
      <c r="AG759" s="64"/>
    </row>
    <row r="760" spans="1:33">
      <c r="A760" s="64"/>
      <c r="B760" s="64"/>
      <c r="C760" s="64"/>
      <c r="D760" s="64"/>
      <c r="E760" s="70"/>
      <c r="F760" s="70"/>
      <c r="G760" s="64"/>
      <c r="H760" s="64"/>
      <c r="I760" s="64"/>
      <c r="J760" s="64"/>
      <c r="K760" s="64"/>
      <c r="L760" s="64"/>
      <c r="M760" s="64"/>
      <c r="N760" s="64"/>
      <c r="O760" s="64"/>
      <c r="P760" s="64"/>
      <c r="Q760" s="64"/>
      <c r="R760" s="64"/>
      <c r="S760" s="64"/>
      <c r="T760" s="64"/>
      <c r="U760" s="64"/>
      <c r="V760" s="64"/>
      <c r="W760" s="64"/>
      <c r="X760" s="64"/>
      <c r="Y760" s="64"/>
      <c r="Z760" s="64"/>
      <c r="AA760" s="64"/>
      <c r="AB760" s="64"/>
      <c r="AC760" s="64"/>
      <c r="AD760" s="64"/>
      <c r="AE760" s="64"/>
      <c r="AF760" s="64"/>
      <c r="AG760" s="64"/>
    </row>
    <row r="761" spans="1:33">
      <c r="A761" s="64"/>
      <c r="B761" s="64"/>
      <c r="C761" s="64"/>
      <c r="D761" s="64"/>
      <c r="E761" s="70"/>
      <c r="F761" s="70"/>
      <c r="G761" s="64"/>
      <c r="H761" s="64"/>
      <c r="I761" s="64"/>
      <c r="J761" s="64"/>
      <c r="K761" s="64"/>
      <c r="L761" s="64"/>
      <c r="M761" s="64"/>
      <c r="N761" s="64"/>
      <c r="O761" s="64"/>
      <c r="P761" s="64"/>
      <c r="Q761" s="64"/>
      <c r="R761" s="64"/>
      <c r="S761" s="64"/>
      <c r="T761" s="64"/>
      <c r="U761" s="64"/>
      <c r="V761" s="64"/>
      <c r="W761" s="64"/>
      <c r="X761" s="64"/>
      <c r="Y761" s="64"/>
      <c r="Z761" s="64"/>
      <c r="AA761" s="64"/>
      <c r="AB761" s="64"/>
      <c r="AC761" s="64"/>
      <c r="AD761" s="64"/>
      <c r="AE761" s="64"/>
      <c r="AF761" s="64"/>
      <c r="AG761" s="64"/>
    </row>
    <row r="762" spans="1:33">
      <c r="A762" s="64"/>
      <c r="B762" s="64"/>
      <c r="C762" s="64"/>
      <c r="D762" s="64"/>
      <c r="E762" s="70"/>
      <c r="F762" s="70"/>
      <c r="G762" s="64"/>
      <c r="H762" s="64"/>
      <c r="I762" s="64"/>
      <c r="J762" s="64"/>
      <c r="K762" s="64"/>
      <c r="L762" s="64"/>
      <c r="M762" s="64"/>
      <c r="N762" s="64"/>
      <c r="O762" s="64"/>
      <c r="P762" s="64"/>
      <c r="Q762" s="64"/>
      <c r="R762" s="64"/>
      <c r="S762" s="64"/>
      <c r="T762" s="64"/>
      <c r="U762" s="64"/>
      <c r="V762" s="64"/>
      <c r="W762" s="64"/>
      <c r="X762" s="64"/>
      <c r="Y762" s="64"/>
      <c r="Z762" s="64"/>
      <c r="AA762" s="64"/>
      <c r="AB762" s="64"/>
      <c r="AC762" s="64"/>
      <c r="AD762" s="64"/>
      <c r="AE762" s="64"/>
      <c r="AF762" s="64"/>
      <c r="AG762" s="64"/>
    </row>
    <row r="763" spans="1:33">
      <c r="A763" s="64"/>
      <c r="B763" s="64"/>
      <c r="C763" s="64"/>
      <c r="D763" s="64"/>
      <c r="E763" s="70"/>
      <c r="F763" s="70"/>
      <c r="G763" s="64"/>
      <c r="H763" s="64"/>
      <c r="I763" s="64"/>
      <c r="J763" s="64"/>
      <c r="K763" s="64"/>
      <c r="L763" s="64"/>
      <c r="M763" s="64"/>
      <c r="N763" s="64"/>
      <c r="O763" s="64"/>
      <c r="P763" s="64"/>
      <c r="Q763" s="64"/>
      <c r="R763" s="64"/>
      <c r="S763" s="64"/>
      <c r="T763" s="64"/>
      <c r="U763" s="64"/>
      <c r="V763" s="64"/>
      <c r="W763" s="64"/>
      <c r="X763" s="64"/>
      <c r="Y763" s="64"/>
      <c r="Z763" s="64"/>
      <c r="AA763" s="64"/>
      <c r="AB763" s="64"/>
      <c r="AC763" s="64"/>
      <c r="AD763" s="64"/>
      <c r="AE763" s="64"/>
      <c r="AF763" s="64"/>
      <c r="AG763" s="64"/>
    </row>
    <row r="764" spans="1:33">
      <c r="A764" s="64"/>
      <c r="B764" s="64"/>
      <c r="C764" s="64"/>
      <c r="D764" s="64"/>
      <c r="E764" s="70"/>
      <c r="F764" s="70"/>
      <c r="G764" s="64"/>
      <c r="H764" s="64"/>
      <c r="I764" s="64"/>
      <c r="J764" s="64"/>
      <c r="K764" s="64"/>
      <c r="L764" s="64"/>
      <c r="M764" s="64"/>
      <c r="N764" s="64"/>
      <c r="O764" s="64"/>
      <c r="P764" s="64"/>
      <c r="Q764" s="64"/>
      <c r="R764" s="64"/>
      <c r="S764" s="64"/>
      <c r="T764" s="64"/>
      <c r="U764" s="64"/>
      <c r="V764" s="64"/>
      <c r="W764" s="64"/>
      <c r="X764" s="64"/>
      <c r="Y764" s="64"/>
      <c r="Z764" s="64"/>
      <c r="AA764" s="64"/>
      <c r="AB764" s="64"/>
      <c r="AC764" s="64"/>
      <c r="AD764" s="64"/>
      <c r="AE764" s="64"/>
      <c r="AF764" s="64"/>
      <c r="AG764" s="64"/>
    </row>
    <row r="765" spans="1:33">
      <c r="A765" s="64"/>
      <c r="B765" s="64"/>
      <c r="C765" s="64"/>
      <c r="D765" s="64"/>
      <c r="E765" s="70"/>
      <c r="F765" s="70"/>
      <c r="G765" s="64"/>
      <c r="H765" s="64"/>
      <c r="I765" s="64"/>
      <c r="J765" s="64"/>
      <c r="K765" s="64"/>
      <c r="L765" s="64"/>
      <c r="M765" s="64"/>
      <c r="N765" s="64"/>
      <c r="O765" s="64"/>
      <c r="P765" s="64"/>
      <c r="Q765" s="64"/>
      <c r="R765" s="64"/>
      <c r="S765" s="64"/>
      <c r="T765" s="64"/>
      <c r="U765" s="64"/>
      <c r="V765" s="64"/>
      <c r="W765" s="64"/>
      <c r="X765" s="64"/>
      <c r="Y765" s="64"/>
      <c r="Z765" s="64"/>
      <c r="AA765" s="64"/>
      <c r="AB765" s="64"/>
      <c r="AC765" s="64"/>
      <c r="AD765" s="64"/>
      <c r="AE765" s="64"/>
      <c r="AF765" s="64"/>
      <c r="AG765" s="64"/>
    </row>
    <row r="766" spans="1:33">
      <c r="A766" s="64"/>
      <c r="B766" s="64"/>
      <c r="C766" s="64"/>
      <c r="D766" s="64"/>
      <c r="E766" s="70"/>
      <c r="F766" s="70"/>
      <c r="G766" s="64"/>
      <c r="H766" s="64"/>
      <c r="I766" s="64"/>
      <c r="J766" s="64"/>
      <c r="K766" s="64"/>
      <c r="L766" s="64"/>
      <c r="M766" s="64"/>
      <c r="N766" s="64"/>
      <c r="O766" s="64"/>
      <c r="P766" s="64"/>
      <c r="Q766" s="64"/>
      <c r="R766" s="64"/>
      <c r="S766" s="64"/>
      <c r="T766" s="64"/>
      <c r="U766" s="64"/>
      <c r="V766" s="64"/>
      <c r="W766" s="64"/>
      <c r="X766" s="64"/>
      <c r="Y766" s="64"/>
      <c r="Z766" s="64"/>
      <c r="AA766" s="64"/>
      <c r="AB766" s="64"/>
      <c r="AC766" s="64"/>
      <c r="AD766" s="64"/>
      <c r="AE766" s="64"/>
      <c r="AF766" s="64"/>
      <c r="AG766" s="64"/>
    </row>
    <row r="767" spans="1:33">
      <c r="A767" s="64"/>
      <c r="B767" s="64"/>
      <c r="C767" s="64"/>
      <c r="D767" s="64"/>
      <c r="E767" s="70"/>
      <c r="F767" s="70"/>
      <c r="G767" s="64"/>
      <c r="H767" s="64"/>
      <c r="I767" s="64"/>
      <c r="J767" s="64"/>
      <c r="K767" s="64"/>
      <c r="L767" s="64"/>
      <c r="M767" s="64"/>
      <c r="N767" s="64"/>
      <c r="O767" s="64"/>
      <c r="P767" s="64"/>
      <c r="Q767" s="64"/>
      <c r="R767" s="64"/>
      <c r="S767" s="64"/>
      <c r="T767" s="64"/>
      <c r="U767" s="64"/>
      <c r="V767" s="64"/>
      <c r="W767" s="64"/>
      <c r="X767" s="64"/>
      <c r="Y767" s="64"/>
      <c r="Z767" s="64"/>
      <c r="AA767" s="64"/>
      <c r="AB767" s="64"/>
      <c r="AC767" s="64"/>
      <c r="AD767" s="64"/>
      <c r="AE767" s="64"/>
      <c r="AF767" s="64"/>
      <c r="AG767" s="64"/>
    </row>
    <row r="768" spans="1:33">
      <c r="A768" s="64"/>
      <c r="B768" s="64"/>
      <c r="C768" s="64"/>
      <c r="D768" s="64"/>
      <c r="E768" s="70"/>
      <c r="F768" s="70"/>
      <c r="G768" s="64"/>
      <c r="H768" s="64"/>
      <c r="I768" s="64"/>
      <c r="J768" s="64"/>
      <c r="K768" s="64"/>
      <c r="L768" s="64"/>
      <c r="M768" s="64"/>
      <c r="N768" s="64"/>
      <c r="O768" s="64"/>
      <c r="P768" s="64"/>
      <c r="Q768" s="64"/>
      <c r="R768" s="64"/>
      <c r="S768" s="64"/>
      <c r="T768" s="64"/>
      <c r="U768" s="64"/>
      <c r="V768" s="64"/>
      <c r="W768" s="64"/>
      <c r="X768" s="64"/>
      <c r="Y768" s="64"/>
      <c r="Z768" s="64"/>
      <c r="AA768" s="64"/>
      <c r="AB768" s="64"/>
      <c r="AC768" s="64"/>
      <c r="AD768" s="64"/>
      <c r="AE768" s="64"/>
      <c r="AF768" s="64"/>
      <c r="AG768" s="64"/>
    </row>
    <row r="769" spans="1:33">
      <c r="A769" s="64"/>
      <c r="B769" s="64"/>
      <c r="C769" s="64"/>
      <c r="D769" s="64"/>
      <c r="E769" s="70"/>
      <c r="F769" s="70"/>
      <c r="G769" s="64"/>
      <c r="H769" s="64"/>
      <c r="I769" s="64"/>
      <c r="J769" s="64"/>
      <c r="K769" s="64"/>
      <c r="L769" s="64"/>
      <c r="M769" s="64"/>
      <c r="N769" s="64"/>
      <c r="O769" s="64"/>
      <c r="P769" s="64"/>
      <c r="Q769" s="64"/>
      <c r="R769" s="64"/>
      <c r="S769" s="64"/>
      <c r="T769" s="64"/>
      <c r="U769" s="64"/>
      <c r="V769" s="64"/>
      <c r="W769" s="64"/>
      <c r="X769" s="64"/>
      <c r="Y769" s="64"/>
      <c r="Z769" s="64"/>
      <c r="AA769" s="64"/>
      <c r="AB769" s="64"/>
      <c r="AC769" s="64"/>
      <c r="AD769" s="64"/>
      <c r="AE769" s="64"/>
      <c r="AF769" s="64"/>
      <c r="AG769" s="64"/>
    </row>
    <row r="770" spans="1:33">
      <c r="A770" s="64"/>
      <c r="B770" s="64"/>
      <c r="C770" s="64"/>
      <c r="D770" s="64"/>
      <c r="E770" s="70"/>
      <c r="F770" s="70"/>
      <c r="G770" s="64"/>
      <c r="H770" s="64"/>
      <c r="I770" s="64"/>
      <c r="J770" s="64"/>
      <c r="K770" s="64"/>
      <c r="L770" s="64"/>
      <c r="M770" s="64"/>
      <c r="N770" s="64"/>
      <c r="O770" s="64"/>
      <c r="P770" s="64"/>
      <c r="Q770" s="64"/>
      <c r="R770" s="64"/>
      <c r="S770" s="64"/>
      <c r="T770" s="64"/>
      <c r="U770" s="64"/>
      <c r="V770" s="64"/>
      <c r="W770" s="64"/>
      <c r="X770" s="64"/>
      <c r="Y770" s="64"/>
      <c r="Z770" s="64"/>
      <c r="AA770" s="64"/>
      <c r="AB770" s="64"/>
      <c r="AC770" s="64"/>
      <c r="AD770" s="64"/>
      <c r="AE770" s="64"/>
      <c r="AF770" s="64"/>
      <c r="AG770" s="64"/>
    </row>
    <row r="771" spans="1:33">
      <c r="A771" s="64"/>
      <c r="B771" s="64"/>
      <c r="C771" s="64"/>
      <c r="D771" s="64"/>
      <c r="E771" s="70"/>
      <c r="F771" s="70"/>
      <c r="G771" s="64"/>
      <c r="H771" s="64"/>
      <c r="I771" s="64"/>
      <c r="J771" s="64"/>
      <c r="K771" s="64"/>
      <c r="L771" s="64"/>
      <c r="M771" s="64"/>
      <c r="N771" s="64"/>
      <c r="O771" s="64"/>
      <c r="P771" s="64"/>
      <c r="Q771" s="64"/>
      <c r="R771" s="64"/>
      <c r="S771" s="64"/>
      <c r="T771" s="64"/>
      <c r="U771" s="64"/>
      <c r="V771" s="64"/>
      <c r="W771" s="64"/>
      <c r="X771" s="64"/>
      <c r="Y771" s="64"/>
      <c r="Z771" s="64"/>
      <c r="AA771" s="64"/>
      <c r="AB771" s="64"/>
      <c r="AC771" s="64"/>
      <c r="AD771" s="64"/>
      <c r="AE771" s="64"/>
      <c r="AF771" s="64"/>
      <c r="AG771" s="64"/>
    </row>
    <row r="772" spans="1:33">
      <c r="A772" s="64"/>
      <c r="B772" s="64"/>
      <c r="C772" s="64"/>
      <c r="D772" s="64"/>
      <c r="E772" s="70"/>
      <c r="F772" s="70"/>
      <c r="G772" s="64"/>
      <c r="H772" s="64"/>
      <c r="I772" s="64"/>
      <c r="J772" s="64"/>
      <c r="K772" s="64"/>
      <c r="L772" s="64"/>
      <c r="M772" s="64"/>
      <c r="N772" s="64"/>
      <c r="O772" s="64"/>
      <c r="P772" s="64"/>
      <c r="Q772" s="64"/>
      <c r="R772" s="64"/>
      <c r="S772" s="64"/>
      <c r="T772" s="64"/>
      <c r="U772" s="64"/>
      <c r="V772" s="64"/>
      <c r="W772" s="64"/>
      <c r="X772" s="64"/>
      <c r="Y772" s="64"/>
      <c r="Z772" s="64"/>
      <c r="AA772" s="64"/>
      <c r="AB772" s="64"/>
      <c r="AC772" s="64"/>
      <c r="AD772" s="64"/>
      <c r="AE772" s="64"/>
      <c r="AF772" s="64"/>
      <c r="AG772" s="64"/>
    </row>
    <row r="773" spans="1:33">
      <c r="A773" s="64"/>
      <c r="B773" s="64"/>
      <c r="C773" s="64"/>
      <c r="D773" s="64"/>
      <c r="E773" s="70"/>
      <c r="F773" s="70"/>
      <c r="G773" s="64"/>
      <c r="H773" s="64"/>
      <c r="I773" s="64"/>
      <c r="J773" s="64"/>
      <c r="K773" s="64"/>
      <c r="L773" s="64"/>
      <c r="M773" s="64"/>
      <c r="N773" s="64"/>
      <c r="O773" s="64"/>
      <c r="P773" s="64"/>
      <c r="Q773" s="64"/>
      <c r="R773" s="64"/>
      <c r="S773" s="64"/>
      <c r="T773" s="64"/>
      <c r="U773" s="64"/>
      <c r="V773" s="64"/>
      <c r="W773" s="64"/>
      <c r="X773" s="64"/>
      <c r="Y773" s="64"/>
      <c r="Z773" s="64"/>
      <c r="AA773" s="64"/>
      <c r="AB773" s="64"/>
      <c r="AC773" s="64"/>
      <c r="AD773" s="64"/>
      <c r="AE773" s="64"/>
      <c r="AF773" s="64"/>
      <c r="AG773" s="64"/>
    </row>
    <row r="774" spans="1:33">
      <c r="A774" s="64"/>
      <c r="B774" s="64"/>
      <c r="C774" s="64"/>
      <c r="D774" s="64"/>
      <c r="E774" s="70"/>
      <c r="F774" s="70"/>
      <c r="G774" s="64"/>
      <c r="H774" s="64"/>
      <c r="I774" s="64"/>
      <c r="J774" s="64"/>
      <c r="K774" s="64"/>
      <c r="L774" s="64"/>
      <c r="M774" s="64"/>
      <c r="N774" s="64"/>
      <c r="O774" s="64"/>
      <c r="P774" s="64"/>
      <c r="Q774" s="64"/>
      <c r="R774" s="64"/>
      <c r="S774" s="64"/>
      <c r="T774" s="64"/>
      <c r="U774" s="64"/>
      <c r="V774" s="64"/>
      <c r="W774" s="64"/>
      <c r="X774" s="64"/>
      <c r="Y774" s="64"/>
      <c r="Z774" s="64"/>
      <c r="AA774" s="64"/>
      <c r="AB774" s="64"/>
      <c r="AC774" s="64"/>
      <c r="AD774" s="64"/>
      <c r="AE774" s="64"/>
      <c r="AF774" s="64"/>
      <c r="AG774" s="64"/>
    </row>
    <row r="775" spans="1:33">
      <c r="A775" s="64"/>
      <c r="B775" s="64"/>
      <c r="C775" s="64"/>
      <c r="D775" s="64"/>
      <c r="E775" s="70"/>
      <c r="F775" s="70"/>
      <c r="G775" s="64"/>
      <c r="H775" s="64"/>
      <c r="I775" s="64"/>
      <c r="J775" s="64"/>
      <c r="K775" s="64"/>
      <c r="L775" s="64"/>
      <c r="M775" s="64"/>
      <c r="N775" s="64"/>
      <c r="O775" s="64"/>
      <c r="P775" s="64"/>
      <c r="Q775" s="64"/>
      <c r="R775" s="64"/>
      <c r="S775" s="64"/>
      <c r="T775" s="64"/>
      <c r="U775" s="64"/>
      <c r="V775" s="64"/>
      <c r="W775" s="64"/>
      <c r="X775" s="64"/>
      <c r="Y775" s="64"/>
      <c r="Z775" s="64"/>
      <c r="AA775" s="64"/>
      <c r="AB775" s="64"/>
      <c r="AC775" s="64"/>
      <c r="AD775" s="64"/>
      <c r="AE775" s="64"/>
      <c r="AF775" s="64"/>
      <c r="AG775" s="64"/>
    </row>
    <row r="776" spans="1:33">
      <c r="A776" s="64"/>
      <c r="B776" s="64"/>
      <c r="C776" s="64"/>
      <c r="D776" s="64"/>
      <c r="E776" s="70"/>
      <c r="F776" s="70"/>
      <c r="G776" s="64"/>
      <c r="H776" s="64"/>
      <c r="I776" s="64"/>
      <c r="J776" s="64"/>
      <c r="K776" s="64"/>
      <c r="L776" s="64"/>
      <c r="M776" s="64"/>
      <c r="N776" s="64"/>
      <c r="O776" s="64"/>
      <c r="P776" s="64"/>
      <c r="Q776" s="64"/>
      <c r="R776" s="64"/>
      <c r="S776" s="64"/>
      <c r="T776" s="64"/>
      <c r="U776" s="64"/>
      <c r="V776" s="64"/>
      <c r="W776" s="64"/>
      <c r="X776" s="64"/>
      <c r="Y776" s="64"/>
      <c r="Z776" s="64"/>
      <c r="AA776" s="64"/>
      <c r="AB776" s="64"/>
      <c r="AC776" s="64"/>
      <c r="AD776" s="64"/>
      <c r="AE776" s="64"/>
      <c r="AF776" s="64"/>
      <c r="AG776" s="64"/>
    </row>
    <row r="777" spans="1:33">
      <c r="A777" s="64"/>
      <c r="B777" s="64"/>
      <c r="C777" s="64"/>
      <c r="D777" s="64"/>
      <c r="E777" s="70"/>
      <c r="F777" s="70"/>
      <c r="G777" s="64"/>
      <c r="H777" s="64"/>
      <c r="I777" s="64"/>
      <c r="J777" s="64"/>
      <c r="K777" s="64"/>
      <c r="L777" s="64"/>
      <c r="M777" s="64"/>
      <c r="N777" s="64"/>
      <c r="O777" s="64"/>
      <c r="P777" s="64"/>
      <c r="Q777" s="64"/>
      <c r="R777" s="64"/>
      <c r="S777" s="64"/>
      <c r="T777" s="64"/>
      <c r="U777" s="64"/>
      <c r="V777" s="64"/>
      <c r="W777" s="64"/>
      <c r="X777" s="64"/>
      <c r="Y777" s="64"/>
      <c r="Z777" s="64"/>
      <c r="AA777" s="64"/>
      <c r="AB777" s="64"/>
      <c r="AC777" s="64"/>
      <c r="AD777" s="64"/>
      <c r="AE777" s="64"/>
      <c r="AF777" s="64"/>
      <c r="AG777" s="64"/>
    </row>
    <row r="778" spans="1:33">
      <c r="A778" s="64"/>
      <c r="B778" s="64"/>
      <c r="C778" s="64"/>
      <c r="D778" s="64"/>
      <c r="E778" s="70"/>
      <c r="F778" s="70"/>
      <c r="G778" s="64"/>
      <c r="H778" s="64"/>
      <c r="I778" s="64"/>
      <c r="J778" s="64"/>
      <c r="K778" s="64"/>
      <c r="L778" s="64"/>
      <c r="M778" s="64"/>
      <c r="N778" s="64"/>
      <c r="O778" s="64"/>
      <c r="P778" s="64"/>
      <c r="Q778" s="64"/>
      <c r="R778" s="64"/>
      <c r="S778" s="64"/>
      <c r="T778" s="64"/>
      <c r="U778" s="64"/>
      <c r="V778" s="64"/>
      <c r="W778" s="64"/>
      <c r="X778" s="64"/>
      <c r="Y778" s="64"/>
      <c r="Z778" s="64"/>
      <c r="AA778" s="64"/>
      <c r="AB778" s="64"/>
      <c r="AC778" s="64"/>
      <c r="AD778" s="64"/>
      <c r="AE778" s="64"/>
      <c r="AF778" s="64"/>
      <c r="AG778" s="64"/>
    </row>
    <row r="779" spans="1:33">
      <c r="A779" s="64"/>
      <c r="B779" s="64"/>
      <c r="C779" s="64"/>
      <c r="D779" s="64"/>
      <c r="E779" s="70"/>
      <c r="F779" s="70"/>
      <c r="G779" s="64"/>
      <c r="H779" s="64"/>
      <c r="I779" s="64"/>
      <c r="J779" s="64"/>
      <c r="K779" s="64"/>
      <c r="L779" s="64"/>
      <c r="M779" s="64"/>
      <c r="N779" s="64"/>
      <c r="O779" s="64"/>
      <c r="P779" s="64"/>
      <c r="Q779" s="64"/>
      <c r="R779" s="64"/>
      <c r="S779" s="64"/>
      <c r="T779" s="64"/>
      <c r="U779" s="64"/>
      <c r="V779" s="64"/>
      <c r="W779" s="64"/>
      <c r="X779" s="64"/>
      <c r="Y779" s="64"/>
      <c r="Z779" s="64"/>
      <c r="AA779" s="64"/>
      <c r="AB779" s="64"/>
      <c r="AC779" s="64"/>
      <c r="AD779" s="64"/>
      <c r="AE779" s="64"/>
      <c r="AF779" s="64"/>
      <c r="AG779" s="64"/>
    </row>
    <row r="780" spans="1:33">
      <c r="A780" s="64"/>
      <c r="B780" s="64"/>
      <c r="C780" s="64"/>
      <c r="D780" s="64"/>
      <c r="E780" s="70"/>
      <c r="F780" s="70"/>
      <c r="G780" s="64"/>
      <c r="H780" s="64"/>
      <c r="I780" s="64"/>
      <c r="J780" s="64"/>
      <c r="K780" s="64"/>
      <c r="L780" s="64"/>
      <c r="M780" s="64"/>
      <c r="N780" s="64"/>
      <c r="O780" s="64"/>
      <c r="P780" s="64"/>
      <c r="Q780" s="64"/>
      <c r="R780" s="64"/>
      <c r="S780" s="64"/>
      <c r="T780" s="64"/>
      <c r="U780" s="64"/>
      <c r="V780" s="64"/>
      <c r="W780" s="64"/>
      <c r="X780" s="64"/>
      <c r="Y780" s="64"/>
      <c r="Z780" s="64"/>
      <c r="AA780" s="64"/>
      <c r="AB780" s="64"/>
      <c r="AC780" s="64"/>
      <c r="AD780" s="64"/>
      <c r="AE780" s="64"/>
      <c r="AF780" s="64"/>
      <c r="AG780" s="64"/>
    </row>
    <row r="781" spans="1:33">
      <c r="A781" s="64"/>
      <c r="B781" s="64"/>
      <c r="C781" s="64"/>
      <c r="D781" s="64"/>
      <c r="E781" s="70"/>
      <c r="F781" s="70"/>
      <c r="G781" s="64"/>
      <c r="H781" s="64"/>
      <c r="I781" s="64"/>
      <c r="J781" s="64"/>
      <c r="K781" s="64"/>
      <c r="L781" s="64"/>
      <c r="M781" s="64"/>
      <c r="N781" s="64"/>
      <c r="O781" s="64"/>
      <c r="P781" s="64"/>
      <c r="Q781" s="64"/>
      <c r="R781" s="64"/>
      <c r="S781" s="64"/>
      <c r="T781" s="64"/>
      <c r="U781" s="64"/>
      <c r="V781" s="64"/>
      <c r="W781" s="64"/>
      <c r="X781" s="64"/>
      <c r="Y781" s="64"/>
      <c r="Z781" s="64"/>
      <c r="AA781" s="64"/>
      <c r="AB781" s="64"/>
      <c r="AC781" s="64"/>
      <c r="AD781" s="64"/>
      <c r="AE781" s="64"/>
      <c r="AF781" s="64"/>
      <c r="AG781" s="64"/>
    </row>
    <row r="782" spans="1:33">
      <c r="A782" s="64"/>
      <c r="B782" s="64"/>
      <c r="C782" s="64"/>
      <c r="D782" s="64"/>
      <c r="E782" s="70"/>
      <c r="F782" s="70"/>
      <c r="G782" s="64"/>
      <c r="H782" s="64"/>
      <c r="I782" s="64"/>
      <c r="J782" s="64"/>
      <c r="K782" s="64"/>
      <c r="L782" s="64"/>
      <c r="M782" s="64"/>
      <c r="N782" s="64"/>
      <c r="O782" s="64"/>
      <c r="P782" s="64"/>
      <c r="Q782" s="64"/>
      <c r="R782" s="64"/>
      <c r="S782" s="64"/>
      <c r="T782" s="64"/>
      <c r="U782" s="64"/>
      <c r="V782" s="64"/>
      <c r="W782" s="64"/>
      <c r="X782" s="64"/>
      <c r="Y782" s="64"/>
      <c r="Z782" s="64"/>
      <c r="AA782" s="64"/>
      <c r="AB782" s="64"/>
      <c r="AC782" s="64"/>
      <c r="AD782" s="64"/>
      <c r="AE782" s="64"/>
      <c r="AF782" s="64"/>
      <c r="AG782" s="64"/>
    </row>
    <row r="783" spans="1:33">
      <c r="A783" s="64"/>
      <c r="B783" s="64"/>
      <c r="C783" s="64"/>
      <c r="D783" s="64"/>
      <c r="E783" s="70"/>
      <c r="F783" s="70"/>
      <c r="G783" s="64"/>
      <c r="H783" s="64"/>
      <c r="I783" s="64"/>
      <c r="J783" s="64"/>
      <c r="K783" s="64"/>
      <c r="L783" s="64"/>
      <c r="M783" s="64"/>
      <c r="N783" s="64"/>
      <c r="O783" s="64"/>
      <c r="P783" s="64"/>
      <c r="Q783" s="64"/>
      <c r="R783" s="64"/>
      <c r="S783" s="64"/>
      <c r="T783" s="64"/>
      <c r="U783" s="64"/>
      <c r="V783" s="64"/>
      <c r="W783" s="64"/>
      <c r="X783" s="64"/>
      <c r="Y783" s="64"/>
      <c r="Z783" s="64"/>
      <c r="AA783" s="64"/>
      <c r="AB783" s="64"/>
      <c r="AC783" s="64"/>
      <c r="AD783" s="64"/>
      <c r="AE783" s="64"/>
      <c r="AF783" s="64"/>
      <c r="AG783" s="64"/>
    </row>
    <row r="784" spans="1:33">
      <c r="A784" s="64"/>
      <c r="B784" s="64"/>
      <c r="C784" s="64"/>
      <c r="D784" s="64"/>
      <c r="E784" s="70"/>
      <c r="F784" s="70"/>
      <c r="G784" s="64"/>
      <c r="H784" s="64"/>
      <c r="I784" s="64"/>
      <c r="J784" s="64"/>
      <c r="K784" s="64"/>
      <c r="L784" s="64"/>
      <c r="M784" s="64"/>
      <c r="N784" s="64"/>
      <c r="O784" s="64"/>
      <c r="P784" s="64"/>
      <c r="Q784" s="64"/>
      <c r="R784" s="64"/>
      <c r="S784" s="64"/>
      <c r="T784" s="64"/>
      <c r="U784" s="64"/>
      <c r="V784" s="64"/>
      <c r="W784" s="64"/>
      <c r="X784" s="64"/>
      <c r="Y784" s="64"/>
      <c r="Z784" s="64"/>
      <c r="AA784" s="64"/>
      <c r="AB784" s="64"/>
      <c r="AC784" s="64"/>
      <c r="AD784" s="64"/>
      <c r="AE784" s="64"/>
      <c r="AF784" s="64"/>
      <c r="AG784" s="64"/>
    </row>
    <row r="785" spans="1:33">
      <c r="A785" s="64"/>
      <c r="B785" s="64"/>
      <c r="C785" s="64"/>
      <c r="D785" s="64"/>
      <c r="E785" s="70"/>
      <c r="F785" s="70"/>
      <c r="G785" s="64"/>
      <c r="H785" s="64"/>
      <c r="I785" s="64"/>
      <c r="J785" s="64"/>
      <c r="K785" s="64"/>
      <c r="L785" s="64"/>
      <c r="M785" s="64"/>
      <c r="N785" s="64"/>
      <c r="O785" s="64"/>
      <c r="P785" s="64"/>
      <c r="Q785" s="64"/>
      <c r="R785" s="64"/>
      <c r="S785" s="64"/>
      <c r="T785" s="64"/>
      <c r="U785" s="64"/>
      <c r="V785" s="64"/>
      <c r="W785" s="64"/>
      <c r="X785" s="64"/>
      <c r="Y785" s="64"/>
      <c r="Z785" s="64"/>
      <c r="AA785" s="64"/>
      <c r="AB785" s="64"/>
      <c r="AC785" s="64"/>
      <c r="AD785" s="64"/>
      <c r="AE785" s="64"/>
      <c r="AF785" s="64"/>
      <c r="AG785" s="64"/>
    </row>
    <row r="786" spans="1:33">
      <c r="A786" s="64"/>
      <c r="B786" s="64"/>
      <c r="C786" s="64"/>
      <c r="D786" s="64"/>
      <c r="E786" s="70"/>
      <c r="F786" s="70"/>
      <c r="G786" s="64"/>
      <c r="H786" s="64"/>
      <c r="I786" s="64"/>
      <c r="J786" s="64"/>
      <c r="K786" s="64"/>
      <c r="L786" s="64"/>
      <c r="M786" s="64"/>
      <c r="N786" s="64"/>
      <c r="O786" s="64"/>
      <c r="P786" s="64"/>
      <c r="Q786" s="64"/>
      <c r="R786" s="64"/>
      <c r="S786" s="64"/>
      <c r="T786" s="64"/>
      <c r="U786" s="64"/>
      <c r="V786" s="64"/>
      <c r="W786" s="64"/>
      <c r="X786" s="64"/>
      <c r="Y786" s="64"/>
      <c r="Z786" s="64"/>
      <c r="AA786" s="64"/>
      <c r="AB786" s="64"/>
      <c r="AC786" s="64"/>
      <c r="AD786" s="64"/>
      <c r="AE786" s="64"/>
      <c r="AF786" s="64"/>
      <c r="AG786" s="64"/>
    </row>
    <row r="787" spans="1:33">
      <c r="A787" s="64"/>
      <c r="B787" s="64"/>
      <c r="C787" s="64"/>
      <c r="D787" s="64"/>
      <c r="E787" s="70"/>
      <c r="F787" s="70"/>
      <c r="G787" s="64"/>
      <c r="H787" s="64"/>
      <c r="I787" s="64"/>
      <c r="J787" s="64"/>
      <c r="K787" s="64"/>
      <c r="L787" s="64"/>
      <c r="M787" s="64"/>
      <c r="N787" s="64"/>
      <c r="O787" s="64"/>
      <c r="P787" s="64"/>
      <c r="Q787" s="64"/>
      <c r="R787" s="64"/>
      <c r="S787" s="64"/>
      <c r="T787" s="64"/>
      <c r="U787" s="64"/>
      <c r="V787" s="64"/>
      <c r="W787" s="64"/>
      <c r="X787" s="64"/>
      <c r="Y787" s="64"/>
      <c r="Z787" s="64"/>
      <c r="AA787" s="64"/>
      <c r="AB787" s="64"/>
      <c r="AC787" s="64"/>
      <c r="AD787" s="64"/>
      <c r="AE787" s="64"/>
      <c r="AF787" s="64"/>
      <c r="AG787" s="64"/>
    </row>
    <row r="788" spans="1:33">
      <c r="A788" s="64"/>
      <c r="B788" s="64"/>
      <c r="C788" s="64"/>
      <c r="D788" s="64"/>
      <c r="E788" s="70"/>
      <c r="F788" s="70"/>
      <c r="G788" s="64"/>
      <c r="H788" s="64"/>
      <c r="I788" s="64"/>
      <c r="J788" s="64"/>
      <c r="K788" s="64"/>
      <c r="L788" s="64"/>
      <c r="M788" s="64"/>
      <c r="N788" s="64"/>
      <c r="O788" s="64"/>
      <c r="P788" s="64"/>
      <c r="Q788" s="64"/>
      <c r="R788" s="64"/>
      <c r="S788" s="64"/>
      <c r="T788" s="64"/>
      <c r="U788" s="64"/>
      <c r="V788" s="64"/>
      <c r="W788" s="64"/>
      <c r="X788" s="64"/>
      <c r="Y788" s="64"/>
      <c r="Z788" s="64"/>
      <c r="AA788" s="64"/>
      <c r="AB788" s="64"/>
      <c r="AC788" s="64"/>
      <c r="AD788" s="64"/>
      <c r="AE788" s="64"/>
      <c r="AF788" s="64"/>
      <c r="AG788" s="64"/>
    </row>
    <row r="789" spans="1:33">
      <c r="A789" s="64"/>
      <c r="B789" s="64"/>
      <c r="C789" s="64"/>
      <c r="D789" s="64"/>
      <c r="E789" s="70"/>
      <c r="F789" s="70"/>
      <c r="G789" s="64"/>
      <c r="H789" s="64"/>
      <c r="I789" s="64"/>
      <c r="J789" s="64"/>
      <c r="K789" s="64"/>
      <c r="L789" s="64"/>
      <c r="M789" s="64"/>
      <c r="N789" s="64"/>
      <c r="O789" s="64"/>
      <c r="P789" s="64"/>
      <c r="Q789" s="64"/>
      <c r="R789" s="64"/>
      <c r="S789" s="64"/>
      <c r="T789" s="64"/>
      <c r="U789" s="64"/>
      <c r="V789" s="64"/>
      <c r="W789" s="64"/>
      <c r="X789" s="64"/>
      <c r="Y789" s="64"/>
      <c r="Z789" s="64"/>
      <c r="AA789" s="64"/>
      <c r="AB789" s="64"/>
      <c r="AC789" s="64"/>
      <c r="AD789" s="64"/>
      <c r="AE789" s="64"/>
      <c r="AF789" s="64"/>
      <c r="AG789" s="64"/>
    </row>
    <row r="790" spans="1:33">
      <c r="A790" s="64"/>
      <c r="B790" s="64"/>
      <c r="C790" s="64"/>
      <c r="D790" s="64"/>
      <c r="E790" s="70"/>
      <c r="F790" s="70"/>
      <c r="G790" s="64"/>
      <c r="H790" s="64"/>
      <c r="I790" s="64"/>
      <c r="J790" s="64"/>
      <c r="K790" s="64"/>
      <c r="L790" s="64"/>
      <c r="M790" s="64"/>
      <c r="N790" s="64"/>
      <c r="O790" s="64"/>
      <c r="P790" s="64"/>
      <c r="Q790" s="64"/>
      <c r="R790" s="64"/>
      <c r="S790" s="64"/>
      <c r="T790" s="64"/>
      <c r="U790" s="64"/>
      <c r="V790" s="64"/>
      <c r="W790" s="64"/>
      <c r="X790" s="64"/>
      <c r="Y790" s="64"/>
      <c r="Z790" s="64"/>
      <c r="AA790" s="64"/>
      <c r="AB790" s="64"/>
      <c r="AC790" s="64"/>
      <c r="AD790" s="64"/>
      <c r="AE790" s="64"/>
      <c r="AF790" s="64"/>
      <c r="AG790" s="64"/>
    </row>
    <row r="791" spans="1:33">
      <c r="A791" s="64"/>
      <c r="B791" s="64"/>
      <c r="C791" s="64"/>
      <c r="D791" s="64"/>
      <c r="E791" s="70"/>
      <c r="F791" s="70"/>
      <c r="G791" s="64"/>
      <c r="H791" s="64"/>
      <c r="I791" s="64"/>
      <c r="J791" s="64"/>
      <c r="K791" s="64"/>
      <c r="L791" s="64"/>
      <c r="M791" s="64"/>
      <c r="N791" s="64"/>
      <c r="O791" s="64"/>
      <c r="P791" s="64"/>
      <c r="Q791" s="64"/>
      <c r="R791" s="64"/>
      <c r="S791" s="64"/>
      <c r="T791" s="64"/>
      <c r="U791" s="64"/>
      <c r="V791" s="64"/>
      <c r="W791" s="64"/>
      <c r="X791" s="64"/>
      <c r="Y791" s="64"/>
      <c r="Z791" s="64"/>
      <c r="AA791" s="64"/>
      <c r="AB791" s="64"/>
      <c r="AC791" s="64"/>
      <c r="AD791" s="64"/>
      <c r="AE791" s="64"/>
      <c r="AF791" s="64"/>
      <c r="AG791" s="64"/>
    </row>
    <row r="792" spans="1:33">
      <c r="A792" s="64"/>
      <c r="B792" s="64"/>
      <c r="C792" s="64"/>
      <c r="D792" s="64"/>
      <c r="E792" s="70"/>
      <c r="F792" s="70"/>
      <c r="G792" s="64"/>
      <c r="H792" s="64"/>
      <c r="I792" s="64"/>
      <c r="J792" s="64"/>
      <c r="K792" s="64"/>
      <c r="L792" s="64"/>
      <c r="M792" s="64"/>
      <c r="N792" s="64"/>
      <c r="O792" s="64"/>
      <c r="P792" s="64"/>
      <c r="Q792" s="64"/>
      <c r="R792" s="64"/>
      <c r="S792" s="64"/>
      <c r="T792" s="64"/>
      <c r="U792" s="64"/>
      <c r="V792" s="64"/>
      <c r="W792" s="64"/>
      <c r="X792" s="64"/>
      <c r="Y792" s="64"/>
      <c r="Z792" s="64"/>
      <c r="AA792" s="64"/>
      <c r="AB792" s="64"/>
      <c r="AC792" s="64"/>
      <c r="AD792" s="64"/>
      <c r="AE792" s="64"/>
      <c r="AF792" s="64"/>
      <c r="AG792" s="64"/>
    </row>
    <row r="793" spans="1:33">
      <c r="A793" s="64"/>
      <c r="B793" s="64"/>
      <c r="C793" s="64"/>
      <c r="D793" s="64"/>
      <c r="E793" s="70"/>
      <c r="F793" s="70"/>
      <c r="G793" s="64"/>
      <c r="H793" s="64"/>
      <c r="I793" s="64"/>
      <c r="J793" s="64"/>
      <c r="K793" s="64"/>
      <c r="L793" s="64"/>
      <c r="M793" s="64"/>
      <c r="N793" s="64"/>
      <c r="O793" s="64"/>
      <c r="P793" s="64"/>
      <c r="Q793" s="64"/>
      <c r="R793" s="64"/>
      <c r="S793" s="64"/>
      <c r="T793" s="64"/>
      <c r="U793" s="64"/>
      <c r="V793" s="64"/>
      <c r="W793" s="64"/>
      <c r="X793" s="64"/>
      <c r="Y793" s="64"/>
      <c r="Z793" s="64"/>
      <c r="AA793" s="64"/>
      <c r="AB793" s="64"/>
      <c r="AC793" s="64"/>
      <c r="AD793" s="64"/>
      <c r="AE793" s="64"/>
      <c r="AF793" s="64"/>
      <c r="AG793" s="64"/>
    </row>
    <row r="794" spans="1:33">
      <c r="A794" s="64"/>
      <c r="B794" s="64"/>
      <c r="C794" s="64"/>
      <c r="D794" s="64"/>
      <c r="E794" s="70"/>
      <c r="F794" s="70"/>
      <c r="G794" s="64"/>
      <c r="H794" s="64"/>
      <c r="I794" s="64"/>
      <c r="J794" s="64"/>
      <c r="K794" s="64"/>
      <c r="L794" s="64"/>
      <c r="M794" s="64"/>
      <c r="N794" s="64"/>
      <c r="O794" s="64"/>
      <c r="P794" s="64"/>
      <c r="Q794" s="64"/>
      <c r="R794" s="64"/>
      <c r="S794" s="64"/>
      <c r="T794" s="64"/>
      <c r="U794" s="64"/>
      <c r="V794" s="64"/>
      <c r="W794" s="64"/>
      <c r="X794" s="64"/>
      <c r="Y794" s="64"/>
      <c r="Z794" s="64"/>
      <c r="AA794" s="64"/>
      <c r="AB794" s="64"/>
      <c r="AC794" s="64"/>
      <c r="AD794" s="64"/>
      <c r="AE794" s="64"/>
      <c r="AF794" s="64"/>
      <c r="AG794" s="64"/>
    </row>
    <row r="795" spans="1:33">
      <c r="A795" s="64"/>
      <c r="B795" s="64"/>
      <c r="C795" s="64"/>
      <c r="D795" s="64"/>
      <c r="E795" s="70"/>
      <c r="F795" s="70"/>
      <c r="G795" s="64"/>
      <c r="H795" s="64"/>
      <c r="I795" s="64"/>
      <c r="J795" s="64"/>
      <c r="K795" s="64"/>
      <c r="L795" s="64"/>
      <c r="M795" s="64"/>
      <c r="N795" s="64"/>
      <c r="O795" s="64"/>
      <c r="P795" s="64"/>
      <c r="Q795" s="64"/>
      <c r="R795" s="64"/>
      <c r="S795" s="64"/>
      <c r="T795" s="64"/>
      <c r="U795" s="64"/>
      <c r="V795" s="64"/>
      <c r="W795" s="64"/>
      <c r="X795" s="64"/>
      <c r="Y795" s="64"/>
      <c r="Z795" s="64"/>
      <c r="AA795" s="64"/>
      <c r="AB795" s="64"/>
      <c r="AC795" s="64"/>
      <c r="AD795" s="64"/>
      <c r="AE795" s="64"/>
      <c r="AF795" s="64"/>
      <c r="AG795" s="64"/>
    </row>
    <row r="796" spans="1:33">
      <c r="A796" s="64"/>
      <c r="B796" s="64"/>
      <c r="C796" s="64"/>
      <c r="D796" s="64"/>
      <c r="E796" s="70"/>
      <c r="F796" s="70"/>
      <c r="G796" s="64"/>
      <c r="H796" s="64"/>
      <c r="I796" s="64"/>
      <c r="J796" s="64"/>
      <c r="K796" s="64"/>
      <c r="L796" s="64"/>
      <c r="M796" s="64"/>
      <c r="N796" s="64"/>
      <c r="O796" s="64"/>
      <c r="P796" s="64"/>
      <c r="Q796" s="64"/>
      <c r="R796" s="64"/>
      <c r="S796" s="64"/>
      <c r="T796" s="64"/>
      <c r="U796" s="64"/>
      <c r="V796" s="64"/>
      <c r="W796" s="64"/>
      <c r="X796" s="64"/>
      <c r="Y796" s="64"/>
      <c r="Z796" s="64"/>
      <c r="AA796" s="64"/>
      <c r="AB796" s="64"/>
      <c r="AC796" s="64"/>
      <c r="AD796" s="64"/>
      <c r="AE796" s="64"/>
      <c r="AF796" s="64"/>
      <c r="AG796" s="64"/>
    </row>
    <row r="797" spans="1:33">
      <c r="A797" s="64"/>
      <c r="B797" s="64"/>
      <c r="C797" s="64"/>
      <c r="D797" s="64"/>
      <c r="E797" s="70"/>
      <c r="F797" s="70"/>
      <c r="G797" s="64"/>
      <c r="H797" s="64"/>
      <c r="I797" s="64"/>
      <c r="J797" s="64"/>
      <c r="K797" s="64"/>
      <c r="L797" s="64"/>
      <c r="M797" s="64"/>
      <c r="N797" s="64"/>
      <c r="O797" s="64"/>
      <c r="P797" s="64"/>
      <c r="Q797" s="64"/>
      <c r="R797" s="64"/>
      <c r="S797" s="64"/>
      <c r="T797" s="64"/>
      <c r="U797" s="64"/>
      <c r="V797" s="64"/>
      <c r="W797" s="64"/>
      <c r="X797" s="64"/>
      <c r="Y797" s="64"/>
      <c r="Z797" s="64"/>
      <c r="AA797" s="64"/>
      <c r="AB797" s="64"/>
      <c r="AC797" s="64"/>
      <c r="AD797" s="64"/>
      <c r="AE797" s="64"/>
      <c r="AF797" s="64"/>
      <c r="AG797" s="64"/>
    </row>
    <row r="798" spans="1:33">
      <c r="A798" s="64"/>
      <c r="B798" s="64"/>
      <c r="C798" s="64"/>
      <c r="D798" s="64"/>
      <c r="E798" s="70"/>
      <c r="F798" s="70"/>
      <c r="G798" s="64"/>
      <c r="H798" s="64"/>
      <c r="I798" s="64"/>
      <c r="J798" s="64"/>
      <c r="K798" s="64"/>
      <c r="L798" s="64"/>
      <c r="M798" s="64"/>
      <c r="N798" s="64"/>
      <c r="O798" s="64"/>
      <c r="P798" s="64"/>
      <c r="Q798" s="64"/>
      <c r="R798" s="64"/>
      <c r="S798" s="64"/>
      <c r="T798" s="64"/>
      <c r="U798" s="64"/>
      <c r="V798" s="64"/>
      <c r="W798" s="64"/>
      <c r="X798" s="64"/>
      <c r="Y798" s="64"/>
      <c r="Z798" s="64"/>
      <c r="AA798" s="64"/>
      <c r="AB798" s="64"/>
      <c r="AC798" s="64"/>
      <c r="AD798" s="64"/>
      <c r="AE798" s="64"/>
      <c r="AF798" s="64"/>
      <c r="AG798" s="64"/>
    </row>
    <row r="799" spans="1:33">
      <c r="A799" s="64"/>
      <c r="B799" s="64"/>
      <c r="C799" s="64"/>
      <c r="D799" s="64"/>
      <c r="E799" s="70"/>
      <c r="F799" s="70"/>
      <c r="G799" s="64"/>
      <c r="H799" s="64"/>
      <c r="I799" s="64"/>
      <c r="J799" s="64"/>
      <c r="K799" s="64"/>
      <c r="L799" s="64"/>
      <c r="M799" s="64"/>
      <c r="N799" s="64"/>
      <c r="O799" s="64"/>
      <c r="P799" s="64"/>
      <c r="Q799" s="64"/>
      <c r="R799" s="64"/>
      <c r="S799" s="64"/>
      <c r="T799" s="64"/>
      <c r="U799" s="64"/>
      <c r="V799" s="64"/>
      <c r="W799" s="64"/>
      <c r="X799" s="64"/>
      <c r="Y799" s="64"/>
      <c r="Z799" s="64"/>
      <c r="AA799" s="64"/>
      <c r="AB799" s="64"/>
      <c r="AC799" s="64"/>
      <c r="AD799" s="64"/>
      <c r="AE799" s="64"/>
      <c r="AF799" s="64"/>
      <c r="AG799" s="64"/>
    </row>
    <row r="800" spans="1:33">
      <c r="A800" s="64"/>
      <c r="B800" s="64"/>
      <c r="C800" s="64"/>
      <c r="D800" s="64"/>
      <c r="E800" s="70"/>
      <c r="F800" s="70"/>
      <c r="G800" s="64"/>
      <c r="H800" s="64"/>
      <c r="I800" s="64"/>
      <c r="J800" s="64"/>
      <c r="K800" s="64"/>
      <c r="L800" s="64"/>
      <c r="M800" s="64"/>
      <c r="N800" s="64"/>
      <c r="O800" s="64"/>
      <c r="P800" s="64"/>
      <c r="Q800" s="64"/>
      <c r="R800" s="64"/>
      <c r="S800" s="64"/>
      <c r="T800" s="64"/>
      <c r="U800" s="64"/>
      <c r="V800" s="64"/>
      <c r="W800" s="64"/>
      <c r="X800" s="64"/>
      <c r="Y800" s="64"/>
      <c r="Z800" s="64"/>
      <c r="AA800" s="64"/>
      <c r="AB800" s="64"/>
      <c r="AC800" s="64"/>
      <c r="AD800" s="64"/>
      <c r="AE800" s="64"/>
      <c r="AF800" s="64"/>
      <c r="AG800" s="64"/>
    </row>
    <row r="801" spans="1:33">
      <c r="A801" s="64"/>
      <c r="B801" s="64"/>
      <c r="C801" s="64"/>
      <c r="D801" s="64"/>
      <c r="E801" s="70"/>
      <c r="F801" s="70"/>
      <c r="G801" s="64"/>
      <c r="H801" s="64"/>
      <c r="I801" s="64"/>
      <c r="J801" s="64"/>
      <c r="K801" s="64"/>
      <c r="L801" s="64"/>
      <c r="M801" s="64"/>
      <c r="N801" s="64"/>
      <c r="O801" s="64"/>
      <c r="P801" s="64"/>
      <c r="Q801" s="64"/>
      <c r="R801" s="64"/>
      <c r="S801" s="64"/>
      <c r="T801" s="64"/>
      <c r="U801" s="64"/>
      <c r="V801" s="64"/>
      <c r="W801" s="64"/>
      <c r="X801" s="64"/>
      <c r="Y801" s="64"/>
      <c r="Z801" s="64"/>
      <c r="AA801" s="64"/>
      <c r="AB801" s="64"/>
      <c r="AC801" s="64"/>
      <c r="AD801" s="64"/>
      <c r="AE801" s="64"/>
      <c r="AF801" s="64"/>
      <c r="AG801" s="64"/>
    </row>
    <row r="802" spans="1:33">
      <c r="A802" s="64"/>
      <c r="B802" s="64"/>
      <c r="C802" s="64"/>
      <c r="D802" s="64"/>
      <c r="E802" s="70"/>
      <c r="F802" s="70"/>
      <c r="G802" s="64"/>
      <c r="H802" s="64"/>
      <c r="I802" s="64"/>
      <c r="J802" s="64"/>
      <c r="K802" s="64"/>
      <c r="L802" s="64"/>
      <c r="M802" s="64"/>
      <c r="N802" s="64"/>
      <c r="O802" s="64"/>
      <c r="P802" s="64"/>
      <c r="Q802" s="64"/>
      <c r="R802" s="64"/>
      <c r="S802" s="64"/>
      <c r="T802" s="64"/>
      <c r="U802" s="64"/>
      <c r="V802" s="64"/>
      <c r="W802" s="64"/>
      <c r="X802" s="64"/>
      <c r="Y802" s="64"/>
      <c r="Z802" s="64"/>
      <c r="AA802" s="64"/>
      <c r="AB802" s="64"/>
      <c r="AC802" s="64"/>
      <c r="AD802" s="64"/>
      <c r="AE802" s="64"/>
      <c r="AF802" s="64"/>
      <c r="AG802" s="64"/>
    </row>
    <row r="803" spans="1:33">
      <c r="A803" s="64"/>
      <c r="B803" s="64"/>
      <c r="C803" s="64"/>
      <c r="D803" s="64"/>
      <c r="E803" s="70"/>
      <c r="F803" s="70"/>
      <c r="G803" s="64"/>
      <c r="H803" s="64"/>
      <c r="I803" s="64"/>
      <c r="J803" s="64"/>
      <c r="K803" s="64"/>
      <c r="L803" s="64"/>
      <c r="M803" s="64"/>
      <c r="N803" s="64"/>
      <c r="O803" s="64"/>
      <c r="P803" s="64"/>
      <c r="Q803" s="64"/>
      <c r="R803" s="64"/>
      <c r="S803" s="64"/>
      <c r="T803" s="64"/>
      <c r="U803" s="64"/>
      <c r="V803" s="64"/>
      <c r="W803" s="64"/>
      <c r="X803" s="64"/>
      <c r="Y803" s="64"/>
      <c r="Z803" s="64"/>
      <c r="AA803" s="64"/>
      <c r="AB803" s="64"/>
      <c r="AC803" s="64"/>
      <c r="AD803" s="64"/>
      <c r="AE803" s="64"/>
      <c r="AF803" s="64"/>
      <c r="AG803" s="64"/>
    </row>
    <row r="804" spans="1:33">
      <c r="A804" s="64"/>
      <c r="B804" s="64"/>
      <c r="C804" s="64"/>
      <c r="D804" s="64"/>
      <c r="E804" s="70"/>
      <c r="F804" s="70"/>
      <c r="G804" s="64"/>
      <c r="H804" s="64"/>
      <c r="I804" s="64"/>
      <c r="J804" s="64"/>
      <c r="K804" s="64"/>
      <c r="L804" s="64"/>
      <c r="M804" s="64"/>
      <c r="N804" s="64"/>
      <c r="O804" s="64"/>
      <c r="P804" s="64"/>
      <c r="Q804" s="64"/>
      <c r="R804" s="64"/>
      <c r="S804" s="64"/>
      <c r="T804" s="64"/>
      <c r="U804" s="64"/>
      <c r="V804" s="64"/>
      <c r="W804" s="64"/>
      <c r="X804" s="64"/>
      <c r="Y804" s="64"/>
      <c r="Z804" s="64"/>
      <c r="AA804" s="64"/>
      <c r="AB804" s="64"/>
      <c r="AC804" s="64"/>
      <c r="AD804" s="64"/>
      <c r="AE804" s="64"/>
      <c r="AF804" s="64"/>
      <c r="AG804" s="64"/>
    </row>
    <row r="805" spans="1:33">
      <c r="A805" s="64"/>
      <c r="B805" s="64"/>
      <c r="C805" s="64"/>
      <c r="D805" s="64"/>
      <c r="E805" s="70"/>
      <c r="F805" s="70"/>
      <c r="G805" s="64"/>
      <c r="H805" s="64"/>
      <c r="I805" s="64"/>
      <c r="J805" s="64"/>
      <c r="K805" s="64"/>
      <c r="L805" s="64"/>
      <c r="M805" s="64"/>
      <c r="N805" s="64"/>
      <c r="O805" s="64"/>
      <c r="P805" s="64"/>
      <c r="Q805" s="64"/>
      <c r="R805" s="64"/>
      <c r="S805" s="64"/>
      <c r="T805" s="64"/>
      <c r="U805" s="64"/>
      <c r="V805" s="64"/>
      <c r="W805" s="64"/>
      <c r="X805" s="64"/>
      <c r="Y805" s="64"/>
      <c r="Z805" s="64"/>
      <c r="AA805" s="64"/>
      <c r="AB805" s="64"/>
      <c r="AC805" s="64"/>
      <c r="AD805" s="64"/>
      <c r="AE805" s="64"/>
      <c r="AF805" s="64"/>
      <c r="AG805" s="64"/>
    </row>
    <row r="806" spans="1:33">
      <c r="A806" s="64"/>
      <c r="B806" s="64"/>
      <c r="C806" s="64"/>
      <c r="D806" s="64"/>
      <c r="E806" s="70"/>
      <c r="F806" s="70"/>
      <c r="G806" s="64"/>
      <c r="H806" s="64"/>
      <c r="I806" s="64"/>
      <c r="J806" s="64"/>
      <c r="K806" s="64"/>
      <c r="L806" s="64"/>
      <c r="M806" s="64"/>
      <c r="N806" s="64"/>
      <c r="O806" s="64"/>
      <c r="P806" s="64"/>
      <c r="Q806" s="64"/>
      <c r="R806" s="64"/>
      <c r="S806" s="64"/>
      <c r="T806" s="64"/>
      <c r="U806" s="64"/>
      <c r="V806" s="64"/>
      <c r="W806" s="64"/>
      <c r="X806" s="64"/>
      <c r="Y806" s="64"/>
      <c r="Z806" s="64"/>
      <c r="AA806" s="64"/>
      <c r="AB806" s="64"/>
      <c r="AC806" s="64"/>
      <c r="AD806" s="64"/>
      <c r="AE806" s="64"/>
      <c r="AF806" s="64"/>
      <c r="AG806" s="64"/>
    </row>
    <row r="807" spans="1:33">
      <c r="A807" s="64"/>
      <c r="B807" s="64"/>
      <c r="C807" s="64"/>
      <c r="D807" s="64"/>
      <c r="E807" s="70"/>
      <c r="F807" s="70"/>
      <c r="G807" s="64"/>
      <c r="H807" s="64"/>
      <c r="I807" s="64"/>
      <c r="J807" s="64"/>
      <c r="K807" s="64"/>
      <c r="L807" s="64"/>
      <c r="M807" s="64"/>
      <c r="N807" s="64"/>
      <c r="O807" s="64"/>
      <c r="P807" s="64"/>
      <c r="Q807" s="64"/>
      <c r="R807" s="64"/>
      <c r="S807" s="64"/>
      <c r="T807" s="64"/>
      <c r="U807" s="64"/>
      <c r="V807" s="64"/>
      <c r="W807" s="64"/>
      <c r="X807" s="64"/>
      <c r="Y807" s="64"/>
      <c r="Z807" s="64"/>
      <c r="AA807" s="64"/>
      <c r="AB807" s="64"/>
      <c r="AC807" s="64"/>
      <c r="AD807" s="64"/>
      <c r="AE807" s="64"/>
      <c r="AF807" s="64"/>
      <c r="AG807" s="64"/>
    </row>
    <row r="808" spans="1:33">
      <c r="A808" s="64"/>
      <c r="B808" s="64"/>
      <c r="C808" s="64"/>
      <c r="D808" s="64"/>
      <c r="E808" s="70"/>
      <c r="F808" s="70"/>
      <c r="G808" s="64"/>
      <c r="H808" s="64"/>
      <c r="I808" s="64"/>
      <c r="J808" s="64"/>
      <c r="K808" s="64"/>
      <c r="L808" s="64"/>
      <c r="M808" s="64"/>
      <c r="N808" s="64"/>
      <c r="O808" s="64"/>
      <c r="P808" s="64"/>
      <c r="Q808" s="64"/>
      <c r="R808" s="64"/>
      <c r="S808" s="64"/>
      <c r="T808" s="64"/>
      <c r="U808" s="64"/>
      <c r="V808" s="64"/>
      <c r="W808" s="64"/>
      <c r="X808" s="64"/>
      <c r="Y808" s="64"/>
      <c r="Z808" s="64"/>
      <c r="AA808" s="64"/>
      <c r="AB808" s="64"/>
      <c r="AC808" s="64"/>
      <c r="AD808" s="64"/>
      <c r="AE808" s="64"/>
      <c r="AF808" s="64"/>
      <c r="AG808" s="64"/>
    </row>
    <row r="809" spans="1:33">
      <c r="A809" s="64"/>
      <c r="B809" s="64"/>
      <c r="C809" s="64"/>
      <c r="D809" s="64"/>
      <c r="E809" s="70"/>
      <c r="F809" s="70"/>
      <c r="G809" s="64"/>
      <c r="H809" s="64"/>
      <c r="I809" s="64"/>
      <c r="J809" s="64"/>
      <c r="K809" s="64"/>
      <c r="L809" s="64"/>
      <c r="M809" s="64"/>
      <c r="N809" s="64"/>
      <c r="O809" s="64"/>
      <c r="P809" s="64"/>
      <c r="Q809" s="64"/>
      <c r="R809" s="64"/>
      <c r="S809" s="64"/>
      <c r="T809" s="64"/>
      <c r="U809" s="64"/>
      <c r="V809" s="64"/>
      <c r="W809" s="64"/>
      <c r="X809" s="64"/>
      <c r="Y809" s="64"/>
      <c r="Z809" s="64"/>
      <c r="AA809" s="64"/>
      <c r="AB809" s="64"/>
      <c r="AC809" s="64"/>
      <c r="AD809" s="64"/>
      <c r="AE809" s="64"/>
      <c r="AF809" s="64"/>
      <c r="AG809" s="64"/>
    </row>
    <row r="810" spans="1:33">
      <c r="A810" s="64"/>
      <c r="B810" s="64"/>
      <c r="C810" s="64"/>
      <c r="D810" s="64"/>
      <c r="E810" s="70"/>
      <c r="F810" s="70"/>
      <c r="G810" s="64"/>
      <c r="H810" s="64"/>
      <c r="I810" s="64"/>
      <c r="J810" s="64"/>
      <c r="K810" s="64"/>
      <c r="L810" s="64"/>
      <c r="M810" s="64"/>
      <c r="N810" s="64"/>
      <c r="O810" s="64"/>
      <c r="P810" s="64"/>
      <c r="Q810" s="64"/>
      <c r="R810" s="64"/>
      <c r="S810" s="64"/>
      <c r="T810" s="64"/>
      <c r="U810" s="64"/>
      <c r="V810" s="64"/>
      <c r="W810" s="64"/>
      <c r="X810" s="64"/>
      <c r="Y810" s="64"/>
      <c r="Z810" s="64"/>
      <c r="AA810" s="64"/>
      <c r="AB810" s="64"/>
      <c r="AC810" s="64"/>
      <c r="AD810" s="64"/>
      <c r="AE810" s="64"/>
      <c r="AF810" s="64"/>
      <c r="AG810" s="64"/>
    </row>
    <row r="811" spans="1:33">
      <c r="A811" s="64"/>
      <c r="B811" s="64"/>
      <c r="C811" s="64"/>
      <c r="D811" s="64"/>
      <c r="E811" s="70"/>
      <c r="F811" s="70"/>
      <c r="G811" s="64"/>
      <c r="H811" s="64"/>
      <c r="I811" s="64"/>
      <c r="J811" s="64"/>
      <c r="K811" s="64"/>
      <c r="L811" s="64"/>
      <c r="M811" s="64"/>
      <c r="N811" s="64"/>
      <c r="O811" s="64"/>
      <c r="P811" s="64"/>
      <c r="Q811" s="64"/>
      <c r="R811" s="64"/>
      <c r="S811" s="64"/>
      <c r="T811" s="64"/>
      <c r="U811" s="64"/>
      <c r="V811" s="64"/>
      <c r="W811" s="64"/>
      <c r="X811" s="64"/>
      <c r="Y811" s="64"/>
      <c r="Z811" s="64"/>
      <c r="AA811" s="64"/>
      <c r="AB811" s="64"/>
      <c r="AC811" s="64"/>
      <c r="AD811" s="64"/>
      <c r="AE811" s="64"/>
      <c r="AF811" s="64"/>
      <c r="AG811" s="64"/>
    </row>
    <row r="812" spans="1:33">
      <c r="A812" s="64"/>
      <c r="B812" s="64"/>
      <c r="C812" s="64"/>
      <c r="D812" s="64"/>
      <c r="E812" s="70"/>
      <c r="F812" s="70"/>
      <c r="G812" s="64"/>
      <c r="H812" s="64"/>
      <c r="I812" s="64"/>
      <c r="J812" s="64"/>
      <c r="K812" s="64"/>
      <c r="L812" s="64"/>
      <c r="M812" s="64"/>
      <c r="N812" s="64"/>
      <c r="O812" s="64"/>
      <c r="P812" s="64"/>
      <c r="Q812" s="64"/>
      <c r="R812" s="64"/>
      <c r="S812" s="64"/>
      <c r="T812" s="64"/>
      <c r="U812" s="64"/>
      <c r="V812" s="64"/>
      <c r="W812" s="64"/>
      <c r="X812" s="64"/>
      <c r="Y812" s="64"/>
      <c r="Z812" s="64"/>
      <c r="AA812" s="64"/>
      <c r="AB812" s="64"/>
      <c r="AC812" s="64"/>
      <c r="AD812" s="64"/>
      <c r="AE812" s="64"/>
      <c r="AF812" s="64"/>
      <c r="AG812" s="64"/>
    </row>
    <row r="813" spans="1:33">
      <c r="A813" s="64"/>
      <c r="B813" s="64"/>
      <c r="C813" s="64"/>
      <c r="D813" s="64"/>
      <c r="E813" s="70"/>
      <c r="F813" s="70"/>
      <c r="G813" s="64"/>
      <c r="H813" s="64"/>
      <c r="I813" s="64"/>
      <c r="J813" s="64"/>
      <c r="K813" s="64"/>
      <c r="L813" s="64"/>
      <c r="M813" s="64"/>
      <c r="N813" s="64"/>
      <c r="O813" s="64"/>
      <c r="P813" s="64"/>
      <c r="Q813" s="64"/>
      <c r="R813" s="64"/>
      <c r="S813" s="64"/>
      <c r="T813" s="64"/>
      <c r="U813" s="64"/>
      <c r="V813" s="64"/>
      <c r="W813" s="64"/>
      <c r="X813" s="64"/>
      <c r="Y813" s="64"/>
      <c r="Z813" s="64"/>
      <c r="AA813" s="64"/>
      <c r="AB813" s="64"/>
      <c r="AC813" s="64"/>
      <c r="AD813" s="64"/>
      <c r="AE813" s="64"/>
      <c r="AF813" s="64"/>
      <c r="AG813" s="64"/>
    </row>
    <row r="814" spans="1:33">
      <c r="A814" s="64"/>
      <c r="B814" s="64"/>
      <c r="C814" s="64"/>
      <c r="D814" s="64"/>
      <c r="E814" s="70"/>
      <c r="F814" s="70"/>
      <c r="G814" s="64"/>
      <c r="H814" s="64"/>
      <c r="I814" s="64"/>
      <c r="J814" s="64"/>
      <c r="K814" s="64"/>
      <c r="L814" s="64"/>
      <c r="M814" s="64"/>
      <c r="N814" s="64"/>
      <c r="O814" s="64"/>
      <c r="P814" s="64"/>
      <c r="Q814" s="64"/>
      <c r="R814" s="64"/>
      <c r="S814" s="64"/>
      <c r="T814" s="64"/>
      <c r="U814" s="64"/>
      <c r="V814" s="64"/>
      <c r="W814" s="64"/>
      <c r="X814" s="64"/>
      <c r="Y814" s="64"/>
      <c r="Z814" s="64"/>
      <c r="AA814" s="64"/>
      <c r="AB814" s="64"/>
      <c r="AC814" s="64"/>
      <c r="AD814" s="64"/>
      <c r="AE814" s="64"/>
      <c r="AF814" s="64"/>
      <c r="AG814" s="64"/>
    </row>
    <row r="815" spans="1:33">
      <c r="A815" s="64"/>
      <c r="B815" s="64"/>
      <c r="C815" s="64"/>
      <c r="D815" s="64"/>
      <c r="E815" s="70"/>
      <c r="F815" s="70"/>
      <c r="G815" s="64"/>
      <c r="H815" s="64"/>
      <c r="I815" s="64"/>
      <c r="J815" s="64"/>
      <c r="K815" s="64"/>
      <c r="L815" s="64"/>
      <c r="M815" s="64"/>
      <c r="N815" s="64"/>
      <c r="O815" s="64"/>
      <c r="P815" s="64"/>
      <c r="Q815" s="64"/>
      <c r="R815" s="64"/>
      <c r="S815" s="64"/>
      <c r="T815" s="64"/>
      <c r="U815" s="64"/>
      <c r="V815" s="64"/>
      <c r="W815" s="64"/>
      <c r="X815" s="64"/>
      <c r="Y815" s="64"/>
      <c r="Z815" s="64"/>
      <c r="AA815" s="64"/>
      <c r="AB815" s="64"/>
      <c r="AC815" s="64"/>
      <c r="AD815" s="64"/>
      <c r="AE815" s="64"/>
      <c r="AF815" s="64"/>
      <c r="AG815" s="64"/>
    </row>
    <row r="816" spans="1:33">
      <c r="A816" s="64"/>
      <c r="B816" s="64"/>
      <c r="C816" s="64"/>
      <c r="D816" s="64"/>
      <c r="E816" s="70"/>
      <c r="F816" s="70"/>
      <c r="G816" s="64"/>
      <c r="H816" s="64"/>
      <c r="I816" s="64"/>
      <c r="J816" s="64"/>
      <c r="K816" s="64"/>
      <c r="L816" s="64"/>
      <c r="M816" s="64"/>
      <c r="N816" s="64"/>
      <c r="O816" s="64"/>
      <c r="P816" s="64"/>
      <c r="Q816" s="64"/>
      <c r="R816" s="64"/>
      <c r="S816" s="64"/>
      <c r="T816" s="64"/>
      <c r="U816" s="64"/>
      <c r="V816" s="64"/>
      <c r="W816" s="64"/>
      <c r="X816" s="64"/>
      <c r="Y816" s="64"/>
      <c r="Z816" s="64"/>
      <c r="AA816" s="64"/>
      <c r="AB816" s="64"/>
      <c r="AC816" s="64"/>
      <c r="AD816" s="64"/>
      <c r="AE816" s="64"/>
      <c r="AF816" s="64"/>
      <c r="AG816" s="64"/>
    </row>
    <row r="817" spans="1:33">
      <c r="A817" s="64"/>
      <c r="B817" s="64"/>
      <c r="C817" s="64"/>
      <c r="D817" s="64"/>
      <c r="E817" s="70"/>
      <c r="F817" s="70"/>
      <c r="G817" s="64"/>
      <c r="H817" s="64"/>
      <c r="I817" s="64"/>
      <c r="J817" s="64"/>
      <c r="K817" s="64"/>
      <c r="L817" s="64"/>
      <c r="M817" s="64"/>
      <c r="N817" s="64"/>
      <c r="O817" s="64"/>
      <c r="P817" s="64"/>
      <c r="Q817" s="64"/>
      <c r="R817" s="64"/>
      <c r="S817" s="64"/>
      <c r="T817" s="64"/>
      <c r="U817" s="64"/>
      <c r="V817" s="64"/>
      <c r="W817" s="64"/>
      <c r="X817" s="64"/>
      <c r="Y817" s="64"/>
      <c r="Z817" s="64"/>
      <c r="AA817" s="64"/>
      <c r="AB817" s="64"/>
      <c r="AC817" s="64"/>
      <c r="AD817" s="64"/>
      <c r="AE817" s="64"/>
      <c r="AF817" s="64"/>
      <c r="AG817" s="64"/>
    </row>
    <row r="818" spans="1:33">
      <c r="A818" s="64"/>
      <c r="B818" s="64"/>
      <c r="C818" s="64"/>
      <c r="D818" s="64"/>
      <c r="E818" s="70"/>
      <c r="F818" s="70"/>
      <c r="G818" s="64"/>
      <c r="H818" s="64"/>
      <c r="I818" s="64"/>
      <c r="J818" s="64"/>
      <c r="K818" s="64"/>
      <c r="L818" s="64"/>
      <c r="M818" s="64"/>
      <c r="N818" s="64"/>
      <c r="O818" s="64"/>
      <c r="P818" s="64"/>
      <c r="Q818" s="64"/>
      <c r="R818" s="64"/>
      <c r="S818" s="64"/>
      <c r="T818" s="64"/>
      <c r="U818" s="64"/>
      <c r="V818" s="64"/>
      <c r="W818" s="64"/>
      <c r="X818" s="64"/>
      <c r="Y818" s="64"/>
      <c r="Z818" s="64"/>
      <c r="AA818" s="64"/>
      <c r="AB818" s="64"/>
      <c r="AC818" s="64"/>
      <c r="AD818" s="64"/>
      <c r="AE818" s="64"/>
      <c r="AF818" s="64"/>
      <c r="AG818" s="64"/>
    </row>
    <row r="819" spans="1:33">
      <c r="A819" s="64"/>
      <c r="B819" s="64"/>
      <c r="C819" s="64"/>
      <c r="D819" s="64"/>
      <c r="E819" s="70"/>
      <c r="F819" s="70"/>
      <c r="G819" s="64"/>
      <c r="H819" s="64"/>
      <c r="I819" s="64"/>
      <c r="J819" s="64"/>
      <c r="K819" s="64"/>
      <c r="L819" s="64"/>
      <c r="M819" s="64"/>
      <c r="N819" s="64"/>
      <c r="O819" s="64"/>
      <c r="P819" s="64"/>
      <c r="Q819" s="64"/>
      <c r="R819" s="64"/>
      <c r="S819" s="64"/>
      <c r="T819" s="64"/>
      <c r="U819" s="64"/>
      <c r="V819" s="64"/>
      <c r="W819" s="64"/>
      <c r="X819" s="64"/>
      <c r="Y819" s="64"/>
      <c r="Z819" s="64"/>
      <c r="AA819" s="64"/>
      <c r="AB819" s="64"/>
      <c r="AC819" s="64"/>
      <c r="AD819" s="64"/>
      <c r="AE819" s="64"/>
      <c r="AF819" s="64"/>
      <c r="AG819" s="64"/>
    </row>
    <row r="820" spans="1:33">
      <c r="A820" s="64"/>
      <c r="B820" s="64"/>
      <c r="C820" s="64"/>
      <c r="D820" s="64"/>
      <c r="E820" s="70"/>
      <c r="F820" s="70"/>
      <c r="G820" s="64"/>
      <c r="H820" s="64"/>
      <c r="I820" s="64"/>
      <c r="J820" s="64"/>
      <c r="K820" s="64"/>
      <c r="L820" s="64"/>
      <c r="M820" s="64"/>
      <c r="N820" s="64"/>
      <c r="O820" s="64"/>
      <c r="P820" s="64"/>
      <c r="Q820" s="64"/>
      <c r="R820" s="64"/>
      <c r="S820" s="64"/>
      <c r="T820" s="64"/>
      <c r="U820" s="64"/>
      <c r="V820" s="64"/>
      <c r="W820" s="64"/>
      <c r="X820" s="64"/>
      <c r="Y820" s="64"/>
      <c r="Z820" s="64"/>
      <c r="AA820" s="64"/>
      <c r="AB820" s="64"/>
      <c r="AC820" s="64"/>
      <c r="AD820" s="64"/>
      <c r="AE820" s="64"/>
      <c r="AF820" s="64"/>
      <c r="AG820" s="64"/>
    </row>
    <row r="821" spans="1:33">
      <c r="A821" s="64"/>
      <c r="B821" s="64"/>
      <c r="C821" s="64"/>
      <c r="D821" s="64"/>
      <c r="E821" s="70"/>
      <c r="F821" s="70"/>
      <c r="G821" s="64"/>
      <c r="H821" s="64"/>
      <c r="I821" s="64"/>
      <c r="J821" s="64"/>
      <c r="K821" s="64"/>
      <c r="L821" s="64"/>
      <c r="M821" s="64"/>
      <c r="N821" s="64"/>
      <c r="O821" s="64"/>
      <c r="P821" s="64"/>
      <c r="Q821" s="64"/>
      <c r="R821" s="64"/>
      <c r="S821" s="64"/>
      <c r="T821" s="64"/>
      <c r="U821" s="64"/>
      <c r="V821" s="64"/>
      <c r="W821" s="64"/>
      <c r="X821" s="64"/>
      <c r="Y821" s="64"/>
      <c r="Z821" s="64"/>
      <c r="AA821" s="64"/>
      <c r="AB821" s="64"/>
      <c r="AC821" s="64"/>
      <c r="AD821" s="64"/>
      <c r="AE821" s="64"/>
      <c r="AF821" s="64"/>
      <c r="AG821" s="64"/>
    </row>
    <row r="822" spans="1:33">
      <c r="A822" s="64"/>
      <c r="B822" s="64"/>
      <c r="C822" s="64"/>
      <c r="D822" s="64"/>
      <c r="E822" s="70"/>
      <c r="F822" s="70"/>
      <c r="G822" s="64"/>
      <c r="H822" s="64"/>
      <c r="I822" s="64"/>
      <c r="J822" s="64"/>
      <c r="K822" s="64"/>
      <c r="L822" s="64"/>
      <c r="M822" s="64"/>
      <c r="N822" s="64"/>
      <c r="O822" s="64"/>
      <c r="P822" s="64"/>
      <c r="Q822" s="64"/>
      <c r="R822" s="64"/>
      <c r="S822" s="64"/>
      <c r="T822" s="64"/>
      <c r="U822" s="64"/>
      <c r="V822" s="64"/>
      <c r="W822" s="64"/>
      <c r="X822" s="64"/>
      <c r="Y822" s="64"/>
      <c r="Z822" s="64"/>
      <c r="AA822" s="64"/>
      <c r="AB822" s="64"/>
      <c r="AC822" s="64"/>
      <c r="AD822" s="64"/>
      <c r="AE822" s="64"/>
      <c r="AF822" s="64"/>
      <c r="AG822" s="64"/>
    </row>
    <row r="823" spans="1:33">
      <c r="A823" s="64"/>
      <c r="B823" s="64"/>
      <c r="C823" s="64"/>
      <c r="D823" s="64"/>
      <c r="E823" s="70"/>
      <c r="F823" s="70"/>
      <c r="G823" s="64"/>
      <c r="H823" s="64"/>
      <c r="I823" s="64"/>
      <c r="J823" s="64"/>
      <c r="K823" s="64"/>
      <c r="L823" s="64"/>
      <c r="M823" s="64"/>
      <c r="N823" s="64"/>
      <c r="O823" s="64"/>
      <c r="P823" s="64"/>
      <c r="Q823" s="64"/>
      <c r="R823" s="64"/>
      <c r="S823" s="64"/>
      <c r="T823" s="64"/>
      <c r="U823" s="64"/>
      <c r="V823" s="64"/>
      <c r="W823" s="64"/>
      <c r="X823" s="64"/>
      <c r="Y823" s="64"/>
      <c r="Z823" s="64"/>
      <c r="AA823" s="64"/>
      <c r="AB823" s="64"/>
      <c r="AC823" s="64"/>
      <c r="AD823" s="64"/>
      <c r="AE823" s="64"/>
      <c r="AF823" s="64"/>
      <c r="AG823" s="64"/>
    </row>
    <row r="824" spans="1:33">
      <c r="A824" s="64"/>
      <c r="B824" s="64"/>
      <c r="C824" s="64"/>
      <c r="D824" s="64"/>
      <c r="E824" s="70"/>
      <c r="F824" s="70"/>
      <c r="G824" s="64"/>
      <c r="H824" s="64"/>
      <c r="I824" s="64"/>
      <c r="J824" s="64"/>
      <c r="K824" s="64"/>
      <c r="L824" s="64"/>
      <c r="M824" s="64"/>
      <c r="N824" s="64"/>
      <c r="O824" s="64"/>
      <c r="P824" s="64"/>
      <c r="Q824" s="64"/>
      <c r="R824" s="64"/>
      <c r="S824" s="64"/>
      <c r="T824" s="64"/>
      <c r="U824" s="64"/>
      <c r="V824" s="64"/>
      <c r="W824" s="64"/>
      <c r="X824" s="64"/>
      <c r="Y824" s="64"/>
      <c r="Z824" s="64"/>
      <c r="AA824" s="64"/>
      <c r="AB824" s="64"/>
      <c r="AC824" s="64"/>
      <c r="AD824" s="64"/>
      <c r="AE824" s="64"/>
      <c r="AF824" s="64"/>
      <c r="AG824" s="64"/>
    </row>
    <row r="825" spans="1:33">
      <c r="A825" s="64"/>
      <c r="B825" s="64"/>
      <c r="C825" s="64"/>
      <c r="D825" s="64"/>
      <c r="E825" s="70"/>
      <c r="F825" s="70"/>
      <c r="G825" s="64"/>
      <c r="H825" s="64"/>
      <c r="I825" s="64"/>
      <c r="J825" s="64"/>
      <c r="K825" s="64"/>
      <c r="L825" s="64"/>
      <c r="M825" s="64"/>
      <c r="N825" s="64"/>
      <c r="O825" s="64"/>
      <c r="P825" s="64"/>
      <c r="Q825" s="64"/>
      <c r="R825" s="64"/>
      <c r="S825" s="64"/>
      <c r="T825" s="64"/>
      <c r="U825" s="64"/>
      <c r="V825" s="64"/>
      <c r="W825" s="64"/>
      <c r="X825" s="64"/>
      <c r="Y825" s="64"/>
      <c r="Z825" s="64"/>
      <c r="AA825" s="64"/>
      <c r="AB825" s="64"/>
      <c r="AC825" s="64"/>
      <c r="AD825" s="64"/>
      <c r="AE825" s="64"/>
      <c r="AF825" s="64"/>
      <c r="AG825" s="64"/>
    </row>
    <row r="826" spans="1:33">
      <c r="A826" s="64"/>
      <c r="B826" s="64"/>
      <c r="C826" s="64"/>
      <c r="D826" s="64"/>
      <c r="E826" s="70"/>
      <c r="F826" s="70"/>
      <c r="G826" s="64"/>
      <c r="H826" s="64"/>
      <c r="I826" s="64"/>
      <c r="J826" s="64"/>
      <c r="K826" s="64"/>
      <c r="L826" s="64"/>
      <c r="M826" s="64"/>
      <c r="N826" s="64"/>
      <c r="O826" s="64"/>
      <c r="P826" s="64"/>
      <c r="Q826" s="64"/>
      <c r="R826" s="64"/>
      <c r="S826" s="64"/>
      <c r="T826" s="64"/>
      <c r="U826" s="64"/>
      <c r="V826" s="64"/>
      <c r="W826" s="64"/>
      <c r="X826" s="64"/>
      <c r="Y826" s="64"/>
      <c r="Z826" s="64"/>
      <c r="AA826" s="64"/>
      <c r="AB826" s="64"/>
      <c r="AC826" s="64"/>
      <c r="AD826" s="64"/>
      <c r="AE826" s="64"/>
      <c r="AF826" s="64"/>
      <c r="AG826" s="64"/>
    </row>
    <row r="827" spans="1:33">
      <c r="A827" s="64"/>
      <c r="B827" s="64"/>
      <c r="C827" s="64"/>
      <c r="D827" s="64"/>
      <c r="E827" s="70"/>
      <c r="F827" s="70"/>
      <c r="G827" s="64"/>
      <c r="H827" s="64"/>
      <c r="I827" s="64"/>
      <c r="J827" s="64"/>
      <c r="K827" s="64"/>
      <c r="L827" s="64"/>
      <c r="M827" s="64"/>
      <c r="N827" s="64"/>
      <c r="O827" s="64"/>
      <c r="P827" s="64"/>
      <c r="Q827" s="64"/>
      <c r="R827" s="64"/>
      <c r="S827" s="64"/>
      <c r="T827" s="64"/>
      <c r="U827" s="64"/>
      <c r="V827" s="64"/>
      <c r="W827" s="64"/>
      <c r="X827" s="64"/>
      <c r="Y827" s="64"/>
      <c r="Z827" s="64"/>
      <c r="AA827" s="64"/>
      <c r="AB827" s="64"/>
      <c r="AC827" s="64"/>
      <c r="AD827" s="64"/>
      <c r="AE827" s="64"/>
      <c r="AF827" s="64"/>
      <c r="AG827" s="64"/>
    </row>
    <row r="828" spans="1:33">
      <c r="A828" s="64"/>
      <c r="B828" s="64"/>
      <c r="C828" s="64"/>
      <c r="D828" s="64"/>
      <c r="E828" s="70"/>
      <c r="F828" s="70"/>
      <c r="G828" s="64"/>
      <c r="H828" s="64"/>
      <c r="I828" s="64"/>
      <c r="J828" s="64"/>
      <c r="K828" s="64"/>
      <c r="L828" s="64"/>
      <c r="M828" s="64"/>
      <c r="N828" s="64"/>
      <c r="O828" s="64"/>
      <c r="P828" s="64"/>
      <c r="Q828" s="64"/>
      <c r="R828" s="64"/>
      <c r="S828" s="64"/>
      <c r="T828" s="64"/>
      <c r="U828" s="64"/>
      <c r="V828" s="64"/>
      <c r="W828" s="64"/>
      <c r="X828" s="64"/>
      <c r="Y828" s="64"/>
      <c r="Z828" s="64"/>
      <c r="AA828" s="64"/>
      <c r="AB828" s="64"/>
      <c r="AC828" s="64"/>
      <c r="AD828" s="64"/>
      <c r="AE828" s="64"/>
      <c r="AF828" s="64"/>
      <c r="AG828" s="64"/>
    </row>
    <row r="829" spans="1:33">
      <c r="A829" s="64"/>
      <c r="B829" s="64"/>
      <c r="C829" s="64"/>
      <c r="D829" s="64"/>
      <c r="E829" s="70"/>
      <c r="F829" s="70"/>
      <c r="G829" s="64"/>
      <c r="H829" s="64"/>
      <c r="I829" s="64"/>
      <c r="J829" s="64"/>
      <c r="K829" s="64"/>
      <c r="L829" s="64"/>
      <c r="M829" s="64"/>
      <c r="N829" s="64"/>
      <c r="O829" s="64"/>
      <c r="P829" s="64"/>
      <c r="Q829" s="64"/>
      <c r="R829" s="64"/>
      <c r="S829" s="64"/>
      <c r="T829" s="64"/>
      <c r="U829" s="64"/>
      <c r="V829" s="64"/>
      <c r="W829" s="64"/>
      <c r="X829" s="64"/>
      <c r="Y829" s="64"/>
      <c r="Z829" s="64"/>
      <c r="AA829" s="64"/>
      <c r="AB829" s="64"/>
      <c r="AC829" s="64"/>
      <c r="AD829" s="64"/>
      <c r="AE829" s="64"/>
      <c r="AF829" s="64"/>
      <c r="AG829" s="64"/>
    </row>
    <row r="830" spans="1:33">
      <c r="A830" s="64"/>
      <c r="B830" s="64"/>
      <c r="C830" s="64"/>
      <c r="D830" s="64"/>
      <c r="E830" s="70"/>
      <c r="F830" s="70"/>
      <c r="G830" s="64"/>
      <c r="H830" s="64"/>
      <c r="I830" s="64"/>
      <c r="J830" s="64"/>
      <c r="K830" s="64"/>
      <c r="L830" s="64"/>
      <c r="M830" s="64"/>
      <c r="N830" s="64"/>
      <c r="O830" s="64"/>
      <c r="P830" s="64"/>
      <c r="Q830" s="64"/>
      <c r="R830" s="64"/>
      <c r="S830" s="64"/>
      <c r="T830" s="64"/>
      <c r="U830" s="64"/>
      <c r="V830" s="64"/>
      <c r="W830" s="64"/>
      <c r="X830" s="64"/>
      <c r="Y830" s="64"/>
      <c r="Z830" s="64"/>
      <c r="AA830" s="64"/>
      <c r="AB830" s="64"/>
      <c r="AC830" s="64"/>
      <c r="AD830" s="64"/>
      <c r="AE830" s="64"/>
      <c r="AF830" s="64"/>
      <c r="AG830" s="64"/>
    </row>
    <row r="831" spans="1:33">
      <c r="A831" s="64"/>
      <c r="B831" s="64"/>
      <c r="C831" s="64"/>
      <c r="D831" s="64"/>
      <c r="E831" s="70"/>
      <c r="F831" s="70"/>
      <c r="G831" s="64"/>
      <c r="H831" s="64"/>
      <c r="I831" s="64"/>
      <c r="J831" s="64"/>
      <c r="K831" s="64"/>
      <c r="L831" s="64"/>
      <c r="M831" s="64"/>
      <c r="N831" s="64"/>
      <c r="O831" s="64"/>
      <c r="P831" s="64"/>
      <c r="Q831" s="64"/>
      <c r="R831" s="64"/>
      <c r="S831" s="64"/>
      <c r="T831" s="64"/>
      <c r="U831" s="64"/>
      <c r="V831" s="64"/>
      <c r="W831" s="64"/>
      <c r="X831" s="64"/>
      <c r="Y831" s="64"/>
      <c r="Z831" s="64"/>
      <c r="AA831" s="64"/>
      <c r="AB831" s="64"/>
      <c r="AC831" s="64"/>
      <c r="AD831" s="64"/>
      <c r="AE831" s="64"/>
      <c r="AF831" s="64"/>
      <c r="AG831" s="64"/>
    </row>
    <row r="832" spans="1:33">
      <c r="A832" s="64"/>
      <c r="B832" s="64"/>
      <c r="C832" s="64"/>
      <c r="D832" s="64"/>
      <c r="E832" s="70"/>
      <c r="F832" s="70"/>
      <c r="G832" s="64"/>
      <c r="H832" s="64"/>
      <c r="I832" s="64"/>
      <c r="J832" s="64"/>
      <c r="K832" s="64"/>
      <c r="L832" s="64"/>
      <c r="M832" s="64"/>
      <c r="N832" s="64"/>
      <c r="O832" s="64"/>
      <c r="P832" s="64"/>
      <c r="Q832" s="64"/>
      <c r="R832" s="64"/>
      <c r="S832" s="64"/>
      <c r="T832" s="64"/>
      <c r="U832" s="64"/>
      <c r="V832" s="64"/>
      <c r="W832" s="64"/>
      <c r="X832" s="64"/>
      <c r="Y832" s="64"/>
      <c r="Z832" s="64"/>
      <c r="AA832" s="64"/>
      <c r="AB832" s="64"/>
      <c r="AC832" s="64"/>
      <c r="AD832" s="64"/>
      <c r="AE832" s="64"/>
      <c r="AF832" s="64"/>
      <c r="AG832" s="64"/>
    </row>
    <row r="833" spans="1:33">
      <c r="A833" s="64"/>
      <c r="B833" s="64"/>
      <c r="C833" s="64"/>
      <c r="D833" s="64"/>
      <c r="E833" s="70"/>
      <c r="F833" s="70"/>
      <c r="G833" s="64"/>
      <c r="H833" s="64"/>
      <c r="I833" s="64"/>
      <c r="J833" s="64"/>
      <c r="K833" s="64"/>
      <c r="L833" s="64"/>
      <c r="M833" s="64"/>
      <c r="N833" s="64"/>
      <c r="O833" s="64"/>
      <c r="P833" s="64"/>
      <c r="Q833" s="64"/>
      <c r="R833" s="64"/>
      <c r="S833" s="64"/>
      <c r="T833" s="64"/>
      <c r="U833" s="64"/>
      <c r="V833" s="64"/>
      <c r="W833" s="64"/>
      <c r="X833" s="64"/>
      <c r="Y833" s="64"/>
      <c r="Z833" s="64"/>
      <c r="AA833" s="64"/>
      <c r="AB833" s="64"/>
      <c r="AC833" s="64"/>
      <c r="AD833" s="64"/>
      <c r="AE833" s="64"/>
      <c r="AF833" s="64"/>
      <c r="AG833" s="64"/>
    </row>
    <row r="834" spans="1:33">
      <c r="A834" s="64"/>
      <c r="B834" s="64"/>
      <c r="C834" s="64"/>
      <c r="D834" s="64"/>
      <c r="E834" s="70"/>
      <c r="F834" s="70"/>
      <c r="G834" s="64"/>
      <c r="H834" s="64"/>
      <c r="I834" s="64"/>
      <c r="J834" s="64"/>
      <c r="K834" s="64"/>
      <c r="L834" s="64"/>
      <c r="M834" s="64"/>
      <c r="N834" s="64"/>
      <c r="O834" s="64"/>
      <c r="P834" s="64"/>
      <c r="Q834" s="64"/>
      <c r="R834" s="64"/>
      <c r="S834" s="64"/>
      <c r="T834" s="64"/>
      <c r="U834" s="64"/>
      <c r="V834" s="64"/>
      <c r="W834" s="64"/>
      <c r="X834" s="64"/>
      <c r="Y834" s="64"/>
      <c r="Z834" s="64"/>
      <c r="AA834" s="64"/>
      <c r="AB834" s="64"/>
      <c r="AC834" s="64"/>
      <c r="AD834" s="64"/>
      <c r="AE834" s="64"/>
      <c r="AF834" s="64"/>
      <c r="AG834" s="64"/>
    </row>
    <row r="835" spans="1:33">
      <c r="A835" s="64"/>
      <c r="B835" s="64"/>
      <c r="C835" s="64"/>
      <c r="D835" s="64"/>
      <c r="E835" s="70"/>
      <c r="F835" s="70"/>
      <c r="G835" s="64"/>
      <c r="H835" s="64"/>
      <c r="I835" s="64"/>
      <c r="J835" s="64"/>
      <c r="K835" s="64"/>
      <c r="L835" s="64"/>
      <c r="M835" s="64"/>
      <c r="N835" s="64"/>
      <c r="O835" s="64"/>
      <c r="P835" s="64"/>
      <c r="Q835" s="64"/>
      <c r="R835" s="64"/>
      <c r="S835" s="64"/>
      <c r="T835" s="64"/>
      <c r="U835" s="64"/>
      <c r="V835" s="64"/>
      <c r="W835" s="64"/>
      <c r="X835" s="64"/>
      <c r="Y835" s="64"/>
      <c r="Z835" s="64"/>
      <c r="AA835" s="64"/>
      <c r="AB835" s="64"/>
      <c r="AC835" s="64"/>
      <c r="AD835" s="64"/>
      <c r="AE835" s="64"/>
      <c r="AF835" s="64"/>
      <c r="AG835" s="64"/>
    </row>
    <row r="836" spans="1:33">
      <c r="A836" s="64"/>
      <c r="B836" s="64"/>
      <c r="C836" s="64"/>
      <c r="D836" s="64"/>
      <c r="E836" s="70"/>
      <c r="F836" s="70"/>
      <c r="G836" s="64"/>
      <c r="H836" s="64"/>
      <c r="I836" s="64"/>
      <c r="J836" s="64"/>
      <c r="K836" s="64"/>
      <c r="L836" s="64"/>
      <c r="M836" s="64"/>
      <c r="N836" s="64"/>
      <c r="O836" s="64"/>
      <c r="P836" s="64"/>
      <c r="Q836" s="64"/>
      <c r="R836" s="64"/>
      <c r="S836" s="64"/>
      <c r="T836" s="64"/>
      <c r="U836" s="64"/>
      <c r="V836" s="64"/>
      <c r="W836" s="64"/>
      <c r="X836" s="64"/>
      <c r="Y836" s="64"/>
      <c r="Z836" s="64"/>
      <c r="AA836" s="64"/>
      <c r="AB836" s="64"/>
      <c r="AC836" s="64"/>
      <c r="AD836" s="64"/>
      <c r="AE836" s="64"/>
      <c r="AF836" s="64"/>
      <c r="AG836" s="64"/>
    </row>
    <row r="837" spans="1:33">
      <c r="A837" s="64"/>
      <c r="B837" s="64"/>
      <c r="C837" s="64"/>
      <c r="D837" s="64"/>
      <c r="E837" s="70"/>
      <c r="F837" s="70"/>
      <c r="G837" s="64"/>
      <c r="H837" s="64"/>
      <c r="I837" s="64"/>
      <c r="J837" s="64"/>
      <c r="K837" s="64"/>
      <c r="L837" s="64"/>
      <c r="M837" s="64"/>
      <c r="N837" s="64"/>
      <c r="O837" s="64"/>
      <c r="P837" s="64"/>
      <c r="Q837" s="64"/>
      <c r="R837" s="64"/>
      <c r="S837" s="64"/>
      <c r="T837" s="64"/>
      <c r="U837" s="64"/>
      <c r="V837" s="64"/>
      <c r="W837" s="64"/>
      <c r="X837" s="64"/>
      <c r="Y837" s="64"/>
      <c r="Z837" s="64"/>
      <c r="AA837" s="64"/>
      <c r="AB837" s="64"/>
      <c r="AC837" s="64"/>
      <c r="AD837" s="64"/>
      <c r="AE837" s="64"/>
      <c r="AF837" s="64"/>
      <c r="AG837" s="64"/>
    </row>
    <row r="838" spans="1:33">
      <c r="A838" s="64"/>
      <c r="B838" s="64"/>
      <c r="C838" s="64"/>
      <c r="D838" s="64"/>
      <c r="E838" s="70"/>
      <c r="F838" s="70"/>
      <c r="G838" s="64"/>
      <c r="H838" s="64"/>
      <c r="I838" s="64"/>
      <c r="J838" s="64"/>
      <c r="K838" s="64"/>
      <c r="L838" s="64"/>
      <c r="M838" s="64"/>
      <c r="N838" s="64"/>
      <c r="O838" s="64"/>
      <c r="P838" s="64"/>
      <c r="Q838" s="64"/>
      <c r="R838" s="64"/>
      <c r="S838" s="64"/>
      <c r="T838" s="64"/>
      <c r="U838" s="64"/>
      <c r="V838" s="64"/>
      <c r="W838" s="64"/>
      <c r="X838" s="64"/>
      <c r="Y838" s="64"/>
      <c r="Z838" s="64"/>
      <c r="AA838" s="64"/>
      <c r="AB838" s="64"/>
      <c r="AC838" s="64"/>
      <c r="AD838" s="64"/>
      <c r="AE838" s="64"/>
      <c r="AF838" s="64"/>
      <c r="AG838" s="64"/>
    </row>
    <row r="839" spans="1:33">
      <c r="A839" s="64"/>
      <c r="B839" s="64"/>
      <c r="C839" s="64"/>
      <c r="D839" s="64"/>
      <c r="E839" s="70"/>
      <c r="F839" s="70"/>
      <c r="G839" s="64"/>
      <c r="H839" s="64"/>
      <c r="I839" s="64"/>
      <c r="J839" s="64"/>
      <c r="K839" s="64"/>
      <c r="L839" s="64"/>
      <c r="M839" s="64"/>
      <c r="N839" s="64"/>
      <c r="O839" s="64"/>
      <c r="P839" s="64"/>
      <c r="Q839" s="64"/>
      <c r="R839" s="64"/>
      <c r="S839" s="64"/>
      <c r="T839" s="64"/>
      <c r="U839" s="64"/>
      <c r="V839" s="64"/>
      <c r="W839" s="64"/>
      <c r="X839" s="64"/>
      <c r="Y839" s="64"/>
      <c r="Z839" s="64"/>
      <c r="AA839" s="64"/>
      <c r="AB839" s="64"/>
      <c r="AC839" s="64"/>
      <c r="AD839" s="64"/>
      <c r="AE839" s="64"/>
      <c r="AF839" s="64"/>
      <c r="AG839" s="64"/>
    </row>
    <row r="840" spans="1:33">
      <c r="A840" s="64"/>
      <c r="B840" s="64"/>
      <c r="C840" s="64"/>
      <c r="D840" s="64"/>
      <c r="E840" s="70"/>
      <c r="F840" s="70"/>
      <c r="G840" s="64"/>
      <c r="H840" s="64"/>
      <c r="I840" s="64"/>
      <c r="J840" s="64"/>
      <c r="K840" s="64"/>
      <c r="L840" s="64"/>
      <c r="M840" s="64"/>
      <c r="N840" s="64"/>
      <c r="O840" s="64"/>
      <c r="P840" s="64"/>
      <c r="Q840" s="64"/>
      <c r="R840" s="64"/>
      <c r="S840" s="64"/>
      <c r="T840" s="64"/>
      <c r="U840" s="64"/>
      <c r="V840" s="64"/>
      <c r="W840" s="64"/>
      <c r="X840" s="64"/>
      <c r="Y840" s="64"/>
      <c r="Z840" s="64"/>
      <c r="AA840" s="64"/>
      <c r="AB840" s="64"/>
      <c r="AC840" s="64"/>
      <c r="AD840" s="64"/>
      <c r="AE840" s="64"/>
      <c r="AF840" s="64"/>
      <c r="AG840" s="64"/>
    </row>
    <row r="841" spans="1:33">
      <c r="A841" s="64"/>
      <c r="B841" s="64"/>
      <c r="C841" s="64"/>
      <c r="D841" s="64"/>
      <c r="E841" s="70"/>
      <c r="F841" s="70"/>
      <c r="G841" s="64"/>
      <c r="H841" s="64"/>
      <c r="I841" s="64"/>
      <c r="J841" s="64"/>
      <c r="K841" s="64"/>
      <c r="L841" s="64"/>
      <c r="M841" s="64"/>
      <c r="N841" s="64"/>
      <c r="O841" s="64"/>
      <c r="P841" s="64"/>
      <c r="Q841" s="64"/>
      <c r="R841" s="64"/>
      <c r="S841" s="64"/>
      <c r="T841" s="64"/>
      <c r="U841" s="64"/>
      <c r="V841" s="64"/>
      <c r="W841" s="64"/>
      <c r="X841" s="64"/>
      <c r="Y841" s="64"/>
      <c r="Z841" s="64"/>
      <c r="AA841" s="64"/>
      <c r="AB841" s="64"/>
      <c r="AC841" s="64"/>
      <c r="AD841" s="64"/>
      <c r="AE841" s="64"/>
      <c r="AF841" s="64"/>
      <c r="AG841" s="64"/>
    </row>
    <row r="842" spans="1:33">
      <c r="A842" s="64"/>
      <c r="B842" s="64"/>
      <c r="C842" s="64"/>
      <c r="D842" s="64"/>
      <c r="E842" s="70"/>
      <c r="F842" s="70"/>
      <c r="G842" s="64"/>
      <c r="H842" s="64"/>
      <c r="I842" s="64"/>
      <c r="J842" s="64"/>
      <c r="K842" s="64"/>
      <c r="L842" s="64"/>
      <c r="M842" s="64"/>
      <c r="N842" s="64"/>
      <c r="O842" s="64"/>
      <c r="P842" s="64"/>
      <c r="Q842" s="64"/>
      <c r="R842" s="64"/>
      <c r="S842" s="64"/>
      <c r="T842" s="64"/>
      <c r="U842" s="64"/>
      <c r="V842" s="64"/>
      <c r="W842" s="64"/>
      <c r="X842" s="64"/>
      <c r="Y842" s="64"/>
      <c r="Z842" s="64"/>
      <c r="AA842" s="64"/>
      <c r="AB842" s="64"/>
      <c r="AC842" s="64"/>
      <c r="AD842" s="64"/>
      <c r="AE842" s="64"/>
      <c r="AF842" s="64"/>
      <c r="AG842" s="64"/>
    </row>
    <row r="843" spans="1:33">
      <c r="A843" s="64"/>
      <c r="B843" s="64"/>
      <c r="C843" s="64"/>
      <c r="D843" s="64"/>
      <c r="E843" s="70"/>
      <c r="F843" s="70"/>
      <c r="G843" s="64"/>
      <c r="H843" s="64"/>
      <c r="I843" s="64"/>
      <c r="J843" s="64"/>
      <c r="K843" s="64"/>
      <c r="L843" s="64"/>
      <c r="M843" s="64"/>
      <c r="N843" s="64"/>
      <c r="O843" s="64"/>
      <c r="P843" s="64"/>
      <c r="Q843" s="64"/>
      <c r="R843" s="64"/>
      <c r="S843" s="64"/>
      <c r="T843" s="64"/>
      <c r="U843" s="64"/>
      <c r="V843" s="64"/>
      <c r="W843" s="64"/>
      <c r="X843" s="64"/>
      <c r="Y843" s="64"/>
      <c r="Z843" s="64"/>
      <c r="AA843" s="64"/>
      <c r="AB843" s="64"/>
      <c r="AC843" s="64"/>
      <c r="AD843" s="64"/>
      <c r="AE843" s="64"/>
      <c r="AF843" s="64"/>
      <c r="AG843" s="64"/>
    </row>
    <row r="844" spans="1:33">
      <c r="A844" s="64"/>
      <c r="B844" s="64"/>
      <c r="C844" s="64"/>
      <c r="D844" s="64"/>
      <c r="E844" s="70"/>
      <c r="F844" s="70"/>
      <c r="G844" s="64"/>
      <c r="H844" s="64"/>
      <c r="I844" s="64"/>
      <c r="J844" s="64"/>
      <c r="K844" s="64"/>
      <c r="L844" s="64"/>
      <c r="M844" s="64"/>
      <c r="N844" s="64"/>
      <c r="O844" s="64"/>
      <c r="P844" s="64"/>
      <c r="Q844" s="64"/>
      <c r="R844" s="64"/>
      <c r="S844" s="64"/>
      <c r="T844" s="64"/>
      <c r="U844" s="64"/>
      <c r="V844" s="64"/>
      <c r="W844" s="64"/>
      <c r="X844" s="64"/>
      <c r="Y844" s="64"/>
      <c r="Z844" s="64"/>
      <c r="AA844" s="64"/>
      <c r="AB844" s="64"/>
      <c r="AC844" s="64"/>
      <c r="AD844" s="64"/>
      <c r="AE844" s="64"/>
      <c r="AF844" s="64"/>
      <c r="AG844" s="64"/>
    </row>
    <row r="845" spans="1:33">
      <c r="A845" s="64"/>
      <c r="B845" s="64"/>
      <c r="C845" s="64"/>
      <c r="D845" s="64"/>
      <c r="E845" s="70"/>
      <c r="F845" s="70"/>
      <c r="G845" s="64"/>
      <c r="H845" s="64"/>
      <c r="I845" s="64"/>
      <c r="J845" s="64"/>
      <c r="K845" s="64"/>
      <c r="L845" s="64"/>
      <c r="M845" s="64"/>
      <c r="N845" s="64"/>
      <c r="O845" s="64"/>
      <c r="P845" s="64"/>
      <c r="Q845" s="64"/>
      <c r="R845" s="64"/>
      <c r="S845" s="64"/>
      <c r="T845" s="64"/>
      <c r="U845" s="64"/>
      <c r="V845" s="64"/>
      <c r="W845" s="64"/>
      <c r="X845" s="64"/>
      <c r="Y845" s="64"/>
      <c r="Z845" s="64"/>
      <c r="AA845" s="64"/>
      <c r="AB845" s="64"/>
      <c r="AC845" s="64"/>
      <c r="AD845" s="64"/>
      <c r="AE845" s="64"/>
      <c r="AF845" s="64"/>
      <c r="AG845" s="64"/>
    </row>
    <row r="846" spans="1:33">
      <c r="A846" s="64"/>
      <c r="B846" s="64"/>
      <c r="C846" s="64"/>
      <c r="D846" s="64"/>
      <c r="E846" s="70"/>
      <c r="F846" s="70"/>
      <c r="G846" s="64"/>
      <c r="H846" s="64"/>
      <c r="I846" s="64"/>
      <c r="J846" s="64"/>
      <c r="K846" s="64"/>
      <c r="L846" s="64"/>
      <c r="M846" s="64"/>
      <c r="N846" s="64"/>
      <c r="O846" s="64"/>
      <c r="P846" s="64"/>
      <c r="Q846" s="64"/>
      <c r="R846" s="64"/>
      <c r="S846" s="64"/>
      <c r="T846" s="64"/>
      <c r="U846" s="64"/>
      <c r="V846" s="64"/>
      <c r="W846" s="64"/>
      <c r="X846" s="64"/>
      <c r="Y846" s="64"/>
      <c r="Z846" s="64"/>
      <c r="AA846" s="64"/>
      <c r="AB846" s="64"/>
      <c r="AC846" s="64"/>
      <c r="AD846" s="64"/>
      <c r="AE846" s="64"/>
      <c r="AF846" s="64"/>
      <c r="AG846" s="64"/>
    </row>
    <row r="847" spans="1:33">
      <c r="A847" s="64"/>
      <c r="B847" s="64"/>
      <c r="C847" s="64"/>
      <c r="D847" s="64"/>
      <c r="E847" s="70"/>
      <c r="F847" s="70"/>
      <c r="G847" s="64"/>
      <c r="H847" s="64"/>
      <c r="I847" s="64"/>
      <c r="J847" s="64"/>
      <c r="K847" s="64"/>
      <c r="L847" s="64"/>
      <c r="M847" s="64"/>
      <c r="N847" s="64"/>
      <c r="O847" s="64"/>
      <c r="P847" s="64"/>
      <c r="Q847" s="64"/>
      <c r="R847" s="64"/>
      <c r="S847" s="64"/>
      <c r="T847" s="64"/>
      <c r="U847" s="64"/>
      <c r="V847" s="64"/>
      <c r="W847" s="64"/>
      <c r="X847" s="64"/>
      <c r="Y847" s="64"/>
      <c r="Z847" s="64"/>
      <c r="AA847" s="64"/>
      <c r="AB847" s="64"/>
      <c r="AC847" s="64"/>
      <c r="AD847" s="64"/>
      <c r="AE847" s="64"/>
      <c r="AF847" s="64"/>
      <c r="AG847" s="64"/>
    </row>
    <row r="848" spans="1:33">
      <c r="A848" s="64"/>
      <c r="B848" s="64"/>
      <c r="C848" s="64"/>
      <c r="D848" s="64"/>
      <c r="E848" s="70"/>
      <c r="F848" s="70"/>
      <c r="G848" s="64"/>
      <c r="H848" s="64"/>
      <c r="I848" s="64"/>
      <c r="J848" s="64"/>
      <c r="K848" s="64"/>
      <c r="L848" s="64"/>
      <c r="M848" s="64"/>
      <c r="N848" s="64"/>
      <c r="O848" s="64"/>
      <c r="P848" s="64"/>
      <c r="Q848" s="64"/>
      <c r="R848" s="64"/>
      <c r="S848" s="64"/>
      <c r="T848" s="64"/>
      <c r="U848" s="64"/>
      <c r="V848" s="64"/>
      <c r="W848" s="64"/>
      <c r="X848" s="64"/>
      <c r="Y848" s="64"/>
      <c r="Z848" s="64"/>
      <c r="AA848" s="64"/>
      <c r="AB848" s="64"/>
      <c r="AC848" s="64"/>
      <c r="AD848" s="64"/>
      <c r="AE848" s="64"/>
      <c r="AF848" s="64"/>
      <c r="AG848" s="64"/>
    </row>
    <row r="849" spans="1:33">
      <c r="A849" s="64"/>
      <c r="B849" s="64"/>
      <c r="C849" s="64"/>
      <c r="D849" s="64"/>
      <c r="E849" s="70"/>
      <c r="F849" s="70"/>
      <c r="G849" s="64"/>
      <c r="H849" s="64"/>
      <c r="I849" s="64"/>
      <c r="J849" s="64"/>
      <c r="K849" s="64"/>
      <c r="L849" s="64"/>
      <c r="M849" s="64"/>
      <c r="N849" s="64"/>
      <c r="O849" s="64"/>
      <c r="P849" s="64"/>
      <c r="Q849" s="64"/>
      <c r="R849" s="64"/>
      <c r="S849" s="64"/>
      <c r="T849" s="64"/>
      <c r="U849" s="64"/>
      <c r="V849" s="64"/>
      <c r="W849" s="64"/>
      <c r="X849" s="64"/>
      <c r="Y849" s="64"/>
      <c r="Z849" s="64"/>
      <c r="AA849" s="64"/>
      <c r="AB849" s="64"/>
      <c r="AC849" s="64"/>
      <c r="AD849" s="64"/>
      <c r="AE849" s="64"/>
      <c r="AF849" s="64"/>
      <c r="AG849" s="64"/>
    </row>
    <row r="850" spans="1:33">
      <c r="A850" s="64"/>
      <c r="B850" s="64"/>
      <c r="C850" s="64"/>
      <c r="D850" s="64"/>
      <c r="E850" s="70"/>
      <c r="F850" s="70"/>
      <c r="G850" s="64"/>
      <c r="H850" s="64"/>
      <c r="I850" s="64"/>
      <c r="J850" s="64"/>
      <c r="K850" s="64"/>
      <c r="L850" s="64"/>
      <c r="M850" s="64"/>
      <c r="N850" s="64"/>
      <c r="O850" s="64"/>
      <c r="P850" s="64"/>
      <c r="Q850" s="64"/>
      <c r="R850" s="64"/>
      <c r="S850" s="64"/>
      <c r="T850" s="64"/>
      <c r="U850" s="64"/>
      <c r="V850" s="64"/>
      <c r="W850" s="64"/>
      <c r="X850" s="64"/>
      <c r="Y850" s="64"/>
      <c r="Z850" s="64"/>
      <c r="AA850" s="64"/>
      <c r="AB850" s="64"/>
      <c r="AC850" s="64"/>
      <c r="AD850" s="64"/>
      <c r="AE850" s="64"/>
      <c r="AF850" s="64"/>
      <c r="AG850" s="64"/>
    </row>
    <row r="851" spans="1:33">
      <c r="A851" s="64"/>
      <c r="B851" s="64"/>
      <c r="C851" s="64"/>
      <c r="D851" s="64"/>
      <c r="E851" s="70"/>
      <c r="F851" s="70"/>
      <c r="G851" s="64"/>
      <c r="H851" s="64"/>
      <c r="I851" s="64"/>
      <c r="J851" s="64"/>
      <c r="K851" s="64"/>
      <c r="L851" s="64"/>
      <c r="M851" s="64"/>
      <c r="N851" s="64"/>
      <c r="O851" s="64"/>
      <c r="P851" s="64"/>
      <c r="Q851" s="64"/>
      <c r="R851" s="64"/>
      <c r="S851" s="64"/>
      <c r="T851" s="64"/>
      <c r="U851" s="64"/>
      <c r="V851" s="64"/>
      <c r="W851" s="64"/>
      <c r="X851" s="64"/>
      <c r="Y851" s="64"/>
      <c r="Z851" s="64"/>
      <c r="AA851" s="64"/>
      <c r="AB851" s="64"/>
      <c r="AC851" s="64"/>
      <c r="AD851" s="64"/>
      <c r="AE851" s="64"/>
      <c r="AF851" s="64"/>
      <c r="AG851" s="64"/>
    </row>
    <row r="852" spans="1:33">
      <c r="A852" s="64"/>
      <c r="B852" s="64"/>
      <c r="C852" s="64"/>
      <c r="D852" s="64"/>
      <c r="E852" s="70"/>
      <c r="F852" s="70"/>
      <c r="G852" s="64"/>
      <c r="H852" s="64"/>
      <c r="I852" s="64"/>
      <c r="J852" s="64"/>
      <c r="K852" s="64"/>
      <c r="L852" s="64"/>
      <c r="M852" s="64"/>
      <c r="N852" s="64"/>
      <c r="O852" s="64"/>
      <c r="P852" s="64"/>
      <c r="Q852" s="64"/>
      <c r="R852" s="64"/>
      <c r="S852" s="64"/>
      <c r="T852" s="64"/>
      <c r="U852" s="64"/>
      <c r="V852" s="64"/>
      <c r="W852" s="64"/>
      <c r="X852" s="64"/>
      <c r="Y852" s="64"/>
      <c r="Z852" s="64"/>
      <c r="AA852" s="64"/>
      <c r="AB852" s="64"/>
      <c r="AC852" s="64"/>
      <c r="AD852" s="64"/>
      <c r="AE852" s="64"/>
      <c r="AF852" s="64"/>
      <c r="AG852" s="64"/>
    </row>
    <row r="853" spans="1:33">
      <c r="A853" s="64"/>
      <c r="B853" s="64"/>
      <c r="C853" s="64"/>
      <c r="D853" s="64"/>
      <c r="E853" s="70"/>
      <c r="F853" s="70"/>
      <c r="G853" s="64"/>
      <c r="H853" s="64"/>
      <c r="I853" s="64"/>
      <c r="J853" s="64"/>
      <c r="K853" s="64"/>
      <c r="L853" s="64"/>
      <c r="M853" s="64"/>
      <c r="N853" s="64"/>
      <c r="O853" s="64"/>
      <c r="P853" s="64"/>
      <c r="Q853" s="64"/>
      <c r="R853" s="64"/>
      <c r="S853" s="64"/>
      <c r="T853" s="64"/>
      <c r="U853" s="64"/>
      <c r="V853" s="64"/>
      <c r="W853" s="64"/>
      <c r="X853" s="64"/>
      <c r="Y853" s="64"/>
      <c r="Z853" s="64"/>
      <c r="AA853" s="64"/>
      <c r="AB853" s="64"/>
      <c r="AC853" s="64"/>
      <c r="AD853" s="64"/>
      <c r="AE853" s="64"/>
      <c r="AF853" s="64"/>
      <c r="AG853" s="64"/>
    </row>
    <row r="854" spans="1:33">
      <c r="A854" s="64"/>
      <c r="B854" s="64"/>
      <c r="C854" s="64"/>
      <c r="D854" s="64"/>
      <c r="E854" s="70"/>
      <c r="F854" s="70"/>
      <c r="G854" s="64"/>
      <c r="H854" s="64"/>
      <c r="I854" s="64"/>
      <c r="J854" s="64"/>
      <c r="K854" s="64"/>
      <c r="L854" s="64"/>
      <c r="M854" s="64"/>
      <c r="N854" s="64"/>
      <c r="O854" s="64"/>
      <c r="P854" s="64"/>
      <c r="Q854" s="64"/>
      <c r="R854" s="64"/>
      <c r="S854" s="64"/>
      <c r="T854" s="64"/>
      <c r="U854" s="64"/>
      <c r="V854" s="64"/>
      <c r="W854" s="64"/>
      <c r="X854" s="64"/>
      <c r="Y854" s="64"/>
      <c r="Z854" s="64"/>
      <c r="AA854" s="64"/>
      <c r="AB854" s="64"/>
      <c r="AC854" s="64"/>
      <c r="AD854" s="64"/>
      <c r="AE854" s="64"/>
      <c r="AF854" s="64"/>
      <c r="AG854" s="64"/>
    </row>
    <row r="855" spans="1:33">
      <c r="A855" s="64"/>
      <c r="B855" s="64"/>
      <c r="C855" s="64"/>
      <c r="D855" s="64"/>
      <c r="E855" s="70"/>
      <c r="F855" s="70"/>
      <c r="G855" s="64"/>
      <c r="H855" s="64"/>
      <c r="I855" s="64"/>
      <c r="J855" s="64"/>
      <c r="K855" s="64"/>
      <c r="L855" s="64"/>
      <c r="M855" s="64"/>
      <c r="N855" s="64"/>
      <c r="O855" s="64"/>
      <c r="P855" s="64"/>
      <c r="Q855" s="64"/>
      <c r="R855" s="64"/>
      <c r="S855" s="64"/>
      <c r="T855" s="64"/>
      <c r="U855" s="64"/>
      <c r="V855" s="64"/>
      <c r="W855" s="64"/>
      <c r="X855" s="64"/>
      <c r="Y855" s="64"/>
      <c r="Z855" s="64"/>
      <c r="AA855" s="64"/>
      <c r="AB855" s="64"/>
      <c r="AC855" s="64"/>
      <c r="AD855" s="64"/>
      <c r="AE855" s="64"/>
      <c r="AF855" s="64"/>
      <c r="AG855" s="64"/>
    </row>
    <row r="856" spans="1:33">
      <c r="A856" s="64"/>
      <c r="B856" s="64"/>
      <c r="C856" s="64"/>
      <c r="D856" s="64"/>
      <c r="E856" s="70"/>
      <c r="F856" s="70"/>
      <c r="G856" s="64"/>
      <c r="H856" s="64"/>
      <c r="I856" s="64"/>
      <c r="J856" s="64"/>
      <c r="K856" s="64"/>
      <c r="L856" s="64"/>
      <c r="M856" s="64"/>
      <c r="N856" s="64"/>
      <c r="O856" s="64"/>
      <c r="P856" s="64"/>
      <c r="Q856" s="64"/>
      <c r="R856" s="64"/>
      <c r="S856" s="64"/>
      <c r="T856" s="64"/>
      <c r="U856" s="64"/>
      <c r="V856" s="64"/>
      <c r="W856" s="64"/>
      <c r="X856" s="64"/>
      <c r="Y856" s="64"/>
      <c r="Z856" s="64"/>
      <c r="AA856" s="64"/>
      <c r="AB856" s="64"/>
      <c r="AC856" s="64"/>
      <c r="AD856" s="64"/>
      <c r="AE856" s="64"/>
      <c r="AF856" s="64"/>
      <c r="AG856" s="64"/>
    </row>
    <row r="857" spans="1:33">
      <c r="A857" s="64"/>
      <c r="B857" s="64"/>
      <c r="C857" s="64"/>
      <c r="D857" s="64"/>
      <c r="E857" s="70"/>
      <c r="F857" s="70"/>
      <c r="G857" s="64"/>
      <c r="H857" s="64"/>
      <c r="I857" s="64"/>
      <c r="J857" s="64"/>
      <c r="K857" s="64"/>
      <c r="L857" s="64"/>
      <c r="M857" s="64"/>
      <c r="N857" s="64"/>
      <c r="O857" s="64"/>
      <c r="P857" s="64"/>
      <c r="Q857" s="64"/>
      <c r="R857" s="64"/>
      <c r="S857" s="64"/>
      <c r="T857" s="64"/>
      <c r="U857" s="64"/>
      <c r="V857" s="64"/>
      <c r="W857" s="64"/>
      <c r="X857" s="64"/>
      <c r="Y857" s="64"/>
      <c r="Z857" s="64"/>
      <c r="AA857" s="64"/>
      <c r="AB857" s="64"/>
      <c r="AC857" s="64"/>
      <c r="AD857" s="64"/>
      <c r="AE857" s="64"/>
      <c r="AF857" s="64"/>
      <c r="AG857" s="64"/>
    </row>
    <row r="858" spans="1:33">
      <c r="A858" s="64"/>
      <c r="B858" s="64"/>
      <c r="C858" s="64"/>
      <c r="D858" s="64"/>
      <c r="E858" s="70"/>
      <c r="F858" s="70"/>
      <c r="G858" s="64"/>
      <c r="H858" s="64"/>
      <c r="I858" s="64"/>
      <c r="J858" s="64"/>
      <c r="K858" s="64"/>
      <c r="L858" s="64"/>
      <c r="M858" s="64"/>
      <c r="N858" s="64"/>
      <c r="O858" s="64"/>
      <c r="P858" s="64"/>
      <c r="Q858" s="64"/>
      <c r="R858" s="64"/>
      <c r="S858" s="64"/>
      <c r="T858" s="64"/>
      <c r="U858" s="64"/>
      <c r="V858" s="64"/>
      <c r="W858" s="64"/>
      <c r="X858" s="64"/>
      <c r="Y858" s="64"/>
      <c r="Z858" s="64"/>
      <c r="AA858" s="64"/>
      <c r="AB858" s="64"/>
      <c r="AC858" s="64"/>
      <c r="AD858" s="64"/>
      <c r="AE858" s="64"/>
      <c r="AF858" s="64"/>
      <c r="AG858" s="64"/>
    </row>
    <row r="859" spans="1:33">
      <c r="A859" s="64"/>
      <c r="B859" s="64"/>
      <c r="C859" s="64"/>
      <c r="D859" s="64"/>
      <c r="E859" s="70"/>
      <c r="F859" s="70"/>
      <c r="G859" s="64"/>
      <c r="H859" s="64"/>
      <c r="I859" s="64"/>
      <c r="J859" s="64"/>
      <c r="K859" s="64"/>
      <c r="L859" s="64"/>
      <c r="M859" s="64"/>
      <c r="N859" s="64"/>
      <c r="O859" s="64"/>
      <c r="P859" s="64"/>
      <c r="Q859" s="64"/>
      <c r="R859" s="64"/>
      <c r="S859" s="64"/>
      <c r="T859" s="64"/>
      <c r="U859" s="64"/>
      <c r="V859" s="64"/>
      <c r="W859" s="64"/>
      <c r="X859" s="64"/>
      <c r="Y859" s="64"/>
      <c r="Z859" s="64"/>
      <c r="AA859" s="64"/>
      <c r="AB859" s="64"/>
      <c r="AC859" s="64"/>
      <c r="AD859" s="64"/>
      <c r="AE859" s="64"/>
      <c r="AF859" s="64"/>
      <c r="AG859" s="64"/>
    </row>
    <row r="860" spans="1:33">
      <c r="A860" s="64"/>
      <c r="B860" s="64"/>
      <c r="C860" s="64"/>
      <c r="D860" s="64"/>
      <c r="E860" s="70"/>
      <c r="F860" s="70"/>
      <c r="G860" s="64"/>
      <c r="H860" s="64"/>
      <c r="I860" s="64"/>
      <c r="J860" s="64"/>
      <c r="K860" s="64"/>
      <c r="L860" s="64"/>
      <c r="M860" s="64"/>
      <c r="N860" s="64"/>
      <c r="O860" s="64"/>
      <c r="P860" s="64"/>
      <c r="Q860" s="64"/>
      <c r="R860" s="64"/>
      <c r="S860" s="64"/>
      <c r="T860" s="64"/>
      <c r="U860" s="64"/>
      <c r="V860" s="64"/>
      <c r="W860" s="64"/>
      <c r="X860" s="64"/>
      <c r="Y860" s="64"/>
      <c r="Z860" s="64"/>
      <c r="AA860" s="64"/>
      <c r="AB860" s="64"/>
      <c r="AC860" s="64"/>
      <c r="AD860" s="64"/>
      <c r="AE860" s="64"/>
      <c r="AF860" s="64"/>
      <c r="AG860" s="64"/>
    </row>
    <row r="861" spans="1:33">
      <c r="A861" s="64"/>
      <c r="B861" s="64"/>
      <c r="C861" s="64"/>
      <c r="D861" s="64"/>
      <c r="E861" s="70"/>
      <c r="F861" s="70"/>
      <c r="G861" s="64"/>
      <c r="H861" s="64"/>
      <c r="I861" s="64"/>
      <c r="J861" s="64"/>
      <c r="K861" s="64"/>
      <c r="L861" s="64"/>
      <c r="M861" s="64"/>
      <c r="N861" s="64"/>
      <c r="O861" s="64"/>
      <c r="P861" s="64"/>
      <c r="Q861" s="64"/>
      <c r="R861" s="64"/>
      <c r="S861" s="64"/>
      <c r="T861" s="64"/>
      <c r="U861" s="64"/>
      <c r="V861" s="64"/>
      <c r="W861" s="64"/>
      <c r="X861" s="64"/>
      <c r="Y861" s="64"/>
      <c r="Z861" s="64"/>
      <c r="AA861" s="64"/>
      <c r="AB861" s="64"/>
      <c r="AC861" s="64"/>
      <c r="AD861" s="64"/>
      <c r="AE861" s="64"/>
      <c r="AF861" s="64"/>
      <c r="AG861" s="64"/>
    </row>
    <row r="862" spans="1:33">
      <c r="A862" s="64"/>
      <c r="B862" s="64"/>
      <c r="C862" s="64"/>
      <c r="D862" s="64"/>
      <c r="E862" s="70"/>
      <c r="F862" s="70"/>
      <c r="G862" s="64"/>
      <c r="H862" s="64"/>
      <c r="I862" s="64"/>
      <c r="J862" s="64"/>
      <c r="K862" s="64"/>
      <c r="L862" s="64"/>
      <c r="M862" s="64"/>
      <c r="N862" s="64"/>
      <c r="O862" s="64"/>
      <c r="P862" s="64"/>
      <c r="Q862" s="64"/>
      <c r="R862" s="64"/>
      <c r="S862" s="64"/>
      <c r="T862" s="64"/>
      <c r="U862" s="64"/>
      <c r="V862" s="64"/>
      <c r="W862" s="64"/>
      <c r="X862" s="64"/>
      <c r="Y862" s="64"/>
      <c r="Z862" s="64"/>
      <c r="AA862" s="64"/>
      <c r="AB862" s="64"/>
      <c r="AC862" s="64"/>
      <c r="AD862" s="64"/>
      <c r="AE862" s="64"/>
      <c r="AF862" s="64"/>
      <c r="AG862" s="64"/>
    </row>
    <row r="863" spans="1:33">
      <c r="A863" s="64"/>
      <c r="B863" s="64"/>
      <c r="C863" s="64"/>
      <c r="D863" s="64"/>
      <c r="E863" s="70"/>
      <c r="F863" s="70"/>
      <c r="G863" s="64"/>
      <c r="H863" s="64"/>
      <c r="I863" s="64"/>
      <c r="J863" s="64"/>
      <c r="K863" s="64"/>
      <c r="L863" s="64"/>
      <c r="M863" s="64"/>
      <c r="N863" s="64"/>
      <c r="O863" s="64"/>
      <c r="P863" s="64"/>
      <c r="Q863" s="64"/>
      <c r="R863" s="64"/>
      <c r="S863" s="64"/>
      <c r="T863" s="64"/>
      <c r="U863" s="64"/>
      <c r="V863" s="64"/>
      <c r="W863" s="64"/>
      <c r="X863" s="64"/>
      <c r="Y863" s="64"/>
      <c r="Z863" s="64"/>
      <c r="AA863" s="64"/>
      <c r="AB863" s="64"/>
      <c r="AC863" s="64"/>
      <c r="AD863" s="64"/>
      <c r="AE863" s="64"/>
      <c r="AF863" s="64"/>
      <c r="AG863" s="64"/>
    </row>
    <row r="864" spans="1:33">
      <c r="A864" s="64"/>
      <c r="B864" s="64"/>
      <c r="C864" s="64"/>
      <c r="D864" s="64"/>
      <c r="E864" s="70"/>
      <c r="F864" s="70"/>
      <c r="G864" s="64"/>
      <c r="H864" s="64"/>
      <c r="I864" s="64"/>
      <c r="J864" s="64"/>
      <c r="K864" s="64"/>
      <c r="L864" s="64"/>
      <c r="M864" s="64"/>
      <c r="N864" s="64"/>
      <c r="O864" s="64"/>
      <c r="P864" s="64"/>
      <c r="Q864" s="64"/>
      <c r="R864" s="64"/>
      <c r="S864" s="64"/>
      <c r="T864" s="64"/>
      <c r="U864" s="64"/>
      <c r="V864" s="64"/>
      <c r="W864" s="64"/>
      <c r="X864" s="64"/>
      <c r="Y864" s="64"/>
      <c r="Z864" s="64"/>
      <c r="AA864" s="64"/>
      <c r="AB864" s="64"/>
      <c r="AC864" s="64"/>
      <c r="AD864" s="64"/>
      <c r="AE864" s="64"/>
      <c r="AF864" s="64"/>
      <c r="AG864" s="64"/>
    </row>
    <row r="865" spans="1:33">
      <c r="A865" s="64"/>
      <c r="B865" s="64"/>
      <c r="C865" s="64"/>
      <c r="D865" s="64"/>
      <c r="E865" s="70"/>
      <c r="F865" s="70"/>
      <c r="G865" s="64"/>
      <c r="H865" s="64"/>
      <c r="I865" s="64"/>
      <c r="J865" s="64"/>
      <c r="K865" s="64"/>
      <c r="L865" s="64"/>
      <c r="M865" s="64"/>
      <c r="N865" s="64"/>
      <c r="O865" s="64"/>
      <c r="P865" s="64"/>
      <c r="Q865" s="64"/>
      <c r="R865" s="64"/>
      <c r="S865" s="64"/>
      <c r="T865" s="64"/>
      <c r="U865" s="64"/>
      <c r="V865" s="64"/>
      <c r="W865" s="64"/>
      <c r="X865" s="64"/>
      <c r="Y865" s="64"/>
      <c r="Z865" s="64"/>
      <c r="AA865" s="64"/>
      <c r="AB865" s="64"/>
      <c r="AC865" s="64"/>
      <c r="AD865" s="64"/>
      <c r="AE865" s="64"/>
      <c r="AF865" s="64"/>
      <c r="AG865" s="64"/>
    </row>
    <row r="866" spans="1:33">
      <c r="A866" s="64"/>
      <c r="B866" s="64"/>
      <c r="C866" s="64"/>
      <c r="D866" s="64"/>
      <c r="E866" s="70"/>
      <c r="F866" s="70"/>
      <c r="G866" s="64"/>
      <c r="H866" s="64"/>
      <c r="I866" s="64"/>
      <c r="J866" s="64"/>
      <c r="K866" s="64"/>
      <c r="L866" s="64"/>
      <c r="M866" s="64"/>
      <c r="N866" s="64"/>
      <c r="O866" s="64"/>
      <c r="P866" s="64"/>
      <c r="Q866" s="64"/>
      <c r="R866" s="64"/>
      <c r="S866" s="64"/>
      <c r="T866" s="64"/>
      <c r="U866" s="64"/>
      <c r="V866" s="64"/>
      <c r="W866" s="64"/>
      <c r="X866" s="64"/>
      <c r="Y866" s="64"/>
      <c r="Z866" s="64"/>
      <c r="AA866" s="64"/>
      <c r="AB866" s="64"/>
      <c r="AC866" s="64"/>
      <c r="AD866" s="64"/>
      <c r="AE866" s="64"/>
      <c r="AF866" s="64"/>
      <c r="AG866" s="64"/>
    </row>
    <row r="867" spans="1:33">
      <c r="A867" s="64"/>
      <c r="B867" s="64"/>
      <c r="C867" s="64"/>
      <c r="D867" s="64"/>
      <c r="E867" s="70"/>
      <c r="F867" s="70"/>
      <c r="G867" s="64"/>
      <c r="H867" s="64"/>
      <c r="I867" s="64"/>
      <c r="J867" s="64"/>
      <c r="K867" s="64"/>
      <c r="L867" s="64"/>
      <c r="M867" s="64"/>
      <c r="N867" s="64"/>
      <c r="O867" s="64"/>
      <c r="P867" s="64"/>
      <c r="Q867" s="64"/>
      <c r="R867" s="64"/>
      <c r="S867" s="64"/>
      <c r="T867" s="64"/>
      <c r="U867" s="64"/>
      <c r="V867" s="64"/>
      <c r="W867" s="64"/>
      <c r="X867" s="64"/>
      <c r="Y867" s="64"/>
      <c r="Z867" s="64"/>
      <c r="AA867" s="64"/>
      <c r="AB867" s="64"/>
      <c r="AC867" s="64"/>
      <c r="AD867" s="64"/>
      <c r="AE867" s="64"/>
      <c r="AF867" s="64"/>
      <c r="AG867" s="64"/>
    </row>
    <row r="868" spans="1:33">
      <c r="A868" s="64"/>
      <c r="B868" s="64"/>
      <c r="C868" s="64"/>
      <c r="D868" s="64"/>
      <c r="E868" s="70"/>
      <c r="F868" s="70"/>
      <c r="G868" s="64"/>
      <c r="H868" s="64"/>
      <c r="I868" s="64"/>
      <c r="J868" s="64"/>
      <c r="K868" s="64"/>
      <c r="L868" s="64"/>
      <c r="M868" s="64"/>
      <c r="N868" s="64"/>
      <c r="O868" s="64"/>
      <c r="P868" s="64"/>
      <c r="Q868" s="64"/>
      <c r="R868" s="64"/>
      <c r="S868" s="64"/>
      <c r="T868" s="64"/>
      <c r="U868" s="64"/>
      <c r="V868" s="64"/>
      <c r="W868" s="64"/>
      <c r="X868" s="64"/>
      <c r="Y868" s="64"/>
      <c r="Z868" s="64"/>
      <c r="AA868" s="64"/>
      <c r="AB868" s="64"/>
      <c r="AC868" s="64"/>
      <c r="AD868" s="64"/>
      <c r="AE868" s="64"/>
      <c r="AF868" s="64"/>
      <c r="AG868" s="64"/>
    </row>
    <row r="869" spans="1:33">
      <c r="A869" s="64"/>
      <c r="B869" s="64"/>
      <c r="C869" s="64"/>
      <c r="D869" s="64"/>
      <c r="E869" s="70"/>
      <c r="F869" s="70"/>
      <c r="G869" s="64"/>
      <c r="H869" s="64"/>
      <c r="I869" s="64"/>
      <c r="J869" s="64"/>
      <c r="K869" s="64"/>
      <c r="L869" s="64"/>
      <c r="M869" s="64"/>
      <c r="N869" s="64"/>
      <c r="O869" s="64"/>
      <c r="P869" s="64"/>
      <c r="Q869" s="64"/>
      <c r="R869" s="64"/>
      <c r="S869" s="64"/>
      <c r="T869" s="64"/>
      <c r="U869" s="64"/>
      <c r="V869" s="64"/>
      <c r="W869" s="64"/>
      <c r="X869" s="64"/>
      <c r="Y869" s="64"/>
      <c r="Z869" s="64"/>
      <c r="AA869" s="64"/>
      <c r="AB869" s="64"/>
      <c r="AC869" s="64"/>
      <c r="AD869" s="64"/>
      <c r="AE869" s="64"/>
      <c r="AF869" s="64"/>
      <c r="AG869" s="64"/>
    </row>
    <row r="870" spans="1:33">
      <c r="A870" s="64"/>
      <c r="B870" s="64"/>
      <c r="C870" s="64"/>
      <c r="D870" s="64"/>
      <c r="E870" s="70"/>
      <c r="F870" s="70"/>
      <c r="G870" s="64"/>
      <c r="H870" s="64"/>
      <c r="I870" s="64"/>
      <c r="J870" s="64"/>
      <c r="K870" s="64"/>
      <c r="L870" s="64"/>
      <c r="M870" s="64"/>
      <c r="N870" s="64"/>
      <c r="O870" s="64"/>
      <c r="P870" s="64"/>
      <c r="Q870" s="64"/>
      <c r="R870" s="64"/>
      <c r="S870" s="64"/>
      <c r="T870" s="64"/>
      <c r="U870" s="64"/>
      <c r="V870" s="64"/>
      <c r="W870" s="64"/>
      <c r="X870" s="64"/>
      <c r="Y870" s="64"/>
      <c r="Z870" s="64"/>
      <c r="AA870" s="64"/>
      <c r="AB870" s="64"/>
      <c r="AC870" s="64"/>
      <c r="AD870" s="64"/>
      <c r="AE870" s="64"/>
      <c r="AF870" s="64"/>
      <c r="AG870" s="64"/>
    </row>
    <row r="871" spans="1:33">
      <c r="A871" s="64"/>
      <c r="B871" s="64"/>
      <c r="C871" s="64"/>
      <c r="D871" s="64"/>
      <c r="E871" s="70"/>
      <c r="F871" s="70"/>
      <c r="G871" s="64"/>
      <c r="H871" s="64"/>
      <c r="I871" s="64"/>
      <c r="J871" s="64"/>
      <c r="K871" s="64"/>
      <c r="L871" s="64"/>
      <c r="M871" s="64"/>
      <c r="N871" s="64"/>
      <c r="O871" s="64"/>
      <c r="P871" s="64"/>
      <c r="Q871" s="64"/>
      <c r="R871" s="64"/>
      <c r="S871" s="64"/>
      <c r="T871" s="64"/>
      <c r="U871" s="64"/>
      <c r="V871" s="64"/>
      <c r="W871" s="64"/>
      <c r="X871" s="64"/>
      <c r="Y871" s="64"/>
      <c r="Z871" s="64"/>
      <c r="AA871" s="64"/>
      <c r="AB871" s="64"/>
      <c r="AC871" s="64"/>
      <c r="AD871" s="64"/>
      <c r="AE871" s="64"/>
      <c r="AF871" s="64"/>
      <c r="AG871" s="64"/>
    </row>
    <row r="872" spans="1:33">
      <c r="A872" s="64"/>
      <c r="B872" s="64"/>
      <c r="C872" s="64"/>
      <c r="D872" s="64"/>
      <c r="E872" s="70"/>
      <c r="F872" s="70"/>
      <c r="G872" s="64"/>
      <c r="H872" s="64"/>
      <c r="I872" s="64"/>
      <c r="J872" s="64"/>
      <c r="K872" s="64"/>
      <c r="L872" s="64"/>
      <c r="M872" s="64"/>
      <c r="N872" s="64"/>
      <c r="O872" s="64"/>
      <c r="P872" s="64"/>
      <c r="Q872" s="64"/>
      <c r="R872" s="64"/>
      <c r="S872" s="64"/>
      <c r="T872" s="64"/>
      <c r="U872" s="64"/>
      <c r="V872" s="64"/>
      <c r="W872" s="64"/>
      <c r="X872" s="64"/>
      <c r="Y872" s="64"/>
      <c r="Z872" s="64"/>
      <c r="AA872" s="64"/>
      <c r="AB872" s="64"/>
      <c r="AC872" s="64"/>
      <c r="AD872" s="64"/>
      <c r="AE872" s="64"/>
      <c r="AF872" s="64"/>
      <c r="AG872" s="64"/>
    </row>
    <row r="873" spans="1:33">
      <c r="A873" s="64"/>
      <c r="B873" s="64"/>
      <c r="C873" s="64"/>
      <c r="D873" s="64"/>
      <c r="E873" s="70"/>
      <c r="F873" s="70"/>
      <c r="G873" s="64"/>
      <c r="H873" s="64"/>
      <c r="I873" s="64"/>
      <c r="J873" s="64"/>
      <c r="K873" s="64"/>
      <c r="L873" s="64"/>
      <c r="M873" s="64"/>
      <c r="N873" s="64"/>
      <c r="O873" s="64"/>
      <c r="P873" s="64"/>
      <c r="Q873" s="64"/>
      <c r="R873" s="64"/>
      <c r="S873" s="64"/>
      <c r="T873" s="64"/>
      <c r="U873" s="64"/>
      <c r="V873" s="64"/>
      <c r="W873" s="64"/>
      <c r="X873" s="64"/>
      <c r="Y873" s="64"/>
      <c r="Z873" s="64"/>
      <c r="AA873" s="64"/>
      <c r="AB873" s="64"/>
      <c r="AC873" s="64"/>
      <c r="AD873" s="64"/>
      <c r="AE873" s="64"/>
      <c r="AF873" s="64"/>
      <c r="AG873" s="64"/>
    </row>
    <row r="874" spans="1:33">
      <c r="A874" s="64"/>
      <c r="B874" s="64"/>
      <c r="C874" s="64"/>
      <c r="D874" s="64"/>
      <c r="E874" s="70"/>
      <c r="F874" s="70"/>
      <c r="G874" s="64"/>
      <c r="H874" s="64"/>
      <c r="I874" s="64"/>
      <c r="J874" s="64"/>
      <c r="K874" s="64"/>
      <c r="L874" s="64"/>
      <c r="M874" s="64"/>
      <c r="N874" s="64"/>
      <c r="O874" s="64"/>
      <c r="P874" s="64"/>
      <c r="Q874" s="64"/>
      <c r="R874" s="64"/>
      <c r="S874" s="64"/>
      <c r="T874" s="64"/>
      <c r="U874" s="64"/>
      <c r="V874" s="64"/>
      <c r="W874" s="64"/>
      <c r="X874" s="64"/>
      <c r="Y874" s="64"/>
      <c r="Z874" s="64"/>
      <c r="AA874" s="64"/>
      <c r="AB874" s="64"/>
      <c r="AC874" s="64"/>
      <c r="AD874" s="64"/>
      <c r="AE874" s="64"/>
      <c r="AF874" s="64"/>
      <c r="AG874" s="64"/>
    </row>
    <row r="875" spans="1:33">
      <c r="A875" s="64"/>
      <c r="B875" s="64"/>
      <c r="C875" s="64"/>
      <c r="D875" s="64"/>
      <c r="E875" s="70"/>
      <c r="F875" s="70"/>
      <c r="G875" s="64"/>
      <c r="H875" s="64"/>
      <c r="I875" s="64"/>
      <c r="J875" s="64"/>
      <c r="K875" s="64"/>
      <c r="L875" s="64"/>
      <c r="M875" s="64"/>
      <c r="N875" s="64"/>
      <c r="O875" s="64"/>
      <c r="P875" s="64"/>
      <c r="Q875" s="64"/>
      <c r="R875" s="64"/>
      <c r="S875" s="64"/>
      <c r="T875" s="64"/>
      <c r="U875" s="64"/>
      <c r="V875" s="64"/>
      <c r="W875" s="64"/>
      <c r="X875" s="64"/>
      <c r="Y875" s="64"/>
      <c r="Z875" s="64"/>
      <c r="AA875" s="64"/>
      <c r="AB875" s="64"/>
      <c r="AC875" s="64"/>
      <c r="AD875" s="64"/>
      <c r="AE875" s="64"/>
      <c r="AF875" s="64"/>
      <c r="AG875" s="64"/>
    </row>
    <row r="876" spans="1:33">
      <c r="A876" s="64"/>
      <c r="B876" s="64"/>
      <c r="C876" s="64"/>
      <c r="D876" s="64"/>
      <c r="E876" s="70"/>
      <c r="F876" s="70"/>
      <c r="G876" s="64"/>
      <c r="H876" s="64"/>
      <c r="I876" s="64"/>
      <c r="J876" s="64"/>
      <c r="K876" s="64"/>
      <c r="L876" s="64"/>
      <c r="M876" s="64"/>
      <c r="N876" s="64"/>
      <c r="O876" s="64"/>
      <c r="P876" s="64"/>
      <c r="Q876" s="64"/>
      <c r="R876" s="64"/>
      <c r="S876" s="64"/>
      <c r="T876" s="64"/>
      <c r="U876" s="64"/>
      <c r="V876" s="64"/>
      <c r="W876" s="64"/>
      <c r="X876" s="64"/>
      <c r="Y876" s="64"/>
      <c r="Z876" s="64"/>
      <c r="AA876" s="64"/>
      <c r="AB876" s="64"/>
      <c r="AC876" s="64"/>
      <c r="AD876" s="64"/>
      <c r="AE876" s="64"/>
      <c r="AF876" s="64"/>
      <c r="AG876" s="64"/>
    </row>
    <row r="877" spans="1:33">
      <c r="A877" s="64"/>
      <c r="B877" s="64"/>
      <c r="C877" s="64"/>
      <c r="D877" s="64"/>
      <c r="E877" s="70"/>
      <c r="F877" s="70"/>
      <c r="G877" s="64"/>
      <c r="H877" s="64"/>
      <c r="I877" s="64"/>
      <c r="J877" s="64"/>
      <c r="K877" s="64"/>
      <c r="L877" s="64"/>
      <c r="M877" s="64"/>
      <c r="N877" s="64"/>
      <c r="O877" s="64"/>
      <c r="P877" s="64"/>
      <c r="Q877" s="64"/>
      <c r="R877" s="64"/>
      <c r="S877" s="64"/>
      <c r="T877" s="64"/>
      <c r="U877" s="64"/>
      <c r="V877" s="64"/>
      <c r="W877" s="64"/>
      <c r="X877" s="64"/>
      <c r="Y877" s="64"/>
      <c r="Z877" s="64"/>
      <c r="AA877" s="64"/>
      <c r="AB877" s="64"/>
      <c r="AC877" s="64"/>
      <c r="AD877" s="64"/>
      <c r="AE877" s="64"/>
      <c r="AF877" s="64"/>
      <c r="AG877" s="64"/>
    </row>
    <row r="878" spans="1:33">
      <c r="A878" s="64"/>
      <c r="B878" s="64"/>
      <c r="C878" s="64"/>
      <c r="D878" s="64"/>
      <c r="E878" s="70"/>
      <c r="F878" s="70"/>
      <c r="G878" s="64"/>
      <c r="H878" s="64"/>
      <c r="I878" s="64"/>
      <c r="J878" s="64"/>
      <c r="K878" s="64"/>
      <c r="L878" s="64"/>
      <c r="M878" s="64"/>
      <c r="N878" s="64"/>
      <c r="O878" s="64"/>
      <c r="P878" s="64"/>
      <c r="Q878" s="64"/>
      <c r="R878" s="64"/>
      <c r="S878" s="64"/>
      <c r="T878" s="64"/>
      <c r="U878" s="64"/>
      <c r="V878" s="64"/>
      <c r="W878" s="64"/>
      <c r="X878" s="64"/>
      <c r="Y878" s="64"/>
      <c r="Z878" s="64"/>
      <c r="AA878" s="64"/>
      <c r="AB878" s="64"/>
      <c r="AC878" s="64"/>
      <c r="AD878" s="64"/>
      <c r="AE878" s="64"/>
      <c r="AF878" s="64"/>
      <c r="AG878" s="64"/>
    </row>
    <row r="879" spans="1:33">
      <c r="A879" s="64"/>
      <c r="B879" s="64"/>
      <c r="C879" s="64"/>
      <c r="D879" s="64"/>
      <c r="E879" s="70"/>
      <c r="F879" s="70"/>
      <c r="G879" s="64"/>
      <c r="H879" s="64"/>
      <c r="I879" s="64"/>
      <c r="J879" s="64"/>
      <c r="K879" s="64"/>
      <c r="L879" s="64"/>
      <c r="M879" s="64"/>
      <c r="N879" s="64"/>
      <c r="O879" s="64"/>
      <c r="P879" s="64"/>
      <c r="Q879" s="64"/>
      <c r="R879" s="64"/>
      <c r="S879" s="64"/>
      <c r="T879" s="64"/>
      <c r="U879" s="64"/>
      <c r="V879" s="64"/>
      <c r="W879" s="64"/>
      <c r="X879" s="64"/>
      <c r="Y879" s="64"/>
      <c r="Z879" s="64"/>
      <c r="AA879" s="64"/>
      <c r="AB879" s="64"/>
      <c r="AC879" s="64"/>
      <c r="AD879" s="64"/>
      <c r="AE879" s="64"/>
      <c r="AF879" s="64"/>
      <c r="AG879" s="64"/>
    </row>
    <row r="880" spans="1:33">
      <c r="A880" s="64"/>
      <c r="B880" s="64"/>
      <c r="C880" s="64"/>
      <c r="D880" s="64"/>
      <c r="E880" s="70"/>
      <c r="F880" s="70"/>
      <c r="G880" s="64"/>
      <c r="H880" s="64"/>
      <c r="I880" s="64"/>
      <c r="J880" s="64"/>
      <c r="K880" s="64"/>
      <c r="L880" s="64"/>
      <c r="M880" s="64"/>
      <c r="N880" s="64"/>
      <c r="O880" s="64"/>
      <c r="P880" s="64"/>
      <c r="Q880" s="64"/>
      <c r="R880" s="64"/>
      <c r="S880" s="64"/>
      <c r="T880" s="64"/>
      <c r="U880" s="64"/>
      <c r="V880" s="64"/>
      <c r="W880" s="64"/>
      <c r="X880" s="64"/>
      <c r="Y880" s="64"/>
      <c r="Z880" s="64"/>
      <c r="AA880" s="64"/>
      <c r="AB880" s="64"/>
      <c r="AC880" s="64"/>
      <c r="AD880" s="64"/>
      <c r="AE880" s="64"/>
      <c r="AF880" s="64"/>
      <c r="AG880" s="64"/>
    </row>
    <row r="881" spans="1:33">
      <c r="A881" s="64"/>
      <c r="B881" s="64"/>
      <c r="C881" s="64"/>
      <c r="D881" s="64"/>
      <c r="E881" s="70"/>
      <c r="F881" s="70"/>
      <c r="G881" s="64"/>
      <c r="H881" s="64"/>
      <c r="I881" s="64"/>
      <c r="J881" s="64"/>
      <c r="K881" s="64"/>
      <c r="L881" s="64"/>
      <c r="M881" s="64"/>
      <c r="N881" s="64"/>
      <c r="O881" s="64"/>
      <c r="P881" s="64"/>
      <c r="Q881" s="64"/>
      <c r="R881" s="64"/>
      <c r="S881" s="64"/>
      <c r="T881" s="64"/>
      <c r="U881" s="64"/>
      <c r="V881" s="64"/>
      <c r="W881" s="64"/>
      <c r="X881" s="64"/>
      <c r="Y881" s="64"/>
      <c r="Z881" s="64"/>
      <c r="AA881" s="64"/>
      <c r="AB881" s="64"/>
      <c r="AC881" s="64"/>
      <c r="AD881" s="64"/>
      <c r="AE881" s="64"/>
      <c r="AF881" s="64"/>
      <c r="AG881" s="64"/>
    </row>
    <row r="882" spans="1:33">
      <c r="A882" s="64"/>
      <c r="B882" s="64"/>
      <c r="C882" s="64"/>
      <c r="D882" s="64"/>
      <c r="E882" s="70"/>
      <c r="F882" s="70"/>
      <c r="G882" s="64"/>
      <c r="H882" s="64"/>
      <c r="I882" s="64"/>
      <c r="J882" s="64"/>
      <c r="K882" s="64"/>
      <c r="L882" s="64"/>
      <c r="M882" s="64"/>
      <c r="N882" s="64"/>
      <c r="O882" s="64"/>
      <c r="P882" s="64"/>
      <c r="Q882" s="64"/>
      <c r="R882" s="64"/>
      <c r="S882" s="64"/>
      <c r="T882" s="64"/>
      <c r="U882" s="64"/>
      <c r="V882" s="64"/>
      <c r="W882" s="64"/>
      <c r="X882" s="64"/>
      <c r="Y882" s="64"/>
      <c r="Z882" s="64"/>
      <c r="AA882" s="64"/>
      <c r="AB882" s="64"/>
      <c r="AC882" s="64"/>
      <c r="AD882" s="64"/>
      <c r="AE882" s="64"/>
      <c r="AF882" s="64"/>
      <c r="AG882" s="64"/>
    </row>
    <row r="883" spans="1:33">
      <c r="A883" s="64"/>
      <c r="B883" s="64"/>
      <c r="C883" s="64"/>
      <c r="D883" s="64"/>
      <c r="E883" s="70"/>
      <c r="F883" s="70"/>
      <c r="G883" s="64"/>
      <c r="H883" s="64"/>
      <c r="I883" s="64"/>
      <c r="J883" s="64"/>
      <c r="K883" s="64"/>
      <c r="L883" s="64"/>
      <c r="M883" s="64"/>
      <c r="N883" s="64"/>
      <c r="O883" s="64"/>
      <c r="P883" s="64"/>
      <c r="Q883" s="64"/>
      <c r="R883" s="64"/>
      <c r="S883" s="64"/>
      <c r="T883" s="64"/>
      <c r="U883" s="64"/>
      <c r="V883" s="64"/>
      <c r="W883" s="64"/>
      <c r="X883" s="64"/>
      <c r="Y883" s="64"/>
      <c r="Z883" s="64"/>
      <c r="AA883" s="64"/>
      <c r="AB883" s="64"/>
      <c r="AC883" s="64"/>
      <c r="AD883" s="64"/>
      <c r="AE883" s="64"/>
      <c r="AF883" s="64"/>
      <c r="AG883" s="64"/>
    </row>
    <row r="884" spans="1:33">
      <c r="A884" s="64"/>
      <c r="B884" s="64"/>
      <c r="C884" s="64"/>
      <c r="D884" s="64"/>
      <c r="E884" s="70"/>
      <c r="F884" s="70"/>
      <c r="G884" s="64"/>
      <c r="H884" s="64"/>
      <c r="I884" s="64"/>
      <c r="J884" s="64"/>
      <c r="K884" s="64"/>
      <c r="L884" s="64"/>
      <c r="M884" s="64"/>
      <c r="N884" s="64"/>
      <c r="O884" s="64"/>
      <c r="P884" s="64"/>
      <c r="Q884" s="64"/>
      <c r="R884" s="64"/>
      <c r="S884" s="64"/>
      <c r="T884" s="64"/>
      <c r="U884" s="64"/>
      <c r="V884" s="64"/>
      <c r="W884" s="64"/>
      <c r="X884" s="64"/>
      <c r="Y884" s="64"/>
      <c r="Z884" s="64"/>
      <c r="AA884" s="64"/>
      <c r="AB884" s="64"/>
      <c r="AC884" s="64"/>
      <c r="AD884" s="64"/>
      <c r="AE884" s="64"/>
      <c r="AF884" s="64"/>
      <c r="AG884" s="64"/>
    </row>
    <row r="885" spans="1:33">
      <c r="A885" s="64"/>
      <c r="B885" s="64"/>
      <c r="C885" s="64"/>
      <c r="D885" s="64"/>
      <c r="E885" s="70"/>
      <c r="F885" s="70"/>
      <c r="G885" s="64"/>
      <c r="H885" s="64"/>
      <c r="I885" s="64"/>
      <c r="J885" s="64"/>
      <c r="K885" s="64"/>
      <c r="L885" s="64"/>
      <c r="M885" s="64"/>
      <c r="N885" s="64"/>
      <c r="O885" s="64"/>
      <c r="P885" s="64"/>
      <c r="Q885" s="64"/>
      <c r="R885" s="64"/>
      <c r="S885" s="64"/>
      <c r="T885" s="64"/>
      <c r="U885" s="64"/>
      <c r="V885" s="64"/>
      <c r="W885" s="64"/>
      <c r="X885" s="64"/>
      <c r="Y885" s="64"/>
      <c r="Z885" s="64"/>
      <c r="AA885" s="64"/>
      <c r="AB885" s="64"/>
      <c r="AC885" s="64"/>
      <c r="AD885" s="64"/>
      <c r="AE885" s="64"/>
      <c r="AF885" s="64"/>
      <c r="AG885" s="64"/>
    </row>
    <row r="886" spans="1:33">
      <c r="A886" s="64"/>
      <c r="B886" s="64"/>
      <c r="C886" s="64"/>
      <c r="D886" s="64"/>
      <c r="E886" s="70"/>
      <c r="F886" s="70"/>
      <c r="G886" s="64"/>
      <c r="H886" s="64"/>
      <c r="I886" s="64"/>
      <c r="J886" s="64"/>
      <c r="K886" s="64"/>
      <c r="L886" s="64"/>
      <c r="M886" s="64"/>
      <c r="N886" s="64"/>
      <c r="O886" s="64"/>
      <c r="P886" s="64"/>
      <c r="Q886" s="64"/>
      <c r="R886" s="64"/>
      <c r="S886" s="64"/>
      <c r="T886" s="64"/>
      <c r="U886" s="64"/>
      <c r="V886" s="64"/>
      <c r="W886" s="64"/>
      <c r="X886" s="64"/>
      <c r="Y886" s="64"/>
      <c r="Z886" s="64"/>
      <c r="AA886" s="64"/>
      <c r="AB886" s="64"/>
      <c r="AC886" s="64"/>
      <c r="AD886" s="64"/>
      <c r="AE886" s="64"/>
      <c r="AF886" s="64"/>
      <c r="AG886" s="64"/>
    </row>
    <row r="887" spans="1:33">
      <c r="A887" s="64"/>
      <c r="B887" s="64"/>
      <c r="C887" s="64"/>
      <c r="D887" s="64"/>
      <c r="E887" s="70"/>
      <c r="F887" s="70"/>
      <c r="G887" s="64"/>
      <c r="H887" s="64"/>
      <c r="I887" s="64"/>
      <c r="J887" s="64"/>
      <c r="K887" s="64"/>
      <c r="L887" s="64"/>
      <c r="M887" s="64"/>
      <c r="N887" s="64"/>
      <c r="O887" s="64"/>
      <c r="P887" s="64"/>
      <c r="Q887" s="64"/>
      <c r="R887" s="64"/>
      <c r="S887" s="64"/>
      <c r="T887" s="64"/>
      <c r="U887" s="64"/>
      <c r="V887" s="64"/>
      <c r="W887" s="64"/>
      <c r="X887" s="64"/>
      <c r="Y887" s="64"/>
      <c r="Z887" s="64"/>
      <c r="AA887" s="64"/>
      <c r="AB887" s="64"/>
      <c r="AC887" s="64"/>
      <c r="AD887" s="64"/>
      <c r="AE887" s="64"/>
      <c r="AF887" s="64"/>
      <c r="AG887" s="64"/>
    </row>
    <row r="888" spans="1:33">
      <c r="A888" s="64"/>
      <c r="B888" s="64"/>
      <c r="C888" s="64"/>
      <c r="D888" s="64"/>
      <c r="E888" s="70"/>
      <c r="F888" s="70"/>
      <c r="G888" s="64"/>
      <c r="H888" s="64"/>
      <c r="I888" s="64"/>
      <c r="J888" s="64"/>
      <c r="K888" s="64"/>
      <c r="L888" s="64"/>
      <c r="M888" s="64"/>
      <c r="N888" s="64"/>
      <c r="O888" s="64"/>
      <c r="P888" s="64"/>
      <c r="Q888" s="64"/>
      <c r="R888" s="64"/>
      <c r="S888" s="64"/>
      <c r="T888" s="64"/>
      <c r="U888" s="64"/>
      <c r="V888" s="64"/>
      <c r="W888" s="64"/>
      <c r="X888" s="64"/>
      <c r="Y888" s="64"/>
      <c r="Z888" s="64"/>
      <c r="AA888" s="64"/>
      <c r="AB888" s="64"/>
      <c r="AC888" s="64"/>
      <c r="AD888" s="64"/>
      <c r="AE888" s="64"/>
      <c r="AF888" s="64"/>
      <c r="AG888" s="64"/>
    </row>
    <row r="889" spans="1:33">
      <c r="A889" s="64"/>
      <c r="B889" s="64"/>
      <c r="C889" s="64"/>
      <c r="D889" s="64"/>
      <c r="E889" s="70"/>
      <c r="F889" s="70"/>
      <c r="G889" s="64"/>
      <c r="H889" s="64"/>
      <c r="I889" s="64"/>
      <c r="J889" s="64"/>
      <c r="K889" s="64"/>
      <c r="L889" s="64"/>
      <c r="M889" s="64"/>
      <c r="N889" s="64"/>
      <c r="O889" s="64"/>
      <c r="P889" s="64"/>
      <c r="Q889" s="64"/>
      <c r="R889" s="64"/>
      <c r="S889" s="64"/>
      <c r="T889" s="64"/>
      <c r="U889" s="64"/>
      <c r="V889" s="64"/>
      <c r="W889" s="64"/>
      <c r="X889" s="64"/>
      <c r="Y889" s="64"/>
      <c r="Z889" s="64"/>
      <c r="AA889" s="64"/>
      <c r="AB889" s="64"/>
      <c r="AC889" s="64"/>
      <c r="AD889" s="64"/>
      <c r="AE889" s="64"/>
      <c r="AF889" s="64"/>
      <c r="AG889" s="64"/>
    </row>
    <row r="890" spans="1:33">
      <c r="A890" s="64"/>
      <c r="B890" s="64"/>
      <c r="C890" s="64"/>
      <c r="D890" s="64"/>
      <c r="E890" s="70"/>
      <c r="F890" s="70"/>
      <c r="G890" s="64"/>
      <c r="H890" s="64"/>
      <c r="I890" s="64"/>
      <c r="J890" s="64"/>
      <c r="K890" s="64"/>
      <c r="L890" s="64"/>
      <c r="M890" s="64"/>
      <c r="N890" s="64"/>
      <c r="O890" s="64"/>
      <c r="P890" s="64"/>
      <c r="Q890" s="64"/>
      <c r="R890" s="64"/>
      <c r="S890" s="64"/>
      <c r="T890" s="64"/>
      <c r="U890" s="64"/>
      <c r="V890" s="64"/>
      <c r="W890" s="64"/>
      <c r="X890" s="64"/>
      <c r="Y890" s="64"/>
      <c r="Z890" s="64"/>
      <c r="AA890" s="64"/>
      <c r="AB890" s="64"/>
      <c r="AC890" s="64"/>
      <c r="AD890" s="64"/>
      <c r="AE890" s="64"/>
      <c r="AF890" s="64"/>
      <c r="AG890" s="64"/>
    </row>
    <row r="891" spans="1:33">
      <c r="A891" s="64"/>
      <c r="B891" s="64"/>
      <c r="C891" s="64"/>
      <c r="D891" s="64"/>
      <c r="E891" s="70"/>
      <c r="F891" s="70"/>
      <c r="G891" s="64"/>
      <c r="H891" s="64"/>
      <c r="I891" s="64"/>
      <c r="J891" s="64"/>
      <c r="K891" s="64"/>
      <c r="L891" s="64"/>
      <c r="M891" s="64"/>
      <c r="N891" s="64"/>
      <c r="O891" s="64"/>
      <c r="P891" s="64"/>
      <c r="Q891" s="64"/>
      <c r="R891" s="64"/>
      <c r="S891" s="64"/>
      <c r="T891" s="64"/>
      <c r="U891" s="64"/>
      <c r="V891" s="64"/>
      <c r="W891" s="64"/>
      <c r="X891" s="64"/>
      <c r="Y891" s="64"/>
      <c r="Z891" s="64"/>
      <c r="AA891" s="64"/>
      <c r="AB891" s="64"/>
      <c r="AC891" s="64"/>
      <c r="AD891" s="64"/>
      <c r="AE891" s="64"/>
      <c r="AF891" s="64"/>
      <c r="AG891" s="64"/>
    </row>
    <row r="892" spans="1:33">
      <c r="A892" s="64"/>
      <c r="B892" s="64"/>
      <c r="C892" s="64"/>
      <c r="D892" s="64"/>
      <c r="E892" s="70"/>
      <c r="F892" s="70"/>
      <c r="G892" s="64"/>
      <c r="H892" s="64"/>
      <c r="I892" s="64"/>
      <c r="J892" s="64"/>
      <c r="K892" s="64"/>
      <c r="L892" s="64"/>
      <c r="M892" s="64"/>
      <c r="N892" s="64"/>
      <c r="O892" s="64"/>
      <c r="P892" s="64"/>
      <c r="Q892" s="64"/>
      <c r="R892" s="64"/>
      <c r="S892" s="64"/>
      <c r="T892" s="64"/>
      <c r="U892" s="64"/>
      <c r="V892" s="64"/>
      <c r="W892" s="64"/>
      <c r="X892" s="64"/>
      <c r="Y892" s="64"/>
      <c r="Z892" s="64"/>
      <c r="AA892" s="64"/>
      <c r="AB892" s="64"/>
      <c r="AC892" s="64"/>
      <c r="AD892" s="64"/>
      <c r="AE892" s="64"/>
      <c r="AF892" s="64"/>
      <c r="AG892" s="64"/>
    </row>
    <row r="893" spans="1:33">
      <c r="A893" s="64"/>
      <c r="B893" s="64"/>
      <c r="C893" s="64"/>
      <c r="D893" s="64"/>
      <c r="E893" s="70"/>
      <c r="F893" s="70"/>
      <c r="G893" s="64"/>
      <c r="H893" s="64"/>
      <c r="I893" s="64"/>
      <c r="J893" s="64"/>
      <c r="K893" s="64"/>
      <c r="L893" s="64"/>
      <c r="M893" s="64"/>
      <c r="N893" s="64"/>
      <c r="O893" s="64"/>
      <c r="P893" s="64"/>
      <c r="Q893" s="64"/>
      <c r="R893" s="64"/>
      <c r="S893" s="64"/>
      <c r="T893" s="64"/>
      <c r="U893" s="64"/>
      <c r="V893" s="64"/>
      <c r="W893" s="64"/>
      <c r="X893" s="64"/>
      <c r="Y893" s="64"/>
      <c r="Z893" s="64"/>
      <c r="AA893" s="64"/>
      <c r="AB893" s="64"/>
      <c r="AC893" s="64"/>
      <c r="AD893" s="64"/>
      <c r="AE893" s="64"/>
      <c r="AF893" s="64"/>
      <c r="AG893" s="64"/>
    </row>
    <row r="894" spans="1:33">
      <c r="A894" s="64"/>
      <c r="B894" s="64"/>
      <c r="C894" s="64"/>
      <c r="D894" s="64"/>
      <c r="E894" s="70"/>
      <c r="F894" s="70"/>
      <c r="G894" s="64"/>
      <c r="H894" s="64"/>
      <c r="I894" s="64"/>
      <c r="J894" s="64"/>
      <c r="K894" s="64"/>
      <c r="L894" s="64"/>
      <c r="M894" s="64"/>
      <c r="N894" s="64"/>
      <c r="O894" s="64"/>
      <c r="P894" s="64"/>
      <c r="Q894" s="64"/>
      <c r="R894" s="64"/>
      <c r="S894" s="64"/>
      <c r="T894" s="64"/>
      <c r="U894" s="64"/>
      <c r="V894" s="64"/>
      <c r="W894" s="64"/>
      <c r="X894" s="64"/>
      <c r="Y894" s="64"/>
      <c r="Z894" s="64"/>
      <c r="AA894" s="64"/>
      <c r="AB894" s="64"/>
      <c r="AC894" s="64"/>
      <c r="AD894" s="64"/>
      <c r="AE894" s="64"/>
      <c r="AF894" s="64"/>
      <c r="AG894" s="64"/>
    </row>
    <row r="895" spans="1:33">
      <c r="A895" s="64"/>
      <c r="B895" s="64"/>
      <c r="C895" s="64"/>
      <c r="D895" s="64"/>
      <c r="E895" s="70"/>
      <c r="F895" s="70"/>
      <c r="G895" s="64"/>
      <c r="H895" s="64"/>
      <c r="I895" s="64"/>
      <c r="J895" s="64"/>
      <c r="K895" s="64"/>
      <c r="L895" s="64"/>
      <c r="M895" s="64"/>
      <c r="N895" s="64"/>
      <c r="O895" s="64"/>
      <c r="P895" s="64"/>
      <c r="Q895" s="64"/>
      <c r="R895" s="64"/>
      <c r="S895" s="64"/>
      <c r="T895" s="64"/>
      <c r="U895" s="64"/>
      <c r="V895" s="64"/>
      <c r="W895" s="64"/>
      <c r="X895" s="64"/>
      <c r="Y895" s="64"/>
      <c r="Z895" s="64"/>
      <c r="AA895" s="64"/>
      <c r="AB895" s="64"/>
      <c r="AC895" s="64"/>
      <c r="AD895" s="64"/>
      <c r="AE895" s="64"/>
      <c r="AF895" s="64"/>
      <c r="AG895" s="64"/>
    </row>
    <row r="896" spans="1:33">
      <c r="A896" s="64"/>
      <c r="B896" s="64"/>
      <c r="C896" s="64"/>
      <c r="D896" s="64"/>
      <c r="E896" s="70"/>
      <c r="F896" s="70"/>
      <c r="G896" s="64"/>
      <c r="H896" s="64"/>
      <c r="I896" s="64"/>
      <c r="J896" s="64"/>
      <c r="K896" s="64"/>
      <c r="L896" s="64"/>
      <c r="M896" s="64"/>
      <c r="N896" s="64"/>
      <c r="O896" s="64"/>
      <c r="P896" s="64"/>
      <c r="Q896" s="64"/>
      <c r="R896" s="64"/>
      <c r="S896" s="64"/>
      <c r="T896" s="64"/>
      <c r="U896" s="64"/>
      <c r="V896" s="64"/>
      <c r="W896" s="64"/>
      <c r="X896" s="64"/>
      <c r="Y896" s="64"/>
      <c r="Z896" s="64"/>
      <c r="AA896" s="64"/>
      <c r="AB896" s="64"/>
      <c r="AC896" s="64"/>
      <c r="AD896" s="64"/>
      <c r="AE896" s="64"/>
      <c r="AF896" s="64"/>
      <c r="AG896" s="64"/>
    </row>
    <row r="897" spans="1:33">
      <c r="A897" s="64"/>
      <c r="B897" s="64"/>
      <c r="C897" s="64"/>
      <c r="D897" s="64"/>
      <c r="E897" s="70"/>
      <c r="F897" s="70"/>
      <c r="G897" s="64"/>
      <c r="H897" s="64"/>
      <c r="I897" s="64"/>
      <c r="J897" s="64"/>
      <c r="K897" s="64"/>
      <c r="L897" s="64"/>
      <c r="M897" s="64"/>
      <c r="N897" s="64"/>
      <c r="O897" s="64"/>
      <c r="P897" s="64"/>
      <c r="Q897" s="64"/>
      <c r="R897" s="64"/>
      <c r="S897" s="64"/>
      <c r="T897" s="64"/>
      <c r="U897" s="64"/>
      <c r="V897" s="64"/>
      <c r="W897" s="64"/>
      <c r="X897" s="64"/>
      <c r="Y897" s="64"/>
      <c r="Z897" s="64"/>
      <c r="AA897" s="64"/>
      <c r="AB897" s="64"/>
      <c r="AC897" s="64"/>
      <c r="AD897" s="64"/>
      <c r="AE897" s="64"/>
      <c r="AF897" s="64"/>
      <c r="AG897" s="64"/>
    </row>
    <row r="898" spans="1:33">
      <c r="A898" s="64"/>
      <c r="B898" s="64"/>
      <c r="C898" s="64"/>
      <c r="D898" s="64"/>
      <c r="E898" s="70"/>
      <c r="F898" s="70"/>
      <c r="G898" s="64"/>
      <c r="H898" s="64"/>
      <c r="I898" s="64"/>
      <c r="J898" s="64"/>
      <c r="K898" s="64"/>
      <c r="L898" s="64"/>
      <c r="M898" s="64"/>
      <c r="N898" s="64"/>
      <c r="O898" s="64"/>
      <c r="P898" s="64"/>
      <c r="Q898" s="64"/>
      <c r="R898" s="64"/>
      <c r="S898" s="64"/>
      <c r="T898" s="64"/>
      <c r="U898" s="64"/>
      <c r="V898" s="64"/>
      <c r="W898" s="64"/>
      <c r="X898" s="64"/>
      <c r="Y898" s="64"/>
      <c r="Z898" s="64"/>
      <c r="AA898" s="64"/>
      <c r="AB898" s="64"/>
      <c r="AC898" s="64"/>
      <c r="AD898" s="64"/>
      <c r="AE898" s="64"/>
      <c r="AF898" s="64"/>
      <c r="AG898" s="64"/>
    </row>
    <row r="899" spans="1:33">
      <c r="A899" s="64"/>
      <c r="B899" s="64"/>
      <c r="C899" s="64"/>
      <c r="D899" s="64"/>
      <c r="E899" s="70"/>
      <c r="F899" s="70"/>
      <c r="G899" s="64"/>
      <c r="H899" s="64"/>
      <c r="I899" s="64"/>
      <c r="J899" s="64"/>
      <c r="K899" s="64"/>
      <c r="L899" s="64"/>
      <c r="M899" s="64"/>
      <c r="N899" s="64"/>
      <c r="O899" s="64"/>
      <c r="P899" s="64"/>
      <c r="Q899" s="64"/>
      <c r="R899" s="64"/>
      <c r="S899" s="64"/>
      <c r="T899" s="64"/>
      <c r="U899" s="64"/>
      <c r="V899" s="64"/>
      <c r="W899" s="64"/>
      <c r="X899" s="64"/>
      <c r="Y899" s="64"/>
      <c r="Z899" s="64"/>
      <c r="AA899" s="64"/>
      <c r="AB899" s="64"/>
      <c r="AC899" s="64"/>
      <c r="AD899" s="64"/>
      <c r="AE899" s="64"/>
      <c r="AF899" s="64"/>
      <c r="AG899" s="64"/>
    </row>
    <row r="900" spans="1:33">
      <c r="A900" s="64"/>
      <c r="B900" s="64"/>
      <c r="C900" s="64"/>
      <c r="D900" s="64"/>
      <c r="E900" s="70"/>
      <c r="F900" s="70"/>
      <c r="G900" s="64"/>
      <c r="H900" s="64"/>
      <c r="I900" s="64"/>
      <c r="J900" s="64"/>
      <c r="K900" s="64"/>
      <c r="L900" s="64"/>
      <c r="M900" s="64"/>
      <c r="N900" s="64"/>
      <c r="O900" s="64"/>
      <c r="P900" s="64"/>
      <c r="Q900" s="64"/>
      <c r="R900" s="64"/>
      <c r="S900" s="64"/>
      <c r="T900" s="64"/>
      <c r="U900" s="64"/>
      <c r="V900" s="64"/>
      <c r="W900" s="64"/>
      <c r="X900" s="64"/>
      <c r="Y900" s="64"/>
      <c r="Z900" s="64"/>
      <c r="AA900" s="64"/>
      <c r="AB900" s="64"/>
      <c r="AC900" s="64"/>
      <c r="AD900" s="64"/>
      <c r="AE900" s="64"/>
      <c r="AF900" s="64"/>
      <c r="AG900" s="64"/>
    </row>
    <row r="901" spans="1:33">
      <c r="A901" s="64"/>
      <c r="B901" s="64"/>
      <c r="C901" s="64"/>
      <c r="D901" s="64"/>
      <c r="E901" s="70"/>
      <c r="F901" s="70"/>
      <c r="G901" s="64"/>
      <c r="H901" s="64"/>
      <c r="I901" s="64"/>
      <c r="J901" s="64"/>
      <c r="K901" s="64"/>
      <c r="L901" s="64"/>
      <c r="M901" s="64"/>
      <c r="N901" s="64"/>
      <c r="O901" s="64"/>
      <c r="P901" s="64"/>
      <c r="Q901" s="64"/>
      <c r="R901" s="64"/>
      <c r="S901" s="64"/>
      <c r="T901" s="64"/>
      <c r="U901" s="64"/>
      <c r="V901" s="64"/>
      <c r="W901" s="64"/>
      <c r="X901" s="64"/>
      <c r="Y901" s="64"/>
      <c r="Z901" s="64"/>
      <c r="AA901" s="64"/>
      <c r="AB901" s="64"/>
      <c r="AC901" s="64"/>
      <c r="AD901" s="64"/>
      <c r="AE901" s="64"/>
      <c r="AF901" s="64"/>
      <c r="AG901" s="64"/>
    </row>
    <row r="902" spans="1:33">
      <c r="A902" s="64"/>
      <c r="B902" s="64"/>
      <c r="C902" s="64"/>
      <c r="D902" s="64"/>
      <c r="E902" s="70"/>
      <c r="F902" s="70"/>
      <c r="G902" s="64"/>
      <c r="H902" s="64"/>
      <c r="I902" s="64"/>
      <c r="J902" s="64"/>
      <c r="K902" s="64"/>
      <c r="L902" s="64"/>
      <c r="M902" s="64"/>
      <c r="N902" s="64"/>
      <c r="O902" s="64"/>
      <c r="P902" s="64"/>
      <c r="Q902" s="64"/>
      <c r="R902" s="64"/>
      <c r="S902" s="64"/>
      <c r="T902" s="64"/>
      <c r="U902" s="64"/>
      <c r="V902" s="64"/>
      <c r="W902" s="64"/>
      <c r="X902" s="64"/>
      <c r="Y902" s="64"/>
      <c r="Z902" s="64"/>
      <c r="AA902" s="64"/>
      <c r="AB902" s="64"/>
      <c r="AC902" s="64"/>
      <c r="AD902" s="64"/>
      <c r="AE902" s="64"/>
      <c r="AF902" s="64"/>
      <c r="AG902" s="64"/>
    </row>
    <row r="903" spans="1:33">
      <c r="A903" s="64"/>
      <c r="B903" s="64"/>
      <c r="C903" s="64"/>
      <c r="D903" s="64"/>
      <c r="E903" s="70"/>
      <c r="F903" s="70"/>
      <c r="G903" s="64"/>
      <c r="H903" s="64"/>
      <c r="I903" s="64"/>
      <c r="J903" s="64"/>
      <c r="K903" s="64"/>
      <c r="L903" s="64"/>
      <c r="M903" s="64"/>
      <c r="N903" s="64"/>
      <c r="O903" s="64"/>
      <c r="P903" s="64"/>
      <c r="Q903" s="64"/>
      <c r="R903" s="64"/>
      <c r="S903" s="64"/>
      <c r="T903" s="64"/>
      <c r="U903" s="64"/>
      <c r="V903" s="64"/>
      <c r="W903" s="64"/>
      <c r="X903" s="64"/>
      <c r="Y903" s="64"/>
      <c r="Z903" s="64"/>
      <c r="AA903" s="64"/>
      <c r="AB903" s="64"/>
      <c r="AC903" s="64"/>
      <c r="AD903" s="64"/>
      <c r="AE903" s="64"/>
      <c r="AF903" s="64"/>
      <c r="AG903" s="64"/>
    </row>
    <row r="904" spans="1:33">
      <c r="A904" s="64"/>
      <c r="B904" s="64"/>
      <c r="C904" s="64"/>
      <c r="D904" s="64"/>
      <c r="E904" s="70"/>
      <c r="F904" s="70"/>
      <c r="G904" s="64"/>
      <c r="H904" s="64"/>
      <c r="I904" s="64"/>
      <c r="J904" s="64"/>
      <c r="K904" s="64"/>
      <c r="L904" s="64"/>
      <c r="M904" s="64"/>
      <c r="N904" s="64"/>
      <c r="O904" s="64"/>
      <c r="P904" s="64"/>
      <c r="Q904" s="64"/>
      <c r="R904" s="64"/>
      <c r="S904" s="64"/>
      <c r="T904" s="64"/>
      <c r="U904" s="64"/>
      <c r="V904" s="64"/>
      <c r="W904" s="64"/>
      <c r="X904" s="64"/>
      <c r="Y904" s="64"/>
      <c r="Z904" s="64"/>
      <c r="AA904" s="64"/>
      <c r="AB904" s="64"/>
      <c r="AC904" s="64"/>
      <c r="AD904" s="64"/>
      <c r="AE904" s="64"/>
      <c r="AF904" s="64"/>
      <c r="AG904" s="64"/>
    </row>
    <row r="905" spans="1:33">
      <c r="A905" s="64"/>
      <c r="B905" s="64"/>
      <c r="C905" s="64"/>
      <c r="D905" s="64"/>
      <c r="E905" s="70"/>
      <c r="F905" s="70"/>
      <c r="G905" s="64"/>
      <c r="H905" s="64"/>
      <c r="I905" s="64"/>
      <c r="J905" s="64"/>
      <c r="K905" s="64"/>
      <c r="L905" s="64"/>
      <c r="M905" s="64"/>
      <c r="N905" s="64"/>
      <c r="O905" s="64"/>
      <c r="P905" s="64"/>
      <c r="Q905" s="64"/>
      <c r="R905" s="64"/>
      <c r="S905" s="64"/>
      <c r="T905" s="64"/>
      <c r="U905" s="64"/>
      <c r="V905" s="64"/>
      <c r="W905" s="64"/>
      <c r="X905" s="64"/>
      <c r="Y905" s="64"/>
      <c r="Z905" s="64"/>
      <c r="AA905" s="64"/>
      <c r="AB905" s="64"/>
      <c r="AC905" s="64"/>
      <c r="AD905" s="64"/>
      <c r="AE905" s="64"/>
      <c r="AF905" s="64"/>
      <c r="AG905" s="64"/>
    </row>
    <row r="906" spans="1:33">
      <c r="A906" s="64"/>
      <c r="B906" s="64"/>
      <c r="C906" s="64"/>
      <c r="D906" s="64"/>
      <c r="E906" s="70"/>
      <c r="F906" s="70"/>
      <c r="G906" s="64"/>
      <c r="H906" s="64"/>
      <c r="I906" s="64"/>
      <c r="J906" s="64"/>
      <c r="K906" s="64"/>
      <c r="L906" s="64"/>
      <c r="M906" s="64"/>
      <c r="N906" s="64"/>
      <c r="O906" s="64"/>
      <c r="P906" s="64"/>
      <c r="Q906" s="64"/>
      <c r="R906" s="64"/>
      <c r="S906" s="64"/>
      <c r="T906" s="64"/>
      <c r="U906" s="64"/>
      <c r="V906" s="64"/>
      <c r="W906" s="64"/>
      <c r="X906" s="64"/>
      <c r="Y906" s="64"/>
      <c r="Z906" s="64"/>
      <c r="AA906" s="64"/>
      <c r="AB906" s="64"/>
      <c r="AC906" s="64"/>
      <c r="AD906" s="64"/>
      <c r="AE906" s="64"/>
      <c r="AF906" s="64"/>
      <c r="AG906" s="64"/>
    </row>
    <row r="907" spans="1:33">
      <c r="A907" s="64"/>
      <c r="B907" s="64"/>
      <c r="C907" s="64"/>
      <c r="D907" s="64"/>
      <c r="E907" s="70"/>
      <c r="F907" s="70"/>
      <c r="G907" s="64"/>
      <c r="H907" s="64"/>
      <c r="I907" s="64"/>
      <c r="J907" s="64"/>
      <c r="K907" s="64"/>
      <c r="L907" s="64"/>
      <c r="M907" s="64"/>
      <c r="N907" s="64"/>
      <c r="O907" s="64"/>
      <c r="P907" s="64"/>
      <c r="Q907" s="64"/>
      <c r="R907" s="64"/>
      <c r="S907" s="64"/>
      <c r="T907" s="64"/>
      <c r="U907" s="64"/>
      <c r="V907" s="64"/>
      <c r="W907" s="64"/>
      <c r="X907" s="64"/>
      <c r="Y907" s="64"/>
      <c r="Z907" s="64"/>
      <c r="AA907" s="64"/>
      <c r="AB907" s="64"/>
      <c r="AC907" s="64"/>
      <c r="AD907" s="64"/>
      <c r="AE907" s="64"/>
      <c r="AF907" s="64"/>
      <c r="AG907" s="64"/>
    </row>
    <row r="908" spans="1:33">
      <c r="A908" s="64"/>
      <c r="B908" s="64"/>
      <c r="C908" s="64"/>
      <c r="D908" s="64"/>
      <c r="E908" s="70"/>
      <c r="F908" s="70"/>
      <c r="G908" s="64"/>
      <c r="H908" s="64"/>
      <c r="I908" s="64"/>
      <c r="J908" s="64"/>
      <c r="K908" s="64"/>
      <c r="L908" s="64"/>
      <c r="M908" s="64"/>
      <c r="N908" s="64"/>
      <c r="O908" s="64"/>
      <c r="P908" s="64"/>
      <c r="Q908" s="64"/>
      <c r="R908" s="64"/>
      <c r="S908" s="64"/>
      <c r="T908" s="64"/>
      <c r="U908" s="64"/>
      <c r="V908" s="64"/>
      <c r="W908" s="64"/>
      <c r="X908" s="64"/>
      <c r="Y908" s="64"/>
      <c r="Z908" s="64"/>
      <c r="AA908" s="64"/>
      <c r="AB908" s="64"/>
      <c r="AC908" s="64"/>
      <c r="AD908" s="64"/>
      <c r="AE908" s="64"/>
      <c r="AF908" s="64"/>
      <c r="AG908" s="64"/>
    </row>
    <row r="909" spans="1:33">
      <c r="A909" s="64"/>
      <c r="B909" s="64"/>
      <c r="C909" s="64"/>
      <c r="D909" s="64"/>
      <c r="E909" s="70"/>
      <c r="F909" s="70"/>
      <c r="G909" s="64"/>
      <c r="H909" s="64"/>
      <c r="I909" s="64"/>
      <c r="J909" s="64"/>
      <c r="K909" s="64"/>
      <c r="L909" s="64"/>
      <c r="M909" s="64"/>
      <c r="N909" s="64"/>
      <c r="O909" s="64"/>
      <c r="P909" s="64"/>
      <c r="Q909" s="64"/>
      <c r="R909" s="64"/>
      <c r="S909" s="64"/>
      <c r="T909" s="64"/>
      <c r="U909" s="64"/>
      <c r="V909" s="64"/>
      <c r="W909" s="64"/>
      <c r="X909" s="64"/>
      <c r="Y909" s="64"/>
      <c r="Z909" s="64"/>
      <c r="AA909" s="64"/>
      <c r="AB909" s="64"/>
      <c r="AC909" s="64"/>
      <c r="AD909" s="64"/>
      <c r="AE909" s="64"/>
      <c r="AF909" s="64"/>
      <c r="AG909" s="64"/>
    </row>
    <row r="910" spans="1:33">
      <c r="A910" s="64"/>
      <c r="B910" s="64"/>
      <c r="C910" s="64"/>
      <c r="D910" s="64"/>
      <c r="E910" s="70"/>
      <c r="F910" s="70"/>
      <c r="G910" s="64"/>
      <c r="H910" s="64"/>
      <c r="I910" s="64"/>
      <c r="J910" s="64"/>
      <c r="K910" s="64"/>
      <c r="L910" s="64"/>
      <c r="M910" s="64"/>
      <c r="N910" s="64"/>
      <c r="O910" s="64"/>
      <c r="P910" s="64"/>
      <c r="Q910" s="64"/>
      <c r="R910" s="64"/>
      <c r="S910" s="64"/>
      <c r="T910" s="64"/>
      <c r="U910" s="64"/>
      <c r="V910" s="64"/>
      <c r="W910" s="64"/>
      <c r="X910" s="64"/>
      <c r="Y910" s="64"/>
      <c r="Z910" s="64"/>
      <c r="AA910" s="64"/>
      <c r="AB910" s="64"/>
      <c r="AC910" s="64"/>
      <c r="AD910" s="64"/>
      <c r="AE910" s="64"/>
      <c r="AF910" s="64"/>
      <c r="AG910" s="64"/>
    </row>
    <row r="911" spans="1:33">
      <c r="A911" s="64"/>
      <c r="B911" s="64"/>
      <c r="C911" s="64"/>
      <c r="D911" s="64"/>
      <c r="E911" s="70"/>
      <c r="F911" s="70"/>
      <c r="G911" s="64"/>
      <c r="H911" s="64"/>
      <c r="I911" s="64"/>
      <c r="J911" s="64"/>
      <c r="K911" s="64"/>
      <c r="L911" s="64"/>
      <c r="M911" s="64"/>
      <c r="N911" s="64"/>
      <c r="O911" s="64"/>
      <c r="P911" s="64"/>
      <c r="Q911" s="64"/>
      <c r="R911" s="64"/>
      <c r="S911" s="64"/>
      <c r="T911" s="64"/>
      <c r="U911" s="64"/>
      <c r="V911" s="64"/>
      <c r="W911" s="64"/>
      <c r="X911" s="64"/>
      <c r="Y911" s="64"/>
      <c r="Z911" s="64"/>
      <c r="AA911" s="64"/>
      <c r="AB911" s="64"/>
      <c r="AC911" s="64"/>
      <c r="AD911" s="64"/>
      <c r="AE911" s="64"/>
      <c r="AF911" s="64"/>
      <c r="AG911" s="64"/>
    </row>
    <row r="912" spans="1:33">
      <c r="A912" s="64"/>
      <c r="B912" s="64"/>
      <c r="C912" s="64"/>
      <c r="D912" s="64"/>
      <c r="E912" s="70"/>
      <c r="F912" s="70"/>
      <c r="G912" s="64"/>
      <c r="H912" s="64"/>
      <c r="I912" s="64"/>
      <c r="J912" s="64"/>
      <c r="K912" s="64"/>
      <c r="L912" s="64"/>
      <c r="M912" s="64"/>
      <c r="N912" s="64"/>
      <c r="O912" s="64"/>
      <c r="P912" s="64"/>
      <c r="Q912" s="64"/>
      <c r="R912" s="64"/>
      <c r="S912" s="64"/>
      <c r="T912" s="64"/>
      <c r="U912" s="64"/>
      <c r="V912" s="64"/>
      <c r="W912" s="64"/>
      <c r="X912" s="64"/>
      <c r="Y912" s="64"/>
      <c r="Z912" s="64"/>
      <c r="AA912" s="64"/>
      <c r="AB912" s="64"/>
      <c r="AC912" s="64"/>
      <c r="AD912" s="64"/>
      <c r="AE912" s="64"/>
      <c r="AF912" s="64"/>
      <c r="AG912" s="64"/>
    </row>
    <row r="913" spans="1:33">
      <c r="A913" s="64"/>
      <c r="B913" s="64"/>
      <c r="C913" s="64"/>
      <c r="D913" s="64"/>
      <c r="E913" s="70"/>
      <c r="F913" s="70"/>
      <c r="G913" s="64"/>
      <c r="H913" s="64"/>
      <c r="I913" s="64"/>
      <c r="J913" s="64"/>
      <c r="K913" s="64"/>
      <c r="L913" s="64"/>
      <c r="M913" s="64"/>
      <c r="N913" s="64"/>
      <c r="O913" s="64"/>
      <c r="P913" s="64"/>
      <c r="Q913" s="64"/>
      <c r="R913" s="64"/>
      <c r="S913" s="64"/>
      <c r="T913" s="64"/>
      <c r="U913" s="64"/>
      <c r="V913" s="64"/>
      <c r="W913" s="64"/>
      <c r="X913" s="64"/>
      <c r="Y913" s="64"/>
      <c r="Z913" s="64"/>
      <c r="AA913" s="64"/>
      <c r="AB913" s="64"/>
      <c r="AC913" s="64"/>
      <c r="AD913" s="64"/>
      <c r="AE913" s="64"/>
      <c r="AF913" s="64"/>
      <c r="AG913" s="64"/>
    </row>
    <row r="914" spans="1:33">
      <c r="A914" s="64"/>
      <c r="B914" s="64"/>
      <c r="C914" s="64"/>
      <c r="D914" s="64"/>
      <c r="E914" s="70"/>
      <c r="F914" s="70"/>
      <c r="G914" s="64"/>
      <c r="H914" s="64"/>
      <c r="I914" s="64"/>
      <c r="J914" s="64"/>
      <c r="K914" s="64"/>
      <c r="L914" s="64"/>
      <c r="M914" s="64"/>
      <c r="N914" s="64"/>
      <c r="O914" s="64"/>
      <c r="P914" s="64"/>
      <c r="Q914" s="64"/>
      <c r="R914" s="64"/>
      <c r="S914" s="64"/>
      <c r="T914" s="64"/>
      <c r="U914" s="64"/>
      <c r="V914" s="64"/>
      <c r="W914" s="64"/>
      <c r="X914" s="64"/>
      <c r="Y914" s="64"/>
      <c r="Z914" s="64"/>
      <c r="AA914" s="64"/>
      <c r="AB914" s="64"/>
      <c r="AC914" s="64"/>
      <c r="AD914" s="64"/>
      <c r="AE914" s="64"/>
      <c r="AF914" s="64"/>
      <c r="AG914" s="64"/>
    </row>
    <row r="915" spans="1:33">
      <c r="A915" s="64"/>
      <c r="B915" s="64"/>
      <c r="C915" s="64"/>
      <c r="D915" s="64"/>
      <c r="E915" s="70"/>
      <c r="F915" s="70"/>
      <c r="G915" s="64"/>
      <c r="H915" s="64"/>
      <c r="I915" s="64"/>
      <c r="J915" s="64"/>
      <c r="K915" s="64"/>
      <c r="L915" s="64"/>
      <c r="M915" s="64"/>
      <c r="N915" s="64"/>
      <c r="O915" s="64"/>
      <c r="P915" s="64"/>
      <c r="Q915" s="64"/>
      <c r="R915" s="64"/>
      <c r="S915" s="64"/>
      <c r="T915" s="64"/>
      <c r="U915" s="64"/>
      <c r="V915" s="64"/>
      <c r="W915" s="64"/>
      <c r="X915" s="64"/>
      <c r="Y915" s="64"/>
      <c r="Z915" s="64"/>
      <c r="AA915" s="64"/>
      <c r="AB915" s="64"/>
      <c r="AC915" s="64"/>
      <c r="AD915" s="64"/>
      <c r="AE915" s="64"/>
      <c r="AF915" s="64"/>
      <c r="AG915" s="64"/>
    </row>
    <row r="916" spans="1:33">
      <c r="A916" s="64"/>
      <c r="B916" s="64"/>
      <c r="C916" s="64"/>
      <c r="D916" s="64"/>
      <c r="E916" s="70"/>
      <c r="F916" s="70"/>
      <c r="G916" s="64"/>
      <c r="H916" s="64"/>
      <c r="I916" s="64"/>
      <c r="J916" s="64"/>
      <c r="K916" s="64"/>
      <c r="L916" s="64"/>
      <c r="M916" s="64"/>
      <c r="N916" s="64"/>
      <c r="O916" s="64"/>
      <c r="P916" s="64"/>
      <c r="Q916" s="64"/>
      <c r="R916" s="64"/>
      <c r="S916" s="64"/>
      <c r="T916" s="64"/>
      <c r="U916" s="64"/>
      <c r="V916" s="64"/>
      <c r="W916" s="64"/>
      <c r="X916" s="64"/>
      <c r="Y916" s="64"/>
      <c r="Z916" s="64"/>
      <c r="AA916" s="64"/>
      <c r="AB916" s="64"/>
      <c r="AC916" s="64"/>
      <c r="AD916" s="64"/>
      <c r="AE916" s="64"/>
      <c r="AF916" s="64"/>
      <c r="AG916" s="64"/>
    </row>
    <row r="917" spans="1:33">
      <c r="A917" s="64"/>
      <c r="B917" s="64"/>
      <c r="C917" s="64"/>
      <c r="D917" s="64"/>
      <c r="E917" s="70"/>
      <c r="F917" s="70"/>
      <c r="G917" s="64"/>
      <c r="H917" s="64"/>
      <c r="I917" s="64"/>
      <c r="J917" s="64"/>
      <c r="K917" s="64"/>
      <c r="L917" s="64"/>
      <c r="M917" s="64"/>
      <c r="N917" s="64"/>
      <c r="O917" s="64"/>
      <c r="P917" s="64"/>
      <c r="Q917" s="64"/>
      <c r="R917" s="64"/>
      <c r="S917" s="64"/>
      <c r="T917" s="64"/>
      <c r="U917" s="64"/>
      <c r="V917" s="64"/>
      <c r="W917" s="64"/>
      <c r="X917" s="64"/>
      <c r="Y917" s="64"/>
      <c r="Z917" s="64"/>
      <c r="AA917" s="64"/>
      <c r="AB917" s="64"/>
      <c r="AC917" s="64"/>
      <c r="AD917" s="64"/>
      <c r="AE917" s="64"/>
      <c r="AF917" s="64"/>
      <c r="AG917" s="64"/>
    </row>
    <row r="918" spans="1:33">
      <c r="A918" s="64"/>
      <c r="B918" s="64"/>
      <c r="C918" s="64"/>
      <c r="D918" s="64"/>
      <c r="E918" s="70"/>
      <c r="F918" s="70"/>
      <c r="G918" s="64"/>
      <c r="H918" s="64"/>
      <c r="I918" s="64"/>
      <c r="J918" s="64"/>
      <c r="K918" s="64"/>
      <c r="L918" s="64"/>
      <c r="M918" s="64"/>
      <c r="N918" s="64"/>
      <c r="O918" s="64"/>
      <c r="P918" s="64"/>
      <c r="Q918" s="64"/>
      <c r="R918" s="64"/>
      <c r="S918" s="64"/>
      <c r="T918" s="64"/>
      <c r="U918" s="64"/>
      <c r="V918" s="64"/>
      <c r="W918" s="64"/>
      <c r="X918" s="64"/>
      <c r="Y918" s="64"/>
      <c r="Z918" s="64"/>
      <c r="AA918" s="64"/>
      <c r="AB918" s="64"/>
      <c r="AC918" s="64"/>
      <c r="AD918" s="64"/>
      <c r="AE918" s="64"/>
      <c r="AF918" s="64"/>
      <c r="AG918" s="64"/>
    </row>
    <row r="919" spans="1:33">
      <c r="A919" s="64"/>
      <c r="B919" s="64"/>
      <c r="C919" s="64"/>
      <c r="D919" s="64"/>
      <c r="E919" s="70"/>
      <c r="F919" s="70"/>
      <c r="G919" s="64"/>
      <c r="H919" s="64"/>
      <c r="I919" s="64"/>
      <c r="J919" s="64"/>
      <c r="K919" s="64"/>
      <c r="L919" s="64"/>
      <c r="M919" s="64"/>
      <c r="N919" s="64"/>
      <c r="O919" s="64"/>
      <c r="P919" s="64"/>
      <c r="Q919" s="64"/>
      <c r="R919" s="64"/>
      <c r="S919" s="64"/>
      <c r="T919" s="64"/>
      <c r="U919" s="64"/>
      <c r="V919" s="64"/>
      <c r="W919" s="64"/>
      <c r="X919" s="64"/>
      <c r="Y919" s="64"/>
      <c r="Z919" s="64"/>
      <c r="AA919" s="64"/>
      <c r="AB919" s="64"/>
      <c r="AC919" s="64"/>
      <c r="AD919" s="64"/>
      <c r="AE919" s="64"/>
      <c r="AF919" s="64"/>
      <c r="AG919" s="64"/>
    </row>
    <row r="920" spans="1:33">
      <c r="A920" s="64"/>
      <c r="B920" s="64"/>
      <c r="C920" s="64"/>
      <c r="D920" s="64"/>
      <c r="E920" s="70"/>
      <c r="F920" s="70"/>
      <c r="G920" s="64"/>
      <c r="H920" s="64"/>
      <c r="I920" s="64"/>
      <c r="J920" s="64"/>
      <c r="K920" s="64"/>
      <c r="L920" s="64"/>
      <c r="M920" s="64"/>
      <c r="N920" s="64"/>
      <c r="O920" s="64"/>
      <c r="P920" s="64"/>
      <c r="Q920" s="64"/>
      <c r="R920" s="64"/>
      <c r="S920" s="64"/>
      <c r="T920" s="64"/>
      <c r="U920" s="64"/>
      <c r="V920" s="64"/>
      <c r="W920" s="64"/>
      <c r="X920" s="64"/>
      <c r="Y920" s="64"/>
      <c r="Z920" s="64"/>
      <c r="AA920" s="64"/>
      <c r="AB920" s="64"/>
      <c r="AC920" s="64"/>
      <c r="AD920" s="64"/>
      <c r="AE920" s="64"/>
      <c r="AF920" s="64"/>
      <c r="AG920" s="64"/>
    </row>
    <row r="921" spans="1:33">
      <c r="A921" s="64"/>
      <c r="B921" s="64"/>
      <c r="C921" s="64"/>
      <c r="D921" s="64"/>
      <c r="E921" s="70"/>
      <c r="F921" s="70"/>
      <c r="G921" s="64"/>
      <c r="H921" s="64"/>
      <c r="I921" s="64"/>
      <c r="J921" s="64"/>
      <c r="K921" s="64"/>
      <c r="L921" s="64"/>
      <c r="M921" s="64"/>
      <c r="N921" s="64"/>
      <c r="O921" s="64"/>
      <c r="P921" s="64"/>
      <c r="Q921" s="64"/>
      <c r="R921" s="64"/>
      <c r="S921" s="64"/>
      <c r="T921" s="64"/>
      <c r="U921" s="64"/>
      <c r="V921" s="64"/>
      <c r="W921" s="64"/>
      <c r="X921" s="64"/>
      <c r="Y921" s="64"/>
      <c r="Z921" s="64"/>
      <c r="AA921" s="64"/>
      <c r="AB921" s="64"/>
      <c r="AC921" s="64"/>
      <c r="AD921" s="64"/>
      <c r="AE921" s="64"/>
      <c r="AF921" s="64"/>
      <c r="AG921" s="64"/>
    </row>
    <row r="922" spans="1:33">
      <c r="A922" s="64"/>
      <c r="B922" s="64"/>
      <c r="C922" s="64"/>
      <c r="D922" s="64"/>
      <c r="E922" s="70"/>
      <c r="F922" s="70"/>
      <c r="G922" s="64"/>
      <c r="H922" s="64"/>
      <c r="I922" s="64"/>
      <c r="J922" s="64"/>
      <c r="K922" s="64"/>
      <c r="L922" s="64"/>
      <c r="M922" s="64"/>
      <c r="N922" s="64"/>
      <c r="O922" s="64"/>
      <c r="P922" s="64"/>
      <c r="Q922" s="64"/>
      <c r="R922" s="64"/>
      <c r="S922" s="64"/>
      <c r="T922" s="64"/>
      <c r="U922" s="64"/>
      <c r="V922" s="64"/>
      <c r="W922" s="64"/>
      <c r="X922" s="64"/>
      <c r="Y922" s="64"/>
      <c r="Z922" s="64"/>
      <c r="AA922" s="64"/>
      <c r="AB922" s="64"/>
      <c r="AC922" s="64"/>
      <c r="AD922" s="64"/>
      <c r="AE922" s="64"/>
      <c r="AF922" s="64"/>
      <c r="AG922" s="64"/>
    </row>
    <row r="923" spans="1:33">
      <c r="A923" s="64"/>
      <c r="B923" s="64"/>
      <c r="C923" s="64"/>
      <c r="D923" s="64"/>
      <c r="E923" s="70"/>
      <c r="F923" s="70"/>
      <c r="G923" s="64"/>
      <c r="H923" s="64"/>
      <c r="I923" s="64"/>
      <c r="J923" s="64"/>
      <c r="K923" s="64"/>
      <c r="L923" s="64"/>
      <c r="M923" s="64"/>
      <c r="N923" s="64"/>
      <c r="O923" s="64"/>
      <c r="P923" s="64"/>
      <c r="Q923" s="64"/>
      <c r="R923" s="64"/>
      <c r="S923" s="64"/>
      <c r="T923" s="64"/>
      <c r="U923" s="64"/>
      <c r="V923" s="64"/>
      <c r="W923" s="64"/>
      <c r="X923" s="64"/>
      <c r="Y923" s="64"/>
      <c r="Z923" s="64"/>
      <c r="AA923" s="64"/>
      <c r="AB923" s="64"/>
      <c r="AC923" s="64"/>
      <c r="AD923" s="64"/>
      <c r="AE923" s="64"/>
      <c r="AF923" s="64"/>
      <c r="AG923" s="64"/>
    </row>
    <row r="924" spans="1:33">
      <c r="A924" s="64"/>
      <c r="B924" s="64"/>
      <c r="C924" s="64"/>
      <c r="D924" s="64"/>
      <c r="E924" s="70"/>
      <c r="F924" s="70"/>
      <c r="G924" s="64"/>
      <c r="H924" s="64"/>
      <c r="I924" s="64"/>
      <c r="J924" s="64"/>
      <c r="K924" s="64"/>
      <c r="L924" s="64"/>
      <c r="M924" s="64"/>
      <c r="N924" s="64"/>
      <c r="O924" s="64"/>
      <c r="P924" s="64"/>
      <c r="Q924" s="64"/>
      <c r="R924" s="64"/>
      <c r="S924" s="64"/>
      <c r="T924" s="64"/>
      <c r="U924" s="64"/>
      <c r="V924" s="64"/>
      <c r="W924" s="64"/>
      <c r="X924" s="64"/>
      <c r="Y924" s="64"/>
      <c r="Z924" s="64"/>
      <c r="AA924" s="64"/>
      <c r="AB924" s="64"/>
      <c r="AC924" s="64"/>
      <c r="AD924" s="64"/>
      <c r="AE924" s="64"/>
      <c r="AF924" s="64"/>
      <c r="AG924" s="64"/>
    </row>
    <row r="925" spans="1:33">
      <c r="A925" s="64"/>
      <c r="B925" s="64"/>
      <c r="C925" s="64"/>
      <c r="D925" s="64"/>
      <c r="E925" s="70"/>
      <c r="F925" s="70"/>
      <c r="G925" s="64"/>
      <c r="H925" s="64"/>
      <c r="I925" s="64"/>
      <c r="J925" s="64"/>
      <c r="K925" s="64"/>
      <c r="L925" s="64"/>
      <c r="M925" s="64"/>
      <c r="N925" s="64"/>
      <c r="O925" s="64"/>
      <c r="P925" s="64"/>
      <c r="Q925" s="64"/>
      <c r="R925" s="64"/>
      <c r="S925" s="64"/>
      <c r="T925" s="64"/>
      <c r="U925" s="64"/>
      <c r="V925" s="64"/>
      <c r="W925" s="64"/>
      <c r="X925" s="64"/>
      <c r="Y925" s="64"/>
      <c r="Z925" s="64"/>
      <c r="AA925" s="64"/>
      <c r="AB925" s="64"/>
      <c r="AC925" s="64"/>
      <c r="AD925" s="64"/>
      <c r="AE925" s="64"/>
      <c r="AF925" s="64"/>
      <c r="AG925" s="64"/>
    </row>
    <row r="926" spans="1:33">
      <c r="A926" s="64"/>
      <c r="B926" s="64"/>
      <c r="C926" s="64"/>
      <c r="D926" s="64"/>
      <c r="E926" s="70"/>
      <c r="F926" s="70"/>
      <c r="G926" s="64"/>
      <c r="H926" s="64"/>
      <c r="I926" s="64"/>
      <c r="J926" s="64"/>
      <c r="K926" s="64"/>
      <c r="L926" s="64"/>
      <c r="M926" s="64"/>
      <c r="N926" s="64"/>
      <c r="O926" s="64"/>
      <c r="P926" s="64"/>
      <c r="Q926" s="64"/>
      <c r="R926" s="64"/>
      <c r="S926" s="64"/>
      <c r="T926" s="64"/>
      <c r="U926" s="64"/>
      <c r="V926" s="64"/>
      <c r="W926" s="64"/>
      <c r="X926" s="64"/>
      <c r="Y926" s="64"/>
      <c r="Z926" s="64"/>
      <c r="AA926" s="64"/>
      <c r="AB926" s="64"/>
      <c r="AC926" s="64"/>
      <c r="AD926" s="64"/>
      <c r="AE926" s="64"/>
      <c r="AF926" s="64"/>
      <c r="AG926" s="64"/>
    </row>
    <row r="927" spans="1:33">
      <c r="A927" s="64"/>
      <c r="B927" s="64"/>
      <c r="C927" s="64"/>
      <c r="D927" s="64"/>
      <c r="E927" s="70"/>
      <c r="F927" s="70"/>
      <c r="G927" s="64"/>
      <c r="H927" s="64"/>
      <c r="I927" s="64"/>
      <c r="J927" s="64"/>
      <c r="K927" s="64"/>
      <c r="L927" s="64"/>
      <c r="M927" s="64"/>
      <c r="N927" s="64"/>
      <c r="O927" s="64"/>
      <c r="P927" s="64"/>
      <c r="Q927" s="64"/>
      <c r="R927" s="64"/>
      <c r="S927" s="64"/>
      <c r="T927" s="64"/>
      <c r="U927" s="64"/>
      <c r="V927" s="64"/>
      <c r="W927" s="64"/>
      <c r="X927" s="64"/>
      <c r="Y927" s="64"/>
      <c r="Z927" s="64"/>
      <c r="AA927" s="64"/>
      <c r="AB927" s="64"/>
      <c r="AC927" s="64"/>
      <c r="AD927" s="64"/>
      <c r="AE927" s="64"/>
      <c r="AF927" s="64"/>
      <c r="AG927" s="64"/>
    </row>
    <row r="928" spans="1:33">
      <c r="A928" s="64"/>
      <c r="B928" s="64"/>
      <c r="C928" s="64"/>
      <c r="D928" s="64"/>
      <c r="E928" s="70"/>
      <c r="F928" s="70"/>
      <c r="G928" s="64"/>
      <c r="H928" s="64"/>
      <c r="I928" s="64"/>
      <c r="J928" s="64"/>
      <c r="K928" s="64"/>
      <c r="L928" s="64"/>
      <c r="M928" s="64"/>
      <c r="N928" s="64"/>
      <c r="O928" s="64"/>
      <c r="P928" s="64"/>
      <c r="Q928" s="64"/>
      <c r="R928" s="64"/>
      <c r="S928" s="64"/>
      <c r="T928" s="64"/>
      <c r="U928" s="64"/>
      <c r="V928" s="64"/>
      <c r="W928" s="64"/>
      <c r="X928" s="64"/>
      <c r="Y928" s="64"/>
      <c r="Z928" s="64"/>
      <c r="AA928" s="64"/>
      <c r="AB928" s="64"/>
      <c r="AC928" s="64"/>
      <c r="AD928" s="64"/>
      <c r="AE928" s="64"/>
      <c r="AF928" s="64"/>
      <c r="AG928" s="64"/>
    </row>
    <row r="929" spans="1:33">
      <c r="A929" s="64"/>
      <c r="B929" s="64"/>
      <c r="C929" s="64"/>
      <c r="D929" s="64"/>
      <c r="E929" s="70"/>
      <c r="F929" s="70"/>
      <c r="G929" s="64"/>
      <c r="H929" s="64"/>
      <c r="I929" s="64"/>
      <c r="J929" s="64"/>
      <c r="K929" s="64"/>
      <c r="L929" s="64"/>
      <c r="M929" s="64"/>
      <c r="N929" s="64"/>
      <c r="O929" s="64"/>
      <c r="P929" s="64"/>
      <c r="Q929" s="64"/>
      <c r="R929" s="64"/>
      <c r="S929" s="64"/>
      <c r="T929" s="64"/>
      <c r="U929" s="64"/>
      <c r="V929" s="64"/>
      <c r="W929" s="64"/>
      <c r="X929" s="64"/>
      <c r="Y929" s="64"/>
      <c r="Z929" s="64"/>
      <c r="AA929" s="64"/>
      <c r="AB929" s="64"/>
      <c r="AC929" s="64"/>
      <c r="AD929" s="64"/>
      <c r="AE929" s="64"/>
      <c r="AF929" s="64"/>
      <c r="AG929" s="64"/>
    </row>
    <row r="930" spans="1:33">
      <c r="A930" s="64"/>
      <c r="B930" s="64"/>
      <c r="C930" s="64"/>
      <c r="D930" s="64"/>
      <c r="E930" s="70"/>
      <c r="F930" s="70"/>
      <c r="G930" s="64"/>
      <c r="H930" s="64"/>
      <c r="I930" s="64"/>
      <c r="J930" s="64"/>
      <c r="K930" s="64"/>
      <c r="L930" s="64"/>
      <c r="M930" s="64"/>
      <c r="N930" s="64"/>
      <c r="O930" s="64"/>
      <c r="P930" s="64"/>
      <c r="Q930" s="64"/>
      <c r="R930" s="64"/>
      <c r="S930" s="64"/>
      <c r="T930" s="64"/>
      <c r="U930" s="64"/>
      <c r="V930" s="64"/>
      <c r="W930" s="64"/>
      <c r="X930" s="64"/>
      <c r="Y930" s="64"/>
      <c r="Z930" s="64"/>
      <c r="AA930" s="64"/>
      <c r="AB930" s="64"/>
      <c r="AC930" s="64"/>
      <c r="AD930" s="64"/>
      <c r="AE930" s="64"/>
      <c r="AF930" s="64"/>
      <c r="AG930" s="64"/>
    </row>
    <row r="931" spans="1:33">
      <c r="A931" s="64"/>
      <c r="B931" s="64"/>
      <c r="C931" s="64"/>
      <c r="D931" s="64"/>
      <c r="E931" s="70"/>
      <c r="F931" s="70"/>
      <c r="G931" s="64"/>
      <c r="H931" s="64"/>
      <c r="I931" s="64"/>
      <c r="J931" s="64"/>
      <c r="K931" s="64"/>
      <c r="L931" s="64"/>
      <c r="M931" s="64"/>
      <c r="N931" s="64"/>
      <c r="O931" s="64"/>
      <c r="P931" s="64"/>
      <c r="Q931" s="64"/>
      <c r="R931" s="64"/>
      <c r="S931" s="64"/>
      <c r="T931" s="64"/>
      <c r="U931" s="64"/>
      <c r="V931" s="64"/>
      <c r="W931" s="64"/>
      <c r="X931" s="64"/>
      <c r="Y931" s="64"/>
      <c r="Z931" s="64"/>
      <c r="AA931" s="64"/>
      <c r="AB931" s="64"/>
      <c r="AC931" s="64"/>
      <c r="AD931" s="64"/>
      <c r="AE931" s="64"/>
      <c r="AF931" s="64"/>
      <c r="AG931" s="64"/>
    </row>
    <row r="932" spans="1:33">
      <c r="A932" s="64"/>
      <c r="B932" s="64"/>
      <c r="C932" s="64"/>
      <c r="D932" s="64"/>
      <c r="E932" s="70"/>
      <c r="F932" s="70"/>
      <c r="G932" s="64"/>
      <c r="H932" s="64"/>
      <c r="I932" s="64"/>
      <c r="J932" s="64"/>
      <c r="K932" s="64"/>
      <c r="L932" s="64"/>
      <c r="M932" s="64"/>
      <c r="N932" s="64"/>
      <c r="O932" s="64"/>
      <c r="P932" s="64"/>
      <c r="Q932" s="64"/>
      <c r="R932" s="64"/>
      <c r="S932" s="64"/>
      <c r="T932" s="64"/>
      <c r="U932" s="64"/>
      <c r="V932" s="64"/>
      <c r="W932" s="64"/>
      <c r="X932" s="64"/>
      <c r="Y932" s="64"/>
      <c r="Z932" s="64"/>
      <c r="AA932" s="64"/>
      <c r="AB932" s="64"/>
      <c r="AC932" s="64"/>
      <c r="AD932" s="64"/>
      <c r="AE932" s="64"/>
      <c r="AF932" s="64"/>
      <c r="AG932" s="64"/>
    </row>
    <row r="933" spans="1:33">
      <c r="A933" s="64"/>
      <c r="B933" s="64"/>
      <c r="C933" s="64"/>
      <c r="D933" s="64"/>
      <c r="E933" s="70"/>
      <c r="F933" s="70"/>
      <c r="G933" s="64"/>
      <c r="H933" s="64"/>
      <c r="I933" s="64"/>
      <c r="J933" s="64"/>
      <c r="K933" s="64"/>
      <c r="L933" s="64"/>
      <c r="M933" s="64"/>
      <c r="N933" s="64"/>
      <c r="O933" s="64"/>
      <c r="P933" s="64"/>
      <c r="Q933" s="64"/>
      <c r="R933" s="64"/>
      <c r="S933" s="64"/>
      <c r="T933" s="64"/>
      <c r="U933" s="64"/>
      <c r="V933" s="64"/>
      <c r="W933" s="64"/>
      <c r="X933" s="64"/>
      <c r="Y933" s="64"/>
      <c r="Z933" s="64"/>
      <c r="AA933" s="64"/>
      <c r="AB933" s="64"/>
      <c r="AC933" s="64"/>
      <c r="AD933" s="64"/>
      <c r="AE933" s="64"/>
      <c r="AF933" s="64"/>
      <c r="AG933" s="64"/>
    </row>
    <row r="934" spans="1:33">
      <c r="A934" s="64"/>
      <c r="B934" s="64"/>
      <c r="C934" s="64"/>
      <c r="D934" s="64"/>
      <c r="E934" s="70"/>
      <c r="F934" s="70"/>
      <c r="G934" s="64"/>
      <c r="H934" s="64"/>
      <c r="I934" s="64"/>
      <c r="J934" s="64"/>
      <c r="K934" s="64"/>
      <c r="L934" s="64"/>
      <c r="M934" s="64"/>
      <c r="N934" s="64"/>
      <c r="O934" s="64"/>
      <c r="P934" s="64"/>
      <c r="Q934" s="64"/>
      <c r="R934" s="64"/>
      <c r="S934" s="64"/>
      <c r="T934" s="64"/>
      <c r="U934" s="64"/>
      <c r="V934" s="64"/>
      <c r="W934" s="64"/>
      <c r="X934" s="64"/>
      <c r="Y934" s="64"/>
      <c r="Z934" s="64"/>
      <c r="AA934" s="64"/>
      <c r="AB934" s="64"/>
      <c r="AC934" s="64"/>
      <c r="AD934" s="64"/>
      <c r="AE934" s="64"/>
      <c r="AF934" s="64"/>
      <c r="AG934" s="64"/>
    </row>
    <row r="935" spans="1:33">
      <c r="A935" s="64"/>
      <c r="B935" s="64"/>
      <c r="C935" s="64"/>
      <c r="D935" s="64"/>
      <c r="E935" s="70"/>
      <c r="F935" s="70"/>
      <c r="G935" s="64"/>
      <c r="H935" s="64"/>
      <c r="I935" s="64"/>
      <c r="J935" s="64"/>
      <c r="K935" s="64"/>
      <c r="L935" s="64"/>
      <c r="M935" s="64"/>
      <c r="N935" s="64"/>
      <c r="O935" s="64"/>
      <c r="P935" s="64"/>
      <c r="Q935" s="64"/>
      <c r="R935" s="64"/>
      <c r="S935" s="64"/>
      <c r="T935" s="64"/>
      <c r="U935" s="64"/>
      <c r="V935" s="64"/>
      <c r="W935" s="64"/>
      <c r="X935" s="64"/>
      <c r="Y935" s="64"/>
      <c r="Z935" s="64"/>
      <c r="AA935" s="64"/>
      <c r="AB935" s="64"/>
      <c r="AC935" s="64"/>
      <c r="AD935" s="64"/>
      <c r="AE935" s="64"/>
      <c r="AF935" s="64"/>
      <c r="AG935" s="64"/>
    </row>
    <row r="936" spans="1:33">
      <c r="A936" s="64"/>
      <c r="B936" s="64"/>
      <c r="C936" s="64"/>
      <c r="D936" s="64"/>
      <c r="E936" s="70"/>
      <c r="F936" s="70"/>
      <c r="G936" s="64"/>
      <c r="H936" s="64"/>
      <c r="I936" s="64"/>
      <c r="J936" s="64"/>
      <c r="K936" s="64"/>
      <c r="L936" s="64"/>
      <c r="M936" s="64"/>
      <c r="N936" s="64"/>
      <c r="O936" s="64"/>
      <c r="P936" s="64"/>
      <c r="Q936" s="64"/>
      <c r="R936" s="64"/>
      <c r="S936" s="64"/>
      <c r="T936" s="64"/>
      <c r="U936" s="64"/>
      <c r="V936" s="64"/>
      <c r="W936" s="64"/>
      <c r="X936" s="64"/>
      <c r="Y936" s="64"/>
      <c r="Z936" s="64"/>
      <c r="AA936" s="64"/>
      <c r="AB936" s="64"/>
      <c r="AC936" s="64"/>
      <c r="AD936" s="64"/>
      <c r="AE936" s="64"/>
      <c r="AF936" s="64"/>
      <c r="AG936" s="64"/>
    </row>
    <row r="937" spans="1:33">
      <c r="A937" s="64"/>
      <c r="B937" s="64"/>
      <c r="C937" s="64"/>
      <c r="D937" s="64"/>
      <c r="E937" s="70"/>
      <c r="F937" s="70"/>
      <c r="G937" s="64"/>
      <c r="H937" s="64"/>
      <c r="I937" s="64"/>
      <c r="J937" s="64"/>
      <c r="K937" s="64"/>
      <c r="L937" s="64"/>
      <c r="M937" s="64"/>
      <c r="N937" s="64"/>
      <c r="O937" s="64"/>
      <c r="P937" s="64"/>
      <c r="Q937" s="64"/>
      <c r="R937" s="64"/>
      <c r="S937" s="64"/>
      <c r="T937" s="64"/>
      <c r="U937" s="64"/>
      <c r="V937" s="64"/>
      <c r="W937" s="64"/>
      <c r="X937" s="64"/>
      <c r="Y937" s="64"/>
      <c r="Z937" s="64"/>
      <c r="AA937" s="64"/>
      <c r="AB937" s="64"/>
      <c r="AC937" s="64"/>
      <c r="AD937" s="64"/>
      <c r="AE937" s="64"/>
      <c r="AF937" s="64"/>
      <c r="AG937" s="64"/>
    </row>
    <row r="938" spans="1:33">
      <c r="A938" s="64"/>
      <c r="B938" s="64"/>
      <c r="C938" s="64"/>
      <c r="D938" s="64"/>
      <c r="E938" s="70"/>
      <c r="F938" s="70"/>
      <c r="G938" s="64"/>
      <c r="H938" s="64"/>
      <c r="I938" s="64"/>
      <c r="J938" s="64"/>
      <c r="K938" s="64"/>
      <c r="L938" s="64"/>
      <c r="M938" s="64"/>
      <c r="N938" s="64"/>
      <c r="O938" s="64"/>
      <c r="P938" s="64"/>
      <c r="Q938" s="64"/>
      <c r="R938" s="64"/>
      <c r="S938" s="64"/>
      <c r="T938" s="64"/>
      <c r="U938" s="64"/>
      <c r="V938" s="64"/>
      <c r="W938" s="64"/>
      <c r="X938" s="64"/>
      <c r="Y938" s="64"/>
      <c r="Z938" s="64"/>
      <c r="AA938" s="64"/>
      <c r="AB938" s="64"/>
      <c r="AC938" s="64"/>
      <c r="AD938" s="64"/>
      <c r="AE938" s="64"/>
      <c r="AF938" s="64"/>
      <c r="AG938" s="64"/>
    </row>
    <row r="939" spans="1:33">
      <c r="A939" s="64"/>
      <c r="B939" s="64"/>
      <c r="C939" s="64"/>
      <c r="D939" s="64"/>
      <c r="E939" s="70"/>
      <c r="F939" s="70"/>
      <c r="G939" s="64"/>
      <c r="H939" s="64"/>
      <c r="I939" s="64"/>
      <c r="J939" s="64"/>
      <c r="K939" s="64"/>
      <c r="L939" s="64"/>
      <c r="M939" s="64"/>
      <c r="N939" s="64"/>
      <c r="O939" s="64"/>
      <c r="P939" s="64"/>
      <c r="Q939" s="64"/>
      <c r="R939" s="64"/>
      <c r="S939" s="64"/>
      <c r="T939" s="64"/>
      <c r="U939" s="64"/>
      <c r="V939" s="64"/>
      <c r="W939" s="64"/>
      <c r="X939" s="64"/>
      <c r="Y939" s="64"/>
      <c r="Z939" s="64"/>
      <c r="AA939" s="64"/>
      <c r="AB939" s="64"/>
      <c r="AC939" s="64"/>
      <c r="AD939" s="64"/>
      <c r="AE939" s="64"/>
      <c r="AF939" s="64"/>
      <c r="AG939" s="64"/>
    </row>
    <row r="940" spans="1:33">
      <c r="A940" s="64"/>
      <c r="B940" s="64"/>
      <c r="C940" s="64"/>
      <c r="D940" s="64"/>
      <c r="E940" s="70"/>
      <c r="F940" s="70"/>
      <c r="G940" s="64"/>
      <c r="H940" s="64"/>
      <c r="I940" s="64"/>
      <c r="J940" s="64"/>
      <c r="K940" s="64"/>
      <c r="L940" s="64"/>
      <c r="M940" s="64"/>
      <c r="N940" s="64"/>
      <c r="O940" s="64"/>
      <c r="P940" s="64"/>
      <c r="Q940" s="64"/>
      <c r="R940" s="64"/>
      <c r="S940" s="64"/>
      <c r="T940" s="64"/>
      <c r="U940" s="64"/>
      <c r="V940" s="64"/>
      <c r="W940" s="64"/>
      <c r="X940" s="64"/>
      <c r="Y940" s="64"/>
      <c r="Z940" s="64"/>
      <c r="AA940" s="64"/>
      <c r="AB940" s="64"/>
      <c r="AC940" s="64"/>
      <c r="AD940" s="64"/>
      <c r="AE940" s="64"/>
      <c r="AF940" s="64"/>
      <c r="AG940" s="64"/>
    </row>
    <row r="941" spans="1:33">
      <c r="A941" s="64"/>
      <c r="B941" s="64"/>
      <c r="C941" s="64"/>
      <c r="D941" s="64"/>
      <c r="E941" s="70"/>
      <c r="F941" s="70"/>
      <c r="G941" s="64"/>
      <c r="H941" s="64"/>
      <c r="I941" s="64"/>
      <c r="J941" s="64"/>
      <c r="K941" s="64"/>
      <c r="L941" s="64"/>
      <c r="M941" s="64"/>
      <c r="N941" s="64"/>
      <c r="O941" s="64"/>
      <c r="P941" s="64"/>
      <c r="Q941" s="64"/>
      <c r="R941" s="64"/>
      <c r="S941" s="64"/>
      <c r="T941" s="64"/>
      <c r="U941" s="64"/>
      <c r="V941" s="64"/>
      <c r="W941" s="64"/>
      <c r="X941" s="64"/>
      <c r="Y941" s="64"/>
      <c r="Z941" s="64"/>
      <c r="AA941" s="64"/>
      <c r="AB941" s="64"/>
      <c r="AC941" s="64"/>
      <c r="AD941" s="64"/>
      <c r="AE941" s="64"/>
      <c r="AF941" s="64"/>
      <c r="AG941" s="64"/>
    </row>
    <row r="942" spans="1:33">
      <c r="A942" s="64"/>
      <c r="B942" s="64"/>
      <c r="C942" s="64"/>
      <c r="D942" s="64"/>
      <c r="E942" s="70"/>
      <c r="F942" s="70"/>
      <c r="G942" s="64"/>
      <c r="H942" s="64"/>
      <c r="I942" s="64"/>
      <c r="J942" s="64"/>
      <c r="K942" s="64"/>
      <c r="L942" s="64"/>
      <c r="M942" s="64"/>
      <c r="N942" s="64"/>
      <c r="O942" s="64"/>
      <c r="P942" s="64"/>
      <c r="Q942" s="64"/>
      <c r="R942" s="64"/>
      <c r="S942" s="64"/>
      <c r="T942" s="64"/>
      <c r="U942" s="64"/>
      <c r="V942" s="64"/>
      <c r="W942" s="64"/>
      <c r="X942" s="64"/>
      <c r="Y942" s="64"/>
      <c r="Z942" s="64"/>
      <c r="AA942" s="64"/>
      <c r="AB942" s="64"/>
      <c r="AC942" s="64"/>
      <c r="AD942" s="64"/>
      <c r="AE942" s="64"/>
      <c r="AF942" s="64"/>
      <c r="AG942" s="64"/>
    </row>
    <row r="943" spans="1:33">
      <c r="A943" s="64"/>
      <c r="B943" s="64"/>
      <c r="C943" s="64"/>
      <c r="D943" s="64"/>
      <c r="E943" s="70"/>
      <c r="F943" s="70"/>
      <c r="G943" s="64"/>
      <c r="H943" s="64"/>
      <c r="I943" s="64"/>
      <c r="J943" s="64"/>
      <c r="K943" s="64"/>
      <c r="L943" s="64"/>
      <c r="M943" s="64"/>
      <c r="N943" s="64"/>
      <c r="O943" s="64"/>
      <c r="P943" s="64"/>
      <c r="Q943" s="64"/>
      <c r="R943" s="64"/>
      <c r="S943" s="64"/>
      <c r="T943" s="64"/>
      <c r="U943" s="64"/>
      <c r="V943" s="64"/>
      <c r="W943" s="64"/>
      <c r="X943" s="64"/>
      <c r="Y943" s="64"/>
      <c r="Z943" s="64"/>
      <c r="AA943" s="64"/>
      <c r="AB943" s="64"/>
      <c r="AC943" s="64"/>
      <c r="AD943" s="64"/>
      <c r="AE943" s="64"/>
      <c r="AF943" s="64"/>
      <c r="AG943" s="64"/>
    </row>
    <row r="944" spans="1:33">
      <c r="A944" s="64"/>
      <c r="B944" s="64"/>
      <c r="C944" s="64"/>
      <c r="D944" s="64"/>
      <c r="E944" s="70"/>
      <c r="F944" s="70"/>
      <c r="G944" s="64"/>
      <c r="H944" s="64"/>
      <c r="I944" s="64"/>
      <c r="J944" s="64"/>
      <c r="K944" s="64"/>
      <c r="L944" s="64"/>
      <c r="M944" s="64"/>
      <c r="N944" s="64"/>
      <c r="O944" s="64"/>
      <c r="P944" s="64"/>
      <c r="Q944" s="64"/>
      <c r="R944" s="64"/>
      <c r="S944" s="64"/>
      <c r="T944" s="64"/>
      <c r="U944" s="64"/>
      <c r="V944" s="64"/>
      <c r="W944" s="64"/>
      <c r="X944" s="64"/>
      <c r="Y944" s="64"/>
      <c r="Z944" s="64"/>
      <c r="AA944" s="64"/>
      <c r="AB944" s="64"/>
      <c r="AC944" s="64"/>
      <c r="AD944" s="64"/>
      <c r="AE944" s="64"/>
      <c r="AF944" s="64"/>
      <c r="AG944" s="64"/>
    </row>
    <row r="945" spans="1:33">
      <c r="A945" s="64"/>
      <c r="B945" s="64"/>
      <c r="C945" s="64"/>
      <c r="D945" s="64"/>
      <c r="E945" s="70"/>
      <c r="F945" s="70"/>
      <c r="G945" s="64"/>
      <c r="H945" s="64"/>
      <c r="I945" s="64"/>
      <c r="J945" s="64"/>
      <c r="K945" s="64"/>
      <c r="L945" s="64"/>
      <c r="M945" s="64"/>
      <c r="N945" s="64"/>
      <c r="O945" s="64"/>
      <c r="P945" s="64"/>
      <c r="Q945" s="64"/>
      <c r="R945" s="64"/>
      <c r="S945" s="64"/>
      <c r="T945" s="64"/>
      <c r="U945" s="64"/>
      <c r="V945" s="64"/>
      <c r="W945" s="64"/>
      <c r="X945" s="64"/>
      <c r="Y945" s="64"/>
      <c r="Z945" s="64"/>
      <c r="AA945" s="64"/>
      <c r="AB945" s="64"/>
      <c r="AC945" s="64"/>
      <c r="AD945" s="64"/>
      <c r="AE945" s="64"/>
      <c r="AF945" s="64"/>
      <c r="AG945" s="64"/>
    </row>
    <row r="946" spans="1:33">
      <c r="A946" s="64"/>
      <c r="B946" s="64"/>
      <c r="C946" s="64"/>
      <c r="D946" s="64"/>
      <c r="E946" s="70"/>
      <c r="F946" s="70"/>
      <c r="G946" s="64"/>
      <c r="H946" s="64"/>
      <c r="I946" s="64"/>
      <c r="J946" s="64"/>
      <c r="K946" s="64"/>
      <c r="L946" s="64"/>
      <c r="M946" s="64"/>
      <c r="N946" s="64"/>
      <c r="O946" s="64"/>
      <c r="P946" s="64"/>
      <c r="Q946" s="64"/>
      <c r="R946" s="64"/>
      <c r="S946" s="64"/>
      <c r="T946" s="64"/>
      <c r="U946" s="64"/>
      <c r="V946" s="64"/>
      <c r="W946" s="64"/>
      <c r="X946" s="64"/>
      <c r="Y946" s="64"/>
      <c r="Z946" s="64"/>
      <c r="AA946" s="64"/>
      <c r="AB946" s="64"/>
      <c r="AC946" s="64"/>
      <c r="AD946" s="64"/>
      <c r="AE946" s="64"/>
      <c r="AF946" s="64"/>
      <c r="AG946" s="64"/>
    </row>
    <row r="947" spans="1:33">
      <c r="A947" s="64"/>
      <c r="B947" s="64"/>
      <c r="C947" s="64"/>
      <c r="D947" s="64"/>
      <c r="E947" s="70"/>
      <c r="F947" s="70"/>
      <c r="G947" s="64"/>
      <c r="H947" s="64"/>
      <c r="I947" s="64"/>
      <c r="J947" s="64"/>
      <c r="K947" s="64"/>
      <c r="L947" s="64"/>
      <c r="M947" s="64"/>
      <c r="N947" s="64"/>
      <c r="O947" s="64"/>
      <c r="P947" s="64"/>
      <c r="Q947" s="64"/>
      <c r="R947" s="64"/>
      <c r="S947" s="64"/>
      <c r="T947" s="64"/>
      <c r="U947" s="64"/>
      <c r="V947" s="64"/>
      <c r="W947" s="64"/>
      <c r="X947" s="64"/>
      <c r="Y947" s="64"/>
      <c r="Z947" s="64"/>
      <c r="AA947" s="64"/>
      <c r="AB947" s="64"/>
      <c r="AC947" s="64"/>
      <c r="AD947" s="64"/>
      <c r="AE947" s="64"/>
      <c r="AF947" s="64"/>
      <c r="AG947" s="64"/>
    </row>
    <row r="948" spans="1:33">
      <c r="A948" s="64"/>
      <c r="B948" s="64"/>
      <c r="C948" s="64"/>
      <c r="D948" s="64"/>
      <c r="E948" s="70"/>
      <c r="F948" s="70"/>
      <c r="G948" s="64"/>
      <c r="H948" s="64"/>
      <c r="I948" s="64"/>
      <c r="J948" s="64"/>
      <c r="K948" s="64"/>
      <c r="L948" s="64"/>
      <c r="M948" s="64"/>
      <c r="N948" s="64"/>
      <c r="O948" s="64"/>
      <c r="P948" s="64"/>
      <c r="Q948" s="64"/>
      <c r="R948" s="64"/>
      <c r="S948" s="64"/>
      <c r="T948" s="64"/>
      <c r="U948" s="64"/>
      <c r="V948" s="64"/>
      <c r="W948" s="64"/>
      <c r="X948" s="64"/>
      <c r="Y948" s="64"/>
      <c r="Z948" s="64"/>
      <c r="AA948" s="64"/>
      <c r="AB948" s="64"/>
      <c r="AC948" s="64"/>
      <c r="AD948" s="64"/>
      <c r="AE948" s="64"/>
      <c r="AF948" s="64"/>
      <c r="AG948" s="64"/>
    </row>
    <row r="949" spans="1:33">
      <c r="A949" s="64"/>
      <c r="B949" s="64"/>
      <c r="C949" s="64"/>
      <c r="D949" s="64"/>
      <c r="E949" s="70"/>
      <c r="F949" s="70"/>
      <c r="G949" s="64"/>
      <c r="H949" s="64"/>
      <c r="I949" s="64"/>
      <c r="J949" s="64"/>
      <c r="K949" s="64"/>
      <c r="L949" s="64"/>
      <c r="M949" s="64"/>
      <c r="N949" s="64"/>
      <c r="O949" s="64"/>
      <c r="P949" s="64"/>
      <c r="Q949" s="64"/>
      <c r="R949" s="64"/>
      <c r="S949" s="64"/>
      <c r="T949" s="64"/>
      <c r="U949" s="64"/>
      <c r="V949" s="64"/>
      <c r="W949" s="64"/>
      <c r="X949" s="64"/>
      <c r="Y949" s="64"/>
      <c r="Z949" s="64"/>
      <c r="AA949" s="64"/>
      <c r="AB949" s="64"/>
      <c r="AC949" s="64"/>
      <c r="AD949" s="64"/>
      <c r="AE949" s="64"/>
      <c r="AF949" s="64"/>
      <c r="AG949" s="64"/>
    </row>
    <row r="950" spans="1:33">
      <c r="A950" s="64"/>
      <c r="B950" s="64"/>
      <c r="C950" s="64"/>
      <c r="D950" s="64"/>
      <c r="E950" s="70"/>
      <c r="F950" s="70"/>
      <c r="G950" s="64"/>
      <c r="H950" s="64"/>
      <c r="I950" s="64"/>
      <c r="J950" s="64"/>
      <c r="K950" s="64"/>
      <c r="L950" s="64"/>
      <c r="M950" s="64"/>
      <c r="N950" s="64"/>
      <c r="O950" s="64"/>
      <c r="P950" s="64"/>
      <c r="Q950" s="64"/>
      <c r="R950" s="64"/>
      <c r="S950" s="64"/>
      <c r="T950" s="64"/>
      <c r="U950" s="64"/>
      <c r="V950" s="64"/>
      <c r="W950" s="64"/>
      <c r="X950" s="64"/>
      <c r="Y950" s="64"/>
      <c r="Z950" s="64"/>
      <c r="AA950" s="64"/>
      <c r="AB950" s="64"/>
      <c r="AC950" s="64"/>
      <c r="AD950" s="64"/>
      <c r="AE950" s="64"/>
      <c r="AF950" s="64"/>
      <c r="AG950" s="64"/>
    </row>
    <row r="951" spans="1:33">
      <c r="A951" s="64"/>
      <c r="B951" s="64"/>
      <c r="C951" s="64"/>
      <c r="D951" s="64"/>
      <c r="E951" s="70"/>
      <c r="F951" s="70"/>
      <c r="G951" s="64"/>
      <c r="H951" s="64"/>
      <c r="I951" s="64"/>
      <c r="J951" s="64"/>
      <c r="K951" s="64"/>
      <c r="L951" s="64"/>
      <c r="M951" s="64"/>
      <c r="N951" s="64"/>
      <c r="O951" s="64"/>
      <c r="P951" s="64"/>
      <c r="Q951" s="64"/>
      <c r="R951" s="64"/>
      <c r="S951" s="64"/>
      <c r="T951" s="64"/>
      <c r="U951" s="64"/>
      <c r="V951" s="64"/>
      <c r="W951" s="64"/>
      <c r="X951" s="64"/>
      <c r="Y951" s="64"/>
      <c r="Z951" s="64"/>
      <c r="AA951" s="64"/>
      <c r="AB951" s="64"/>
      <c r="AC951" s="64"/>
      <c r="AD951" s="64"/>
      <c r="AE951" s="64"/>
      <c r="AF951" s="64"/>
      <c r="AG951" s="64"/>
    </row>
    <row r="952" spans="1:33">
      <c r="A952" s="64"/>
      <c r="B952" s="64"/>
      <c r="C952" s="64"/>
      <c r="D952" s="64"/>
      <c r="E952" s="70"/>
      <c r="F952" s="70"/>
      <c r="G952" s="64"/>
      <c r="H952" s="64"/>
      <c r="I952" s="64"/>
      <c r="J952" s="64"/>
      <c r="K952" s="64"/>
      <c r="L952" s="64"/>
      <c r="M952" s="64"/>
      <c r="N952" s="64"/>
      <c r="O952" s="64"/>
      <c r="P952" s="64"/>
      <c r="Q952" s="64"/>
      <c r="R952" s="64"/>
      <c r="S952" s="64"/>
      <c r="T952" s="64"/>
      <c r="U952" s="64"/>
      <c r="V952" s="64"/>
      <c r="W952" s="64"/>
      <c r="X952" s="64"/>
      <c r="Y952" s="64"/>
      <c r="Z952" s="64"/>
      <c r="AA952" s="64"/>
      <c r="AB952" s="64"/>
      <c r="AC952" s="64"/>
      <c r="AD952" s="64"/>
      <c r="AE952" s="64"/>
      <c r="AF952" s="64"/>
      <c r="AG952" s="64"/>
    </row>
    <row r="953" spans="1:33">
      <c r="A953" s="64"/>
      <c r="B953" s="64"/>
      <c r="C953" s="64"/>
      <c r="D953" s="64"/>
      <c r="E953" s="70"/>
      <c r="F953" s="70"/>
      <c r="G953" s="64"/>
      <c r="H953" s="64"/>
      <c r="I953" s="64"/>
      <c r="J953" s="64"/>
      <c r="K953" s="64"/>
      <c r="L953" s="64"/>
      <c r="M953" s="64"/>
      <c r="N953" s="64"/>
      <c r="O953" s="64"/>
      <c r="P953" s="64"/>
      <c r="Q953" s="64"/>
      <c r="R953" s="64"/>
      <c r="S953" s="64"/>
      <c r="T953" s="64"/>
      <c r="U953" s="64"/>
      <c r="V953" s="64"/>
      <c r="W953" s="64"/>
      <c r="X953" s="64"/>
      <c r="Y953" s="64"/>
      <c r="Z953" s="64"/>
      <c r="AA953" s="64"/>
      <c r="AB953" s="64"/>
      <c r="AC953" s="64"/>
      <c r="AD953" s="64"/>
      <c r="AE953" s="64"/>
      <c r="AF953" s="64"/>
      <c r="AG953" s="64"/>
    </row>
    <row r="954" spans="1:33">
      <c r="A954" s="64"/>
      <c r="B954" s="64"/>
      <c r="C954" s="64"/>
      <c r="D954" s="64"/>
      <c r="E954" s="70"/>
      <c r="F954" s="70"/>
      <c r="G954" s="64"/>
      <c r="H954" s="64"/>
      <c r="I954" s="64"/>
      <c r="J954" s="64"/>
      <c r="K954" s="64"/>
      <c r="L954" s="64"/>
      <c r="M954" s="64"/>
      <c r="N954" s="64"/>
      <c r="O954" s="64"/>
      <c r="P954" s="64"/>
      <c r="Q954" s="64"/>
      <c r="R954" s="64"/>
      <c r="S954" s="64"/>
      <c r="T954" s="64"/>
      <c r="U954" s="64"/>
      <c r="V954" s="64"/>
      <c r="W954" s="64"/>
      <c r="X954" s="64"/>
      <c r="Y954" s="64"/>
      <c r="Z954" s="64"/>
      <c r="AA954" s="64"/>
      <c r="AB954" s="64"/>
      <c r="AC954" s="64"/>
      <c r="AD954" s="64"/>
      <c r="AE954" s="64"/>
      <c r="AF954" s="64"/>
      <c r="AG954" s="64"/>
    </row>
    <row r="955" spans="1:33">
      <c r="A955" s="64"/>
      <c r="B955" s="64"/>
      <c r="C955" s="64"/>
      <c r="D955" s="64"/>
      <c r="E955" s="70"/>
      <c r="F955" s="70"/>
      <c r="G955" s="64"/>
      <c r="H955" s="64"/>
      <c r="I955" s="64"/>
      <c r="J955" s="64"/>
      <c r="K955" s="64"/>
      <c r="L955" s="64"/>
      <c r="M955" s="64"/>
      <c r="N955" s="64"/>
      <c r="O955" s="64"/>
      <c r="P955" s="64"/>
      <c r="Q955" s="64"/>
      <c r="R955" s="64"/>
      <c r="S955" s="64"/>
      <c r="T955" s="64"/>
      <c r="U955" s="64"/>
      <c r="V955" s="64"/>
      <c r="W955" s="64"/>
      <c r="X955" s="64"/>
      <c r="Y955" s="64"/>
      <c r="Z955" s="64"/>
      <c r="AA955" s="64"/>
      <c r="AB955" s="64"/>
      <c r="AC955" s="64"/>
      <c r="AD955" s="64"/>
      <c r="AE955" s="64"/>
      <c r="AF955" s="64"/>
      <c r="AG955" s="64"/>
    </row>
    <row r="956" spans="1:33">
      <c r="A956" s="64"/>
      <c r="B956" s="64"/>
      <c r="C956" s="64"/>
      <c r="D956" s="64"/>
      <c r="E956" s="70"/>
      <c r="F956" s="70"/>
      <c r="G956" s="64"/>
      <c r="H956" s="64"/>
      <c r="I956" s="64"/>
      <c r="J956" s="64"/>
      <c r="K956" s="64"/>
      <c r="L956" s="64"/>
      <c r="M956" s="64"/>
      <c r="N956" s="64"/>
      <c r="O956" s="64"/>
      <c r="P956" s="64"/>
      <c r="Q956" s="64"/>
      <c r="R956" s="64"/>
      <c r="S956" s="64"/>
      <c r="T956" s="64"/>
      <c r="U956" s="64"/>
      <c r="V956" s="64"/>
      <c r="W956" s="64"/>
      <c r="X956" s="64"/>
      <c r="Y956" s="64"/>
      <c r="Z956" s="64"/>
      <c r="AA956" s="64"/>
      <c r="AB956" s="64"/>
      <c r="AC956" s="64"/>
      <c r="AD956" s="64"/>
      <c r="AE956" s="64"/>
      <c r="AF956" s="64"/>
      <c r="AG956" s="64"/>
    </row>
    <row r="957" spans="1:33">
      <c r="A957" s="64"/>
      <c r="B957" s="64"/>
      <c r="C957" s="64"/>
      <c r="D957" s="64"/>
      <c r="E957" s="70"/>
      <c r="F957" s="70"/>
      <c r="G957" s="64"/>
      <c r="H957" s="64"/>
      <c r="I957" s="64"/>
      <c r="J957" s="64"/>
      <c r="K957" s="64"/>
      <c r="L957" s="64"/>
      <c r="M957" s="64"/>
      <c r="N957" s="64"/>
      <c r="O957" s="64"/>
      <c r="P957" s="64"/>
      <c r="Q957" s="64"/>
      <c r="R957" s="64"/>
      <c r="S957" s="64"/>
      <c r="T957" s="64"/>
      <c r="U957" s="64"/>
      <c r="V957" s="64"/>
      <c r="W957" s="64"/>
      <c r="X957" s="64"/>
      <c r="Y957" s="64"/>
      <c r="Z957" s="64"/>
      <c r="AA957" s="64"/>
      <c r="AB957" s="64"/>
      <c r="AC957" s="64"/>
      <c r="AD957" s="64"/>
      <c r="AE957" s="64"/>
      <c r="AF957" s="64"/>
      <c r="AG957" s="64"/>
    </row>
    <row r="958" spans="1:33">
      <c r="A958" s="64"/>
      <c r="B958" s="64"/>
      <c r="C958" s="64"/>
      <c r="D958" s="64"/>
      <c r="E958" s="70"/>
      <c r="F958" s="70"/>
      <c r="G958" s="64"/>
      <c r="H958" s="64"/>
      <c r="I958" s="64"/>
      <c r="J958" s="64"/>
      <c r="K958" s="64"/>
      <c r="L958" s="64"/>
      <c r="M958" s="64"/>
      <c r="N958" s="64"/>
      <c r="O958" s="64"/>
      <c r="P958" s="64"/>
      <c r="Q958" s="64"/>
      <c r="R958" s="64"/>
      <c r="S958" s="64"/>
      <c r="T958" s="64"/>
      <c r="U958" s="64"/>
      <c r="V958" s="64"/>
      <c r="W958" s="64"/>
      <c r="X958" s="64"/>
      <c r="Y958" s="64"/>
      <c r="Z958" s="64"/>
      <c r="AA958" s="64"/>
      <c r="AB958" s="64"/>
      <c r="AC958" s="64"/>
      <c r="AD958" s="64"/>
      <c r="AE958" s="64"/>
      <c r="AF958" s="64"/>
      <c r="AG958" s="64"/>
    </row>
    <row r="959" spans="1:33">
      <c r="A959" s="64"/>
      <c r="B959" s="64"/>
      <c r="C959" s="64"/>
      <c r="D959" s="64"/>
      <c r="E959" s="70"/>
      <c r="F959" s="70"/>
      <c r="G959" s="64"/>
      <c r="H959" s="64"/>
      <c r="I959" s="64"/>
      <c r="J959" s="64"/>
      <c r="K959" s="64"/>
      <c r="L959" s="64"/>
      <c r="M959" s="64"/>
      <c r="N959" s="64"/>
      <c r="O959" s="64"/>
      <c r="P959" s="64"/>
      <c r="Q959" s="64"/>
      <c r="R959" s="64"/>
      <c r="S959" s="64"/>
      <c r="T959" s="64"/>
      <c r="U959" s="64"/>
      <c r="V959" s="64"/>
      <c r="W959" s="64"/>
      <c r="X959" s="64"/>
      <c r="Y959" s="64"/>
      <c r="Z959" s="64"/>
      <c r="AA959" s="64"/>
      <c r="AB959" s="64"/>
      <c r="AC959" s="64"/>
      <c r="AD959" s="64"/>
      <c r="AE959" s="64"/>
      <c r="AF959" s="64"/>
      <c r="AG959" s="64"/>
    </row>
    <row r="960" spans="1:33">
      <c r="A960" s="64"/>
      <c r="B960" s="64"/>
      <c r="C960" s="64"/>
      <c r="D960" s="64"/>
      <c r="E960" s="70"/>
      <c r="F960" s="70"/>
      <c r="G960" s="64"/>
      <c r="H960" s="64"/>
      <c r="I960" s="64"/>
      <c r="J960" s="64"/>
      <c r="K960" s="64"/>
      <c r="L960" s="64"/>
      <c r="M960" s="64"/>
      <c r="N960" s="64"/>
      <c r="O960" s="64"/>
      <c r="P960" s="64"/>
      <c r="Q960" s="64"/>
      <c r="R960" s="64"/>
      <c r="S960" s="64"/>
      <c r="T960" s="64"/>
      <c r="U960" s="64"/>
      <c r="V960" s="64"/>
      <c r="W960" s="64"/>
      <c r="X960" s="64"/>
      <c r="Y960" s="64"/>
      <c r="Z960" s="64"/>
      <c r="AA960" s="64"/>
      <c r="AB960" s="64"/>
      <c r="AC960" s="64"/>
      <c r="AD960" s="64"/>
      <c r="AE960" s="64"/>
      <c r="AF960" s="64"/>
      <c r="AG960" s="64"/>
    </row>
    <row r="961" spans="1:33">
      <c r="A961" s="64"/>
      <c r="B961" s="64"/>
      <c r="C961" s="64"/>
      <c r="D961" s="64"/>
      <c r="E961" s="70"/>
      <c r="F961" s="70"/>
      <c r="G961" s="64"/>
      <c r="H961" s="64"/>
      <c r="I961" s="64"/>
      <c r="J961" s="64"/>
      <c r="K961" s="64"/>
      <c r="L961" s="64"/>
      <c r="M961" s="64"/>
      <c r="N961" s="64"/>
      <c r="O961" s="64"/>
      <c r="P961" s="64"/>
      <c r="Q961" s="64"/>
      <c r="R961" s="64"/>
      <c r="S961" s="64"/>
      <c r="T961" s="64"/>
      <c r="U961" s="64"/>
      <c r="V961" s="64"/>
      <c r="W961" s="64"/>
      <c r="X961" s="64"/>
      <c r="Y961" s="64"/>
      <c r="Z961" s="64"/>
      <c r="AA961" s="64"/>
      <c r="AB961" s="64"/>
      <c r="AC961" s="64"/>
      <c r="AD961" s="64"/>
      <c r="AE961" s="64"/>
      <c r="AF961" s="64"/>
      <c r="AG961" s="64"/>
    </row>
    <row r="962" spans="1:33">
      <c r="A962" s="64"/>
      <c r="B962" s="64"/>
      <c r="C962" s="64"/>
      <c r="D962" s="64"/>
      <c r="E962" s="70"/>
      <c r="F962" s="70"/>
      <c r="G962" s="64"/>
      <c r="H962" s="64"/>
      <c r="I962" s="64"/>
      <c r="J962" s="64"/>
      <c r="K962" s="64"/>
      <c r="L962" s="64"/>
      <c r="M962" s="64"/>
      <c r="N962" s="64"/>
      <c r="O962" s="64"/>
      <c r="P962" s="64"/>
      <c r="Q962" s="64"/>
      <c r="R962" s="64"/>
      <c r="S962" s="64"/>
      <c r="T962" s="64"/>
      <c r="U962" s="64"/>
      <c r="V962" s="64"/>
      <c r="W962" s="64"/>
      <c r="X962" s="64"/>
      <c r="Y962" s="64"/>
      <c r="Z962" s="64"/>
      <c r="AA962" s="64"/>
      <c r="AB962" s="64"/>
      <c r="AC962" s="64"/>
      <c r="AD962" s="64"/>
      <c r="AE962" s="64"/>
      <c r="AF962" s="64"/>
      <c r="AG962" s="64"/>
    </row>
    <row r="963" spans="1:33">
      <c r="A963" s="64"/>
      <c r="B963" s="64"/>
      <c r="C963" s="64"/>
      <c r="D963" s="64"/>
      <c r="E963" s="70"/>
      <c r="F963" s="70"/>
      <c r="G963" s="64"/>
      <c r="H963" s="64"/>
      <c r="I963" s="64"/>
      <c r="J963" s="64"/>
      <c r="K963" s="64"/>
      <c r="L963" s="64"/>
      <c r="M963" s="64"/>
      <c r="N963" s="64"/>
      <c r="O963" s="64"/>
      <c r="P963" s="64"/>
      <c r="Q963" s="64"/>
      <c r="R963" s="64"/>
      <c r="S963" s="64"/>
      <c r="T963" s="64"/>
      <c r="U963" s="64"/>
      <c r="V963" s="64"/>
      <c r="W963" s="64"/>
      <c r="X963" s="64"/>
      <c r="Y963" s="64"/>
      <c r="Z963" s="64"/>
      <c r="AA963" s="64"/>
      <c r="AB963" s="64"/>
      <c r="AC963" s="64"/>
      <c r="AD963" s="64"/>
      <c r="AE963" s="64"/>
      <c r="AF963" s="64"/>
      <c r="AG963" s="64"/>
    </row>
    <row r="964" spans="1:33">
      <c r="A964" s="64"/>
      <c r="B964" s="64"/>
      <c r="C964" s="64"/>
      <c r="D964" s="64"/>
      <c r="E964" s="70"/>
      <c r="F964" s="70"/>
      <c r="G964" s="64"/>
      <c r="H964" s="64"/>
      <c r="I964" s="64"/>
      <c r="J964" s="64"/>
      <c r="K964" s="64"/>
      <c r="L964" s="64"/>
      <c r="M964" s="64"/>
      <c r="N964" s="64"/>
      <c r="O964" s="64"/>
      <c r="P964" s="64"/>
      <c r="Q964" s="64"/>
      <c r="R964" s="64"/>
      <c r="S964" s="64"/>
      <c r="T964" s="64"/>
      <c r="U964" s="64"/>
      <c r="V964" s="64"/>
      <c r="W964" s="64"/>
      <c r="X964" s="64"/>
      <c r="Y964" s="64"/>
      <c r="Z964" s="64"/>
      <c r="AA964" s="64"/>
      <c r="AB964" s="64"/>
      <c r="AC964" s="64"/>
      <c r="AD964" s="64"/>
      <c r="AE964" s="64"/>
      <c r="AF964" s="64"/>
      <c r="AG964" s="64"/>
    </row>
    <row r="965" spans="1:33">
      <c r="A965" s="64"/>
      <c r="B965" s="64"/>
      <c r="C965" s="64"/>
      <c r="D965" s="64"/>
      <c r="E965" s="70"/>
      <c r="F965" s="70"/>
      <c r="G965" s="64"/>
      <c r="H965" s="64"/>
      <c r="I965" s="64"/>
      <c r="J965" s="64"/>
      <c r="K965" s="64"/>
      <c r="L965" s="64"/>
      <c r="M965" s="64"/>
      <c r="N965" s="64"/>
      <c r="O965" s="64"/>
      <c r="P965" s="64"/>
      <c r="Q965" s="64"/>
      <c r="R965" s="64"/>
      <c r="S965" s="64"/>
      <c r="T965" s="64"/>
      <c r="U965" s="64"/>
      <c r="V965" s="64"/>
      <c r="W965" s="64"/>
      <c r="X965" s="64"/>
      <c r="Y965" s="64"/>
      <c r="Z965" s="64"/>
      <c r="AA965" s="64"/>
      <c r="AB965" s="64"/>
      <c r="AC965" s="64"/>
      <c r="AD965" s="64"/>
      <c r="AE965" s="64"/>
      <c r="AF965" s="64"/>
      <c r="AG965" s="64"/>
    </row>
    <row r="966" spans="1:33">
      <c r="A966" s="64"/>
      <c r="B966" s="64"/>
      <c r="C966" s="64"/>
      <c r="D966" s="64"/>
      <c r="E966" s="70"/>
      <c r="F966" s="70"/>
      <c r="G966" s="64"/>
      <c r="H966" s="64"/>
      <c r="I966" s="64"/>
      <c r="J966" s="64"/>
      <c r="K966" s="64"/>
      <c r="L966" s="64"/>
      <c r="M966" s="64"/>
      <c r="N966" s="64"/>
      <c r="O966" s="64"/>
      <c r="P966" s="64"/>
      <c r="Q966" s="64"/>
      <c r="R966" s="64"/>
      <c r="S966" s="64"/>
      <c r="T966" s="64"/>
      <c r="U966" s="64"/>
      <c r="V966" s="64"/>
      <c r="W966" s="64"/>
      <c r="X966" s="64"/>
      <c r="Y966" s="64"/>
      <c r="Z966" s="64"/>
      <c r="AA966" s="64"/>
      <c r="AB966" s="64"/>
      <c r="AC966" s="64"/>
      <c r="AD966" s="64"/>
      <c r="AE966" s="64"/>
      <c r="AF966" s="64"/>
      <c r="AG966" s="64"/>
    </row>
    <row r="967" spans="1:33">
      <c r="A967" s="64"/>
      <c r="B967" s="64"/>
      <c r="C967" s="64"/>
      <c r="D967" s="64"/>
      <c r="E967" s="70"/>
      <c r="F967" s="70"/>
      <c r="G967" s="64"/>
      <c r="H967" s="64"/>
      <c r="I967" s="64"/>
      <c r="J967" s="64"/>
      <c r="K967" s="64"/>
      <c r="L967" s="64"/>
      <c r="M967" s="64"/>
      <c r="N967" s="64"/>
      <c r="O967" s="64"/>
      <c r="P967" s="64"/>
      <c r="Q967" s="64"/>
      <c r="R967" s="64"/>
      <c r="S967" s="64"/>
      <c r="T967" s="64"/>
      <c r="U967" s="64"/>
      <c r="V967" s="64"/>
      <c r="W967" s="64"/>
      <c r="X967" s="64"/>
      <c r="Y967" s="64"/>
      <c r="Z967" s="64"/>
      <c r="AA967" s="64"/>
      <c r="AB967" s="64"/>
      <c r="AC967" s="64"/>
      <c r="AD967" s="64"/>
      <c r="AE967" s="64"/>
      <c r="AF967" s="64"/>
      <c r="AG967" s="64"/>
    </row>
    <row r="968" spans="1:33">
      <c r="A968" s="64"/>
      <c r="B968" s="64"/>
      <c r="C968" s="64"/>
      <c r="D968" s="64"/>
      <c r="E968" s="70"/>
      <c r="F968" s="70"/>
      <c r="G968" s="64"/>
      <c r="H968" s="64"/>
      <c r="I968" s="64"/>
      <c r="J968" s="64"/>
      <c r="K968" s="64"/>
      <c r="L968" s="64"/>
      <c r="M968" s="64"/>
      <c r="N968" s="64"/>
      <c r="O968" s="64"/>
      <c r="P968" s="64"/>
      <c r="Q968" s="64"/>
      <c r="R968" s="64"/>
      <c r="S968" s="64"/>
      <c r="T968" s="64"/>
      <c r="U968" s="64"/>
      <c r="V968" s="64"/>
      <c r="W968" s="64"/>
      <c r="X968" s="64"/>
      <c r="Y968" s="64"/>
      <c r="Z968" s="64"/>
      <c r="AA968" s="64"/>
      <c r="AB968" s="64"/>
      <c r="AC968" s="64"/>
      <c r="AD968" s="64"/>
      <c r="AE968" s="64"/>
      <c r="AF968" s="64"/>
      <c r="AG968" s="64"/>
    </row>
    <row r="969" spans="1:33">
      <c r="A969" s="64"/>
      <c r="B969" s="64"/>
      <c r="C969" s="64"/>
      <c r="D969" s="64"/>
      <c r="E969" s="70"/>
      <c r="F969" s="70"/>
      <c r="G969" s="64"/>
      <c r="H969" s="64"/>
      <c r="I969" s="64"/>
      <c r="J969" s="64"/>
      <c r="K969" s="64"/>
      <c r="L969" s="64"/>
      <c r="M969" s="64"/>
      <c r="N969" s="64"/>
      <c r="O969" s="64"/>
      <c r="P969" s="64"/>
      <c r="Q969" s="64"/>
      <c r="R969" s="64"/>
      <c r="S969" s="64"/>
      <c r="T969" s="64"/>
      <c r="U969" s="64"/>
      <c r="V969" s="64"/>
      <c r="W969" s="64"/>
      <c r="X969" s="64"/>
      <c r="Y969" s="64"/>
      <c r="Z969" s="64"/>
      <c r="AA969" s="64"/>
      <c r="AB969" s="64"/>
      <c r="AC969" s="64"/>
      <c r="AD969" s="64"/>
      <c r="AE969" s="64"/>
      <c r="AF969" s="64"/>
      <c r="AG969" s="64"/>
    </row>
    <row r="970" spans="1:33">
      <c r="A970" s="64"/>
      <c r="B970" s="64"/>
      <c r="C970" s="64"/>
      <c r="D970" s="64"/>
      <c r="E970" s="70"/>
      <c r="F970" s="70"/>
      <c r="G970" s="64"/>
      <c r="H970" s="64"/>
      <c r="I970" s="64"/>
      <c r="J970" s="64"/>
      <c r="K970" s="64"/>
      <c r="L970" s="64"/>
      <c r="M970" s="64"/>
      <c r="N970" s="64"/>
      <c r="O970" s="64"/>
      <c r="P970" s="64"/>
      <c r="Q970" s="64"/>
      <c r="R970" s="64"/>
      <c r="S970" s="64"/>
      <c r="T970" s="64"/>
      <c r="U970" s="64"/>
      <c r="V970" s="64"/>
      <c r="W970" s="64"/>
      <c r="X970" s="64"/>
      <c r="Y970" s="64"/>
      <c r="Z970" s="64"/>
      <c r="AA970" s="64"/>
      <c r="AB970" s="64"/>
      <c r="AC970" s="64"/>
      <c r="AD970" s="64"/>
      <c r="AE970" s="64"/>
      <c r="AF970" s="64"/>
      <c r="AG970" s="64"/>
    </row>
    <row r="971" spans="1:33">
      <c r="A971" s="64"/>
      <c r="B971" s="64"/>
      <c r="C971" s="64"/>
      <c r="D971" s="64"/>
      <c r="E971" s="70"/>
      <c r="F971" s="70"/>
      <c r="G971" s="64"/>
      <c r="H971" s="64"/>
      <c r="I971" s="64"/>
      <c r="J971" s="64"/>
      <c r="K971" s="64"/>
      <c r="L971" s="64"/>
      <c r="M971" s="64"/>
      <c r="N971" s="64"/>
      <c r="O971" s="64"/>
      <c r="P971" s="64"/>
      <c r="Q971" s="64"/>
      <c r="R971" s="64"/>
      <c r="S971" s="64"/>
      <c r="T971" s="64"/>
      <c r="U971" s="64"/>
      <c r="V971" s="64"/>
      <c r="W971" s="64"/>
      <c r="X971" s="64"/>
      <c r="Y971" s="64"/>
      <c r="Z971" s="64"/>
      <c r="AA971" s="64"/>
      <c r="AB971" s="64"/>
      <c r="AC971" s="64"/>
      <c r="AD971" s="64"/>
      <c r="AE971" s="64"/>
      <c r="AF971" s="64"/>
      <c r="AG971" s="64"/>
    </row>
    <row r="972" spans="1:33">
      <c r="A972" s="64"/>
      <c r="B972" s="64"/>
      <c r="C972" s="64"/>
      <c r="D972" s="64"/>
      <c r="E972" s="70"/>
      <c r="F972" s="70"/>
      <c r="G972" s="64"/>
      <c r="H972" s="64"/>
      <c r="I972" s="64"/>
      <c r="J972" s="64"/>
      <c r="K972" s="64"/>
      <c r="L972" s="64"/>
      <c r="M972" s="64"/>
      <c r="N972" s="64"/>
      <c r="O972" s="64"/>
      <c r="P972" s="64"/>
      <c r="Q972" s="64"/>
      <c r="R972" s="64"/>
      <c r="S972" s="64"/>
      <c r="T972" s="64"/>
      <c r="U972" s="64"/>
      <c r="V972" s="64"/>
      <c r="W972" s="64"/>
      <c r="X972" s="64"/>
      <c r="Y972" s="64"/>
      <c r="Z972" s="64"/>
      <c r="AA972" s="64"/>
      <c r="AB972" s="64"/>
      <c r="AC972" s="64"/>
      <c r="AD972" s="64"/>
      <c r="AE972" s="64"/>
      <c r="AF972" s="64"/>
      <c r="AG972" s="64"/>
    </row>
    <row r="973" spans="1:33">
      <c r="A973" s="64"/>
      <c r="B973" s="64"/>
      <c r="C973" s="64"/>
      <c r="D973" s="64"/>
      <c r="E973" s="70"/>
      <c r="F973" s="70"/>
      <c r="G973" s="64"/>
      <c r="H973" s="64"/>
      <c r="I973" s="64"/>
      <c r="J973" s="64"/>
      <c r="K973" s="64"/>
      <c r="L973" s="64"/>
      <c r="M973" s="64"/>
      <c r="N973" s="64"/>
      <c r="O973" s="64"/>
      <c r="P973" s="64"/>
      <c r="Q973" s="64"/>
      <c r="R973" s="64"/>
      <c r="S973" s="64"/>
      <c r="T973" s="64"/>
      <c r="U973" s="64"/>
      <c r="V973" s="64"/>
      <c r="W973" s="64"/>
      <c r="X973" s="64"/>
      <c r="Y973" s="64"/>
      <c r="Z973" s="64"/>
      <c r="AA973" s="64"/>
      <c r="AB973" s="64"/>
      <c r="AC973" s="64"/>
      <c r="AD973" s="64"/>
      <c r="AE973" s="64"/>
      <c r="AF973" s="64"/>
      <c r="AG973" s="64"/>
    </row>
    <row r="974" spans="1:33">
      <c r="A974" s="64"/>
      <c r="B974" s="64"/>
      <c r="C974" s="64"/>
      <c r="D974" s="64"/>
      <c r="E974" s="70"/>
      <c r="F974" s="70"/>
      <c r="G974" s="64"/>
      <c r="H974" s="64"/>
      <c r="I974" s="64"/>
      <c r="J974" s="64"/>
      <c r="K974" s="64"/>
      <c r="L974" s="64"/>
      <c r="M974" s="64"/>
      <c r="N974" s="64"/>
      <c r="O974" s="64"/>
      <c r="P974" s="64"/>
      <c r="Q974" s="64"/>
      <c r="R974" s="64"/>
      <c r="S974" s="64"/>
      <c r="T974" s="64"/>
      <c r="U974" s="64"/>
      <c r="V974" s="64"/>
      <c r="W974" s="64"/>
      <c r="X974" s="64"/>
      <c r="Y974" s="64"/>
      <c r="Z974" s="64"/>
      <c r="AA974" s="64"/>
      <c r="AB974" s="64"/>
      <c r="AC974" s="64"/>
      <c r="AD974" s="64"/>
      <c r="AE974" s="64"/>
      <c r="AF974" s="64"/>
      <c r="AG974" s="64"/>
    </row>
    <row r="975" spans="1:33">
      <c r="A975" s="64"/>
      <c r="B975" s="64"/>
      <c r="C975" s="64"/>
      <c r="D975" s="64"/>
      <c r="E975" s="70"/>
      <c r="F975" s="70"/>
      <c r="G975" s="64"/>
      <c r="H975" s="64"/>
      <c r="I975" s="64"/>
      <c r="J975" s="64"/>
      <c r="K975" s="64"/>
      <c r="L975" s="64"/>
      <c r="M975" s="64"/>
      <c r="N975" s="64"/>
      <c r="O975" s="64"/>
      <c r="P975" s="64"/>
      <c r="Q975" s="64"/>
      <c r="R975" s="64"/>
      <c r="S975" s="64"/>
      <c r="T975" s="64"/>
      <c r="U975" s="64"/>
      <c r="V975" s="64"/>
      <c r="W975" s="64"/>
      <c r="X975" s="64"/>
      <c r="Y975" s="64"/>
      <c r="Z975" s="64"/>
      <c r="AA975" s="64"/>
      <c r="AB975" s="64"/>
      <c r="AC975" s="64"/>
      <c r="AD975" s="64"/>
      <c r="AE975" s="64"/>
      <c r="AF975" s="64"/>
      <c r="AG975" s="64"/>
    </row>
    <row r="976" spans="1:33">
      <c r="A976" s="64"/>
      <c r="B976" s="64"/>
      <c r="C976" s="64"/>
      <c r="D976" s="64"/>
      <c r="E976" s="70"/>
      <c r="F976" s="70"/>
      <c r="G976" s="64"/>
      <c r="H976" s="64"/>
      <c r="I976" s="64"/>
      <c r="J976" s="64"/>
      <c r="K976" s="64"/>
      <c r="L976" s="64"/>
      <c r="M976" s="64"/>
      <c r="N976" s="64"/>
      <c r="O976" s="64"/>
      <c r="P976" s="64"/>
      <c r="Q976" s="64"/>
      <c r="R976" s="64"/>
      <c r="S976" s="64"/>
      <c r="T976" s="64"/>
      <c r="U976" s="64"/>
      <c r="V976" s="64"/>
      <c r="W976" s="64"/>
      <c r="X976" s="64"/>
      <c r="Y976" s="64"/>
      <c r="Z976" s="64"/>
      <c r="AA976" s="64"/>
      <c r="AB976" s="64"/>
      <c r="AC976" s="64"/>
      <c r="AD976" s="64"/>
      <c r="AE976" s="64"/>
      <c r="AF976" s="64"/>
      <c r="AG976" s="64"/>
    </row>
    <row r="977" spans="1:33">
      <c r="A977" s="64"/>
      <c r="B977" s="64"/>
      <c r="C977" s="64"/>
      <c r="D977" s="64"/>
      <c r="E977" s="70"/>
      <c r="F977" s="70"/>
      <c r="G977" s="64"/>
      <c r="H977" s="64"/>
      <c r="I977" s="64"/>
      <c r="J977" s="64"/>
      <c r="K977" s="64"/>
      <c r="L977" s="64"/>
      <c r="M977" s="64"/>
      <c r="N977" s="64"/>
      <c r="O977" s="64"/>
      <c r="P977" s="64"/>
      <c r="Q977" s="64"/>
      <c r="R977" s="64"/>
      <c r="S977" s="64"/>
      <c r="T977" s="64"/>
      <c r="U977" s="64"/>
      <c r="V977" s="64"/>
      <c r="W977" s="64"/>
      <c r="X977" s="64"/>
      <c r="Y977" s="64"/>
      <c r="Z977" s="64"/>
      <c r="AA977" s="64"/>
      <c r="AB977" s="64"/>
      <c r="AC977" s="64"/>
      <c r="AD977" s="64"/>
      <c r="AE977" s="64"/>
      <c r="AF977" s="64"/>
      <c r="AG977" s="64"/>
    </row>
    <row r="978" spans="1:33">
      <c r="A978" s="64"/>
      <c r="B978" s="64"/>
      <c r="C978" s="64"/>
      <c r="D978" s="64"/>
      <c r="E978" s="70"/>
      <c r="F978" s="70"/>
      <c r="G978" s="64"/>
      <c r="H978" s="64"/>
      <c r="I978" s="64"/>
      <c r="J978" s="64"/>
      <c r="K978" s="64"/>
      <c r="L978" s="64"/>
      <c r="M978" s="64"/>
      <c r="N978" s="64"/>
      <c r="O978" s="64"/>
      <c r="P978" s="64"/>
      <c r="Q978" s="64"/>
      <c r="R978" s="64"/>
      <c r="S978" s="64"/>
      <c r="T978" s="64"/>
      <c r="U978" s="64"/>
      <c r="V978" s="64"/>
      <c r="W978" s="64"/>
      <c r="X978" s="64"/>
      <c r="Y978" s="64"/>
      <c r="Z978" s="64"/>
      <c r="AA978" s="64"/>
      <c r="AB978" s="64"/>
      <c r="AC978" s="64"/>
      <c r="AD978" s="64"/>
      <c r="AE978" s="64"/>
      <c r="AF978" s="64"/>
      <c r="AG978" s="64"/>
    </row>
    <row r="979" spans="1:33">
      <c r="A979" s="64"/>
      <c r="B979" s="64"/>
      <c r="C979" s="64"/>
      <c r="D979" s="64"/>
      <c r="E979" s="70"/>
      <c r="F979" s="70"/>
      <c r="G979" s="64"/>
      <c r="H979" s="64"/>
      <c r="I979" s="64"/>
      <c r="J979" s="64"/>
      <c r="K979" s="64"/>
      <c r="L979" s="64"/>
      <c r="M979" s="64"/>
      <c r="N979" s="64"/>
      <c r="O979" s="64"/>
      <c r="P979" s="64"/>
      <c r="Q979" s="64"/>
      <c r="R979" s="64"/>
      <c r="S979" s="64"/>
      <c r="T979" s="64"/>
      <c r="U979" s="64"/>
      <c r="V979" s="64"/>
      <c r="W979" s="64"/>
      <c r="X979" s="64"/>
      <c r="Y979" s="64"/>
      <c r="Z979" s="64"/>
      <c r="AA979" s="64"/>
      <c r="AB979" s="64"/>
      <c r="AC979" s="64"/>
      <c r="AD979" s="64"/>
      <c r="AE979" s="64"/>
      <c r="AF979" s="64"/>
      <c r="AG979" s="64"/>
    </row>
    <row r="980" spans="1:33">
      <c r="A980" s="64"/>
      <c r="B980" s="64"/>
      <c r="C980" s="64"/>
      <c r="D980" s="64"/>
      <c r="E980" s="70"/>
      <c r="F980" s="70"/>
      <c r="G980" s="64"/>
      <c r="H980" s="64"/>
      <c r="I980" s="64"/>
      <c r="J980" s="64"/>
      <c r="K980" s="64"/>
      <c r="L980" s="64"/>
      <c r="M980" s="64"/>
      <c r="N980" s="64"/>
      <c r="O980" s="64"/>
      <c r="P980" s="64"/>
      <c r="Q980" s="64"/>
      <c r="R980" s="64"/>
      <c r="S980" s="64"/>
      <c r="T980" s="64"/>
      <c r="U980" s="64"/>
      <c r="V980" s="64"/>
      <c r="W980" s="64"/>
      <c r="X980" s="64"/>
      <c r="Y980" s="64"/>
      <c r="Z980" s="64"/>
      <c r="AA980" s="64"/>
      <c r="AB980" s="64"/>
      <c r="AC980" s="64"/>
      <c r="AD980" s="64"/>
      <c r="AE980" s="64"/>
      <c r="AF980" s="64"/>
      <c r="AG980" s="64"/>
    </row>
    <row r="981" spans="1:33">
      <c r="A981" s="64"/>
      <c r="B981" s="64"/>
      <c r="C981" s="64"/>
      <c r="D981" s="64"/>
      <c r="E981" s="70"/>
      <c r="F981" s="70"/>
      <c r="G981" s="64"/>
      <c r="H981" s="64"/>
      <c r="I981" s="64"/>
      <c r="J981" s="64"/>
      <c r="K981" s="64"/>
      <c r="L981" s="64"/>
      <c r="M981" s="64"/>
      <c r="N981" s="64"/>
      <c r="O981" s="64"/>
      <c r="P981" s="64"/>
      <c r="Q981" s="64"/>
      <c r="R981" s="64"/>
      <c r="S981" s="64"/>
      <c r="T981" s="64"/>
      <c r="U981" s="64"/>
      <c r="V981" s="64"/>
      <c r="W981" s="64"/>
      <c r="X981" s="64"/>
      <c r="Y981" s="64"/>
      <c r="Z981" s="64"/>
      <c r="AA981" s="64"/>
      <c r="AB981" s="64"/>
      <c r="AC981" s="64"/>
      <c r="AD981" s="64"/>
      <c r="AE981" s="64"/>
      <c r="AF981" s="64"/>
      <c r="AG981" s="64"/>
    </row>
    <row r="982" spans="1:33">
      <c r="A982" s="64"/>
      <c r="B982" s="64"/>
      <c r="C982" s="64"/>
      <c r="D982" s="64"/>
      <c r="E982" s="70"/>
      <c r="F982" s="70"/>
      <c r="G982" s="64"/>
      <c r="H982" s="64"/>
      <c r="I982" s="64"/>
      <c r="J982" s="64"/>
      <c r="K982" s="64"/>
      <c r="L982" s="64"/>
      <c r="M982" s="64"/>
      <c r="N982" s="64"/>
      <c r="O982" s="64"/>
      <c r="P982" s="64"/>
      <c r="Q982" s="64"/>
      <c r="R982" s="64"/>
      <c r="S982" s="64"/>
      <c r="T982" s="64"/>
      <c r="U982" s="64"/>
      <c r="V982" s="64"/>
      <c r="W982" s="64"/>
      <c r="X982" s="64"/>
      <c r="Y982" s="64"/>
      <c r="Z982" s="64"/>
      <c r="AA982" s="64"/>
      <c r="AB982" s="64"/>
      <c r="AC982" s="64"/>
      <c r="AD982" s="64"/>
      <c r="AE982" s="64"/>
      <c r="AF982" s="64"/>
      <c r="AG982" s="64"/>
    </row>
    <row r="983" spans="1:33">
      <c r="A983" s="64"/>
      <c r="B983" s="64"/>
      <c r="C983" s="64"/>
      <c r="D983" s="64"/>
      <c r="E983" s="70"/>
      <c r="F983" s="70"/>
      <c r="G983" s="64"/>
      <c r="H983" s="64"/>
      <c r="I983" s="64"/>
      <c r="J983" s="64"/>
      <c r="K983" s="64"/>
      <c r="L983" s="64"/>
      <c r="M983" s="64"/>
      <c r="N983" s="64"/>
      <c r="O983" s="64"/>
      <c r="P983" s="64"/>
      <c r="Q983" s="64"/>
      <c r="R983" s="64"/>
      <c r="S983" s="64"/>
      <c r="T983" s="64"/>
      <c r="U983" s="64"/>
      <c r="V983" s="64"/>
      <c r="W983" s="64"/>
      <c r="X983" s="64"/>
      <c r="Y983" s="64"/>
      <c r="Z983" s="64"/>
      <c r="AA983" s="64"/>
      <c r="AB983" s="64"/>
      <c r="AC983" s="64"/>
      <c r="AD983" s="64"/>
      <c r="AE983" s="64"/>
      <c r="AF983" s="64"/>
      <c r="AG983" s="64"/>
    </row>
    <row r="984" spans="1:33">
      <c r="A984" s="64"/>
      <c r="B984" s="64"/>
      <c r="C984" s="64"/>
      <c r="D984" s="64"/>
      <c r="E984" s="70"/>
      <c r="F984" s="70"/>
      <c r="G984" s="64"/>
      <c r="H984" s="64"/>
      <c r="I984" s="64"/>
      <c r="J984" s="64"/>
      <c r="K984" s="64"/>
      <c r="L984" s="64"/>
      <c r="M984" s="64"/>
      <c r="N984" s="64"/>
      <c r="O984" s="64"/>
      <c r="P984" s="64"/>
      <c r="Q984" s="64"/>
      <c r="R984" s="64"/>
      <c r="S984" s="64"/>
      <c r="T984" s="64"/>
      <c r="U984" s="64"/>
      <c r="V984" s="64"/>
      <c r="W984" s="64"/>
      <c r="X984" s="64"/>
      <c r="Y984" s="64"/>
      <c r="Z984" s="64"/>
      <c r="AA984" s="64"/>
      <c r="AB984" s="64"/>
      <c r="AC984" s="64"/>
      <c r="AD984" s="64"/>
      <c r="AE984" s="64"/>
      <c r="AF984" s="64"/>
      <c r="AG984" s="64"/>
    </row>
    <row r="985" spans="1:33">
      <c r="A985" s="64"/>
      <c r="B985" s="64"/>
      <c r="C985" s="64"/>
      <c r="D985" s="64"/>
      <c r="E985" s="70"/>
      <c r="F985" s="70"/>
      <c r="G985" s="64"/>
      <c r="H985" s="64"/>
      <c r="I985" s="64"/>
      <c r="J985" s="64"/>
      <c r="K985" s="64"/>
      <c r="L985" s="64"/>
      <c r="M985" s="64"/>
      <c r="N985" s="64"/>
      <c r="O985" s="64"/>
      <c r="P985" s="64"/>
      <c r="Q985" s="64"/>
      <c r="R985" s="64"/>
      <c r="S985" s="64"/>
      <c r="T985" s="64"/>
      <c r="U985" s="64"/>
      <c r="V985" s="64"/>
      <c r="W985" s="64"/>
      <c r="X985" s="64"/>
      <c r="Y985" s="64"/>
      <c r="Z985" s="64"/>
      <c r="AA985" s="64"/>
      <c r="AB985" s="64"/>
      <c r="AC985" s="64"/>
      <c r="AD985" s="64"/>
      <c r="AE985" s="64"/>
      <c r="AF985" s="64"/>
      <c r="AG985" s="64"/>
    </row>
    <row r="986" spans="1:33">
      <c r="A986" s="64"/>
      <c r="B986" s="64"/>
      <c r="C986" s="64"/>
      <c r="D986" s="64"/>
      <c r="E986" s="70"/>
      <c r="F986" s="70"/>
      <c r="G986" s="64"/>
      <c r="H986" s="64"/>
      <c r="I986" s="64"/>
      <c r="J986" s="64"/>
      <c r="K986" s="64"/>
      <c r="L986" s="64"/>
      <c r="M986" s="64"/>
      <c r="N986" s="64"/>
      <c r="O986" s="64"/>
      <c r="P986" s="64"/>
      <c r="Q986" s="64"/>
      <c r="R986" s="64"/>
      <c r="S986" s="64"/>
      <c r="T986" s="64"/>
      <c r="U986" s="64"/>
      <c r="V986" s="64"/>
      <c r="W986" s="64"/>
      <c r="X986" s="64"/>
      <c r="Y986" s="64"/>
      <c r="Z986" s="64"/>
      <c r="AA986" s="64"/>
      <c r="AB986" s="64"/>
      <c r="AC986" s="64"/>
      <c r="AD986" s="64"/>
      <c r="AE986" s="64"/>
      <c r="AF986" s="64"/>
      <c r="AG986" s="64"/>
    </row>
    <row r="987" spans="1:33">
      <c r="A987" s="64"/>
      <c r="B987" s="64"/>
      <c r="C987" s="64"/>
      <c r="D987" s="64"/>
      <c r="E987" s="70"/>
      <c r="F987" s="70"/>
      <c r="G987" s="64"/>
      <c r="H987" s="64"/>
      <c r="I987" s="64"/>
      <c r="J987" s="64"/>
      <c r="K987" s="64"/>
      <c r="L987" s="64"/>
      <c r="M987" s="64"/>
      <c r="N987" s="64"/>
      <c r="O987" s="64"/>
      <c r="P987" s="64"/>
      <c r="Q987" s="64"/>
      <c r="R987" s="64"/>
      <c r="S987" s="64"/>
      <c r="T987" s="64"/>
      <c r="U987" s="64"/>
      <c r="V987" s="64"/>
      <c r="W987" s="64"/>
      <c r="X987" s="64"/>
      <c r="Y987" s="64"/>
      <c r="Z987" s="64"/>
      <c r="AA987" s="64"/>
      <c r="AB987" s="64"/>
      <c r="AC987" s="64"/>
      <c r="AD987" s="64"/>
      <c r="AE987" s="64"/>
      <c r="AF987" s="64"/>
      <c r="AG987" s="64"/>
    </row>
    <row r="988" spans="1:33">
      <c r="A988" s="64"/>
      <c r="B988" s="64"/>
      <c r="C988" s="64"/>
      <c r="D988" s="64"/>
      <c r="E988" s="70"/>
      <c r="F988" s="70"/>
      <c r="G988" s="64"/>
      <c r="H988" s="64"/>
      <c r="I988" s="64"/>
      <c r="J988" s="64"/>
      <c r="K988" s="64"/>
      <c r="L988" s="64"/>
      <c r="M988" s="64"/>
      <c r="N988" s="64"/>
      <c r="O988" s="64"/>
      <c r="P988" s="64"/>
      <c r="Q988" s="64"/>
      <c r="R988" s="64"/>
      <c r="S988" s="64"/>
      <c r="T988" s="64"/>
      <c r="U988" s="64"/>
      <c r="V988" s="64"/>
      <c r="W988" s="64"/>
      <c r="X988" s="64"/>
      <c r="Y988" s="64"/>
      <c r="Z988" s="64"/>
      <c r="AA988" s="64"/>
      <c r="AB988" s="64"/>
      <c r="AC988" s="64"/>
      <c r="AD988" s="64"/>
      <c r="AE988" s="64"/>
      <c r="AF988" s="64"/>
      <c r="AG988" s="64"/>
    </row>
    <row r="989" spans="1:33">
      <c r="A989" s="64"/>
      <c r="B989" s="64"/>
      <c r="C989" s="64"/>
      <c r="D989" s="64"/>
      <c r="E989" s="70"/>
      <c r="F989" s="70"/>
      <c r="G989" s="64"/>
      <c r="H989" s="64"/>
      <c r="I989" s="64"/>
      <c r="J989" s="64"/>
      <c r="K989" s="64"/>
      <c r="L989" s="64"/>
      <c r="M989" s="64"/>
      <c r="N989" s="64"/>
      <c r="O989" s="64"/>
      <c r="P989" s="64"/>
      <c r="Q989" s="64"/>
      <c r="R989" s="64"/>
      <c r="S989" s="64"/>
      <c r="T989" s="64"/>
      <c r="U989" s="64"/>
      <c r="V989" s="64"/>
      <c r="W989" s="64"/>
      <c r="X989" s="64"/>
      <c r="Y989" s="64"/>
      <c r="Z989" s="64"/>
      <c r="AA989" s="64"/>
      <c r="AB989" s="64"/>
      <c r="AC989" s="64"/>
      <c r="AD989" s="64"/>
      <c r="AE989" s="64"/>
      <c r="AF989" s="64"/>
      <c r="AG989" s="64"/>
    </row>
    <row r="990" spans="1:33">
      <c r="A990" s="64"/>
      <c r="B990" s="64"/>
      <c r="C990" s="64"/>
      <c r="D990" s="64"/>
      <c r="E990" s="70"/>
      <c r="F990" s="70"/>
      <c r="G990" s="64"/>
      <c r="H990" s="64"/>
      <c r="I990" s="64"/>
      <c r="J990" s="64"/>
      <c r="K990" s="64"/>
      <c r="L990" s="64"/>
      <c r="M990" s="64"/>
      <c r="N990" s="64"/>
      <c r="O990" s="64"/>
      <c r="P990" s="64"/>
      <c r="Q990" s="64"/>
      <c r="R990" s="64"/>
      <c r="S990" s="64"/>
      <c r="T990" s="64"/>
      <c r="U990" s="64"/>
      <c r="V990" s="64"/>
      <c r="W990" s="64"/>
      <c r="X990" s="64"/>
      <c r="Y990" s="64"/>
      <c r="Z990" s="64"/>
      <c r="AA990" s="64"/>
      <c r="AB990" s="64"/>
      <c r="AC990" s="64"/>
      <c r="AD990" s="64"/>
      <c r="AE990" s="64"/>
      <c r="AF990" s="64"/>
      <c r="AG990" s="64"/>
    </row>
    <row r="991" spans="1:33">
      <c r="A991" s="64"/>
      <c r="B991" s="64"/>
      <c r="C991" s="64"/>
      <c r="D991" s="64"/>
      <c r="E991" s="70"/>
      <c r="F991" s="70"/>
      <c r="G991" s="64"/>
      <c r="H991" s="64"/>
      <c r="I991" s="64"/>
      <c r="J991" s="64"/>
      <c r="K991" s="64"/>
      <c r="L991" s="64"/>
      <c r="M991" s="64"/>
      <c r="N991" s="64"/>
      <c r="O991" s="64"/>
      <c r="P991" s="64"/>
      <c r="Q991" s="64"/>
      <c r="R991" s="64"/>
      <c r="S991" s="64"/>
      <c r="T991" s="64"/>
      <c r="U991" s="64"/>
      <c r="V991" s="64"/>
      <c r="W991" s="64"/>
      <c r="X991" s="64"/>
      <c r="Y991" s="64"/>
      <c r="Z991" s="64"/>
      <c r="AA991" s="64"/>
      <c r="AB991" s="64"/>
      <c r="AC991" s="64"/>
      <c r="AD991" s="64"/>
      <c r="AE991" s="64"/>
      <c r="AF991" s="64"/>
      <c r="AG991" s="64"/>
    </row>
    <row r="992" spans="1:33">
      <c r="A992" s="64"/>
      <c r="B992" s="64"/>
      <c r="C992" s="64"/>
      <c r="D992" s="64"/>
      <c r="E992" s="70"/>
      <c r="F992" s="70"/>
      <c r="G992" s="64"/>
      <c r="H992" s="64"/>
      <c r="I992" s="64"/>
      <c r="J992" s="64"/>
      <c r="K992" s="64"/>
      <c r="L992" s="64"/>
      <c r="M992" s="64"/>
      <c r="N992" s="64"/>
      <c r="O992" s="64"/>
      <c r="P992" s="64"/>
      <c r="Q992" s="64"/>
      <c r="R992" s="64"/>
      <c r="S992" s="64"/>
      <c r="T992" s="64"/>
      <c r="U992" s="64"/>
      <c r="V992" s="64"/>
      <c r="W992" s="64"/>
      <c r="X992" s="64"/>
      <c r="Y992" s="64"/>
      <c r="Z992" s="64"/>
      <c r="AA992" s="64"/>
      <c r="AB992" s="64"/>
      <c r="AC992" s="64"/>
      <c r="AD992" s="64"/>
      <c r="AE992" s="64"/>
      <c r="AF992" s="64"/>
      <c r="AG992" s="64"/>
    </row>
    <row r="993" spans="1:33">
      <c r="A993" s="64"/>
      <c r="B993" s="64"/>
      <c r="C993" s="64"/>
      <c r="D993" s="64"/>
      <c r="E993" s="70"/>
      <c r="F993" s="70"/>
      <c r="G993" s="64"/>
      <c r="H993" s="64"/>
      <c r="I993" s="64"/>
      <c r="J993" s="64"/>
      <c r="K993" s="64"/>
      <c r="L993" s="64"/>
      <c r="M993" s="64"/>
      <c r="N993" s="64"/>
      <c r="O993" s="64"/>
      <c r="P993" s="64"/>
      <c r="Q993" s="64"/>
      <c r="R993" s="64"/>
      <c r="S993" s="64"/>
      <c r="T993" s="64"/>
      <c r="U993" s="64"/>
      <c r="V993" s="64"/>
      <c r="W993" s="64"/>
      <c r="X993" s="64"/>
      <c r="Y993" s="64"/>
      <c r="Z993" s="64"/>
      <c r="AA993" s="64"/>
      <c r="AB993" s="64"/>
      <c r="AC993" s="64"/>
      <c r="AD993" s="64"/>
      <c r="AE993" s="64"/>
      <c r="AF993" s="64"/>
      <c r="AG993" s="64"/>
    </row>
    <row r="994" spans="1:33">
      <c r="A994" s="64"/>
      <c r="B994" s="64"/>
      <c r="C994" s="64"/>
      <c r="D994" s="64"/>
      <c r="E994" s="70"/>
      <c r="F994" s="70"/>
      <c r="G994" s="64"/>
      <c r="H994" s="64"/>
      <c r="I994" s="64"/>
      <c r="J994" s="64"/>
      <c r="K994" s="64"/>
      <c r="L994" s="64"/>
      <c r="M994" s="64"/>
      <c r="N994" s="64"/>
      <c r="O994" s="64"/>
      <c r="P994" s="64"/>
      <c r="Q994" s="64"/>
      <c r="R994" s="64"/>
      <c r="S994" s="64"/>
      <c r="T994" s="64"/>
      <c r="U994" s="64"/>
      <c r="V994" s="64"/>
      <c r="W994" s="64"/>
      <c r="X994" s="64"/>
      <c r="Y994" s="64"/>
      <c r="Z994" s="64"/>
      <c r="AA994" s="64"/>
      <c r="AB994" s="64"/>
      <c r="AC994" s="64"/>
      <c r="AD994" s="64"/>
      <c r="AE994" s="64"/>
      <c r="AF994" s="64"/>
      <c r="AG994" s="64"/>
    </row>
    <row r="995" spans="1:33">
      <c r="A995" s="64"/>
      <c r="B995" s="64"/>
      <c r="C995" s="64"/>
      <c r="D995" s="64"/>
      <c r="E995" s="70"/>
      <c r="F995" s="70"/>
      <c r="G995" s="64"/>
      <c r="H995" s="64"/>
      <c r="I995" s="64"/>
      <c r="J995" s="64"/>
      <c r="K995" s="64"/>
      <c r="L995" s="64"/>
      <c r="M995" s="64"/>
      <c r="N995" s="64"/>
      <c r="O995" s="64"/>
      <c r="P995" s="64"/>
      <c r="Q995" s="64"/>
      <c r="R995" s="64"/>
      <c r="S995" s="64"/>
      <c r="T995" s="64"/>
      <c r="U995" s="64"/>
      <c r="V995" s="64"/>
      <c r="W995" s="64"/>
      <c r="X995" s="64"/>
      <c r="Y995" s="64"/>
      <c r="Z995" s="64"/>
      <c r="AA995" s="64"/>
      <c r="AB995" s="64"/>
      <c r="AC995" s="64"/>
      <c r="AD995" s="64"/>
      <c r="AE995" s="64"/>
      <c r="AF995" s="64"/>
      <c r="AG995" s="64"/>
    </row>
    <row r="996" spans="1:33">
      <c r="A996" s="64"/>
      <c r="B996" s="64"/>
      <c r="C996" s="64"/>
      <c r="D996" s="64"/>
      <c r="E996" s="70"/>
      <c r="F996" s="70"/>
      <c r="G996" s="64"/>
      <c r="H996" s="64"/>
      <c r="I996" s="64"/>
      <c r="J996" s="64"/>
      <c r="K996" s="64"/>
      <c r="L996" s="64"/>
      <c r="M996" s="64"/>
      <c r="N996" s="64"/>
      <c r="O996" s="64"/>
      <c r="P996" s="64"/>
      <c r="Q996" s="64"/>
      <c r="R996" s="64"/>
      <c r="S996" s="64"/>
      <c r="T996" s="64"/>
      <c r="U996" s="64"/>
      <c r="V996" s="64"/>
      <c r="W996" s="64"/>
      <c r="X996" s="64"/>
      <c r="Y996" s="64"/>
      <c r="Z996" s="64"/>
      <c r="AA996" s="64"/>
      <c r="AB996" s="64"/>
      <c r="AC996" s="64"/>
      <c r="AD996" s="64"/>
      <c r="AE996" s="64"/>
      <c r="AF996" s="64"/>
      <c r="AG996" s="64"/>
    </row>
    <row r="997" spans="1:33">
      <c r="A997" s="64"/>
      <c r="B997" s="64"/>
      <c r="C997" s="64"/>
      <c r="D997" s="64"/>
      <c r="E997" s="70"/>
      <c r="F997" s="70"/>
      <c r="G997" s="64"/>
      <c r="H997" s="64"/>
      <c r="I997" s="64"/>
      <c r="J997" s="64"/>
      <c r="K997" s="64"/>
      <c r="L997" s="64"/>
      <c r="M997" s="64"/>
      <c r="N997" s="64"/>
      <c r="O997" s="64"/>
      <c r="P997" s="64"/>
      <c r="Q997" s="64"/>
      <c r="R997" s="64"/>
      <c r="S997" s="64"/>
      <c r="T997" s="64"/>
      <c r="U997" s="64"/>
      <c r="V997" s="64"/>
      <c r="W997" s="64"/>
      <c r="X997" s="64"/>
      <c r="Y997" s="64"/>
      <c r="Z997" s="64"/>
      <c r="AA997" s="64"/>
      <c r="AB997" s="64"/>
      <c r="AC997" s="64"/>
      <c r="AD997" s="64"/>
      <c r="AE997" s="64"/>
      <c r="AF997" s="64"/>
      <c r="AG997" s="64"/>
    </row>
    <row r="998" spans="1:33">
      <c r="A998" s="64"/>
      <c r="B998" s="64"/>
      <c r="C998" s="64"/>
      <c r="D998" s="64"/>
      <c r="E998" s="70"/>
      <c r="F998" s="70"/>
      <c r="G998" s="64"/>
      <c r="H998" s="64"/>
      <c r="I998" s="64"/>
      <c r="J998" s="64"/>
      <c r="K998" s="64"/>
      <c r="L998" s="64"/>
      <c r="M998" s="64"/>
      <c r="N998" s="64"/>
      <c r="O998" s="64"/>
      <c r="P998" s="64"/>
      <c r="Q998" s="64"/>
      <c r="R998" s="64"/>
      <c r="S998" s="64"/>
      <c r="T998" s="64"/>
      <c r="U998" s="64"/>
      <c r="V998" s="64"/>
      <c r="W998" s="64"/>
      <c r="X998" s="64"/>
      <c r="Y998" s="64"/>
      <c r="Z998" s="64"/>
      <c r="AA998" s="64"/>
      <c r="AB998" s="64"/>
      <c r="AC998" s="64"/>
      <c r="AD998" s="64"/>
      <c r="AE998" s="64"/>
      <c r="AF998" s="64"/>
      <c r="AG998" s="64"/>
    </row>
  </sheetData>
  <dataValidations count="3">
    <dataValidation type="list" allowBlank="1" showErrorMessage="1" sqref="B2:B202" xr:uid="{00000000-0002-0000-0600-000000000000}">
      <formula1>"ICSE"</formula1>
      <formula2>0</formula2>
    </dataValidation>
    <dataValidation type="list" allowBlank="1" showErrorMessage="1" sqref="C2:C202" xr:uid="{00000000-0002-0000-0600-000001000000}">
      <formula1>"Maths"</formula1>
      <formula2>0</formula2>
    </dataValidation>
    <dataValidation type="list" allowBlank="1" showErrorMessage="1" sqref="D2:D202" xr:uid="{00000000-0002-0000-0600-000002000000}">
      <formula1>"8"</formula1>
      <formula2>0</formula2>
    </dataValidation>
  </dataValidations>
  <pageMargins left="0.74791666666666701" right="0.74791666666666701" top="0.98402777777777795" bottom="0.98402777777777795" header="0.511811023622047" footer="0.511811023622047"/>
  <pageSetup paperSize="9" orientation="portrait" horizontalDpi="300" verticalDpi="300"/>
  <tableParts count="18">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G1048576"/>
  <sheetViews>
    <sheetView zoomScaleNormal="100" workbookViewId="0">
      <pane ySplit="1" topLeftCell="A2" activePane="bottomLeft" state="frozen"/>
      <selection pane="bottomLeft" activeCell="G6" sqref="G6"/>
    </sheetView>
  </sheetViews>
  <sheetFormatPr defaultColWidth="12.6640625" defaultRowHeight="13.2"/>
  <cols>
    <col min="1" max="2" width="10.77734375" customWidth="1"/>
    <col min="3" max="3" width="7.44140625" customWidth="1"/>
    <col min="4" max="4" width="13.109375" customWidth="1"/>
    <col min="6" max="6" width="24.77734375" customWidth="1"/>
    <col min="8" max="8" width="39.33203125" customWidth="1"/>
    <col min="9" max="9" width="33.5546875" hidden="1" customWidth="1"/>
    <col min="11" max="11" width="34" customWidth="1"/>
    <col min="13" max="13" width="39.109375" customWidth="1"/>
    <col min="15" max="15" width="39.33203125" customWidth="1"/>
    <col min="17" max="17" width="38.109375" customWidth="1"/>
    <col min="19" max="19" width="36" customWidth="1"/>
    <col min="21" max="21" width="44.21875" customWidth="1"/>
  </cols>
  <sheetData>
    <row r="1" spans="1:33" ht="27.6">
      <c r="A1" s="3" t="s">
        <v>0</v>
      </c>
      <c r="B1" s="5" t="s">
        <v>1</v>
      </c>
      <c r="C1" s="5" t="s">
        <v>3</v>
      </c>
      <c r="D1" s="5" t="s">
        <v>1280</v>
      </c>
      <c r="E1" s="5" t="s">
        <v>2</v>
      </c>
      <c r="F1" s="7" t="s">
        <v>4</v>
      </c>
      <c r="G1" s="7" t="s">
        <v>1844</v>
      </c>
      <c r="H1" s="7" t="s">
        <v>307</v>
      </c>
      <c r="I1" s="103" t="s">
        <v>1281</v>
      </c>
      <c r="J1" s="8" t="s">
        <v>5</v>
      </c>
      <c r="K1" s="8" t="s">
        <v>6</v>
      </c>
      <c r="L1" s="8" t="s">
        <v>7</v>
      </c>
      <c r="M1" s="8" t="s">
        <v>8</v>
      </c>
      <c r="N1" s="8" t="s">
        <v>9</v>
      </c>
      <c r="O1" s="8" t="s">
        <v>10</v>
      </c>
      <c r="P1" s="8" t="s">
        <v>11</v>
      </c>
      <c r="Q1" s="8" t="s">
        <v>12</v>
      </c>
      <c r="R1" s="8" t="s">
        <v>13</v>
      </c>
      <c r="S1" s="8" t="s">
        <v>14</v>
      </c>
      <c r="T1" s="8" t="s">
        <v>15</v>
      </c>
      <c r="U1" s="8" t="s">
        <v>16</v>
      </c>
      <c r="V1" s="9" t="s">
        <v>17</v>
      </c>
      <c r="W1" s="9" t="s">
        <v>18</v>
      </c>
      <c r="X1" s="9" t="s">
        <v>19</v>
      </c>
      <c r="Y1" s="9" t="s">
        <v>20</v>
      </c>
      <c r="Z1" s="9" t="s">
        <v>21</v>
      </c>
      <c r="AA1" s="9" t="s">
        <v>22</v>
      </c>
      <c r="AB1" s="9" t="s">
        <v>23</v>
      </c>
      <c r="AC1" s="98" t="s">
        <v>24</v>
      </c>
      <c r="AD1" s="11" t="s">
        <v>25</v>
      </c>
      <c r="AE1" s="11" t="s">
        <v>26</v>
      </c>
      <c r="AF1" s="11" t="s">
        <v>27</v>
      </c>
      <c r="AG1" s="99" t="s">
        <v>28</v>
      </c>
    </row>
    <row r="2" spans="1:33" ht="27.6">
      <c r="A2" s="1"/>
      <c r="B2" s="1" t="s">
        <v>29</v>
      </c>
      <c r="C2" s="13">
        <v>6</v>
      </c>
      <c r="D2" s="1" t="s">
        <v>1282</v>
      </c>
      <c r="E2" s="1" t="s">
        <v>1283</v>
      </c>
      <c r="F2" s="1" t="s">
        <v>1284</v>
      </c>
      <c r="G2" s="1" t="s">
        <v>1285</v>
      </c>
      <c r="H2" s="1" t="str">
        <f ca="1">IFERROR(__xludf.dummyfunction("IFERROR(
  VLOOKUP(G2, IMPORTRANGE(""https://docs.google.com/spreadsheets/d/14deopnvwcrKtEGCKuYXdUHJbeLDZlkiSSWWT0g7x2pM/edit#gid=849066331"", ""LU List Maths (Filter)!A:B""), 2, FALSE),
  IFERROR(
    VLOOKUP(G2, IMPORTRANGE(""https://docs.google.com/spr"&amp;"eadsheets/d/14deopnvwcrKtEGCKuYXdUHJbeLDZlkiSSWWT0g7x2pM/edit#gid=849066331"", ""LU List Science (Filter)!A:B""), 2, FALSE),
    ""Not Found""
  )
)
"),"Plant's leaf structure and venation pattern")</f>
        <v>Plant's leaf structure and venation pattern</v>
      </c>
      <c r="I2" s="1"/>
      <c r="J2" s="1" t="str">
        <f t="shared" ref="J2:J33" si="0">G2 &amp; ".001"</f>
        <v>LU005943.001</v>
      </c>
      <c r="K2" s="1" t="str">
        <f ca="1">IFERROR(__xludf.dummyfunction("VLOOKUP(J2, IMPORTRANGE(""https://docs.google.com/spreadsheets/d/1yDAaXNsi4Mr5FtRQL4tbmSdIzhx6_m4wkOD7IG-k_eo/edit#gid=1336395716"", ""Science!M:N""), 2, FALSE)"),"Identify/Recall the key parts of a leaf and different venation patterns found in plant leaves.")</f>
        <v>Identify/Recall the key parts of a leaf and different venation patterns found in plant leaves.</v>
      </c>
      <c r="L2" s="1" t="str">
        <f t="shared" ref="L2:L33" si="1">G2 &amp; ".002"</f>
        <v>LU005943.002</v>
      </c>
      <c r="M2" s="1" t="str">
        <f ca="1">IFERROR(__xludf.dummyfunction("VLOOKUP(L2, IMPORTRANGE(""https://docs.google.com/spreadsheets/d/1yDAaXNsi4Mr5FtRQL4tbmSdIzhx6_m4wkOD7IG-k_eo/edit#gid=1336395716"", ""Science!M:N""), 2, FALSE)"),"Identify the key parts of a leaf and describe the different venation patterns found in plant leaves.")</f>
        <v>Identify the key parts of a leaf and describe the different venation patterns found in plant leaves.</v>
      </c>
      <c r="N2" s="1" t="str">
        <f t="shared" ref="N2:N33" si="2">G2 &amp; ".003"</f>
        <v>LU005943.003</v>
      </c>
      <c r="O2" s="1" t="str">
        <f ca="1">IFERROR(__xludf.dummyfunction("VLOOKUP(N2, IMPORTRANGE(""https://docs.google.com/spreadsheets/d/1yDAaXNsi4Mr5FtRQL4tbmSdIzhx6_m4wkOD7IG-k_eo/edit#gid=1336395716"", ""Science!M:N""), 2, FALSE)"),"Apply knowledge of leaf structure to determine the health of a plant in a given environment.")</f>
        <v>Apply knowledge of leaf structure to determine the health of a plant in a given environment.</v>
      </c>
      <c r="P2" s="1" t="str">
        <f t="shared" ref="P2:P33" si="3">G2 &amp; ".004"</f>
        <v>LU005943.004</v>
      </c>
      <c r="Q2" s="15" t="str">
        <f ca="1">IFERROR(__xludf.dummyfunction("VLOOKUP(P2, IMPORTRANGE(""https://docs.google.com/spreadsheets/d/1yDAaXNsi4Mr5FtRQL4tbmSdIzhx6_m4wkOD7IG-k_eo/edit#gid=1336395716"", ""Science!M:N""), 2, FALSE)"),"#N/A")</f>
        <v>#N/A</v>
      </c>
      <c r="R2" s="1" t="str">
        <f t="shared" ref="R2:R33" si="4">G2 &amp; ".005"</f>
        <v>LU005943.005</v>
      </c>
      <c r="S2" s="15" t="str">
        <f ca="1">IFERROR(__xludf.dummyfunction("VLOOKUP(R2, IMPORTRANGE(""https://docs.google.com/spreadsheets/d/1yDAaXNsi4Mr5FtRQL4tbmSdIzhx6_m4wkOD7IG-k_eo/edit#gid=1336395716"", ""Science!M:N""), 2, FALSE)"),"#N/A")</f>
        <v>#N/A</v>
      </c>
      <c r="T2" s="1" t="str">
        <f t="shared" ref="T2:T33" si="5">G2 &amp; ".006"</f>
        <v>LU005943.006</v>
      </c>
      <c r="U2" s="15" t="str">
        <f ca="1">IFERROR(__xludf.dummyfunction("VLOOKUP(T2, IMPORTRANGE(""https://docs.google.com/spreadsheets/d/1yDAaXNsi4Mr5FtRQL4tbmSdIzhx6_m4wkOD7IG-k_eo/edit#gid=1336395716"", ""Science!M:N""), 2, FALSE)"),"#N/A")</f>
        <v>#N/A</v>
      </c>
      <c r="V2" s="104">
        <f ca="1">IFERROR(__xludf.dummyfunction("ArrayFormula(VLOOKUP(G2, IMPORTRANGE(""https://docs.google.com/spreadsheets/d/1p7R4vtkWt5VOBim4ltsDG9KTzSjrtKXsMtQGXPHyND0/edit#gid=795171502"", ""'Filter 30_05_2024'!A1:M2000""), {2, 3, 4, 5,6,7,8,9,10,11,12,13}, 0))"),3)</f>
        <v>3</v>
      </c>
      <c r="W2" s="104">
        <f ca="1">IFERROR(__xludf.dummyfunction("""COMPUTED_VALUE"""),5)</f>
        <v>5</v>
      </c>
      <c r="X2" s="104">
        <f ca="1">IFERROR(__xludf.dummyfunction("""COMPUTED_VALUE"""),2)</f>
        <v>2</v>
      </c>
      <c r="Y2" s="104">
        <f ca="1">IFERROR(__xludf.dummyfunction("""COMPUTED_VALUE"""),10)</f>
        <v>10</v>
      </c>
      <c r="Z2" s="104">
        <f ca="1">IFERROR(__xludf.dummyfunction("""COMPUTED_VALUE"""),5)</f>
        <v>5</v>
      </c>
      <c r="AA2" s="15">
        <f ca="1">IFERROR(__xludf.dummyfunction("""COMPUTED_VALUE"""),4)</f>
        <v>4</v>
      </c>
      <c r="AB2" s="15">
        <f ca="1">IFERROR(__xludf.dummyfunction("""COMPUTED_VALUE"""),1)</f>
        <v>1</v>
      </c>
      <c r="AC2" s="15">
        <f ca="1">IFERROR(__xludf.dummyfunction("""COMPUTED_VALUE"""),10)</f>
        <v>10</v>
      </c>
      <c r="AD2" s="1"/>
      <c r="AE2" s="1"/>
      <c r="AF2" s="1"/>
      <c r="AG2" s="1"/>
    </row>
    <row r="3" spans="1:33" ht="27.6">
      <c r="A3" s="18"/>
      <c r="B3" s="18" t="s">
        <v>29</v>
      </c>
      <c r="C3" s="105">
        <v>6</v>
      </c>
      <c r="D3" s="18" t="s">
        <v>1282</v>
      </c>
      <c r="E3" s="18" t="s">
        <v>1283</v>
      </c>
      <c r="F3" s="18" t="s">
        <v>1284</v>
      </c>
      <c r="G3" s="14" t="s">
        <v>1286</v>
      </c>
      <c r="H3" s="1" t="str">
        <f ca="1">IFERROR(__xludf.dummyfunction("IFERROR(
  VLOOKUP(G3, IMPORTRANGE(""https://docs.google.com/spreadsheets/d/14deopnvwcrKtEGCKuYXdUHJbeLDZlkiSSWWT0g7x2pM/edit#gid=849066331"", ""LU List Maths (Filter)!A:B""), 2, FALSE),
  IFERROR(
    VLOOKUP(G3, IMPORTRANGE(""https://docs.google.com/spr"&amp;"eadsheets/d/14deopnvwcrKtEGCKuYXdUHJbeLDZlkiSSWWT0g7x2pM/edit#gid=849066331"", ""LU List Science (Filter)!A:B""), 2, FALSE),
    ""Not Found""
  )
)
"),"Types of leaves(Simple and compound leaf)")</f>
        <v>Types of leaves(Simple and compound leaf)</v>
      </c>
      <c r="I3" s="18"/>
      <c r="J3" s="1" t="str">
        <f t="shared" si="0"/>
        <v>LU006586.001</v>
      </c>
      <c r="K3" s="1" t="str">
        <f ca="1">IFERROR(__xludf.dummyfunction("VLOOKUP(J3, IMPORTRANGE(""https://docs.google.com/spreadsheets/d/1yDAaXNsi4Mr5FtRQL4tbmSdIzhx6_m4wkOD7IG-k_eo/edit#gid=1336395716"", ""Science!M:N""), 2, FALSE)"),"(LU006586.001); Default - Remember")</f>
        <v>(LU006586.001); Default - Remember</v>
      </c>
      <c r="L3" s="1" t="str">
        <f t="shared" si="1"/>
        <v>LU006586.002</v>
      </c>
      <c r="M3" s="1" t="str">
        <f ca="1">IFERROR(__xludf.dummyfunction("VLOOKUP(L3, IMPORTRANGE(""https://docs.google.com/spreadsheets/d/1yDAaXNsi4Mr5FtRQL4tbmSdIzhx6_m4wkOD7IG-k_eo/edit#gid=1336395716"", ""Science!M:N""), 2, FALSE)"),"(LU006586.002); Default - Understand")</f>
        <v>(LU006586.002); Default - Understand</v>
      </c>
      <c r="N3" s="1" t="str">
        <f t="shared" si="2"/>
        <v>LU006586.003</v>
      </c>
      <c r="O3" s="1" t="str">
        <f ca="1">IFERROR(__xludf.dummyfunction("VLOOKUP(N3, IMPORTRANGE(""https://docs.google.com/spreadsheets/d/1yDAaXNsi4Mr5FtRQL4tbmSdIzhx6_m4wkOD7IG-k_eo/edit#gid=1336395716"", ""Science!M:N""), 2, FALSE)"),"(LU006586.003); Default - Apply")</f>
        <v>(LU006586.003); Default - Apply</v>
      </c>
      <c r="P3" s="1" t="str">
        <f t="shared" si="3"/>
        <v>LU006586.004</v>
      </c>
      <c r="Q3" s="15" t="str">
        <f ca="1">IFERROR(__xludf.dummyfunction("VLOOKUP(P3, IMPORTRANGE(""https://docs.google.com/spreadsheets/d/1yDAaXNsi4Mr5FtRQL4tbmSdIzhx6_m4wkOD7IG-k_eo/edit#gid=1336395716"", ""Science!M:N""), 2, FALSE)"),"(LU006586.004); Default - Analyse")</f>
        <v>(LU006586.004); Default - Analyse</v>
      </c>
      <c r="R3" s="1" t="str">
        <f t="shared" si="4"/>
        <v>LU006586.005</v>
      </c>
      <c r="S3" s="15" t="str">
        <f ca="1">IFERROR(__xludf.dummyfunction("VLOOKUP(R3, IMPORTRANGE(""https://docs.google.com/spreadsheets/d/1yDAaXNsi4Mr5FtRQL4tbmSdIzhx6_m4wkOD7IG-k_eo/edit#gid=1336395716"", ""Science!M:N""), 2, FALSE)"),"(LU006586.005); Default - Evaluate")</f>
        <v>(LU006586.005); Default - Evaluate</v>
      </c>
      <c r="T3" s="1" t="str">
        <f t="shared" si="5"/>
        <v>LU006586.006</v>
      </c>
      <c r="U3" s="15" t="str">
        <f ca="1">IFERROR(__xludf.dummyfunction("VLOOKUP(T3, IMPORTRANGE(""https://docs.google.com/spreadsheets/d/1yDAaXNsi4Mr5FtRQL4tbmSdIzhx6_m4wkOD7IG-k_eo/edit#gid=1336395716"", ""Science!M:N""), 2, FALSE)"),"(LU006586.006); Default - Create")</f>
        <v>(LU006586.006); Default - Create</v>
      </c>
      <c r="V3" s="18"/>
      <c r="W3" s="18"/>
      <c r="X3" s="18"/>
      <c r="Y3" s="18"/>
      <c r="Z3" s="18"/>
      <c r="AA3" s="18"/>
      <c r="AB3" s="18"/>
      <c r="AC3" s="18"/>
      <c r="AD3" s="18"/>
      <c r="AE3" s="18"/>
      <c r="AF3" s="18"/>
      <c r="AG3" s="18"/>
    </row>
    <row r="4" spans="1:33" ht="55.2">
      <c r="A4" s="1"/>
      <c r="B4" s="1" t="s">
        <v>29</v>
      </c>
      <c r="C4" s="13">
        <v>6</v>
      </c>
      <c r="D4" s="1" t="s">
        <v>1282</v>
      </c>
      <c r="E4" s="1" t="s">
        <v>1283</v>
      </c>
      <c r="F4" s="1" t="s">
        <v>1287</v>
      </c>
      <c r="G4" s="1" t="s">
        <v>1288</v>
      </c>
      <c r="H4" s="1" t="str">
        <f ca="1">IFERROR(__xludf.dummyfunction("IFERROR(
  VLOOKUP(G4, IMPORTRANGE(""https://docs.google.com/spreadsheets/d/14deopnvwcrKtEGCKuYXdUHJbeLDZlkiSSWWT0g7x2pM/edit#gid=849066331"", ""LU List Maths (Filter)!A:B""), 2, FALSE),
  IFERROR(
    VLOOKUP(G4, IMPORTRANGE(""https://docs.google.com/spr"&amp;"eadsheets/d/14deopnvwcrKtEGCKuYXdUHJbeLDZlkiSSWWT0g7x2pM/edit#gid=849066331"", ""LU List Science (Filter)!A:B""), 2, FALSE),
    ""Not Found""
  )
)
"),"Introduction to photosynthesis process in plants")</f>
        <v>Introduction to photosynthesis process in plants</v>
      </c>
      <c r="I4" s="1"/>
      <c r="J4" s="1" t="str">
        <f t="shared" si="0"/>
        <v>LU005944.001</v>
      </c>
      <c r="K4" s="1" t="str">
        <f ca="1">IFERROR(__xludf.dummyfunction("VLOOKUP(J4, IMPORTRANGE(""https://docs.google.com/spreadsheets/d/1yDAaXNsi4Mr5FtRQL4tbmSdIzhx6_m4wkOD7IG-k_eo/edit#gid=1336395716"", ""Science!M:N""), 2, FALSE)"),"List the basic requirements for photosynthesis to occur in plants.")</f>
        <v>List the basic requirements for photosynthesis to occur in plants.</v>
      </c>
      <c r="L4" s="1" t="str">
        <f t="shared" si="1"/>
        <v>LU005944.002</v>
      </c>
      <c r="M4" s="1" t="str">
        <f ca="1">IFERROR(__xludf.dummyfunction("VLOOKUP(L4, IMPORTRANGE(""https://docs.google.com/spreadsheets/d/1yDAaXNsi4Mr5FtRQL4tbmSdIzhx6_m4wkOD7IG-k_eo/edit#gid=1336395716"", ""Science!M:N""), 2, FALSE)"),"Describe the process of photosynthesis and its purpose in plants.")</f>
        <v>Describe the process of photosynthesis and its purpose in plants.</v>
      </c>
      <c r="N4" s="1" t="str">
        <f t="shared" si="2"/>
        <v>LU005944.003</v>
      </c>
      <c r="O4" s="1" t="str">
        <f ca="1">IFERROR(__xludf.dummyfunction("VLOOKUP(N4, IMPORTRANGE(""https://docs.google.com/spreadsheets/d/1yDAaXNsi4Mr5FtRQL4tbmSdIzhx6_m4wkOD7IG-k_eo/edit#gid=1336395716"", ""Science!M:N""), 2, FALSE)"),"Apply the knowledge of photosynthesis to infer why plants need sunlight.")</f>
        <v>Apply the knowledge of photosynthesis to infer why plants need sunlight.</v>
      </c>
      <c r="P4" s="1" t="str">
        <f t="shared" si="3"/>
        <v>LU005944.004</v>
      </c>
      <c r="Q4" s="15" t="str">
        <f ca="1">IFERROR(__xludf.dummyfunction("VLOOKUP(P4, IMPORTRANGE(""https://docs.google.com/spreadsheets/d/1yDAaXNsi4Mr5FtRQL4tbmSdIzhx6_m4wkOD7IG-k_eo/edit#gid=1336395716"", ""Science!M:N""), 2, FALSE)"),"Analyze the impact of photosynthesis on the life on Earth and the impact of varying light intensities on the rate of photosynthesis.")</f>
        <v>Analyze the impact of photosynthesis on the life on Earth and the impact of varying light intensities on the rate of photosynthesis.</v>
      </c>
      <c r="R4" s="1" t="str">
        <f t="shared" si="4"/>
        <v>LU005944.005</v>
      </c>
      <c r="S4" s="15" t="str">
        <f ca="1">IFERROR(__xludf.dummyfunction("VLOOKUP(R4, IMPORTRANGE(""https://docs.google.com/spreadsheets/d/1yDAaXNsi4Mr5FtRQL4tbmSdIzhx6_m4wkOD7IG-k_eo/edit#gid=1336395716"", ""Science!M:N""), 2, FALSE)"),"Assess the impact of photosynthesis on the life on Earth.")</f>
        <v>Assess the impact of photosynthesis on the life on Earth.</v>
      </c>
      <c r="T4" s="1" t="str">
        <f t="shared" si="5"/>
        <v>LU005944.006</v>
      </c>
      <c r="U4" s="15" t="str">
        <f ca="1">IFERROR(__xludf.dummyfunction("VLOOKUP(T4, IMPORTRANGE(""https://docs.google.com/spreadsheets/d/1yDAaXNsi4Mr5FtRQL4tbmSdIzhx6_m4wkOD7IG-k_eo/edit#gid=1336395716"", ""Science!M:N""), 2, FALSE)"),"Construct a simple experiment to demonstrate the effects of photosynthesis using household materials.")</f>
        <v>Construct a simple experiment to demonstrate the effects of photosynthesis using household materials.</v>
      </c>
      <c r="V4" s="1"/>
      <c r="W4" s="1"/>
      <c r="X4" s="1"/>
      <c r="Y4" s="1"/>
      <c r="Z4" s="1"/>
      <c r="AA4" s="1"/>
      <c r="AB4" s="1"/>
      <c r="AC4" s="1"/>
      <c r="AD4" s="1"/>
      <c r="AE4" s="1"/>
      <c r="AF4" s="1"/>
      <c r="AG4" s="1"/>
    </row>
    <row r="5" spans="1:33" ht="55.2">
      <c r="A5" s="1"/>
      <c r="B5" s="1" t="s">
        <v>29</v>
      </c>
      <c r="C5" s="13">
        <v>6</v>
      </c>
      <c r="D5" s="1" t="s">
        <v>1282</v>
      </c>
      <c r="E5" s="1" t="s">
        <v>1283</v>
      </c>
      <c r="F5" s="1" t="s">
        <v>1287</v>
      </c>
      <c r="G5" s="1" t="s">
        <v>1289</v>
      </c>
      <c r="H5" s="1" t="str">
        <f ca="1">IFERROR(__xludf.dummyfunction("IFERROR(
  VLOOKUP(G5, IMPORTRANGE(""https://docs.google.com/spreadsheets/d/14deopnvwcrKtEGCKuYXdUHJbeLDZlkiSSWWT0g7x2pM/edit#gid=849066331"", ""LU List Maths (Filter)!A:B""), 2, FALSE),
  IFERROR(
    VLOOKUP(G5, IMPORTRANGE(""https://docs.google.com/spr"&amp;"eadsheets/d/14deopnvwcrKtEGCKuYXdUHJbeLDZlkiSSWWT0g7x2pM/edit#gid=849066331"", ""LU List Science (Filter)!A:B""), 2, FALSE),
    ""Not Found""
  )
)
"),"Introduction to transpiration process in plants")</f>
        <v>Introduction to transpiration process in plants</v>
      </c>
      <c r="I5" s="1"/>
      <c r="J5" s="1" t="str">
        <f t="shared" si="0"/>
        <v>LU005945.001</v>
      </c>
      <c r="K5" s="1" t="str">
        <f ca="1">IFERROR(__xludf.dummyfunction("VLOOKUP(J5, IMPORTRANGE(""https://docs.google.com/spreadsheets/d/1yDAaXNsi4Mr5FtRQL4tbmSdIzhx6_m4wkOD7IG-k_eo/edit#gid=1336395716"", ""Science!M:N""), 2, FALSE)"),"Define transpiration, label the parts of a plant and indicate where transpiration occurs.")</f>
        <v>Define transpiration, label the parts of a plant and indicate where transpiration occurs.</v>
      </c>
      <c r="L5" s="1" t="str">
        <f t="shared" si="1"/>
        <v>LU005945.002</v>
      </c>
      <c r="M5" s="1" t="str">
        <f ca="1">IFERROR(__xludf.dummyfunction("VLOOKUP(L5, IMPORTRANGE(""https://docs.google.com/spreadsheets/d/1yDAaXNsi4Mr5FtRQL4tbmSdIzhx6_m4wkOD7IG-k_eo/edit#gid=1336395716"", ""Science!M:N""), 2, FALSE)"),"Summarize how transpiration helps plants maintain water balance.")</f>
        <v>Summarize how transpiration helps plants maintain water balance.</v>
      </c>
      <c r="N5" s="1" t="str">
        <f t="shared" si="2"/>
        <v>LU005945.003</v>
      </c>
      <c r="O5" s="1" t="str">
        <f ca="1">IFERROR(__xludf.dummyfunction("VLOOKUP(N5, IMPORTRANGE(""https://docs.google.com/spreadsheets/d/1yDAaXNsi4Mr5FtRQL4tbmSdIzhx6_m4wkOD7IG-k_eo/edit#gid=1336395716"", ""Science!M:N""), 2, FALSE)"),"Predict the outcome of a transpiration experiment involving different environmental conditions.")</f>
        <v>Predict the outcome of a transpiration experiment involving different environmental conditions.</v>
      </c>
      <c r="P5" s="1" t="str">
        <f t="shared" si="3"/>
        <v>LU005945.004</v>
      </c>
      <c r="Q5" s="15" t="str">
        <f ca="1">IFERROR(__xludf.dummyfunction("VLOOKUP(P5, IMPORTRANGE(""https://docs.google.com/spreadsheets/d/1yDAaXNsi4Mr5FtRQL4tbmSdIzhx6_m4wkOD7IG-k_eo/edit#gid=1336395716"", ""Science!M:N""), 2, FALSE)"),"Infer the rate of transpiration based on observable changes in a simple experiment with a potted plant.")</f>
        <v>Infer the rate of transpiration based on observable changes in a simple experiment with a potted plant.</v>
      </c>
      <c r="R5" s="1" t="str">
        <f t="shared" si="4"/>
        <v>LU005945.005</v>
      </c>
      <c r="S5" s="15" t="str">
        <f ca="1">IFERROR(__xludf.dummyfunction("VLOOKUP(R5, IMPORTRANGE(""https://docs.google.com/spreadsheets/d/1yDAaXNsi4Mr5FtRQL4tbmSdIzhx6_m4wkOD7IG-k_eo/edit#gid=1336395716"", ""Science!M:N""), 2, FALSE)"),"Evaluate the results of a classroom transpiration experiment to determine factors that increase water loss in plants.")</f>
        <v>Evaluate the results of a classroom transpiration experiment to determine factors that increase water loss in plants.</v>
      </c>
      <c r="T5" s="1" t="str">
        <f t="shared" si="5"/>
        <v>LU005945.006</v>
      </c>
      <c r="U5" s="15" t="str">
        <f ca="1">IFERROR(__xludf.dummyfunction("VLOOKUP(T5, IMPORTRANGE(""https://docs.google.com/spreadsheets/d/1yDAaXNsi4Mr5FtRQL4tbmSdIzhx6_m4wkOD7IG-k_eo/edit#gid=1336395716"", ""Science!M:N""), 2, FALSE)"),"Design a simple experiment to test how wind or heat affects transpiration in a leafy twig.")</f>
        <v>Design a simple experiment to test how wind or heat affects transpiration in a leafy twig.</v>
      </c>
      <c r="V5" s="1"/>
      <c r="W5" s="1"/>
      <c r="X5" s="1"/>
      <c r="Y5" s="1"/>
      <c r="Z5" s="1"/>
      <c r="AA5" s="1"/>
      <c r="AB5" s="1"/>
      <c r="AC5" s="1"/>
      <c r="AD5" s="1"/>
      <c r="AE5" s="1"/>
      <c r="AF5" s="1"/>
      <c r="AG5" s="1"/>
    </row>
    <row r="6" spans="1:33" ht="27.6">
      <c r="A6" s="18"/>
      <c r="B6" s="18" t="s">
        <v>29</v>
      </c>
      <c r="C6" s="105">
        <v>6</v>
      </c>
      <c r="D6" s="18" t="s">
        <v>1282</v>
      </c>
      <c r="E6" s="18" t="s">
        <v>1283</v>
      </c>
      <c r="F6" s="18" t="s">
        <v>1290</v>
      </c>
      <c r="G6" s="14" t="s">
        <v>1291</v>
      </c>
      <c r="H6" s="1" t="str">
        <f ca="1">IFERROR(__xludf.dummyfunction("IFERROR(
  VLOOKUP(G6, IMPORTRANGE(""https://docs.google.com/spreadsheets/d/14deopnvwcrKtEGCKuYXdUHJbeLDZlkiSSWWT0g7x2pM/edit#gid=849066331"", ""LU List Maths (Filter)!A:B""), 2, FALSE),
  IFERROR(
    VLOOKUP(G6, IMPORTRANGE(""https://docs.google.com/spr"&amp;"eadsheets/d/14deopnvwcrKtEGCKuYXdUHJbeLDZlkiSSWWT0g7x2pM/edit#gid=849066331"", ""LU List Science (Filter)!A:B""), 2, FALSE),
    ""Not Found""
  )
)
"),"Modifications (tendrils, spines, scale leaves)")</f>
        <v>Modifications (tendrils, spines, scale leaves)</v>
      </c>
      <c r="I6" s="18"/>
      <c r="J6" s="1" t="str">
        <f t="shared" si="0"/>
        <v>LU006587.001</v>
      </c>
      <c r="K6" s="1" t="str">
        <f ca="1">IFERROR(__xludf.dummyfunction("VLOOKUP(J6, IMPORTRANGE(""https://docs.google.com/spreadsheets/d/1yDAaXNsi4Mr5FtRQL4tbmSdIzhx6_m4wkOD7IG-k_eo/edit#gid=1336395716"", ""Science!M:N""), 2, FALSE)"),"(LU006587.001); Default - Remember")</f>
        <v>(LU006587.001); Default - Remember</v>
      </c>
      <c r="L6" s="1" t="str">
        <f t="shared" si="1"/>
        <v>LU006587.002</v>
      </c>
      <c r="M6" s="1" t="str">
        <f ca="1">IFERROR(__xludf.dummyfunction("VLOOKUP(L6, IMPORTRANGE(""https://docs.google.com/spreadsheets/d/1yDAaXNsi4Mr5FtRQL4tbmSdIzhx6_m4wkOD7IG-k_eo/edit#gid=1336395716"", ""Science!M:N""), 2, FALSE)"),"(LU006587.002); Default - Understand")</f>
        <v>(LU006587.002); Default - Understand</v>
      </c>
      <c r="N6" s="1" t="str">
        <f t="shared" si="2"/>
        <v>LU006587.003</v>
      </c>
      <c r="O6" s="1" t="str">
        <f ca="1">IFERROR(__xludf.dummyfunction("VLOOKUP(N6, IMPORTRANGE(""https://docs.google.com/spreadsheets/d/1yDAaXNsi4Mr5FtRQL4tbmSdIzhx6_m4wkOD7IG-k_eo/edit#gid=1336395716"", ""Science!M:N""), 2, FALSE)"),"(LU006587.003); Default - Apply")</f>
        <v>(LU006587.003); Default - Apply</v>
      </c>
      <c r="P6" s="1" t="str">
        <f t="shared" si="3"/>
        <v>LU006587.004</v>
      </c>
      <c r="Q6" s="15" t="str">
        <f ca="1">IFERROR(__xludf.dummyfunction("VLOOKUP(P6, IMPORTRANGE(""https://docs.google.com/spreadsheets/d/1yDAaXNsi4Mr5FtRQL4tbmSdIzhx6_m4wkOD7IG-k_eo/edit#gid=1336395716"", ""Science!M:N""), 2, FALSE)"),"(LU006587.004); Default - Analyse")</f>
        <v>(LU006587.004); Default - Analyse</v>
      </c>
      <c r="R6" s="1" t="str">
        <f t="shared" si="4"/>
        <v>LU006587.005</v>
      </c>
      <c r="S6" s="15" t="str">
        <f ca="1">IFERROR(__xludf.dummyfunction("VLOOKUP(R6, IMPORTRANGE(""https://docs.google.com/spreadsheets/d/1yDAaXNsi4Mr5FtRQL4tbmSdIzhx6_m4wkOD7IG-k_eo/edit#gid=1336395716"", ""Science!M:N""), 2, FALSE)"),"(LU006587.005); Default - Evaluate")</f>
        <v>(LU006587.005); Default - Evaluate</v>
      </c>
      <c r="T6" s="1" t="str">
        <f t="shared" si="5"/>
        <v>LU006587.006</v>
      </c>
      <c r="U6" s="15" t="str">
        <f ca="1">IFERROR(__xludf.dummyfunction("VLOOKUP(T6, IMPORTRANGE(""https://docs.google.com/spreadsheets/d/1yDAaXNsi4Mr5FtRQL4tbmSdIzhx6_m4wkOD7IG-k_eo/edit#gid=1336395716"", ""Science!M:N""), 2, FALSE)"),"(LU006587.006); Default - Create")</f>
        <v>(LU006587.006); Default - Create</v>
      </c>
      <c r="V6" s="18"/>
      <c r="W6" s="18"/>
      <c r="X6" s="18"/>
      <c r="Y6" s="18"/>
      <c r="Z6" s="18"/>
      <c r="AA6" s="18"/>
      <c r="AB6" s="18"/>
      <c r="AC6" s="18"/>
      <c r="AD6" s="18"/>
      <c r="AE6" s="18"/>
      <c r="AF6" s="18"/>
      <c r="AG6" s="18"/>
    </row>
    <row r="7" spans="1:33" ht="27.6">
      <c r="A7" s="18"/>
      <c r="B7" s="18" t="s">
        <v>29</v>
      </c>
      <c r="C7" s="105">
        <v>6</v>
      </c>
      <c r="D7" s="18" t="s">
        <v>1282</v>
      </c>
      <c r="E7" s="18" t="s">
        <v>1283</v>
      </c>
      <c r="F7" s="18" t="s">
        <v>1290</v>
      </c>
      <c r="G7" s="14" t="s">
        <v>1292</v>
      </c>
      <c r="H7" s="1" t="str">
        <f ca="1">IFERROR(__xludf.dummyfunction("IFERROR(
  VLOOKUP(G7, IMPORTRANGE(""https://docs.google.com/spreadsheets/d/14deopnvwcrKtEGCKuYXdUHJbeLDZlkiSSWWT0g7x2pM/edit#gid=849066331"", ""LU List Maths (Filter)!A:B""), 2, FALSE),
  IFERROR(
    VLOOKUP(G7, IMPORTRANGE(""https://docs.google.com/spr"&amp;"eadsheets/d/14deopnvwcrKtEGCKuYXdUHJbeLDZlkiSSWWT0g7x2pM/edit#gid=849066331"", ""LU List Science (Filter)!A:B""), 2, FALSE),
    ""Not Found""
  )
)
"),"Insectivorous plants")</f>
        <v>Insectivorous plants</v>
      </c>
      <c r="I7" s="18" t="s">
        <v>1293</v>
      </c>
      <c r="J7" s="1" t="str">
        <f t="shared" si="0"/>
        <v>LU006588.001</v>
      </c>
      <c r="K7" s="1" t="str">
        <f ca="1">IFERROR(__xludf.dummyfunction("VLOOKUP(J7, IMPORTRANGE(""https://docs.google.com/spreadsheets/d/1yDAaXNsi4Mr5FtRQL4tbmSdIzhx6_m4wkOD7IG-k_eo/edit#gid=1336395716"", ""Science!M:N""), 2, FALSE)"),"(LU006588.001); Default - Remember")</f>
        <v>(LU006588.001); Default - Remember</v>
      </c>
      <c r="L7" s="1" t="str">
        <f t="shared" si="1"/>
        <v>LU006588.002</v>
      </c>
      <c r="M7" s="1" t="str">
        <f ca="1">IFERROR(__xludf.dummyfunction("VLOOKUP(L7, IMPORTRANGE(""https://docs.google.com/spreadsheets/d/1yDAaXNsi4Mr5FtRQL4tbmSdIzhx6_m4wkOD7IG-k_eo/edit#gid=1336395716"", ""Science!M:N""), 2, FALSE)"),"(LU006588.002); Default - Understand")</f>
        <v>(LU006588.002); Default - Understand</v>
      </c>
      <c r="N7" s="1" t="str">
        <f t="shared" si="2"/>
        <v>LU006588.003</v>
      </c>
      <c r="O7" s="1" t="str">
        <f ca="1">IFERROR(__xludf.dummyfunction("VLOOKUP(N7, IMPORTRANGE(""https://docs.google.com/spreadsheets/d/1yDAaXNsi4Mr5FtRQL4tbmSdIzhx6_m4wkOD7IG-k_eo/edit#gid=1336395716"", ""Science!M:N""), 2, FALSE)"),"(LU006588.003); Default - Apply")</f>
        <v>(LU006588.003); Default - Apply</v>
      </c>
      <c r="P7" s="1" t="str">
        <f t="shared" si="3"/>
        <v>LU006588.004</v>
      </c>
      <c r="Q7" s="15" t="str">
        <f ca="1">IFERROR(__xludf.dummyfunction("VLOOKUP(P7, IMPORTRANGE(""https://docs.google.com/spreadsheets/d/1yDAaXNsi4Mr5FtRQL4tbmSdIzhx6_m4wkOD7IG-k_eo/edit#gid=1336395716"", ""Science!M:N""), 2, FALSE)"),"(LU006588.004); Default - Analyse")</f>
        <v>(LU006588.004); Default - Analyse</v>
      </c>
      <c r="R7" s="1" t="str">
        <f t="shared" si="4"/>
        <v>LU006588.005</v>
      </c>
      <c r="S7" s="15" t="str">
        <f ca="1">IFERROR(__xludf.dummyfunction("VLOOKUP(R7, IMPORTRANGE(""https://docs.google.com/spreadsheets/d/1yDAaXNsi4Mr5FtRQL4tbmSdIzhx6_m4wkOD7IG-k_eo/edit#gid=1336395716"", ""Science!M:N""), 2, FALSE)"),"(LU006588.005); Default - Evaluate")</f>
        <v>(LU006588.005); Default - Evaluate</v>
      </c>
      <c r="T7" s="1" t="str">
        <f t="shared" si="5"/>
        <v>LU006588.006</v>
      </c>
      <c r="U7" s="15" t="str">
        <f ca="1">IFERROR(__xludf.dummyfunction("VLOOKUP(T7, IMPORTRANGE(""https://docs.google.com/spreadsheets/d/1yDAaXNsi4Mr5FtRQL4tbmSdIzhx6_m4wkOD7IG-k_eo/edit#gid=1336395716"", ""Science!M:N""), 2, FALSE)"),"(LU006588.006); Default - Create")</f>
        <v>(LU006588.006); Default - Create</v>
      </c>
      <c r="V7" s="18"/>
      <c r="W7" s="18"/>
      <c r="X7" s="18"/>
      <c r="Y7" s="18"/>
      <c r="Z7" s="18"/>
      <c r="AA7" s="18"/>
      <c r="AB7" s="18"/>
      <c r="AC7" s="18"/>
      <c r="AD7" s="18"/>
      <c r="AE7" s="18"/>
      <c r="AF7" s="18"/>
      <c r="AG7" s="18"/>
    </row>
    <row r="8" spans="1:33" ht="27.6">
      <c r="A8" s="18"/>
      <c r="B8" s="18" t="s">
        <v>29</v>
      </c>
      <c r="C8" s="105">
        <v>6</v>
      </c>
      <c r="D8" s="18" t="s">
        <v>1282</v>
      </c>
      <c r="E8" s="18" t="s">
        <v>1283</v>
      </c>
      <c r="F8" s="18" t="s">
        <v>1290</v>
      </c>
      <c r="G8" s="14" t="s">
        <v>1294</v>
      </c>
      <c r="H8" s="1" t="str">
        <f ca="1">IFERROR(__xludf.dummyfunction("IFERROR(
  VLOOKUP(G8, IMPORTRANGE(""https://docs.google.com/spreadsheets/d/14deopnvwcrKtEGCKuYXdUHJbeLDZlkiSSWWT0g7x2pM/edit#gid=849066331"", ""LU List Maths (Filter)!A:B""), 2, FALSE),
  IFERROR(
    VLOOKUP(G8, IMPORTRANGE(""https://docs.google.com/spr"&amp;"eadsheets/d/14deopnvwcrKtEGCKuYXdUHJbeLDZlkiSSWWT0g7x2pM/edit#gid=849066331"", ""LU List Science (Filter)!A:B""), 2, FALSE),
    ""Not Found""
  )
)
"),"Vegetative propagation in leaf")</f>
        <v>Vegetative propagation in leaf</v>
      </c>
      <c r="I8" s="18" t="s">
        <v>1295</v>
      </c>
      <c r="J8" s="1" t="str">
        <f t="shared" si="0"/>
        <v>LU006589.001</v>
      </c>
      <c r="K8" s="1" t="str">
        <f ca="1">IFERROR(__xludf.dummyfunction("VLOOKUP(J8, IMPORTRANGE(""https://docs.google.com/spreadsheets/d/1yDAaXNsi4Mr5FtRQL4tbmSdIzhx6_m4wkOD7IG-k_eo/edit#gid=1336395716"", ""Science!M:N""), 2, FALSE)"),"(LU006589.001); Default - Remember")</f>
        <v>(LU006589.001); Default - Remember</v>
      </c>
      <c r="L8" s="1" t="str">
        <f t="shared" si="1"/>
        <v>LU006589.002</v>
      </c>
      <c r="M8" s="1" t="str">
        <f ca="1">IFERROR(__xludf.dummyfunction("VLOOKUP(L8, IMPORTRANGE(""https://docs.google.com/spreadsheets/d/1yDAaXNsi4Mr5FtRQL4tbmSdIzhx6_m4wkOD7IG-k_eo/edit#gid=1336395716"", ""Science!M:N""), 2, FALSE)"),"(LU006589.002); Default - Understand")</f>
        <v>(LU006589.002); Default - Understand</v>
      </c>
      <c r="N8" s="1" t="str">
        <f t="shared" si="2"/>
        <v>LU006589.003</v>
      </c>
      <c r="O8" s="1" t="str">
        <f ca="1">IFERROR(__xludf.dummyfunction("VLOOKUP(N8, IMPORTRANGE(""https://docs.google.com/spreadsheets/d/1yDAaXNsi4Mr5FtRQL4tbmSdIzhx6_m4wkOD7IG-k_eo/edit#gid=1336395716"", ""Science!M:N""), 2, FALSE)"),"(LU006589.003); Default - Apply")</f>
        <v>(LU006589.003); Default - Apply</v>
      </c>
      <c r="P8" s="1" t="str">
        <f t="shared" si="3"/>
        <v>LU006589.004</v>
      </c>
      <c r="Q8" s="15" t="str">
        <f ca="1">IFERROR(__xludf.dummyfunction("VLOOKUP(P8, IMPORTRANGE(""https://docs.google.com/spreadsheets/d/1yDAaXNsi4Mr5FtRQL4tbmSdIzhx6_m4wkOD7IG-k_eo/edit#gid=1336395716"", ""Science!M:N""), 2, FALSE)"),"(LU006589.004); Default - Analyse")</f>
        <v>(LU006589.004); Default - Analyse</v>
      </c>
      <c r="R8" s="1" t="str">
        <f t="shared" si="4"/>
        <v>LU006589.005</v>
      </c>
      <c r="S8" s="15" t="str">
        <f ca="1">IFERROR(__xludf.dummyfunction("VLOOKUP(R8, IMPORTRANGE(""https://docs.google.com/spreadsheets/d/1yDAaXNsi4Mr5FtRQL4tbmSdIzhx6_m4wkOD7IG-k_eo/edit#gid=1336395716"", ""Science!M:N""), 2, FALSE)"),"(LU006589.005); Default - Evaluate")</f>
        <v>(LU006589.005); Default - Evaluate</v>
      </c>
      <c r="T8" s="1" t="str">
        <f t="shared" si="5"/>
        <v>LU006589.006</v>
      </c>
      <c r="U8" s="15" t="str">
        <f ca="1">IFERROR(__xludf.dummyfunction("VLOOKUP(T8, IMPORTRANGE(""https://docs.google.com/spreadsheets/d/1yDAaXNsi4Mr5FtRQL4tbmSdIzhx6_m4wkOD7IG-k_eo/edit#gid=1336395716"", ""Science!M:N""), 2, FALSE)"),"(LU006589.006); Default - Create")</f>
        <v>(LU006589.006); Default - Create</v>
      </c>
      <c r="V8" s="18"/>
      <c r="W8" s="18"/>
      <c r="X8" s="18"/>
      <c r="Y8" s="18"/>
      <c r="Z8" s="18"/>
      <c r="AA8" s="18"/>
      <c r="AB8" s="18"/>
      <c r="AC8" s="18"/>
      <c r="AD8" s="18"/>
      <c r="AE8" s="18"/>
      <c r="AF8" s="18"/>
      <c r="AG8" s="18"/>
    </row>
    <row r="9" spans="1:33" ht="55.2">
      <c r="A9" s="18"/>
      <c r="B9" s="18" t="s">
        <v>29</v>
      </c>
      <c r="C9" s="105">
        <v>6</v>
      </c>
      <c r="D9" s="18" t="s">
        <v>1296</v>
      </c>
      <c r="E9" s="18" t="s">
        <v>1283</v>
      </c>
      <c r="F9" s="18" t="s">
        <v>1297</v>
      </c>
      <c r="G9" s="14" t="s">
        <v>1298</v>
      </c>
      <c r="H9" s="1" t="str">
        <f ca="1">IFERROR(__xludf.dummyfunction("IFERROR(
  VLOOKUP(G9, IMPORTRANGE(""https://docs.google.com/spreadsheets/d/14deopnvwcrKtEGCKuYXdUHJbeLDZlkiSSWWT0g7x2pM/edit#gid=849066331"", ""LU List Maths (Filter)!A:B""), 2, FALSE),
  IFERROR(
    VLOOKUP(G9, IMPORTRANGE(""https://docs.google.com/spr"&amp;"eadsheets/d/14deopnvwcrKtEGCKuYXdUHJbeLDZlkiSSWWT0g7x2pM/edit#gid=849066331"", ""LU List Science (Filter)!A:B""), 2, FALSE),
    ""Not Found""
  )
)
"),"Structure and function of each whorl of flower")</f>
        <v>Structure and function of each whorl of flower</v>
      </c>
      <c r="I9" s="18" t="s">
        <v>1299</v>
      </c>
      <c r="J9" s="1" t="str">
        <f t="shared" si="0"/>
        <v>LU006590.001</v>
      </c>
      <c r="K9" s="1" t="str">
        <f ca="1">IFERROR(__xludf.dummyfunction("VLOOKUP(J9, IMPORTRANGE(""https://docs.google.com/spreadsheets/d/1yDAaXNsi4Mr5FtRQL4tbmSdIzhx6_m4wkOD7IG-k_eo/edit#gid=1336395716"", ""Science!M:N""), 2, FALSE)"),"(LU006590.001); Default - Remember")</f>
        <v>(LU006590.001); Default - Remember</v>
      </c>
      <c r="L9" s="1" t="str">
        <f t="shared" si="1"/>
        <v>LU006590.002</v>
      </c>
      <c r="M9" s="1" t="str">
        <f ca="1">IFERROR(__xludf.dummyfunction("VLOOKUP(L9, IMPORTRANGE(""https://docs.google.com/spreadsheets/d/1yDAaXNsi4Mr5FtRQL4tbmSdIzhx6_m4wkOD7IG-k_eo/edit#gid=1336395716"", ""Science!M:N""), 2, FALSE)"),"(LU006590.002); Default - Understand")</f>
        <v>(LU006590.002); Default - Understand</v>
      </c>
      <c r="N9" s="1" t="str">
        <f t="shared" si="2"/>
        <v>LU006590.003</v>
      </c>
      <c r="O9" s="1" t="str">
        <f ca="1">IFERROR(__xludf.dummyfunction("VLOOKUP(N9, IMPORTRANGE(""https://docs.google.com/spreadsheets/d/1yDAaXNsi4Mr5FtRQL4tbmSdIzhx6_m4wkOD7IG-k_eo/edit#gid=1336395716"", ""Science!M:N""), 2, FALSE)"),"(LU006590.003); Default - Apply")</f>
        <v>(LU006590.003); Default - Apply</v>
      </c>
      <c r="P9" s="1" t="str">
        <f t="shared" si="3"/>
        <v>LU006590.004</v>
      </c>
      <c r="Q9" s="15" t="str">
        <f ca="1">IFERROR(__xludf.dummyfunction("VLOOKUP(P9, IMPORTRANGE(""https://docs.google.com/spreadsheets/d/1yDAaXNsi4Mr5FtRQL4tbmSdIzhx6_m4wkOD7IG-k_eo/edit#gid=1336395716"", ""Science!M:N""), 2, FALSE)"),"(LU006590.004); Default - Analyse")</f>
        <v>(LU006590.004); Default - Analyse</v>
      </c>
      <c r="R9" s="1" t="str">
        <f t="shared" si="4"/>
        <v>LU006590.005</v>
      </c>
      <c r="S9" s="15" t="str">
        <f ca="1">IFERROR(__xludf.dummyfunction("VLOOKUP(R9, IMPORTRANGE(""https://docs.google.com/spreadsheets/d/1yDAaXNsi4Mr5FtRQL4tbmSdIzhx6_m4wkOD7IG-k_eo/edit#gid=1336395716"", ""Science!M:N""), 2, FALSE)"),"(LU006590.005); Default - Evaluate")</f>
        <v>(LU006590.005); Default - Evaluate</v>
      </c>
      <c r="T9" s="1" t="str">
        <f t="shared" si="5"/>
        <v>LU006590.006</v>
      </c>
      <c r="U9" s="15" t="str">
        <f ca="1">IFERROR(__xludf.dummyfunction("VLOOKUP(T9, IMPORTRANGE(""https://docs.google.com/spreadsheets/d/1yDAaXNsi4Mr5FtRQL4tbmSdIzhx6_m4wkOD7IG-k_eo/edit#gid=1336395716"", ""Science!M:N""), 2, FALSE)"),"(LU006590.006); Default - Create")</f>
        <v>(LU006590.006); Default - Create</v>
      </c>
      <c r="V9" s="18"/>
      <c r="W9" s="18"/>
      <c r="X9" s="18"/>
      <c r="Y9" s="18"/>
      <c r="Z9" s="18"/>
      <c r="AA9" s="18"/>
      <c r="AB9" s="18"/>
      <c r="AC9" s="18"/>
      <c r="AD9" s="18"/>
      <c r="AE9" s="18"/>
      <c r="AF9" s="18"/>
      <c r="AG9" s="18"/>
    </row>
    <row r="10" spans="1:33" ht="27.6">
      <c r="A10" s="18"/>
      <c r="B10" s="18" t="s">
        <v>29</v>
      </c>
      <c r="C10" s="105">
        <v>6</v>
      </c>
      <c r="D10" s="18" t="s">
        <v>1296</v>
      </c>
      <c r="E10" s="18" t="s">
        <v>1283</v>
      </c>
      <c r="F10" s="18" t="s">
        <v>1300</v>
      </c>
      <c r="G10" s="14" t="s">
        <v>1301</v>
      </c>
      <c r="H10" s="1" t="str">
        <f ca="1">IFERROR(__xludf.dummyfunction("IFERROR(
  VLOOKUP(G10, IMPORTRANGE(""https://docs.google.com/spreadsheets/d/14deopnvwcrKtEGCKuYXdUHJbeLDZlkiSSWWT0g7x2pM/edit#gid=849066331"", ""LU List Maths (Filter)!A:B""), 2, FALSE),
  IFERROR(
    VLOOKUP(G10, IMPORTRANGE(""https://docs.google.com/s"&amp;"preadsheets/d/14deopnvwcrKtEGCKuYXdUHJbeLDZlkiSSWWT0g7x2pM/edit#gid=849066331"", ""LU List Science (Filter)!A:B""), 2, FALSE),
    ""Not Found""
  )
)
"),"Self and cross-pollination in flowers")</f>
        <v>Self and cross-pollination in flowers</v>
      </c>
      <c r="I10" s="18"/>
      <c r="J10" s="1" t="str">
        <f t="shared" si="0"/>
        <v>LU006591.001</v>
      </c>
      <c r="K10" s="1" t="str">
        <f ca="1">IFERROR(__xludf.dummyfunction("VLOOKUP(J10, IMPORTRANGE(""https://docs.google.com/spreadsheets/d/1yDAaXNsi4Mr5FtRQL4tbmSdIzhx6_m4wkOD7IG-k_eo/edit#gid=1336395716"", ""Science!M:N""), 2, FALSE)"),"(LU006591.001); Default - Remember")</f>
        <v>(LU006591.001); Default - Remember</v>
      </c>
      <c r="L10" s="1" t="str">
        <f t="shared" si="1"/>
        <v>LU006591.002</v>
      </c>
      <c r="M10" s="1" t="str">
        <f ca="1">IFERROR(__xludf.dummyfunction("VLOOKUP(L10, IMPORTRANGE(""https://docs.google.com/spreadsheets/d/1yDAaXNsi4Mr5FtRQL4tbmSdIzhx6_m4wkOD7IG-k_eo/edit#gid=1336395716"", ""Science!M:N""), 2, FALSE)"),"(LU006591.002); Default - Understand")</f>
        <v>(LU006591.002); Default - Understand</v>
      </c>
      <c r="N10" s="1" t="str">
        <f t="shared" si="2"/>
        <v>LU006591.003</v>
      </c>
      <c r="O10" s="1" t="str">
        <f ca="1">IFERROR(__xludf.dummyfunction("VLOOKUP(N10, IMPORTRANGE(""https://docs.google.com/spreadsheets/d/1yDAaXNsi4Mr5FtRQL4tbmSdIzhx6_m4wkOD7IG-k_eo/edit#gid=1336395716"", ""Science!M:N""), 2, FALSE)"),"(LU006591.003); Default - Apply")</f>
        <v>(LU006591.003); Default - Apply</v>
      </c>
      <c r="P10" s="1" t="str">
        <f t="shared" si="3"/>
        <v>LU006591.004</v>
      </c>
      <c r="Q10" s="15" t="str">
        <f ca="1">IFERROR(__xludf.dummyfunction("VLOOKUP(P10, IMPORTRANGE(""https://docs.google.com/spreadsheets/d/1yDAaXNsi4Mr5FtRQL4tbmSdIzhx6_m4wkOD7IG-k_eo/edit#gid=1336395716"", ""Science!M:N""), 2, FALSE)"),"(LU006591.004); Default - Analyse")</f>
        <v>(LU006591.004); Default - Analyse</v>
      </c>
      <c r="R10" s="1" t="str">
        <f t="shared" si="4"/>
        <v>LU006591.005</v>
      </c>
      <c r="S10" s="15" t="str">
        <f ca="1">IFERROR(__xludf.dummyfunction("VLOOKUP(R10, IMPORTRANGE(""https://docs.google.com/spreadsheets/d/1yDAaXNsi4Mr5FtRQL4tbmSdIzhx6_m4wkOD7IG-k_eo/edit#gid=1336395716"", ""Science!M:N""), 2, FALSE)"),"(LU006591.005); Default - Evaluate")</f>
        <v>(LU006591.005); Default - Evaluate</v>
      </c>
      <c r="T10" s="1" t="str">
        <f t="shared" si="5"/>
        <v>LU006591.006</v>
      </c>
      <c r="U10" s="15" t="str">
        <f ca="1">IFERROR(__xludf.dummyfunction("VLOOKUP(T10, IMPORTRANGE(""https://docs.google.com/spreadsheets/d/1yDAaXNsi4Mr5FtRQL4tbmSdIzhx6_m4wkOD7IG-k_eo/edit#gid=1336395716"", ""Science!M:N""), 2, FALSE)"),"(LU006591.006); Default - Create")</f>
        <v>(LU006591.006); Default - Create</v>
      </c>
      <c r="V10" s="18"/>
      <c r="W10" s="18"/>
      <c r="X10" s="18"/>
      <c r="Y10" s="18"/>
      <c r="Z10" s="18"/>
      <c r="AA10" s="18"/>
      <c r="AB10" s="18"/>
      <c r="AC10" s="18"/>
      <c r="AD10" s="18"/>
      <c r="AE10" s="18"/>
      <c r="AF10" s="18"/>
      <c r="AG10" s="18"/>
    </row>
    <row r="11" spans="1:33" ht="41.4">
      <c r="A11" s="18"/>
      <c r="B11" s="18" t="s">
        <v>29</v>
      </c>
      <c r="C11" s="105">
        <v>6</v>
      </c>
      <c r="D11" s="18" t="s">
        <v>1296</v>
      </c>
      <c r="E11" s="18" t="s">
        <v>1283</v>
      </c>
      <c r="F11" s="18" t="s">
        <v>1300</v>
      </c>
      <c r="G11" s="14" t="s">
        <v>1302</v>
      </c>
      <c r="H11" s="1" t="str">
        <f ca="1">IFERROR(__xludf.dummyfunction("IFERROR(
  VLOOKUP(G11, IMPORTRANGE(""https://docs.google.com/spreadsheets/d/14deopnvwcrKtEGCKuYXdUHJbeLDZlkiSSWWT0g7x2pM/edit#gid=849066331"", ""LU List Maths (Filter)!A:B""), 2, FALSE),
  IFERROR(
    VLOOKUP(G11, IMPORTRANGE(""https://docs.google.com/s"&amp;"preadsheets/d/14deopnvwcrKtEGCKuYXdUHJbeLDZlkiSSWWT0g7x2pM/edit#gid=849066331"", ""LU List Science (Filter)!A:B""), 2, FALSE),
    ""Not Found""
  )
)
"),"Agents of cross pollination(wind, water and insects)")</f>
        <v>Agents of cross pollination(wind, water and insects)</v>
      </c>
      <c r="I11" s="18" t="s">
        <v>1303</v>
      </c>
      <c r="J11" s="1" t="str">
        <f t="shared" si="0"/>
        <v>LU006592.001</v>
      </c>
      <c r="K11" s="1" t="str">
        <f ca="1">IFERROR(__xludf.dummyfunction("VLOOKUP(J11, IMPORTRANGE(""https://docs.google.com/spreadsheets/d/1yDAaXNsi4Mr5FtRQL4tbmSdIzhx6_m4wkOD7IG-k_eo/edit#gid=1336395716"", ""Science!M:N""), 2, FALSE)"),"(LU006592.001); Default - Remember")</f>
        <v>(LU006592.001); Default - Remember</v>
      </c>
      <c r="L11" s="1" t="str">
        <f t="shared" si="1"/>
        <v>LU006592.002</v>
      </c>
      <c r="M11" s="1" t="str">
        <f ca="1">IFERROR(__xludf.dummyfunction("VLOOKUP(L11, IMPORTRANGE(""https://docs.google.com/spreadsheets/d/1yDAaXNsi4Mr5FtRQL4tbmSdIzhx6_m4wkOD7IG-k_eo/edit#gid=1336395716"", ""Science!M:N""), 2, FALSE)"),"(LU006592.002); Default - Understand")</f>
        <v>(LU006592.002); Default - Understand</v>
      </c>
      <c r="N11" s="1" t="str">
        <f t="shared" si="2"/>
        <v>LU006592.003</v>
      </c>
      <c r="O11" s="1" t="str">
        <f ca="1">IFERROR(__xludf.dummyfunction("VLOOKUP(N11, IMPORTRANGE(""https://docs.google.com/spreadsheets/d/1yDAaXNsi4Mr5FtRQL4tbmSdIzhx6_m4wkOD7IG-k_eo/edit#gid=1336395716"", ""Science!M:N""), 2, FALSE)"),"(LU006592.003); Default - Apply")</f>
        <v>(LU006592.003); Default - Apply</v>
      </c>
      <c r="P11" s="1" t="str">
        <f t="shared" si="3"/>
        <v>LU006592.004</v>
      </c>
      <c r="Q11" s="15" t="str">
        <f ca="1">IFERROR(__xludf.dummyfunction("VLOOKUP(P11, IMPORTRANGE(""https://docs.google.com/spreadsheets/d/1yDAaXNsi4Mr5FtRQL4tbmSdIzhx6_m4wkOD7IG-k_eo/edit#gid=1336395716"", ""Science!M:N""), 2, FALSE)"),"(LU006592.004); Default - Analyse")</f>
        <v>(LU006592.004); Default - Analyse</v>
      </c>
      <c r="R11" s="1" t="str">
        <f t="shared" si="4"/>
        <v>LU006592.005</v>
      </c>
      <c r="S11" s="15" t="str">
        <f ca="1">IFERROR(__xludf.dummyfunction("VLOOKUP(R11, IMPORTRANGE(""https://docs.google.com/spreadsheets/d/1yDAaXNsi4Mr5FtRQL4tbmSdIzhx6_m4wkOD7IG-k_eo/edit#gid=1336395716"", ""Science!M:N""), 2, FALSE)"),"(LU006592.005); Default - Evaluate")</f>
        <v>(LU006592.005); Default - Evaluate</v>
      </c>
      <c r="T11" s="1" t="str">
        <f t="shared" si="5"/>
        <v>LU006592.006</v>
      </c>
      <c r="U11" s="15" t="str">
        <f ca="1">IFERROR(__xludf.dummyfunction("VLOOKUP(T11, IMPORTRANGE(""https://docs.google.com/spreadsheets/d/1yDAaXNsi4Mr5FtRQL4tbmSdIzhx6_m4wkOD7IG-k_eo/edit#gid=1336395716"", ""Science!M:N""), 2, FALSE)"),"(LU006592.006); Default - Create")</f>
        <v>(LU006592.006); Default - Create</v>
      </c>
      <c r="V11" s="18"/>
      <c r="W11" s="18"/>
      <c r="X11" s="18"/>
      <c r="Y11" s="18"/>
      <c r="Z11" s="18"/>
      <c r="AA11" s="18"/>
      <c r="AB11" s="18"/>
      <c r="AC11" s="18"/>
      <c r="AD11" s="18"/>
      <c r="AE11" s="18"/>
      <c r="AF11" s="18"/>
      <c r="AG11" s="18"/>
    </row>
    <row r="12" spans="1:33" ht="41.4">
      <c r="A12" s="1"/>
      <c r="B12" s="1" t="s">
        <v>29</v>
      </c>
      <c r="C12" s="13">
        <v>6</v>
      </c>
      <c r="D12" s="1" t="s">
        <v>1296</v>
      </c>
      <c r="E12" s="1" t="s">
        <v>1283</v>
      </c>
      <c r="F12" s="1" t="s">
        <v>1304</v>
      </c>
      <c r="G12" s="1" t="s">
        <v>1305</v>
      </c>
      <c r="H12" s="1" t="str">
        <f ca="1">IFERROR(__xludf.dummyfunction("IFERROR(
  VLOOKUP(G12, IMPORTRANGE(""https://docs.google.com/spreadsheets/d/14deopnvwcrKtEGCKuYXdUHJbeLDZlkiSSWWT0g7x2pM/edit#gid=849066331"", ""LU List Maths (Filter)!A:B""), 2, FALSE),
  IFERROR(
    VLOOKUP(G12, IMPORTRANGE(""https://docs.google.com/s"&amp;"preadsheets/d/14deopnvwcrKtEGCKuYXdUHJbeLDZlkiSSWWT0g7x2pM/edit#gid=849066331"", ""LU List Science (Filter)!A:B""), 2, FALSE),
    ""Not Found""
  )
)
"),"Fertilization and post-fertilisation events in a flowering plant")</f>
        <v>Fertilization and post-fertilisation events in a flowering plant</v>
      </c>
      <c r="I12" s="1"/>
      <c r="J12" s="1" t="str">
        <f t="shared" si="0"/>
        <v>LU005962.001</v>
      </c>
      <c r="K12" s="1" t="str">
        <f ca="1">IFERROR(__xludf.dummyfunction("VLOOKUP(J12, IMPORTRANGE(""https://docs.google.com/spreadsheets/d/1yDAaXNsi4Mr5FtRQL4tbmSdIzhx6_m4wkOD7IG-k_eo/edit#gid=1336395716"", ""Science!M:N""), 2, FALSE)"),"Define fertilization and identify its role in the sexual reproduction of flowering plants.")</f>
        <v>Define fertilization and identify its role in the sexual reproduction of flowering plants.</v>
      </c>
      <c r="L12" s="1" t="str">
        <f t="shared" si="1"/>
        <v>LU005962.002</v>
      </c>
      <c r="M12" s="1" t="str">
        <f ca="1">IFERROR(__xludf.dummyfunction("VLOOKUP(L12, IMPORTRANGE(""https://docs.google.com/spreadsheets/d/1yDAaXNsi4Mr5FtRQL4tbmSdIzhx6_m4wkOD7IG-k_eo/edit#gid=1336395716"", ""Science!M:N""), 2, FALSE)"),"Summarize the stages of fertilization and  post-fertilization events in a flowering plant.")</f>
        <v>Summarize the stages of fertilization and  post-fertilization events in a flowering plant.</v>
      </c>
      <c r="N12" s="1" t="str">
        <f t="shared" si="2"/>
        <v>LU005962.003</v>
      </c>
      <c r="O12" s="1" t="str">
        <f ca="1">IFERROR(__xludf.dummyfunction("VLOOKUP(N12, IMPORTRANGE(""https://docs.google.com/spreadsheets/d/1yDAaXNsi4Mr5FtRQL4tbmSdIzhx6_m4wkOD7IG-k_eo/edit#gid=1336395716"", ""Science!M:N""), 2, FALSE)"),"Apply knowledge of fertilization to predict changes in a plant after the fertilization event.")</f>
        <v>Apply knowledge of fertilization to predict changes in a plant after the fertilization event.</v>
      </c>
      <c r="P12" s="1" t="str">
        <f t="shared" si="3"/>
        <v>LU005962.004</v>
      </c>
      <c r="Q12" s="15" t="str">
        <f ca="1">IFERROR(__xludf.dummyfunction("VLOOKUP(P12, IMPORTRANGE(""https://docs.google.com/spreadsheets/d/1yDAaXNsi4Mr5FtRQL4tbmSdIzhx6_m4wkOD7IG-k_eo/edit#gid=1336395716"", ""Science!M:N""), 2, FALSE)"),"Differentiate between the processes of fertilization and post-fertilization in the context of plant development.")</f>
        <v>Differentiate between the processes of fertilization and post-fertilization in the context of plant development.</v>
      </c>
      <c r="R12" s="1" t="str">
        <f t="shared" si="4"/>
        <v>LU005962.005</v>
      </c>
      <c r="S12" s="15" t="str">
        <f ca="1">IFERROR(__xludf.dummyfunction("VLOOKUP(R12, IMPORTRANGE(""https://docs.google.com/spreadsheets/d/1yDAaXNsi4Mr5FtRQL4tbmSdIzhx6_m4wkOD7IG-k_eo/edit#gid=1336395716"", ""Science!M:N""), 2, FALSE)"),"Evaluate the significance of post-fertilization events in the life cycle of flowering plants.")</f>
        <v>Evaluate the significance of post-fertilization events in the life cycle of flowering plants.</v>
      </c>
      <c r="T12" s="1" t="str">
        <f t="shared" si="5"/>
        <v>LU005962.006</v>
      </c>
      <c r="U12" s="15" t="str">
        <f ca="1">IFERROR(__xludf.dummyfunction("VLOOKUP(T12, IMPORTRANGE(""https://docs.google.com/spreadsheets/d/1yDAaXNsi4Mr5FtRQL4tbmSdIzhx6_m4wkOD7IG-k_eo/edit#gid=1336395716"", ""Science!M:N""), 2, FALSE)"),"#N/A")</f>
        <v>#N/A</v>
      </c>
      <c r="V12" s="1"/>
      <c r="W12" s="1"/>
      <c r="X12" s="1"/>
      <c r="Y12" s="1"/>
      <c r="Z12" s="1"/>
      <c r="AA12" s="1"/>
      <c r="AB12" s="1"/>
      <c r="AC12" s="1"/>
      <c r="AD12" s="1"/>
      <c r="AE12" s="1"/>
      <c r="AF12" s="1"/>
      <c r="AG12" s="1"/>
    </row>
    <row r="13" spans="1:33" ht="27.6">
      <c r="A13" s="18"/>
      <c r="B13" s="18" t="s">
        <v>29</v>
      </c>
      <c r="C13" s="105">
        <v>6</v>
      </c>
      <c r="D13" s="18" t="s">
        <v>1296</v>
      </c>
      <c r="E13" s="18" t="s">
        <v>1283</v>
      </c>
      <c r="F13" s="18" t="s">
        <v>1306</v>
      </c>
      <c r="G13" s="14" t="s">
        <v>1307</v>
      </c>
      <c r="H13" s="1" t="str">
        <f ca="1">IFERROR(__xludf.dummyfunction("IFERROR(
  VLOOKUP(G13, IMPORTRANGE(""https://docs.google.com/spreadsheets/d/14deopnvwcrKtEGCKuYXdUHJbeLDZlkiSSWWT0g7x2pM/edit#gid=849066331"", ""LU List Maths (Filter)!A:B""), 2, FALSE),
  IFERROR(
    VLOOKUP(G13, IMPORTRANGE(""https://docs.google.com/s"&amp;"preadsheets/d/14deopnvwcrKtEGCKuYXdUHJbeLDZlkiSSWWT0g7x2pM/edit#gid=849066331"", ""LU List Science (Filter)!A:B""), 2, FALSE),
    ""Not Found""
  )
)
"),"Parts of fruits(dry and fleshy with examples)")</f>
        <v>Parts of fruits(dry and fleshy with examples)</v>
      </c>
      <c r="I13" s="18"/>
      <c r="J13" s="1" t="str">
        <f t="shared" si="0"/>
        <v>LU006593.001</v>
      </c>
      <c r="K13" s="1" t="str">
        <f ca="1">IFERROR(__xludf.dummyfunction("VLOOKUP(J13, IMPORTRANGE(""https://docs.google.com/spreadsheets/d/1yDAaXNsi4Mr5FtRQL4tbmSdIzhx6_m4wkOD7IG-k_eo/edit#gid=1336395716"", ""Science!M:N""), 2, FALSE)"),"(LU006593.001); Default - Remember")</f>
        <v>(LU006593.001); Default - Remember</v>
      </c>
      <c r="L13" s="1" t="str">
        <f t="shared" si="1"/>
        <v>LU006593.002</v>
      </c>
      <c r="M13" s="1" t="str">
        <f ca="1">IFERROR(__xludf.dummyfunction("VLOOKUP(L13, IMPORTRANGE(""https://docs.google.com/spreadsheets/d/1yDAaXNsi4Mr5FtRQL4tbmSdIzhx6_m4wkOD7IG-k_eo/edit#gid=1336395716"", ""Science!M:N""), 2, FALSE)"),"(LU006593.002); Default - Understand")</f>
        <v>(LU006593.002); Default - Understand</v>
      </c>
      <c r="N13" s="1" t="str">
        <f t="shared" si="2"/>
        <v>LU006593.003</v>
      </c>
      <c r="O13" s="1" t="str">
        <f ca="1">IFERROR(__xludf.dummyfunction("VLOOKUP(N13, IMPORTRANGE(""https://docs.google.com/spreadsheets/d/1yDAaXNsi4Mr5FtRQL4tbmSdIzhx6_m4wkOD7IG-k_eo/edit#gid=1336395716"", ""Science!M:N""), 2, FALSE)"),"(LU006593.003); Default - Apply")</f>
        <v>(LU006593.003); Default - Apply</v>
      </c>
      <c r="P13" s="1" t="str">
        <f t="shared" si="3"/>
        <v>LU006593.004</v>
      </c>
      <c r="Q13" s="15" t="str">
        <f ca="1">IFERROR(__xludf.dummyfunction("VLOOKUP(P13, IMPORTRANGE(""https://docs.google.com/spreadsheets/d/1yDAaXNsi4Mr5FtRQL4tbmSdIzhx6_m4wkOD7IG-k_eo/edit#gid=1336395716"", ""Science!M:N""), 2, FALSE)"),"(LU006593.004); Default - Analyse")</f>
        <v>(LU006593.004); Default - Analyse</v>
      </c>
      <c r="R13" s="1" t="str">
        <f t="shared" si="4"/>
        <v>LU006593.005</v>
      </c>
      <c r="S13" s="15" t="str">
        <f ca="1">IFERROR(__xludf.dummyfunction("VLOOKUP(R13, IMPORTRANGE(""https://docs.google.com/spreadsheets/d/1yDAaXNsi4Mr5FtRQL4tbmSdIzhx6_m4wkOD7IG-k_eo/edit#gid=1336395716"", ""Science!M:N""), 2, FALSE)"),"(LU006593.005); Default - Evaluate")</f>
        <v>(LU006593.005); Default - Evaluate</v>
      </c>
      <c r="T13" s="1" t="str">
        <f t="shared" si="5"/>
        <v>LU006593.006</v>
      </c>
      <c r="U13" s="15" t="str">
        <f ca="1">IFERROR(__xludf.dummyfunction("VLOOKUP(T13, IMPORTRANGE(""https://docs.google.com/spreadsheets/d/1yDAaXNsi4Mr5FtRQL4tbmSdIzhx6_m4wkOD7IG-k_eo/edit#gid=1336395716"", ""Science!M:N""), 2, FALSE)"),"(LU006593.006); Default - Create")</f>
        <v>(LU006593.006); Default - Create</v>
      </c>
      <c r="V13" s="18"/>
      <c r="W13" s="18"/>
      <c r="X13" s="18"/>
      <c r="Y13" s="18"/>
      <c r="Z13" s="18"/>
      <c r="AA13" s="18"/>
      <c r="AB13" s="18"/>
      <c r="AC13" s="18"/>
      <c r="AD13" s="18"/>
      <c r="AE13" s="18"/>
      <c r="AF13" s="18"/>
      <c r="AG13" s="18"/>
    </row>
    <row r="14" spans="1:33" ht="41.4">
      <c r="A14" s="18"/>
      <c r="B14" s="18" t="s">
        <v>29</v>
      </c>
      <c r="C14" s="105">
        <v>6</v>
      </c>
      <c r="D14" s="18" t="s">
        <v>1296</v>
      </c>
      <c r="E14" s="18" t="s">
        <v>1283</v>
      </c>
      <c r="F14" s="18" t="s">
        <v>1306</v>
      </c>
      <c r="G14" s="14" t="s">
        <v>1308</v>
      </c>
      <c r="H14" s="1" t="str">
        <f ca="1">IFERROR(__xludf.dummyfunction("IFERROR(
  VLOOKUP(G14, IMPORTRANGE(""https://docs.google.com/spreadsheets/d/14deopnvwcrKtEGCKuYXdUHJbeLDZlkiSSWWT0g7x2pM/edit#gid=849066331"", ""LU List Maths (Filter)!A:B""), 2, FALSE),
  IFERROR(
    VLOOKUP(G14, IMPORTRANGE(""https://docs.google.com/s"&amp;"preadsheets/d/14deopnvwcrKtEGCKuYXdUHJbeLDZlkiSSWWT0g7x2pM/edit#gid=849066331"", ""LU List Science (Filter)!A:B""), 2, FALSE),
    ""Not Found""
  )
)
"),"Parts of the pericarp of fleshy fruits (epicarp, mesocarp, endocarp) and function of each part")</f>
        <v>Parts of the pericarp of fleshy fruits (epicarp, mesocarp, endocarp) and function of each part</v>
      </c>
      <c r="I14" s="18"/>
      <c r="J14" s="1" t="str">
        <f t="shared" si="0"/>
        <v>LU006594.001</v>
      </c>
      <c r="K14" s="1" t="str">
        <f ca="1">IFERROR(__xludf.dummyfunction("VLOOKUP(J14, IMPORTRANGE(""https://docs.google.com/spreadsheets/d/1yDAaXNsi4Mr5FtRQL4tbmSdIzhx6_m4wkOD7IG-k_eo/edit#gid=1336395716"", ""Science!M:N""), 2, FALSE)"),"(LU006594.001); Default - Remember")</f>
        <v>(LU006594.001); Default - Remember</v>
      </c>
      <c r="L14" s="1" t="str">
        <f t="shared" si="1"/>
        <v>LU006594.002</v>
      </c>
      <c r="M14" s="1" t="str">
        <f ca="1">IFERROR(__xludf.dummyfunction("VLOOKUP(L14, IMPORTRANGE(""https://docs.google.com/spreadsheets/d/1yDAaXNsi4Mr5FtRQL4tbmSdIzhx6_m4wkOD7IG-k_eo/edit#gid=1336395716"", ""Science!M:N""), 2, FALSE)"),"(LU006594.002); Default - Understand")</f>
        <v>(LU006594.002); Default - Understand</v>
      </c>
      <c r="N14" s="1" t="str">
        <f t="shared" si="2"/>
        <v>LU006594.003</v>
      </c>
      <c r="O14" s="1" t="str">
        <f ca="1">IFERROR(__xludf.dummyfunction("VLOOKUP(N14, IMPORTRANGE(""https://docs.google.com/spreadsheets/d/1yDAaXNsi4Mr5FtRQL4tbmSdIzhx6_m4wkOD7IG-k_eo/edit#gid=1336395716"", ""Science!M:N""), 2, FALSE)"),"(LU006594.003); Default - Apply")</f>
        <v>(LU006594.003); Default - Apply</v>
      </c>
      <c r="P14" s="1" t="str">
        <f t="shared" si="3"/>
        <v>LU006594.004</v>
      </c>
      <c r="Q14" s="15" t="str">
        <f ca="1">IFERROR(__xludf.dummyfunction("VLOOKUP(P14, IMPORTRANGE(""https://docs.google.com/spreadsheets/d/1yDAaXNsi4Mr5FtRQL4tbmSdIzhx6_m4wkOD7IG-k_eo/edit#gid=1336395716"", ""Science!M:N""), 2, FALSE)"),"(LU006594.004); Default - Analyse")</f>
        <v>(LU006594.004); Default - Analyse</v>
      </c>
      <c r="R14" s="1" t="str">
        <f t="shared" si="4"/>
        <v>LU006594.005</v>
      </c>
      <c r="S14" s="15" t="str">
        <f ca="1">IFERROR(__xludf.dummyfunction("VLOOKUP(R14, IMPORTRANGE(""https://docs.google.com/spreadsheets/d/1yDAaXNsi4Mr5FtRQL4tbmSdIzhx6_m4wkOD7IG-k_eo/edit#gid=1336395716"", ""Science!M:N""), 2, FALSE)"),"(LU006594.005); Default - Evaluate")</f>
        <v>(LU006594.005); Default - Evaluate</v>
      </c>
      <c r="T14" s="1" t="str">
        <f t="shared" si="5"/>
        <v>LU006594.006</v>
      </c>
      <c r="U14" s="15" t="str">
        <f ca="1">IFERROR(__xludf.dummyfunction("VLOOKUP(T14, IMPORTRANGE(""https://docs.google.com/spreadsheets/d/1yDAaXNsi4Mr5FtRQL4tbmSdIzhx6_m4wkOD7IG-k_eo/edit#gid=1336395716"", ""Science!M:N""), 2, FALSE)"),"(LU006594.006); Default - Create")</f>
        <v>(LU006594.006); Default - Create</v>
      </c>
      <c r="V14" s="18"/>
      <c r="W14" s="18"/>
      <c r="X14" s="18"/>
      <c r="Y14" s="18"/>
      <c r="Z14" s="18"/>
      <c r="AA14" s="18"/>
      <c r="AB14" s="18"/>
      <c r="AC14" s="18"/>
      <c r="AD14" s="18"/>
      <c r="AE14" s="18"/>
      <c r="AF14" s="18"/>
      <c r="AG14" s="18"/>
    </row>
    <row r="15" spans="1:33" ht="27.6">
      <c r="A15" s="18"/>
      <c r="B15" s="18" t="s">
        <v>29</v>
      </c>
      <c r="C15" s="105">
        <v>6</v>
      </c>
      <c r="D15" s="18" t="s">
        <v>1296</v>
      </c>
      <c r="E15" s="18" t="s">
        <v>1283</v>
      </c>
      <c r="F15" s="18" t="s">
        <v>1309</v>
      </c>
      <c r="G15" s="14" t="s">
        <v>1310</v>
      </c>
      <c r="H15" s="1" t="str">
        <f ca="1">IFERROR(__xludf.dummyfunction("IFERROR(
  VLOOKUP(G15, IMPORTRANGE(""https://docs.google.com/spreadsheets/d/14deopnvwcrKtEGCKuYXdUHJbeLDZlkiSSWWT0g7x2pM/edit#gid=849066331"", ""LU List Maths (Filter)!A:B""), 2, FALSE),
  IFERROR(
    VLOOKUP(G15, IMPORTRANGE(""https://docs.google.com/s"&amp;"preadsheets/d/14deopnvwcrKtEGCKuYXdUHJbeLDZlkiSSWWT0g7x2pM/edit#gid=849066331"", ""LU List Science (Filter)!A:B""), 2, FALSE),
    ""Not Found""
  )
)
"),"Seed- parts (cotyledon, embryo, radicle, plumule) and types (monocot, dicot)")</f>
        <v>Seed- parts (cotyledon, embryo, radicle, plumule) and types (monocot, dicot)</v>
      </c>
      <c r="I15" s="18"/>
      <c r="J15" s="1" t="str">
        <f t="shared" si="0"/>
        <v>LU006595.001</v>
      </c>
      <c r="K15" s="1" t="str">
        <f ca="1">IFERROR(__xludf.dummyfunction("VLOOKUP(J15, IMPORTRANGE(""https://docs.google.com/spreadsheets/d/1yDAaXNsi4Mr5FtRQL4tbmSdIzhx6_m4wkOD7IG-k_eo/edit#gid=1336395716"", ""Science!M:N""), 2, FALSE)"),"(LU006595.001); Default - Remember")</f>
        <v>(LU006595.001); Default - Remember</v>
      </c>
      <c r="L15" s="1" t="str">
        <f t="shared" si="1"/>
        <v>LU006595.002</v>
      </c>
      <c r="M15" s="1" t="str">
        <f ca="1">IFERROR(__xludf.dummyfunction("VLOOKUP(L15, IMPORTRANGE(""https://docs.google.com/spreadsheets/d/1yDAaXNsi4Mr5FtRQL4tbmSdIzhx6_m4wkOD7IG-k_eo/edit#gid=1336395716"", ""Science!M:N""), 2, FALSE)"),"(LU006595.002); Default - Understand")</f>
        <v>(LU006595.002); Default - Understand</v>
      </c>
      <c r="N15" s="1" t="str">
        <f t="shared" si="2"/>
        <v>LU006595.003</v>
      </c>
      <c r="O15" s="1" t="str">
        <f ca="1">IFERROR(__xludf.dummyfunction("VLOOKUP(N15, IMPORTRANGE(""https://docs.google.com/spreadsheets/d/1yDAaXNsi4Mr5FtRQL4tbmSdIzhx6_m4wkOD7IG-k_eo/edit#gid=1336395716"", ""Science!M:N""), 2, FALSE)"),"(LU006595.003); Default - Apply")</f>
        <v>(LU006595.003); Default - Apply</v>
      </c>
      <c r="P15" s="1" t="str">
        <f t="shared" si="3"/>
        <v>LU006595.004</v>
      </c>
      <c r="Q15" s="15" t="str">
        <f ca="1">IFERROR(__xludf.dummyfunction("VLOOKUP(P15, IMPORTRANGE(""https://docs.google.com/spreadsheets/d/1yDAaXNsi4Mr5FtRQL4tbmSdIzhx6_m4wkOD7IG-k_eo/edit#gid=1336395716"", ""Science!M:N""), 2, FALSE)"),"(LU006595.004); Default - Analyse")</f>
        <v>(LU006595.004); Default - Analyse</v>
      </c>
      <c r="R15" s="1" t="str">
        <f t="shared" si="4"/>
        <v>LU006595.005</v>
      </c>
      <c r="S15" s="15" t="str">
        <f ca="1">IFERROR(__xludf.dummyfunction("VLOOKUP(R15, IMPORTRANGE(""https://docs.google.com/spreadsheets/d/1yDAaXNsi4Mr5FtRQL4tbmSdIzhx6_m4wkOD7IG-k_eo/edit#gid=1336395716"", ""Science!M:N""), 2, FALSE)"),"(LU006595.005); Default - Evaluate")</f>
        <v>(LU006595.005); Default - Evaluate</v>
      </c>
      <c r="T15" s="1" t="str">
        <f t="shared" si="5"/>
        <v>LU006595.006</v>
      </c>
      <c r="U15" s="15" t="str">
        <f ca="1">IFERROR(__xludf.dummyfunction("VLOOKUP(T15, IMPORTRANGE(""https://docs.google.com/spreadsheets/d/1yDAaXNsi4Mr5FtRQL4tbmSdIzhx6_m4wkOD7IG-k_eo/edit#gid=1336395716"", ""Science!M:N""), 2, FALSE)"),"(LU006595.006); Default - Create")</f>
        <v>(LU006595.006); Default - Create</v>
      </c>
      <c r="V15" s="18"/>
      <c r="W15" s="18"/>
      <c r="X15" s="18"/>
      <c r="Y15" s="18"/>
      <c r="Z15" s="18"/>
      <c r="AA15" s="18"/>
      <c r="AB15" s="18"/>
      <c r="AC15" s="18"/>
      <c r="AD15" s="18"/>
      <c r="AE15" s="18"/>
      <c r="AF15" s="18"/>
      <c r="AG15" s="18"/>
    </row>
    <row r="16" spans="1:33" ht="55.2">
      <c r="A16" s="1"/>
      <c r="B16" s="1" t="s">
        <v>29</v>
      </c>
      <c r="C16" s="13">
        <v>6</v>
      </c>
      <c r="D16" s="1" t="s">
        <v>1296</v>
      </c>
      <c r="E16" s="1" t="s">
        <v>1283</v>
      </c>
      <c r="F16" s="1" t="s">
        <v>1309</v>
      </c>
      <c r="G16" s="1" t="s">
        <v>1311</v>
      </c>
      <c r="H16" s="1" t="str">
        <f ca="1">IFERROR(__xludf.dummyfunction("IFERROR(
  VLOOKUP(G16, IMPORTRANGE(""https://docs.google.com/spreadsheets/d/14deopnvwcrKtEGCKuYXdUHJbeLDZlkiSSWWT0g7x2pM/edit#gid=849066331"", ""LU List Maths (Filter)!A:B""), 2, FALSE),
  IFERROR(
    VLOOKUP(G16, IMPORTRANGE(""https://docs.google.com/s"&amp;"preadsheets/d/14deopnvwcrKtEGCKuYXdUHJbeLDZlkiSSWWT0g7x2pM/edit#gid=849066331"", ""LU List Science (Filter)!A:B""), 2, FALSE),
    ""Not Found""
  )
)
"),"Essential Conditions for Seed Germination")</f>
        <v>Essential Conditions for Seed Germination</v>
      </c>
      <c r="I16" s="1"/>
      <c r="J16" s="1" t="str">
        <f t="shared" si="0"/>
        <v>LU006431.001</v>
      </c>
      <c r="K16" s="1" t="str">
        <f ca="1">IFERROR(__xludf.dummyfunction("VLOOKUP(J16, IMPORTRANGE(""https://docs.google.com/spreadsheets/d/1yDAaXNsi4Mr5FtRQL4tbmSdIzhx6_m4wkOD7IG-k_eo/edit#gid=1336395716"", ""Science!M:N""), 2, FALSE)"),"Recall the essential conditions required for seed germination, such as water, oxygen, and appropriate temperature.")</f>
        <v>Recall the essential conditions required for seed germination, such as water, oxygen, and appropriate temperature.</v>
      </c>
      <c r="L16" s="1" t="str">
        <f t="shared" si="1"/>
        <v>LU006431.002</v>
      </c>
      <c r="M16" s="1" t="str">
        <f ca="1">IFERROR(__xludf.dummyfunction("VLOOKUP(L16, IMPORTRANGE(""https://docs.google.com/spreadsheets/d/1yDAaXNsi4Mr5FtRQL4tbmSdIzhx6_m4wkOD7IG-k_eo/edit#gid=1336395716"", ""Science!M:N""), 2, FALSE)"),"Explain how each essential condition (water, oxygen, temperature) contributes to the process of seed germination.")</f>
        <v>Explain how each essential condition (water, oxygen, temperature) contributes to the process of seed germination.</v>
      </c>
      <c r="N16" s="1" t="str">
        <f t="shared" si="2"/>
        <v>LU006431.003</v>
      </c>
      <c r="O16" s="1" t="str">
        <f ca="1">IFERROR(__xludf.dummyfunction("VLOOKUP(N16, IMPORTRANGE(""https://docs.google.com/spreadsheets/d/1yDAaXNsi4Mr5FtRQL4tbmSdIzhx6_m4wkOD7IG-k_eo/edit#gid=1336395716"", ""Science!M:N""), 2, FALSE)"),"Demonstrate how seeds germinate by setting up an experiment that provides the necessary conditions for germination.")</f>
        <v>Demonstrate how seeds germinate by setting up an experiment that provides the necessary conditions for germination.</v>
      </c>
      <c r="P16" s="1" t="str">
        <f t="shared" si="3"/>
        <v>LU006431.004</v>
      </c>
      <c r="Q16" s="15" t="str">
        <f ca="1">IFERROR(__xludf.dummyfunction("VLOOKUP(P16, IMPORTRANGE(""https://docs.google.com/spreadsheets/d/1yDAaXNsi4Mr5FtRQL4tbmSdIzhx6_m4wkOD7IG-k_eo/edit#gid=1336395716"", ""Science!M:N""), 2, FALSE)"),"Compare the germination process under different conditions, analyzing the impact of each condition on the success of seed germination.")</f>
        <v>Compare the germination process under different conditions, analyzing the impact of each condition on the success of seed germination.</v>
      </c>
      <c r="R16" s="1" t="str">
        <f t="shared" si="4"/>
        <v>LU006431.005</v>
      </c>
      <c r="S16" s="15" t="str">
        <f ca="1">IFERROR(__xludf.dummyfunction("VLOOKUP(R16, IMPORTRANGE(""https://docs.google.com/spreadsheets/d/1yDAaXNsi4Mr5FtRQL4tbmSdIzhx6_m4wkOD7IG-k_eo/edit#gid=1336395716"", ""Science!M:N""), 2, FALSE)"),"Evaluate the importance of maintaining the correct conditions for seed germination and predict the outcome if one condition is missing.")</f>
        <v>Evaluate the importance of maintaining the correct conditions for seed germination and predict the outcome if one condition is missing.</v>
      </c>
      <c r="T16" s="1" t="str">
        <f t="shared" si="5"/>
        <v>LU006431.006</v>
      </c>
      <c r="U16" s="15" t="str">
        <f ca="1">IFERROR(__xludf.dummyfunction("VLOOKUP(T16, IMPORTRANGE(""https://docs.google.com/spreadsheets/d/1yDAaXNsi4Mr5FtRQL4tbmSdIzhx6_m4wkOD7IG-k_eo/edit#gid=1336395716"", ""Science!M:N""), 2, FALSE)"),"Design a simple experiment to test the germination of seeds under varying conditions and draw conclusions based on the results.")</f>
        <v>Design a simple experiment to test the germination of seeds under varying conditions and draw conclusions based on the results.</v>
      </c>
      <c r="V16" s="1"/>
      <c r="W16" s="1"/>
      <c r="X16" s="1"/>
      <c r="Y16" s="1"/>
      <c r="Z16" s="1"/>
      <c r="AA16" s="1"/>
      <c r="AB16" s="1"/>
      <c r="AC16" s="1"/>
      <c r="AD16" s="1"/>
      <c r="AE16" s="1"/>
      <c r="AF16" s="1"/>
      <c r="AG16" s="1"/>
    </row>
    <row r="17" spans="1:33" ht="55.2">
      <c r="A17" s="18"/>
      <c r="B17" s="18" t="s">
        <v>29</v>
      </c>
      <c r="C17" s="105">
        <v>6</v>
      </c>
      <c r="D17" s="18" t="s">
        <v>1312</v>
      </c>
      <c r="E17" s="18" t="s">
        <v>1283</v>
      </c>
      <c r="F17" s="18" t="s">
        <v>1313</v>
      </c>
      <c r="G17" s="14" t="s">
        <v>1314</v>
      </c>
      <c r="H17" s="1" t="str">
        <f ca="1">IFERROR(__xludf.dummyfunction("IFERROR(
  VLOOKUP(G17, IMPORTRANGE(""https://docs.google.com/spreadsheets/d/14deopnvwcrKtEGCKuYXdUHJbeLDZlkiSSWWT0g7x2pM/edit#gid=849066331"", ""LU List Maths (Filter)!A:B""), 2, FALSE),
  IFERROR(
    VLOOKUP(G17, IMPORTRANGE(""https://docs.google.com/s"&amp;"preadsheets/d/14deopnvwcrKtEGCKuYXdUHJbeLDZlkiSSWWT0g7x2pM/edit#gid=849066331"", ""LU List Science (Filter)!A:B""), 2, FALSE),
    ""Not Found""
  )
)
"),"Discovery of the Cell")</f>
        <v>Discovery of the Cell</v>
      </c>
      <c r="I17" s="18"/>
      <c r="J17" s="1" t="str">
        <f t="shared" si="0"/>
        <v>LU005843.001</v>
      </c>
      <c r="K17" s="1" t="str">
        <f ca="1">IFERROR(__xludf.dummyfunction("VLOOKUP(J17, IMPORTRANGE(""https://docs.google.com/spreadsheets/d/1yDAaXNsi4Mr5FtRQL4tbmSdIzhx6_m4wkOD7IG-k_eo/edit#gid=1336395716"", ""Science!M:N""), 2, FALSE)"),"Recall the names of the scientists involved in the discovery of cells.")</f>
        <v>Recall the names of the scientists involved in the discovery of cells.</v>
      </c>
      <c r="L17" s="1" t="str">
        <f t="shared" si="1"/>
        <v>LU005843.002</v>
      </c>
      <c r="M17" s="1" t="str">
        <f ca="1">IFERROR(__xludf.dummyfunction("VLOOKUP(L17, IMPORTRANGE(""https://docs.google.com/spreadsheets/d/1yDAaXNsi4Mr5FtRQL4tbmSdIzhx6_m4wkOD7IG-k_eo/edit#gid=1336395716"", ""Science!M:N""), 2, FALSE)"),"Explain why the discovery of cells was a significant breakthrough in the field of biology.")</f>
        <v>Explain why the discovery of cells was a significant breakthrough in the field of biology.</v>
      </c>
      <c r="N17" s="1" t="str">
        <f t="shared" si="2"/>
        <v>LU005843.003</v>
      </c>
      <c r="O17" s="1" t="str">
        <f ca="1">IFERROR(__xludf.dummyfunction("VLOOKUP(N17, IMPORTRANGE(""https://docs.google.com/spreadsheets/d/1yDAaXNsi4Mr5FtRQL4tbmSdIzhx6_m4wkOD7IG-k_eo/edit#gid=1336395716"", ""Science!M:N""), 2, FALSE)"),"Apply knowledge of early microscopes to describe how they were used by Robert Hooke and Anton van Leeuwenhoek to study cells.")</f>
        <v>Apply knowledge of early microscopes to describe how they were used by Robert Hooke and Anton van Leeuwenhoek to study cells.</v>
      </c>
      <c r="P17" s="1" t="str">
        <f t="shared" si="3"/>
        <v>LU005843.004</v>
      </c>
      <c r="Q17" s="15" t="str">
        <f ca="1">IFERROR(__xludf.dummyfunction("VLOOKUP(P17, IMPORTRANGE(""https://docs.google.com/spreadsheets/d/1yDAaXNsi4Mr5FtRQL4tbmSdIzhx6_m4wkOD7IG-k_eo/edit#gid=1336395716"", ""Science!M:N""), 2, FALSE)"),"Analyze the impact of the discovery of cells on our understanding of living organisms.")</f>
        <v>Analyze the impact of the discovery of cells on our understanding of living organisms.</v>
      </c>
      <c r="R17" s="1" t="str">
        <f t="shared" si="4"/>
        <v>LU005843.005</v>
      </c>
      <c r="S17" s="15" t="str">
        <f ca="1">IFERROR(__xludf.dummyfunction("VLOOKUP(R17, IMPORTRANGE(""https://docs.google.com/spreadsheets/d/1yDAaXNsi4Mr5FtRQL4tbmSdIzhx6_m4wkOD7IG-k_eo/edit#gid=1336395716"", ""Science!M:N""), 2, FALSE)"),"Evaluate the contributions of Robert Hooke and Anton van Leeuwenhoek to the field of cell biology, considering their methods and observations.")</f>
        <v>Evaluate the contributions of Robert Hooke and Anton van Leeuwenhoek to the field of cell biology, considering their methods and observations.</v>
      </c>
      <c r="T17" s="1" t="str">
        <f t="shared" si="5"/>
        <v>LU005843.006</v>
      </c>
      <c r="U17" s="15" t="str">
        <f ca="1">IFERROR(__xludf.dummyfunction("VLOOKUP(T17, IMPORTRANGE(""https://docs.google.com/spreadsheets/d/1yDAaXNsi4Mr5FtRQL4tbmSdIzhx6_m4wkOD7IG-k_eo/edit#gid=1336395716"", ""Science!M:N""), 2, FALSE)"),"#N/A")</f>
        <v>#N/A</v>
      </c>
      <c r="V17" s="18"/>
      <c r="W17" s="18"/>
      <c r="X17" s="18"/>
      <c r="Y17" s="18"/>
      <c r="Z17" s="18"/>
      <c r="AA17" s="18"/>
      <c r="AB17" s="18"/>
      <c r="AC17" s="18"/>
      <c r="AD17" s="18"/>
      <c r="AE17" s="18"/>
      <c r="AF17" s="18"/>
      <c r="AG17" s="18"/>
    </row>
    <row r="18" spans="1:33" ht="69">
      <c r="A18" s="1"/>
      <c r="B18" s="1" t="s">
        <v>29</v>
      </c>
      <c r="C18" s="13">
        <v>6</v>
      </c>
      <c r="D18" s="1" t="s">
        <v>1312</v>
      </c>
      <c r="E18" s="1" t="s">
        <v>1283</v>
      </c>
      <c r="F18" s="1" t="s">
        <v>1313</v>
      </c>
      <c r="G18" s="1" t="s">
        <v>1315</v>
      </c>
      <c r="H18" s="1" t="str">
        <f ca="1">IFERROR(__xludf.dummyfunction("IFERROR(
  VLOOKUP(G18, IMPORTRANGE(""https://docs.google.com/spreadsheets/d/14deopnvwcrKtEGCKuYXdUHJbeLDZlkiSSWWT0g7x2pM/edit#gid=849066331"", ""LU List Maths (Filter)!A:B""), 2, FALSE),
  IFERROR(
    VLOOKUP(G18, IMPORTRANGE(""https://docs.google.com/s"&amp;"preadsheets/d/14deopnvwcrKtEGCKuYXdUHJbeLDZlkiSSWWT0g7x2pM/edit#gid=849066331"", ""LU List Science (Filter)!A:B""), 2, FALSE),
    ""Not Found""
  )
)
"),"Definition of a cell, variations in sizes, numbers, and shapes")</f>
        <v>Definition of a cell, variations in sizes, numbers, and shapes</v>
      </c>
      <c r="I18" s="1"/>
      <c r="J18" s="1" t="str">
        <f t="shared" si="0"/>
        <v>LU005844.001</v>
      </c>
      <c r="K18" s="1" t="str">
        <f ca="1">IFERROR(__xludf.dummyfunction("VLOOKUP(J18, IMPORTRANGE(""https://docs.google.com/spreadsheets/d/1yDAaXNsi4Mr5FtRQL4tbmSdIzhx6_m4wkOD7IG-k_eo/edit#gid=1336395716"", ""Science!M:N""), 2, FALSE)"),"Define the terms-cell, unicellular and multicellular.")</f>
        <v>Define the terms-cell, unicellular and multicellular.</v>
      </c>
      <c r="L18" s="1" t="str">
        <f t="shared" si="1"/>
        <v>LU005844.002</v>
      </c>
      <c r="M18" s="1" t="str">
        <f ca="1">IFERROR(__xludf.dummyfunction("VLOOKUP(L18, IMPORTRANGE(""https://docs.google.com/spreadsheets/d/1yDAaXNsi4Mr5FtRQL4tbmSdIzhx6_m4wkOD7IG-k_eo/edit#gid=1336395716"", ""Science!M:N""), 2, FALSE)"),"Explain why cells can have different shapes and sizes.")</f>
        <v>Explain why cells can have different shapes and sizes.</v>
      </c>
      <c r="N18" s="1" t="str">
        <f t="shared" si="2"/>
        <v>LU005844.003</v>
      </c>
      <c r="O18" s="1" t="str">
        <f ca="1">IFERROR(__xludf.dummyfunction("VLOOKUP(N18, IMPORTRANGE(""https://docs.google.com/spreadsheets/d/1yDAaXNsi4Mr5FtRQL4tbmSdIzhx6_m4wkOD7IG-k_eo/edit#gid=1336395716"", ""Science!M:N""), 2, FALSE)"),"Apply your understanding of cell types to differentiate between unicellular and multicellular organisms based on their structures.")</f>
        <v>Apply your understanding of cell types to differentiate between unicellular and multicellular organisms based on their structures.</v>
      </c>
      <c r="P18" s="1" t="str">
        <f t="shared" si="3"/>
        <v>LU005844.004</v>
      </c>
      <c r="Q18" s="15" t="str">
        <f ca="1">IFERROR(__xludf.dummyfunction("VLOOKUP(P18, IMPORTRANGE(""https://docs.google.com/spreadsheets/d/1yDAaXNsi4Mr5FtRQL4tbmSdIzhx6_m4wkOD7IG-k_eo/edit#gid=1336395716"", ""Science!M:N""), 2, FALSE)"),"Analyze how variations in cell size and shape contribute to the overall function of multicellular organisms.")</f>
        <v>Analyze how variations in cell size and shape contribute to the overall function of multicellular organisms.</v>
      </c>
      <c r="R18" s="1" t="str">
        <f t="shared" si="4"/>
        <v>LU005844.005</v>
      </c>
      <c r="S18" s="15" t="str">
        <f ca="1">IFERROR(__xludf.dummyfunction("VLOOKUP(R18, IMPORTRANGE(""https://docs.google.com/spreadsheets/d/1yDAaXNsi4Mr5FtRQL4tbmSdIzhx6_m4wkOD7IG-k_eo/edit#gid=1336395716"", ""Science!M:N""), 2, FALSE)"),"Evaluate the advantages and disadvantages of variations in cell numbers, cell sizes and shapes for the survival and adaptation of organisms in different environments.")</f>
        <v>Evaluate the advantages and disadvantages of variations in cell numbers, cell sizes and shapes for the survival and adaptation of organisms in different environments.</v>
      </c>
      <c r="T18" s="1" t="str">
        <f t="shared" si="5"/>
        <v>LU005844.006</v>
      </c>
      <c r="U18" s="15" t="str">
        <f ca="1">IFERROR(__xludf.dummyfunction("VLOOKUP(T18, IMPORTRANGE(""https://docs.google.com/spreadsheets/d/1yDAaXNsi4Mr5FtRQL4tbmSdIzhx6_m4wkOD7IG-k_eo/edit#gid=1336395716"", ""Science!M:N""), 2, FALSE)"),"#N/A")</f>
        <v>#N/A</v>
      </c>
      <c r="V18" s="1"/>
      <c r="W18" s="1"/>
      <c r="X18" s="1"/>
      <c r="Y18" s="1"/>
      <c r="Z18" s="1"/>
      <c r="AA18" s="1"/>
      <c r="AB18" s="1"/>
      <c r="AC18" s="1"/>
      <c r="AD18" s="1"/>
      <c r="AE18" s="1"/>
      <c r="AF18" s="1"/>
      <c r="AG18" s="1"/>
    </row>
    <row r="19" spans="1:33" ht="27.6">
      <c r="A19" s="18"/>
      <c r="B19" s="18" t="s">
        <v>29</v>
      </c>
      <c r="C19" s="105">
        <v>6</v>
      </c>
      <c r="D19" s="18" t="s">
        <v>1312</v>
      </c>
      <c r="E19" s="18" t="s">
        <v>1283</v>
      </c>
      <c r="F19" s="18" t="s">
        <v>1316</v>
      </c>
      <c r="G19" s="14" t="s">
        <v>1317</v>
      </c>
      <c r="H19" s="1" t="str">
        <f ca="1">IFERROR(__xludf.dummyfunction("IFERROR(
  VLOOKUP(G19, IMPORTRANGE(""https://docs.google.com/spreadsheets/d/14deopnvwcrKtEGCKuYXdUHJbeLDZlkiSSWWT0g7x2pM/edit#gid=849066331"", ""LU List Maths (Filter)!A:B""), 2, FALSE),
  IFERROR(
    VLOOKUP(G19, IMPORTRANGE(""https://docs.google.com/s"&amp;"preadsheets/d/14deopnvwcrKtEGCKuYXdUHJbeLDZlkiSSWWT0g7x2pM/edit#gid=849066331"", ""LU List Science (Filter)!A:B""), 2, FALSE),
    ""Not Found""
  )
)
"),"Cell membrane, nucleus, cytoplasm (structure and functions)")</f>
        <v>Cell membrane, nucleus, cytoplasm (structure and functions)</v>
      </c>
      <c r="I19" s="18"/>
      <c r="J19" s="1" t="str">
        <f t="shared" si="0"/>
        <v>LU006596.001</v>
      </c>
      <c r="K19" s="1" t="str">
        <f ca="1">IFERROR(__xludf.dummyfunction("VLOOKUP(J19, IMPORTRANGE(""https://docs.google.com/spreadsheets/d/1yDAaXNsi4Mr5FtRQL4tbmSdIzhx6_m4wkOD7IG-k_eo/edit#gid=1336395716"", ""Science!M:N""), 2, FALSE)"),"(LU006596.001); Default - Remember")</f>
        <v>(LU006596.001); Default - Remember</v>
      </c>
      <c r="L19" s="1" t="str">
        <f t="shared" si="1"/>
        <v>LU006596.002</v>
      </c>
      <c r="M19" s="1" t="str">
        <f ca="1">IFERROR(__xludf.dummyfunction("VLOOKUP(L19, IMPORTRANGE(""https://docs.google.com/spreadsheets/d/1yDAaXNsi4Mr5FtRQL4tbmSdIzhx6_m4wkOD7IG-k_eo/edit#gid=1336395716"", ""Science!M:N""), 2, FALSE)"),"(LU006596.002); Default - Understand")</f>
        <v>(LU006596.002); Default - Understand</v>
      </c>
      <c r="N19" s="1" t="str">
        <f t="shared" si="2"/>
        <v>LU006596.003</v>
      </c>
      <c r="O19" s="1" t="str">
        <f ca="1">IFERROR(__xludf.dummyfunction("VLOOKUP(N19, IMPORTRANGE(""https://docs.google.com/spreadsheets/d/1yDAaXNsi4Mr5FtRQL4tbmSdIzhx6_m4wkOD7IG-k_eo/edit#gid=1336395716"", ""Science!M:N""), 2, FALSE)"),"(LU006596.003); Default - Apply")</f>
        <v>(LU006596.003); Default - Apply</v>
      </c>
      <c r="P19" s="1" t="str">
        <f t="shared" si="3"/>
        <v>LU006596.004</v>
      </c>
      <c r="Q19" s="15" t="str">
        <f ca="1">IFERROR(__xludf.dummyfunction("VLOOKUP(P19, IMPORTRANGE(""https://docs.google.com/spreadsheets/d/1yDAaXNsi4Mr5FtRQL4tbmSdIzhx6_m4wkOD7IG-k_eo/edit#gid=1336395716"", ""Science!M:N""), 2, FALSE)"),"(LU006596.004); Default - Analyse")</f>
        <v>(LU006596.004); Default - Analyse</v>
      </c>
      <c r="R19" s="1" t="str">
        <f t="shared" si="4"/>
        <v>LU006596.005</v>
      </c>
      <c r="S19" s="15" t="str">
        <f ca="1">IFERROR(__xludf.dummyfunction("VLOOKUP(R19, IMPORTRANGE(""https://docs.google.com/spreadsheets/d/1yDAaXNsi4Mr5FtRQL4tbmSdIzhx6_m4wkOD7IG-k_eo/edit#gid=1336395716"", ""Science!M:N""), 2, FALSE)"),"(LU006596.005); Default - Evaluate")</f>
        <v>(LU006596.005); Default - Evaluate</v>
      </c>
      <c r="T19" s="1" t="str">
        <f t="shared" si="5"/>
        <v>LU006596.006</v>
      </c>
      <c r="U19" s="15" t="str">
        <f ca="1">IFERROR(__xludf.dummyfunction("VLOOKUP(T19, IMPORTRANGE(""https://docs.google.com/spreadsheets/d/1yDAaXNsi4Mr5FtRQL4tbmSdIzhx6_m4wkOD7IG-k_eo/edit#gid=1336395716"", ""Science!M:N""), 2, FALSE)"),"(LU006596.006); Default - Create")</f>
        <v>(LU006596.006); Default - Create</v>
      </c>
      <c r="V19" s="18"/>
      <c r="W19" s="18"/>
      <c r="X19" s="18"/>
      <c r="Y19" s="18"/>
      <c r="Z19" s="18"/>
      <c r="AA19" s="18"/>
      <c r="AB19" s="18"/>
      <c r="AC19" s="18"/>
      <c r="AD19" s="18"/>
      <c r="AE19" s="18"/>
      <c r="AF19" s="18"/>
      <c r="AG19" s="18"/>
    </row>
    <row r="20" spans="1:33" ht="27.6">
      <c r="A20" s="18"/>
      <c r="B20" s="18" t="s">
        <v>29</v>
      </c>
      <c r="C20" s="105">
        <v>6</v>
      </c>
      <c r="D20" s="18" t="s">
        <v>1312</v>
      </c>
      <c r="E20" s="18" t="s">
        <v>1283</v>
      </c>
      <c r="F20" s="18" t="s">
        <v>1316</v>
      </c>
      <c r="G20" s="14" t="s">
        <v>1318</v>
      </c>
      <c r="H20" s="1" t="str">
        <f ca="1">IFERROR(__xludf.dummyfunction("IFERROR(
  VLOOKUP(G20, IMPORTRANGE(""https://docs.google.com/spreadsheets/d/14deopnvwcrKtEGCKuYXdUHJbeLDZlkiSSWWT0g7x2pM/edit#gid=849066331"", ""LU List Maths (Filter)!A:B""), 2, FALSE),
  IFERROR(
    VLOOKUP(G20, IMPORTRANGE(""https://docs.google.com/s"&amp;"preadsheets/d/14deopnvwcrKtEGCKuYXdUHJbeLDZlkiSSWWT0g7x2pM/edit#gid=849066331"", ""LU List Science (Filter)!A:B""), 2, FALSE),
    ""Not Found""
  )
)
"),"Cell wall, plastids, and vacuoles (structure and functions)")</f>
        <v>Cell wall, plastids, and vacuoles (structure and functions)</v>
      </c>
      <c r="I20" s="18"/>
      <c r="J20" s="1" t="str">
        <f t="shared" si="0"/>
        <v>LU006597.001</v>
      </c>
      <c r="K20" s="1" t="str">
        <f ca="1">IFERROR(__xludf.dummyfunction("VLOOKUP(J20, IMPORTRANGE(""https://docs.google.com/spreadsheets/d/1yDAaXNsi4Mr5FtRQL4tbmSdIzhx6_m4wkOD7IG-k_eo/edit#gid=1336395716"", ""Science!M:N""), 2, FALSE)"),"(LU006597.001); Default - Remember")</f>
        <v>(LU006597.001); Default - Remember</v>
      </c>
      <c r="L20" s="1" t="str">
        <f t="shared" si="1"/>
        <v>LU006597.002</v>
      </c>
      <c r="M20" s="1" t="str">
        <f ca="1">IFERROR(__xludf.dummyfunction("VLOOKUP(L20, IMPORTRANGE(""https://docs.google.com/spreadsheets/d/1yDAaXNsi4Mr5FtRQL4tbmSdIzhx6_m4wkOD7IG-k_eo/edit#gid=1336395716"", ""Science!M:N""), 2, FALSE)"),"(LU006597.002); Default - Understand")</f>
        <v>(LU006597.002); Default - Understand</v>
      </c>
      <c r="N20" s="1" t="str">
        <f t="shared" si="2"/>
        <v>LU006597.003</v>
      </c>
      <c r="O20" s="1" t="str">
        <f ca="1">IFERROR(__xludf.dummyfunction("VLOOKUP(N20, IMPORTRANGE(""https://docs.google.com/spreadsheets/d/1yDAaXNsi4Mr5FtRQL4tbmSdIzhx6_m4wkOD7IG-k_eo/edit#gid=1336395716"", ""Science!M:N""), 2, FALSE)"),"(LU006597.003); Default - Apply")</f>
        <v>(LU006597.003); Default - Apply</v>
      </c>
      <c r="P20" s="1" t="str">
        <f t="shared" si="3"/>
        <v>LU006597.004</v>
      </c>
      <c r="Q20" s="15" t="str">
        <f ca="1">IFERROR(__xludf.dummyfunction("VLOOKUP(P20, IMPORTRANGE(""https://docs.google.com/spreadsheets/d/1yDAaXNsi4Mr5FtRQL4tbmSdIzhx6_m4wkOD7IG-k_eo/edit#gid=1336395716"", ""Science!M:N""), 2, FALSE)"),"(LU006597.004); Default - Analyse")</f>
        <v>(LU006597.004); Default - Analyse</v>
      </c>
      <c r="R20" s="1" t="str">
        <f t="shared" si="4"/>
        <v>LU006597.005</v>
      </c>
      <c r="S20" s="15" t="str">
        <f ca="1">IFERROR(__xludf.dummyfunction("VLOOKUP(R20, IMPORTRANGE(""https://docs.google.com/spreadsheets/d/1yDAaXNsi4Mr5FtRQL4tbmSdIzhx6_m4wkOD7IG-k_eo/edit#gid=1336395716"", ""Science!M:N""), 2, FALSE)"),"(LU006597.005); Default - Evaluate")</f>
        <v>(LU006597.005); Default - Evaluate</v>
      </c>
      <c r="T20" s="1" t="str">
        <f t="shared" si="5"/>
        <v>LU006597.006</v>
      </c>
      <c r="U20" s="15" t="str">
        <f ca="1">IFERROR(__xludf.dummyfunction("VLOOKUP(T20, IMPORTRANGE(""https://docs.google.com/spreadsheets/d/1yDAaXNsi4Mr5FtRQL4tbmSdIzhx6_m4wkOD7IG-k_eo/edit#gid=1336395716"", ""Science!M:N""), 2, FALSE)"),"(LU006597.006); Default - Create")</f>
        <v>(LU006597.006); Default - Create</v>
      </c>
      <c r="V20" s="18"/>
      <c r="W20" s="18"/>
      <c r="X20" s="18"/>
      <c r="Y20" s="18"/>
      <c r="Z20" s="18"/>
      <c r="AA20" s="18"/>
      <c r="AB20" s="18"/>
      <c r="AC20" s="18"/>
      <c r="AD20" s="18"/>
      <c r="AE20" s="18"/>
      <c r="AF20" s="18"/>
      <c r="AG20" s="18"/>
    </row>
    <row r="21" spans="1:33" ht="82.8">
      <c r="A21" s="18"/>
      <c r="B21" s="18" t="s">
        <v>29</v>
      </c>
      <c r="C21" s="105">
        <v>6</v>
      </c>
      <c r="D21" s="18" t="s">
        <v>1312</v>
      </c>
      <c r="E21" s="18" t="s">
        <v>1283</v>
      </c>
      <c r="F21" s="18" t="s">
        <v>1319</v>
      </c>
      <c r="G21" s="14" t="s">
        <v>1320</v>
      </c>
      <c r="H21" s="1" t="str">
        <f ca="1">IFERROR(__xludf.dummyfunction("IFERROR(
  VLOOKUP(G21, IMPORTRANGE(""https://docs.google.com/spreadsheets/d/14deopnvwcrKtEGCKuYXdUHJbeLDZlkiSSWWT0g7x2pM/edit#gid=849066331"", ""LU List Maths (Filter)!A:B""), 2, FALSE),
  IFERROR(
    VLOOKUP(G21, IMPORTRANGE(""https://docs.google.com/s"&amp;"preadsheets/d/14deopnvwcrKtEGCKuYXdUHJbeLDZlkiSSWWT0g7x2pM/edit#gid=849066331"", ""LU List Science (Filter)!A:B""), 2, FALSE),
    ""Not Found""
  )
)
"),"Comparison between plant and animal cells")</f>
        <v>Comparison between plant and animal cells</v>
      </c>
      <c r="I21" s="18"/>
      <c r="J21" s="1" t="str">
        <f t="shared" si="0"/>
        <v>LU005848.001</v>
      </c>
      <c r="K21" s="1" t="str">
        <f ca="1">IFERROR(__xludf.dummyfunction("VLOOKUP(J21, IMPORTRANGE(""https://docs.google.com/spreadsheets/d/1yDAaXNsi4Mr5FtRQL4tbmSdIzhx6_m4wkOD7IG-k_eo/edit#gid=1336395716"", ""Science!M:N""), 2, FALSE)"),"Identify and list the key differences between plant and animal cells, including their distinctive structures and organelles.")</f>
        <v>Identify and list the key differences between plant and animal cells, including their distinctive structures and organelles.</v>
      </c>
      <c r="L21" s="1" t="str">
        <f t="shared" si="1"/>
        <v>LU005848.002</v>
      </c>
      <c r="M21" s="1" t="str">
        <f ca="1">IFERROR(__xludf.dummyfunction("VLOOKUP(L21, IMPORTRANGE(""https://docs.google.com/spreadsheets/d/1yDAaXNsi4Mr5FtRQL4tbmSdIzhx6_m4wkOD7IG-k_eo/edit#gid=1336395716"", ""Science!M:N""), 2, FALSE)"),"Explain why plant and animal cells have structural differences and how these differences relate to their respective functions and lifestyles.")</f>
        <v>Explain why plant and animal cells have structural differences and how these differences relate to their respective functions and lifestyles.</v>
      </c>
      <c r="N21" s="1" t="str">
        <f t="shared" si="2"/>
        <v>LU005848.003</v>
      </c>
      <c r="O21" s="1" t="str">
        <f ca="1">IFERROR(__xludf.dummyfunction("VLOOKUP(N21, IMPORTRANGE(""https://docs.google.com/spreadsheets/d/1yDAaXNsi4Mr5FtRQL4tbmSdIzhx6_m4wkOD7IG-k_eo/edit#gid=1336395716"", ""Science!M:N""), 2, FALSE)"),"Apply your knowledge of plant and animal cell differences to classify given cells as either plant or animal, based on their structural characteristics.")</f>
        <v>Apply your knowledge of plant and animal cell differences to classify given cells as either plant or animal, based on their structural characteristics.</v>
      </c>
      <c r="P21" s="1" t="str">
        <f t="shared" si="3"/>
        <v>LU005848.004</v>
      </c>
      <c r="Q21" s="15" t="str">
        <f ca="1">IFERROR(__xludf.dummyfunction("VLOOKUP(P21, IMPORTRANGE(""https://docs.google.com/spreadsheets/d/1yDAaXNsi4Mr5FtRQL4tbmSdIzhx6_m4wkOD7IG-k_eo/edit#gid=1336395716"", ""Science!M:N""), 2, FALSE)"),"Analyze the advantages and disadvantages of specific organelles in plant cells (e.g., chloroplasts) compared to those in animal cells (e.g., lysosomes) and their roles in the overall function of each cell type.")</f>
        <v>Analyze the advantages and disadvantages of specific organelles in plant cells (e.g., chloroplasts) compared to those in animal cells (e.g., lysosomes) and their roles in the overall function of each cell type.</v>
      </c>
      <c r="R21" s="1" t="str">
        <f t="shared" si="4"/>
        <v>LU005848.005</v>
      </c>
      <c r="S21" s="15" t="str">
        <f ca="1">IFERROR(__xludf.dummyfunction("VLOOKUP(R21, IMPORTRANGE(""https://docs.google.com/spreadsheets/d/1yDAaXNsi4Mr5FtRQL4tbmSdIzhx6_m4wkOD7IG-k_eo/edit#gid=1336395716"", ""Science!M:N""), 2, FALSE)"),"Evaluate the ecological significance of the structural differences between plant and animal cells and how these differences allow both cell types to thrive in different environments and ecological niches.")</f>
        <v>Evaluate the ecological significance of the structural differences between plant and animal cells and how these differences allow both cell types to thrive in different environments and ecological niches.</v>
      </c>
      <c r="T21" s="1" t="str">
        <f t="shared" si="5"/>
        <v>LU005848.006</v>
      </c>
      <c r="U21" s="15" t="str">
        <f ca="1">IFERROR(__xludf.dummyfunction("VLOOKUP(T21, IMPORTRANGE(""https://docs.google.com/spreadsheets/d/1yDAaXNsi4Mr5FtRQL4tbmSdIzhx6_m4wkOD7IG-k_eo/edit#gid=1336395716"", ""Science!M:N""), 2, FALSE)"),"#N/A")</f>
        <v>#N/A</v>
      </c>
      <c r="V21" s="18"/>
      <c r="W21" s="18"/>
      <c r="X21" s="18"/>
      <c r="Y21" s="18"/>
      <c r="Z21" s="18"/>
      <c r="AA21" s="18"/>
      <c r="AB21" s="18"/>
      <c r="AC21" s="18"/>
      <c r="AD21" s="18"/>
      <c r="AE21" s="18"/>
      <c r="AF21" s="18"/>
      <c r="AG21" s="18"/>
    </row>
    <row r="22" spans="1:33" ht="96.6">
      <c r="A22" s="1"/>
      <c r="B22" s="1" t="s">
        <v>29</v>
      </c>
      <c r="C22" s="13">
        <v>6</v>
      </c>
      <c r="D22" s="1" t="s">
        <v>1321</v>
      </c>
      <c r="E22" s="1" t="s">
        <v>1283</v>
      </c>
      <c r="F22" s="1" t="s">
        <v>1321</v>
      </c>
      <c r="G22" s="1" t="s">
        <v>1322</v>
      </c>
      <c r="H22" s="1" t="str">
        <f ca="1">IFERROR(__xludf.dummyfunction("IFERROR(
  VLOOKUP(G22, IMPORTRANGE(""https://docs.google.com/spreadsheets/d/14deopnvwcrKtEGCKuYXdUHJbeLDZlkiSSWWT0g7x2pM/edit#gid=849066331"", ""LU List Maths (Filter)!A:B""), 2, FALSE),
  IFERROR(
    VLOOKUP(G22, IMPORTRANGE(""https://docs.google.com/s"&amp;"preadsheets/d/14deopnvwcrKtEGCKuYXdUHJbeLDZlkiSSWWT0g7x2pM/edit#gid=849066331"", ""LU List Science (Filter)!A:B""), 2, FALSE),
    ""Not Found""
  )
)
"),"Ingestion, Digestion, Absorption, Assimilation, and Egestion")</f>
        <v>Ingestion, Digestion, Absorption, Assimilation, and Egestion</v>
      </c>
      <c r="I22" s="1"/>
      <c r="J22" s="1" t="str">
        <f t="shared" si="0"/>
        <v>LU005389.001</v>
      </c>
      <c r="K22" s="1" t="str">
        <f ca="1">IFERROR(__xludf.dummyfunction("VLOOKUP(J22, IMPORTRANGE(""https://docs.google.com/spreadsheets/d/1yDAaXNsi4Mr5FtRQL4tbmSdIzhx6_m4wkOD7IG-k_eo/edit#gid=1336395716"", ""Science!M:N""), 2, FALSE)"),"Recall and list the sequence of steps involved in obtaining nutrition in humans: ingestion, digestion, absorption, assimilation, and egestion.")</f>
        <v>Recall and list the sequence of steps involved in obtaining nutrition in humans: ingestion, digestion, absorption, assimilation, and egestion.</v>
      </c>
      <c r="L22" s="1" t="str">
        <f t="shared" si="1"/>
        <v>LU005389.002</v>
      </c>
      <c r="M22" s="1" t="str">
        <f ca="1">IFERROR(__xludf.dummyfunction("VLOOKUP(L22, IMPORTRANGE(""https://docs.google.com/spreadsheets/d/1yDAaXNsi4Mr5FtRQL4tbmSdIzhx6_m4wkOD7IG-k_eo/edit#gid=1336395716"", ""Science!M:N""), 2, FALSE)"),"Understand how the process of obtaining nutrition in humans involves a sequence of steps: ingesting food, breaking it down through digestion, absorbing nutrients into the bloodstream, assimilating nutrients into cells, and eliminating waste through egesti"&amp;"on.")</f>
        <v>Understand how the process of obtaining nutrition in humans involves a sequence of steps: ingesting food, breaking it down through digestion, absorbing nutrients into the bloodstream, assimilating nutrients into cells, and eliminating waste through egestion.</v>
      </c>
      <c r="N22" s="1" t="str">
        <f t="shared" si="2"/>
        <v>LU005389.003</v>
      </c>
      <c r="O22" s="1" t="str">
        <f ca="1">IFERROR(__xludf.dummyfunction("VLOOKUP(N22, IMPORTRANGE(""https://docs.google.com/spreadsheets/d/1yDAaXNsi4Mr5FtRQL4tbmSdIzhx6_m4wkOD7IG-k_eo/edit#gid=1336395716"", ""Science!M:N""), 2, FALSE)"),"Apply knowledge of the sequence of steps to describe the journey of food through the digestive system, explaining how each step contributes to the overall process of obtaining nutrients and energy.")</f>
        <v>Apply knowledge of the sequence of steps to describe the journey of food through the digestive system, explaining how each step contributes to the overall process of obtaining nutrients and energy.</v>
      </c>
      <c r="P22" s="1" t="str">
        <f t="shared" si="3"/>
        <v>LU005389.004</v>
      </c>
      <c r="Q22" s="15" t="str">
        <f ca="1">IFERROR(__xludf.dummyfunction("VLOOKUP(P22, IMPORTRANGE(""https://docs.google.com/spreadsheets/d/1yDAaXNsi4Mr5FtRQL4tbmSdIzhx6_m4wkOD7IG-k_eo/edit#gid=1336395716"", ""Science!M:N""), 2, FALSE)"),"Analyze the interconnections between the steps in the sequence, discussing how efficient digestion and absorption impact the body's ability to assimilate nutrients and how the process of egestion eliminates indigestible waste.")</f>
        <v>Analyze the interconnections between the steps in the sequence, discussing how efficient digestion and absorption impact the body's ability to assimilate nutrients and how the process of egestion eliminates indigestible waste.</v>
      </c>
      <c r="R22" s="1" t="str">
        <f t="shared" si="4"/>
        <v>LU005389.005</v>
      </c>
      <c r="S22" s="15" t="str">
        <f ca="1">IFERROR(__xludf.dummyfunction("VLOOKUP(R22, IMPORTRANGE(""https://docs.google.com/spreadsheets/d/1yDAaXNsi4Mr5FtRQL4tbmSdIzhx6_m4wkOD7IG-k_eo/edit#gid=1336395716"", ""Science!M:N""), 2, FALSE)"),"Evaluate the significance of each step in the sequence for maintaining human health and well-being, discussing how disruptions or imbalances in any of these steps can lead to nutritional deficiencies or digestive issues.")</f>
        <v>Evaluate the significance of each step in the sequence for maintaining human health and well-being, discussing how disruptions or imbalances in any of these steps can lead to nutritional deficiencies or digestive issues.</v>
      </c>
      <c r="T22" s="1" t="str">
        <f t="shared" si="5"/>
        <v>LU005389.006</v>
      </c>
      <c r="U22" s="15" t="str">
        <f ca="1">IFERROR(__xludf.dummyfunction("VLOOKUP(T22, IMPORTRANGE(""https://docs.google.com/spreadsheets/d/1yDAaXNsi4Mr5FtRQL4tbmSdIzhx6_m4wkOD7IG-k_eo/edit#gid=1336395716"", ""Science!M:N""), 2, FALSE)"),"#N/A")</f>
        <v>#N/A</v>
      </c>
      <c r="V22" s="1"/>
      <c r="W22" s="1"/>
      <c r="X22" s="1"/>
      <c r="Y22" s="1"/>
      <c r="Z22" s="1"/>
      <c r="AA22" s="1"/>
      <c r="AB22" s="1"/>
      <c r="AC22" s="1"/>
      <c r="AD22" s="1"/>
      <c r="AE22" s="1"/>
      <c r="AF22" s="1"/>
      <c r="AG22" s="1"/>
    </row>
    <row r="23" spans="1:33" ht="82.8">
      <c r="A23" s="1"/>
      <c r="B23" s="1" t="s">
        <v>29</v>
      </c>
      <c r="C23" s="13">
        <v>6</v>
      </c>
      <c r="D23" s="1" t="s">
        <v>1321</v>
      </c>
      <c r="E23" s="1" t="s">
        <v>1283</v>
      </c>
      <c r="F23" s="1" t="s">
        <v>1321</v>
      </c>
      <c r="G23" s="1" t="s">
        <v>1323</v>
      </c>
      <c r="H23" s="1" t="str">
        <f ca="1">IFERROR(__xludf.dummyfunction("IFERROR(
  VLOOKUP(G23, IMPORTRANGE(""https://docs.google.com/spreadsheets/d/14deopnvwcrKtEGCKuYXdUHJbeLDZlkiSSWWT0g7x2pM/edit#gid=849066331"", ""LU List Maths (Filter)!A:B""), 2, FALSE),
  IFERROR(
    VLOOKUP(G23, IMPORTRANGE(""https://docs.google.com/s"&amp;"preadsheets/d/14deopnvwcrKtEGCKuYXdUHJbeLDZlkiSSWWT0g7x2pM/edit#gid=849066331"", ""LU List Science (Filter)!A:B""), 2, FALSE),
    ""Not Found""
  )
)
"),"Definition of human digestive system")</f>
        <v>Definition of human digestive system</v>
      </c>
      <c r="I23" s="1"/>
      <c r="J23" s="1" t="str">
        <f t="shared" si="0"/>
        <v>LU005391.001</v>
      </c>
      <c r="K23" s="1" t="str">
        <f ca="1">IFERROR(__xludf.dummyfunction("VLOOKUP(J23, IMPORTRANGE(""https://docs.google.com/spreadsheets/d/1yDAaXNsi4Mr5FtRQL4tbmSdIzhx6_m4wkOD7IG-k_eo/edit#gid=1336395716"", ""Science!M:N""), 2, FALSE)"),"Recall/Identify and state the definition of the human digestive system.")</f>
        <v>Recall/Identify and state the definition of the human digestive system.</v>
      </c>
      <c r="L23" s="1" t="str">
        <f t="shared" si="1"/>
        <v>LU005391.002</v>
      </c>
      <c r="M23" s="1" t="str">
        <f ca="1">IFERROR(__xludf.dummyfunction("VLOOKUP(L23, IMPORTRANGE(""https://docs.google.com/spreadsheets/d/1yDAaXNsi4Mr5FtRQL4tbmSdIzhx6_m4wkOD7IG-k_eo/edit#gid=1336395716"", ""Science!M:N""), 2, FALSE)"),"Understand the concept of the human digestive system as a coordinated network of organs, including the mouth, esophagus, stomach, small intestine, large intestine, and associated glands, working together to process food and extract nutrients.")</f>
        <v>Understand the concept of the human digestive system as a coordinated network of organs, including the mouth, esophagus, stomach, small intestine, large intestine, and associated glands, working together to process food and extract nutrients.</v>
      </c>
      <c r="N23" s="1" t="str">
        <f t="shared" si="2"/>
        <v>LU005391.003</v>
      </c>
      <c r="O23" s="1" t="str">
        <f ca="1">IFERROR(__xludf.dummyfunction("VLOOKUP(N23, IMPORTRANGE(""https://docs.google.com/spreadsheets/d/1yDAaXNsi4Mr5FtRQL4tbmSdIzhx6_m4wkOD7IG-k_eo/edit#gid=1336395716"", ""Science!M:N""), 2, FALSE)"),"Apply knowledge of the human digestive system to describe the functions of its individual components.")</f>
        <v>Apply knowledge of the human digestive system to describe the functions of its individual components.</v>
      </c>
      <c r="P23" s="1" t="str">
        <f t="shared" si="3"/>
        <v>LU005391.004</v>
      </c>
      <c r="Q23" s="15" t="str">
        <f ca="1">IFERROR(__xludf.dummyfunction("VLOOKUP(P23, IMPORTRANGE(""https://docs.google.com/spreadsheets/d/1yDAaXNsi4Mr5FtRQL4tbmSdIzhx6_m4wkOD7IG-k_eo/edit#gid=1336395716"", ""Science!M:N""), 2, FALSE)"),"Analyze the sequential flow of food through the human digestive system, identifying the key processes that occur at each stage and how the various parts work in harmony.")</f>
        <v>Analyze the sequential flow of food through the human digestive system, identifying the key processes that occur at each stage and how the various parts work in harmony.</v>
      </c>
      <c r="R23" s="1" t="str">
        <f t="shared" si="4"/>
        <v>LU005391.005</v>
      </c>
      <c r="S23" s="15" t="str">
        <f ca="1">IFERROR(__xludf.dummyfunction("VLOOKUP(R23, IMPORTRANGE(""https://docs.google.com/spreadsheets/d/1yDAaXNsi4Mr5FtRQL4tbmSdIzhx6_m4wkOD7IG-k_eo/edit#gid=1336395716"", ""Science!M:N""), 2, FALSE)"),"Evaluate the significance of the human digestive system for overall health and well-being, discussing how its efficient functioning contributes to energy production, growth, and maintenance of bodily functions.")</f>
        <v>Evaluate the significance of the human digestive system for overall health and well-being, discussing how its efficient functioning contributes to energy production, growth, and maintenance of bodily functions.</v>
      </c>
      <c r="T23" s="1" t="str">
        <f t="shared" si="5"/>
        <v>LU005391.006</v>
      </c>
      <c r="U23" s="15" t="str">
        <f ca="1">IFERROR(__xludf.dummyfunction("VLOOKUP(T23, IMPORTRANGE(""https://docs.google.com/spreadsheets/d/1yDAaXNsi4Mr5FtRQL4tbmSdIzhx6_m4wkOD7IG-k_eo/edit#gid=1336395716"", ""Science!M:N""), 2, FALSE)"),"#N/A")</f>
        <v>#N/A</v>
      </c>
      <c r="V23" s="1"/>
      <c r="W23" s="1"/>
      <c r="X23" s="1"/>
      <c r="Y23" s="1"/>
      <c r="Z23" s="1"/>
      <c r="AA23" s="1"/>
      <c r="AB23" s="1"/>
      <c r="AC23" s="1"/>
      <c r="AD23" s="1"/>
      <c r="AE23" s="1"/>
      <c r="AF23" s="1"/>
      <c r="AG23" s="1"/>
    </row>
    <row r="24" spans="1:33" ht="41.4">
      <c r="A24" s="1"/>
      <c r="B24" s="1" t="s">
        <v>29</v>
      </c>
      <c r="C24" s="13">
        <v>6</v>
      </c>
      <c r="D24" s="1" t="s">
        <v>1321</v>
      </c>
      <c r="E24" s="1" t="s">
        <v>1283</v>
      </c>
      <c r="F24" s="1" t="s">
        <v>1324</v>
      </c>
      <c r="G24" s="1" t="s">
        <v>1325</v>
      </c>
      <c r="H24" s="1" t="str">
        <f ca="1">IFERROR(__xludf.dummyfunction("IFERROR(
  VLOOKUP(G24, IMPORTRANGE(""https://docs.google.com/spreadsheets/d/14deopnvwcrKtEGCKuYXdUHJbeLDZlkiSSWWT0g7x2pM/edit#gid=849066331"", ""LU List Maths (Filter)!A:B""), 2, FALSE),
  IFERROR(
    VLOOKUP(G24, IMPORTRANGE(""https://docs.google.com/s"&amp;"preadsheets/d/14deopnvwcrKtEGCKuYXdUHJbeLDZlkiSSWWT0g7x2pM/edit#gid=849066331"", ""LU List Science (Filter)!A:B""), 2, FALSE),
    ""Not Found""
  )
)
"),"Role of salivary glands in digestion")</f>
        <v>Role of salivary glands in digestion</v>
      </c>
      <c r="I24" s="1"/>
      <c r="J24" s="1" t="str">
        <f t="shared" si="0"/>
        <v>LU005948.001</v>
      </c>
      <c r="K24" s="1" t="str">
        <f ca="1">IFERROR(__xludf.dummyfunction("VLOOKUP(J24, IMPORTRANGE(""https://docs.google.com/spreadsheets/d/1yDAaXNsi4Mr5FtRQL4tbmSdIzhx6_m4wkOD7IG-k_eo/edit#gid=1336395716"", ""Science!M:N""), 2, FALSE)"),"Recall the location of salivary glands in the human body.")</f>
        <v>Recall the location of salivary glands in the human body.</v>
      </c>
      <c r="L24" s="1" t="str">
        <f t="shared" si="1"/>
        <v>LU005948.002</v>
      </c>
      <c r="M24" s="1" t="str">
        <f ca="1">IFERROR(__xludf.dummyfunction("VLOOKUP(L24, IMPORTRANGE(""https://docs.google.com/spreadsheets/d/1yDAaXNsi4Mr5FtRQL4tbmSdIzhx6_m4wkOD7IG-k_eo/edit#gid=1336395716"", ""Science!M:N""), 2, FALSE)"),"Summarize the function of saliva in the digestive process.")</f>
        <v>Summarize the function of saliva in the digestive process.</v>
      </c>
      <c r="N24" s="1" t="str">
        <f t="shared" si="2"/>
        <v>LU005948.003</v>
      </c>
      <c r="O24" s="1" t="str">
        <f ca="1">IFERROR(__xludf.dummyfunction("VLOOKUP(N24, IMPORTRANGE(""https://docs.google.com/spreadsheets/d/1yDAaXNsi4Mr5FtRQL4tbmSdIzhx6_m4wkOD7IG-k_eo/edit#gid=1336395716"", ""Science!M:N""), 2, FALSE)"),"Apply the knowledge of salivary glands to predict their impact on digestion.")</f>
        <v>Apply the knowledge of salivary glands to predict their impact on digestion.</v>
      </c>
      <c r="P24" s="1" t="str">
        <f t="shared" si="3"/>
        <v>LU005948.004</v>
      </c>
      <c r="Q24" s="15" t="str">
        <f ca="1">IFERROR(__xludf.dummyfunction("VLOOKUP(P24, IMPORTRANGE(""https://docs.google.com/spreadsheets/d/1yDAaXNsi4Mr5FtRQL4tbmSdIzhx6_m4wkOD7IG-k_eo/edit#gid=1336395716"", ""Science!M:N""), 2, FALSE)"),"#N/A")</f>
        <v>#N/A</v>
      </c>
      <c r="R24" s="1" t="str">
        <f t="shared" si="4"/>
        <v>LU005948.005</v>
      </c>
      <c r="S24" s="15" t="str">
        <f ca="1">IFERROR(__xludf.dummyfunction("VLOOKUP(R24, IMPORTRANGE(""https://docs.google.com/spreadsheets/d/1yDAaXNsi4Mr5FtRQL4tbmSdIzhx6_m4wkOD7IG-k_eo/edit#gid=1336395716"", ""Science!M:N""), 2, FALSE)"),"Evaluate the effects of various foods and flavors on the production of saliva.")</f>
        <v>Evaluate the effects of various foods and flavors on the production of saliva.</v>
      </c>
      <c r="T24" s="1" t="str">
        <f t="shared" si="5"/>
        <v>LU005948.006</v>
      </c>
      <c r="U24" s="15" t="str">
        <f ca="1">IFERROR(__xludf.dummyfunction("VLOOKUP(T24, IMPORTRANGE(""https://docs.google.com/spreadsheets/d/1yDAaXNsi4Mr5FtRQL4tbmSdIzhx6_m4wkOD7IG-k_eo/edit#gid=1336395716"", ""Science!M:N""), 2, FALSE)"),"Design a simple experiment to test the activity of saliva on food items with time.")</f>
        <v>Design a simple experiment to test the activity of saliva on food items with time.</v>
      </c>
      <c r="V24" s="1"/>
      <c r="W24" s="1"/>
      <c r="X24" s="1"/>
      <c r="Y24" s="1"/>
      <c r="Z24" s="1"/>
      <c r="AA24" s="1"/>
      <c r="AB24" s="1"/>
      <c r="AC24" s="1"/>
      <c r="AD24" s="1"/>
      <c r="AE24" s="1"/>
      <c r="AF24" s="1"/>
      <c r="AG24" s="1"/>
    </row>
    <row r="25" spans="1:33" ht="41.4">
      <c r="A25" s="1"/>
      <c r="B25" s="1" t="s">
        <v>29</v>
      </c>
      <c r="C25" s="13">
        <v>6</v>
      </c>
      <c r="D25" s="1" t="s">
        <v>1321</v>
      </c>
      <c r="E25" s="1" t="s">
        <v>1283</v>
      </c>
      <c r="F25" s="1" t="s">
        <v>1324</v>
      </c>
      <c r="G25" s="1" t="s">
        <v>1326</v>
      </c>
      <c r="H25" s="1" t="str">
        <f ca="1">IFERROR(__xludf.dummyfunction("IFERROR(
  VLOOKUP(G25, IMPORTRANGE(""https://docs.google.com/spreadsheets/d/14deopnvwcrKtEGCKuYXdUHJbeLDZlkiSSWWT0g7x2pM/edit#gid=849066331"", ""LU List Maths (Filter)!A:B""), 2, FALSE),
  IFERROR(
    VLOOKUP(G25, IMPORTRANGE(""https://docs.google.com/s"&amp;"preadsheets/d/14deopnvwcrKtEGCKuYXdUHJbeLDZlkiSSWWT0g7x2pM/edit#gid=849066331"", ""LU List Science (Filter)!A:B""), 2, FALSE),
    ""Not Found""
  )
)
"),"Role of human teeth and tongue in digestion")</f>
        <v>Role of human teeth and tongue in digestion</v>
      </c>
      <c r="I25" s="1"/>
      <c r="J25" s="1" t="str">
        <f t="shared" si="0"/>
        <v>LU005949.001</v>
      </c>
      <c r="K25" s="1" t="str">
        <f ca="1">IFERROR(__xludf.dummyfunction("VLOOKUP(J25, IMPORTRANGE(""https://docs.google.com/spreadsheets/d/1yDAaXNsi4Mr5FtRQL4tbmSdIzhx6_m4wkOD7IG-k_eo/edit#gid=1336395716"", ""Science!M:N""), 2, FALSE)"),"Recall the different types of human teeth and their functions in digestion.")</f>
        <v>Recall the different types of human teeth and their functions in digestion.</v>
      </c>
      <c r="L25" s="1" t="str">
        <f t="shared" si="1"/>
        <v>LU005949.002</v>
      </c>
      <c r="M25" s="1" t="str">
        <f ca="1">IFERROR(__xludf.dummyfunction("VLOOKUP(L25, IMPORTRANGE(""https://docs.google.com/spreadsheets/d/1yDAaXNsi4Mr5FtRQL4tbmSdIzhx6_m4wkOD7IG-k_eo/edit#gid=1336395716"", ""Science!M:N""), 2, FALSE)"),"Summarize the role of the tongue and teeth in the process of digestion and causes of tooth decay.")</f>
        <v>Summarize the role of the tongue and teeth in the process of digestion and causes of tooth decay.</v>
      </c>
      <c r="N25" s="1" t="str">
        <f t="shared" si="2"/>
        <v>LU005949.003</v>
      </c>
      <c r="O25" s="1" t="str">
        <f ca="1">IFERROR(__xludf.dummyfunction("VLOOKUP(N25, IMPORTRANGE(""https://docs.google.com/spreadsheets/d/1yDAaXNsi4Mr5FtRQL4tbmSdIzhx6_m4wkOD7IG-k_eo/edit#gid=1336395716"", ""Science!M:N""), 2, FALSE)"),"Apply knowledge of teeth and tongue function to explain the initial stages of the digestive process.")</f>
        <v>Apply knowledge of teeth and tongue function to explain the initial stages of the digestive process.</v>
      </c>
      <c r="P25" s="1" t="str">
        <f t="shared" si="3"/>
        <v>LU005949.004</v>
      </c>
      <c r="Q25" s="15" t="str">
        <f ca="1">IFERROR(__xludf.dummyfunction("VLOOKUP(P25, IMPORTRANGE(""https://docs.google.com/spreadsheets/d/1yDAaXNsi4Mr5FtRQL4tbmSdIzhx6_m4wkOD7IG-k_eo/edit#gid=1336395716"", ""Science!M:N""), 2, FALSE)"),"Differentiate between the mechanical and chemical digestion occurring in the mouth.")</f>
        <v>Differentiate between the mechanical and chemical digestion occurring in the mouth.</v>
      </c>
      <c r="R25" s="1" t="str">
        <f t="shared" si="4"/>
        <v>LU005949.005</v>
      </c>
      <c r="S25" s="15" t="str">
        <f ca="1">IFERROR(__xludf.dummyfunction("VLOOKUP(R25, IMPORTRANGE(""https://docs.google.com/spreadsheets/d/1yDAaXNsi4Mr5FtRQL4tbmSdIzhx6_m4wkOD7IG-k_eo/edit#gid=1336395716"", ""Science!M:N""), 2, FALSE)"),"Evaluate the effects of poor dental hygiene on the digestive process.")</f>
        <v>Evaluate the effects of poor dental hygiene on the digestive process.</v>
      </c>
      <c r="T25" s="1" t="str">
        <f t="shared" si="5"/>
        <v>LU005949.006</v>
      </c>
      <c r="U25" s="15" t="str">
        <f ca="1">IFERROR(__xludf.dummyfunction("VLOOKUP(T25, IMPORTRANGE(""https://docs.google.com/spreadsheets/d/1yDAaXNsi4Mr5FtRQL4tbmSdIzhx6_m4wkOD7IG-k_eo/edit#gid=1336395716"", ""Science!M:N""), 2, FALSE)"),"#N/A")</f>
        <v>#N/A</v>
      </c>
      <c r="V25" s="1"/>
      <c r="W25" s="1"/>
      <c r="X25" s="1"/>
      <c r="Y25" s="1"/>
      <c r="Z25" s="1"/>
      <c r="AA25" s="1"/>
      <c r="AB25" s="1"/>
      <c r="AC25" s="1"/>
      <c r="AD25" s="1"/>
      <c r="AE25" s="1"/>
      <c r="AF25" s="1"/>
      <c r="AG25" s="1"/>
    </row>
    <row r="26" spans="1:33" ht="41.4">
      <c r="A26" s="1"/>
      <c r="B26" s="1" t="s">
        <v>29</v>
      </c>
      <c r="C26" s="13">
        <v>6</v>
      </c>
      <c r="D26" s="1" t="s">
        <v>1321</v>
      </c>
      <c r="E26" s="1" t="s">
        <v>1283</v>
      </c>
      <c r="F26" s="1" t="s">
        <v>1324</v>
      </c>
      <c r="G26" s="1" t="s">
        <v>1327</v>
      </c>
      <c r="H26" s="1" t="str">
        <f ca="1">IFERROR(__xludf.dummyfunction("IFERROR(
  VLOOKUP(G26, IMPORTRANGE(""https://docs.google.com/spreadsheets/d/14deopnvwcrKtEGCKuYXdUHJbeLDZlkiSSWWT0g7x2pM/edit#gid=849066331"", ""LU List Maths (Filter)!A:B""), 2, FALSE),
  IFERROR(
    VLOOKUP(G26, IMPORTRANGE(""https://docs.google.com/s"&amp;"preadsheets/d/14deopnvwcrKtEGCKuYXdUHJbeLDZlkiSSWWT0g7x2pM/edit#gid=849066331"", ""LU List Science (Filter)!A:B""), 2, FALSE),
    ""Not Found""
  )
)
"),"Role of human oesophagus and stomach in digestion")</f>
        <v>Role of human oesophagus and stomach in digestion</v>
      </c>
      <c r="I26" s="1"/>
      <c r="J26" s="1" t="str">
        <f t="shared" si="0"/>
        <v>LU005950.001</v>
      </c>
      <c r="K26" s="1" t="str">
        <f ca="1">IFERROR(__xludf.dummyfunction("VLOOKUP(J26, IMPORTRANGE(""https://docs.google.com/spreadsheets/d/1yDAaXNsi4Mr5FtRQL4tbmSdIzhx6_m4wkOD7IG-k_eo/edit#gid=1336395716"", ""Science!M:N""), 2, FALSE)"),"Recall the functions of the human esophagus and stomach in digestion.")</f>
        <v>Recall the functions of the human esophagus and stomach in digestion.</v>
      </c>
      <c r="L26" s="1" t="str">
        <f t="shared" si="1"/>
        <v>LU005950.002</v>
      </c>
      <c r="M26" s="1" t="str">
        <f ca="1">IFERROR(__xludf.dummyfunction("VLOOKUP(L26, IMPORTRANGE(""https://docs.google.com/spreadsheets/d/1yDAaXNsi4Mr5FtRQL4tbmSdIzhx6_m4wkOD7IG-k_eo/edit#gid=1336395716"", ""Science!M:N""), 2, FALSE)"),"Summarize the process of digestion as food passes through the esophagus to the stomach.")</f>
        <v>Summarize the process of digestion as food passes through the esophagus to the stomach.</v>
      </c>
      <c r="N26" s="1" t="str">
        <f t="shared" si="2"/>
        <v>LU005950.003</v>
      </c>
      <c r="O26" s="1" t="str">
        <f ca="1">IFERROR(__xludf.dummyfunction("VLOOKUP(N26, IMPORTRANGE(""https://docs.google.com/spreadsheets/d/1yDAaXNsi4Mr5FtRQL4tbmSdIzhx6_m4wkOD7IG-k_eo/edit#gid=1336395716"", ""Science!M:N""), 2, FALSE)"),"Apply knowledge of the digestive system to identify problems associated with the esophagus and stomach, like acid reflux.")</f>
        <v>Apply knowledge of the digestive system to identify problems associated with the esophagus and stomach, like acid reflux.</v>
      </c>
      <c r="P26" s="1" t="str">
        <f t="shared" si="3"/>
        <v>LU005950.004</v>
      </c>
      <c r="Q26" s="15" t="str">
        <f ca="1">IFERROR(__xludf.dummyfunction("VLOOKUP(P26, IMPORTRANGE(""https://docs.google.com/spreadsheets/d/1yDAaXNsi4Mr5FtRQL4tbmSdIzhx6_m4wkOD7IG-k_eo/edit#gid=1336395716"", ""Science!M:N""), 2, FALSE)"),"#N/A")</f>
        <v>#N/A</v>
      </c>
      <c r="R26" s="1" t="str">
        <f t="shared" si="4"/>
        <v>LU005950.005</v>
      </c>
      <c r="S26" s="15" t="str">
        <f ca="1">IFERROR(__xludf.dummyfunction("VLOOKUP(R26, IMPORTRANGE(""https://docs.google.com/spreadsheets/d/1yDAaXNsi4Mr5FtRQL4tbmSdIzhx6_m4wkOD7IG-k_eo/edit#gid=1336395716"", ""Science!M:N""), 2, FALSE)"),"#N/A")</f>
        <v>#N/A</v>
      </c>
      <c r="T26" s="1" t="str">
        <f t="shared" si="5"/>
        <v>LU005950.006</v>
      </c>
      <c r="U26" s="15" t="str">
        <f ca="1">IFERROR(__xludf.dummyfunction("VLOOKUP(T26, IMPORTRANGE(""https://docs.google.com/spreadsheets/d/1yDAaXNsi4Mr5FtRQL4tbmSdIzhx6_m4wkOD7IG-k_eo/edit#gid=1336395716"", ""Science!M:N""), 2, FALSE)"),"#N/A")</f>
        <v>#N/A</v>
      </c>
      <c r="V26" s="1"/>
      <c r="W26" s="1"/>
      <c r="X26" s="1"/>
      <c r="Y26" s="1"/>
      <c r="Z26" s="1"/>
      <c r="AA26" s="1"/>
      <c r="AB26" s="1"/>
      <c r="AC26" s="1"/>
      <c r="AD26" s="1"/>
      <c r="AE26" s="1"/>
      <c r="AF26" s="1"/>
      <c r="AG26" s="1"/>
    </row>
    <row r="27" spans="1:33" ht="55.2">
      <c r="A27" s="1"/>
      <c r="B27" s="1" t="s">
        <v>29</v>
      </c>
      <c r="C27" s="13">
        <v>6</v>
      </c>
      <c r="D27" s="1" t="s">
        <v>1321</v>
      </c>
      <c r="E27" s="1" t="s">
        <v>1283</v>
      </c>
      <c r="F27" s="1" t="s">
        <v>1328</v>
      </c>
      <c r="G27" s="1" t="s">
        <v>1329</v>
      </c>
      <c r="H27" s="1" t="str">
        <f ca="1">IFERROR(__xludf.dummyfunction("IFERROR(
  VLOOKUP(G27, IMPORTRANGE(""https://docs.google.com/spreadsheets/d/14deopnvwcrKtEGCKuYXdUHJbeLDZlkiSSWWT0g7x2pM/edit#gid=849066331"", ""LU List Maths (Filter)!A:B""), 2, FALSE),
  IFERROR(
    VLOOKUP(G27, IMPORTRANGE(""https://docs.google.com/s"&amp;"preadsheets/d/14deopnvwcrKtEGCKuYXdUHJbeLDZlkiSSWWT0g7x2pM/edit#gid=849066331"", ""LU List Science (Filter)!A:B""), 2, FALSE),
    ""Not Found""
  )
)
"),"Function of Secretions from Liver, Pancreas, and Small Intestine")</f>
        <v>Function of Secretions from Liver, Pancreas, and Small Intestine</v>
      </c>
      <c r="I27" s="1"/>
      <c r="J27" s="1" t="str">
        <f t="shared" si="0"/>
        <v>LU005393.001</v>
      </c>
      <c r="K27" s="1" t="str">
        <f ca="1">IFERROR(__xludf.dummyfunction("VLOOKUP(J27, IMPORTRANGE(""https://docs.google.com/spreadsheets/d/1yDAaXNsi4Mr5FtRQL4tbmSdIzhx6_m4wkOD7IG-k_eo/edit#gid=1336395716"", ""Science!M:N""), 2, FALSE)"),"Students will list the secretions from the liver, pancreas, and small intestine.")</f>
        <v>Students will list the secretions from the liver, pancreas, and small intestine.</v>
      </c>
      <c r="L27" s="1" t="str">
        <f t="shared" si="1"/>
        <v>LU005393.002</v>
      </c>
      <c r="M27" s="1" t="str">
        <f ca="1">IFERROR(__xludf.dummyfunction("VLOOKUP(L27, IMPORTRANGE(""https://docs.google.com/spreadsheets/d/1yDAaXNsi4Mr5FtRQL4tbmSdIzhx6_m4wkOD7IG-k_eo/edit#gid=1336395716"", ""Science!M:N""), 2, FALSE)"),"Students will describe the functions of secretions from the liver, pancreas, and small intestine in the digestive process.")</f>
        <v>Students will describe the functions of secretions from the liver, pancreas, and small intestine in the digestive process.</v>
      </c>
      <c r="N27" s="1" t="str">
        <f t="shared" si="2"/>
        <v>LU005393.003</v>
      </c>
      <c r="O27" s="1" t="str">
        <f ca="1">IFERROR(__xludf.dummyfunction("VLOOKUP(N27, IMPORTRANGE(""https://docs.google.com/spreadsheets/d/1yDAaXNsi4Mr5FtRQL4tbmSdIzhx6_m4wkOD7IG-k_eo/edit#gid=1336395716"", ""Science!M:N""), 2, FALSE)"),"Students will match secretions with their respective organs and corresponding functions in digestion.")</f>
        <v>Students will match secretions with their respective organs and corresponding functions in digestion.</v>
      </c>
      <c r="P27" s="1" t="str">
        <f t="shared" si="3"/>
        <v>LU005393.004</v>
      </c>
      <c r="Q27" s="15" t="str">
        <f ca="1">IFERROR(__xludf.dummyfunction("VLOOKUP(P27, IMPORTRANGE(""https://docs.google.com/spreadsheets/d/1yDAaXNsi4Mr5FtRQL4tbmSdIzhx6_m4wkOD7IG-k_eo/edit#gid=1336395716"", ""Science!M:N""), 2, FALSE)"),"Students will compare and contrast the roles of liver, pancreas, and small intestine secretions in the digestion and absorption of food.")</f>
        <v>Students will compare and contrast the roles of liver, pancreas, and small intestine secretions in the digestion and absorption of food.</v>
      </c>
      <c r="R27" s="1" t="str">
        <f t="shared" si="4"/>
        <v>LU005393.005</v>
      </c>
      <c r="S27" s="15" t="str">
        <f ca="1">IFERROR(__xludf.dummyfunction("VLOOKUP(R27, IMPORTRANGE(""https://docs.google.com/spreadsheets/d/1yDAaXNsi4Mr5FtRQL4tbmSdIzhx6_m4wkOD7IG-k_eo/edit#gid=1336395716"", ""Science!M:N""), 2, FALSE)"),"Students will assess the impact of deficiencies in these secretions on the digestive health of an animal.")</f>
        <v>Students will assess the impact of deficiencies in these secretions on the digestive health of an animal.</v>
      </c>
      <c r="T27" s="1" t="str">
        <f t="shared" si="5"/>
        <v>LU005393.006</v>
      </c>
      <c r="U27" s="15" t="str">
        <f ca="1">IFERROR(__xludf.dummyfunction("VLOOKUP(T27, IMPORTRANGE(""https://docs.google.com/spreadsheets/d/1yDAaXNsi4Mr5FtRQL4tbmSdIzhx6_m4wkOD7IG-k_eo/edit#gid=1336395716"", ""Science!M:N""), 2, FALSE)"),"#N/A")</f>
        <v>#N/A</v>
      </c>
      <c r="V27" s="1"/>
      <c r="W27" s="1"/>
      <c r="X27" s="1"/>
      <c r="Y27" s="1"/>
      <c r="Z27" s="1"/>
      <c r="AA27" s="1"/>
      <c r="AB27" s="1"/>
      <c r="AC27" s="1"/>
      <c r="AD27" s="1"/>
      <c r="AE27" s="1"/>
      <c r="AF27" s="1"/>
      <c r="AG27" s="1"/>
    </row>
    <row r="28" spans="1:33" ht="55.2">
      <c r="A28" s="1"/>
      <c r="B28" s="1" t="s">
        <v>29</v>
      </c>
      <c r="C28" s="13">
        <v>6</v>
      </c>
      <c r="D28" s="1" t="s">
        <v>1321</v>
      </c>
      <c r="E28" s="1" t="s">
        <v>1283</v>
      </c>
      <c r="F28" s="1" t="s">
        <v>1328</v>
      </c>
      <c r="G28" s="1" t="s">
        <v>1330</v>
      </c>
      <c r="H28" s="1" t="str">
        <f ca="1">IFERROR(__xludf.dummyfunction("IFERROR(
  VLOOKUP(G28, IMPORTRANGE(""https://docs.google.com/spreadsheets/d/14deopnvwcrKtEGCKuYXdUHJbeLDZlkiSSWWT0g7x2pM/edit#gid=849066331"", ""LU List Maths (Filter)!A:B""), 2, FALSE),
  IFERROR(
    VLOOKUP(G28, IMPORTRANGE(""https://docs.google.com/s"&amp;"preadsheets/d/14deopnvwcrKtEGCKuYXdUHJbeLDZlkiSSWWT0g7x2pM/edit#gid=849066331"", ""LU List Science (Filter)!A:B""), 2, FALSE),
    ""Not Found""
  )
)
"),"Absorption in the Small Intestine and large intestine")</f>
        <v>Absorption in the Small Intestine and large intestine</v>
      </c>
      <c r="I28" s="1"/>
      <c r="J28" s="1" t="str">
        <f t="shared" si="0"/>
        <v>LU005394.001</v>
      </c>
      <c r="K28" s="1" t="str">
        <f ca="1">IFERROR(__xludf.dummyfunction("VLOOKUP(J28, IMPORTRANGE(""https://docs.google.com/spreadsheets/d/1yDAaXNsi4Mr5FtRQL4tbmSdIzhx6_m4wkOD7IG-k_eo/edit#gid=1336395716"", ""Science!M:N""), 2, FALSE)"),"Students will define the processes of absorption in the small and large intestines.")</f>
        <v>Students will define the processes of absorption in the small and large intestines.</v>
      </c>
      <c r="L28" s="1" t="str">
        <f t="shared" si="1"/>
        <v>LU005394.002</v>
      </c>
      <c r="M28" s="1" t="str">
        <f ca="1">IFERROR(__xludf.dummyfunction("VLOOKUP(L28, IMPORTRANGE(""https://docs.google.com/spreadsheets/d/1yDAaXNsi4Mr5FtRQL4tbmSdIzhx6_m4wkOD7IG-k_eo/edit#gid=1336395716"", ""Science!M:N""), 2, FALSE)"),"Students will interpret the differences in absorption functions between the small and large intestines.")</f>
        <v>Students will interpret the differences in absorption functions between the small and large intestines.</v>
      </c>
      <c r="N28" s="1" t="str">
        <f t="shared" si="2"/>
        <v>LU005394.003</v>
      </c>
      <c r="O28" s="1" t="str">
        <f ca="1">IFERROR(__xludf.dummyfunction("VLOOKUP(N28, IMPORTRANGE(""https://docs.google.com/spreadsheets/d/1yDAaXNsi4Mr5FtRQL4tbmSdIzhx6_m4wkOD7IG-k_eo/edit#gid=1336395716"", ""Science!M:N""), 2, FALSE)"),"Students will associate the structure of the small and large intestines with their respective roles in absorption.")</f>
        <v>Students will associate the structure of the small and large intestines with their respective roles in absorption.</v>
      </c>
      <c r="P28" s="1" t="str">
        <f t="shared" si="3"/>
        <v>LU005394.004</v>
      </c>
      <c r="Q28" s="15" t="str">
        <f ca="1">IFERROR(__xludf.dummyfunction("VLOOKUP(P28, IMPORTRANGE(""https://docs.google.com/spreadsheets/d/1yDAaXNsi4Mr5FtRQL4tbmSdIzhx6_m4wkOD7IG-k_eo/edit#gid=1336395716"", ""Science!M:N""), 2, FALSE)"),"Students will compare the absorption efficiency of the small intestine with the water reabsorption role of the large intestine.")</f>
        <v>Students will compare the absorption efficiency of the small intestine with the water reabsorption role of the large intestine.</v>
      </c>
      <c r="R28" s="1" t="str">
        <f t="shared" si="4"/>
        <v>LU005394.005</v>
      </c>
      <c r="S28" s="15" t="str">
        <f ca="1">IFERROR(__xludf.dummyfunction("VLOOKUP(R28, IMPORTRANGE(""https://docs.google.com/spreadsheets/d/1yDAaXNsi4Mr5FtRQL4tbmSdIzhx6_m4wkOD7IG-k_eo/edit#gid=1336395716"", ""Science!M:N""), 2, FALSE)"),"Students will evaluate the impact of various diets on the absorption efficiency of the small and large intestines.")</f>
        <v>Students will evaluate the impact of various diets on the absorption efficiency of the small and large intestines.</v>
      </c>
      <c r="T28" s="1" t="str">
        <f t="shared" si="5"/>
        <v>LU005394.006</v>
      </c>
      <c r="U28" s="15" t="str">
        <f ca="1">IFERROR(__xludf.dummyfunction("VLOOKUP(T28, IMPORTRANGE(""https://docs.google.com/spreadsheets/d/1yDAaXNsi4Mr5FtRQL4tbmSdIzhx6_m4wkOD7IG-k_eo/edit#gid=1336395716"", ""Science!M:N""), 2, FALSE)"),"#N/A")</f>
        <v>#N/A</v>
      </c>
      <c r="V28" s="1"/>
      <c r="W28" s="1"/>
      <c r="X28" s="1"/>
      <c r="Y28" s="1"/>
      <c r="Z28" s="1"/>
      <c r="AA28" s="1"/>
      <c r="AB28" s="1"/>
      <c r="AC28" s="1"/>
      <c r="AD28" s="1"/>
      <c r="AE28" s="1"/>
      <c r="AF28" s="1"/>
      <c r="AG28" s="1"/>
    </row>
    <row r="29" spans="1:33" ht="69">
      <c r="A29" s="18"/>
      <c r="B29" s="18" t="s">
        <v>29</v>
      </c>
      <c r="C29" s="105">
        <v>6</v>
      </c>
      <c r="D29" s="18" t="s">
        <v>1321</v>
      </c>
      <c r="E29" s="18" t="s">
        <v>1283</v>
      </c>
      <c r="F29" s="18" t="s">
        <v>1331</v>
      </c>
      <c r="G29" s="14" t="s">
        <v>1332</v>
      </c>
      <c r="H29" s="1" t="str">
        <f ca="1">IFERROR(__xludf.dummyfunction("IFERROR(
  VLOOKUP(G29, IMPORTRANGE(""https://docs.google.com/spreadsheets/d/14deopnvwcrKtEGCKuYXdUHJbeLDZlkiSSWWT0g7x2pM/edit#gid=849066331"", ""LU List Maths (Filter)!A:B""), 2, FALSE),
  IFERROR(
    VLOOKUP(G29, IMPORTRANGE(""https://docs.google.com/s"&amp;"preadsheets/d/14deopnvwcrKtEGCKuYXdUHJbeLDZlkiSSWWT0g7x2pM/edit#gid=849066331"", ""LU List Science (Filter)!A:B""), 2, FALSE),
    ""Not Found""
  )
)
"),"Causes of Indigestion")</f>
        <v>Causes of Indigestion</v>
      </c>
      <c r="I29" s="18" t="s">
        <v>1333</v>
      </c>
      <c r="J29" s="1" t="str">
        <f t="shared" si="0"/>
        <v>LU006598.001</v>
      </c>
      <c r="K29" s="1" t="str">
        <f ca="1">IFERROR(__xludf.dummyfunction("VLOOKUP(J29, IMPORTRANGE(""https://docs.google.com/spreadsheets/d/1yDAaXNsi4Mr5FtRQL4tbmSdIzhx6_m4wkOD7IG-k_eo/edit#gid=1336395716"", ""Science!M:N""), 2, FALSE)"),"(LU006598.001); Default - Remember")</f>
        <v>(LU006598.001); Default - Remember</v>
      </c>
      <c r="L29" s="1" t="str">
        <f t="shared" si="1"/>
        <v>LU006598.002</v>
      </c>
      <c r="M29" s="1" t="str">
        <f ca="1">IFERROR(__xludf.dummyfunction("VLOOKUP(L29, IMPORTRANGE(""https://docs.google.com/spreadsheets/d/1yDAaXNsi4Mr5FtRQL4tbmSdIzhx6_m4wkOD7IG-k_eo/edit#gid=1336395716"", ""Science!M:N""), 2, FALSE)"),"(LU006598.002); Default - Understand")</f>
        <v>(LU006598.002); Default - Understand</v>
      </c>
      <c r="N29" s="1" t="str">
        <f t="shared" si="2"/>
        <v>LU006598.003</v>
      </c>
      <c r="O29" s="1" t="str">
        <f ca="1">IFERROR(__xludf.dummyfunction("VLOOKUP(N29, IMPORTRANGE(""https://docs.google.com/spreadsheets/d/1yDAaXNsi4Mr5FtRQL4tbmSdIzhx6_m4wkOD7IG-k_eo/edit#gid=1336395716"", ""Science!M:N""), 2, FALSE)"),"(LU006598.003); Default - Apply")</f>
        <v>(LU006598.003); Default - Apply</v>
      </c>
      <c r="P29" s="1" t="str">
        <f t="shared" si="3"/>
        <v>LU006598.004</v>
      </c>
      <c r="Q29" s="15" t="str">
        <f ca="1">IFERROR(__xludf.dummyfunction("VLOOKUP(P29, IMPORTRANGE(""https://docs.google.com/spreadsheets/d/1yDAaXNsi4Mr5FtRQL4tbmSdIzhx6_m4wkOD7IG-k_eo/edit#gid=1336395716"", ""Science!M:N""), 2, FALSE)"),"(LU006598.004); Default - Analyse")</f>
        <v>(LU006598.004); Default - Analyse</v>
      </c>
      <c r="R29" s="1" t="str">
        <f t="shared" si="4"/>
        <v>LU006598.005</v>
      </c>
      <c r="S29" s="15" t="str">
        <f ca="1">IFERROR(__xludf.dummyfunction("VLOOKUP(R29, IMPORTRANGE(""https://docs.google.com/spreadsheets/d/1yDAaXNsi4Mr5FtRQL4tbmSdIzhx6_m4wkOD7IG-k_eo/edit#gid=1336395716"", ""Science!M:N""), 2, FALSE)"),"(LU006598.005); Default - Evaluate")</f>
        <v>(LU006598.005); Default - Evaluate</v>
      </c>
      <c r="T29" s="1" t="str">
        <f t="shared" si="5"/>
        <v>LU006598.006</v>
      </c>
      <c r="U29" s="15" t="str">
        <f ca="1">IFERROR(__xludf.dummyfunction("VLOOKUP(T29, IMPORTRANGE(""https://docs.google.com/spreadsheets/d/1yDAaXNsi4Mr5FtRQL4tbmSdIzhx6_m4wkOD7IG-k_eo/edit#gid=1336395716"", ""Science!M:N""), 2, FALSE)"),"(LU006598.006); Default - Create")</f>
        <v>(LU006598.006); Default - Create</v>
      </c>
      <c r="V29" s="18"/>
      <c r="W29" s="18"/>
      <c r="X29" s="18"/>
      <c r="Y29" s="18"/>
      <c r="Z29" s="18"/>
      <c r="AA29" s="18"/>
      <c r="AB29" s="18"/>
      <c r="AC29" s="18"/>
      <c r="AD29" s="18"/>
      <c r="AE29" s="18"/>
      <c r="AF29" s="18"/>
      <c r="AG29" s="18"/>
    </row>
    <row r="30" spans="1:33" ht="41.4">
      <c r="A30" s="18"/>
      <c r="B30" s="18" t="s">
        <v>29</v>
      </c>
      <c r="C30" s="105">
        <v>6</v>
      </c>
      <c r="D30" s="18" t="s">
        <v>1321</v>
      </c>
      <c r="E30" s="18" t="s">
        <v>1283</v>
      </c>
      <c r="F30" s="18" t="s">
        <v>1331</v>
      </c>
      <c r="G30" s="14" t="s">
        <v>1334</v>
      </c>
      <c r="H30" s="1" t="str">
        <f ca="1">IFERROR(__xludf.dummyfunction("IFERROR(
  VLOOKUP(G30, IMPORTRANGE(""https://docs.google.com/spreadsheets/d/14deopnvwcrKtEGCKuYXdUHJbeLDZlkiSSWWT0g7x2pM/edit#gid=849066331"", ""LU List Maths (Filter)!A:B""), 2, FALSE),
  IFERROR(
    VLOOKUP(G30, IMPORTRANGE(""https://docs.google.com/s"&amp;"preadsheets/d/14deopnvwcrKtEGCKuYXdUHJbeLDZlkiSSWWT0g7x2pM/edit#gid=849066331"", ""LU List Science (Filter)!A:B""), 2, FALSE),
    ""Not Found""
  )
)
"),"Healthy and unhealthy food habits")</f>
        <v>Healthy and unhealthy food habits</v>
      </c>
      <c r="I30" s="18"/>
      <c r="J30" s="1" t="str">
        <f t="shared" si="0"/>
        <v>LU006599.001</v>
      </c>
      <c r="K30" s="1" t="str">
        <f ca="1">IFERROR(__xludf.dummyfunction("VLOOKUP(J30, IMPORTRANGE(""https://docs.google.com/spreadsheets/d/1yDAaXNsi4Mr5FtRQL4tbmSdIzhx6_m4wkOD7IG-k_eo/edit#gid=1336395716"", ""Science!M:N""), 2, FALSE)"),"(LU006599.001); Default - Remember")</f>
        <v>(LU006599.001); Default - Remember</v>
      </c>
      <c r="L30" s="1" t="str">
        <f t="shared" si="1"/>
        <v>LU006599.002</v>
      </c>
      <c r="M30" s="1" t="str">
        <f ca="1">IFERROR(__xludf.dummyfunction("VLOOKUP(L30, IMPORTRANGE(""https://docs.google.com/spreadsheets/d/1yDAaXNsi4Mr5FtRQL4tbmSdIzhx6_m4wkOD7IG-k_eo/edit#gid=1336395716"", ""Science!M:N""), 2, FALSE)"),"(LU006599.002); Default - Understand")</f>
        <v>(LU006599.002); Default - Understand</v>
      </c>
      <c r="N30" s="1" t="str">
        <f t="shared" si="2"/>
        <v>LU006599.003</v>
      </c>
      <c r="O30" s="1" t="str">
        <f ca="1">IFERROR(__xludf.dummyfunction("VLOOKUP(N30, IMPORTRANGE(""https://docs.google.com/spreadsheets/d/1yDAaXNsi4Mr5FtRQL4tbmSdIzhx6_m4wkOD7IG-k_eo/edit#gid=1336395716"", ""Science!M:N""), 2, FALSE)"),"(LU006599.003); Default - Apply")</f>
        <v>(LU006599.003); Default - Apply</v>
      </c>
      <c r="P30" s="1" t="str">
        <f t="shared" si="3"/>
        <v>LU006599.004</v>
      </c>
      <c r="Q30" s="15" t="str">
        <f ca="1">IFERROR(__xludf.dummyfunction("VLOOKUP(P30, IMPORTRANGE(""https://docs.google.com/spreadsheets/d/1yDAaXNsi4Mr5FtRQL4tbmSdIzhx6_m4wkOD7IG-k_eo/edit#gid=1336395716"", ""Science!M:N""), 2, FALSE)"),"(LU006599.004); Default - Analyse")</f>
        <v>(LU006599.004); Default - Analyse</v>
      </c>
      <c r="R30" s="1" t="str">
        <f t="shared" si="4"/>
        <v>LU006599.005</v>
      </c>
      <c r="S30" s="15" t="str">
        <f ca="1">IFERROR(__xludf.dummyfunction("VLOOKUP(R30, IMPORTRANGE(""https://docs.google.com/spreadsheets/d/1yDAaXNsi4Mr5FtRQL4tbmSdIzhx6_m4wkOD7IG-k_eo/edit#gid=1336395716"", ""Science!M:N""), 2, FALSE)"),"(LU006599.005); Default - Evaluate")</f>
        <v>(LU006599.005); Default - Evaluate</v>
      </c>
      <c r="T30" s="1" t="str">
        <f t="shared" si="5"/>
        <v>LU006599.006</v>
      </c>
      <c r="U30" s="15" t="str">
        <f ca="1">IFERROR(__xludf.dummyfunction("VLOOKUP(T30, IMPORTRANGE(""https://docs.google.com/spreadsheets/d/1yDAaXNsi4Mr5FtRQL4tbmSdIzhx6_m4wkOD7IG-k_eo/edit#gid=1336395716"", ""Science!M:N""), 2, FALSE)"),"(LU006599.006); Default - Create")</f>
        <v>(LU006599.006); Default - Create</v>
      </c>
      <c r="V30" s="18"/>
      <c r="W30" s="18"/>
      <c r="X30" s="18"/>
      <c r="Y30" s="18"/>
      <c r="Z30" s="18"/>
      <c r="AA30" s="18"/>
      <c r="AB30" s="18"/>
      <c r="AC30" s="18"/>
      <c r="AD30" s="18"/>
      <c r="AE30" s="18"/>
      <c r="AF30" s="18"/>
      <c r="AG30" s="18"/>
    </row>
    <row r="31" spans="1:33" ht="55.2">
      <c r="A31" s="18"/>
      <c r="B31" s="18" t="s">
        <v>29</v>
      </c>
      <c r="C31" s="105">
        <v>6</v>
      </c>
      <c r="D31" s="18" t="s">
        <v>1335</v>
      </c>
      <c r="E31" s="18" t="s">
        <v>1283</v>
      </c>
      <c r="F31" s="18" t="s">
        <v>1336</v>
      </c>
      <c r="G31" s="1" t="s">
        <v>1337</v>
      </c>
      <c r="H31" s="1" t="str">
        <f ca="1">IFERROR(__xludf.dummyfunction("IFERROR(
  VLOOKUP(G31, IMPORTRANGE(""https://docs.google.com/spreadsheets/d/14deopnvwcrKtEGCKuYXdUHJbeLDZlkiSSWWT0g7x2pM/edit#gid=849066331"", ""LU List Maths (Filter)!A:B""), 2, FALSE),
  IFERROR(
    VLOOKUP(G31, IMPORTRANGE(""https://docs.google.com/s"&amp;"preadsheets/d/14deopnvwcrKtEGCKuYXdUHJbeLDZlkiSSWWT0g7x2pM/edit#gid=849066331"", ""LU List Science (Filter)!A:B""), 2, FALSE),
    ""Not Found""
  )
)
"),"Definition of Breathing and Breathing Rate")</f>
        <v>Definition of Breathing and Breathing Rate</v>
      </c>
      <c r="I31" s="18"/>
      <c r="J31" s="1" t="str">
        <f t="shared" si="0"/>
        <v>LU005438.001</v>
      </c>
      <c r="K31" s="1" t="str">
        <f ca="1">IFERROR(__xludf.dummyfunction("VLOOKUP(J31, IMPORTRANGE(""https://docs.google.com/spreadsheets/d/1yDAaXNsi4Mr5FtRQL4tbmSdIzhx6_m4wkOD7IG-k_eo/edit#gid=1336395716"", ""Science!M:N""), 2, FALSE)"),"Recall/Define/Identify inhalation, exhalation, breathing, and breathing rate.")</f>
        <v>Recall/Define/Identify inhalation, exhalation, breathing, and breathing rate.</v>
      </c>
      <c r="L31" s="1" t="str">
        <f t="shared" si="1"/>
        <v>LU005438.002</v>
      </c>
      <c r="M31" s="1" t="str">
        <f ca="1">IFERROR(__xludf.dummyfunction("VLOOKUP(L31, IMPORTRANGE(""https://docs.google.com/spreadsheets/d/1yDAaXNsi4Mr5FtRQL4tbmSdIzhx6_m4wkOD7IG-k_eo/edit#gid=1336395716"", ""Science!M:N""), 2, FALSE)"),"Explain how inhalation and exhalation work together in the process of breathing, and how breathing rate is determined.")</f>
        <v>Explain how inhalation and exhalation work together in the process of breathing, and how breathing rate is determined.</v>
      </c>
      <c r="N31" s="1" t="str">
        <f t="shared" si="2"/>
        <v>LU005438.003</v>
      </c>
      <c r="O31" s="1" t="str">
        <f ca="1">IFERROR(__xludf.dummyfunction("VLOOKUP(N31, IMPORTRANGE(""https://docs.google.com/spreadsheets/d/1yDAaXNsi4Mr5FtRQL4tbmSdIzhx6_m4wkOD7IG-k_eo/edit#gid=1336395716"", ""Science!M:N""), 2, FALSE)"),"Default")</f>
        <v>Default</v>
      </c>
      <c r="P31" s="1" t="str">
        <f t="shared" si="3"/>
        <v>LU005438.004</v>
      </c>
      <c r="Q31" s="15" t="str">
        <f ca="1">IFERROR(__xludf.dummyfunction("VLOOKUP(P31, IMPORTRANGE(""https://docs.google.com/spreadsheets/d/1yDAaXNsi4Mr5FtRQL4tbmSdIzhx6_m4wkOD7IG-k_eo/edit#gid=1336395716"", ""Science!M:N""), 2, FALSE)"),"Analyse the correlation between breathing process(includes breathing rate, volume of inhaled air, etc.) and oxygen needs during various situations.")</f>
        <v>Analyse the correlation between breathing process(includes breathing rate, volume of inhaled air, etc.) and oxygen needs during various situations.</v>
      </c>
      <c r="R31" s="1" t="str">
        <f t="shared" si="4"/>
        <v>LU005438.005</v>
      </c>
      <c r="S31" s="15" t="str">
        <f ca="1">IFERROR(__xludf.dummyfunction("VLOOKUP(R31, IMPORTRANGE(""https://docs.google.com/spreadsheets/d/1yDAaXNsi4Mr5FtRQL4tbmSdIzhx6_m4wkOD7IG-k_eo/edit#gid=1336395716"", ""Science!M:N""), 2, FALSE)"),"Evaluate the significance of maintaining optimal breathing rate for respiratory health and overall well-being.")</f>
        <v>Evaluate the significance of maintaining optimal breathing rate for respiratory health and overall well-being.</v>
      </c>
      <c r="T31" s="1" t="str">
        <f t="shared" si="5"/>
        <v>LU005438.006</v>
      </c>
      <c r="U31" s="15" t="str">
        <f ca="1">IFERROR(__xludf.dummyfunction("VLOOKUP(T31, IMPORTRANGE(""https://docs.google.com/spreadsheets/d/1yDAaXNsi4Mr5FtRQL4tbmSdIzhx6_m4wkOD7IG-k_eo/edit#gid=1336395716"", ""Science!M:N""), 2, FALSE)"),"Default")</f>
        <v>Default</v>
      </c>
      <c r="V31" s="18"/>
      <c r="W31" s="18"/>
      <c r="X31" s="18"/>
      <c r="Y31" s="18"/>
      <c r="Z31" s="18"/>
      <c r="AA31" s="18"/>
      <c r="AB31" s="18"/>
      <c r="AC31" s="18"/>
      <c r="AD31" s="18"/>
      <c r="AE31" s="18"/>
      <c r="AF31" s="18"/>
      <c r="AG31" s="18"/>
    </row>
    <row r="32" spans="1:33" ht="41.4">
      <c r="A32" s="18"/>
      <c r="B32" s="18" t="s">
        <v>29</v>
      </c>
      <c r="C32" s="105">
        <v>6</v>
      </c>
      <c r="D32" s="18" t="s">
        <v>1335</v>
      </c>
      <c r="E32" s="18" t="s">
        <v>1283</v>
      </c>
      <c r="F32" s="18" t="s">
        <v>1336</v>
      </c>
      <c r="G32" s="14" t="s">
        <v>1338</v>
      </c>
      <c r="H32" s="1" t="str">
        <f ca="1">IFERROR(__xludf.dummyfunction("IFERROR(
  VLOOKUP(G32, IMPORTRANGE(""https://docs.google.com/spreadsheets/d/14deopnvwcrKtEGCKuYXdUHJbeLDZlkiSSWWT0g7x2pM/edit#gid=849066331"", ""LU List Maths (Filter)!A:B""), 2, FALSE),
  IFERROR(
    VLOOKUP(G32, IMPORTRANGE(""https://docs.google.com/s"&amp;"preadsheets/d/14deopnvwcrKtEGCKuYXdUHJbeLDZlkiSSWWT0g7x2pM/edit#gid=849066331"", ""LU List Science (Filter)!A:B""), 2, FALSE),
    ""Not Found""
  )
)
"),"Difference between breathing and respiration")</f>
        <v>Difference between breathing and respiration</v>
      </c>
      <c r="I32" s="18"/>
      <c r="J32" s="1" t="str">
        <f t="shared" si="0"/>
        <v>LU006600.001</v>
      </c>
      <c r="K32" s="1" t="str">
        <f ca="1">IFERROR(__xludf.dummyfunction("VLOOKUP(J32, IMPORTRANGE(""https://docs.google.com/spreadsheets/d/1yDAaXNsi4Mr5FtRQL4tbmSdIzhx6_m4wkOD7IG-k_eo/edit#gid=1336395716"", ""Science!M:N""), 2, FALSE)"),"(LU006600.001); Default - Remember")</f>
        <v>(LU006600.001); Default - Remember</v>
      </c>
      <c r="L32" s="1" t="str">
        <f t="shared" si="1"/>
        <v>LU006600.002</v>
      </c>
      <c r="M32" s="1" t="str">
        <f ca="1">IFERROR(__xludf.dummyfunction("VLOOKUP(L32, IMPORTRANGE(""https://docs.google.com/spreadsheets/d/1yDAaXNsi4Mr5FtRQL4tbmSdIzhx6_m4wkOD7IG-k_eo/edit#gid=1336395716"", ""Science!M:N""), 2, FALSE)"),"(LU006600.002); Default - Understand")</f>
        <v>(LU006600.002); Default - Understand</v>
      </c>
      <c r="N32" s="1" t="str">
        <f t="shared" si="2"/>
        <v>LU006600.003</v>
      </c>
      <c r="O32" s="1" t="str">
        <f ca="1">IFERROR(__xludf.dummyfunction("VLOOKUP(N32, IMPORTRANGE(""https://docs.google.com/spreadsheets/d/1yDAaXNsi4Mr5FtRQL4tbmSdIzhx6_m4wkOD7IG-k_eo/edit#gid=1336395716"", ""Science!M:N""), 2, FALSE)"),"(LU006600.003); Default - Apply")</f>
        <v>(LU006600.003); Default - Apply</v>
      </c>
      <c r="P32" s="1" t="str">
        <f t="shared" si="3"/>
        <v>LU006600.004</v>
      </c>
      <c r="Q32" s="15" t="str">
        <f ca="1">IFERROR(__xludf.dummyfunction("VLOOKUP(P32, IMPORTRANGE(""https://docs.google.com/spreadsheets/d/1yDAaXNsi4Mr5FtRQL4tbmSdIzhx6_m4wkOD7IG-k_eo/edit#gid=1336395716"", ""Science!M:N""), 2, FALSE)"),"(LU006600.004); Default - Analyse")</f>
        <v>(LU006600.004); Default - Analyse</v>
      </c>
      <c r="R32" s="1" t="str">
        <f t="shared" si="4"/>
        <v>LU006600.005</v>
      </c>
      <c r="S32" s="15" t="str">
        <f ca="1">IFERROR(__xludf.dummyfunction("VLOOKUP(R32, IMPORTRANGE(""https://docs.google.com/spreadsheets/d/1yDAaXNsi4Mr5FtRQL4tbmSdIzhx6_m4wkOD7IG-k_eo/edit#gid=1336395716"", ""Science!M:N""), 2, FALSE)"),"(LU006600.005); Default - Evaluate")</f>
        <v>(LU006600.005); Default - Evaluate</v>
      </c>
      <c r="T32" s="1" t="str">
        <f t="shared" si="5"/>
        <v>LU006600.006</v>
      </c>
      <c r="U32" s="15" t="str">
        <f ca="1">IFERROR(__xludf.dummyfunction("VLOOKUP(T32, IMPORTRANGE(""https://docs.google.com/spreadsheets/d/1yDAaXNsi4Mr5FtRQL4tbmSdIzhx6_m4wkOD7IG-k_eo/edit#gid=1336395716"", ""Science!M:N""), 2, FALSE)"),"(LU006600.006); Default - Create")</f>
        <v>(LU006600.006); Default - Create</v>
      </c>
      <c r="V32" s="18"/>
      <c r="W32" s="18"/>
      <c r="X32" s="18"/>
      <c r="Y32" s="18"/>
      <c r="Z32" s="18"/>
      <c r="AA32" s="18"/>
      <c r="AB32" s="18"/>
      <c r="AC32" s="18"/>
      <c r="AD32" s="18"/>
      <c r="AE32" s="18"/>
      <c r="AF32" s="18"/>
      <c r="AG32" s="18"/>
    </row>
    <row r="33" spans="1:33" ht="41.4">
      <c r="A33" s="1"/>
      <c r="B33" s="1" t="s">
        <v>29</v>
      </c>
      <c r="C33" s="13">
        <v>6</v>
      </c>
      <c r="D33" s="1" t="s">
        <v>1335</v>
      </c>
      <c r="E33" s="1" t="s">
        <v>1283</v>
      </c>
      <c r="F33" s="1" t="s">
        <v>1339</v>
      </c>
      <c r="G33" s="1" t="s">
        <v>1340</v>
      </c>
      <c r="H33" s="1" t="str">
        <f ca="1">IFERROR(__xludf.dummyfunction("IFERROR(
  VLOOKUP(G33, IMPORTRANGE(""https://docs.google.com/spreadsheets/d/14deopnvwcrKtEGCKuYXdUHJbeLDZlkiSSWWT0g7x2pM/edit#gid=849066331"", ""LU List Maths (Filter)!A:B""), 2, FALSE),
  IFERROR(
    VLOOKUP(G33, IMPORTRANGE(""https://docs.google.com/s"&amp;"preadsheets/d/14deopnvwcrKtEGCKuYXdUHJbeLDZlkiSSWWT0g7x2pM/edit#gid=849066331"", ""LU List Science (Filter)!A:B""), 2, FALSE),
    ""Not Found""
  )
)
"),"Definition of Human Respiratory System")</f>
        <v>Definition of Human Respiratory System</v>
      </c>
      <c r="I33" s="1"/>
      <c r="J33" s="1" t="str">
        <f t="shared" si="0"/>
        <v>LU005439.001</v>
      </c>
      <c r="K33" s="1" t="str">
        <f ca="1">IFERROR(__xludf.dummyfunction("VLOOKUP(J33, IMPORTRANGE(""https://docs.google.com/spreadsheets/d/1yDAaXNsi4Mr5FtRQL4tbmSdIzhx6_m4wkOD7IG-k_eo/edit#gid=1336395716"", ""Science!M:N""), 2, FALSE)"),"Recall the definition of the human respiratory system and list the main organs that are part of this system.")</f>
        <v>Recall the definition of the human respiratory system and list the main organs that are part of this system.</v>
      </c>
      <c r="L33" s="1" t="str">
        <f t="shared" si="1"/>
        <v>LU005439.002</v>
      </c>
      <c r="M33" s="1" t="str">
        <f ca="1">IFERROR(__xludf.dummyfunction("VLOOKUP(L33, IMPORTRANGE(""https://docs.google.com/spreadsheets/d/1yDAaXNsi4Mr5FtRQL4tbmSdIzhx6_m4wkOD7IG-k_eo/edit#gid=1336395716"", ""Science!M:N""), 2, FALSE)"),"Understand/Draw/Explain that the human respiratory system encompasses structures like the nose, pharynx, trachea, bronchi, and lungs, working together to facilitate the exchange of gases during respiration.")</f>
        <v>Understand/Draw/Explain that the human respiratory system encompasses structures like the nose, pharynx, trachea, bronchi, and lungs, working together to facilitate the exchange of gases during respiration.</v>
      </c>
      <c r="N33" s="1" t="str">
        <f t="shared" si="2"/>
        <v>LU005439.003</v>
      </c>
      <c r="O33" s="1" t="str">
        <f ca="1">IFERROR(__xludf.dummyfunction("VLOOKUP(N33, IMPORTRANGE(""https://docs.google.com/spreadsheets/d/1yDAaXNsi4Mr5FtRQL4tbmSdIzhx6_m4wkOD7IG-k_eo/edit#gid=1336395716"", ""Science!M:N""), 2, FALSE)"),"Apply the logic behind the consequences of smoking on the human respiratory system, considering how it affects lung function, gas exchange, and overall respiratory health.")</f>
        <v>Apply the logic behind the consequences of smoking on the human respiratory system, considering how it affects lung function, gas exchange, and overall respiratory health.</v>
      </c>
      <c r="P33" s="1" t="str">
        <f t="shared" si="3"/>
        <v>LU005439.004</v>
      </c>
      <c r="Q33" s="15" t="str">
        <f ca="1">IFERROR(__xludf.dummyfunction("VLOOKUP(P33, IMPORTRANGE(""https://docs.google.com/spreadsheets/d/1yDAaXNsi4Mr5FtRQL4tbmSdIzhx6_m4wkOD7IG-k_eo/edit#gid=1336395716"", ""Science!M:N""), 2, FALSE)"),"Default")</f>
        <v>Default</v>
      </c>
      <c r="R33" s="1" t="str">
        <f t="shared" si="4"/>
        <v>LU005439.005</v>
      </c>
      <c r="S33" s="15" t="str">
        <f ca="1">IFERROR(__xludf.dummyfunction("VLOOKUP(R33, IMPORTRANGE(""https://docs.google.com/spreadsheets/d/1yDAaXNsi4Mr5FtRQL4tbmSdIzhx6_m4wkOD7IG-k_eo/edit#gid=1336395716"", ""Science!M:N""), 2, FALSE)"),"#N/A")</f>
        <v>#N/A</v>
      </c>
      <c r="T33" s="1" t="str">
        <f t="shared" si="5"/>
        <v>LU005439.006</v>
      </c>
      <c r="U33" s="15" t="str">
        <f ca="1">IFERROR(__xludf.dummyfunction("VLOOKUP(T33, IMPORTRANGE(""https://docs.google.com/spreadsheets/d/1yDAaXNsi4Mr5FtRQL4tbmSdIzhx6_m4wkOD7IG-k_eo/edit#gid=1336395716"", ""Science!M:N""), 2, FALSE)"),"#N/A")</f>
        <v>#N/A</v>
      </c>
      <c r="V33" s="1"/>
      <c r="W33" s="1"/>
      <c r="X33" s="1"/>
      <c r="Y33" s="1"/>
      <c r="Z33" s="1"/>
      <c r="AA33" s="1"/>
      <c r="AB33" s="1"/>
      <c r="AC33" s="1"/>
      <c r="AD33" s="1"/>
      <c r="AE33" s="1"/>
      <c r="AF33" s="1"/>
      <c r="AG33" s="1"/>
    </row>
    <row r="34" spans="1:33" ht="69">
      <c r="A34" s="1"/>
      <c r="B34" s="1" t="s">
        <v>29</v>
      </c>
      <c r="C34" s="13">
        <v>6</v>
      </c>
      <c r="D34" s="1" t="s">
        <v>1335</v>
      </c>
      <c r="E34" s="1" t="s">
        <v>1283</v>
      </c>
      <c r="F34" s="1" t="s">
        <v>1339</v>
      </c>
      <c r="G34" s="1" t="s">
        <v>1341</v>
      </c>
      <c r="H34" s="1" t="str">
        <f ca="1">IFERROR(__xludf.dummyfunction("IFERROR(
  VLOOKUP(G34, IMPORTRANGE(""https://docs.google.com/spreadsheets/d/14deopnvwcrKtEGCKuYXdUHJbeLDZlkiSSWWT0g7x2pM/edit#gid=849066331"", ""LU List Maths (Filter)!A:B""), 2, FALSE),
  IFERROR(
    VLOOKUP(G34, IMPORTRANGE(""https://docs.google.com/s"&amp;"preadsheets/d/14deopnvwcrKtEGCKuYXdUHJbeLDZlkiSSWWT0g7x2pM/edit#gid=849066331"", ""LU List Science (Filter)!A:B""), 2, FALSE),
    ""Not Found""
  )
)
"),"Mechanism of Breathing in Humans")</f>
        <v>Mechanism of Breathing in Humans</v>
      </c>
      <c r="I34" s="1"/>
      <c r="J34" s="1" t="str">
        <f t="shared" ref="J34:J65" si="6">G34 &amp; ".001"</f>
        <v>LU005440.001</v>
      </c>
      <c r="K34" s="1" t="str">
        <f ca="1">IFERROR(__xludf.dummyfunction("VLOOKUP(J34, IMPORTRANGE(""https://docs.google.com/spreadsheets/d/1yDAaXNsi4Mr5FtRQL4tbmSdIzhx6_m4wkOD7IG-k_eo/edit#gid=1336395716"", ""Science!M:N""), 2, FALSE)"),"Recall/Identify inhalation and exhalation as the two main components of breathing.")</f>
        <v>Recall/Identify inhalation and exhalation as the two main components of breathing.</v>
      </c>
      <c r="L34" s="1" t="str">
        <f t="shared" ref="L34:L65" si="7">G34 &amp; ".002"</f>
        <v>LU005440.002</v>
      </c>
      <c r="M34" s="1" t="str">
        <f ca="1">IFERROR(__xludf.dummyfunction("VLOOKUP(L34, IMPORTRANGE(""https://docs.google.com/spreadsheets/d/1yDAaXNsi4Mr5FtRQL4tbmSdIzhx6_m4wkOD7IG-k_eo/edit#gid=1336395716"", ""Science!M:N""), 2, FALSE)"),"Understand/Draw how the diaphragm and ribcage muscles work together to change chest volume and air moves in/out during breathing.")</f>
        <v>Understand/Draw how the diaphragm and ribcage muscles work together to change chest volume and air moves in/out during breathing.</v>
      </c>
      <c r="N34" s="1" t="str">
        <f t="shared" ref="N34:N65" si="8">G34 &amp; ".003"</f>
        <v>LU005440.003</v>
      </c>
      <c r="O34" s="1" t="str">
        <f ca="1">IFERROR(__xludf.dummyfunction("VLOOKUP(N34, IMPORTRANGE(""https://docs.google.com/spreadsheets/d/1yDAaXNsi4Mr5FtRQL4tbmSdIzhx6_m4wkOD7IG-k_eo/edit#gid=1336395716"", ""Science!M:N""), 2, FALSE)"),"Demonstrate the understanding of breathing mechanism to describe how changes in lung volume cause air movement in and out of the respiratory system.")</f>
        <v>Demonstrate the understanding of breathing mechanism to describe how changes in lung volume cause air movement in and out of the respiratory system.</v>
      </c>
      <c r="P34" s="1" t="str">
        <f t="shared" ref="P34:P65" si="9">G34 &amp; ".004"</f>
        <v>LU005440.004</v>
      </c>
      <c r="Q34" s="15" t="str">
        <f ca="1">IFERROR(__xludf.dummyfunction("VLOOKUP(P34, IMPORTRANGE(""https://docs.google.com/spreadsheets/d/1yDAaXNsi4Mr5FtRQL4tbmSdIzhx6_m4wkOD7IG-k_eo/edit#gid=1336395716"", ""Science!M:N""), 2, FALSE)"),"Evaluate the vital role of the breathing mechanism in maintaining a continuous supply of oxygen and removing carbon dioxide for cellular respiration and overall well-being.")</f>
        <v>Evaluate the vital role of the breathing mechanism in maintaining a continuous supply of oxygen and removing carbon dioxide for cellular respiration and overall well-being.</v>
      </c>
      <c r="R34" s="1" t="str">
        <f t="shared" ref="R34:R65" si="10">G34 &amp; ".005"</f>
        <v>LU005440.005</v>
      </c>
      <c r="S34" s="15" t="str">
        <f ca="1">IFERROR(__xludf.dummyfunction("VLOOKUP(R34, IMPORTRANGE(""https://docs.google.com/spreadsheets/d/1yDAaXNsi4Mr5FtRQL4tbmSdIzhx6_m4wkOD7IG-k_eo/edit#gid=1336395716"", ""Science!M:N""), 2, FALSE)"),"Default")</f>
        <v>Default</v>
      </c>
      <c r="T34" s="1" t="str">
        <f t="shared" ref="T34:T65" si="11">G34 &amp; ".006"</f>
        <v>LU005440.006</v>
      </c>
      <c r="U34" s="15" t="str">
        <f ca="1">IFERROR(__xludf.dummyfunction("VLOOKUP(T34, IMPORTRANGE(""https://docs.google.com/spreadsheets/d/1yDAaXNsi4Mr5FtRQL4tbmSdIzhx6_m4wkOD7IG-k_eo/edit#gid=1336395716"", ""Science!M:N""), 2, FALSE)"),"#N/A")</f>
        <v>#N/A</v>
      </c>
      <c r="V34" s="1"/>
      <c r="W34" s="1"/>
      <c r="X34" s="1"/>
      <c r="Y34" s="1"/>
      <c r="Z34" s="1"/>
      <c r="AA34" s="1"/>
      <c r="AB34" s="1"/>
      <c r="AC34" s="1"/>
      <c r="AD34" s="1"/>
      <c r="AE34" s="1"/>
      <c r="AF34" s="1"/>
      <c r="AG34" s="1"/>
    </row>
    <row r="35" spans="1:33" ht="41.4">
      <c r="A35" s="1"/>
      <c r="B35" s="1" t="s">
        <v>29</v>
      </c>
      <c r="C35" s="13">
        <v>6</v>
      </c>
      <c r="D35" s="1" t="s">
        <v>1335</v>
      </c>
      <c r="E35" s="1" t="s">
        <v>1283</v>
      </c>
      <c r="F35" s="1" t="s">
        <v>1342</v>
      </c>
      <c r="G35" s="1" t="s">
        <v>1343</v>
      </c>
      <c r="H35" s="1" t="str">
        <f ca="1">IFERROR(__xludf.dummyfunction("IFERROR(
  VLOOKUP(G35, IMPORTRANGE(""https://docs.google.com/spreadsheets/d/14deopnvwcrKtEGCKuYXdUHJbeLDZlkiSSWWT0g7x2pM/edit#gid=849066331"", ""LU List Maths (Filter)!A:B""), 2, FALSE),
  IFERROR(
    VLOOKUP(G35, IMPORTRANGE(""https://docs.google.com/s"&amp;"preadsheets/d/14deopnvwcrKtEGCKuYXdUHJbeLDZlkiSSWWT0g7x2pM/edit#gid=849066331"", ""LU List Science (Filter)!A:B""), 2, FALSE),
    ""Not Found""
  )
)
"),"Comparison of the composition of inhaled and exhaled air")</f>
        <v>Comparison of the composition of inhaled and exhaled air</v>
      </c>
      <c r="I35" s="1"/>
      <c r="J35" s="1" t="str">
        <f t="shared" si="6"/>
        <v>LU005955.001</v>
      </c>
      <c r="K35" s="1" t="str">
        <f ca="1">IFERROR(__xludf.dummyfunction("VLOOKUP(J35, IMPORTRANGE(""https://docs.google.com/spreadsheets/d/1yDAaXNsi4Mr5FtRQL4tbmSdIzhx6_m4wkOD7IG-k_eo/edit#gid=1336395716"", ""Science!M:N""), 2, FALSE)"),"Recall the primary components of inhaled and exhaled air.")</f>
        <v>Recall the primary components of inhaled and exhaled air.</v>
      </c>
      <c r="L35" s="1" t="str">
        <f t="shared" si="7"/>
        <v>LU005955.002</v>
      </c>
      <c r="M35" s="1" t="str">
        <f ca="1">IFERROR(__xludf.dummyfunction("VLOOKUP(L35, IMPORTRANGE(""https://docs.google.com/spreadsheets/d/1yDAaXNsi4Mr5FtRQL4tbmSdIzhx6_m4wkOD7IG-k_eo/edit#gid=1336395716"", ""Science!M:N""), 2, FALSE)"),"Summarize the differences between the composition of inhaled and exhaled air.")</f>
        <v>Summarize the differences between the composition of inhaled and exhaled air.</v>
      </c>
      <c r="N35" s="1" t="str">
        <f t="shared" si="8"/>
        <v>LU005955.003</v>
      </c>
      <c r="O35" s="1" t="str">
        <f ca="1">IFERROR(__xludf.dummyfunction("VLOOKUP(N35, IMPORTRANGE(""https://docs.google.com/spreadsheets/d/1yDAaXNsi4Mr5FtRQL4tbmSdIzhx6_m4wkOD7IG-k_eo/edit#gid=1336395716"", ""Science!M:N""), 2, FALSE)"),"Demonstrate the presence of carbon dioxide, water, and oxygen in exhaled air.")</f>
        <v>Demonstrate the presence of carbon dioxide, water, and oxygen in exhaled air.</v>
      </c>
      <c r="P35" s="1" t="str">
        <f t="shared" si="9"/>
        <v>LU005955.004</v>
      </c>
      <c r="Q35" s="15" t="str">
        <f ca="1">IFERROR(__xludf.dummyfunction("VLOOKUP(P35, IMPORTRANGE(""https://docs.google.com/spreadsheets/d/1yDAaXNsi4Mr5FtRQL4tbmSdIzhx6_m4wkOD7IG-k_eo/edit#gid=1336395716"", ""Science!M:N""), 2, FALSE)"),"Distinguish the roles of oxygen and carbon dioxide in the respiratory process.")</f>
        <v>Distinguish the roles of oxygen and carbon dioxide in the respiratory process.</v>
      </c>
      <c r="R35" s="1" t="str">
        <f t="shared" si="10"/>
        <v>LU005955.005</v>
      </c>
      <c r="S35" s="15" t="str">
        <f ca="1">IFERROR(__xludf.dummyfunction("VLOOKUP(R35, IMPORTRANGE(""https://docs.google.com/spreadsheets/d/1yDAaXNsi4Mr5FtRQL4tbmSdIzhx6_m4wkOD7IG-k_eo/edit#gid=1336395716"", ""Science!M:N""), 2, FALSE)"),"Evaluate the impact of various activities on the composition of inhaled and exhaled air.")</f>
        <v>Evaluate the impact of various activities on the composition of inhaled and exhaled air.</v>
      </c>
      <c r="T35" s="1" t="str">
        <f t="shared" si="11"/>
        <v>LU005955.006</v>
      </c>
      <c r="U35" s="15" t="str">
        <f ca="1">IFERROR(__xludf.dummyfunction("VLOOKUP(T35, IMPORTRANGE(""https://docs.google.com/spreadsheets/d/1yDAaXNsi4Mr5FtRQL4tbmSdIzhx6_m4wkOD7IG-k_eo/edit#gid=1336395716"", ""Science!M:N""), 2, FALSE)"),"Design an experiment to measure the changes in air composition during respiration.")</f>
        <v>Design an experiment to measure the changes in air composition during respiration.</v>
      </c>
      <c r="V35" s="1"/>
      <c r="W35" s="1"/>
      <c r="X35" s="1"/>
      <c r="Y35" s="1"/>
      <c r="Z35" s="1"/>
      <c r="AA35" s="1"/>
      <c r="AB35" s="1"/>
      <c r="AC35" s="1"/>
      <c r="AD35" s="1"/>
      <c r="AE35" s="1"/>
      <c r="AF35" s="1"/>
      <c r="AG35" s="1"/>
    </row>
    <row r="36" spans="1:33" ht="41.4">
      <c r="A36" s="18"/>
      <c r="B36" s="18" t="s">
        <v>29</v>
      </c>
      <c r="C36" s="105">
        <v>6</v>
      </c>
      <c r="D36" s="18" t="s">
        <v>1335</v>
      </c>
      <c r="E36" s="18" t="s">
        <v>1283</v>
      </c>
      <c r="F36" s="18" t="s">
        <v>1344</v>
      </c>
      <c r="G36" s="14" t="s">
        <v>1345</v>
      </c>
      <c r="H36" s="1" t="str">
        <f ca="1">IFERROR(__xludf.dummyfunction("IFERROR(
  VLOOKUP(G36, IMPORTRANGE(""https://docs.google.com/spreadsheets/d/14deopnvwcrKtEGCKuYXdUHJbeLDZlkiSSWWT0g7x2pM/edit#gid=849066331"", ""LU List Maths (Filter)!A:B""), 2, FALSE),
  IFERROR(
    VLOOKUP(G36, IMPORTRANGE(""https://docs.google.com/s"&amp;"preadsheets/d/14deopnvwcrKtEGCKuYXdUHJbeLDZlkiSSWWT0g7x2pM/edit#gid=849066331"", ""LU List Science (Filter)!A:B""), 2, FALSE),
    ""Not Found""
  )
)
"),"Asthma, Bronchitis, Pneumonia, and Tuberculosis(Causes and Prevention)")</f>
        <v>Asthma, Bronchitis, Pneumonia, and Tuberculosis(Causes and Prevention)</v>
      </c>
      <c r="I36" s="18"/>
      <c r="J36" s="1" t="str">
        <f t="shared" si="6"/>
        <v>LU006601.001</v>
      </c>
      <c r="K36" s="1" t="str">
        <f ca="1">IFERROR(__xludf.dummyfunction("VLOOKUP(J36, IMPORTRANGE(""https://docs.google.com/spreadsheets/d/1yDAaXNsi4Mr5FtRQL4tbmSdIzhx6_m4wkOD7IG-k_eo/edit#gid=1336395716"", ""Science!M:N""), 2, FALSE)"),"(LU006601.001); Default - Remember")</f>
        <v>(LU006601.001); Default - Remember</v>
      </c>
      <c r="L36" s="1" t="str">
        <f t="shared" si="7"/>
        <v>LU006601.002</v>
      </c>
      <c r="M36" s="1" t="str">
        <f ca="1">IFERROR(__xludf.dummyfunction("VLOOKUP(L36, IMPORTRANGE(""https://docs.google.com/spreadsheets/d/1yDAaXNsi4Mr5FtRQL4tbmSdIzhx6_m4wkOD7IG-k_eo/edit#gid=1336395716"", ""Science!M:N""), 2, FALSE)"),"(LU006601.002); Default - Understand")</f>
        <v>(LU006601.002); Default - Understand</v>
      </c>
      <c r="N36" s="1" t="str">
        <f t="shared" si="8"/>
        <v>LU006601.003</v>
      </c>
      <c r="O36" s="1" t="str">
        <f ca="1">IFERROR(__xludf.dummyfunction("VLOOKUP(N36, IMPORTRANGE(""https://docs.google.com/spreadsheets/d/1yDAaXNsi4Mr5FtRQL4tbmSdIzhx6_m4wkOD7IG-k_eo/edit#gid=1336395716"", ""Science!M:N""), 2, FALSE)"),"(LU006601.003); Default - Apply")</f>
        <v>(LU006601.003); Default - Apply</v>
      </c>
      <c r="P36" s="1" t="str">
        <f t="shared" si="9"/>
        <v>LU006601.004</v>
      </c>
      <c r="Q36" s="15" t="str">
        <f ca="1">IFERROR(__xludf.dummyfunction("VLOOKUP(P36, IMPORTRANGE(""https://docs.google.com/spreadsheets/d/1yDAaXNsi4Mr5FtRQL4tbmSdIzhx6_m4wkOD7IG-k_eo/edit#gid=1336395716"", ""Science!M:N""), 2, FALSE)"),"(LU006601.004); Default - Analyse")</f>
        <v>(LU006601.004); Default - Analyse</v>
      </c>
      <c r="R36" s="1" t="str">
        <f t="shared" si="10"/>
        <v>LU006601.005</v>
      </c>
      <c r="S36" s="15" t="str">
        <f ca="1">IFERROR(__xludf.dummyfunction("VLOOKUP(R36, IMPORTRANGE(""https://docs.google.com/spreadsheets/d/1yDAaXNsi4Mr5FtRQL4tbmSdIzhx6_m4wkOD7IG-k_eo/edit#gid=1336395716"", ""Science!M:N""), 2, FALSE)"),"(LU006601.005); Default - Evaluate")</f>
        <v>(LU006601.005); Default - Evaluate</v>
      </c>
      <c r="T36" s="1" t="str">
        <f t="shared" si="11"/>
        <v>LU006601.006</v>
      </c>
      <c r="U36" s="15" t="str">
        <f ca="1">IFERROR(__xludf.dummyfunction("VLOOKUP(T36, IMPORTRANGE(""https://docs.google.com/spreadsheets/d/1yDAaXNsi4Mr5FtRQL4tbmSdIzhx6_m4wkOD7IG-k_eo/edit#gid=1336395716"", ""Science!M:N""), 2, FALSE)"),"(LU006601.006); Default - Create")</f>
        <v>(LU006601.006); Default - Create</v>
      </c>
      <c r="V36" s="18"/>
      <c r="W36" s="18"/>
      <c r="X36" s="18"/>
      <c r="Y36" s="18"/>
      <c r="Z36" s="18"/>
      <c r="AA36" s="18"/>
      <c r="AB36" s="18"/>
      <c r="AC36" s="18"/>
      <c r="AD36" s="18"/>
      <c r="AE36" s="18"/>
      <c r="AF36" s="18"/>
      <c r="AG36" s="18"/>
    </row>
    <row r="37" spans="1:33" ht="55.2">
      <c r="A37" s="1"/>
      <c r="B37" s="1" t="s">
        <v>29</v>
      </c>
      <c r="C37" s="13">
        <v>6</v>
      </c>
      <c r="D37" s="1" t="s">
        <v>1346</v>
      </c>
      <c r="E37" s="1" t="s">
        <v>1283</v>
      </c>
      <c r="F37" s="1" t="s">
        <v>1347</v>
      </c>
      <c r="G37" s="1" t="s">
        <v>1348</v>
      </c>
      <c r="H37" s="1" t="str">
        <f ca="1">IFERROR(__xludf.dummyfunction("IFERROR(
  VLOOKUP(G37, IMPORTRANGE(""https://docs.google.com/spreadsheets/d/14deopnvwcrKtEGCKuYXdUHJbeLDZlkiSSWWT0g7x2pM/edit#gid=849066331"", ""LU List Maths (Filter)!A:B""), 2, FALSE),
  IFERROR(
    VLOOKUP(G37, IMPORTRANGE(""https://docs.google.com/s"&amp;"preadsheets/d/14deopnvwcrKtEGCKuYXdUHJbeLDZlkiSSWWT0g7x2pM/edit#gid=849066331"", ""LU List Science (Filter)!A:B""), 2, FALSE),
    ""Not Found""
  )
)
"),"Body Parts in Human Circulatory System")</f>
        <v>Body Parts in Human Circulatory System</v>
      </c>
      <c r="I37" s="1"/>
      <c r="J37" s="1" t="str">
        <f t="shared" si="6"/>
        <v>LU005454.001</v>
      </c>
      <c r="K37" s="1" t="str">
        <f ca="1">IFERROR(__xludf.dummyfunction("VLOOKUP(J37, IMPORTRANGE(""https://docs.google.com/spreadsheets/d/1yDAaXNsi4Mr5FtRQL4tbmSdIzhx6_m4wkOD7IG-k_eo/edit#gid=1336395716"", ""Science!M:N""), 2, FALSE)"),"Recall/Identify the key body parts involved in the human circulatory system.")</f>
        <v>Recall/Identify the key body parts involved in the human circulatory system.</v>
      </c>
      <c r="L37" s="1" t="str">
        <f t="shared" si="7"/>
        <v>LU005454.002</v>
      </c>
      <c r="M37" s="1" t="str">
        <f ca="1">IFERROR(__xludf.dummyfunction("VLOOKUP(L37, IMPORTRANGE(""https://docs.google.com/spreadsheets/d/1yDAaXNsi4Mr5FtRQL4tbmSdIzhx6_m4wkOD7IG-k_eo/edit#gid=1336395716"", ""Science!M:N""), 2, FALSE)"),"Explain how the heart, blood vessels (arteries, veins, and capillaries), and blood work together to transport oxygen and nutrients throughout the body.")</f>
        <v>Explain how the heart, blood vessels (arteries, veins, and capillaries), and blood work together to transport oxygen and nutrients throughout the body.</v>
      </c>
      <c r="N37" s="1" t="str">
        <f t="shared" si="8"/>
        <v>LU005454.003</v>
      </c>
      <c r="O37" s="1" t="str">
        <f ca="1">IFERROR(__xludf.dummyfunction("VLOOKUP(N37, IMPORTRANGE(""https://docs.google.com/spreadsheets/d/1yDAaXNsi4Mr5FtRQL4tbmSdIzhx6_m4wkOD7IG-k_eo/edit#gid=1336395716"", ""Science!M:N""), 2, FALSE)"),"Apply your understanding to describe the roles of different heart chambers and blood vessels in maintaining a continuous circulation of blood.")</f>
        <v>Apply your understanding to describe the roles of different heart chambers and blood vessels in maintaining a continuous circulation of blood.</v>
      </c>
      <c r="P37" s="1" t="str">
        <f t="shared" si="9"/>
        <v>LU005454.004</v>
      </c>
      <c r="Q37" s="15" t="str">
        <f ca="1">IFERROR(__xludf.dummyfunction("VLOOKUP(P37, IMPORTRANGE(""https://docs.google.com/spreadsheets/d/1yDAaXNsi4Mr5FtRQL4tbmSdIzhx6_m4wkOD7IG-k_eo/edit#gid=1336395716"", ""Science!M:N""), 2, FALSE)"),"Analyze the differences between arteries and veins in terms of their structure, function, and the types of blood they carry.")</f>
        <v>Analyze the differences between arteries and veins in terms of their structure, function, and the types of blood they carry.</v>
      </c>
      <c r="R37" s="1" t="str">
        <f t="shared" si="10"/>
        <v>LU005454.005</v>
      </c>
      <c r="S37" s="15" t="str">
        <f ca="1">IFERROR(__xludf.dummyfunction("VLOOKUP(R37, IMPORTRANGE(""https://docs.google.com/spreadsheets/d/1yDAaXNsi4Mr5FtRQL4tbmSdIzhx6_m4wkOD7IG-k_eo/edit#gid=1336395716"", ""Science!M:N""), 2, FALSE)"),"Evaluate the significance of maintaining a well-functioning circulatory system for overall human health.")</f>
        <v>Evaluate the significance of maintaining a well-functioning circulatory system for overall human health.</v>
      </c>
      <c r="T37" s="1" t="str">
        <f t="shared" si="11"/>
        <v>LU005454.006</v>
      </c>
      <c r="U37" s="15" t="str">
        <f ca="1">IFERROR(__xludf.dummyfunction("VLOOKUP(T37, IMPORTRANGE(""https://docs.google.com/spreadsheets/d/1yDAaXNsi4Mr5FtRQL4tbmSdIzhx6_m4wkOD7IG-k_eo/edit#gid=1336395716"", ""Science!M:N""), 2, FALSE)"),"#N/A")</f>
        <v>#N/A</v>
      </c>
      <c r="V37" s="1"/>
      <c r="W37" s="1"/>
      <c r="X37" s="1"/>
      <c r="Y37" s="1"/>
      <c r="Z37" s="1"/>
      <c r="AA37" s="1"/>
      <c r="AB37" s="1"/>
      <c r="AC37" s="1"/>
      <c r="AD37" s="1"/>
      <c r="AE37" s="1"/>
      <c r="AF37" s="1"/>
      <c r="AG37" s="1"/>
    </row>
    <row r="38" spans="1:33" ht="55.2">
      <c r="A38" s="1"/>
      <c r="B38" s="1" t="s">
        <v>29</v>
      </c>
      <c r="C38" s="13">
        <v>6</v>
      </c>
      <c r="D38" s="1" t="s">
        <v>1346</v>
      </c>
      <c r="E38" s="1" t="s">
        <v>1283</v>
      </c>
      <c r="F38" s="1" t="s">
        <v>1349</v>
      </c>
      <c r="G38" s="1" t="s">
        <v>1350</v>
      </c>
      <c r="H38" s="1" t="str">
        <f ca="1">IFERROR(__xludf.dummyfunction("IFERROR(
  VLOOKUP(G38, IMPORTRANGE(""https://docs.google.com/spreadsheets/d/14deopnvwcrKtEGCKuYXdUHJbeLDZlkiSSWWT0g7x2pM/edit#gid=849066331"", ""LU List Maths (Filter)!A:B""), 2, FALSE),
  IFERROR(
    VLOOKUP(G38, IMPORTRANGE(""https://docs.google.com/s"&amp;"preadsheets/d/14deopnvwcrKtEGCKuYXdUHJbeLDZlkiSSWWT0g7x2pM/edit#gid=849066331"", ""LU List Science (Filter)!A:B""), 2, FALSE),
    ""Not Found""
  )
)
"),"Definition of human blood")</f>
        <v>Definition of human blood</v>
      </c>
      <c r="I38" s="1"/>
      <c r="J38" s="1" t="str">
        <f t="shared" si="6"/>
        <v>LU005455.001</v>
      </c>
      <c r="K38" s="1" t="str">
        <f ca="1">IFERROR(__xludf.dummyfunction("VLOOKUP(J38, IMPORTRANGE(""https://docs.google.com/spreadsheets/d/1yDAaXNsi4Mr5FtRQL4tbmSdIzhx6_m4wkOD7IG-k_eo/edit#gid=1336395716"", ""Science!M:N""), 2, FALSE)"),"Students will state the composition of human blood, including its cells and plasma.")</f>
        <v>Students will state the composition of human blood, including its cells and plasma.</v>
      </c>
      <c r="L38" s="1" t="str">
        <f t="shared" si="7"/>
        <v>LU005455.002</v>
      </c>
      <c r="M38" s="1" t="str">
        <f ca="1">IFERROR(__xludf.dummyfunction("VLOOKUP(L38, IMPORTRANGE(""https://docs.google.com/spreadsheets/d/1yDAaXNsi4Mr5FtRQL4tbmSdIzhx6_m4wkOD7IG-k_eo/edit#gid=1336395716"", ""Science!M:N""), 2, FALSE)"),"Students will explain the functions of the different components of human blood.")</f>
        <v>Students will explain the functions of the different components of human blood.</v>
      </c>
      <c r="N38" s="1" t="str">
        <f t="shared" si="8"/>
        <v>LU005455.003</v>
      </c>
      <c r="O38" s="1" t="str">
        <f ca="1">IFERROR(__xludf.dummyfunction("VLOOKUP(N38, IMPORTRANGE(""https://docs.google.com/spreadsheets/d/1yDAaXNsi4Mr5FtRQL4tbmSdIzhx6_m4wkOD7IG-k_eo/edit#gid=1336395716"", ""Science!M:N""), 2, FALSE)"),"Students will associate the types of blood cells with their respective roles in the body’s defense and oxygen transport.")</f>
        <v>Students will associate the types of blood cells with their respective roles in the body’s defense and oxygen transport.</v>
      </c>
      <c r="P38" s="1" t="str">
        <f t="shared" si="9"/>
        <v>LU005455.004</v>
      </c>
      <c r="Q38" s="15" t="str">
        <f ca="1">IFERROR(__xludf.dummyfunction("VLOOKUP(P38, IMPORTRANGE(""https://docs.google.com/spreadsheets/d/1yDAaXNsi4Mr5FtRQL4tbmSdIzhx6_m4wkOD7IG-k_eo/edit#gid=1336395716"", ""Science!M:N""), 2, FALSE)"),"Students will compare the components of human blood to those of other vertebrates to identify similarities and differences.")</f>
        <v>Students will compare the components of human blood to those of other vertebrates to identify similarities and differences.</v>
      </c>
      <c r="R38" s="1" t="str">
        <f t="shared" si="10"/>
        <v>LU005455.005</v>
      </c>
      <c r="S38" s="15" t="str">
        <f ca="1">IFERROR(__xludf.dummyfunction("VLOOKUP(R38, IMPORTRANGE(""https://docs.google.com/spreadsheets/d/1yDAaXNsi4Mr5FtRQL4tbmSdIzhx6_m4wkOD7IG-k_eo/edit#gid=1336395716"", ""Science!M:N""), 2, FALSE)"),"Students will assess the impact of dietary choices on blood health.")</f>
        <v>Students will assess the impact of dietary choices on blood health.</v>
      </c>
      <c r="T38" s="1" t="str">
        <f t="shared" si="11"/>
        <v>LU005455.006</v>
      </c>
      <c r="U38" s="15" t="str">
        <f ca="1">IFERROR(__xludf.dummyfunction("VLOOKUP(T38, IMPORTRANGE(""https://docs.google.com/spreadsheets/d/1yDAaXNsi4Mr5FtRQL4tbmSdIzhx6_m4wkOD7IG-k_eo/edit#gid=1336395716"", ""Science!M:N""), 2, FALSE)"),"#N/A")</f>
        <v>#N/A</v>
      </c>
      <c r="V38" s="1"/>
      <c r="W38" s="1"/>
      <c r="X38" s="1"/>
      <c r="Y38" s="1"/>
      <c r="Z38" s="1"/>
      <c r="AA38" s="1"/>
      <c r="AB38" s="1"/>
      <c r="AC38" s="1"/>
      <c r="AD38" s="1"/>
      <c r="AE38" s="1"/>
      <c r="AF38" s="1"/>
      <c r="AG38" s="1"/>
    </row>
    <row r="39" spans="1:33" ht="69">
      <c r="A39" s="1"/>
      <c r="B39" s="1" t="s">
        <v>29</v>
      </c>
      <c r="C39" s="13">
        <v>6</v>
      </c>
      <c r="D39" s="1" t="s">
        <v>1346</v>
      </c>
      <c r="E39" s="1" t="s">
        <v>1283</v>
      </c>
      <c r="F39" s="1" t="s">
        <v>1351</v>
      </c>
      <c r="G39" s="1" t="s">
        <v>1352</v>
      </c>
      <c r="H39" s="1" t="str">
        <f ca="1">IFERROR(__xludf.dummyfunction("IFERROR(
  VLOOKUP(G39, IMPORTRANGE(""https://docs.google.com/spreadsheets/d/14deopnvwcrKtEGCKuYXdUHJbeLDZlkiSSWWT0g7x2pM/edit#gid=849066331"", ""LU List Maths (Filter)!A:B""), 2, FALSE),
  IFERROR(
    VLOOKUP(G39, IMPORTRANGE(""https://docs.google.com/s"&amp;"preadsheets/d/14deopnvwcrKtEGCKuYXdUHJbeLDZlkiSSWWT0g7x2pM/edit#gid=849066331"", ""LU List Science (Filter)!A:B""), 2, FALSE),
    ""Not Found""
  )
)
"),"Types of human blood vessels")</f>
        <v>Types of human blood vessels</v>
      </c>
      <c r="I39" s="1"/>
      <c r="J39" s="1" t="str">
        <f t="shared" si="6"/>
        <v>LU005956.001</v>
      </c>
      <c r="K39" s="1" t="str">
        <f ca="1">IFERROR(__xludf.dummyfunction("VLOOKUP(J39, IMPORTRANGE(""https://docs.google.com/spreadsheets/d/1yDAaXNsi4Mr5FtRQL4tbmSdIzhx6_m4wkOD7IG-k_eo/edit#gid=1336395716"", ""Science!M:N""), 2, FALSE)"),"Recall the three main types of blood vessels in the human circulatory system.")</f>
        <v>Recall the three main types of blood vessels in the human circulatory system.</v>
      </c>
      <c r="L39" s="1" t="str">
        <f t="shared" si="7"/>
        <v>LU005956.002</v>
      </c>
      <c r="M39" s="1" t="str">
        <f ca="1">IFERROR(__xludf.dummyfunction("VLOOKUP(L39, IMPORTRANGE(""https://docs.google.com/spreadsheets/d/1yDAaXNsi4Mr5FtRQL4tbmSdIzhx6_m4wkOD7IG-k_eo/edit#gid=1336395716"", ""Science!M:N""), 2, FALSE)"),"Summarize the structure and functions of arteries, veins, and capillaries.")</f>
        <v>Summarize the structure and functions of arteries, veins, and capillaries.</v>
      </c>
      <c r="N39" s="1" t="str">
        <f t="shared" si="8"/>
        <v>LU005956.003</v>
      </c>
      <c r="O39" s="1" t="str">
        <f ca="1">IFERROR(__xludf.dummyfunction("VLOOKUP(N39, IMPORTRANGE(""https://docs.google.com/spreadsheets/d/1yDAaXNsi4Mr5FtRQL4tbmSdIzhx6_m4wkOD7IG-k_eo/edit#gid=1336395716"", ""Science!M:N""), 2, FALSE)"),"Apply knowledge of blood vessels to determine which type is responsible for specific functions like oxygen transport or waste removal.")</f>
        <v>Apply knowledge of blood vessels to determine which type is responsible for specific functions like oxygen transport or waste removal.</v>
      </c>
      <c r="P39" s="1" t="str">
        <f t="shared" si="9"/>
        <v>LU005956.004</v>
      </c>
      <c r="Q39" s="15" t="str">
        <f ca="1">IFERROR(__xludf.dummyfunction("VLOOKUP(P39, IMPORTRANGE(""https://docs.google.com/spreadsheets/d/1yDAaXNsi4Mr5FtRQL4tbmSdIzhx6_m4wkOD7IG-k_eo/edit#gid=1336395716"", ""Science!M:N""), 2, FALSE)"),"Analyze the functions of different types of blood vessels to determine their specific roles in processes like oxygen transport and waste removal in the human body.")</f>
        <v>Analyze the functions of different types of blood vessels to determine their specific roles in processes like oxygen transport and waste removal in the human body.</v>
      </c>
      <c r="R39" s="1" t="str">
        <f t="shared" si="10"/>
        <v>LU005956.005</v>
      </c>
      <c r="S39" s="15" t="str">
        <f ca="1">IFERROR(__xludf.dummyfunction("VLOOKUP(R39, IMPORTRANGE(""https://docs.google.com/spreadsheets/d/1yDAaXNsi4Mr5FtRQL4tbmSdIzhx6_m4wkOD7IG-k_eo/edit#gid=1336395716"", ""Science!M:N""), 2, FALSE)"),"Evaluate the consequences of damage to each type of blood vessel on overall health.")</f>
        <v>Evaluate the consequences of damage to each type of blood vessel on overall health.</v>
      </c>
      <c r="T39" s="1" t="str">
        <f t="shared" si="11"/>
        <v>LU005956.006</v>
      </c>
      <c r="U39" s="15" t="str">
        <f ca="1">IFERROR(__xludf.dummyfunction("VLOOKUP(T39, IMPORTRANGE(""https://docs.google.com/spreadsheets/d/1yDAaXNsi4Mr5FtRQL4tbmSdIzhx6_m4wkOD7IG-k_eo/edit#gid=1336395716"", ""Science!M:N""), 2, FALSE)"),"#N/A")</f>
        <v>#N/A</v>
      </c>
      <c r="V39" s="1"/>
      <c r="W39" s="1"/>
      <c r="X39" s="1"/>
      <c r="Y39" s="1"/>
      <c r="Z39" s="1"/>
      <c r="AA39" s="1"/>
      <c r="AB39" s="1"/>
      <c r="AC39" s="1"/>
      <c r="AD39" s="1"/>
      <c r="AE39" s="1"/>
      <c r="AF39" s="1"/>
      <c r="AG39" s="1"/>
    </row>
    <row r="40" spans="1:33" ht="41.4">
      <c r="A40" s="1"/>
      <c r="B40" s="1" t="s">
        <v>29</v>
      </c>
      <c r="C40" s="13">
        <v>6</v>
      </c>
      <c r="D40" s="1" t="s">
        <v>1346</v>
      </c>
      <c r="E40" s="1" t="s">
        <v>1283</v>
      </c>
      <c r="F40" s="1" t="s">
        <v>1351</v>
      </c>
      <c r="G40" s="1" t="s">
        <v>1353</v>
      </c>
      <c r="H40" s="1" t="str">
        <f ca="1">IFERROR(__xludf.dummyfunction("IFERROR(
  VLOOKUP(G40, IMPORTRANGE(""https://docs.google.com/spreadsheets/d/14deopnvwcrKtEGCKuYXdUHJbeLDZlkiSSWWT0g7x2pM/edit#gid=849066331"", ""LU List Maths (Filter)!A:B""), 2, FALSE),
  IFERROR(
    VLOOKUP(G40, IMPORTRANGE(""https://docs.google.com/s"&amp;"preadsheets/d/14deopnvwcrKtEGCKuYXdUHJbeLDZlkiSSWWT0g7x2pM/edit#gid=849066331"", ""LU List Science (Filter)!A:B""), 2, FALSE),
    ""Not Found""
  )
)
"),"Structure and function of human heart")</f>
        <v>Structure and function of human heart</v>
      </c>
      <c r="I40" s="1"/>
      <c r="J40" s="1" t="str">
        <f t="shared" si="6"/>
        <v>LU005957.001</v>
      </c>
      <c r="K40" s="1" t="str">
        <f ca="1">IFERROR(__xludf.dummyfunction("VLOOKUP(J40, IMPORTRANGE(""https://docs.google.com/spreadsheets/d/1yDAaXNsi4Mr5FtRQL4tbmSdIzhx6_m4wkOD7IG-k_eo/edit#gid=1336395716"", ""Science!M:N""), 2, FALSE)"),"Recall the primary components of the human heart and their locations.")</f>
        <v>Recall the primary components of the human heart and their locations.</v>
      </c>
      <c r="L40" s="1" t="str">
        <f t="shared" si="7"/>
        <v>LU005957.002</v>
      </c>
      <c r="M40" s="1" t="str">
        <f ca="1">IFERROR(__xludf.dummyfunction("VLOOKUP(L40, IMPORTRANGE(""https://docs.google.com/spreadsheets/d/1yDAaXNsi4Mr5FtRQL4tbmSdIzhx6_m4wkOD7IG-k_eo/edit#gid=1336395716"", ""Science!M:N""), 2, FALSE)"),"Explain the function of the heart in the circulatory system.")</f>
        <v>Explain the function of the heart in the circulatory system.</v>
      </c>
      <c r="N40" s="1" t="str">
        <f t="shared" si="8"/>
        <v>LU005957.003</v>
      </c>
      <c r="O40" s="1" t="str">
        <f ca="1">IFERROR(__xludf.dummyfunction("VLOOKUP(N40, IMPORTRANGE(""https://docs.google.com/spreadsheets/d/1yDAaXNsi4Mr5FtRQL4tbmSdIzhx6_m4wkOD7IG-k_eo/edit#gid=1336395716"", ""Science!M:N""), 2, FALSE)"),"Apply knowledge of the heart's structure to predict the flow of blood through its chambers.")</f>
        <v>Apply knowledge of the heart's structure to predict the flow of blood through its chambers.</v>
      </c>
      <c r="P40" s="1" t="str">
        <f t="shared" si="9"/>
        <v>LU005957.004</v>
      </c>
      <c r="Q40" s="15" t="str">
        <f ca="1">IFERROR(__xludf.dummyfunction("VLOOKUP(P40, IMPORTRANGE(""https://docs.google.com/spreadsheets/d/1yDAaXNsi4Mr5FtRQL4tbmSdIzhx6_m4wkOD7IG-k_eo/edit#gid=1336395716"", ""Science!M:N""), 2, FALSE)"),"Differentiate between the roles of the right and left sides of the heart.")</f>
        <v>Differentiate between the roles of the right and left sides of the heart.</v>
      </c>
      <c r="R40" s="1" t="str">
        <f t="shared" si="10"/>
        <v>LU005957.005</v>
      </c>
      <c r="S40" s="15" t="str">
        <f ca="1">IFERROR(__xludf.dummyfunction("VLOOKUP(R40, IMPORTRANGE(""https://docs.google.com/spreadsheets/d/1yDAaXNsi4Mr5FtRQL4tbmSdIzhx6_m4wkOD7IG-k_eo/edit#gid=1336395716"", ""Science!M:N""), 2, FALSE)"),"Evaluate the consequences of blocked arteries on heart function.")</f>
        <v>Evaluate the consequences of blocked arteries on heart function.</v>
      </c>
      <c r="T40" s="1" t="str">
        <f t="shared" si="11"/>
        <v>LU005957.006</v>
      </c>
      <c r="U40" s="15" t="str">
        <f ca="1">IFERROR(__xludf.dummyfunction("VLOOKUP(T40, IMPORTRANGE(""https://docs.google.com/spreadsheets/d/1yDAaXNsi4Mr5FtRQL4tbmSdIzhx6_m4wkOD7IG-k_eo/edit#gid=1336395716"", ""Science!M:N""), 2, FALSE)"),"#N/A")</f>
        <v>#N/A</v>
      </c>
      <c r="V40" s="1"/>
      <c r="W40" s="1"/>
      <c r="X40" s="1"/>
      <c r="Y40" s="1"/>
      <c r="Z40" s="1"/>
      <c r="AA40" s="1"/>
      <c r="AB40" s="1"/>
      <c r="AC40" s="1"/>
      <c r="AD40" s="1"/>
      <c r="AE40" s="1"/>
      <c r="AF40" s="1"/>
      <c r="AG40" s="1"/>
    </row>
    <row r="41" spans="1:33" ht="41.4">
      <c r="A41" s="1"/>
      <c r="B41" s="1" t="s">
        <v>29</v>
      </c>
      <c r="C41" s="13">
        <v>6</v>
      </c>
      <c r="D41" s="1" t="s">
        <v>1346</v>
      </c>
      <c r="E41" s="1" t="s">
        <v>1283</v>
      </c>
      <c r="F41" s="1" t="s">
        <v>1354</v>
      </c>
      <c r="G41" s="1" t="s">
        <v>1355</v>
      </c>
      <c r="H41" s="1" t="str">
        <f ca="1">IFERROR(__xludf.dummyfunction("IFERROR(
  VLOOKUP(G41, IMPORTRANGE(""https://docs.google.com/spreadsheets/d/14deopnvwcrKtEGCKuYXdUHJbeLDZlkiSSWWT0g7x2pM/edit#gid=849066331"", ""LU List Maths (Filter)!A:B""), 2, FALSE),
  IFERROR(
    VLOOKUP(G41, IMPORTRANGE(""https://docs.google.com/s"&amp;"preadsheets/d/14deopnvwcrKtEGCKuYXdUHJbeLDZlkiSSWWT0g7x2pM/edit#gid=849066331"", ""LU List Science (Filter)!A:B""), 2, FALSE),
    ""Not Found""
  )
)
"),"Schematics of human circulatory system")</f>
        <v>Schematics of human circulatory system</v>
      </c>
      <c r="I41" s="1"/>
      <c r="J41" s="1" t="str">
        <f t="shared" si="6"/>
        <v>LU005958.001</v>
      </c>
      <c r="K41" s="1" t="str">
        <f ca="1">IFERROR(__xludf.dummyfunction("VLOOKUP(J41, IMPORTRANGE(""https://docs.google.com/spreadsheets/d/1yDAaXNsi4Mr5FtRQL4tbmSdIzhx6_m4wkOD7IG-k_eo/edit#gid=1336395716"", ""Science!M:N""), 2, FALSE)"),"Recall the pathway of blood circulation in the human body.")</f>
        <v>Recall the pathway of blood circulation in the human body.</v>
      </c>
      <c r="L41" s="1" t="str">
        <f t="shared" si="7"/>
        <v>LU005958.002</v>
      </c>
      <c r="M41" s="1" t="str">
        <f ca="1">IFERROR(__xludf.dummyfunction("VLOOKUP(L41, IMPORTRANGE(""https://docs.google.com/spreadsheets/d/1yDAaXNsi4Mr5FtRQL4tbmSdIzhx6_m4wkOD7IG-k_eo/edit#gid=1336395716"", ""Science!M:N""), 2, FALSE)"),"Understand the logical reason for the pathway of blood circulation in the human body.")</f>
        <v>Understand the logical reason for the pathway of blood circulation in the human body.</v>
      </c>
      <c r="N41" s="1" t="str">
        <f t="shared" si="8"/>
        <v>LU005958.003</v>
      </c>
      <c r="O41" s="1" t="str">
        <f ca="1">IFERROR(__xludf.dummyfunction("VLOOKUP(N41, IMPORTRANGE(""https://docs.google.com/spreadsheets/d/1yDAaXNsi4Mr5FtRQL4tbmSdIzhx6_m4wkOD7IG-k_eo/edit#gid=1336395716"", ""Science!M:N""), 2, FALSE)"),"Apply knowledge of blood circulation to label a diagram of the circulatory system.")</f>
        <v>Apply knowledge of blood circulation to label a diagram of the circulatory system.</v>
      </c>
      <c r="P41" s="1" t="str">
        <f t="shared" si="9"/>
        <v>LU005958.004</v>
      </c>
      <c r="Q41" s="15" t="str">
        <f ca="1">IFERROR(__xludf.dummyfunction("VLOOKUP(P41, IMPORTRANGE(""https://docs.google.com/spreadsheets/d/1yDAaXNsi4Mr5FtRQL4tbmSdIzhx6_m4wkOD7IG-k_eo/edit#gid=1336395716"", ""Science!M:N""), 2, FALSE)"),"#N/A")</f>
        <v>#N/A</v>
      </c>
      <c r="R41" s="1" t="str">
        <f t="shared" si="10"/>
        <v>LU005958.005</v>
      </c>
      <c r="S41" s="15" t="str">
        <f ca="1">IFERROR(__xludf.dummyfunction("VLOOKUP(R41, IMPORTRANGE(""https://docs.google.com/spreadsheets/d/1yDAaXNsi4Mr5FtRQL4tbmSdIzhx6_m4wkOD7IG-k_eo/edit#gid=1336395716"", ""Science!M:N""), 2, FALSE)"),"Evaluate how the circulatory system responds to physical exercise.")</f>
        <v>Evaluate how the circulatory system responds to physical exercise.</v>
      </c>
      <c r="T41" s="1" t="str">
        <f t="shared" si="11"/>
        <v>LU005958.006</v>
      </c>
      <c r="U41" s="15" t="str">
        <f ca="1">IFERROR(__xludf.dummyfunction("VLOOKUP(T41, IMPORTRANGE(""https://docs.google.com/spreadsheets/d/1yDAaXNsi4Mr5FtRQL4tbmSdIzhx6_m4wkOD7IG-k_eo/edit#gid=1336395716"", ""Science!M:N""), 2, FALSE)"),"#N/A")</f>
        <v>#N/A</v>
      </c>
      <c r="V41" s="1"/>
      <c r="W41" s="1"/>
      <c r="X41" s="1"/>
      <c r="Y41" s="1"/>
      <c r="Z41" s="1"/>
      <c r="AA41" s="1"/>
      <c r="AB41" s="1"/>
      <c r="AC41" s="1"/>
      <c r="AD41" s="1"/>
      <c r="AE41" s="1"/>
      <c r="AF41" s="1"/>
      <c r="AG41" s="1"/>
    </row>
    <row r="42" spans="1:33" ht="41.4">
      <c r="A42" s="1"/>
      <c r="B42" s="1" t="s">
        <v>29</v>
      </c>
      <c r="C42" s="13">
        <v>6</v>
      </c>
      <c r="D42" s="1" t="s">
        <v>1346</v>
      </c>
      <c r="E42" s="1" t="s">
        <v>1283</v>
      </c>
      <c r="F42" s="1" t="s">
        <v>1354</v>
      </c>
      <c r="G42" s="1" t="s">
        <v>1356</v>
      </c>
      <c r="H42" s="1" t="str">
        <f ca="1">IFERROR(__xludf.dummyfunction("IFERROR(
  VLOOKUP(G42, IMPORTRANGE(""https://docs.google.com/spreadsheets/d/14deopnvwcrKtEGCKuYXdUHJbeLDZlkiSSWWT0g7x2pM/edit#gid=849066331"", ""LU List Maths (Filter)!A:B""), 2, FALSE),
  IFERROR(
    VLOOKUP(G42, IMPORTRANGE(""https://docs.google.com/s"&amp;"preadsheets/d/14deopnvwcrKtEGCKuYXdUHJbeLDZlkiSSWWT0g7x2pM/edit#gid=849066331"", ""LU List Science (Filter)!A:B""), 2, FALSE),
    ""Not Found""
  )
)
"),"Definition of heartbeat, pulse and pulse rate in humans")</f>
        <v>Definition of heartbeat, pulse and pulse rate in humans</v>
      </c>
      <c r="I42" s="1"/>
      <c r="J42" s="1" t="str">
        <f t="shared" si="6"/>
        <v>LU005456.001</v>
      </c>
      <c r="K42" s="1" t="str">
        <f ca="1">IFERROR(__xludf.dummyfunction("VLOOKUP(J42, IMPORTRANGE(""https://docs.google.com/spreadsheets/d/1yDAaXNsi4Mr5FtRQL4tbmSdIzhx6_m4wkOD7IG-k_eo/edit#gid=1336395716"", ""Science!M:N""), 2, FALSE)"),"Students will recall the definitions of heartbeat, pulse, and pulse rate in humans.")</f>
        <v>Students will recall the definitions of heartbeat, pulse, and pulse rate in humans.</v>
      </c>
      <c r="L42" s="1" t="str">
        <f t="shared" si="7"/>
        <v>LU005456.002</v>
      </c>
      <c r="M42" s="1" t="str">
        <f ca="1">IFERROR(__xludf.dummyfunction("VLOOKUP(L42, IMPORTRANGE(""https://docs.google.com/spreadsheets/d/1yDAaXNsi4Mr5FtRQL4tbmSdIzhx6_m4wkOD7IG-k_eo/edit#gid=1336395716"", ""Science!M:N""), 2, FALSE)"),"Students will explain the relationship between heartbeat and pulse rate.")</f>
        <v>Students will explain the relationship between heartbeat and pulse rate.</v>
      </c>
      <c r="N42" s="1" t="str">
        <f t="shared" si="8"/>
        <v>LU005456.003</v>
      </c>
      <c r="O42" s="1" t="str">
        <f ca="1">IFERROR(__xludf.dummyfunction("VLOOKUP(N42, IMPORTRANGE(""https://docs.google.com/spreadsheets/d/1yDAaXNsi4Mr5FtRQL4tbmSdIzhx6_m4wkOD7IG-k_eo/edit#gid=1336395716"", ""Science!M:N""), 2, FALSE)"),"Students will measure their own pulse rate and record variations after different activities.")</f>
        <v>Students will measure their own pulse rate and record variations after different activities.</v>
      </c>
      <c r="P42" s="1" t="str">
        <f t="shared" si="9"/>
        <v>LU005456.004</v>
      </c>
      <c r="Q42" s="15" t="str">
        <f ca="1">IFERROR(__xludf.dummyfunction("VLOOKUP(P42, IMPORTRANGE(""https://docs.google.com/spreadsheets/d/1yDAaXNsi4Mr5FtRQL4tbmSdIzhx6_m4wkOD7IG-k_eo/edit#gid=1336395716"", ""Science!M:N""), 2, FALSE)"),"Students will compare the pulse rates at rest and after exercise to analyze the body's response to physical activity.")</f>
        <v>Students will compare the pulse rates at rest and after exercise to analyze the body's response to physical activity.</v>
      </c>
      <c r="R42" s="1" t="str">
        <f t="shared" si="10"/>
        <v>LU005456.005</v>
      </c>
      <c r="S42" s="15" t="str">
        <f ca="1">IFERROR(__xludf.dummyfunction("VLOOKUP(R42, IMPORTRANGE(""https://docs.google.com/spreadsheets/d/1yDAaXNsi4Mr5FtRQL4tbmSdIzhx6_m4wkOD7IG-k_eo/edit#gid=1336395716"", ""Science!M:N""), 2, FALSE)"),"Students will evaluate the effects of external factors such as temperature and stress on the pulse rate.")</f>
        <v>Students will evaluate the effects of external factors such as temperature and stress on the pulse rate.</v>
      </c>
      <c r="T42" s="1" t="str">
        <f t="shared" si="11"/>
        <v>LU005456.006</v>
      </c>
      <c r="U42" s="15" t="str">
        <f ca="1">IFERROR(__xludf.dummyfunction("VLOOKUP(T42, IMPORTRANGE(""https://docs.google.com/spreadsheets/d/1yDAaXNsi4Mr5FtRQL4tbmSdIzhx6_m4wkOD7IG-k_eo/edit#gid=1336395716"", ""Science!M:N""), 2, FALSE)"),"Students will design a simple experiment to investigate how various exercises affect heartbeat and pulse rate.")</f>
        <v>Students will design a simple experiment to investigate how various exercises affect heartbeat and pulse rate.</v>
      </c>
      <c r="V42" s="1"/>
      <c r="W42" s="1"/>
      <c r="X42" s="1"/>
      <c r="Y42" s="1"/>
      <c r="Z42" s="1"/>
      <c r="AA42" s="1"/>
      <c r="AB42" s="1"/>
      <c r="AC42" s="1"/>
      <c r="AD42" s="1"/>
      <c r="AE42" s="1"/>
      <c r="AF42" s="1"/>
      <c r="AG42" s="1"/>
    </row>
    <row r="43" spans="1:33" ht="55.2">
      <c r="A43" s="18"/>
      <c r="B43" s="18" t="s">
        <v>29</v>
      </c>
      <c r="C43" s="105">
        <v>6</v>
      </c>
      <c r="D43" s="18" t="s">
        <v>1346</v>
      </c>
      <c r="E43" s="18" t="s">
        <v>1283</v>
      </c>
      <c r="F43" s="18" t="s">
        <v>1357</v>
      </c>
      <c r="G43" s="14" t="s">
        <v>1358</v>
      </c>
      <c r="H43" s="1" t="str">
        <f ca="1">IFERROR(__xludf.dummyfunction("IFERROR(
  VLOOKUP(G43, IMPORTRANGE(""https://docs.google.com/spreadsheets/d/14deopnvwcrKtEGCKuYXdUHJbeLDZlkiSSWWT0g7x2pM/edit#gid=849066331"", ""LU List Maths (Filter)!A:B""), 2, FALSE),
  IFERROR(
    VLOOKUP(G43, IMPORTRANGE(""https://docs.google.com/s"&amp;"preadsheets/d/14deopnvwcrKtEGCKuYXdUHJbeLDZlkiSSWWT0g7x2pM/edit#gid=849066331"", ""LU List Science (Filter)!A:B""), 2, FALSE),
    ""Not Found""
  )
)
"),"Blood pressure and heart health(exercise and food habits)")</f>
        <v>Blood pressure and heart health(exercise and food habits)</v>
      </c>
      <c r="I43" s="18" t="s">
        <v>1359</v>
      </c>
      <c r="J43" s="1" t="str">
        <f t="shared" si="6"/>
        <v>LU006602.001</v>
      </c>
      <c r="K43" s="1" t="str">
        <f ca="1">IFERROR(__xludf.dummyfunction("VLOOKUP(J43, IMPORTRANGE(""https://docs.google.com/spreadsheets/d/1yDAaXNsi4Mr5FtRQL4tbmSdIzhx6_m4wkOD7IG-k_eo/edit#gid=1336395716"", ""Science!M:N""), 2, FALSE)"),"(LU006602.001); Default - Remember")</f>
        <v>(LU006602.001); Default - Remember</v>
      </c>
      <c r="L43" s="1" t="str">
        <f t="shared" si="7"/>
        <v>LU006602.002</v>
      </c>
      <c r="M43" s="1" t="str">
        <f ca="1">IFERROR(__xludf.dummyfunction("VLOOKUP(L43, IMPORTRANGE(""https://docs.google.com/spreadsheets/d/1yDAaXNsi4Mr5FtRQL4tbmSdIzhx6_m4wkOD7IG-k_eo/edit#gid=1336395716"", ""Science!M:N""), 2, FALSE)"),"(LU006602.002); Default - Understand")</f>
        <v>(LU006602.002); Default - Understand</v>
      </c>
      <c r="N43" s="1" t="str">
        <f t="shared" si="8"/>
        <v>LU006602.003</v>
      </c>
      <c r="O43" s="1" t="str">
        <f ca="1">IFERROR(__xludf.dummyfunction("VLOOKUP(N43, IMPORTRANGE(""https://docs.google.com/spreadsheets/d/1yDAaXNsi4Mr5FtRQL4tbmSdIzhx6_m4wkOD7IG-k_eo/edit#gid=1336395716"", ""Science!M:N""), 2, FALSE)"),"(LU006602.003); Default - Apply")</f>
        <v>(LU006602.003); Default - Apply</v>
      </c>
      <c r="P43" s="1" t="str">
        <f t="shared" si="9"/>
        <v>LU006602.004</v>
      </c>
      <c r="Q43" s="15" t="str">
        <f ca="1">IFERROR(__xludf.dummyfunction("VLOOKUP(P43, IMPORTRANGE(""https://docs.google.com/spreadsheets/d/1yDAaXNsi4Mr5FtRQL4tbmSdIzhx6_m4wkOD7IG-k_eo/edit#gid=1336395716"", ""Science!M:N""), 2, FALSE)"),"(LU006602.004); Default - Analyse")</f>
        <v>(LU006602.004); Default - Analyse</v>
      </c>
      <c r="R43" s="1" t="str">
        <f t="shared" si="10"/>
        <v>LU006602.005</v>
      </c>
      <c r="S43" s="15" t="str">
        <f ca="1">IFERROR(__xludf.dummyfunction("VLOOKUP(R43, IMPORTRANGE(""https://docs.google.com/spreadsheets/d/1yDAaXNsi4Mr5FtRQL4tbmSdIzhx6_m4wkOD7IG-k_eo/edit#gid=1336395716"", ""Science!M:N""), 2, FALSE)"),"(LU006602.005); Default - Evaluate")</f>
        <v>(LU006602.005); Default - Evaluate</v>
      </c>
      <c r="T43" s="1" t="str">
        <f t="shared" si="11"/>
        <v>LU006602.006</v>
      </c>
      <c r="U43" s="15" t="str">
        <f ca="1">IFERROR(__xludf.dummyfunction("VLOOKUP(T43, IMPORTRANGE(""https://docs.google.com/spreadsheets/d/1yDAaXNsi4Mr5FtRQL4tbmSdIzhx6_m4wkOD7IG-k_eo/edit#gid=1336395716"", ""Science!M:N""), 2, FALSE)"),"(LU006602.006); Default - Create")</f>
        <v>(LU006602.006); Default - Create</v>
      </c>
      <c r="V43" s="18"/>
      <c r="W43" s="18"/>
      <c r="X43" s="18"/>
      <c r="Y43" s="18"/>
      <c r="Z43" s="18"/>
      <c r="AA43" s="18"/>
      <c r="AB43" s="18"/>
      <c r="AC43" s="18"/>
      <c r="AD43" s="18"/>
      <c r="AE43" s="18"/>
      <c r="AF43" s="18"/>
      <c r="AG43" s="18"/>
    </row>
    <row r="44" spans="1:33" ht="41.4">
      <c r="A44" s="18"/>
      <c r="B44" s="18" t="s">
        <v>29</v>
      </c>
      <c r="C44" s="105">
        <v>6</v>
      </c>
      <c r="D44" s="18" t="s">
        <v>1346</v>
      </c>
      <c r="E44" s="18" t="s">
        <v>1283</v>
      </c>
      <c r="F44" s="18" t="s">
        <v>1360</v>
      </c>
      <c r="G44" s="14" t="s">
        <v>1361</v>
      </c>
      <c r="H44" s="1" t="str">
        <f ca="1">IFERROR(__xludf.dummyfunction("IFERROR(
  VLOOKUP(G44, IMPORTRANGE(""https://docs.google.com/spreadsheets/d/14deopnvwcrKtEGCKuYXdUHJbeLDZlkiSSWWT0g7x2pM/edit#gid=849066331"", ""LU List Maths (Filter)!A:B""), 2, FALSE),
  IFERROR(
    VLOOKUP(G44, IMPORTRANGE(""https://docs.google.com/s"&amp;"preadsheets/d/14deopnvwcrKtEGCKuYXdUHJbeLDZlkiSSWWT0g7x2pM/edit#gid=849066331"", ""LU List Science (Filter)!A:B""), 2, FALSE),
    ""Not Found""
  )
)
"),"Types of blood groups (A, B, AB, O), need for a blood bank and blood donation")</f>
        <v>Types of blood groups (A, B, AB, O), need for a blood bank and blood donation</v>
      </c>
      <c r="I44" s="18"/>
      <c r="J44" s="1" t="str">
        <f t="shared" si="6"/>
        <v>LU006603.001</v>
      </c>
      <c r="K44" s="1" t="str">
        <f ca="1">IFERROR(__xludf.dummyfunction("VLOOKUP(J44, IMPORTRANGE(""https://docs.google.com/spreadsheets/d/1yDAaXNsi4Mr5FtRQL4tbmSdIzhx6_m4wkOD7IG-k_eo/edit#gid=1336395716"", ""Science!M:N""), 2, FALSE)"),"(LU006603.001); Default - Remember")</f>
        <v>(LU006603.001); Default - Remember</v>
      </c>
      <c r="L44" s="1" t="str">
        <f t="shared" si="7"/>
        <v>LU006603.002</v>
      </c>
      <c r="M44" s="1" t="str">
        <f ca="1">IFERROR(__xludf.dummyfunction("VLOOKUP(L44, IMPORTRANGE(""https://docs.google.com/spreadsheets/d/1yDAaXNsi4Mr5FtRQL4tbmSdIzhx6_m4wkOD7IG-k_eo/edit#gid=1336395716"", ""Science!M:N""), 2, FALSE)"),"(LU006603.002); Default - Understand")</f>
        <v>(LU006603.002); Default - Understand</v>
      </c>
      <c r="N44" s="1" t="str">
        <f t="shared" si="8"/>
        <v>LU006603.003</v>
      </c>
      <c r="O44" s="1" t="str">
        <f ca="1">IFERROR(__xludf.dummyfunction("VLOOKUP(N44, IMPORTRANGE(""https://docs.google.com/spreadsheets/d/1yDAaXNsi4Mr5FtRQL4tbmSdIzhx6_m4wkOD7IG-k_eo/edit#gid=1336395716"", ""Science!M:N""), 2, FALSE)"),"(LU006603.003); Default - Apply")</f>
        <v>(LU006603.003); Default - Apply</v>
      </c>
      <c r="P44" s="1" t="str">
        <f t="shared" si="9"/>
        <v>LU006603.004</v>
      </c>
      <c r="Q44" s="15" t="str">
        <f ca="1">IFERROR(__xludf.dummyfunction("VLOOKUP(P44, IMPORTRANGE(""https://docs.google.com/spreadsheets/d/1yDAaXNsi4Mr5FtRQL4tbmSdIzhx6_m4wkOD7IG-k_eo/edit#gid=1336395716"", ""Science!M:N""), 2, FALSE)"),"(LU006603.004); Default - Analyse")</f>
        <v>(LU006603.004); Default - Analyse</v>
      </c>
      <c r="R44" s="1" t="str">
        <f t="shared" si="10"/>
        <v>LU006603.005</v>
      </c>
      <c r="S44" s="15" t="str">
        <f ca="1">IFERROR(__xludf.dummyfunction("VLOOKUP(R44, IMPORTRANGE(""https://docs.google.com/spreadsheets/d/1yDAaXNsi4Mr5FtRQL4tbmSdIzhx6_m4wkOD7IG-k_eo/edit#gid=1336395716"", ""Science!M:N""), 2, FALSE)"),"(LU006603.005); Default - Evaluate")</f>
        <v>(LU006603.005); Default - Evaluate</v>
      </c>
      <c r="T44" s="1" t="str">
        <f t="shared" si="11"/>
        <v>LU006603.006</v>
      </c>
      <c r="U44" s="15" t="str">
        <f ca="1">IFERROR(__xludf.dummyfunction("VLOOKUP(T44, IMPORTRANGE(""https://docs.google.com/spreadsheets/d/1yDAaXNsi4Mr5FtRQL4tbmSdIzhx6_m4wkOD7IG-k_eo/edit#gid=1336395716"", ""Science!M:N""), 2, FALSE)"),"(LU006603.006); Default - Create")</f>
        <v>(LU006603.006); Default - Create</v>
      </c>
      <c r="V44" s="18"/>
      <c r="W44" s="18"/>
      <c r="X44" s="18"/>
      <c r="Y44" s="18"/>
      <c r="Z44" s="18"/>
      <c r="AA44" s="18"/>
      <c r="AB44" s="18"/>
      <c r="AC44" s="18"/>
      <c r="AD44" s="18"/>
      <c r="AE44" s="18"/>
      <c r="AF44" s="18"/>
      <c r="AG44" s="18"/>
    </row>
    <row r="45" spans="1:33" ht="82.8">
      <c r="A45" s="18"/>
      <c r="B45" s="18" t="s">
        <v>29</v>
      </c>
      <c r="C45" s="105">
        <v>6</v>
      </c>
      <c r="D45" s="18" t="s">
        <v>1362</v>
      </c>
      <c r="E45" s="18" t="s">
        <v>1283</v>
      </c>
      <c r="F45" s="18" t="s">
        <v>1363</v>
      </c>
      <c r="G45" s="14" t="s">
        <v>1364</v>
      </c>
      <c r="H45" s="1" t="str">
        <f ca="1">IFERROR(__xludf.dummyfunction("IFERROR(
  VLOOKUP(G45, IMPORTRANGE(""https://docs.google.com/spreadsheets/d/14deopnvwcrKtEGCKuYXdUHJbeLDZlkiSSWWT0g7x2pM/edit#gid=849066331"", ""LU List Maths (Filter)!A:B""), 2, FALSE),
  IFERROR(
    VLOOKUP(G45, IMPORTRANGE(""https://docs.google.com/s"&amp;"preadsheets/d/14deopnvwcrKtEGCKuYXdUHJbeLDZlkiSSWWT0g7x2pM/edit#gid=849066331"", ""LU List Science (Filter)!A:B""), 2, FALSE),
    ""Not Found""
  )
)
"),"Two Types of Diseases - Communicable and Non-Communicable Diseases (with Examples)")</f>
        <v>Two Types of Diseases - Communicable and Non-Communicable Diseases (with Examples)</v>
      </c>
      <c r="I45" s="18"/>
      <c r="J45" s="1" t="str">
        <f t="shared" si="6"/>
        <v>LU005093.001</v>
      </c>
      <c r="K45" s="1" t="str">
        <f ca="1">IFERROR(__xludf.dummyfunction("VLOOKUP(J45, IMPORTRANGE(""https://docs.google.com/spreadsheets/d/1yDAaXNsi4Mr5FtRQL4tbmSdIzhx6_m4wkOD7IG-k_eo/edit#gid=1336395716"", ""Science!M:N""), 2, FALSE)"),"Define and list the two main types of diseases: communicable and non-communicable diseases, and provide examples of each.")</f>
        <v>Define and list the two main types of diseases: communicable and non-communicable diseases, and provide examples of each.</v>
      </c>
      <c r="L45" s="1" t="str">
        <f t="shared" si="7"/>
        <v>LU005093.002</v>
      </c>
      <c r="M45" s="1" t="str">
        <f ca="1">IFERROR(__xludf.dummyfunction("VLOOKUP(L45, IMPORTRANGE(""https://docs.google.com/spreadsheets/d/1yDAaXNsi4Mr5FtRQL4tbmSdIzhx6_m4wkOD7IG-k_eo/edit#gid=1336395716"", ""Science!M:N""), 2, FALSE)"),"Explain the differences between communicable and non-communicable diseases, using examples to illustrate their characteristics and modes of transmission.")</f>
        <v>Explain the differences between communicable and non-communicable diseases, using examples to illustrate their characteristics and modes of transmission.</v>
      </c>
      <c r="N45" s="1" t="str">
        <f t="shared" si="8"/>
        <v>LU005093.003</v>
      </c>
      <c r="O45" s="1" t="str">
        <f ca="1">IFERROR(__xludf.dummyfunction("VLOOKUP(N45, IMPORTRANGE(""https://docs.google.com/spreadsheets/d/1yDAaXNsi4Mr5FtRQL4tbmSdIzhx6_m4wkOD7IG-k_eo/edit#gid=1336395716"", ""Science!M:N""), 2, FALSE)"),"Apply your knowledge of communicable diseases to identify ways to prevent their transmission in various settings, such as schools or households.")</f>
        <v>Apply your knowledge of communicable diseases to identify ways to prevent their transmission in various settings, such as schools or households.</v>
      </c>
      <c r="P45" s="1" t="str">
        <f t="shared" si="9"/>
        <v>LU005093.004</v>
      </c>
      <c r="Q45" s="15" t="str">
        <f ca="1">IFERROR(__xludf.dummyfunction("VLOOKUP(P45, IMPORTRANGE(""https://docs.google.com/spreadsheets/d/1yDAaXNsi4Mr5FtRQL4tbmSdIzhx6_m4wkOD7IG-k_eo/edit#gid=1336395716"", ""Science!M:N""), 2, FALSE)"),"Analyze the factors that contribute to the prevalence of non-communicable diseases in your community, considering poverty, lifestyle choices and environmental influences.")</f>
        <v>Analyze the factors that contribute to the prevalence of non-communicable diseases in your community, considering poverty, lifestyle choices and environmental influences.</v>
      </c>
      <c r="R45" s="1" t="str">
        <f t="shared" si="10"/>
        <v>LU005093.005</v>
      </c>
      <c r="S45" s="15" t="str">
        <f ca="1">IFERROR(__xludf.dummyfunction("VLOOKUP(R45, IMPORTRANGE(""https://docs.google.com/spreadsheets/d/1yDAaXNsi4Mr5FtRQL4tbmSdIzhx6_m4wkOD7IG-k_eo/edit#gid=1336395716"", ""Science!M:N""), 2, FALSE)"),"Evaluate the effectiveness of public health campaigns or initiatives in your community aimed at preventing or managing communicable and non-communicable diseases, and suggest improvements if needed.")</f>
        <v>Evaluate the effectiveness of public health campaigns or initiatives in your community aimed at preventing or managing communicable and non-communicable diseases, and suggest improvements if needed.</v>
      </c>
      <c r="T45" s="1" t="str">
        <f t="shared" si="11"/>
        <v>LU005093.006</v>
      </c>
      <c r="U45" s="15" t="str">
        <f ca="1">IFERROR(__xludf.dummyfunction("VLOOKUP(T45, IMPORTRANGE(""https://docs.google.com/spreadsheets/d/1yDAaXNsi4Mr5FtRQL4tbmSdIzhx6_m4wkOD7IG-k_eo/edit#gid=1336395716"", ""Science!M:N""), 2, FALSE)"),"#N/A")</f>
        <v>#N/A</v>
      </c>
      <c r="V45" s="18"/>
      <c r="W45" s="18"/>
      <c r="X45" s="18"/>
      <c r="Y45" s="18"/>
      <c r="Z45" s="18"/>
      <c r="AA45" s="18"/>
      <c r="AB45" s="18"/>
      <c r="AC45" s="18"/>
      <c r="AD45" s="18"/>
      <c r="AE45" s="18"/>
      <c r="AF45" s="18"/>
      <c r="AG45" s="18"/>
    </row>
    <row r="46" spans="1:33" ht="27.6">
      <c r="A46" s="18"/>
      <c r="B46" s="18" t="s">
        <v>29</v>
      </c>
      <c r="C46" s="105">
        <v>6</v>
      </c>
      <c r="D46" s="18" t="s">
        <v>1362</v>
      </c>
      <c r="E46" s="18" t="s">
        <v>1283</v>
      </c>
      <c r="F46" s="18" t="s">
        <v>1365</v>
      </c>
      <c r="G46" s="14" t="s">
        <v>1366</v>
      </c>
      <c r="H46" s="1" t="str">
        <f ca="1">IFERROR(__xludf.dummyfunction("IFERROR(
  VLOOKUP(G46, IMPORTRANGE(""https://docs.google.com/spreadsheets/d/14deopnvwcrKtEGCKuYXdUHJbeLDZlkiSSWWT0g7x2pM/edit#gid=849066331"", ""LU List Maths (Filter)!A:B""), 2, FALSE),
  IFERROR(
    VLOOKUP(G46, IMPORTRANGE(""https://docs.google.com/s"&amp;"preadsheets/d/14deopnvwcrKtEGCKuYXdUHJbeLDZlkiSSWWT0g7x2pM/edit#gid=849066331"", ""LU List Science (Filter)!A:B""), 2, FALSE),
    ""Not Found""
  )
)
"),"Communicable diseases(bacterial, viral, protozoal, diseases caused by worms)")</f>
        <v>Communicable diseases(bacterial, viral, protozoal, diseases caused by worms)</v>
      </c>
      <c r="I46" s="18" t="s">
        <v>1367</v>
      </c>
      <c r="J46" s="1" t="str">
        <f t="shared" si="6"/>
        <v>LU006604.001</v>
      </c>
      <c r="K46" s="1" t="str">
        <f ca="1">IFERROR(__xludf.dummyfunction("VLOOKUP(J46, IMPORTRANGE(""https://docs.google.com/spreadsheets/d/1yDAaXNsi4Mr5FtRQL4tbmSdIzhx6_m4wkOD7IG-k_eo/edit#gid=1336395716"", ""Science!M:N""), 2, FALSE)"),"(LU006604.001); Default - Remember")</f>
        <v>(LU006604.001); Default - Remember</v>
      </c>
      <c r="L46" s="1" t="str">
        <f t="shared" si="7"/>
        <v>LU006604.002</v>
      </c>
      <c r="M46" s="1" t="str">
        <f ca="1">IFERROR(__xludf.dummyfunction("VLOOKUP(L46, IMPORTRANGE(""https://docs.google.com/spreadsheets/d/1yDAaXNsi4Mr5FtRQL4tbmSdIzhx6_m4wkOD7IG-k_eo/edit#gid=1336395716"", ""Science!M:N""), 2, FALSE)"),"(LU006604.002); Default - Understand")</f>
        <v>(LU006604.002); Default - Understand</v>
      </c>
      <c r="N46" s="1" t="str">
        <f t="shared" si="8"/>
        <v>LU006604.003</v>
      </c>
      <c r="O46" s="1" t="str">
        <f ca="1">IFERROR(__xludf.dummyfunction("VLOOKUP(N46, IMPORTRANGE(""https://docs.google.com/spreadsheets/d/1yDAaXNsi4Mr5FtRQL4tbmSdIzhx6_m4wkOD7IG-k_eo/edit#gid=1336395716"", ""Science!M:N""), 2, FALSE)"),"(LU006604.003); Default - Apply")</f>
        <v>(LU006604.003); Default - Apply</v>
      </c>
      <c r="P46" s="1" t="str">
        <f t="shared" si="9"/>
        <v>LU006604.004</v>
      </c>
      <c r="Q46" s="15" t="str">
        <f ca="1">IFERROR(__xludf.dummyfunction("VLOOKUP(P46, IMPORTRANGE(""https://docs.google.com/spreadsheets/d/1yDAaXNsi4Mr5FtRQL4tbmSdIzhx6_m4wkOD7IG-k_eo/edit#gid=1336395716"", ""Science!M:N""), 2, FALSE)"),"(LU006604.004); Default - Analyse")</f>
        <v>(LU006604.004); Default - Analyse</v>
      </c>
      <c r="R46" s="1" t="str">
        <f t="shared" si="10"/>
        <v>LU006604.005</v>
      </c>
      <c r="S46" s="15" t="str">
        <f ca="1">IFERROR(__xludf.dummyfunction("VLOOKUP(R46, IMPORTRANGE(""https://docs.google.com/spreadsheets/d/1yDAaXNsi4Mr5FtRQL4tbmSdIzhx6_m4wkOD7IG-k_eo/edit#gid=1336395716"", ""Science!M:N""), 2, FALSE)"),"(LU006604.005); Default - Evaluate")</f>
        <v>(LU006604.005); Default - Evaluate</v>
      </c>
      <c r="T46" s="1" t="str">
        <f t="shared" si="11"/>
        <v>LU006604.006</v>
      </c>
      <c r="U46" s="15" t="str">
        <f ca="1">IFERROR(__xludf.dummyfunction("VLOOKUP(T46, IMPORTRANGE(""https://docs.google.com/spreadsheets/d/1yDAaXNsi4Mr5FtRQL4tbmSdIzhx6_m4wkOD7IG-k_eo/edit#gid=1336395716"", ""Science!M:N""), 2, FALSE)"),"(LU006604.006); Default - Create")</f>
        <v>(LU006604.006); Default - Create</v>
      </c>
      <c r="V46" s="18"/>
      <c r="W46" s="18"/>
      <c r="X46" s="18"/>
      <c r="Y46" s="18"/>
      <c r="Z46" s="18"/>
      <c r="AA46" s="18"/>
      <c r="AB46" s="18"/>
      <c r="AC46" s="18"/>
      <c r="AD46" s="18"/>
      <c r="AE46" s="18"/>
      <c r="AF46" s="18"/>
      <c r="AG46" s="18"/>
    </row>
    <row r="47" spans="1:33" ht="27.6">
      <c r="A47" s="18"/>
      <c r="B47" s="18" t="s">
        <v>29</v>
      </c>
      <c r="C47" s="105">
        <v>6</v>
      </c>
      <c r="D47" s="18" t="s">
        <v>1362</v>
      </c>
      <c r="E47" s="18" t="s">
        <v>1283</v>
      </c>
      <c r="F47" s="18" t="s">
        <v>1365</v>
      </c>
      <c r="G47" s="14" t="s">
        <v>1368</v>
      </c>
      <c r="H47" s="1" t="str">
        <f ca="1">IFERROR(__xludf.dummyfunction("IFERROR(
  VLOOKUP(G47, IMPORTRANGE(""https://docs.google.com/spreadsheets/d/14deopnvwcrKtEGCKuYXdUHJbeLDZlkiSSWWT0g7x2pM/edit#gid=849066331"", ""LU List Maths (Filter)!A:B""), 2, FALSE),
  IFERROR(
    VLOOKUP(G47, IMPORTRANGE(""https://docs.google.com/s"&amp;"preadsheets/d/14deopnvwcrKtEGCKuYXdUHJbeLDZlkiSSWWT0g7x2pM/edit#gid=849066331"", ""LU List Science (Filter)!A:B""), 2, FALSE),
    ""Not Found""
  )
)
"),"Modes of transmission of diseases (air, water, food, insects)")</f>
        <v>Modes of transmission of diseases (air, water, food, insects)</v>
      </c>
      <c r="I47" s="18"/>
      <c r="J47" s="1" t="str">
        <f t="shared" si="6"/>
        <v>LU006605.001</v>
      </c>
      <c r="K47" s="1" t="str">
        <f ca="1">IFERROR(__xludf.dummyfunction("VLOOKUP(J47, IMPORTRANGE(""https://docs.google.com/spreadsheets/d/1yDAaXNsi4Mr5FtRQL4tbmSdIzhx6_m4wkOD7IG-k_eo/edit#gid=1336395716"", ""Science!M:N""), 2, FALSE)"),"(LU006605.001); Default - Remember")</f>
        <v>(LU006605.001); Default - Remember</v>
      </c>
      <c r="L47" s="1" t="str">
        <f t="shared" si="7"/>
        <v>LU006605.002</v>
      </c>
      <c r="M47" s="1" t="str">
        <f ca="1">IFERROR(__xludf.dummyfunction("VLOOKUP(L47, IMPORTRANGE(""https://docs.google.com/spreadsheets/d/1yDAaXNsi4Mr5FtRQL4tbmSdIzhx6_m4wkOD7IG-k_eo/edit#gid=1336395716"", ""Science!M:N""), 2, FALSE)"),"(LU006605.002); Default - Understand")</f>
        <v>(LU006605.002); Default - Understand</v>
      </c>
      <c r="N47" s="1" t="str">
        <f t="shared" si="8"/>
        <v>LU006605.003</v>
      </c>
      <c r="O47" s="1" t="str">
        <f ca="1">IFERROR(__xludf.dummyfunction("VLOOKUP(N47, IMPORTRANGE(""https://docs.google.com/spreadsheets/d/1yDAaXNsi4Mr5FtRQL4tbmSdIzhx6_m4wkOD7IG-k_eo/edit#gid=1336395716"", ""Science!M:N""), 2, FALSE)"),"(LU006605.003); Default - Apply")</f>
        <v>(LU006605.003); Default - Apply</v>
      </c>
      <c r="P47" s="1" t="str">
        <f t="shared" si="9"/>
        <v>LU006605.004</v>
      </c>
      <c r="Q47" s="15" t="str">
        <f ca="1">IFERROR(__xludf.dummyfunction("VLOOKUP(P47, IMPORTRANGE(""https://docs.google.com/spreadsheets/d/1yDAaXNsi4Mr5FtRQL4tbmSdIzhx6_m4wkOD7IG-k_eo/edit#gid=1336395716"", ""Science!M:N""), 2, FALSE)"),"(LU006605.004); Default - Analyse")</f>
        <v>(LU006605.004); Default - Analyse</v>
      </c>
      <c r="R47" s="1" t="str">
        <f t="shared" si="10"/>
        <v>LU006605.005</v>
      </c>
      <c r="S47" s="15" t="str">
        <f ca="1">IFERROR(__xludf.dummyfunction("VLOOKUP(R47, IMPORTRANGE(""https://docs.google.com/spreadsheets/d/1yDAaXNsi4Mr5FtRQL4tbmSdIzhx6_m4wkOD7IG-k_eo/edit#gid=1336395716"", ""Science!M:N""), 2, FALSE)"),"(LU006605.005); Default - Evaluate")</f>
        <v>(LU006605.005); Default - Evaluate</v>
      </c>
      <c r="T47" s="1" t="str">
        <f t="shared" si="11"/>
        <v>LU006605.006</v>
      </c>
      <c r="U47" s="15" t="str">
        <f ca="1">IFERROR(__xludf.dummyfunction("VLOOKUP(T47, IMPORTRANGE(""https://docs.google.com/spreadsheets/d/1yDAaXNsi4Mr5FtRQL4tbmSdIzhx6_m4wkOD7IG-k_eo/edit#gid=1336395716"", ""Science!M:N""), 2, FALSE)"),"(LU006605.006); Default - Create")</f>
        <v>(LU006605.006); Default - Create</v>
      </c>
      <c r="V47" s="18"/>
      <c r="W47" s="18"/>
      <c r="X47" s="18"/>
      <c r="Y47" s="18"/>
      <c r="Z47" s="18"/>
      <c r="AA47" s="18"/>
      <c r="AB47" s="18"/>
      <c r="AC47" s="18"/>
      <c r="AD47" s="18"/>
      <c r="AE47" s="18"/>
      <c r="AF47" s="18"/>
      <c r="AG47" s="18"/>
    </row>
    <row r="48" spans="1:33" ht="27.6">
      <c r="A48" s="18"/>
      <c r="B48" s="18" t="s">
        <v>29</v>
      </c>
      <c r="C48" s="105">
        <v>6</v>
      </c>
      <c r="D48" s="18" t="s">
        <v>1362</v>
      </c>
      <c r="E48" s="18" t="s">
        <v>1283</v>
      </c>
      <c r="F48" s="18" t="s">
        <v>1369</v>
      </c>
      <c r="G48" s="14" t="s">
        <v>1370</v>
      </c>
      <c r="H48" s="1" t="str">
        <f ca="1">IFERROR(__xludf.dummyfunction("IFERROR(
  VLOOKUP(G48, IMPORTRANGE(""https://docs.google.com/spreadsheets/d/14deopnvwcrKtEGCKuYXdUHJbeLDZlkiSSWWT0g7x2pM/edit#gid=849066331"", ""LU List Maths (Filter)!A:B""), 2, FALSE),
  IFERROR(
    VLOOKUP(G48, IMPORTRANGE(""https://docs.google.com/s"&amp;"preadsheets/d/14deopnvwcrKtEGCKuYXdUHJbeLDZlkiSSWWT0g7x2pM/edit#gid=849066331"", ""LU List Science (Filter)!A:B""), 2, FALSE),
    ""Not Found""
  )
)
"),"Ways to prevent non-communicable diseases")</f>
        <v>Ways to prevent non-communicable diseases</v>
      </c>
      <c r="I48" s="18"/>
      <c r="J48" s="1" t="str">
        <f t="shared" si="6"/>
        <v>LU006606.001</v>
      </c>
      <c r="K48" s="1" t="str">
        <f ca="1">IFERROR(__xludf.dummyfunction("VLOOKUP(J48, IMPORTRANGE(""https://docs.google.com/spreadsheets/d/1yDAaXNsi4Mr5FtRQL4tbmSdIzhx6_m4wkOD7IG-k_eo/edit#gid=1336395716"", ""Science!M:N""), 2, FALSE)"),"(LU006606.001); Default - Remember")</f>
        <v>(LU006606.001); Default - Remember</v>
      </c>
      <c r="L48" s="1" t="str">
        <f t="shared" si="7"/>
        <v>LU006606.002</v>
      </c>
      <c r="M48" s="1" t="str">
        <f ca="1">IFERROR(__xludf.dummyfunction("VLOOKUP(L48, IMPORTRANGE(""https://docs.google.com/spreadsheets/d/1yDAaXNsi4Mr5FtRQL4tbmSdIzhx6_m4wkOD7IG-k_eo/edit#gid=1336395716"", ""Science!M:N""), 2, FALSE)"),"(LU006606.002); Default - Understand")</f>
        <v>(LU006606.002); Default - Understand</v>
      </c>
      <c r="N48" s="1" t="str">
        <f t="shared" si="8"/>
        <v>LU006606.003</v>
      </c>
      <c r="O48" s="1" t="str">
        <f ca="1">IFERROR(__xludf.dummyfunction("VLOOKUP(N48, IMPORTRANGE(""https://docs.google.com/spreadsheets/d/1yDAaXNsi4Mr5FtRQL4tbmSdIzhx6_m4wkOD7IG-k_eo/edit#gid=1336395716"", ""Science!M:N""), 2, FALSE)"),"(LU006606.003); Default - Apply")</f>
        <v>(LU006606.003); Default - Apply</v>
      </c>
      <c r="P48" s="1" t="str">
        <f t="shared" si="9"/>
        <v>LU006606.004</v>
      </c>
      <c r="Q48" s="15" t="str">
        <f ca="1">IFERROR(__xludf.dummyfunction("VLOOKUP(P48, IMPORTRANGE(""https://docs.google.com/spreadsheets/d/1yDAaXNsi4Mr5FtRQL4tbmSdIzhx6_m4wkOD7IG-k_eo/edit#gid=1336395716"", ""Science!M:N""), 2, FALSE)"),"(LU006606.004); Default - Analyse")</f>
        <v>(LU006606.004); Default - Analyse</v>
      </c>
      <c r="R48" s="1" t="str">
        <f t="shared" si="10"/>
        <v>LU006606.005</v>
      </c>
      <c r="S48" s="15" t="str">
        <f ca="1">IFERROR(__xludf.dummyfunction("VLOOKUP(R48, IMPORTRANGE(""https://docs.google.com/spreadsheets/d/1yDAaXNsi4Mr5FtRQL4tbmSdIzhx6_m4wkOD7IG-k_eo/edit#gid=1336395716"", ""Science!M:N""), 2, FALSE)"),"(LU006606.005); Default - Evaluate")</f>
        <v>(LU006606.005); Default - Evaluate</v>
      </c>
      <c r="T48" s="1" t="str">
        <f t="shared" si="11"/>
        <v>LU006606.006</v>
      </c>
      <c r="U48" s="15" t="str">
        <f ca="1">IFERROR(__xludf.dummyfunction("VLOOKUP(T48, IMPORTRANGE(""https://docs.google.com/spreadsheets/d/1yDAaXNsi4Mr5FtRQL4tbmSdIzhx6_m4wkOD7IG-k_eo/edit#gid=1336395716"", ""Science!M:N""), 2, FALSE)"),"(LU006606.006); Default - Create")</f>
        <v>(LU006606.006); Default - Create</v>
      </c>
      <c r="V48" s="18"/>
      <c r="W48" s="18"/>
      <c r="X48" s="18"/>
      <c r="Y48" s="18"/>
      <c r="Z48" s="18"/>
      <c r="AA48" s="18"/>
      <c r="AB48" s="18"/>
      <c r="AC48" s="18"/>
      <c r="AD48" s="18"/>
      <c r="AE48" s="18"/>
      <c r="AF48" s="18"/>
      <c r="AG48" s="18"/>
    </row>
    <row r="49" spans="1:33" ht="27.6">
      <c r="A49" s="18"/>
      <c r="B49" s="18" t="s">
        <v>29</v>
      </c>
      <c r="C49" s="105">
        <v>6</v>
      </c>
      <c r="D49" s="18" t="s">
        <v>1362</v>
      </c>
      <c r="E49" s="18" t="s">
        <v>1283</v>
      </c>
      <c r="F49" s="18" t="s">
        <v>1369</v>
      </c>
      <c r="G49" s="14" t="s">
        <v>1371</v>
      </c>
      <c r="H49" s="1" t="str">
        <f ca="1">IFERROR(__xludf.dummyfunction("IFERROR(
  VLOOKUP(G49, IMPORTRANGE(""https://docs.google.com/spreadsheets/d/14deopnvwcrKtEGCKuYXdUHJbeLDZlkiSSWWT0g7x2pM/edit#gid=849066331"", ""LU List Maths (Filter)!A:B""), 2, FALSE),
  IFERROR(
    VLOOKUP(G49, IMPORTRANGE(""https://docs.google.com/s"&amp;"preadsheets/d/14deopnvwcrKtEGCKuYXdUHJbeLDZlkiSSWWT0g7x2pM/edit#gid=849066331"", ""LU List Science (Filter)!A:B""), 2, FALSE),
    ""Not Found""
  )
)
"),"Ways to prevent communicable diseases")</f>
        <v>Ways to prevent communicable diseases</v>
      </c>
      <c r="I49" s="18"/>
      <c r="J49" s="1" t="str">
        <f t="shared" si="6"/>
        <v>LU006607.001</v>
      </c>
      <c r="K49" s="1" t="str">
        <f ca="1">IFERROR(__xludf.dummyfunction("VLOOKUP(J49, IMPORTRANGE(""https://docs.google.com/spreadsheets/d/1yDAaXNsi4Mr5FtRQL4tbmSdIzhx6_m4wkOD7IG-k_eo/edit#gid=1336395716"", ""Science!M:N""), 2, FALSE)"),"(LU006607.001); Default - Remember")</f>
        <v>(LU006607.001); Default - Remember</v>
      </c>
      <c r="L49" s="1" t="str">
        <f t="shared" si="7"/>
        <v>LU006607.002</v>
      </c>
      <c r="M49" s="1" t="str">
        <f ca="1">IFERROR(__xludf.dummyfunction("VLOOKUP(L49, IMPORTRANGE(""https://docs.google.com/spreadsheets/d/1yDAaXNsi4Mr5FtRQL4tbmSdIzhx6_m4wkOD7IG-k_eo/edit#gid=1336395716"", ""Science!M:N""), 2, FALSE)"),"(LU006607.002); Default - Understand")</f>
        <v>(LU006607.002); Default - Understand</v>
      </c>
      <c r="N49" s="1" t="str">
        <f t="shared" si="8"/>
        <v>LU006607.003</v>
      </c>
      <c r="O49" s="1" t="str">
        <f ca="1">IFERROR(__xludf.dummyfunction("VLOOKUP(N49, IMPORTRANGE(""https://docs.google.com/spreadsheets/d/1yDAaXNsi4Mr5FtRQL4tbmSdIzhx6_m4wkOD7IG-k_eo/edit#gid=1336395716"", ""Science!M:N""), 2, FALSE)"),"(LU006607.003); Default - Apply")</f>
        <v>(LU006607.003); Default - Apply</v>
      </c>
      <c r="P49" s="1" t="str">
        <f t="shared" si="9"/>
        <v>LU006607.004</v>
      </c>
      <c r="Q49" s="15" t="str">
        <f ca="1">IFERROR(__xludf.dummyfunction("VLOOKUP(P49, IMPORTRANGE(""https://docs.google.com/spreadsheets/d/1yDAaXNsi4Mr5FtRQL4tbmSdIzhx6_m4wkOD7IG-k_eo/edit#gid=1336395716"", ""Science!M:N""), 2, FALSE)"),"(LU006607.004); Default - Analyse")</f>
        <v>(LU006607.004); Default - Analyse</v>
      </c>
      <c r="R49" s="1" t="str">
        <f t="shared" si="10"/>
        <v>LU006607.005</v>
      </c>
      <c r="S49" s="15" t="str">
        <f ca="1">IFERROR(__xludf.dummyfunction("VLOOKUP(R49, IMPORTRANGE(""https://docs.google.com/spreadsheets/d/1yDAaXNsi4Mr5FtRQL4tbmSdIzhx6_m4wkOD7IG-k_eo/edit#gid=1336395716"", ""Science!M:N""), 2, FALSE)"),"(LU006607.005); Default - Evaluate")</f>
        <v>(LU006607.005); Default - Evaluate</v>
      </c>
      <c r="T49" s="1" t="str">
        <f t="shared" si="11"/>
        <v>LU006607.006</v>
      </c>
      <c r="U49" s="15" t="str">
        <f ca="1">IFERROR(__xludf.dummyfunction("VLOOKUP(T49, IMPORTRANGE(""https://docs.google.com/spreadsheets/d/1yDAaXNsi4Mr5FtRQL4tbmSdIzhx6_m4wkOD7IG-k_eo/edit#gid=1336395716"", ""Science!M:N""), 2, FALSE)"),"(LU006607.006); Default - Create")</f>
        <v>(LU006607.006); Default - Create</v>
      </c>
      <c r="V49" s="18"/>
      <c r="W49" s="18"/>
      <c r="X49" s="18"/>
      <c r="Y49" s="18"/>
      <c r="Z49" s="18"/>
      <c r="AA49" s="18"/>
      <c r="AB49" s="18"/>
      <c r="AC49" s="18"/>
      <c r="AD49" s="18"/>
      <c r="AE49" s="18"/>
      <c r="AF49" s="18"/>
      <c r="AG49" s="18"/>
    </row>
    <row r="50" spans="1:33" ht="41.4">
      <c r="A50" s="18"/>
      <c r="B50" s="18" t="s">
        <v>29</v>
      </c>
      <c r="C50" s="105">
        <v>6</v>
      </c>
      <c r="D50" s="18" t="s">
        <v>1362</v>
      </c>
      <c r="E50" s="18" t="s">
        <v>1283</v>
      </c>
      <c r="F50" s="18" t="s">
        <v>1372</v>
      </c>
      <c r="G50" s="14" t="s">
        <v>1373</v>
      </c>
      <c r="H50" s="1" t="str">
        <f ca="1">IFERROR(__xludf.dummyfunction("IFERROR(
  VLOOKUP(G50, IMPORTRANGE(""https://docs.google.com/spreadsheets/d/14deopnvwcrKtEGCKuYXdUHJbeLDZlkiSSWWT0g7x2pM/edit#gid=849066331"", ""LU List Maths (Filter)!A:B""), 2, FALSE),
  IFERROR(
    VLOOKUP(G50, IMPORTRANGE(""https://docs.google.com/s"&amp;"preadsheets/d/14deopnvwcrKtEGCKuYXdUHJbeLDZlkiSSWWT0g7x2pM/edit#gid=849066331"", ""LU List Science (Filter)!A:B""), 2, FALSE),
    ""Not Found""
  )
)
"),"Ways to keep the surroundings clean, safe disposal of garbage, and healthy practices for hygiene")</f>
        <v>Ways to keep the surroundings clean, safe disposal of garbage, and healthy practices for hygiene</v>
      </c>
      <c r="I50" s="18"/>
      <c r="J50" s="1" t="str">
        <f t="shared" si="6"/>
        <v>LU006608.001</v>
      </c>
      <c r="K50" s="1" t="str">
        <f ca="1">IFERROR(__xludf.dummyfunction("VLOOKUP(J50, IMPORTRANGE(""https://docs.google.com/spreadsheets/d/1yDAaXNsi4Mr5FtRQL4tbmSdIzhx6_m4wkOD7IG-k_eo/edit#gid=1336395716"", ""Science!M:N""), 2, FALSE)"),"(LU006608.001); Default - Remember")</f>
        <v>(LU006608.001); Default - Remember</v>
      </c>
      <c r="L50" s="1" t="str">
        <f t="shared" si="7"/>
        <v>LU006608.002</v>
      </c>
      <c r="M50" s="1" t="str">
        <f ca="1">IFERROR(__xludf.dummyfunction("VLOOKUP(L50, IMPORTRANGE(""https://docs.google.com/spreadsheets/d/1yDAaXNsi4Mr5FtRQL4tbmSdIzhx6_m4wkOD7IG-k_eo/edit#gid=1336395716"", ""Science!M:N""), 2, FALSE)"),"(LU006608.002); Default - Understand")</f>
        <v>(LU006608.002); Default - Understand</v>
      </c>
      <c r="N50" s="1" t="str">
        <f t="shared" si="8"/>
        <v>LU006608.003</v>
      </c>
      <c r="O50" s="1" t="str">
        <f ca="1">IFERROR(__xludf.dummyfunction("VLOOKUP(N50, IMPORTRANGE(""https://docs.google.com/spreadsheets/d/1yDAaXNsi4Mr5FtRQL4tbmSdIzhx6_m4wkOD7IG-k_eo/edit#gid=1336395716"", ""Science!M:N""), 2, FALSE)"),"(LU006608.003); Default - Apply")</f>
        <v>(LU006608.003); Default - Apply</v>
      </c>
      <c r="P50" s="1" t="str">
        <f t="shared" si="9"/>
        <v>LU006608.004</v>
      </c>
      <c r="Q50" s="15" t="str">
        <f ca="1">IFERROR(__xludf.dummyfunction("VLOOKUP(P50, IMPORTRANGE(""https://docs.google.com/spreadsheets/d/1yDAaXNsi4Mr5FtRQL4tbmSdIzhx6_m4wkOD7IG-k_eo/edit#gid=1336395716"", ""Science!M:N""), 2, FALSE)"),"(LU006608.004); Default - Analyse")</f>
        <v>(LU006608.004); Default - Analyse</v>
      </c>
      <c r="R50" s="1" t="str">
        <f t="shared" si="10"/>
        <v>LU006608.005</v>
      </c>
      <c r="S50" s="15" t="str">
        <f ca="1">IFERROR(__xludf.dummyfunction("VLOOKUP(R50, IMPORTRANGE(""https://docs.google.com/spreadsheets/d/1yDAaXNsi4Mr5FtRQL4tbmSdIzhx6_m4wkOD7IG-k_eo/edit#gid=1336395716"", ""Science!M:N""), 2, FALSE)"),"(LU006608.005); Default - Evaluate")</f>
        <v>(LU006608.005); Default - Evaluate</v>
      </c>
      <c r="T50" s="1" t="str">
        <f t="shared" si="11"/>
        <v>LU006608.006</v>
      </c>
      <c r="U50" s="15" t="str">
        <f ca="1">IFERROR(__xludf.dummyfunction("VLOOKUP(T50, IMPORTRANGE(""https://docs.google.com/spreadsheets/d/1yDAaXNsi4Mr5FtRQL4tbmSdIzhx6_m4wkOD7IG-k_eo/edit#gid=1336395716"", ""Science!M:N""), 2, FALSE)"),"(LU006608.006); Default - Create")</f>
        <v>(LU006608.006); Default - Create</v>
      </c>
      <c r="V50" s="18"/>
      <c r="W50" s="18"/>
      <c r="X50" s="18"/>
      <c r="Y50" s="18"/>
      <c r="Z50" s="18"/>
      <c r="AA50" s="18"/>
      <c r="AB50" s="18"/>
      <c r="AC50" s="18"/>
      <c r="AD50" s="18"/>
      <c r="AE50" s="18"/>
      <c r="AF50" s="18"/>
      <c r="AG50" s="18"/>
    </row>
    <row r="51" spans="1:33" ht="69">
      <c r="A51" s="1"/>
      <c r="B51" s="1" t="s">
        <v>29</v>
      </c>
      <c r="C51" s="13">
        <v>6</v>
      </c>
      <c r="D51" s="1" t="s">
        <v>1374</v>
      </c>
      <c r="E51" s="1" t="s">
        <v>1283</v>
      </c>
      <c r="F51" s="1" t="s">
        <v>1375</v>
      </c>
      <c r="G51" s="1" t="s">
        <v>1376</v>
      </c>
      <c r="H51" s="1" t="str">
        <f ca="1">IFERROR(__xludf.dummyfunction("IFERROR(
  VLOOKUP(G51, IMPORTRANGE(""https://docs.google.com/spreadsheets/d/14deopnvwcrKtEGCKuYXdUHJbeLDZlkiSSWWT0g7x2pM/edit#gid=849066331"", ""LU List Maths (Filter)!A:B""), 2, FALSE),
  IFERROR(
    VLOOKUP(G51, IMPORTRANGE(""https://docs.google.com/s"&amp;"preadsheets/d/14deopnvwcrKtEGCKuYXdUHJbeLDZlkiSSWWT0g7x2pM/edit#gid=849066331"", ""LU List Science (Filter)!A:B""), 2, FALSE),
    ""Not Found""
  )
)
"),"Animals, plants, and natural objects in different surroundings")</f>
        <v>Animals, plants, and natural objects in different surroundings</v>
      </c>
      <c r="I51" s="1"/>
      <c r="J51" s="1" t="str">
        <f t="shared" si="6"/>
        <v>LU005252.001</v>
      </c>
      <c r="K51" s="1" t="str">
        <f ca="1">IFERROR(__xludf.dummyfunction("VLOOKUP(J51, IMPORTRANGE(""https://docs.google.com/spreadsheets/d/1yDAaXNsi4Mr5FtRQL4tbmSdIzhx6_m4wkOD7IG-k_eo/edit#gid=1336395716"", ""Science!M:N""), 2, FALSE)"),"Recall examples of animals, plants, and natural objects observed in distinct surroundings such as mountains, deserts, and water bodies.")</f>
        <v>Recall examples of animals, plants, and natural objects observed in distinct surroundings such as mountains, deserts, and water bodies.</v>
      </c>
      <c r="L51" s="1" t="str">
        <f t="shared" si="7"/>
        <v>LU005252.002</v>
      </c>
      <c r="M51" s="1" t="str">
        <f ca="1">IFERROR(__xludf.dummyfunction("VLOOKUP(L51, IMPORTRANGE(""https://docs.google.com/spreadsheets/d/1yDAaXNsi4Mr5FtRQL4tbmSdIzhx6_m4wkOD7IG-k_eo/edit#gid=1336395716"", ""Science!M:N""), 2, FALSE)"),"Identify the diverse animals, plants, and natural objects seen in different surroundings like mountains, deserts, and water bodies.")</f>
        <v>Identify the diverse animals, plants, and natural objects seen in different surroundings like mountains, deserts, and water bodies.</v>
      </c>
      <c r="N51" s="1" t="str">
        <f t="shared" si="8"/>
        <v>LU005252.003</v>
      </c>
      <c r="O51" s="1" t="str">
        <f ca="1">IFERROR(__xludf.dummyfunction("VLOOKUP(N51, IMPORTRANGE(""https://docs.google.com/spreadsheets/d/1yDAaXNsi4Mr5FtRQL4tbmSdIzhx6_m4wkOD7IG-k_eo/edit#gid=1336395716"", ""Science!M:N""), 2, FALSE)"),"Utilize observational skills to differentiate and categorize animals, plants, and natural objects based on the surroundings they are found in, such as mountains, deserts, and water bodies.")</f>
        <v>Utilize observational skills to differentiate and categorize animals, plants, and natural objects based on the surroundings they are found in, such as mountains, deserts, and water bodies.</v>
      </c>
      <c r="P51" s="1" t="str">
        <f t="shared" si="9"/>
        <v>LU005252.004</v>
      </c>
      <c r="Q51" s="15" t="str">
        <f ca="1">IFERROR(__xludf.dummyfunction("VLOOKUP(P51, IMPORTRANGE(""https://docs.google.com/spreadsheets/d/1yDAaXNsi4Mr5FtRQL4tbmSdIzhx6_m4wkOD7IG-k_eo/edit#gid=1336395716"", ""Science!M:N""), 2, FALSE)"),"Examine the variations in animals, plants, and natural objects present in varying surroundings like mountains, deserts, and water bodies.")</f>
        <v>Examine the variations in animals, plants, and natural objects present in varying surroundings like mountains, deserts, and water bodies.</v>
      </c>
      <c r="R51" s="1" t="str">
        <f t="shared" si="10"/>
        <v>LU005252.005</v>
      </c>
      <c r="S51" s="15" t="str">
        <f ca="1">IFERROR(__xludf.dummyfunction("VLOOKUP(R51, IMPORTRANGE(""https://docs.google.com/spreadsheets/d/1yDAaXNsi4Mr5FtRQL4tbmSdIzhx6_m4wkOD7IG-k_eo/edit#gid=1336395716"", ""Science!M:N""), 2, FALSE)"),"Formulate judgments about the prevalence and diversity of animals, plants, and natural objects in specific surroundings such as mountains, deserts, and water bodies.")</f>
        <v>Formulate judgments about the prevalence and diversity of animals, plants, and natural objects in specific surroundings such as mountains, deserts, and water bodies.</v>
      </c>
      <c r="T51" s="1" t="str">
        <f t="shared" si="11"/>
        <v>LU005252.006</v>
      </c>
      <c r="U51" s="15" t="str">
        <f ca="1">IFERROR(__xludf.dummyfunction("VLOOKUP(T51, IMPORTRANGE(""https://docs.google.com/spreadsheets/d/1yDAaXNsi4Mr5FtRQL4tbmSdIzhx6_m4wkOD7IG-k_eo/edit#gid=1336395716"", ""Science!M:N""), 2, FALSE)"),"#N/A")</f>
        <v>#N/A</v>
      </c>
      <c r="V51" s="1"/>
      <c r="W51" s="1"/>
      <c r="X51" s="1"/>
      <c r="Y51" s="1"/>
      <c r="Z51" s="1"/>
      <c r="AA51" s="1"/>
      <c r="AB51" s="1"/>
      <c r="AC51" s="1"/>
      <c r="AD51" s="1"/>
      <c r="AE51" s="1"/>
      <c r="AF51" s="1"/>
      <c r="AG51" s="1"/>
    </row>
    <row r="52" spans="1:33" ht="55.2">
      <c r="A52" s="1"/>
      <c r="B52" s="1" t="s">
        <v>29</v>
      </c>
      <c r="C52" s="13">
        <v>6</v>
      </c>
      <c r="D52" s="1" t="s">
        <v>1374</v>
      </c>
      <c r="E52" s="1" t="s">
        <v>1283</v>
      </c>
      <c r="F52" s="1" t="s">
        <v>1377</v>
      </c>
      <c r="G52" s="1" t="s">
        <v>1378</v>
      </c>
      <c r="H52" s="1" t="str">
        <f ca="1">IFERROR(__xludf.dummyfunction("IFERROR(
  VLOOKUP(G52, IMPORTRANGE(""https://docs.google.com/spreadsheets/d/14deopnvwcrKtEGCKuYXdUHJbeLDZlkiSSWWT0g7x2pM/edit#gid=849066331"", ""LU List Maths (Filter)!A:B""), 2, FALSE),
  IFERROR(
    VLOOKUP(G52, IMPORTRANGE(""https://docs.google.com/s"&amp;"preadsheets/d/14deopnvwcrKtEGCKuYXdUHJbeLDZlkiSSWWT0g7x2pM/edit#gid=849066331"", ""LU List Science (Filter)!A:B""), 2, FALSE),
    ""Not Found""
  )
)
"),"Definition of habitats and adaptations.")</f>
        <v>Definition of habitats and adaptations.</v>
      </c>
      <c r="I52" s="1"/>
      <c r="J52" s="1" t="str">
        <f t="shared" si="6"/>
        <v>LU005258.001</v>
      </c>
      <c r="K52" s="1" t="str">
        <f ca="1">IFERROR(__xludf.dummyfunction("VLOOKUP(J52, IMPORTRANGE(""https://docs.google.com/spreadsheets/d/1yDAaXNsi4Mr5FtRQL4tbmSdIzhx6_m4wkOD7IG-k_eo/edit#gid=1336395716"", ""Science!M:N""), 2, FALSE)"),"Students will define habitats, adaptations, acclimitisation and list examples of each. ")</f>
        <v xml:space="preserve">Students will define habitats, adaptations, acclimitisation and list examples of each. </v>
      </c>
      <c r="L52" s="1" t="str">
        <f t="shared" si="7"/>
        <v>LU005258.002</v>
      </c>
      <c r="M52" s="1" t="str">
        <f ca="1">IFERROR(__xludf.dummyfunction("VLOOKUP(L52, IMPORTRANGE(""https://docs.google.com/spreadsheets/d/1yDAaXNsi4Mr5FtRQL4tbmSdIzhx6_m4wkOD7IG-k_eo/edit#gid=1336395716"", ""Science!M:N""), 2, FALSE)"),"Students will interpret the relationship between habitats and the adaptations of organisms (and acclimitisation of organisms) living in them.")</f>
        <v>Students will interpret the relationship between habitats and the adaptations of organisms (and acclimitisation of organisms) living in them.</v>
      </c>
      <c r="N52" s="1" t="str">
        <f t="shared" si="8"/>
        <v>LU005258.003</v>
      </c>
      <c r="O52" s="1" t="str">
        <f ca="1">IFERROR(__xludf.dummyfunction("VLOOKUP(N52, IMPORTRANGE(""https://docs.google.com/spreadsheets/d/1yDAaXNsi4Mr5FtRQL4tbmSdIzhx6_m4wkOD7IG-k_eo/edit#gid=1336395716"", ""Science!M:N""), 2, FALSE)"),"Students will relate various adaptations of organisms to the specific needs provided by their habitats.")</f>
        <v>Students will relate various adaptations of organisms to the specific needs provided by their habitats.</v>
      </c>
      <c r="P52" s="1" t="str">
        <f t="shared" si="9"/>
        <v>LU005258.004</v>
      </c>
      <c r="Q52" s="15" t="str">
        <f ca="1">IFERROR(__xludf.dummyfunction("VLOOKUP(P52, IMPORTRANGE(""https://docs.google.com/spreadsheets/d/1yDAaXNsi4Mr5FtRQL4tbmSdIzhx6_m4wkOD7IG-k_eo/edit#gid=1336395716"", ""Science!M:N""), 2, FALSE)"),"Students will examine different habitats and analyze why certain adaptations(and acclimitisation) are necessary for survival in each.")</f>
        <v>Students will examine different habitats and analyze why certain adaptations(and acclimitisation) are necessary for survival in each.</v>
      </c>
      <c r="R52" s="1" t="str">
        <f t="shared" si="10"/>
        <v>LU005258.005</v>
      </c>
      <c r="S52" s="15" t="str">
        <f ca="1">IFERROR(__xludf.dummyfunction("VLOOKUP(R52, IMPORTRANGE(""https://docs.google.com/spreadsheets/d/1yDAaXNsi4Mr5FtRQL4tbmSdIzhx6_m4wkOD7IG-k_eo/edit#gid=1336395716"", ""Science!M:N""), 2, FALSE)"),"Students will justify the importance of specific adaptations for an organism’s survival in its habitat.")</f>
        <v>Students will justify the importance of specific adaptations for an organism’s survival in its habitat.</v>
      </c>
      <c r="T52" s="1" t="str">
        <f t="shared" si="11"/>
        <v>LU005258.006</v>
      </c>
      <c r="U52" s="15" t="str">
        <f ca="1">IFERROR(__xludf.dummyfunction("VLOOKUP(T52, IMPORTRANGE(""https://docs.google.com/spreadsheets/d/1yDAaXNsi4Mr5FtRQL4tbmSdIzhx6_m4wkOD7IG-k_eo/edit#gid=1336395716"", ""Science!M:N""), 2, FALSE)"),"Students will design a hypothetical organism perfectly adapted to a chosen habitat, detailing its adaptations and survival strategies.")</f>
        <v>Students will design a hypothetical organism perfectly adapted to a chosen habitat, detailing its adaptations and survival strategies.</v>
      </c>
      <c r="V52" s="1"/>
      <c r="W52" s="1"/>
      <c r="X52" s="1"/>
      <c r="Y52" s="1"/>
      <c r="Z52" s="1"/>
      <c r="AA52" s="1"/>
      <c r="AB52" s="1"/>
      <c r="AC52" s="1"/>
      <c r="AD52" s="1"/>
      <c r="AE52" s="1"/>
      <c r="AF52" s="1"/>
      <c r="AG52" s="1"/>
    </row>
    <row r="53" spans="1:33" ht="55.2">
      <c r="A53" s="1"/>
      <c r="B53" s="1" t="s">
        <v>29</v>
      </c>
      <c r="C53" s="13">
        <v>6</v>
      </c>
      <c r="D53" s="1" t="s">
        <v>1374</v>
      </c>
      <c r="E53" s="1" t="s">
        <v>1283</v>
      </c>
      <c r="F53" s="1" t="s">
        <v>1379</v>
      </c>
      <c r="G53" s="1" t="s">
        <v>1380</v>
      </c>
      <c r="H53" s="1" t="str">
        <f ca="1">IFERROR(__xludf.dummyfunction("IFERROR(
  VLOOKUP(G53, IMPORTRANGE(""https://docs.google.com/spreadsheets/d/14deopnvwcrKtEGCKuYXdUHJbeLDZlkiSSWWT0g7x2pM/edit#gid=849066331"", ""LU List Maths (Filter)!A:B""), 2, FALSE),
  IFERROR(
    VLOOKUP(G53, IMPORTRANGE(""https://docs.google.com/s"&amp;"preadsheets/d/14deopnvwcrKtEGCKuYXdUHJbeLDZlkiSSWWT0g7x2pM/edit#gid=849066331"", ""LU List Science (Filter)!A:B""), 2, FALSE),
    ""Not Found""
  )
)
"),"Adaptations in various aquatic plants and animals, and frogs.")</f>
        <v>Adaptations in various aquatic plants and animals, and frogs.</v>
      </c>
      <c r="I53" s="1"/>
      <c r="J53" s="1" t="str">
        <f t="shared" si="6"/>
        <v>LU005257.001</v>
      </c>
      <c r="K53" s="1" t="str">
        <f ca="1">IFERROR(__xludf.dummyfunction("VLOOKUP(J53, IMPORTRANGE(""https://docs.google.com/spreadsheets/d/1yDAaXNsi4Mr5FtRQL4tbmSdIzhx6_m4wkOD7IG-k_eo/edit#gid=1336395716"", ""Science!M:N""), 2, FALSE)"),"Students will identify adaptations of various aquatic plants, animals, and frogs.")</f>
        <v>Students will identify adaptations of various aquatic plants, animals, and frogs.</v>
      </c>
      <c r="L53" s="1" t="str">
        <f t="shared" si="7"/>
        <v>LU005257.002</v>
      </c>
      <c r="M53" s="1" t="str">
        <f ca="1">IFERROR(__xludf.dummyfunction("VLOOKUP(L53, IMPORTRANGE(""https://docs.google.com/spreadsheets/d/1yDAaXNsi4Mr5FtRQL4tbmSdIzhx6_m4wkOD7IG-k_eo/edit#gid=1336395716"", ""Science!M:N""), 2, FALSE)"),"Students will describe how the adaptations help these organisms survive in their aquatic habitats.")</f>
        <v>Students will describe how the adaptations help these organisms survive in their aquatic habitats.</v>
      </c>
      <c r="N53" s="1" t="str">
        <f t="shared" si="8"/>
        <v>LU005257.003</v>
      </c>
      <c r="O53" s="1" t="str">
        <f ca="1">IFERROR(__xludf.dummyfunction("VLOOKUP(N53, IMPORTRANGE(""https://docs.google.com/spreadsheets/d/1yDAaXNsi4Mr5FtRQL4tbmSdIzhx6_m4wkOD7IG-k_eo/edit#gid=1336395716"", ""Science!M:N""), 2, FALSE)"),"Students will demonstrate understanding by giving examples of specific adaptations for gas exchange, buoyancy, and locomotion in water.")</f>
        <v>Students will demonstrate understanding by giving examples of specific adaptations for gas exchange, buoyancy, and locomotion in water.</v>
      </c>
      <c r="P53" s="1" t="str">
        <f t="shared" si="9"/>
        <v>LU005257.004</v>
      </c>
      <c r="Q53" s="15" t="str">
        <f ca="1">IFERROR(__xludf.dummyfunction("VLOOKUP(P53, IMPORTRANGE(""https://docs.google.com/spreadsheets/d/1yDAaXNsi4Mr5FtRQL4tbmSdIzhx6_m4wkOD7IG-k_eo/edit#gid=1336395716"", ""Science!M:N""), 2, FALSE)"),"Students will analyze the relationship between water properties and the adaptations of aquatic life and frogs.")</f>
        <v>Students will analyze the relationship between water properties and the adaptations of aquatic life and frogs.</v>
      </c>
      <c r="R53" s="1" t="str">
        <f t="shared" si="10"/>
        <v>LU005257.005</v>
      </c>
      <c r="S53" s="15" t="str">
        <f ca="1">IFERROR(__xludf.dummyfunction("VLOOKUP(R53, IMPORTRANGE(""https://docs.google.com/spreadsheets/d/1yDAaXNsi4Mr5FtRQL4tbmSdIzhx6_m4wkOD7IG-k_eo/edit#gid=1336395716"", ""Science!M:N""), 2, FALSE)"),"Students will judge the effectiveness of certain adaptations in meeting the survival needs of aquatic organisms and frogs.")</f>
        <v>Students will judge the effectiveness of certain adaptations in meeting the survival needs of aquatic organisms and frogs.</v>
      </c>
      <c r="T53" s="1" t="str">
        <f t="shared" si="11"/>
        <v>LU005257.006</v>
      </c>
      <c r="U53" s="15" t="str">
        <f ca="1">IFERROR(__xludf.dummyfunction("VLOOKUP(T53, IMPORTRANGE(""https://docs.google.com/spreadsheets/d/1yDAaXNsi4Mr5FtRQL4tbmSdIzhx6_m4wkOD7IG-k_eo/edit#gid=1336395716"", ""Science!M:N""), 2, FALSE)"),"Students will design a hypothetical aquatic plant or animal, incorporating adaptations that would enable it to thrive in a specific aquatic environment.")</f>
        <v>Students will design a hypothetical aquatic plant or animal, incorporating adaptations that would enable it to thrive in a specific aquatic environment.</v>
      </c>
      <c r="V53" s="1"/>
      <c r="W53" s="1"/>
      <c r="X53" s="1"/>
      <c r="Y53" s="1"/>
      <c r="Z53" s="1"/>
      <c r="AA53" s="1"/>
      <c r="AB53" s="1"/>
      <c r="AC53" s="1"/>
      <c r="AD53" s="1"/>
      <c r="AE53" s="1"/>
      <c r="AF53" s="1"/>
      <c r="AG53" s="1"/>
    </row>
    <row r="54" spans="1:33" ht="55.2">
      <c r="A54" s="1"/>
      <c r="B54" s="1" t="s">
        <v>29</v>
      </c>
      <c r="C54" s="13">
        <v>6</v>
      </c>
      <c r="D54" s="1" t="s">
        <v>1374</v>
      </c>
      <c r="E54" s="1" t="s">
        <v>1283</v>
      </c>
      <c r="F54" s="1" t="s">
        <v>1381</v>
      </c>
      <c r="G54" s="1" t="s">
        <v>1382</v>
      </c>
      <c r="H54" s="1" t="str">
        <f ca="1">IFERROR(__xludf.dummyfunction("IFERROR(
  VLOOKUP(G54, IMPORTRANGE(""https://docs.google.com/spreadsheets/d/14deopnvwcrKtEGCKuYXdUHJbeLDZlkiSSWWT0g7x2pM/edit#gid=849066331"", ""LU List Maths (Filter)!A:B""), 2, FALSE),
  IFERROR(
    VLOOKUP(G54, IMPORTRANGE(""https://docs.google.com/s"&amp;"preadsheets/d/14deopnvwcrKtEGCKuYXdUHJbeLDZlkiSSWWT0g7x2pM/edit#gid=849066331"", ""LU List Science (Filter)!A:B""), 2, FALSE),
    ""Not Found""
  )
)
"),"Adaptations found in various desert animals and plants.")</f>
        <v>Adaptations found in various desert animals and plants.</v>
      </c>
      <c r="I54" s="1"/>
      <c r="J54" s="1" t="str">
        <f t="shared" si="6"/>
        <v>LU005254.001</v>
      </c>
      <c r="K54" s="1" t="str">
        <f ca="1">IFERROR(__xludf.dummyfunction("VLOOKUP(J54, IMPORTRANGE(""https://docs.google.com/spreadsheets/d/1yDAaXNsi4Mr5FtRQL4tbmSdIzhx6_m4wkOD7IG-k_eo/edit#gid=1336395716"", ""Science!M:N""), 2, FALSE)"),"Students will identify adaptations in specific desert animals and plants.")</f>
        <v>Students will identify adaptations in specific desert animals and plants.</v>
      </c>
      <c r="L54" s="1" t="str">
        <f t="shared" si="7"/>
        <v>LU005254.002</v>
      </c>
      <c r="M54" s="1" t="str">
        <f ca="1">IFERROR(__xludf.dummyfunction("VLOOKUP(L54, IMPORTRANGE(""https://docs.google.com/spreadsheets/d/1yDAaXNsi4Mr5FtRQL4tbmSdIzhx6_m4wkOD7IG-k_eo/edit#gid=1336395716"", ""Science!M:N""), 2, FALSE)"),"Students will describe how these adaptations help desert organisms survive extreme conditions.")</f>
        <v>Students will describe how these adaptations help desert organisms survive extreme conditions.</v>
      </c>
      <c r="N54" s="1" t="str">
        <f t="shared" si="8"/>
        <v>LU005254.003</v>
      </c>
      <c r="O54" s="1" t="str">
        <f ca="1">IFERROR(__xludf.dummyfunction("VLOOKUP(N54, IMPORTRANGE(""https://docs.google.com/spreadsheets/d/1yDAaXNsi4Mr5FtRQL4tbmSdIzhx6_m4wkOD7IG-k_eo/edit#gid=1336395716"", ""Science!M:N""), 2, FALSE)"),"Students will use examples to illustrate the function of adaptations in desert animals and plants.")</f>
        <v>Students will use examples to illustrate the function of adaptations in desert animals and plants.</v>
      </c>
      <c r="P54" s="1" t="str">
        <f t="shared" si="9"/>
        <v>LU005254.004</v>
      </c>
      <c r="Q54" s="15" t="str">
        <f ca="1">IFERROR(__xludf.dummyfunction("VLOOKUP(P54, IMPORTRANGE(""https://docs.google.com/spreadsheets/d/1yDAaXNsi4Mr5FtRQL4tbmSdIzhx6_m4wkOD7IG-k_eo/edit#gid=1336395716"", ""Science!M:N""), 2, FALSE)"),"Students will analyze the relationship between specific adaptations and the survival of organisms in the desert ecosystem.")</f>
        <v>Students will analyze the relationship between specific adaptations and the survival of organisms in the desert ecosystem.</v>
      </c>
      <c r="R54" s="1" t="str">
        <f t="shared" si="10"/>
        <v>LU005254.005</v>
      </c>
      <c r="S54" s="15" t="str">
        <f ca="1">IFERROR(__xludf.dummyfunction("VLOOKUP(R54, IMPORTRANGE(""https://docs.google.com/spreadsheets/d/1yDAaXNsi4Mr5FtRQL4tbmSdIzhx6_m4wkOD7IG-k_eo/edit#gid=1336395716"", ""Science!M:N""), 2, FALSE)"),"Students will judge the effectiveness of certain adaptations in conserving water or regulating temperature in desert conditions.")</f>
        <v>Students will judge the effectiveness of certain adaptations in conserving water or regulating temperature in desert conditions.</v>
      </c>
      <c r="T54" s="1" t="str">
        <f t="shared" si="11"/>
        <v>LU005254.006</v>
      </c>
      <c r="U54" s="15" t="str">
        <f ca="1">IFERROR(__xludf.dummyfunction("VLOOKUP(T54, IMPORTRANGE(""https://docs.google.com/spreadsheets/d/1yDAaXNsi4Mr5FtRQL4tbmSdIzhx6_m4wkOD7IG-k_eo/edit#gid=1336395716"", ""Science!M:N""), 2, FALSE)"),"Students will design a hypothetical species of a desert organism, complete with unique adaptations that enable it to thrive in hot, arid environments.")</f>
        <v>Students will design a hypothetical species of a desert organism, complete with unique adaptations that enable it to thrive in hot, arid environments.</v>
      </c>
      <c r="V54" s="1"/>
      <c r="W54" s="1"/>
      <c r="X54" s="1"/>
      <c r="Y54" s="1"/>
      <c r="Z54" s="1"/>
      <c r="AA54" s="1"/>
      <c r="AB54" s="1"/>
      <c r="AC54" s="1"/>
      <c r="AD54" s="1"/>
      <c r="AE54" s="1"/>
      <c r="AF54" s="1"/>
      <c r="AG54" s="1"/>
    </row>
    <row r="55" spans="1:33" ht="55.2">
      <c r="A55" s="1"/>
      <c r="B55" s="1" t="s">
        <v>29</v>
      </c>
      <c r="C55" s="13">
        <v>6</v>
      </c>
      <c r="D55" s="1" t="s">
        <v>1374</v>
      </c>
      <c r="E55" s="1" t="s">
        <v>1283</v>
      </c>
      <c r="F55" s="1" t="s">
        <v>1381</v>
      </c>
      <c r="G55" s="1" t="s">
        <v>1383</v>
      </c>
      <c r="H55" s="1" t="str">
        <f ca="1">IFERROR(__xludf.dummyfunction("IFERROR(
  VLOOKUP(G55, IMPORTRANGE(""https://docs.google.com/spreadsheets/d/14deopnvwcrKtEGCKuYXdUHJbeLDZlkiSSWWT0g7x2pM/edit#gid=849066331"", ""LU List Maths (Filter)!A:B""), 2, FALSE),
  IFERROR(
    VLOOKUP(G55, IMPORTRANGE(""https://docs.google.com/s"&amp;"preadsheets/d/14deopnvwcrKtEGCKuYXdUHJbeLDZlkiSSWWT0g7x2pM/edit#gid=849066331"", ""LU List Science (Filter)!A:B""), 2, FALSE),
    ""Not Found""
  )
)
"),"Adaptations found in various mountain region animals and plants.")</f>
        <v>Adaptations found in various mountain region animals and plants.</v>
      </c>
      <c r="I55" s="1"/>
      <c r="J55" s="1" t="str">
        <f t="shared" si="6"/>
        <v>LU005255.001</v>
      </c>
      <c r="K55" s="1" t="str">
        <f ca="1">IFERROR(__xludf.dummyfunction("VLOOKUP(J55, IMPORTRANGE(""https://docs.google.com/spreadsheets/d/1yDAaXNsi4Mr5FtRQL4tbmSdIzhx6_m4wkOD7IG-k_eo/edit#gid=1336395716"", ""Science!M:N""), 2, FALSE)"),"Students will identify adaptations in specific mountain region animals and plants.")</f>
        <v>Students will identify adaptations in specific mountain region animals and plants.</v>
      </c>
      <c r="L55" s="1" t="str">
        <f t="shared" si="7"/>
        <v>LU005255.002</v>
      </c>
      <c r="M55" s="1" t="str">
        <f ca="1">IFERROR(__xludf.dummyfunction("VLOOKUP(L55, IMPORTRANGE(""https://docs.google.com/spreadsheets/d/1yDAaXNsi4Mr5FtRQL4tbmSdIzhx6_m4wkOD7IG-k_eo/edit#gid=1336395716"", ""Science!M:N""), 2, FALSE)"),"Students will describe how these adaptations help the organisms survive in mountain regions.")</f>
        <v>Students will describe how these adaptations help the organisms survive in mountain regions.</v>
      </c>
      <c r="N55" s="1" t="str">
        <f t="shared" si="8"/>
        <v>LU005255.003</v>
      </c>
      <c r="O55" s="1" t="str">
        <f ca="1">IFERROR(__xludf.dummyfunction("VLOOKUP(N55, IMPORTRANGE(""https://docs.google.com/spreadsheets/d/1yDAaXNsi4Mr5FtRQL4tbmSdIzhx6_m4wkOD7IG-k_eo/edit#gid=1336395716"", ""Science!M:N""), 2, FALSE)"),"Students will use examples to illustrate the adaptations of mountain region animals and plants in response to their environment.")</f>
        <v>Students will use examples to illustrate the adaptations of mountain region animals and plants in response to their environment.</v>
      </c>
      <c r="P55" s="1" t="str">
        <f t="shared" si="9"/>
        <v>LU005255.004</v>
      </c>
      <c r="Q55" s="15" t="str">
        <f ca="1">IFERROR(__xludf.dummyfunction("VLOOKUP(P55, IMPORTRANGE(""https://docs.google.com/spreadsheets/d/1yDAaXNsi4Mr5FtRQL4tbmSdIzhx6_m4wkOD7IG-k_eo/edit#gid=1336395716"", ""Science!M:N""), 2, FALSE)"),"Students will analyze the relationship between altitude and the type of adaptations found in mountain region organisms.")</f>
        <v>Students will analyze the relationship between altitude and the type of adaptations found in mountain region organisms.</v>
      </c>
      <c r="R55" s="1" t="str">
        <f t="shared" si="10"/>
        <v>LU005255.005</v>
      </c>
      <c r="S55" s="15" t="str">
        <f ca="1">IFERROR(__xludf.dummyfunction("VLOOKUP(R55, IMPORTRANGE(""https://docs.google.com/spreadsheets/d/1yDAaXNsi4Mr5FtRQL4tbmSdIzhx6_m4wkOD7IG-k_eo/edit#gid=1336395716"", ""Science!M:N""), 2, FALSE)"),"Students will justify the importance of specific adaptations in plants and animals for survival in mountainous habitats.")</f>
        <v>Students will justify the importance of specific adaptations in plants and animals for survival in mountainous habitats.</v>
      </c>
      <c r="T55" s="1" t="str">
        <f t="shared" si="11"/>
        <v>LU005255.006</v>
      </c>
      <c r="U55" s="15" t="str">
        <f ca="1">IFERROR(__xludf.dummyfunction("VLOOKUP(T55, IMPORTRANGE(""https://docs.google.com/spreadsheets/d/1yDAaXNsi4Mr5FtRQL4tbmSdIzhx6_m4wkOD7IG-k_eo/edit#gid=1336395716"", ""Science!M:N""), 2, FALSE)"),"#N/A")</f>
        <v>#N/A</v>
      </c>
      <c r="V55" s="1"/>
      <c r="W55" s="1"/>
      <c r="X55" s="1"/>
      <c r="Y55" s="1"/>
      <c r="Z55" s="1"/>
      <c r="AA55" s="1"/>
      <c r="AB55" s="1"/>
      <c r="AC55" s="1"/>
      <c r="AD55" s="1"/>
      <c r="AE55" s="1"/>
      <c r="AF55" s="1"/>
      <c r="AG55" s="1"/>
    </row>
    <row r="56" spans="1:33" ht="27.6">
      <c r="A56" s="18"/>
      <c r="B56" s="18" t="s">
        <v>29</v>
      </c>
      <c r="C56" s="105">
        <v>6</v>
      </c>
      <c r="D56" s="18" t="s">
        <v>1374</v>
      </c>
      <c r="E56" s="18" t="s">
        <v>1283</v>
      </c>
      <c r="F56" s="18" t="s">
        <v>1384</v>
      </c>
      <c r="G56" s="14" t="s">
        <v>1385</v>
      </c>
      <c r="H56" s="1" t="str">
        <f ca="1">IFERROR(__xludf.dummyfunction("IFERROR(
  VLOOKUP(G56, IMPORTRANGE(""https://docs.google.com/spreadsheets/d/14deopnvwcrKtEGCKuYXdUHJbeLDZlkiSSWWT0g7x2pM/edit#gid=849066331"", ""LU List Maths (Filter)!A:B""), 2, FALSE),
  IFERROR(
    VLOOKUP(G56, IMPORTRANGE(""https://docs.google.com/s"&amp;"preadsheets/d/14deopnvwcrKtEGCKuYXdUHJbeLDZlkiSSWWT0g7x2pM/edit#gid=849066331"", ""LU List Science (Filter)!A:B""), 2, FALSE),
    ""Not Found""
  )
)
"),"Adaptation for flight in birds and aerial
plants")</f>
        <v>Adaptation for flight in birds and aerial
plants</v>
      </c>
      <c r="I56" s="18"/>
      <c r="J56" s="1" t="str">
        <f t="shared" si="6"/>
        <v>LU006609.001</v>
      </c>
      <c r="K56" s="1" t="str">
        <f ca="1">IFERROR(__xludf.dummyfunction("VLOOKUP(J56, IMPORTRANGE(""https://docs.google.com/spreadsheets/d/1yDAaXNsi4Mr5FtRQL4tbmSdIzhx6_m4wkOD7IG-k_eo/edit#gid=1336395716"", ""Science!M:N""), 2, FALSE)"),"(LU006609.001); Default - Remember")</f>
        <v>(LU006609.001); Default - Remember</v>
      </c>
      <c r="L56" s="1" t="str">
        <f t="shared" si="7"/>
        <v>LU006609.002</v>
      </c>
      <c r="M56" s="1" t="str">
        <f ca="1">IFERROR(__xludf.dummyfunction("VLOOKUP(L56, IMPORTRANGE(""https://docs.google.com/spreadsheets/d/1yDAaXNsi4Mr5FtRQL4tbmSdIzhx6_m4wkOD7IG-k_eo/edit#gid=1336395716"", ""Science!M:N""), 2, FALSE)"),"(LU006609.002); Default - Understand")</f>
        <v>(LU006609.002); Default - Understand</v>
      </c>
      <c r="N56" s="1" t="str">
        <f t="shared" si="8"/>
        <v>LU006609.003</v>
      </c>
      <c r="O56" s="1" t="str">
        <f ca="1">IFERROR(__xludf.dummyfunction("VLOOKUP(N56, IMPORTRANGE(""https://docs.google.com/spreadsheets/d/1yDAaXNsi4Mr5FtRQL4tbmSdIzhx6_m4wkOD7IG-k_eo/edit#gid=1336395716"", ""Science!M:N""), 2, FALSE)"),"(LU006609.003); Default - Apply")</f>
        <v>(LU006609.003); Default - Apply</v>
      </c>
      <c r="P56" s="1" t="str">
        <f t="shared" si="9"/>
        <v>LU006609.004</v>
      </c>
      <c r="Q56" s="15" t="str">
        <f ca="1">IFERROR(__xludf.dummyfunction("VLOOKUP(P56, IMPORTRANGE(""https://docs.google.com/spreadsheets/d/1yDAaXNsi4Mr5FtRQL4tbmSdIzhx6_m4wkOD7IG-k_eo/edit#gid=1336395716"", ""Science!M:N""), 2, FALSE)"),"(LU006609.004); Default - Analyse")</f>
        <v>(LU006609.004); Default - Analyse</v>
      </c>
      <c r="R56" s="1" t="str">
        <f t="shared" si="10"/>
        <v>LU006609.005</v>
      </c>
      <c r="S56" s="15" t="str">
        <f ca="1">IFERROR(__xludf.dummyfunction("VLOOKUP(R56, IMPORTRANGE(""https://docs.google.com/spreadsheets/d/1yDAaXNsi4Mr5FtRQL4tbmSdIzhx6_m4wkOD7IG-k_eo/edit#gid=1336395716"", ""Science!M:N""), 2, FALSE)"),"(LU006609.005); Default - Evaluate")</f>
        <v>(LU006609.005); Default - Evaluate</v>
      </c>
      <c r="T56" s="1" t="str">
        <f t="shared" si="11"/>
        <v>LU006609.006</v>
      </c>
      <c r="U56" s="15" t="str">
        <f ca="1">IFERROR(__xludf.dummyfunction("VLOOKUP(T56, IMPORTRANGE(""https://docs.google.com/spreadsheets/d/1yDAaXNsi4Mr5FtRQL4tbmSdIzhx6_m4wkOD7IG-k_eo/edit#gid=1336395716"", ""Science!M:N""), 2, FALSE)"),"(LU006609.006); Default - Create")</f>
        <v>(LU006609.006); Default - Create</v>
      </c>
      <c r="V56" s="18"/>
      <c r="W56" s="18"/>
      <c r="X56" s="18"/>
      <c r="Y56" s="18"/>
      <c r="Z56" s="18"/>
      <c r="AA56" s="18"/>
      <c r="AB56" s="18"/>
      <c r="AC56" s="18"/>
      <c r="AD56" s="18"/>
      <c r="AE56" s="18"/>
      <c r="AF56" s="18"/>
      <c r="AG56" s="18"/>
    </row>
    <row r="57" spans="1:33" ht="13.8">
      <c r="A57" s="1"/>
      <c r="B57" s="1"/>
      <c r="C57" s="1"/>
      <c r="D57" s="1"/>
      <c r="E57" s="1"/>
      <c r="F57" s="1"/>
      <c r="G57" s="1"/>
      <c r="H57" s="1"/>
      <c r="I57" s="1"/>
      <c r="J57" s="1" t="str">
        <f t="shared" si="6"/>
        <v>.001</v>
      </c>
      <c r="K57" s="1" t="str">
        <f ca="1">IFERROR(__xludf.dummyfunction("VLOOKUP(J57, IMPORTRANGE(""https://docs.google.com/spreadsheets/d/1yDAaXNsi4Mr5FtRQL4tbmSdIzhx6_m4wkOD7IG-k_eo/edit#gid=1336395716"", ""Science!M:N""), 2, FALSE)"),"#N/A")</f>
        <v>#N/A</v>
      </c>
      <c r="L57" s="1" t="str">
        <f t="shared" si="7"/>
        <v>.002</v>
      </c>
      <c r="M57" s="1" t="str">
        <f ca="1">IFERROR(__xludf.dummyfunction("VLOOKUP(L57, IMPORTRANGE(""https://docs.google.com/spreadsheets/d/1yDAaXNsi4Mr5FtRQL4tbmSdIzhx6_m4wkOD7IG-k_eo/edit#gid=1336395716"", ""Science!M:N""), 2, FALSE)"),"#N/A")</f>
        <v>#N/A</v>
      </c>
      <c r="N57" s="1" t="str">
        <f t="shared" si="8"/>
        <v>.003</v>
      </c>
      <c r="O57" s="1" t="str">
        <f ca="1">IFERROR(__xludf.dummyfunction("VLOOKUP(N57, IMPORTRANGE(""https://docs.google.com/spreadsheets/d/1yDAaXNsi4Mr5FtRQL4tbmSdIzhx6_m4wkOD7IG-k_eo/edit#gid=1336395716"", ""Science!M:N""), 2, FALSE)"),"#N/A")</f>
        <v>#N/A</v>
      </c>
      <c r="P57" s="1" t="str">
        <f t="shared" si="9"/>
        <v>.004</v>
      </c>
      <c r="Q57" s="15" t="str">
        <f ca="1">IFERROR(__xludf.dummyfunction("VLOOKUP(P57, IMPORTRANGE(""https://docs.google.com/spreadsheets/d/1yDAaXNsi4Mr5FtRQL4tbmSdIzhx6_m4wkOD7IG-k_eo/edit#gid=1336395716"", ""Science!M:N""), 2, FALSE)"),"#N/A")</f>
        <v>#N/A</v>
      </c>
      <c r="R57" s="1" t="str">
        <f t="shared" si="10"/>
        <v>.005</v>
      </c>
      <c r="S57" s="15" t="str">
        <f ca="1">IFERROR(__xludf.dummyfunction("VLOOKUP(R57, IMPORTRANGE(""https://docs.google.com/spreadsheets/d/1yDAaXNsi4Mr5FtRQL4tbmSdIzhx6_m4wkOD7IG-k_eo/edit#gid=1336395716"", ""Science!M:N""), 2, FALSE)"),"#N/A")</f>
        <v>#N/A</v>
      </c>
      <c r="T57" s="1" t="str">
        <f t="shared" si="11"/>
        <v>.006</v>
      </c>
      <c r="U57" s="15" t="str">
        <f ca="1">IFERROR(__xludf.dummyfunction("VLOOKUP(T57, IMPORTRANGE(""https://docs.google.com/spreadsheets/d/1yDAaXNsi4Mr5FtRQL4tbmSdIzhx6_m4wkOD7IG-k_eo/edit#gid=1336395716"", ""Science!M:N""), 2, FALSE)"),"#N/A")</f>
        <v>#N/A</v>
      </c>
      <c r="V57" s="1"/>
      <c r="W57" s="1"/>
      <c r="X57" s="1"/>
      <c r="Y57" s="1"/>
      <c r="Z57" s="1"/>
      <c r="AA57" s="1"/>
      <c r="AB57" s="1"/>
      <c r="AC57" s="1"/>
      <c r="AD57" s="1"/>
      <c r="AE57" s="1"/>
      <c r="AF57" s="1"/>
      <c r="AG57" s="1"/>
    </row>
    <row r="58" spans="1:33" ht="13.8">
      <c r="A58" s="1"/>
      <c r="B58" s="1"/>
      <c r="C58" s="1"/>
      <c r="D58" s="1"/>
      <c r="E58" s="1"/>
      <c r="F58" s="1"/>
      <c r="G58" s="1"/>
      <c r="H58" s="1" t="s">
        <v>1386</v>
      </c>
      <c r="I58" s="1"/>
      <c r="J58" s="1" t="str">
        <f t="shared" si="6"/>
        <v>.001</v>
      </c>
      <c r="K58" s="1" t="str">
        <f ca="1">IFERROR(__xludf.dummyfunction("VLOOKUP(J58, IMPORTRANGE(""https://docs.google.com/spreadsheets/d/1yDAaXNsi4Mr5FtRQL4tbmSdIzhx6_m4wkOD7IG-k_eo/edit#gid=1336395716"", ""Science!M:N""), 2, FALSE)"),"#N/A")</f>
        <v>#N/A</v>
      </c>
      <c r="L58" s="1" t="str">
        <f t="shared" si="7"/>
        <v>.002</v>
      </c>
      <c r="M58" s="1" t="str">
        <f ca="1">IFERROR(__xludf.dummyfunction("VLOOKUP(L58, IMPORTRANGE(""https://docs.google.com/spreadsheets/d/1yDAaXNsi4Mr5FtRQL4tbmSdIzhx6_m4wkOD7IG-k_eo/edit#gid=1336395716"", ""Science!M:N""), 2, FALSE)"),"#N/A")</f>
        <v>#N/A</v>
      </c>
      <c r="N58" s="1" t="str">
        <f t="shared" si="8"/>
        <v>.003</v>
      </c>
      <c r="O58" s="1" t="str">
        <f ca="1">IFERROR(__xludf.dummyfunction("VLOOKUP(N58, IMPORTRANGE(""https://docs.google.com/spreadsheets/d/1yDAaXNsi4Mr5FtRQL4tbmSdIzhx6_m4wkOD7IG-k_eo/edit#gid=1336395716"", ""Science!M:N""), 2, FALSE)"),"#N/A")</f>
        <v>#N/A</v>
      </c>
      <c r="P58" s="1" t="str">
        <f t="shared" si="9"/>
        <v>.004</v>
      </c>
      <c r="Q58" s="15" t="str">
        <f ca="1">IFERROR(__xludf.dummyfunction("VLOOKUP(P58, IMPORTRANGE(""https://docs.google.com/spreadsheets/d/1yDAaXNsi4Mr5FtRQL4tbmSdIzhx6_m4wkOD7IG-k_eo/edit#gid=1336395716"", ""Science!M:N""), 2, FALSE)"),"#N/A")</f>
        <v>#N/A</v>
      </c>
      <c r="R58" s="1" t="str">
        <f t="shared" si="10"/>
        <v>.005</v>
      </c>
      <c r="S58" s="15" t="str">
        <f ca="1">IFERROR(__xludf.dummyfunction("VLOOKUP(R58, IMPORTRANGE(""https://docs.google.com/spreadsheets/d/1yDAaXNsi4Mr5FtRQL4tbmSdIzhx6_m4wkOD7IG-k_eo/edit#gid=1336395716"", ""Science!M:N""), 2, FALSE)"),"#N/A")</f>
        <v>#N/A</v>
      </c>
      <c r="T58" s="1" t="str">
        <f t="shared" si="11"/>
        <v>.006</v>
      </c>
      <c r="U58" s="15" t="str">
        <f ca="1">IFERROR(__xludf.dummyfunction("VLOOKUP(T58, IMPORTRANGE(""https://docs.google.com/spreadsheets/d/1yDAaXNsi4Mr5FtRQL4tbmSdIzhx6_m4wkOD7IG-k_eo/edit#gid=1336395716"", ""Science!M:N""), 2, FALSE)"),"#N/A")</f>
        <v>#N/A</v>
      </c>
      <c r="V58" s="1"/>
      <c r="W58" s="1"/>
      <c r="X58" s="1"/>
      <c r="Y58" s="1"/>
      <c r="Z58" s="1"/>
      <c r="AA58" s="1"/>
      <c r="AB58" s="1"/>
      <c r="AC58" s="1"/>
      <c r="AD58" s="1"/>
      <c r="AE58" s="1"/>
      <c r="AF58" s="1"/>
      <c r="AG58" s="1"/>
    </row>
    <row r="59" spans="1:33" ht="13.8">
      <c r="A59" s="1"/>
      <c r="B59" s="1"/>
      <c r="C59" s="1"/>
      <c r="D59" s="1"/>
      <c r="E59" s="1"/>
      <c r="F59" s="1"/>
      <c r="G59" s="1"/>
      <c r="H59" s="1"/>
      <c r="I59" s="1"/>
      <c r="J59" s="1" t="str">
        <f t="shared" si="6"/>
        <v>.001</v>
      </c>
      <c r="K59" s="1" t="str">
        <f ca="1">IFERROR(__xludf.dummyfunction("VLOOKUP(J59, IMPORTRANGE(""https://docs.google.com/spreadsheets/d/1yDAaXNsi4Mr5FtRQL4tbmSdIzhx6_m4wkOD7IG-k_eo/edit#gid=1336395716"", ""Science!M:N""), 2, FALSE)"),"#N/A")</f>
        <v>#N/A</v>
      </c>
      <c r="L59" s="1" t="str">
        <f t="shared" si="7"/>
        <v>.002</v>
      </c>
      <c r="M59" s="1" t="str">
        <f ca="1">IFERROR(__xludf.dummyfunction("VLOOKUP(L59, IMPORTRANGE(""https://docs.google.com/spreadsheets/d/1yDAaXNsi4Mr5FtRQL4tbmSdIzhx6_m4wkOD7IG-k_eo/edit#gid=1336395716"", ""Science!M:N""), 2, FALSE)"),"#N/A")</f>
        <v>#N/A</v>
      </c>
      <c r="N59" s="1" t="str">
        <f t="shared" si="8"/>
        <v>.003</v>
      </c>
      <c r="O59" s="1" t="str">
        <f ca="1">IFERROR(__xludf.dummyfunction("VLOOKUP(N59, IMPORTRANGE(""https://docs.google.com/spreadsheets/d/1yDAaXNsi4Mr5FtRQL4tbmSdIzhx6_m4wkOD7IG-k_eo/edit#gid=1336395716"", ""Science!M:N""), 2, FALSE)"),"#N/A")</f>
        <v>#N/A</v>
      </c>
      <c r="P59" s="1" t="str">
        <f t="shared" si="9"/>
        <v>.004</v>
      </c>
      <c r="Q59" s="15" t="str">
        <f ca="1">IFERROR(__xludf.dummyfunction("VLOOKUP(P59, IMPORTRANGE(""https://docs.google.com/spreadsheets/d/1yDAaXNsi4Mr5FtRQL4tbmSdIzhx6_m4wkOD7IG-k_eo/edit#gid=1336395716"", ""Science!M:N""), 2, FALSE)"),"#N/A")</f>
        <v>#N/A</v>
      </c>
      <c r="R59" s="1" t="str">
        <f t="shared" si="10"/>
        <v>.005</v>
      </c>
      <c r="S59" s="15" t="str">
        <f ca="1">IFERROR(__xludf.dummyfunction("VLOOKUP(R59, IMPORTRANGE(""https://docs.google.com/spreadsheets/d/1yDAaXNsi4Mr5FtRQL4tbmSdIzhx6_m4wkOD7IG-k_eo/edit#gid=1336395716"", ""Science!M:N""), 2, FALSE)"),"#N/A")</f>
        <v>#N/A</v>
      </c>
      <c r="T59" s="1" t="str">
        <f t="shared" si="11"/>
        <v>.006</v>
      </c>
      <c r="U59" s="15" t="str">
        <f ca="1">IFERROR(__xludf.dummyfunction("VLOOKUP(T59, IMPORTRANGE(""https://docs.google.com/spreadsheets/d/1yDAaXNsi4Mr5FtRQL4tbmSdIzhx6_m4wkOD7IG-k_eo/edit#gid=1336395716"", ""Science!M:N""), 2, FALSE)"),"#N/A")</f>
        <v>#N/A</v>
      </c>
      <c r="V59" s="1"/>
      <c r="W59" s="1"/>
      <c r="X59" s="1"/>
      <c r="Y59" s="1"/>
      <c r="Z59" s="1"/>
      <c r="AA59" s="1"/>
      <c r="AB59" s="1"/>
      <c r="AC59" s="1"/>
      <c r="AD59" s="1"/>
      <c r="AE59" s="1"/>
      <c r="AF59" s="1"/>
      <c r="AG59" s="1"/>
    </row>
    <row r="60" spans="1:33" ht="13.8">
      <c r="A60" s="1"/>
      <c r="B60" s="1"/>
      <c r="C60" s="1"/>
      <c r="D60" s="1"/>
      <c r="E60" s="1"/>
      <c r="F60" s="1"/>
      <c r="G60" s="1"/>
      <c r="H60" s="1"/>
      <c r="I60" s="1"/>
      <c r="J60" s="1" t="str">
        <f t="shared" si="6"/>
        <v>.001</v>
      </c>
      <c r="K60" s="1" t="str">
        <f ca="1">IFERROR(__xludf.dummyfunction("VLOOKUP(J60, IMPORTRANGE(""https://docs.google.com/spreadsheets/d/1yDAaXNsi4Mr5FtRQL4tbmSdIzhx6_m4wkOD7IG-k_eo/edit#gid=1336395716"", ""Science!M:N""), 2, FALSE)"),"#N/A")</f>
        <v>#N/A</v>
      </c>
      <c r="L60" s="1" t="str">
        <f t="shared" si="7"/>
        <v>.002</v>
      </c>
      <c r="M60" s="1" t="str">
        <f ca="1">IFERROR(__xludf.dummyfunction("VLOOKUP(L60, IMPORTRANGE(""https://docs.google.com/spreadsheets/d/1yDAaXNsi4Mr5FtRQL4tbmSdIzhx6_m4wkOD7IG-k_eo/edit#gid=1336395716"", ""Science!M:N""), 2, FALSE)"),"#N/A")</f>
        <v>#N/A</v>
      </c>
      <c r="N60" s="1" t="str">
        <f t="shared" si="8"/>
        <v>.003</v>
      </c>
      <c r="O60" s="1" t="str">
        <f ca="1">IFERROR(__xludf.dummyfunction("VLOOKUP(N60, IMPORTRANGE(""https://docs.google.com/spreadsheets/d/1yDAaXNsi4Mr5FtRQL4tbmSdIzhx6_m4wkOD7IG-k_eo/edit#gid=1336395716"", ""Science!M:N""), 2, FALSE)"),"#N/A")</f>
        <v>#N/A</v>
      </c>
      <c r="P60" s="1" t="str">
        <f t="shared" si="9"/>
        <v>.004</v>
      </c>
      <c r="Q60" s="15" t="str">
        <f ca="1">IFERROR(__xludf.dummyfunction("VLOOKUP(P60, IMPORTRANGE(""https://docs.google.com/spreadsheets/d/1yDAaXNsi4Mr5FtRQL4tbmSdIzhx6_m4wkOD7IG-k_eo/edit#gid=1336395716"", ""Science!M:N""), 2, FALSE)"),"#N/A")</f>
        <v>#N/A</v>
      </c>
      <c r="R60" s="1" t="str">
        <f t="shared" si="10"/>
        <v>.005</v>
      </c>
      <c r="S60" s="15" t="str">
        <f ca="1">IFERROR(__xludf.dummyfunction("VLOOKUP(R60, IMPORTRANGE(""https://docs.google.com/spreadsheets/d/1yDAaXNsi4Mr5FtRQL4tbmSdIzhx6_m4wkOD7IG-k_eo/edit#gid=1336395716"", ""Science!M:N""), 2, FALSE)"),"#N/A")</f>
        <v>#N/A</v>
      </c>
      <c r="T60" s="1" t="str">
        <f t="shared" si="11"/>
        <v>.006</v>
      </c>
      <c r="U60" s="15" t="str">
        <f ca="1">IFERROR(__xludf.dummyfunction("VLOOKUP(T60, IMPORTRANGE(""https://docs.google.com/spreadsheets/d/1yDAaXNsi4Mr5FtRQL4tbmSdIzhx6_m4wkOD7IG-k_eo/edit#gid=1336395716"", ""Science!M:N""), 2, FALSE)"),"#N/A")</f>
        <v>#N/A</v>
      </c>
      <c r="V60" s="1"/>
      <c r="W60" s="1"/>
      <c r="X60" s="1"/>
      <c r="Y60" s="1"/>
      <c r="Z60" s="1"/>
      <c r="AA60" s="1"/>
      <c r="AB60" s="1"/>
      <c r="AC60" s="1"/>
      <c r="AD60" s="1"/>
      <c r="AE60" s="1"/>
      <c r="AF60" s="1"/>
      <c r="AG60" s="1"/>
    </row>
    <row r="61" spans="1:33" ht="13.8">
      <c r="A61" s="1"/>
      <c r="B61" s="1"/>
      <c r="C61" s="1"/>
      <c r="D61" s="1"/>
      <c r="E61" s="1"/>
      <c r="F61" s="1"/>
      <c r="G61" s="1"/>
      <c r="H61" s="1"/>
      <c r="I61" s="1"/>
      <c r="J61" s="1" t="str">
        <f t="shared" si="6"/>
        <v>.001</v>
      </c>
      <c r="K61" s="1" t="str">
        <f ca="1">IFERROR(__xludf.dummyfunction("VLOOKUP(J61, IMPORTRANGE(""https://docs.google.com/spreadsheets/d/1yDAaXNsi4Mr5FtRQL4tbmSdIzhx6_m4wkOD7IG-k_eo/edit#gid=1336395716"", ""Science!M:N""), 2, FALSE)"),"#N/A")</f>
        <v>#N/A</v>
      </c>
      <c r="L61" s="1" t="str">
        <f t="shared" si="7"/>
        <v>.002</v>
      </c>
      <c r="M61" s="1" t="str">
        <f ca="1">IFERROR(__xludf.dummyfunction("VLOOKUP(L61, IMPORTRANGE(""https://docs.google.com/spreadsheets/d/1yDAaXNsi4Mr5FtRQL4tbmSdIzhx6_m4wkOD7IG-k_eo/edit#gid=1336395716"", ""Science!M:N""), 2, FALSE)"),"#N/A")</f>
        <v>#N/A</v>
      </c>
      <c r="N61" s="1" t="str">
        <f t="shared" si="8"/>
        <v>.003</v>
      </c>
      <c r="O61" s="1" t="str">
        <f ca="1">IFERROR(__xludf.dummyfunction("VLOOKUP(N61, IMPORTRANGE(""https://docs.google.com/spreadsheets/d/1yDAaXNsi4Mr5FtRQL4tbmSdIzhx6_m4wkOD7IG-k_eo/edit#gid=1336395716"", ""Science!M:N""), 2, FALSE)"),"#N/A")</f>
        <v>#N/A</v>
      </c>
      <c r="P61" s="1" t="str">
        <f t="shared" si="9"/>
        <v>.004</v>
      </c>
      <c r="Q61" s="15" t="str">
        <f ca="1">IFERROR(__xludf.dummyfunction("VLOOKUP(P61, IMPORTRANGE(""https://docs.google.com/spreadsheets/d/1yDAaXNsi4Mr5FtRQL4tbmSdIzhx6_m4wkOD7IG-k_eo/edit#gid=1336395716"", ""Science!M:N""), 2, FALSE)"),"#N/A")</f>
        <v>#N/A</v>
      </c>
      <c r="R61" s="1" t="str">
        <f t="shared" si="10"/>
        <v>.005</v>
      </c>
      <c r="S61" s="15" t="str">
        <f ca="1">IFERROR(__xludf.dummyfunction("VLOOKUP(R61, IMPORTRANGE(""https://docs.google.com/spreadsheets/d/1yDAaXNsi4Mr5FtRQL4tbmSdIzhx6_m4wkOD7IG-k_eo/edit#gid=1336395716"", ""Science!M:N""), 2, FALSE)"),"#N/A")</f>
        <v>#N/A</v>
      </c>
      <c r="T61" s="1" t="str">
        <f t="shared" si="11"/>
        <v>.006</v>
      </c>
      <c r="U61" s="15" t="str">
        <f ca="1">IFERROR(__xludf.dummyfunction("VLOOKUP(T61, IMPORTRANGE(""https://docs.google.com/spreadsheets/d/1yDAaXNsi4Mr5FtRQL4tbmSdIzhx6_m4wkOD7IG-k_eo/edit#gid=1336395716"", ""Science!M:N""), 2, FALSE)"),"#N/A")</f>
        <v>#N/A</v>
      </c>
      <c r="V61" s="1"/>
      <c r="W61" s="1"/>
      <c r="X61" s="1"/>
      <c r="Y61" s="1"/>
      <c r="Z61" s="1"/>
      <c r="AA61" s="1"/>
      <c r="AB61" s="1"/>
      <c r="AC61" s="1"/>
      <c r="AD61" s="1"/>
      <c r="AE61" s="1"/>
      <c r="AF61" s="1"/>
      <c r="AG61" s="1"/>
    </row>
    <row r="62" spans="1:33" ht="13.8">
      <c r="A62" s="1"/>
      <c r="B62" s="1"/>
      <c r="C62" s="1"/>
      <c r="D62" s="1"/>
      <c r="E62" s="1"/>
      <c r="F62" s="1"/>
      <c r="G62" s="1"/>
      <c r="H62" s="1"/>
      <c r="I62" s="1"/>
      <c r="J62" s="1" t="str">
        <f t="shared" si="6"/>
        <v>.001</v>
      </c>
      <c r="K62" s="1" t="str">
        <f ca="1">IFERROR(__xludf.dummyfunction("VLOOKUP(J62, IMPORTRANGE(""https://docs.google.com/spreadsheets/d/1yDAaXNsi4Mr5FtRQL4tbmSdIzhx6_m4wkOD7IG-k_eo/edit#gid=1336395716"", ""Science!M:N""), 2, FALSE)"),"#N/A")</f>
        <v>#N/A</v>
      </c>
      <c r="L62" s="1" t="str">
        <f t="shared" si="7"/>
        <v>.002</v>
      </c>
      <c r="M62" s="1" t="str">
        <f ca="1">IFERROR(__xludf.dummyfunction("VLOOKUP(L62, IMPORTRANGE(""https://docs.google.com/spreadsheets/d/1yDAaXNsi4Mr5FtRQL4tbmSdIzhx6_m4wkOD7IG-k_eo/edit#gid=1336395716"", ""Science!M:N""), 2, FALSE)"),"#N/A")</f>
        <v>#N/A</v>
      </c>
      <c r="N62" s="1" t="str">
        <f t="shared" si="8"/>
        <v>.003</v>
      </c>
      <c r="O62" s="1" t="str">
        <f ca="1">IFERROR(__xludf.dummyfunction("VLOOKUP(N62, IMPORTRANGE(""https://docs.google.com/spreadsheets/d/1yDAaXNsi4Mr5FtRQL4tbmSdIzhx6_m4wkOD7IG-k_eo/edit#gid=1336395716"", ""Science!M:N""), 2, FALSE)"),"#N/A")</f>
        <v>#N/A</v>
      </c>
      <c r="P62" s="1" t="str">
        <f t="shared" si="9"/>
        <v>.004</v>
      </c>
      <c r="Q62" s="15" t="str">
        <f ca="1">IFERROR(__xludf.dummyfunction("VLOOKUP(P62, IMPORTRANGE(""https://docs.google.com/spreadsheets/d/1yDAaXNsi4Mr5FtRQL4tbmSdIzhx6_m4wkOD7IG-k_eo/edit#gid=1336395716"", ""Science!M:N""), 2, FALSE)"),"#N/A")</f>
        <v>#N/A</v>
      </c>
      <c r="R62" s="1" t="str">
        <f t="shared" si="10"/>
        <v>.005</v>
      </c>
      <c r="S62" s="15" t="str">
        <f ca="1">IFERROR(__xludf.dummyfunction("VLOOKUP(R62, IMPORTRANGE(""https://docs.google.com/spreadsheets/d/1yDAaXNsi4Mr5FtRQL4tbmSdIzhx6_m4wkOD7IG-k_eo/edit#gid=1336395716"", ""Science!M:N""), 2, FALSE)"),"#N/A")</f>
        <v>#N/A</v>
      </c>
      <c r="T62" s="1" t="str">
        <f t="shared" si="11"/>
        <v>.006</v>
      </c>
      <c r="U62" s="15" t="str">
        <f ca="1">IFERROR(__xludf.dummyfunction("VLOOKUP(T62, IMPORTRANGE(""https://docs.google.com/spreadsheets/d/1yDAaXNsi4Mr5FtRQL4tbmSdIzhx6_m4wkOD7IG-k_eo/edit#gid=1336395716"", ""Science!M:N""), 2, FALSE)"),"#N/A")</f>
        <v>#N/A</v>
      </c>
      <c r="V62" s="1"/>
      <c r="W62" s="1"/>
      <c r="X62" s="1"/>
      <c r="Y62" s="1"/>
      <c r="Z62" s="1"/>
      <c r="AA62" s="1"/>
      <c r="AB62" s="1"/>
      <c r="AC62" s="1"/>
      <c r="AD62" s="1"/>
      <c r="AE62" s="1"/>
      <c r="AF62" s="1"/>
      <c r="AG62" s="1"/>
    </row>
    <row r="63" spans="1:33" ht="13.8">
      <c r="A63" s="1"/>
      <c r="B63" s="1"/>
      <c r="C63" s="1"/>
      <c r="D63" s="1"/>
      <c r="E63" s="1"/>
      <c r="F63" s="1"/>
      <c r="G63" s="1"/>
      <c r="H63" s="1"/>
      <c r="I63" s="1"/>
      <c r="J63" s="1" t="str">
        <f t="shared" si="6"/>
        <v>.001</v>
      </c>
      <c r="K63" s="1" t="str">
        <f ca="1">IFERROR(__xludf.dummyfunction("VLOOKUP(J63, IMPORTRANGE(""https://docs.google.com/spreadsheets/d/1yDAaXNsi4Mr5FtRQL4tbmSdIzhx6_m4wkOD7IG-k_eo/edit#gid=1336395716"", ""Science!M:N""), 2, FALSE)"),"#N/A")</f>
        <v>#N/A</v>
      </c>
      <c r="L63" s="1" t="str">
        <f t="shared" si="7"/>
        <v>.002</v>
      </c>
      <c r="M63" s="1" t="str">
        <f ca="1">IFERROR(__xludf.dummyfunction("VLOOKUP(L63, IMPORTRANGE(""https://docs.google.com/spreadsheets/d/1yDAaXNsi4Mr5FtRQL4tbmSdIzhx6_m4wkOD7IG-k_eo/edit#gid=1336395716"", ""Science!M:N""), 2, FALSE)"),"#N/A")</f>
        <v>#N/A</v>
      </c>
      <c r="N63" s="1" t="str">
        <f t="shared" si="8"/>
        <v>.003</v>
      </c>
      <c r="O63" s="1" t="str">
        <f ca="1">IFERROR(__xludf.dummyfunction("VLOOKUP(N63, IMPORTRANGE(""https://docs.google.com/spreadsheets/d/1yDAaXNsi4Mr5FtRQL4tbmSdIzhx6_m4wkOD7IG-k_eo/edit#gid=1336395716"", ""Science!M:N""), 2, FALSE)"),"#N/A")</f>
        <v>#N/A</v>
      </c>
      <c r="P63" s="1" t="str">
        <f t="shared" si="9"/>
        <v>.004</v>
      </c>
      <c r="Q63" s="15" t="str">
        <f ca="1">IFERROR(__xludf.dummyfunction("VLOOKUP(P63, IMPORTRANGE(""https://docs.google.com/spreadsheets/d/1yDAaXNsi4Mr5FtRQL4tbmSdIzhx6_m4wkOD7IG-k_eo/edit#gid=1336395716"", ""Science!M:N""), 2, FALSE)"),"#N/A")</f>
        <v>#N/A</v>
      </c>
      <c r="R63" s="1" t="str">
        <f t="shared" si="10"/>
        <v>.005</v>
      </c>
      <c r="S63" s="15" t="str">
        <f ca="1">IFERROR(__xludf.dummyfunction("VLOOKUP(R63, IMPORTRANGE(""https://docs.google.com/spreadsheets/d/1yDAaXNsi4Mr5FtRQL4tbmSdIzhx6_m4wkOD7IG-k_eo/edit#gid=1336395716"", ""Science!M:N""), 2, FALSE)"),"#N/A")</f>
        <v>#N/A</v>
      </c>
      <c r="T63" s="1" t="str">
        <f t="shared" si="11"/>
        <v>.006</v>
      </c>
      <c r="U63" s="15" t="str">
        <f ca="1">IFERROR(__xludf.dummyfunction("VLOOKUP(T63, IMPORTRANGE(""https://docs.google.com/spreadsheets/d/1yDAaXNsi4Mr5FtRQL4tbmSdIzhx6_m4wkOD7IG-k_eo/edit#gid=1336395716"", ""Science!M:N""), 2, FALSE)"),"#N/A")</f>
        <v>#N/A</v>
      </c>
      <c r="V63" s="1"/>
      <c r="W63" s="1"/>
      <c r="X63" s="1"/>
      <c r="Y63" s="1"/>
      <c r="Z63" s="1"/>
      <c r="AA63" s="1"/>
      <c r="AB63" s="1"/>
      <c r="AC63" s="1"/>
      <c r="AD63" s="1"/>
      <c r="AE63" s="1"/>
      <c r="AF63" s="1"/>
      <c r="AG63" s="1"/>
    </row>
    <row r="64" spans="1:33" ht="13.8">
      <c r="A64" s="1"/>
      <c r="B64" s="1"/>
      <c r="C64" s="1"/>
      <c r="D64" s="1"/>
      <c r="E64" s="1"/>
      <c r="F64" s="1"/>
      <c r="G64" s="1"/>
      <c r="H64" s="1"/>
      <c r="I64" s="1"/>
      <c r="J64" s="1" t="str">
        <f t="shared" si="6"/>
        <v>.001</v>
      </c>
      <c r="K64" s="1" t="str">
        <f ca="1">IFERROR(__xludf.dummyfunction("VLOOKUP(J64, IMPORTRANGE(""https://docs.google.com/spreadsheets/d/1yDAaXNsi4Mr5FtRQL4tbmSdIzhx6_m4wkOD7IG-k_eo/edit#gid=1336395716"", ""Science!M:N""), 2, FALSE)"),"#N/A")</f>
        <v>#N/A</v>
      </c>
      <c r="L64" s="1" t="str">
        <f t="shared" si="7"/>
        <v>.002</v>
      </c>
      <c r="M64" s="1" t="str">
        <f ca="1">IFERROR(__xludf.dummyfunction("VLOOKUP(L64, IMPORTRANGE(""https://docs.google.com/spreadsheets/d/1yDAaXNsi4Mr5FtRQL4tbmSdIzhx6_m4wkOD7IG-k_eo/edit#gid=1336395716"", ""Science!M:N""), 2, FALSE)"),"#N/A")</f>
        <v>#N/A</v>
      </c>
      <c r="N64" s="1" t="str">
        <f t="shared" si="8"/>
        <v>.003</v>
      </c>
      <c r="O64" s="1" t="str">
        <f ca="1">IFERROR(__xludf.dummyfunction("VLOOKUP(N64, IMPORTRANGE(""https://docs.google.com/spreadsheets/d/1yDAaXNsi4Mr5FtRQL4tbmSdIzhx6_m4wkOD7IG-k_eo/edit#gid=1336395716"", ""Science!M:N""), 2, FALSE)"),"#N/A")</f>
        <v>#N/A</v>
      </c>
      <c r="P64" s="1" t="str">
        <f t="shared" si="9"/>
        <v>.004</v>
      </c>
      <c r="Q64" s="15" t="str">
        <f ca="1">IFERROR(__xludf.dummyfunction("VLOOKUP(P64, IMPORTRANGE(""https://docs.google.com/spreadsheets/d/1yDAaXNsi4Mr5FtRQL4tbmSdIzhx6_m4wkOD7IG-k_eo/edit#gid=1336395716"", ""Science!M:N""), 2, FALSE)"),"#N/A")</f>
        <v>#N/A</v>
      </c>
      <c r="R64" s="1" t="str">
        <f t="shared" si="10"/>
        <v>.005</v>
      </c>
      <c r="S64" s="15" t="str">
        <f ca="1">IFERROR(__xludf.dummyfunction("VLOOKUP(R64, IMPORTRANGE(""https://docs.google.com/spreadsheets/d/1yDAaXNsi4Mr5FtRQL4tbmSdIzhx6_m4wkOD7IG-k_eo/edit#gid=1336395716"", ""Science!M:N""), 2, FALSE)"),"#N/A")</f>
        <v>#N/A</v>
      </c>
      <c r="T64" s="1" t="str">
        <f t="shared" si="11"/>
        <v>.006</v>
      </c>
      <c r="U64" s="15" t="str">
        <f ca="1">IFERROR(__xludf.dummyfunction("VLOOKUP(T64, IMPORTRANGE(""https://docs.google.com/spreadsheets/d/1yDAaXNsi4Mr5FtRQL4tbmSdIzhx6_m4wkOD7IG-k_eo/edit#gid=1336395716"", ""Science!M:N""), 2, FALSE)"),"#N/A")</f>
        <v>#N/A</v>
      </c>
      <c r="V64" s="1"/>
      <c r="W64" s="1"/>
      <c r="X64" s="1"/>
      <c r="Y64" s="1"/>
      <c r="Z64" s="1"/>
      <c r="AA64" s="1"/>
      <c r="AB64" s="1"/>
      <c r="AC64" s="1"/>
      <c r="AD64" s="1"/>
      <c r="AE64" s="1"/>
      <c r="AF64" s="1"/>
      <c r="AG64" s="1"/>
    </row>
    <row r="65" spans="1:33" ht="13.8">
      <c r="A65" s="1"/>
      <c r="B65" s="1"/>
      <c r="C65" s="1"/>
      <c r="D65" s="1"/>
      <c r="E65" s="1"/>
      <c r="F65" s="1"/>
      <c r="G65" s="1"/>
      <c r="H65" s="1"/>
      <c r="I65" s="1"/>
      <c r="J65" s="1" t="str">
        <f t="shared" si="6"/>
        <v>.001</v>
      </c>
      <c r="K65" s="1" t="str">
        <f ca="1">IFERROR(__xludf.dummyfunction("VLOOKUP(J65, IMPORTRANGE(""https://docs.google.com/spreadsheets/d/1yDAaXNsi4Mr5FtRQL4tbmSdIzhx6_m4wkOD7IG-k_eo/edit#gid=1336395716"", ""Science!M:N""), 2, FALSE)"),"#N/A")</f>
        <v>#N/A</v>
      </c>
      <c r="L65" s="1" t="str">
        <f t="shared" si="7"/>
        <v>.002</v>
      </c>
      <c r="M65" s="1" t="str">
        <f ca="1">IFERROR(__xludf.dummyfunction("VLOOKUP(L65, IMPORTRANGE(""https://docs.google.com/spreadsheets/d/1yDAaXNsi4Mr5FtRQL4tbmSdIzhx6_m4wkOD7IG-k_eo/edit#gid=1336395716"", ""Science!M:N""), 2, FALSE)"),"#N/A")</f>
        <v>#N/A</v>
      </c>
      <c r="N65" s="1" t="str">
        <f t="shared" si="8"/>
        <v>.003</v>
      </c>
      <c r="O65" s="1" t="str">
        <f ca="1">IFERROR(__xludf.dummyfunction("VLOOKUP(N65, IMPORTRANGE(""https://docs.google.com/spreadsheets/d/1yDAaXNsi4Mr5FtRQL4tbmSdIzhx6_m4wkOD7IG-k_eo/edit#gid=1336395716"", ""Science!M:N""), 2, FALSE)"),"#N/A")</f>
        <v>#N/A</v>
      </c>
      <c r="P65" s="1" t="str">
        <f t="shared" si="9"/>
        <v>.004</v>
      </c>
      <c r="Q65" s="15" t="str">
        <f ca="1">IFERROR(__xludf.dummyfunction("VLOOKUP(P65, IMPORTRANGE(""https://docs.google.com/spreadsheets/d/1yDAaXNsi4Mr5FtRQL4tbmSdIzhx6_m4wkOD7IG-k_eo/edit#gid=1336395716"", ""Science!M:N""), 2, FALSE)"),"#N/A")</f>
        <v>#N/A</v>
      </c>
      <c r="R65" s="1" t="str">
        <f t="shared" si="10"/>
        <v>.005</v>
      </c>
      <c r="S65" s="15" t="str">
        <f ca="1">IFERROR(__xludf.dummyfunction("VLOOKUP(R65, IMPORTRANGE(""https://docs.google.com/spreadsheets/d/1yDAaXNsi4Mr5FtRQL4tbmSdIzhx6_m4wkOD7IG-k_eo/edit#gid=1336395716"", ""Science!M:N""), 2, FALSE)"),"#N/A")</f>
        <v>#N/A</v>
      </c>
      <c r="T65" s="1" t="str">
        <f t="shared" si="11"/>
        <v>.006</v>
      </c>
      <c r="U65" s="15" t="str">
        <f ca="1">IFERROR(__xludf.dummyfunction("VLOOKUP(T65, IMPORTRANGE(""https://docs.google.com/spreadsheets/d/1yDAaXNsi4Mr5FtRQL4tbmSdIzhx6_m4wkOD7IG-k_eo/edit#gid=1336395716"", ""Science!M:N""), 2, FALSE)"),"#N/A")</f>
        <v>#N/A</v>
      </c>
      <c r="V65" s="1"/>
      <c r="W65" s="1"/>
      <c r="X65" s="1"/>
      <c r="Y65" s="1"/>
      <c r="Z65" s="1"/>
      <c r="AA65" s="1"/>
      <c r="AB65" s="1"/>
      <c r="AC65" s="1"/>
      <c r="AD65" s="1"/>
      <c r="AE65" s="1"/>
      <c r="AF65" s="1"/>
      <c r="AG65" s="1"/>
    </row>
    <row r="66" spans="1:33" ht="13.8">
      <c r="A66" s="1"/>
      <c r="B66" s="1"/>
      <c r="C66" s="1"/>
      <c r="D66" s="1"/>
      <c r="E66" s="1"/>
      <c r="F66" s="1"/>
      <c r="G66" s="1"/>
      <c r="H66" s="1"/>
      <c r="I66" s="1"/>
      <c r="J66" s="1" t="str">
        <f t="shared" ref="J66:J97" si="12">G66 &amp; ".001"</f>
        <v>.001</v>
      </c>
      <c r="K66" s="1" t="str">
        <f ca="1">IFERROR(__xludf.dummyfunction("VLOOKUP(J66, IMPORTRANGE(""https://docs.google.com/spreadsheets/d/1yDAaXNsi4Mr5FtRQL4tbmSdIzhx6_m4wkOD7IG-k_eo/edit#gid=1336395716"", ""Science!M:N""), 2, FALSE)"),"#N/A")</f>
        <v>#N/A</v>
      </c>
      <c r="L66" s="1" t="str">
        <f t="shared" ref="L66:L97" si="13">G66 &amp; ".002"</f>
        <v>.002</v>
      </c>
      <c r="M66" s="1" t="str">
        <f ca="1">IFERROR(__xludf.dummyfunction("VLOOKUP(L66, IMPORTRANGE(""https://docs.google.com/spreadsheets/d/1yDAaXNsi4Mr5FtRQL4tbmSdIzhx6_m4wkOD7IG-k_eo/edit#gid=1336395716"", ""Science!M:N""), 2, FALSE)"),"#N/A")</f>
        <v>#N/A</v>
      </c>
      <c r="N66" s="1" t="str">
        <f t="shared" ref="N66:N97" si="14">G66 &amp; ".003"</f>
        <v>.003</v>
      </c>
      <c r="O66" s="1" t="str">
        <f ca="1">IFERROR(__xludf.dummyfunction("VLOOKUP(N66, IMPORTRANGE(""https://docs.google.com/spreadsheets/d/1yDAaXNsi4Mr5FtRQL4tbmSdIzhx6_m4wkOD7IG-k_eo/edit#gid=1336395716"", ""Science!M:N""), 2, FALSE)"),"#N/A")</f>
        <v>#N/A</v>
      </c>
      <c r="P66" s="1" t="str">
        <f t="shared" ref="P66:P97" si="15">G66 &amp; ".004"</f>
        <v>.004</v>
      </c>
      <c r="Q66" s="15" t="str">
        <f ca="1">IFERROR(__xludf.dummyfunction("VLOOKUP(P66, IMPORTRANGE(""https://docs.google.com/spreadsheets/d/1yDAaXNsi4Mr5FtRQL4tbmSdIzhx6_m4wkOD7IG-k_eo/edit#gid=1336395716"", ""Science!M:N""), 2, FALSE)"),"#N/A")</f>
        <v>#N/A</v>
      </c>
      <c r="R66" s="1" t="str">
        <f t="shared" ref="R66:R97" si="16">G66 &amp; ".005"</f>
        <v>.005</v>
      </c>
      <c r="S66" s="15" t="str">
        <f ca="1">IFERROR(__xludf.dummyfunction("VLOOKUP(R66, IMPORTRANGE(""https://docs.google.com/spreadsheets/d/1yDAaXNsi4Mr5FtRQL4tbmSdIzhx6_m4wkOD7IG-k_eo/edit#gid=1336395716"", ""Science!M:N""), 2, FALSE)"),"#N/A")</f>
        <v>#N/A</v>
      </c>
      <c r="T66" s="1" t="str">
        <f t="shared" ref="T66:T97" si="17">G66 &amp; ".006"</f>
        <v>.006</v>
      </c>
      <c r="U66" s="15" t="str">
        <f ca="1">IFERROR(__xludf.dummyfunction("VLOOKUP(T66, IMPORTRANGE(""https://docs.google.com/spreadsheets/d/1yDAaXNsi4Mr5FtRQL4tbmSdIzhx6_m4wkOD7IG-k_eo/edit#gid=1336395716"", ""Science!M:N""), 2, FALSE)"),"#N/A")</f>
        <v>#N/A</v>
      </c>
      <c r="V66" s="1"/>
      <c r="W66" s="1"/>
      <c r="X66" s="1"/>
      <c r="Y66" s="1"/>
      <c r="Z66" s="1"/>
      <c r="AA66" s="1"/>
      <c r="AB66" s="1"/>
      <c r="AC66" s="1"/>
      <c r="AD66" s="1"/>
      <c r="AE66" s="1"/>
      <c r="AF66" s="1"/>
      <c r="AG66" s="1"/>
    </row>
    <row r="67" spans="1:33" ht="13.8">
      <c r="A67" s="1"/>
      <c r="B67" s="1"/>
      <c r="C67" s="1"/>
      <c r="D67" s="1"/>
      <c r="E67" s="1"/>
      <c r="F67" s="1"/>
      <c r="G67" s="1"/>
      <c r="H67" s="1"/>
      <c r="I67" s="1"/>
      <c r="J67" s="1" t="str">
        <f t="shared" si="12"/>
        <v>.001</v>
      </c>
      <c r="K67" s="1" t="str">
        <f ca="1">IFERROR(__xludf.dummyfunction("VLOOKUP(J67, IMPORTRANGE(""https://docs.google.com/spreadsheets/d/1yDAaXNsi4Mr5FtRQL4tbmSdIzhx6_m4wkOD7IG-k_eo/edit#gid=1336395716"", ""Science!M:N""), 2, FALSE)"),"#N/A")</f>
        <v>#N/A</v>
      </c>
      <c r="L67" s="1" t="str">
        <f t="shared" si="13"/>
        <v>.002</v>
      </c>
      <c r="M67" s="1" t="str">
        <f ca="1">IFERROR(__xludf.dummyfunction("VLOOKUP(L67, IMPORTRANGE(""https://docs.google.com/spreadsheets/d/1yDAaXNsi4Mr5FtRQL4tbmSdIzhx6_m4wkOD7IG-k_eo/edit#gid=1336395716"", ""Science!M:N""), 2, FALSE)"),"#N/A")</f>
        <v>#N/A</v>
      </c>
      <c r="N67" s="1" t="str">
        <f t="shared" si="14"/>
        <v>.003</v>
      </c>
      <c r="O67" s="1" t="str">
        <f ca="1">IFERROR(__xludf.dummyfunction("VLOOKUP(N67, IMPORTRANGE(""https://docs.google.com/spreadsheets/d/1yDAaXNsi4Mr5FtRQL4tbmSdIzhx6_m4wkOD7IG-k_eo/edit#gid=1336395716"", ""Science!M:N""), 2, FALSE)"),"#N/A")</f>
        <v>#N/A</v>
      </c>
      <c r="P67" s="1" t="str">
        <f t="shared" si="15"/>
        <v>.004</v>
      </c>
      <c r="Q67" s="15" t="str">
        <f ca="1">IFERROR(__xludf.dummyfunction("VLOOKUP(P67, IMPORTRANGE(""https://docs.google.com/spreadsheets/d/1yDAaXNsi4Mr5FtRQL4tbmSdIzhx6_m4wkOD7IG-k_eo/edit#gid=1336395716"", ""Science!M:N""), 2, FALSE)"),"#N/A")</f>
        <v>#N/A</v>
      </c>
      <c r="R67" s="1" t="str">
        <f t="shared" si="16"/>
        <v>.005</v>
      </c>
      <c r="S67" s="15" t="str">
        <f ca="1">IFERROR(__xludf.dummyfunction("VLOOKUP(R67, IMPORTRANGE(""https://docs.google.com/spreadsheets/d/1yDAaXNsi4Mr5FtRQL4tbmSdIzhx6_m4wkOD7IG-k_eo/edit#gid=1336395716"", ""Science!M:N""), 2, FALSE)"),"#N/A")</f>
        <v>#N/A</v>
      </c>
      <c r="T67" s="1" t="str">
        <f t="shared" si="17"/>
        <v>.006</v>
      </c>
      <c r="U67" s="15" t="str">
        <f ca="1">IFERROR(__xludf.dummyfunction("VLOOKUP(T67, IMPORTRANGE(""https://docs.google.com/spreadsheets/d/1yDAaXNsi4Mr5FtRQL4tbmSdIzhx6_m4wkOD7IG-k_eo/edit#gid=1336395716"", ""Science!M:N""), 2, FALSE)"),"#N/A")</f>
        <v>#N/A</v>
      </c>
      <c r="V67" s="1"/>
      <c r="W67" s="1"/>
      <c r="X67" s="1"/>
      <c r="Y67" s="1"/>
      <c r="Z67" s="1"/>
      <c r="AA67" s="1"/>
      <c r="AB67" s="1"/>
      <c r="AC67" s="1"/>
      <c r="AD67" s="1"/>
      <c r="AE67" s="1"/>
      <c r="AF67" s="1"/>
      <c r="AG67" s="1"/>
    </row>
    <row r="68" spans="1:33" ht="13.8">
      <c r="A68" s="1"/>
      <c r="B68" s="1"/>
      <c r="C68" s="1"/>
      <c r="D68" s="1"/>
      <c r="E68" s="1"/>
      <c r="F68" s="1"/>
      <c r="G68" s="1"/>
      <c r="H68" s="1"/>
      <c r="I68" s="1"/>
      <c r="J68" s="1" t="str">
        <f t="shared" si="12"/>
        <v>.001</v>
      </c>
      <c r="K68" s="1" t="str">
        <f ca="1">IFERROR(__xludf.dummyfunction("VLOOKUP(J68, IMPORTRANGE(""https://docs.google.com/spreadsheets/d/1yDAaXNsi4Mr5FtRQL4tbmSdIzhx6_m4wkOD7IG-k_eo/edit#gid=1336395716"", ""Science!M:N""), 2, FALSE)"),"#N/A")</f>
        <v>#N/A</v>
      </c>
      <c r="L68" s="1" t="str">
        <f t="shared" si="13"/>
        <v>.002</v>
      </c>
      <c r="M68" s="1" t="str">
        <f ca="1">IFERROR(__xludf.dummyfunction("VLOOKUP(L68, IMPORTRANGE(""https://docs.google.com/spreadsheets/d/1yDAaXNsi4Mr5FtRQL4tbmSdIzhx6_m4wkOD7IG-k_eo/edit#gid=1336395716"", ""Science!M:N""), 2, FALSE)"),"#N/A")</f>
        <v>#N/A</v>
      </c>
      <c r="N68" s="1" t="str">
        <f t="shared" si="14"/>
        <v>.003</v>
      </c>
      <c r="O68" s="1" t="str">
        <f ca="1">IFERROR(__xludf.dummyfunction("VLOOKUP(N68, IMPORTRANGE(""https://docs.google.com/spreadsheets/d/1yDAaXNsi4Mr5FtRQL4tbmSdIzhx6_m4wkOD7IG-k_eo/edit#gid=1336395716"", ""Science!M:N""), 2, FALSE)"),"#N/A")</f>
        <v>#N/A</v>
      </c>
      <c r="P68" s="1" t="str">
        <f t="shared" si="15"/>
        <v>.004</v>
      </c>
      <c r="Q68" s="15" t="str">
        <f ca="1">IFERROR(__xludf.dummyfunction("VLOOKUP(P68, IMPORTRANGE(""https://docs.google.com/spreadsheets/d/1yDAaXNsi4Mr5FtRQL4tbmSdIzhx6_m4wkOD7IG-k_eo/edit#gid=1336395716"", ""Science!M:N""), 2, FALSE)"),"#N/A")</f>
        <v>#N/A</v>
      </c>
      <c r="R68" s="1" t="str">
        <f t="shared" si="16"/>
        <v>.005</v>
      </c>
      <c r="S68" s="15" t="str">
        <f ca="1">IFERROR(__xludf.dummyfunction("VLOOKUP(R68, IMPORTRANGE(""https://docs.google.com/spreadsheets/d/1yDAaXNsi4Mr5FtRQL4tbmSdIzhx6_m4wkOD7IG-k_eo/edit#gid=1336395716"", ""Science!M:N""), 2, FALSE)"),"#N/A")</f>
        <v>#N/A</v>
      </c>
      <c r="T68" s="1" t="str">
        <f t="shared" si="17"/>
        <v>.006</v>
      </c>
      <c r="U68" s="15" t="str">
        <f ca="1">IFERROR(__xludf.dummyfunction("VLOOKUP(T68, IMPORTRANGE(""https://docs.google.com/spreadsheets/d/1yDAaXNsi4Mr5FtRQL4tbmSdIzhx6_m4wkOD7IG-k_eo/edit#gid=1336395716"", ""Science!M:N""), 2, FALSE)"),"#N/A")</f>
        <v>#N/A</v>
      </c>
      <c r="V68" s="1"/>
      <c r="W68" s="1"/>
      <c r="X68" s="1"/>
      <c r="Y68" s="1"/>
      <c r="Z68" s="1"/>
      <c r="AA68" s="1"/>
      <c r="AB68" s="1"/>
      <c r="AC68" s="1"/>
      <c r="AD68" s="1"/>
      <c r="AE68" s="1"/>
      <c r="AF68" s="1"/>
      <c r="AG68" s="1"/>
    </row>
    <row r="69" spans="1:33" ht="13.8">
      <c r="A69" s="1"/>
      <c r="B69" s="1"/>
      <c r="C69" s="1"/>
      <c r="D69" s="1"/>
      <c r="E69" s="1"/>
      <c r="F69" s="1"/>
      <c r="G69" s="1"/>
      <c r="H69" s="1"/>
      <c r="I69" s="1"/>
      <c r="J69" s="1" t="str">
        <f t="shared" si="12"/>
        <v>.001</v>
      </c>
      <c r="K69" s="1" t="str">
        <f ca="1">IFERROR(__xludf.dummyfunction("VLOOKUP(J69, IMPORTRANGE(""https://docs.google.com/spreadsheets/d/1yDAaXNsi4Mr5FtRQL4tbmSdIzhx6_m4wkOD7IG-k_eo/edit#gid=1336395716"", ""Science!M:N""), 2, FALSE)"),"#N/A")</f>
        <v>#N/A</v>
      </c>
      <c r="L69" s="1" t="str">
        <f t="shared" si="13"/>
        <v>.002</v>
      </c>
      <c r="M69" s="1" t="str">
        <f ca="1">IFERROR(__xludf.dummyfunction("VLOOKUP(L69, IMPORTRANGE(""https://docs.google.com/spreadsheets/d/1yDAaXNsi4Mr5FtRQL4tbmSdIzhx6_m4wkOD7IG-k_eo/edit#gid=1336395716"", ""Science!M:N""), 2, FALSE)"),"#N/A")</f>
        <v>#N/A</v>
      </c>
      <c r="N69" s="1" t="str">
        <f t="shared" si="14"/>
        <v>.003</v>
      </c>
      <c r="O69" s="1" t="str">
        <f ca="1">IFERROR(__xludf.dummyfunction("VLOOKUP(N69, IMPORTRANGE(""https://docs.google.com/spreadsheets/d/1yDAaXNsi4Mr5FtRQL4tbmSdIzhx6_m4wkOD7IG-k_eo/edit#gid=1336395716"", ""Science!M:N""), 2, FALSE)"),"#N/A")</f>
        <v>#N/A</v>
      </c>
      <c r="P69" s="1" t="str">
        <f t="shared" si="15"/>
        <v>.004</v>
      </c>
      <c r="Q69" s="15" t="str">
        <f ca="1">IFERROR(__xludf.dummyfunction("VLOOKUP(P69, IMPORTRANGE(""https://docs.google.com/spreadsheets/d/1yDAaXNsi4Mr5FtRQL4tbmSdIzhx6_m4wkOD7IG-k_eo/edit#gid=1336395716"", ""Science!M:N""), 2, FALSE)"),"#N/A")</f>
        <v>#N/A</v>
      </c>
      <c r="R69" s="1" t="str">
        <f t="shared" si="16"/>
        <v>.005</v>
      </c>
      <c r="S69" s="15" t="str">
        <f ca="1">IFERROR(__xludf.dummyfunction("VLOOKUP(R69, IMPORTRANGE(""https://docs.google.com/spreadsheets/d/1yDAaXNsi4Mr5FtRQL4tbmSdIzhx6_m4wkOD7IG-k_eo/edit#gid=1336395716"", ""Science!M:N""), 2, FALSE)"),"#N/A")</f>
        <v>#N/A</v>
      </c>
      <c r="T69" s="1" t="str">
        <f t="shared" si="17"/>
        <v>.006</v>
      </c>
      <c r="U69" s="15" t="str">
        <f ca="1">IFERROR(__xludf.dummyfunction("VLOOKUP(T69, IMPORTRANGE(""https://docs.google.com/spreadsheets/d/1yDAaXNsi4Mr5FtRQL4tbmSdIzhx6_m4wkOD7IG-k_eo/edit#gid=1336395716"", ""Science!M:N""), 2, FALSE)"),"#N/A")</f>
        <v>#N/A</v>
      </c>
      <c r="V69" s="1"/>
      <c r="W69" s="1"/>
      <c r="X69" s="1"/>
      <c r="Y69" s="1"/>
      <c r="Z69" s="1"/>
      <c r="AA69" s="1"/>
      <c r="AB69" s="1"/>
      <c r="AC69" s="1"/>
      <c r="AD69" s="1"/>
      <c r="AE69" s="1"/>
      <c r="AF69" s="1"/>
      <c r="AG69" s="1"/>
    </row>
    <row r="70" spans="1:33" ht="13.8">
      <c r="A70" s="1"/>
      <c r="B70" s="1"/>
      <c r="C70" s="1"/>
      <c r="D70" s="1"/>
      <c r="E70" s="1"/>
      <c r="F70" s="1"/>
      <c r="G70" s="1"/>
      <c r="H70" s="1"/>
      <c r="I70" s="1"/>
      <c r="J70" s="1" t="str">
        <f t="shared" si="12"/>
        <v>.001</v>
      </c>
      <c r="K70" s="1" t="str">
        <f ca="1">IFERROR(__xludf.dummyfunction("VLOOKUP(J70, IMPORTRANGE(""https://docs.google.com/spreadsheets/d/1yDAaXNsi4Mr5FtRQL4tbmSdIzhx6_m4wkOD7IG-k_eo/edit#gid=1336395716"", ""Science!M:N""), 2, FALSE)"),"#N/A")</f>
        <v>#N/A</v>
      </c>
      <c r="L70" s="1" t="str">
        <f t="shared" si="13"/>
        <v>.002</v>
      </c>
      <c r="M70" s="1" t="str">
        <f ca="1">IFERROR(__xludf.dummyfunction("VLOOKUP(L70, IMPORTRANGE(""https://docs.google.com/spreadsheets/d/1yDAaXNsi4Mr5FtRQL4tbmSdIzhx6_m4wkOD7IG-k_eo/edit#gid=1336395716"", ""Science!M:N""), 2, FALSE)"),"#N/A")</f>
        <v>#N/A</v>
      </c>
      <c r="N70" s="1" t="str">
        <f t="shared" si="14"/>
        <v>.003</v>
      </c>
      <c r="O70" s="1" t="str">
        <f ca="1">IFERROR(__xludf.dummyfunction("VLOOKUP(N70, IMPORTRANGE(""https://docs.google.com/spreadsheets/d/1yDAaXNsi4Mr5FtRQL4tbmSdIzhx6_m4wkOD7IG-k_eo/edit#gid=1336395716"", ""Science!M:N""), 2, FALSE)"),"#N/A")</f>
        <v>#N/A</v>
      </c>
      <c r="P70" s="1" t="str">
        <f t="shared" si="15"/>
        <v>.004</v>
      </c>
      <c r="Q70" s="15" t="str">
        <f ca="1">IFERROR(__xludf.dummyfunction("VLOOKUP(P70, IMPORTRANGE(""https://docs.google.com/spreadsheets/d/1yDAaXNsi4Mr5FtRQL4tbmSdIzhx6_m4wkOD7IG-k_eo/edit#gid=1336395716"", ""Science!M:N""), 2, FALSE)"),"#N/A")</f>
        <v>#N/A</v>
      </c>
      <c r="R70" s="1" t="str">
        <f t="shared" si="16"/>
        <v>.005</v>
      </c>
      <c r="S70" s="15" t="str">
        <f ca="1">IFERROR(__xludf.dummyfunction("VLOOKUP(R70, IMPORTRANGE(""https://docs.google.com/spreadsheets/d/1yDAaXNsi4Mr5FtRQL4tbmSdIzhx6_m4wkOD7IG-k_eo/edit#gid=1336395716"", ""Science!M:N""), 2, FALSE)"),"#N/A")</f>
        <v>#N/A</v>
      </c>
      <c r="T70" s="1" t="str">
        <f t="shared" si="17"/>
        <v>.006</v>
      </c>
      <c r="U70" s="15" t="str">
        <f ca="1">IFERROR(__xludf.dummyfunction("VLOOKUP(T70, IMPORTRANGE(""https://docs.google.com/spreadsheets/d/1yDAaXNsi4Mr5FtRQL4tbmSdIzhx6_m4wkOD7IG-k_eo/edit#gid=1336395716"", ""Science!M:N""), 2, FALSE)"),"#N/A")</f>
        <v>#N/A</v>
      </c>
      <c r="V70" s="1"/>
      <c r="W70" s="1"/>
      <c r="X70" s="1"/>
      <c r="Y70" s="1"/>
      <c r="Z70" s="1"/>
      <c r="AA70" s="1"/>
      <c r="AB70" s="1"/>
      <c r="AC70" s="1"/>
      <c r="AD70" s="1"/>
      <c r="AE70" s="1"/>
      <c r="AF70" s="1"/>
      <c r="AG70" s="1"/>
    </row>
    <row r="71" spans="1:33" ht="13.8">
      <c r="A71" s="1"/>
      <c r="B71" s="1"/>
      <c r="C71" s="1"/>
      <c r="D71" s="1"/>
      <c r="E71" s="1"/>
      <c r="F71" s="1"/>
      <c r="G71" s="1"/>
      <c r="H71" s="1"/>
      <c r="I71" s="1"/>
      <c r="J71" s="1" t="str">
        <f t="shared" si="12"/>
        <v>.001</v>
      </c>
      <c r="K71" s="1" t="str">
        <f ca="1">IFERROR(__xludf.dummyfunction("VLOOKUP(J71, IMPORTRANGE(""https://docs.google.com/spreadsheets/d/1yDAaXNsi4Mr5FtRQL4tbmSdIzhx6_m4wkOD7IG-k_eo/edit#gid=1336395716"", ""Science!M:N""), 2, FALSE)"),"#N/A")</f>
        <v>#N/A</v>
      </c>
      <c r="L71" s="1" t="str">
        <f t="shared" si="13"/>
        <v>.002</v>
      </c>
      <c r="M71" s="1" t="str">
        <f ca="1">IFERROR(__xludf.dummyfunction("VLOOKUP(L71, IMPORTRANGE(""https://docs.google.com/spreadsheets/d/1yDAaXNsi4Mr5FtRQL4tbmSdIzhx6_m4wkOD7IG-k_eo/edit#gid=1336395716"", ""Science!M:N""), 2, FALSE)"),"#N/A")</f>
        <v>#N/A</v>
      </c>
      <c r="N71" s="1" t="str">
        <f t="shared" si="14"/>
        <v>.003</v>
      </c>
      <c r="O71" s="1" t="str">
        <f ca="1">IFERROR(__xludf.dummyfunction("VLOOKUP(N71, IMPORTRANGE(""https://docs.google.com/spreadsheets/d/1yDAaXNsi4Mr5FtRQL4tbmSdIzhx6_m4wkOD7IG-k_eo/edit#gid=1336395716"", ""Science!M:N""), 2, FALSE)"),"#N/A")</f>
        <v>#N/A</v>
      </c>
      <c r="P71" s="1" t="str">
        <f t="shared" si="15"/>
        <v>.004</v>
      </c>
      <c r="Q71" s="15" t="str">
        <f ca="1">IFERROR(__xludf.dummyfunction("VLOOKUP(P71, IMPORTRANGE(""https://docs.google.com/spreadsheets/d/1yDAaXNsi4Mr5FtRQL4tbmSdIzhx6_m4wkOD7IG-k_eo/edit#gid=1336395716"", ""Science!M:N""), 2, FALSE)"),"#N/A")</f>
        <v>#N/A</v>
      </c>
      <c r="R71" s="1" t="str">
        <f t="shared" si="16"/>
        <v>.005</v>
      </c>
      <c r="S71" s="15" t="str">
        <f ca="1">IFERROR(__xludf.dummyfunction("VLOOKUP(R71, IMPORTRANGE(""https://docs.google.com/spreadsheets/d/1yDAaXNsi4Mr5FtRQL4tbmSdIzhx6_m4wkOD7IG-k_eo/edit#gid=1336395716"", ""Science!M:N""), 2, FALSE)"),"#N/A")</f>
        <v>#N/A</v>
      </c>
      <c r="T71" s="1" t="str">
        <f t="shared" si="17"/>
        <v>.006</v>
      </c>
      <c r="U71" s="15" t="str">
        <f ca="1">IFERROR(__xludf.dummyfunction("VLOOKUP(T71, IMPORTRANGE(""https://docs.google.com/spreadsheets/d/1yDAaXNsi4Mr5FtRQL4tbmSdIzhx6_m4wkOD7IG-k_eo/edit#gid=1336395716"", ""Science!M:N""), 2, FALSE)"),"#N/A")</f>
        <v>#N/A</v>
      </c>
      <c r="V71" s="1"/>
      <c r="W71" s="1"/>
      <c r="X71" s="1"/>
      <c r="Y71" s="1"/>
      <c r="Z71" s="1"/>
      <c r="AA71" s="1"/>
      <c r="AB71" s="1"/>
      <c r="AC71" s="1"/>
      <c r="AD71" s="1"/>
      <c r="AE71" s="1"/>
      <c r="AF71" s="1"/>
      <c r="AG71" s="1"/>
    </row>
    <row r="72" spans="1:33" ht="13.8">
      <c r="A72" s="1"/>
      <c r="B72" s="1"/>
      <c r="C72" s="1"/>
      <c r="D72" s="1"/>
      <c r="E72" s="1"/>
      <c r="F72" s="1"/>
      <c r="G72" s="1"/>
      <c r="H72" s="1"/>
      <c r="I72" s="1"/>
      <c r="J72" s="1" t="str">
        <f t="shared" si="12"/>
        <v>.001</v>
      </c>
      <c r="K72" s="1" t="str">
        <f ca="1">IFERROR(__xludf.dummyfunction("VLOOKUP(J72, IMPORTRANGE(""https://docs.google.com/spreadsheets/d/1yDAaXNsi4Mr5FtRQL4tbmSdIzhx6_m4wkOD7IG-k_eo/edit#gid=1336395716"", ""Science!M:N""), 2, FALSE)"),"#N/A")</f>
        <v>#N/A</v>
      </c>
      <c r="L72" s="1" t="str">
        <f t="shared" si="13"/>
        <v>.002</v>
      </c>
      <c r="M72" s="1" t="str">
        <f ca="1">IFERROR(__xludf.dummyfunction("VLOOKUP(L72, IMPORTRANGE(""https://docs.google.com/spreadsheets/d/1yDAaXNsi4Mr5FtRQL4tbmSdIzhx6_m4wkOD7IG-k_eo/edit#gid=1336395716"", ""Science!M:N""), 2, FALSE)"),"#N/A")</f>
        <v>#N/A</v>
      </c>
      <c r="N72" s="1" t="str">
        <f t="shared" si="14"/>
        <v>.003</v>
      </c>
      <c r="O72" s="1" t="str">
        <f ca="1">IFERROR(__xludf.dummyfunction("VLOOKUP(N72, IMPORTRANGE(""https://docs.google.com/spreadsheets/d/1yDAaXNsi4Mr5FtRQL4tbmSdIzhx6_m4wkOD7IG-k_eo/edit#gid=1336395716"", ""Science!M:N""), 2, FALSE)"),"#N/A")</f>
        <v>#N/A</v>
      </c>
      <c r="P72" s="1" t="str">
        <f t="shared" si="15"/>
        <v>.004</v>
      </c>
      <c r="Q72" s="15" t="str">
        <f ca="1">IFERROR(__xludf.dummyfunction("VLOOKUP(P72, IMPORTRANGE(""https://docs.google.com/spreadsheets/d/1yDAaXNsi4Mr5FtRQL4tbmSdIzhx6_m4wkOD7IG-k_eo/edit#gid=1336395716"", ""Science!M:N""), 2, FALSE)"),"#N/A")</f>
        <v>#N/A</v>
      </c>
      <c r="R72" s="1" t="str">
        <f t="shared" si="16"/>
        <v>.005</v>
      </c>
      <c r="S72" s="15" t="str">
        <f ca="1">IFERROR(__xludf.dummyfunction("VLOOKUP(R72, IMPORTRANGE(""https://docs.google.com/spreadsheets/d/1yDAaXNsi4Mr5FtRQL4tbmSdIzhx6_m4wkOD7IG-k_eo/edit#gid=1336395716"", ""Science!M:N""), 2, FALSE)"),"#N/A")</f>
        <v>#N/A</v>
      </c>
      <c r="T72" s="1" t="str">
        <f t="shared" si="17"/>
        <v>.006</v>
      </c>
      <c r="U72" s="15" t="str">
        <f ca="1">IFERROR(__xludf.dummyfunction("VLOOKUP(T72, IMPORTRANGE(""https://docs.google.com/spreadsheets/d/1yDAaXNsi4Mr5FtRQL4tbmSdIzhx6_m4wkOD7IG-k_eo/edit#gid=1336395716"", ""Science!M:N""), 2, FALSE)"),"#N/A")</f>
        <v>#N/A</v>
      </c>
      <c r="V72" s="1"/>
      <c r="W72" s="1"/>
      <c r="X72" s="1"/>
      <c r="Y72" s="1"/>
      <c r="Z72" s="1"/>
      <c r="AA72" s="1"/>
      <c r="AB72" s="1"/>
      <c r="AC72" s="1"/>
      <c r="AD72" s="1"/>
      <c r="AE72" s="1"/>
      <c r="AF72" s="1"/>
      <c r="AG72" s="1"/>
    </row>
    <row r="73" spans="1:33" ht="13.8">
      <c r="A73" s="1"/>
      <c r="B73" s="1"/>
      <c r="C73" s="1"/>
      <c r="D73" s="1"/>
      <c r="E73" s="1"/>
      <c r="F73" s="1"/>
      <c r="G73" s="1"/>
      <c r="H73" s="1"/>
      <c r="I73" s="1"/>
      <c r="J73" s="1" t="str">
        <f t="shared" si="12"/>
        <v>.001</v>
      </c>
      <c r="K73" s="1" t="str">
        <f ca="1">IFERROR(__xludf.dummyfunction("VLOOKUP(J73, IMPORTRANGE(""https://docs.google.com/spreadsheets/d/1yDAaXNsi4Mr5FtRQL4tbmSdIzhx6_m4wkOD7IG-k_eo/edit#gid=1336395716"", ""Science!M:N""), 2, FALSE)"),"#N/A")</f>
        <v>#N/A</v>
      </c>
      <c r="L73" s="1" t="str">
        <f t="shared" si="13"/>
        <v>.002</v>
      </c>
      <c r="M73" s="1" t="str">
        <f ca="1">IFERROR(__xludf.dummyfunction("VLOOKUP(L73, IMPORTRANGE(""https://docs.google.com/spreadsheets/d/1yDAaXNsi4Mr5FtRQL4tbmSdIzhx6_m4wkOD7IG-k_eo/edit#gid=1336395716"", ""Science!M:N""), 2, FALSE)"),"#N/A")</f>
        <v>#N/A</v>
      </c>
      <c r="N73" s="1" t="str">
        <f t="shared" si="14"/>
        <v>.003</v>
      </c>
      <c r="O73" s="1" t="str">
        <f ca="1">IFERROR(__xludf.dummyfunction("VLOOKUP(N73, IMPORTRANGE(""https://docs.google.com/spreadsheets/d/1yDAaXNsi4Mr5FtRQL4tbmSdIzhx6_m4wkOD7IG-k_eo/edit#gid=1336395716"", ""Science!M:N""), 2, FALSE)"),"#N/A")</f>
        <v>#N/A</v>
      </c>
      <c r="P73" s="1" t="str">
        <f t="shared" si="15"/>
        <v>.004</v>
      </c>
      <c r="Q73" s="15" t="str">
        <f ca="1">IFERROR(__xludf.dummyfunction("VLOOKUP(P73, IMPORTRANGE(""https://docs.google.com/spreadsheets/d/1yDAaXNsi4Mr5FtRQL4tbmSdIzhx6_m4wkOD7IG-k_eo/edit#gid=1336395716"", ""Science!M:N""), 2, FALSE)"),"#N/A")</f>
        <v>#N/A</v>
      </c>
      <c r="R73" s="1" t="str">
        <f t="shared" si="16"/>
        <v>.005</v>
      </c>
      <c r="S73" s="15" t="str">
        <f ca="1">IFERROR(__xludf.dummyfunction("VLOOKUP(R73, IMPORTRANGE(""https://docs.google.com/spreadsheets/d/1yDAaXNsi4Mr5FtRQL4tbmSdIzhx6_m4wkOD7IG-k_eo/edit#gid=1336395716"", ""Science!M:N""), 2, FALSE)"),"#N/A")</f>
        <v>#N/A</v>
      </c>
      <c r="T73" s="1" t="str">
        <f t="shared" si="17"/>
        <v>.006</v>
      </c>
      <c r="U73" s="15" t="str">
        <f ca="1">IFERROR(__xludf.dummyfunction("VLOOKUP(T73, IMPORTRANGE(""https://docs.google.com/spreadsheets/d/1yDAaXNsi4Mr5FtRQL4tbmSdIzhx6_m4wkOD7IG-k_eo/edit#gid=1336395716"", ""Science!M:N""), 2, FALSE)"),"#N/A")</f>
        <v>#N/A</v>
      </c>
      <c r="V73" s="1"/>
      <c r="W73" s="1"/>
      <c r="X73" s="1"/>
      <c r="Y73" s="1"/>
      <c r="Z73" s="1"/>
      <c r="AA73" s="1"/>
      <c r="AB73" s="1"/>
      <c r="AC73" s="1"/>
      <c r="AD73" s="1"/>
      <c r="AE73" s="1"/>
      <c r="AF73" s="1"/>
      <c r="AG73" s="1"/>
    </row>
    <row r="74" spans="1:33" ht="13.8">
      <c r="A74" s="1"/>
      <c r="B74" s="1"/>
      <c r="C74" s="1"/>
      <c r="D74" s="1"/>
      <c r="E74" s="1"/>
      <c r="F74" s="1"/>
      <c r="G74" s="1"/>
      <c r="H74" s="1"/>
      <c r="I74" s="1"/>
      <c r="J74" s="1" t="str">
        <f t="shared" si="12"/>
        <v>.001</v>
      </c>
      <c r="K74" s="1" t="str">
        <f ca="1">IFERROR(__xludf.dummyfunction("VLOOKUP(J74, IMPORTRANGE(""https://docs.google.com/spreadsheets/d/1yDAaXNsi4Mr5FtRQL4tbmSdIzhx6_m4wkOD7IG-k_eo/edit#gid=1336395716"", ""Science!M:N""), 2, FALSE)"),"#N/A")</f>
        <v>#N/A</v>
      </c>
      <c r="L74" s="1" t="str">
        <f t="shared" si="13"/>
        <v>.002</v>
      </c>
      <c r="M74" s="1" t="str">
        <f ca="1">IFERROR(__xludf.dummyfunction("VLOOKUP(L74, IMPORTRANGE(""https://docs.google.com/spreadsheets/d/1yDAaXNsi4Mr5FtRQL4tbmSdIzhx6_m4wkOD7IG-k_eo/edit#gid=1336395716"", ""Science!M:N""), 2, FALSE)"),"#N/A")</f>
        <v>#N/A</v>
      </c>
      <c r="N74" s="1" t="str">
        <f t="shared" si="14"/>
        <v>.003</v>
      </c>
      <c r="O74" s="1" t="str">
        <f ca="1">IFERROR(__xludf.dummyfunction("VLOOKUP(N74, IMPORTRANGE(""https://docs.google.com/spreadsheets/d/1yDAaXNsi4Mr5FtRQL4tbmSdIzhx6_m4wkOD7IG-k_eo/edit#gid=1336395716"", ""Science!M:N""), 2, FALSE)"),"#N/A")</f>
        <v>#N/A</v>
      </c>
      <c r="P74" s="1" t="str">
        <f t="shared" si="15"/>
        <v>.004</v>
      </c>
      <c r="Q74" s="15" t="str">
        <f ca="1">IFERROR(__xludf.dummyfunction("VLOOKUP(P74, IMPORTRANGE(""https://docs.google.com/spreadsheets/d/1yDAaXNsi4Mr5FtRQL4tbmSdIzhx6_m4wkOD7IG-k_eo/edit#gid=1336395716"", ""Science!M:N""), 2, FALSE)"),"#N/A")</f>
        <v>#N/A</v>
      </c>
      <c r="R74" s="1" t="str">
        <f t="shared" si="16"/>
        <v>.005</v>
      </c>
      <c r="S74" s="15" t="str">
        <f ca="1">IFERROR(__xludf.dummyfunction("VLOOKUP(R74, IMPORTRANGE(""https://docs.google.com/spreadsheets/d/1yDAaXNsi4Mr5FtRQL4tbmSdIzhx6_m4wkOD7IG-k_eo/edit#gid=1336395716"", ""Science!M:N""), 2, FALSE)"),"#N/A")</f>
        <v>#N/A</v>
      </c>
      <c r="T74" s="1" t="str">
        <f t="shared" si="17"/>
        <v>.006</v>
      </c>
      <c r="U74" s="15" t="str">
        <f ca="1">IFERROR(__xludf.dummyfunction("VLOOKUP(T74, IMPORTRANGE(""https://docs.google.com/spreadsheets/d/1yDAaXNsi4Mr5FtRQL4tbmSdIzhx6_m4wkOD7IG-k_eo/edit#gid=1336395716"", ""Science!M:N""), 2, FALSE)"),"#N/A")</f>
        <v>#N/A</v>
      </c>
      <c r="V74" s="1"/>
      <c r="W74" s="1"/>
      <c r="X74" s="1"/>
      <c r="Y74" s="1"/>
      <c r="Z74" s="1"/>
      <c r="AA74" s="1"/>
      <c r="AB74" s="1"/>
      <c r="AC74" s="1"/>
      <c r="AD74" s="1"/>
      <c r="AE74" s="1"/>
      <c r="AF74" s="1"/>
      <c r="AG74" s="1"/>
    </row>
    <row r="75" spans="1:33" ht="13.8">
      <c r="A75" s="1"/>
      <c r="B75" s="1"/>
      <c r="C75" s="1"/>
      <c r="D75" s="1"/>
      <c r="E75" s="1"/>
      <c r="F75" s="1"/>
      <c r="G75" s="1"/>
      <c r="H75" s="1"/>
      <c r="I75" s="1"/>
      <c r="J75" s="1" t="str">
        <f t="shared" si="12"/>
        <v>.001</v>
      </c>
      <c r="K75" s="1" t="str">
        <f ca="1">IFERROR(__xludf.dummyfunction("VLOOKUP(J75, IMPORTRANGE(""https://docs.google.com/spreadsheets/d/1yDAaXNsi4Mr5FtRQL4tbmSdIzhx6_m4wkOD7IG-k_eo/edit#gid=1336395716"", ""Science!M:N""), 2, FALSE)"),"#N/A")</f>
        <v>#N/A</v>
      </c>
      <c r="L75" s="1" t="str">
        <f t="shared" si="13"/>
        <v>.002</v>
      </c>
      <c r="M75" s="1" t="str">
        <f ca="1">IFERROR(__xludf.dummyfunction("VLOOKUP(L75, IMPORTRANGE(""https://docs.google.com/spreadsheets/d/1yDAaXNsi4Mr5FtRQL4tbmSdIzhx6_m4wkOD7IG-k_eo/edit#gid=1336395716"", ""Science!M:N""), 2, FALSE)"),"#N/A")</f>
        <v>#N/A</v>
      </c>
      <c r="N75" s="1" t="str">
        <f t="shared" si="14"/>
        <v>.003</v>
      </c>
      <c r="O75" s="1" t="str">
        <f ca="1">IFERROR(__xludf.dummyfunction("VLOOKUP(N75, IMPORTRANGE(""https://docs.google.com/spreadsheets/d/1yDAaXNsi4Mr5FtRQL4tbmSdIzhx6_m4wkOD7IG-k_eo/edit#gid=1336395716"", ""Science!M:N""), 2, FALSE)"),"#N/A")</f>
        <v>#N/A</v>
      </c>
      <c r="P75" s="1" t="str">
        <f t="shared" si="15"/>
        <v>.004</v>
      </c>
      <c r="Q75" s="15" t="str">
        <f ca="1">IFERROR(__xludf.dummyfunction("VLOOKUP(P75, IMPORTRANGE(""https://docs.google.com/spreadsheets/d/1yDAaXNsi4Mr5FtRQL4tbmSdIzhx6_m4wkOD7IG-k_eo/edit#gid=1336395716"", ""Science!M:N""), 2, FALSE)"),"#N/A")</f>
        <v>#N/A</v>
      </c>
      <c r="R75" s="1" t="str">
        <f t="shared" si="16"/>
        <v>.005</v>
      </c>
      <c r="S75" s="15" t="str">
        <f ca="1">IFERROR(__xludf.dummyfunction("VLOOKUP(R75, IMPORTRANGE(""https://docs.google.com/spreadsheets/d/1yDAaXNsi4Mr5FtRQL4tbmSdIzhx6_m4wkOD7IG-k_eo/edit#gid=1336395716"", ""Science!M:N""), 2, FALSE)"),"#N/A")</f>
        <v>#N/A</v>
      </c>
      <c r="T75" s="1" t="str">
        <f t="shared" si="17"/>
        <v>.006</v>
      </c>
      <c r="U75" s="15" t="str">
        <f ca="1">IFERROR(__xludf.dummyfunction("VLOOKUP(T75, IMPORTRANGE(""https://docs.google.com/spreadsheets/d/1yDAaXNsi4Mr5FtRQL4tbmSdIzhx6_m4wkOD7IG-k_eo/edit#gid=1336395716"", ""Science!M:N""), 2, FALSE)"),"#N/A")</f>
        <v>#N/A</v>
      </c>
      <c r="V75" s="1"/>
      <c r="W75" s="1"/>
      <c r="X75" s="1"/>
      <c r="Y75" s="1"/>
      <c r="Z75" s="1"/>
      <c r="AA75" s="1"/>
      <c r="AB75" s="1"/>
      <c r="AC75" s="1"/>
      <c r="AD75" s="1"/>
      <c r="AE75" s="1"/>
      <c r="AF75" s="1"/>
      <c r="AG75" s="1"/>
    </row>
    <row r="76" spans="1:33" ht="13.8">
      <c r="A76" s="1"/>
      <c r="B76" s="1"/>
      <c r="C76" s="1"/>
      <c r="D76" s="1"/>
      <c r="E76" s="1"/>
      <c r="F76" s="1"/>
      <c r="G76" s="1"/>
      <c r="H76" s="1"/>
      <c r="I76" s="1"/>
      <c r="J76" s="1" t="str">
        <f t="shared" si="12"/>
        <v>.001</v>
      </c>
      <c r="K76" s="1" t="str">
        <f ca="1">IFERROR(__xludf.dummyfunction("VLOOKUP(J76, IMPORTRANGE(""https://docs.google.com/spreadsheets/d/1yDAaXNsi4Mr5FtRQL4tbmSdIzhx6_m4wkOD7IG-k_eo/edit#gid=1336395716"", ""Science!M:N""), 2, FALSE)"),"#N/A")</f>
        <v>#N/A</v>
      </c>
      <c r="L76" s="1" t="str">
        <f t="shared" si="13"/>
        <v>.002</v>
      </c>
      <c r="M76" s="1" t="str">
        <f ca="1">IFERROR(__xludf.dummyfunction("VLOOKUP(L76, IMPORTRANGE(""https://docs.google.com/spreadsheets/d/1yDAaXNsi4Mr5FtRQL4tbmSdIzhx6_m4wkOD7IG-k_eo/edit#gid=1336395716"", ""Science!M:N""), 2, FALSE)"),"#N/A")</f>
        <v>#N/A</v>
      </c>
      <c r="N76" s="1" t="str">
        <f t="shared" si="14"/>
        <v>.003</v>
      </c>
      <c r="O76" s="1" t="str">
        <f ca="1">IFERROR(__xludf.dummyfunction("VLOOKUP(N76, IMPORTRANGE(""https://docs.google.com/spreadsheets/d/1yDAaXNsi4Mr5FtRQL4tbmSdIzhx6_m4wkOD7IG-k_eo/edit#gid=1336395716"", ""Science!M:N""), 2, FALSE)"),"#N/A")</f>
        <v>#N/A</v>
      </c>
      <c r="P76" s="1" t="str">
        <f t="shared" si="15"/>
        <v>.004</v>
      </c>
      <c r="Q76" s="15" t="str">
        <f ca="1">IFERROR(__xludf.dummyfunction("VLOOKUP(P76, IMPORTRANGE(""https://docs.google.com/spreadsheets/d/1yDAaXNsi4Mr5FtRQL4tbmSdIzhx6_m4wkOD7IG-k_eo/edit#gid=1336395716"", ""Science!M:N""), 2, FALSE)"),"#N/A")</f>
        <v>#N/A</v>
      </c>
      <c r="R76" s="1" t="str">
        <f t="shared" si="16"/>
        <v>.005</v>
      </c>
      <c r="S76" s="15" t="str">
        <f ca="1">IFERROR(__xludf.dummyfunction("VLOOKUP(R76, IMPORTRANGE(""https://docs.google.com/spreadsheets/d/1yDAaXNsi4Mr5FtRQL4tbmSdIzhx6_m4wkOD7IG-k_eo/edit#gid=1336395716"", ""Science!M:N""), 2, FALSE)"),"#N/A")</f>
        <v>#N/A</v>
      </c>
      <c r="T76" s="1" t="str">
        <f t="shared" si="17"/>
        <v>.006</v>
      </c>
      <c r="U76" s="15" t="str">
        <f ca="1">IFERROR(__xludf.dummyfunction("VLOOKUP(T76, IMPORTRANGE(""https://docs.google.com/spreadsheets/d/1yDAaXNsi4Mr5FtRQL4tbmSdIzhx6_m4wkOD7IG-k_eo/edit#gid=1336395716"", ""Science!M:N""), 2, FALSE)"),"#N/A")</f>
        <v>#N/A</v>
      </c>
      <c r="V76" s="1"/>
      <c r="W76" s="1"/>
      <c r="X76" s="1"/>
      <c r="Y76" s="1"/>
      <c r="Z76" s="1"/>
      <c r="AA76" s="1"/>
      <c r="AB76" s="1"/>
      <c r="AC76" s="1"/>
      <c r="AD76" s="1"/>
      <c r="AE76" s="1"/>
      <c r="AF76" s="1"/>
      <c r="AG76" s="1"/>
    </row>
    <row r="77" spans="1:33" ht="13.8">
      <c r="A77" s="1"/>
      <c r="B77" s="1"/>
      <c r="C77" s="1"/>
      <c r="D77" s="1"/>
      <c r="E77" s="1"/>
      <c r="F77" s="1"/>
      <c r="G77" s="1"/>
      <c r="H77" s="1"/>
      <c r="I77" s="1"/>
      <c r="J77" s="1" t="str">
        <f t="shared" si="12"/>
        <v>.001</v>
      </c>
      <c r="K77" s="1" t="str">
        <f ca="1">IFERROR(__xludf.dummyfunction("VLOOKUP(J77, IMPORTRANGE(""https://docs.google.com/spreadsheets/d/1yDAaXNsi4Mr5FtRQL4tbmSdIzhx6_m4wkOD7IG-k_eo/edit#gid=1336395716"", ""Science!M:N""), 2, FALSE)"),"#N/A")</f>
        <v>#N/A</v>
      </c>
      <c r="L77" s="1" t="str">
        <f t="shared" si="13"/>
        <v>.002</v>
      </c>
      <c r="M77" s="1" t="str">
        <f ca="1">IFERROR(__xludf.dummyfunction("VLOOKUP(L77, IMPORTRANGE(""https://docs.google.com/spreadsheets/d/1yDAaXNsi4Mr5FtRQL4tbmSdIzhx6_m4wkOD7IG-k_eo/edit#gid=1336395716"", ""Science!M:N""), 2, FALSE)"),"#N/A")</f>
        <v>#N/A</v>
      </c>
      <c r="N77" s="1" t="str">
        <f t="shared" si="14"/>
        <v>.003</v>
      </c>
      <c r="O77" s="1" t="str">
        <f ca="1">IFERROR(__xludf.dummyfunction("VLOOKUP(N77, IMPORTRANGE(""https://docs.google.com/spreadsheets/d/1yDAaXNsi4Mr5FtRQL4tbmSdIzhx6_m4wkOD7IG-k_eo/edit#gid=1336395716"", ""Science!M:N""), 2, FALSE)"),"#N/A")</f>
        <v>#N/A</v>
      </c>
      <c r="P77" s="1" t="str">
        <f t="shared" si="15"/>
        <v>.004</v>
      </c>
      <c r="Q77" s="15" t="str">
        <f ca="1">IFERROR(__xludf.dummyfunction("VLOOKUP(P77, IMPORTRANGE(""https://docs.google.com/spreadsheets/d/1yDAaXNsi4Mr5FtRQL4tbmSdIzhx6_m4wkOD7IG-k_eo/edit#gid=1336395716"", ""Science!M:N""), 2, FALSE)"),"#N/A")</f>
        <v>#N/A</v>
      </c>
      <c r="R77" s="1" t="str">
        <f t="shared" si="16"/>
        <v>.005</v>
      </c>
      <c r="S77" s="15" t="str">
        <f ca="1">IFERROR(__xludf.dummyfunction("VLOOKUP(R77, IMPORTRANGE(""https://docs.google.com/spreadsheets/d/1yDAaXNsi4Mr5FtRQL4tbmSdIzhx6_m4wkOD7IG-k_eo/edit#gid=1336395716"", ""Science!M:N""), 2, FALSE)"),"#N/A")</f>
        <v>#N/A</v>
      </c>
      <c r="T77" s="1" t="str">
        <f t="shared" si="17"/>
        <v>.006</v>
      </c>
      <c r="U77" s="15" t="str">
        <f ca="1">IFERROR(__xludf.dummyfunction("VLOOKUP(T77, IMPORTRANGE(""https://docs.google.com/spreadsheets/d/1yDAaXNsi4Mr5FtRQL4tbmSdIzhx6_m4wkOD7IG-k_eo/edit#gid=1336395716"", ""Science!M:N""), 2, FALSE)"),"#N/A")</f>
        <v>#N/A</v>
      </c>
      <c r="V77" s="1"/>
      <c r="W77" s="1"/>
      <c r="X77" s="1"/>
      <c r="Y77" s="1"/>
      <c r="Z77" s="1"/>
      <c r="AA77" s="1"/>
      <c r="AB77" s="1"/>
      <c r="AC77" s="1"/>
      <c r="AD77" s="1"/>
      <c r="AE77" s="1"/>
      <c r="AF77" s="1"/>
      <c r="AG77" s="1"/>
    </row>
    <row r="78" spans="1:33" ht="13.8">
      <c r="A78" s="1"/>
      <c r="B78" s="1"/>
      <c r="C78" s="1"/>
      <c r="D78" s="1"/>
      <c r="E78" s="1"/>
      <c r="F78" s="1"/>
      <c r="G78" s="1"/>
      <c r="H78" s="1"/>
      <c r="I78" s="1"/>
      <c r="J78" s="1" t="str">
        <f t="shared" si="12"/>
        <v>.001</v>
      </c>
      <c r="K78" s="1" t="str">
        <f ca="1">IFERROR(__xludf.dummyfunction("VLOOKUP(J78, IMPORTRANGE(""https://docs.google.com/spreadsheets/d/1yDAaXNsi4Mr5FtRQL4tbmSdIzhx6_m4wkOD7IG-k_eo/edit#gid=1336395716"", ""Science!M:N""), 2, FALSE)"),"#N/A")</f>
        <v>#N/A</v>
      </c>
      <c r="L78" s="1" t="str">
        <f t="shared" si="13"/>
        <v>.002</v>
      </c>
      <c r="M78" s="1" t="str">
        <f ca="1">IFERROR(__xludf.dummyfunction("VLOOKUP(L78, IMPORTRANGE(""https://docs.google.com/spreadsheets/d/1yDAaXNsi4Mr5FtRQL4tbmSdIzhx6_m4wkOD7IG-k_eo/edit#gid=1336395716"", ""Science!M:N""), 2, FALSE)"),"#N/A")</f>
        <v>#N/A</v>
      </c>
      <c r="N78" s="1" t="str">
        <f t="shared" si="14"/>
        <v>.003</v>
      </c>
      <c r="O78" s="1" t="str">
        <f ca="1">IFERROR(__xludf.dummyfunction("VLOOKUP(N78, IMPORTRANGE(""https://docs.google.com/spreadsheets/d/1yDAaXNsi4Mr5FtRQL4tbmSdIzhx6_m4wkOD7IG-k_eo/edit#gid=1336395716"", ""Science!M:N""), 2, FALSE)"),"#N/A")</f>
        <v>#N/A</v>
      </c>
      <c r="P78" s="1" t="str">
        <f t="shared" si="15"/>
        <v>.004</v>
      </c>
      <c r="Q78" s="15" t="str">
        <f ca="1">IFERROR(__xludf.dummyfunction("VLOOKUP(P78, IMPORTRANGE(""https://docs.google.com/spreadsheets/d/1yDAaXNsi4Mr5FtRQL4tbmSdIzhx6_m4wkOD7IG-k_eo/edit#gid=1336395716"", ""Science!M:N""), 2, FALSE)"),"#N/A")</f>
        <v>#N/A</v>
      </c>
      <c r="R78" s="1" t="str">
        <f t="shared" si="16"/>
        <v>.005</v>
      </c>
      <c r="S78" s="15" t="str">
        <f ca="1">IFERROR(__xludf.dummyfunction("VLOOKUP(R78, IMPORTRANGE(""https://docs.google.com/spreadsheets/d/1yDAaXNsi4Mr5FtRQL4tbmSdIzhx6_m4wkOD7IG-k_eo/edit#gid=1336395716"", ""Science!M:N""), 2, FALSE)"),"#N/A")</f>
        <v>#N/A</v>
      </c>
      <c r="T78" s="1" t="str">
        <f t="shared" si="17"/>
        <v>.006</v>
      </c>
      <c r="U78" s="15" t="str">
        <f ca="1">IFERROR(__xludf.dummyfunction("VLOOKUP(T78, IMPORTRANGE(""https://docs.google.com/spreadsheets/d/1yDAaXNsi4Mr5FtRQL4tbmSdIzhx6_m4wkOD7IG-k_eo/edit#gid=1336395716"", ""Science!M:N""), 2, FALSE)"),"#N/A")</f>
        <v>#N/A</v>
      </c>
      <c r="V78" s="1"/>
      <c r="W78" s="1"/>
      <c r="X78" s="1"/>
      <c r="Y78" s="1"/>
      <c r="Z78" s="1"/>
      <c r="AA78" s="1"/>
      <c r="AB78" s="1"/>
      <c r="AC78" s="1"/>
      <c r="AD78" s="1"/>
      <c r="AE78" s="1"/>
      <c r="AF78" s="1"/>
      <c r="AG78" s="1"/>
    </row>
    <row r="79" spans="1:33" ht="13.8">
      <c r="A79" s="1"/>
      <c r="B79" s="1"/>
      <c r="C79" s="1"/>
      <c r="D79" s="1"/>
      <c r="E79" s="1"/>
      <c r="F79" s="1"/>
      <c r="G79" s="1"/>
      <c r="H79" s="1"/>
      <c r="I79" s="1"/>
      <c r="J79" s="1" t="str">
        <f t="shared" si="12"/>
        <v>.001</v>
      </c>
      <c r="K79" s="1" t="str">
        <f ca="1">IFERROR(__xludf.dummyfunction("VLOOKUP(J79, IMPORTRANGE(""https://docs.google.com/spreadsheets/d/1yDAaXNsi4Mr5FtRQL4tbmSdIzhx6_m4wkOD7IG-k_eo/edit#gid=1336395716"", ""Science!M:N""), 2, FALSE)"),"#N/A")</f>
        <v>#N/A</v>
      </c>
      <c r="L79" s="1" t="str">
        <f t="shared" si="13"/>
        <v>.002</v>
      </c>
      <c r="M79" s="1" t="str">
        <f ca="1">IFERROR(__xludf.dummyfunction("VLOOKUP(L79, IMPORTRANGE(""https://docs.google.com/spreadsheets/d/1yDAaXNsi4Mr5FtRQL4tbmSdIzhx6_m4wkOD7IG-k_eo/edit#gid=1336395716"", ""Science!M:N""), 2, FALSE)"),"#N/A")</f>
        <v>#N/A</v>
      </c>
      <c r="N79" s="1" t="str">
        <f t="shared" si="14"/>
        <v>.003</v>
      </c>
      <c r="O79" s="1" t="str">
        <f ca="1">IFERROR(__xludf.dummyfunction("VLOOKUP(N79, IMPORTRANGE(""https://docs.google.com/spreadsheets/d/1yDAaXNsi4Mr5FtRQL4tbmSdIzhx6_m4wkOD7IG-k_eo/edit#gid=1336395716"", ""Science!M:N""), 2, FALSE)"),"#N/A")</f>
        <v>#N/A</v>
      </c>
      <c r="P79" s="1" t="str">
        <f t="shared" si="15"/>
        <v>.004</v>
      </c>
      <c r="Q79" s="15" t="str">
        <f ca="1">IFERROR(__xludf.dummyfunction("VLOOKUP(P79, IMPORTRANGE(""https://docs.google.com/spreadsheets/d/1yDAaXNsi4Mr5FtRQL4tbmSdIzhx6_m4wkOD7IG-k_eo/edit#gid=1336395716"", ""Science!M:N""), 2, FALSE)"),"#N/A")</f>
        <v>#N/A</v>
      </c>
      <c r="R79" s="1" t="str">
        <f t="shared" si="16"/>
        <v>.005</v>
      </c>
      <c r="S79" s="15" t="str">
        <f ca="1">IFERROR(__xludf.dummyfunction("VLOOKUP(R79, IMPORTRANGE(""https://docs.google.com/spreadsheets/d/1yDAaXNsi4Mr5FtRQL4tbmSdIzhx6_m4wkOD7IG-k_eo/edit#gid=1336395716"", ""Science!M:N""), 2, FALSE)"),"#N/A")</f>
        <v>#N/A</v>
      </c>
      <c r="T79" s="1" t="str">
        <f t="shared" si="17"/>
        <v>.006</v>
      </c>
      <c r="U79" s="15" t="str">
        <f ca="1">IFERROR(__xludf.dummyfunction("VLOOKUP(T79, IMPORTRANGE(""https://docs.google.com/spreadsheets/d/1yDAaXNsi4Mr5FtRQL4tbmSdIzhx6_m4wkOD7IG-k_eo/edit#gid=1336395716"", ""Science!M:N""), 2, FALSE)"),"#N/A")</f>
        <v>#N/A</v>
      </c>
      <c r="V79" s="1"/>
      <c r="W79" s="1"/>
      <c r="X79" s="1"/>
      <c r="Y79" s="1"/>
      <c r="Z79" s="1"/>
      <c r="AA79" s="1"/>
      <c r="AB79" s="1"/>
      <c r="AC79" s="1"/>
      <c r="AD79" s="1"/>
      <c r="AE79" s="1"/>
      <c r="AF79" s="1"/>
      <c r="AG79" s="1"/>
    </row>
    <row r="80" spans="1:33" ht="13.8">
      <c r="A80" s="1"/>
      <c r="B80" s="1"/>
      <c r="C80" s="1"/>
      <c r="D80" s="1"/>
      <c r="E80" s="1"/>
      <c r="F80" s="1"/>
      <c r="G80" s="1"/>
      <c r="H80" s="1"/>
      <c r="I80" s="1"/>
      <c r="J80" s="1" t="str">
        <f t="shared" si="12"/>
        <v>.001</v>
      </c>
      <c r="K80" s="1" t="str">
        <f ca="1">IFERROR(__xludf.dummyfunction("VLOOKUP(J80, IMPORTRANGE(""https://docs.google.com/spreadsheets/d/1yDAaXNsi4Mr5FtRQL4tbmSdIzhx6_m4wkOD7IG-k_eo/edit#gid=1336395716"", ""Science!M:N""), 2, FALSE)"),"#N/A")</f>
        <v>#N/A</v>
      </c>
      <c r="L80" s="1" t="str">
        <f t="shared" si="13"/>
        <v>.002</v>
      </c>
      <c r="M80" s="1" t="str">
        <f ca="1">IFERROR(__xludf.dummyfunction("VLOOKUP(L80, IMPORTRANGE(""https://docs.google.com/spreadsheets/d/1yDAaXNsi4Mr5FtRQL4tbmSdIzhx6_m4wkOD7IG-k_eo/edit#gid=1336395716"", ""Science!M:N""), 2, FALSE)"),"#N/A")</f>
        <v>#N/A</v>
      </c>
      <c r="N80" s="1" t="str">
        <f t="shared" si="14"/>
        <v>.003</v>
      </c>
      <c r="O80" s="1" t="str">
        <f ca="1">IFERROR(__xludf.dummyfunction("VLOOKUP(N80, IMPORTRANGE(""https://docs.google.com/spreadsheets/d/1yDAaXNsi4Mr5FtRQL4tbmSdIzhx6_m4wkOD7IG-k_eo/edit#gid=1336395716"", ""Science!M:N""), 2, FALSE)"),"#N/A")</f>
        <v>#N/A</v>
      </c>
      <c r="P80" s="1" t="str">
        <f t="shared" si="15"/>
        <v>.004</v>
      </c>
      <c r="Q80" s="15" t="str">
        <f ca="1">IFERROR(__xludf.dummyfunction("VLOOKUP(P80, IMPORTRANGE(""https://docs.google.com/spreadsheets/d/1yDAaXNsi4Mr5FtRQL4tbmSdIzhx6_m4wkOD7IG-k_eo/edit#gid=1336395716"", ""Science!M:N""), 2, FALSE)"),"#N/A")</f>
        <v>#N/A</v>
      </c>
      <c r="R80" s="1" t="str">
        <f t="shared" si="16"/>
        <v>.005</v>
      </c>
      <c r="S80" s="15" t="str">
        <f ca="1">IFERROR(__xludf.dummyfunction("VLOOKUP(R80, IMPORTRANGE(""https://docs.google.com/spreadsheets/d/1yDAaXNsi4Mr5FtRQL4tbmSdIzhx6_m4wkOD7IG-k_eo/edit#gid=1336395716"", ""Science!M:N""), 2, FALSE)"),"#N/A")</f>
        <v>#N/A</v>
      </c>
      <c r="T80" s="1" t="str">
        <f t="shared" si="17"/>
        <v>.006</v>
      </c>
      <c r="U80" s="15" t="str">
        <f ca="1">IFERROR(__xludf.dummyfunction("VLOOKUP(T80, IMPORTRANGE(""https://docs.google.com/spreadsheets/d/1yDAaXNsi4Mr5FtRQL4tbmSdIzhx6_m4wkOD7IG-k_eo/edit#gid=1336395716"", ""Science!M:N""), 2, FALSE)"),"#N/A")</f>
        <v>#N/A</v>
      </c>
      <c r="V80" s="1"/>
      <c r="W80" s="1"/>
      <c r="X80" s="1"/>
      <c r="Y80" s="1"/>
      <c r="Z80" s="1"/>
      <c r="AA80" s="1"/>
      <c r="AB80" s="1"/>
      <c r="AC80" s="1"/>
      <c r="AD80" s="1"/>
      <c r="AE80" s="1"/>
      <c r="AF80" s="1"/>
      <c r="AG80" s="1"/>
    </row>
    <row r="81" spans="1:33" ht="13.8">
      <c r="A81" s="1"/>
      <c r="B81" s="1"/>
      <c r="C81" s="1"/>
      <c r="D81" s="1"/>
      <c r="E81" s="1"/>
      <c r="F81" s="1"/>
      <c r="G81" s="1"/>
      <c r="H81" s="1"/>
      <c r="I81" s="1"/>
      <c r="J81" s="1" t="str">
        <f t="shared" si="12"/>
        <v>.001</v>
      </c>
      <c r="K81" s="1" t="str">
        <f ca="1">IFERROR(__xludf.dummyfunction("VLOOKUP(J81, IMPORTRANGE(""https://docs.google.com/spreadsheets/d/1yDAaXNsi4Mr5FtRQL4tbmSdIzhx6_m4wkOD7IG-k_eo/edit#gid=1336395716"", ""Science!M:N""), 2, FALSE)"),"#N/A")</f>
        <v>#N/A</v>
      </c>
      <c r="L81" s="1" t="str">
        <f t="shared" si="13"/>
        <v>.002</v>
      </c>
      <c r="M81" s="1" t="str">
        <f ca="1">IFERROR(__xludf.dummyfunction("VLOOKUP(L81, IMPORTRANGE(""https://docs.google.com/spreadsheets/d/1yDAaXNsi4Mr5FtRQL4tbmSdIzhx6_m4wkOD7IG-k_eo/edit#gid=1336395716"", ""Science!M:N""), 2, FALSE)"),"#N/A")</f>
        <v>#N/A</v>
      </c>
      <c r="N81" s="1" t="str">
        <f t="shared" si="14"/>
        <v>.003</v>
      </c>
      <c r="O81" s="1" t="str">
        <f ca="1">IFERROR(__xludf.dummyfunction("VLOOKUP(N81, IMPORTRANGE(""https://docs.google.com/spreadsheets/d/1yDAaXNsi4Mr5FtRQL4tbmSdIzhx6_m4wkOD7IG-k_eo/edit#gid=1336395716"", ""Science!M:N""), 2, FALSE)"),"#N/A")</f>
        <v>#N/A</v>
      </c>
      <c r="P81" s="1" t="str">
        <f t="shared" si="15"/>
        <v>.004</v>
      </c>
      <c r="Q81" s="15" t="str">
        <f ca="1">IFERROR(__xludf.dummyfunction("VLOOKUP(P81, IMPORTRANGE(""https://docs.google.com/spreadsheets/d/1yDAaXNsi4Mr5FtRQL4tbmSdIzhx6_m4wkOD7IG-k_eo/edit#gid=1336395716"", ""Science!M:N""), 2, FALSE)"),"#N/A")</f>
        <v>#N/A</v>
      </c>
      <c r="R81" s="1" t="str">
        <f t="shared" si="16"/>
        <v>.005</v>
      </c>
      <c r="S81" s="15" t="str">
        <f ca="1">IFERROR(__xludf.dummyfunction("VLOOKUP(R81, IMPORTRANGE(""https://docs.google.com/spreadsheets/d/1yDAaXNsi4Mr5FtRQL4tbmSdIzhx6_m4wkOD7IG-k_eo/edit#gid=1336395716"", ""Science!M:N""), 2, FALSE)"),"#N/A")</f>
        <v>#N/A</v>
      </c>
      <c r="T81" s="1" t="str">
        <f t="shared" si="17"/>
        <v>.006</v>
      </c>
      <c r="U81" s="15" t="str">
        <f ca="1">IFERROR(__xludf.dummyfunction("VLOOKUP(T81, IMPORTRANGE(""https://docs.google.com/spreadsheets/d/1yDAaXNsi4Mr5FtRQL4tbmSdIzhx6_m4wkOD7IG-k_eo/edit#gid=1336395716"", ""Science!M:N""), 2, FALSE)"),"#N/A")</f>
        <v>#N/A</v>
      </c>
      <c r="V81" s="1"/>
      <c r="W81" s="1"/>
      <c r="X81" s="1"/>
      <c r="Y81" s="1"/>
      <c r="Z81" s="1"/>
      <c r="AA81" s="1"/>
      <c r="AB81" s="1"/>
      <c r="AC81" s="1"/>
      <c r="AD81" s="1"/>
      <c r="AE81" s="1"/>
      <c r="AF81" s="1"/>
      <c r="AG81" s="1"/>
    </row>
    <row r="82" spans="1:33" ht="13.8">
      <c r="A82" s="1"/>
      <c r="B82" s="1"/>
      <c r="C82" s="1"/>
      <c r="D82" s="1"/>
      <c r="E82" s="1"/>
      <c r="F82" s="1"/>
      <c r="G82" s="1"/>
      <c r="H82" s="1"/>
      <c r="I82" s="1"/>
      <c r="J82" s="1" t="str">
        <f t="shared" si="12"/>
        <v>.001</v>
      </c>
      <c r="K82" s="1" t="str">
        <f ca="1">IFERROR(__xludf.dummyfunction("VLOOKUP(J82, IMPORTRANGE(""https://docs.google.com/spreadsheets/d/1yDAaXNsi4Mr5FtRQL4tbmSdIzhx6_m4wkOD7IG-k_eo/edit#gid=1336395716"", ""Science!M:N""), 2, FALSE)"),"#N/A")</f>
        <v>#N/A</v>
      </c>
      <c r="L82" s="1" t="str">
        <f t="shared" si="13"/>
        <v>.002</v>
      </c>
      <c r="M82" s="1" t="str">
        <f ca="1">IFERROR(__xludf.dummyfunction("VLOOKUP(L82, IMPORTRANGE(""https://docs.google.com/spreadsheets/d/1yDAaXNsi4Mr5FtRQL4tbmSdIzhx6_m4wkOD7IG-k_eo/edit#gid=1336395716"", ""Science!M:N""), 2, FALSE)"),"#N/A")</f>
        <v>#N/A</v>
      </c>
      <c r="N82" s="1" t="str">
        <f t="shared" si="14"/>
        <v>.003</v>
      </c>
      <c r="O82" s="1" t="str">
        <f ca="1">IFERROR(__xludf.dummyfunction("VLOOKUP(N82, IMPORTRANGE(""https://docs.google.com/spreadsheets/d/1yDAaXNsi4Mr5FtRQL4tbmSdIzhx6_m4wkOD7IG-k_eo/edit#gid=1336395716"", ""Science!M:N""), 2, FALSE)"),"#N/A")</f>
        <v>#N/A</v>
      </c>
      <c r="P82" s="1" t="str">
        <f t="shared" si="15"/>
        <v>.004</v>
      </c>
      <c r="Q82" s="15" t="str">
        <f ca="1">IFERROR(__xludf.dummyfunction("VLOOKUP(P82, IMPORTRANGE(""https://docs.google.com/spreadsheets/d/1yDAaXNsi4Mr5FtRQL4tbmSdIzhx6_m4wkOD7IG-k_eo/edit#gid=1336395716"", ""Science!M:N""), 2, FALSE)"),"#N/A")</f>
        <v>#N/A</v>
      </c>
      <c r="R82" s="1" t="str">
        <f t="shared" si="16"/>
        <v>.005</v>
      </c>
      <c r="S82" s="15" t="str">
        <f ca="1">IFERROR(__xludf.dummyfunction("VLOOKUP(R82, IMPORTRANGE(""https://docs.google.com/spreadsheets/d/1yDAaXNsi4Mr5FtRQL4tbmSdIzhx6_m4wkOD7IG-k_eo/edit#gid=1336395716"", ""Science!M:N""), 2, FALSE)"),"#N/A")</f>
        <v>#N/A</v>
      </c>
      <c r="T82" s="1" t="str">
        <f t="shared" si="17"/>
        <v>.006</v>
      </c>
      <c r="U82" s="15" t="str">
        <f ca="1">IFERROR(__xludf.dummyfunction("VLOOKUP(T82, IMPORTRANGE(""https://docs.google.com/spreadsheets/d/1yDAaXNsi4Mr5FtRQL4tbmSdIzhx6_m4wkOD7IG-k_eo/edit#gid=1336395716"", ""Science!M:N""), 2, FALSE)"),"#N/A")</f>
        <v>#N/A</v>
      </c>
      <c r="V82" s="1"/>
      <c r="W82" s="1"/>
      <c r="X82" s="1"/>
      <c r="Y82" s="1"/>
      <c r="Z82" s="1"/>
      <c r="AA82" s="1"/>
      <c r="AB82" s="1"/>
      <c r="AC82" s="1"/>
      <c r="AD82" s="1"/>
      <c r="AE82" s="1"/>
      <c r="AF82" s="1"/>
      <c r="AG82" s="1"/>
    </row>
    <row r="83" spans="1:33" ht="13.8">
      <c r="A83" s="1"/>
      <c r="B83" s="1"/>
      <c r="C83" s="1"/>
      <c r="D83" s="1"/>
      <c r="E83" s="1"/>
      <c r="F83" s="1"/>
      <c r="G83" s="1"/>
      <c r="H83" s="1"/>
      <c r="I83" s="1"/>
      <c r="J83" s="1" t="str">
        <f t="shared" si="12"/>
        <v>.001</v>
      </c>
      <c r="K83" s="1" t="str">
        <f ca="1">IFERROR(__xludf.dummyfunction("VLOOKUP(J83, IMPORTRANGE(""https://docs.google.com/spreadsheets/d/1yDAaXNsi4Mr5FtRQL4tbmSdIzhx6_m4wkOD7IG-k_eo/edit#gid=1336395716"", ""Science!M:N""), 2, FALSE)"),"#N/A")</f>
        <v>#N/A</v>
      </c>
      <c r="L83" s="1" t="str">
        <f t="shared" si="13"/>
        <v>.002</v>
      </c>
      <c r="M83" s="1" t="str">
        <f ca="1">IFERROR(__xludf.dummyfunction("VLOOKUP(L83, IMPORTRANGE(""https://docs.google.com/spreadsheets/d/1yDAaXNsi4Mr5FtRQL4tbmSdIzhx6_m4wkOD7IG-k_eo/edit#gid=1336395716"", ""Science!M:N""), 2, FALSE)"),"#N/A")</f>
        <v>#N/A</v>
      </c>
      <c r="N83" s="1" t="str">
        <f t="shared" si="14"/>
        <v>.003</v>
      </c>
      <c r="O83" s="1" t="str">
        <f ca="1">IFERROR(__xludf.dummyfunction("VLOOKUP(N83, IMPORTRANGE(""https://docs.google.com/spreadsheets/d/1yDAaXNsi4Mr5FtRQL4tbmSdIzhx6_m4wkOD7IG-k_eo/edit#gid=1336395716"", ""Science!M:N""), 2, FALSE)"),"#N/A")</f>
        <v>#N/A</v>
      </c>
      <c r="P83" s="1" t="str">
        <f t="shared" si="15"/>
        <v>.004</v>
      </c>
      <c r="Q83" s="15" t="str">
        <f ca="1">IFERROR(__xludf.dummyfunction("VLOOKUP(P83, IMPORTRANGE(""https://docs.google.com/spreadsheets/d/1yDAaXNsi4Mr5FtRQL4tbmSdIzhx6_m4wkOD7IG-k_eo/edit#gid=1336395716"", ""Science!M:N""), 2, FALSE)"),"#N/A")</f>
        <v>#N/A</v>
      </c>
      <c r="R83" s="1" t="str">
        <f t="shared" si="16"/>
        <v>.005</v>
      </c>
      <c r="S83" s="15" t="str">
        <f ca="1">IFERROR(__xludf.dummyfunction("VLOOKUP(R83, IMPORTRANGE(""https://docs.google.com/spreadsheets/d/1yDAaXNsi4Mr5FtRQL4tbmSdIzhx6_m4wkOD7IG-k_eo/edit#gid=1336395716"", ""Science!M:N""), 2, FALSE)"),"#N/A")</f>
        <v>#N/A</v>
      </c>
      <c r="T83" s="1" t="str">
        <f t="shared" si="17"/>
        <v>.006</v>
      </c>
      <c r="U83" s="15" t="str">
        <f ca="1">IFERROR(__xludf.dummyfunction("VLOOKUP(T83, IMPORTRANGE(""https://docs.google.com/spreadsheets/d/1yDAaXNsi4Mr5FtRQL4tbmSdIzhx6_m4wkOD7IG-k_eo/edit#gid=1336395716"", ""Science!M:N""), 2, FALSE)"),"#N/A")</f>
        <v>#N/A</v>
      </c>
      <c r="V83" s="1"/>
      <c r="W83" s="1"/>
      <c r="X83" s="1"/>
      <c r="Y83" s="1"/>
      <c r="Z83" s="1"/>
      <c r="AA83" s="1"/>
      <c r="AB83" s="1"/>
      <c r="AC83" s="1"/>
      <c r="AD83" s="1"/>
      <c r="AE83" s="1"/>
      <c r="AF83" s="1"/>
      <c r="AG83" s="1"/>
    </row>
    <row r="84" spans="1:33" ht="13.8">
      <c r="A84" s="1"/>
      <c r="B84" s="1"/>
      <c r="C84" s="1"/>
      <c r="D84" s="1"/>
      <c r="E84" s="1"/>
      <c r="F84" s="1"/>
      <c r="G84" s="1"/>
      <c r="H84" s="1"/>
      <c r="I84" s="1"/>
      <c r="J84" s="1" t="str">
        <f t="shared" si="12"/>
        <v>.001</v>
      </c>
      <c r="K84" s="1" t="str">
        <f ca="1">IFERROR(__xludf.dummyfunction("VLOOKUP(J84, IMPORTRANGE(""https://docs.google.com/spreadsheets/d/1yDAaXNsi4Mr5FtRQL4tbmSdIzhx6_m4wkOD7IG-k_eo/edit#gid=1336395716"", ""Science!M:N""), 2, FALSE)"),"#N/A")</f>
        <v>#N/A</v>
      </c>
      <c r="L84" s="1" t="str">
        <f t="shared" si="13"/>
        <v>.002</v>
      </c>
      <c r="M84" s="1" t="str">
        <f ca="1">IFERROR(__xludf.dummyfunction("VLOOKUP(L84, IMPORTRANGE(""https://docs.google.com/spreadsheets/d/1yDAaXNsi4Mr5FtRQL4tbmSdIzhx6_m4wkOD7IG-k_eo/edit#gid=1336395716"", ""Science!M:N""), 2, FALSE)"),"#N/A")</f>
        <v>#N/A</v>
      </c>
      <c r="N84" s="1" t="str">
        <f t="shared" si="14"/>
        <v>.003</v>
      </c>
      <c r="O84" s="1" t="str">
        <f ca="1">IFERROR(__xludf.dummyfunction("VLOOKUP(N84, IMPORTRANGE(""https://docs.google.com/spreadsheets/d/1yDAaXNsi4Mr5FtRQL4tbmSdIzhx6_m4wkOD7IG-k_eo/edit#gid=1336395716"", ""Science!M:N""), 2, FALSE)"),"#N/A")</f>
        <v>#N/A</v>
      </c>
      <c r="P84" s="1" t="str">
        <f t="shared" si="15"/>
        <v>.004</v>
      </c>
      <c r="Q84" s="15" t="str">
        <f ca="1">IFERROR(__xludf.dummyfunction("VLOOKUP(P84, IMPORTRANGE(""https://docs.google.com/spreadsheets/d/1yDAaXNsi4Mr5FtRQL4tbmSdIzhx6_m4wkOD7IG-k_eo/edit#gid=1336395716"", ""Science!M:N""), 2, FALSE)"),"#N/A")</f>
        <v>#N/A</v>
      </c>
      <c r="R84" s="1" t="str">
        <f t="shared" si="16"/>
        <v>.005</v>
      </c>
      <c r="S84" s="15" t="str">
        <f ca="1">IFERROR(__xludf.dummyfunction("VLOOKUP(R84, IMPORTRANGE(""https://docs.google.com/spreadsheets/d/1yDAaXNsi4Mr5FtRQL4tbmSdIzhx6_m4wkOD7IG-k_eo/edit#gid=1336395716"", ""Science!M:N""), 2, FALSE)"),"#N/A")</f>
        <v>#N/A</v>
      </c>
      <c r="T84" s="1" t="str">
        <f t="shared" si="17"/>
        <v>.006</v>
      </c>
      <c r="U84" s="15" t="str">
        <f ca="1">IFERROR(__xludf.dummyfunction("VLOOKUP(T84, IMPORTRANGE(""https://docs.google.com/spreadsheets/d/1yDAaXNsi4Mr5FtRQL4tbmSdIzhx6_m4wkOD7IG-k_eo/edit#gid=1336395716"", ""Science!M:N""), 2, FALSE)"),"#N/A")</f>
        <v>#N/A</v>
      </c>
      <c r="V84" s="1"/>
      <c r="W84" s="1"/>
      <c r="X84" s="1"/>
      <c r="Y84" s="1"/>
      <c r="Z84" s="1"/>
      <c r="AA84" s="1"/>
      <c r="AB84" s="1"/>
      <c r="AC84" s="1"/>
      <c r="AD84" s="1"/>
      <c r="AE84" s="1"/>
      <c r="AF84" s="1"/>
      <c r="AG84" s="1"/>
    </row>
    <row r="85" spans="1:33" ht="13.8">
      <c r="A85" s="1"/>
      <c r="B85" s="1"/>
      <c r="C85" s="1"/>
      <c r="D85" s="1"/>
      <c r="E85" s="1"/>
      <c r="F85" s="1"/>
      <c r="G85" s="1"/>
      <c r="H85" s="1"/>
      <c r="I85" s="1"/>
      <c r="J85" s="1" t="str">
        <f t="shared" si="12"/>
        <v>.001</v>
      </c>
      <c r="K85" s="1" t="str">
        <f ca="1">IFERROR(__xludf.dummyfunction("VLOOKUP(J85, IMPORTRANGE(""https://docs.google.com/spreadsheets/d/1yDAaXNsi4Mr5FtRQL4tbmSdIzhx6_m4wkOD7IG-k_eo/edit#gid=1336395716"", ""Science!M:N""), 2, FALSE)"),"#N/A")</f>
        <v>#N/A</v>
      </c>
      <c r="L85" s="1" t="str">
        <f t="shared" si="13"/>
        <v>.002</v>
      </c>
      <c r="M85" s="1" t="str">
        <f ca="1">IFERROR(__xludf.dummyfunction("VLOOKUP(L85, IMPORTRANGE(""https://docs.google.com/spreadsheets/d/1yDAaXNsi4Mr5FtRQL4tbmSdIzhx6_m4wkOD7IG-k_eo/edit#gid=1336395716"", ""Science!M:N""), 2, FALSE)"),"#N/A")</f>
        <v>#N/A</v>
      </c>
      <c r="N85" s="1" t="str">
        <f t="shared" si="14"/>
        <v>.003</v>
      </c>
      <c r="O85" s="1" t="str">
        <f ca="1">IFERROR(__xludf.dummyfunction("VLOOKUP(N85, IMPORTRANGE(""https://docs.google.com/spreadsheets/d/1yDAaXNsi4Mr5FtRQL4tbmSdIzhx6_m4wkOD7IG-k_eo/edit#gid=1336395716"", ""Science!M:N""), 2, FALSE)"),"#N/A")</f>
        <v>#N/A</v>
      </c>
      <c r="P85" s="1" t="str">
        <f t="shared" si="15"/>
        <v>.004</v>
      </c>
      <c r="Q85" s="15" t="str">
        <f ca="1">IFERROR(__xludf.dummyfunction("VLOOKUP(P85, IMPORTRANGE(""https://docs.google.com/spreadsheets/d/1yDAaXNsi4Mr5FtRQL4tbmSdIzhx6_m4wkOD7IG-k_eo/edit#gid=1336395716"", ""Science!M:N""), 2, FALSE)"),"#N/A")</f>
        <v>#N/A</v>
      </c>
      <c r="R85" s="1" t="str">
        <f t="shared" si="16"/>
        <v>.005</v>
      </c>
      <c r="S85" s="15" t="str">
        <f ca="1">IFERROR(__xludf.dummyfunction("VLOOKUP(R85, IMPORTRANGE(""https://docs.google.com/spreadsheets/d/1yDAaXNsi4Mr5FtRQL4tbmSdIzhx6_m4wkOD7IG-k_eo/edit#gid=1336395716"", ""Science!M:N""), 2, FALSE)"),"#N/A")</f>
        <v>#N/A</v>
      </c>
      <c r="T85" s="1" t="str">
        <f t="shared" si="17"/>
        <v>.006</v>
      </c>
      <c r="U85" s="15" t="str">
        <f ca="1">IFERROR(__xludf.dummyfunction("VLOOKUP(T85, IMPORTRANGE(""https://docs.google.com/spreadsheets/d/1yDAaXNsi4Mr5FtRQL4tbmSdIzhx6_m4wkOD7IG-k_eo/edit#gid=1336395716"", ""Science!M:N""), 2, FALSE)"),"#N/A")</f>
        <v>#N/A</v>
      </c>
      <c r="V85" s="1"/>
      <c r="W85" s="1"/>
      <c r="X85" s="1"/>
      <c r="Y85" s="1"/>
      <c r="Z85" s="1"/>
      <c r="AA85" s="1"/>
      <c r="AB85" s="1"/>
      <c r="AC85" s="1"/>
      <c r="AD85" s="1"/>
      <c r="AE85" s="1"/>
      <c r="AF85" s="1"/>
      <c r="AG85" s="1"/>
    </row>
    <row r="86" spans="1:33" ht="13.8">
      <c r="A86" s="1"/>
      <c r="B86" s="1"/>
      <c r="C86" s="1"/>
      <c r="D86" s="1"/>
      <c r="E86" s="1"/>
      <c r="F86" s="1"/>
      <c r="G86" s="1"/>
      <c r="H86" s="1"/>
      <c r="I86" s="1"/>
      <c r="J86" s="1" t="str">
        <f t="shared" si="12"/>
        <v>.001</v>
      </c>
      <c r="K86" s="1" t="str">
        <f ca="1">IFERROR(__xludf.dummyfunction("VLOOKUP(J86, IMPORTRANGE(""https://docs.google.com/spreadsheets/d/1yDAaXNsi4Mr5FtRQL4tbmSdIzhx6_m4wkOD7IG-k_eo/edit#gid=1336395716"", ""Science!M:N""), 2, FALSE)"),"#N/A")</f>
        <v>#N/A</v>
      </c>
      <c r="L86" s="1" t="str">
        <f t="shared" si="13"/>
        <v>.002</v>
      </c>
      <c r="M86" s="1" t="str">
        <f ca="1">IFERROR(__xludf.dummyfunction("VLOOKUP(L86, IMPORTRANGE(""https://docs.google.com/spreadsheets/d/1yDAaXNsi4Mr5FtRQL4tbmSdIzhx6_m4wkOD7IG-k_eo/edit#gid=1336395716"", ""Science!M:N""), 2, FALSE)"),"#N/A")</f>
        <v>#N/A</v>
      </c>
      <c r="N86" s="1" t="str">
        <f t="shared" si="14"/>
        <v>.003</v>
      </c>
      <c r="O86" s="1" t="str">
        <f ca="1">IFERROR(__xludf.dummyfunction("VLOOKUP(N86, IMPORTRANGE(""https://docs.google.com/spreadsheets/d/1yDAaXNsi4Mr5FtRQL4tbmSdIzhx6_m4wkOD7IG-k_eo/edit#gid=1336395716"", ""Science!M:N""), 2, FALSE)"),"#N/A")</f>
        <v>#N/A</v>
      </c>
      <c r="P86" s="1" t="str">
        <f t="shared" si="15"/>
        <v>.004</v>
      </c>
      <c r="Q86" s="15" t="str">
        <f ca="1">IFERROR(__xludf.dummyfunction("VLOOKUP(P86, IMPORTRANGE(""https://docs.google.com/spreadsheets/d/1yDAaXNsi4Mr5FtRQL4tbmSdIzhx6_m4wkOD7IG-k_eo/edit#gid=1336395716"", ""Science!M:N""), 2, FALSE)"),"#N/A")</f>
        <v>#N/A</v>
      </c>
      <c r="R86" s="1" t="str">
        <f t="shared" si="16"/>
        <v>.005</v>
      </c>
      <c r="S86" s="15" t="str">
        <f ca="1">IFERROR(__xludf.dummyfunction("VLOOKUP(R86, IMPORTRANGE(""https://docs.google.com/spreadsheets/d/1yDAaXNsi4Mr5FtRQL4tbmSdIzhx6_m4wkOD7IG-k_eo/edit#gid=1336395716"", ""Science!M:N""), 2, FALSE)"),"#N/A")</f>
        <v>#N/A</v>
      </c>
      <c r="T86" s="1" t="str">
        <f t="shared" si="17"/>
        <v>.006</v>
      </c>
      <c r="U86" s="15" t="str">
        <f ca="1">IFERROR(__xludf.dummyfunction("VLOOKUP(T86, IMPORTRANGE(""https://docs.google.com/spreadsheets/d/1yDAaXNsi4Mr5FtRQL4tbmSdIzhx6_m4wkOD7IG-k_eo/edit#gid=1336395716"", ""Science!M:N""), 2, FALSE)"),"#N/A")</f>
        <v>#N/A</v>
      </c>
      <c r="V86" s="1"/>
      <c r="W86" s="1"/>
      <c r="X86" s="1"/>
      <c r="Y86" s="1"/>
      <c r="Z86" s="1"/>
      <c r="AA86" s="1"/>
      <c r="AB86" s="1"/>
      <c r="AC86" s="1"/>
      <c r="AD86" s="1"/>
      <c r="AE86" s="1"/>
      <c r="AF86" s="1"/>
      <c r="AG86" s="1"/>
    </row>
    <row r="87" spans="1:33" ht="13.8">
      <c r="A87" s="1"/>
      <c r="B87" s="1"/>
      <c r="C87" s="1"/>
      <c r="D87" s="1"/>
      <c r="E87" s="1"/>
      <c r="F87" s="1"/>
      <c r="G87" s="1"/>
      <c r="H87" s="1"/>
      <c r="I87" s="1"/>
      <c r="J87" s="1" t="str">
        <f t="shared" si="12"/>
        <v>.001</v>
      </c>
      <c r="K87" s="1" t="str">
        <f ca="1">IFERROR(__xludf.dummyfunction("VLOOKUP(J87, IMPORTRANGE(""https://docs.google.com/spreadsheets/d/1yDAaXNsi4Mr5FtRQL4tbmSdIzhx6_m4wkOD7IG-k_eo/edit#gid=1336395716"", ""Science!M:N""), 2, FALSE)"),"#N/A")</f>
        <v>#N/A</v>
      </c>
      <c r="L87" s="1" t="str">
        <f t="shared" si="13"/>
        <v>.002</v>
      </c>
      <c r="M87" s="1" t="str">
        <f ca="1">IFERROR(__xludf.dummyfunction("VLOOKUP(L87, IMPORTRANGE(""https://docs.google.com/spreadsheets/d/1yDAaXNsi4Mr5FtRQL4tbmSdIzhx6_m4wkOD7IG-k_eo/edit#gid=1336395716"", ""Science!M:N""), 2, FALSE)"),"#N/A")</f>
        <v>#N/A</v>
      </c>
      <c r="N87" s="1" t="str">
        <f t="shared" si="14"/>
        <v>.003</v>
      </c>
      <c r="O87" s="1" t="str">
        <f ca="1">IFERROR(__xludf.dummyfunction("VLOOKUP(N87, IMPORTRANGE(""https://docs.google.com/spreadsheets/d/1yDAaXNsi4Mr5FtRQL4tbmSdIzhx6_m4wkOD7IG-k_eo/edit#gid=1336395716"", ""Science!M:N""), 2, FALSE)"),"#N/A")</f>
        <v>#N/A</v>
      </c>
      <c r="P87" s="1" t="str">
        <f t="shared" si="15"/>
        <v>.004</v>
      </c>
      <c r="Q87" s="15" t="str">
        <f ca="1">IFERROR(__xludf.dummyfunction("VLOOKUP(P87, IMPORTRANGE(""https://docs.google.com/spreadsheets/d/1yDAaXNsi4Mr5FtRQL4tbmSdIzhx6_m4wkOD7IG-k_eo/edit#gid=1336395716"", ""Science!M:N""), 2, FALSE)"),"#N/A")</f>
        <v>#N/A</v>
      </c>
      <c r="R87" s="1" t="str">
        <f t="shared" si="16"/>
        <v>.005</v>
      </c>
      <c r="S87" s="15" t="str">
        <f ca="1">IFERROR(__xludf.dummyfunction("VLOOKUP(R87, IMPORTRANGE(""https://docs.google.com/spreadsheets/d/1yDAaXNsi4Mr5FtRQL4tbmSdIzhx6_m4wkOD7IG-k_eo/edit#gid=1336395716"", ""Science!M:N""), 2, FALSE)"),"#N/A")</f>
        <v>#N/A</v>
      </c>
      <c r="T87" s="1" t="str">
        <f t="shared" si="17"/>
        <v>.006</v>
      </c>
      <c r="U87" s="15" t="str">
        <f ca="1">IFERROR(__xludf.dummyfunction("VLOOKUP(T87, IMPORTRANGE(""https://docs.google.com/spreadsheets/d/1yDAaXNsi4Mr5FtRQL4tbmSdIzhx6_m4wkOD7IG-k_eo/edit#gid=1336395716"", ""Science!M:N""), 2, FALSE)"),"#N/A")</f>
        <v>#N/A</v>
      </c>
      <c r="V87" s="1"/>
      <c r="W87" s="1"/>
      <c r="X87" s="1"/>
      <c r="Y87" s="1"/>
      <c r="Z87" s="1"/>
      <c r="AA87" s="1"/>
      <c r="AB87" s="1"/>
      <c r="AC87" s="1"/>
      <c r="AD87" s="1"/>
      <c r="AE87" s="1"/>
      <c r="AF87" s="1"/>
      <c r="AG87" s="1"/>
    </row>
    <row r="88" spans="1:33" ht="13.8">
      <c r="A88" s="1"/>
      <c r="B88" s="1"/>
      <c r="C88" s="1"/>
      <c r="D88" s="1"/>
      <c r="E88" s="1"/>
      <c r="F88" s="1"/>
      <c r="G88" s="1"/>
      <c r="H88" s="1"/>
      <c r="I88" s="1"/>
      <c r="J88" s="1" t="str">
        <f t="shared" si="12"/>
        <v>.001</v>
      </c>
      <c r="K88" s="1" t="str">
        <f ca="1">IFERROR(__xludf.dummyfunction("VLOOKUP(J88, IMPORTRANGE(""https://docs.google.com/spreadsheets/d/1yDAaXNsi4Mr5FtRQL4tbmSdIzhx6_m4wkOD7IG-k_eo/edit#gid=1336395716"", ""Science!M:N""), 2, FALSE)"),"#N/A")</f>
        <v>#N/A</v>
      </c>
      <c r="L88" s="1" t="str">
        <f t="shared" si="13"/>
        <v>.002</v>
      </c>
      <c r="M88" s="1" t="str">
        <f ca="1">IFERROR(__xludf.dummyfunction("VLOOKUP(L88, IMPORTRANGE(""https://docs.google.com/spreadsheets/d/1yDAaXNsi4Mr5FtRQL4tbmSdIzhx6_m4wkOD7IG-k_eo/edit#gid=1336395716"", ""Science!M:N""), 2, FALSE)"),"#N/A")</f>
        <v>#N/A</v>
      </c>
      <c r="N88" s="1" t="str">
        <f t="shared" si="14"/>
        <v>.003</v>
      </c>
      <c r="O88" s="1" t="str">
        <f ca="1">IFERROR(__xludf.dummyfunction("VLOOKUP(N88, IMPORTRANGE(""https://docs.google.com/spreadsheets/d/1yDAaXNsi4Mr5FtRQL4tbmSdIzhx6_m4wkOD7IG-k_eo/edit#gid=1336395716"", ""Science!M:N""), 2, FALSE)"),"#N/A")</f>
        <v>#N/A</v>
      </c>
      <c r="P88" s="1" t="str">
        <f t="shared" si="15"/>
        <v>.004</v>
      </c>
      <c r="Q88" s="15" t="str">
        <f ca="1">IFERROR(__xludf.dummyfunction("VLOOKUP(P88, IMPORTRANGE(""https://docs.google.com/spreadsheets/d/1yDAaXNsi4Mr5FtRQL4tbmSdIzhx6_m4wkOD7IG-k_eo/edit#gid=1336395716"", ""Science!M:N""), 2, FALSE)"),"#N/A")</f>
        <v>#N/A</v>
      </c>
      <c r="R88" s="1" t="str">
        <f t="shared" si="16"/>
        <v>.005</v>
      </c>
      <c r="S88" s="15" t="str">
        <f ca="1">IFERROR(__xludf.dummyfunction("VLOOKUP(R88, IMPORTRANGE(""https://docs.google.com/spreadsheets/d/1yDAaXNsi4Mr5FtRQL4tbmSdIzhx6_m4wkOD7IG-k_eo/edit#gid=1336395716"", ""Science!M:N""), 2, FALSE)"),"#N/A")</f>
        <v>#N/A</v>
      </c>
      <c r="T88" s="1" t="str">
        <f t="shared" si="17"/>
        <v>.006</v>
      </c>
      <c r="U88" s="15" t="str">
        <f ca="1">IFERROR(__xludf.dummyfunction("VLOOKUP(T88, IMPORTRANGE(""https://docs.google.com/spreadsheets/d/1yDAaXNsi4Mr5FtRQL4tbmSdIzhx6_m4wkOD7IG-k_eo/edit#gid=1336395716"", ""Science!M:N""), 2, FALSE)"),"#N/A")</f>
        <v>#N/A</v>
      </c>
      <c r="V88" s="1"/>
      <c r="W88" s="1"/>
      <c r="X88" s="1"/>
      <c r="Y88" s="1"/>
      <c r="Z88" s="1"/>
      <c r="AA88" s="1"/>
      <c r="AB88" s="1"/>
      <c r="AC88" s="1"/>
      <c r="AD88" s="1"/>
      <c r="AE88" s="1"/>
      <c r="AF88" s="1"/>
      <c r="AG88" s="1"/>
    </row>
    <row r="89" spans="1:33" ht="13.8">
      <c r="A89" s="1"/>
      <c r="B89" s="1"/>
      <c r="C89" s="1"/>
      <c r="D89" s="1"/>
      <c r="E89" s="1"/>
      <c r="F89" s="1"/>
      <c r="G89" s="1"/>
      <c r="H89" s="1"/>
      <c r="I89" s="1"/>
      <c r="J89" s="1" t="str">
        <f t="shared" si="12"/>
        <v>.001</v>
      </c>
      <c r="K89" s="1" t="str">
        <f ca="1">IFERROR(__xludf.dummyfunction("VLOOKUP(J89, IMPORTRANGE(""https://docs.google.com/spreadsheets/d/1yDAaXNsi4Mr5FtRQL4tbmSdIzhx6_m4wkOD7IG-k_eo/edit#gid=1336395716"", ""Science!M:N""), 2, FALSE)"),"#N/A")</f>
        <v>#N/A</v>
      </c>
      <c r="L89" s="1" t="str">
        <f t="shared" si="13"/>
        <v>.002</v>
      </c>
      <c r="M89" s="1" t="str">
        <f ca="1">IFERROR(__xludf.dummyfunction("VLOOKUP(L89, IMPORTRANGE(""https://docs.google.com/spreadsheets/d/1yDAaXNsi4Mr5FtRQL4tbmSdIzhx6_m4wkOD7IG-k_eo/edit#gid=1336395716"", ""Science!M:N""), 2, FALSE)"),"#N/A")</f>
        <v>#N/A</v>
      </c>
      <c r="N89" s="1" t="str">
        <f t="shared" si="14"/>
        <v>.003</v>
      </c>
      <c r="O89" s="1" t="str">
        <f ca="1">IFERROR(__xludf.dummyfunction("VLOOKUP(N89, IMPORTRANGE(""https://docs.google.com/spreadsheets/d/1yDAaXNsi4Mr5FtRQL4tbmSdIzhx6_m4wkOD7IG-k_eo/edit#gid=1336395716"", ""Science!M:N""), 2, FALSE)"),"#N/A")</f>
        <v>#N/A</v>
      </c>
      <c r="P89" s="1" t="str">
        <f t="shared" si="15"/>
        <v>.004</v>
      </c>
      <c r="Q89" s="15" t="str">
        <f ca="1">IFERROR(__xludf.dummyfunction("VLOOKUP(P89, IMPORTRANGE(""https://docs.google.com/spreadsheets/d/1yDAaXNsi4Mr5FtRQL4tbmSdIzhx6_m4wkOD7IG-k_eo/edit#gid=1336395716"", ""Science!M:N""), 2, FALSE)"),"#N/A")</f>
        <v>#N/A</v>
      </c>
      <c r="R89" s="1" t="str">
        <f t="shared" si="16"/>
        <v>.005</v>
      </c>
      <c r="S89" s="15" t="str">
        <f ca="1">IFERROR(__xludf.dummyfunction("VLOOKUP(R89, IMPORTRANGE(""https://docs.google.com/spreadsheets/d/1yDAaXNsi4Mr5FtRQL4tbmSdIzhx6_m4wkOD7IG-k_eo/edit#gid=1336395716"", ""Science!M:N""), 2, FALSE)"),"#N/A")</f>
        <v>#N/A</v>
      </c>
      <c r="T89" s="1" t="str">
        <f t="shared" si="17"/>
        <v>.006</v>
      </c>
      <c r="U89" s="15" t="str">
        <f ca="1">IFERROR(__xludf.dummyfunction("VLOOKUP(T89, IMPORTRANGE(""https://docs.google.com/spreadsheets/d/1yDAaXNsi4Mr5FtRQL4tbmSdIzhx6_m4wkOD7IG-k_eo/edit#gid=1336395716"", ""Science!M:N""), 2, FALSE)"),"#N/A")</f>
        <v>#N/A</v>
      </c>
      <c r="V89" s="1"/>
      <c r="W89" s="1"/>
      <c r="X89" s="1"/>
      <c r="Y89" s="1"/>
      <c r="Z89" s="1"/>
      <c r="AA89" s="1"/>
      <c r="AB89" s="1"/>
      <c r="AC89" s="1"/>
      <c r="AD89" s="1"/>
      <c r="AE89" s="1"/>
      <c r="AF89" s="1"/>
      <c r="AG89" s="1"/>
    </row>
    <row r="90" spans="1:33" ht="13.8">
      <c r="A90" s="1"/>
      <c r="B90" s="1"/>
      <c r="C90" s="1"/>
      <c r="D90" s="1"/>
      <c r="E90" s="1"/>
      <c r="F90" s="1"/>
      <c r="G90" s="1"/>
      <c r="H90" s="1"/>
      <c r="I90" s="1"/>
      <c r="J90" s="1" t="str">
        <f t="shared" si="12"/>
        <v>.001</v>
      </c>
      <c r="K90" s="1" t="str">
        <f ca="1">IFERROR(__xludf.dummyfunction("VLOOKUP(J90, IMPORTRANGE(""https://docs.google.com/spreadsheets/d/1yDAaXNsi4Mr5FtRQL4tbmSdIzhx6_m4wkOD7IG-k_eo/edit#gid=1336395716"", ""Science!M:N""), 2, FALSE)"),"#N/A")</f>
        <v>#N/A</v>
      </c>
      <c r="L90" s="1" t="str">
        <f t="shared" si="13"/>
        <v>.002</v>
      </c>
      <c r="M90" s="1" t="str">
        <f ca="1">IFERROR(__xludf.dummyfunction("VLOOKUP(L90, IMPORTRANGE(""https://docs.google.com/spreadsheets/d/1yDAaXNsi4Mr5FtRQL4tbmSdIzhx6_m4wkOD7IG-k_eo/edit#gid=1336395716"", ""Science!M:N""), 2, FALSE)"),"#N/A")</f>
        <v>#N/A</v>
      </c>
      <c r="N90" s="1" t="str">
        <f t="shared" si="14"/>
        <v>.003</v>
      </c>
      <c r="O90" s="1" t="str">
        <f ca="1">IFERROR(__xludf.dummyfunction("VLOOKUP(N90, IMPORTRANGE(""https://docs.google.com/spreadsheets/d/1yDAaXNsi4Mr5FtRQL4tbmSdIzhx6_m4wkOD7IG-k_eo/edit#gid=1336395716"", ""Science!M:N""), 2, FALSE)"),"#N/A")</f>
        <v>#N/A</v>
      </c>
      <c r="P90" s="1" t="str">
        <f t="shared" si="15"/>
        <v>.004</v>
      </c>
      <c r="Q90" s="15" t="str">
        <f ca="1">IFERROR(__xludf.dummyfunction("VLOOKUP(P90, IMPORTRANGE(""https://docs.google.com/spreadsheets/d/1yDAaXNsi4Mr5FtRQL4tbmSdIzhx6_m4wkOD7IG-k_eo/edit#gid=1336395716"", ""Science!M:N""), 2, FALSE)"),"#N/A")</f>
        <v>#N/A</v>
      </c>
      <c r="R90" s="1" t="str">
        <f t="shared" si="16"/>
        <v>.005</v>
      </c>
      <c r="S90" s="15" t="str">
        <f ca="1">IFERROR(__xludf.dummyfunction("VLOOKUP(R90, IMPORTRANGE(""https://docs.google.com/spreadsheets/d/1yDAaXNsi4Mr5FtRQL4tbmSdIzhx6_m4wkOD7IG-k_eo/edit#gid=1336395716"", ""Science!M:N""), 2, FALSE)"),"#N/A")</f>
        <v>#N/A</v>
      </c>
      <c r="T90" s="1" t="str">
        <f t="shared" si="17"/>
        <v>.006</v>
      </c>
      <c r="U90" s="15" t="str">
        <f ca="1">IFERROR(__xludf.dummyfunction("VLOOKUP(T90, IMPORTRANGE(""https://docs.google.com/spreadsheets/d/1yDAaXNsi4Mr5FtRQL4tbmSdIzhx6_m4wkOD7IG-k_eo/edit#gid=1336395716"", ""Science!M:N""), 2, FALSE)"),"#N/A")</f>
        <v>#N/A</v>
      </c>
      <c r="V90" s="1"/>
      <c r="W90" s="1"/>
      <c r="X90" s="1"/>
      <c r="Y90" s="1"/>
      <c r="Z90" s="1"/>
      <c r="AA90" s="1"/>
      <c r="AB90" s="1"/>
      <c r="AC90" s="1"/>
      <c r="AD90" s="1"/>
      <c r="AE90" s="1"/>
      <c r="AF90" s="1"/>
      <c r="AG90" s="1"/>
    </row>
    <row r="91" spans="1:33" ht="13.8">
      <c r="A91" s="1"/>
      <c r="B91" s="1"/>
      <c r="C91" s="1"/>
      <c r="D91" s="1"/>
      <c r="E91" s="1"/>
      <c r="F91" s="1"/>
      <c r="G91" s="1"/>
      <c r="H91" s="1"/>
      <c r="I91" s="1"/>
      <c r="J91" s="1" t="str">
        <f t="shared" si="12"/>
        <v>.001</v>
      </c>
      <c r="K91" s="1" t="str">
        <f ca="1">IFERROR(__xludf.dummyfunction("VLOOKUP(J91, IMPORTRANGE(""https://docs.google.com/spreadsheets/d/1yDAaXNsi4Mr5FtRQL4tbmSdIzhx6_m4wkOD7IG-k_eo/edit#gid=1336395716"", ""Science!M:N""), 2, FALSE)"),"#N/A")</f>
        <v>#N/A</v>
      </c>
      <c r="L91" s="1" t="str">
        <f t="shared" si="13"/>
        <v>.002</v>
      </c>
      <c r="M91" s="1" t="str">
        <f ca="1">IFERROR(__xludf.dummyfunction("VLOOKUP(L91, IMPORTRANGE(""https://docs.google.com/spreadsheets/d/1yDAaXNsi4Mr5FtRQL4tbmSdIzhx6_m4wkOD7IG-k_eo/edit#gid=1336395716"", ""Science!M:N""), 2, FALSE)"),"#N/A")</f>
        <v>#N/A</v>
      </c>
      <c r="N91" s="1" t="str">
        <f t="shared" si="14"/>
        <v>.003</v>
      </c>
      <c r="O91" s="1" t="str">
        <f ca="1">IFERROR(__xludf.dummyfunction("VLOOKUP(N91, IMPORTRANGE(""https://docs.google.com/spreadsheets/d/1yDAaXNsi4Mr5FtRQL4tbmSdIzhx6_m4wkOD7IG-k_eo/edit#gid=1336395716"", ""Science!M:N""), 2, FALSE)"),"#N/A")</f>
        <v>#N/A</v>
      </c>
      <c r="P91" s="1" t="str">
        <f t="shared" si="15"/>
        <v>.004</v>
      </c>
      <c r="Q91" s="15" t="str">
        <f ca="1">IFERROR(__xludf.dummyfunction("VLOOKUP(P91, IMPORTRANGE(""https://docs.google.com/spreadsheets/d/1yDAaXNsi4Mr5FtRQL4tbmSdIzhx6_m4wkOD7IG-k_eo/edit#gid=1336395716"", ""Science!M:N""), 2, FALSE)"),"#N/A")</f>
        <v>#N/A</v>
      </c>
      <c r="R91" s="1" t="str">
        <f t="shared" si="16"/>
        <v>.005</v>
      </c>
      <c r="S91" s="15" t="str">
        <f ca="1">IFERROR(__xludf.dummyfunction("VLOOKUP(R91, IMPORTRANGE(""https://docs.google.com/spreadsheets/d/1yDAaXNsi4Mr5FtRQL4tbmSdIzhx6_m4wkOD7IG-k_eo/edit#gid=1336395716"", ""Science!M:N""), 2, FALSE)"),"#N/A")</f>
        <v>#N/A</v>
      </c>
      <c r="T91" s="1" t="str">
        <f t="shared" si="17"/>
        <v>.006</v>
      </c>
      <c r="U91" s="15" t="str">
        <f ca="1">IFERROR(__xludf.dummyfunction("VLOOKUP(T91, IMPORTRANGE(""https://docs.google.com/spreadsheets/d/1yDAaXNsi4Mr5FtRQL4tbmSdIzhx6_m4wkOD7IG-k_eo/edit#gid=1336395716"", ""Science!M:N""), 2, FALSE)"),"#N/A")</f>
        <v>#N/A</v>
      </c>
      <c r="V91" s="1"/>
      <c r="W91" s="1"/>
      <c r="X91" s="1"/>
      <c r="Y91" s="1"/>
      <c r="Z91" s="1"/>
      <c r="AA91" s="1"/>
      <c r="AB91" s="1"/>
      <c r="AC91" s="1"/>
      <c r="AD91" s="1"/>
      <c r="AE91" s="1"/>
      <c r="AF91" s="1"/>
      <c r="AG91" s="1"/>
    </row>
    <row r="92" spans="1:33" ht="13.8">
      <c r="A92" s="1"/>
      <c r="B92" s="1"/>
      <c r="C92" s="1"/>
      <c r="D92" s="1"/>
      <c r="E92" s="1"/>
      <c r="F92" s="1"/>
      <c r="G92" s="1"/>
      <c r="H92" s="1"/>
      <c r="I92" s="1"/>
      <c r="J92" s="1" t="str">
        <f t="shared" si="12"/>
        <v>.001</v>
      </c>
      <c r="K92" s="1" t="str">
        <f ca="1">IFERROR(__xludf.dummyfunction("VLOOKUP(J92, IMPORTRANGE(""https://docs.google.com/spreadsheets/d/1yDAaXNsi4Mr5FtRQL4tbmSdIzhx6_m4wkOD7IG-k_eo/edit#gid=1336395716"", ""Science!M:N""), 2, FALSE)"),"#N/A")</f>
        <v>#N/A</v>
      </c>
      <c r="L92" s="1" t="str">
        <f t="shared" si="13"/>
        <v>.002</v>
      </c>
      <c r="M92" s="1" t="str">
        <f ca="1">IFERROR(__xludf.dummyfunction("VLOOKUP(L92, IMPORTRANGE(""https://docs.google.com/spreadsheets/d/1yDAaXNsi4Mr5FtRQL4tbmSdIzhx6_m4wkOD7IG-k_eo/edit#gid=1336395716"", ""Science!M:N""), 2, FALSE)"),"#N/A")</f>
        <v>#N/A</v>
      </c>
      <c r="N92" s="1" t="str">
        <f t="shared" si="14"/>
        <v>.003</v>
      </c>
      <c r="O92" s="1" t="str">
        <f ca="1">IFERROR(__xludf.dummyfunction("VLOOKUP(N92, IMPORTRANGE(""https://docs.google.com/spreadsheets/d/1yDAaXNsi4Mr5FtRQL4tbmSdIzhx6_m4wkOD7IG-k_eo/edit#gid=1336395716"", ""Science!M:N""), 2, FALSE)"),"#N/A")</f>
        <v>#N/A</v>
      </c>
      <c r="P92" s="1" t="str">
        <f t="shared" si="15"/>
        <v>.004</v>
      </c>
      <c r="Q92" s="15" t="str">
        <f ca="1">IFERROR(__xludf.dummyfunction("VLOOKUP(P92, IMPORTRANGE(""https://docs.google.com/spreadsheets/d/1yDAaXNsi4Mr5FtRQL4tbmSdIzhx6_m4wkOD7IG-k_eo/edit#gid=1336395716"", ""Science!M:N""), 2, FALSE)"),"#N/A")</f>
        <v>#N/A</v>
      </c>
      <c r="R92" s="1" t="str">
        <f t="shared" si="16"/>
        <v>.005</v>
      </c>
      <c r="S92" s="15" t="str">
        <f ca="1">IFERROR(__xludf.dummyfunction("VLOOKUP(R92, IMPORTRANGE(""https://docs.google.com/spreadsheets/d/1yDAaXNsi4Mr5FtRQL4tbmSdIzhx6_m4wkOD7IG-k_eo/edit#gid=1336395716"", ""Science!M:N""), 2, FALSE)"),"#N/A")</f>
        <v>#N/A</v>
      </c>
      <c r="T92" s="1" t="str">
        <f t="shared" si="17"/>
        <v>.006</v>
      </c>
      <c r="U92" s="15" t="str">
        <f ca="1">IFERROR(__xludf.dummyfunction("VLOOKUP(T92, IMPORTRANGE(""https://docs.google.com/spreadsheets/d/1yDAaXNsi4Mr5FtRQL4tbmSdIzhx6_m4wkOD7IG-k_eo/edit#gid=1336395716"", ""Science!M:N""), 2, FALSE)"),"#N/A")</f>
        <v>#N/A</v>
      </c>
      <c r="V92" s="1"/>
      <c r="W92" s="1"/>
      <c r="X92" s="1"/>
      <c r="Y92" s="1"/>
      <c r="Z92" s="1"/>
      <c r="AA92" s="1"/>
      <c r="AB92" s="1"/>
      <c r="AC92" s="1"/>
      <c r="AD92" s="1"/>
      <c r="AE92" s="1"/>
      <c r="AF92" s="1"/>
      <c r="AG92" s="1"/>
    </row>
    <row r="93" spans="1:33" ht="13.8">
      <c r="A93" s="1"/>
      <c r="B93" s="1"/>
      <c r="C93" s="1"/>
      <c r="D93" s="1"/>
      <c r="E93" s="1"/>
      <c r="F93" s="1"/>
      <c r="G93" s="1"/>
      <c r="H93" s="1"/>
      <c r="I93" s="1"/>
      <c r="J93" s="1" t="str">
        <f t="shared" si="12"/>
        <v>.001</v>
      </c>
      <c r="K93" s="1" t="str">
        <f ca="1">IFERROR(__xludf.dummyfunction("VLOOKUP(J93, IMPORTRANGE(""https://docs.google.com/spreadsheets/d/1yDAaXNsi4Mr5FtRQL4tbmSdIzhx6_m4wkOD7IG-k_eo/edit#gid=1336395716"", ""Science!M:N""), 2, FALSE)"),"#N/A")</f>
        <v>#N/A</v>
      </c>
      <c r="L93" s="1" t="str">
        <f t="shared" si="13"/>
        <v>.002</v>
      </c>
      <c r="M93" s="1" t="str">
        <f ca="1">IFERROR(__xludf.dummyfunction("VLOOKUP(L93, IMPORTRANGE(""https://docs.google.com/spreadsheets/d/1yDAaXNsi4Mr5FtRQL4tbmSdIzhx6_m4wkOD7IG-k_eo/edit#gid=1336395716"", ""Science!M:N""), 2, FALSE)"),"#N/A")</f>
        <v>#N/A</v>
      </c>
      <c r="N93" s="1" t="str">
        <f t="shared" si="14"/>
        <v>.003</v>
      </c>
      <c r="O93" s="1" t="str">
        <f ca="1">IFERROR(__xludf.dummyfunction("VLOOKUP(N93, IMPORTRANGE(""https://docs.google.com/spreadsheets/d/1yDAaXNsi4Mr5FtRQL4tbmSdIzhx6_m4wkOD7IG-k_eo/edit#gid=1336395716"", ""Science!M:N""), 2, FALSE)"),"#N/A")</f>
        <v>#N/A</v>
      </c>
      <c r="P93" s="1" t="str">
        <f t="shared" si="15"/>
        <v>.004</v>
      </c>
      <c r="Q93" s="15" t="str">
        <f ca="1">IFERROR(__xludf.dummyfunction("VLOOKUP(P93, IMPORTRANGE(""https://docs.google.com/spreadsheets/d/1yDAaXNsi4Mr5FtRQL4tbmSdIzhx6_m4wkOD7IG-k_eo/edit#gid=1336395716"", ""Science!M:N""), 2, FALSE)"),"#N/A")</f>
        <v>#N/A</v>
      </c>
      <c r="R93" s="1" t="str">
        <f t="shared" si="16"/>
        <v>.005</v>
      </c>
      <c r="S93" s="15" t="str">
        <f ca="1">IFERROR(__xludf.dummyfunction("VLOOKUP(R93, IMPORTRANGE(""https://docs.google.com/spreadsheets/d/1yDAaXNsi4Mr5FtRQL4tbmSdIzhx6_m4wkOD7IG-k_eo/edit#gid=1336395716"", ""Science!M:N""), 2, FALSE)"),"#N/A")</f>
        <v>#N/A</v>
      </c>
      <c r="T93" s="1" t="str">
        <f t="shared" si="17"/>
        <v>.006</v>
      </c>
      <c r="U93" s="15" t="str">
        <f ca="1">IFERROR(__xludf.dummyfunction("VLOOKUP(T93, IMPORTRANGE(""https://docs.google.com/spreadsheets/d/1yDAaXNsi4Mr5FtRQL4tbmSdIzhx6_m4wkOD7IG-k_eo/edit#gid=1336395716"", ""Science!M:N""), 2, FALSE)"),"#N/A")</f>
        <v>#N/A</v>
      </c>
      <c r="V93" s="1"/>
      <c r="W93" s="1"/>
      <c r="X93" s="1"/>
      <c r="Y93" s="1"/>
      <c r="Z93" s="1"/>
      <c r="AA93" s="1"/>
      <c r="AB93" s="1"/>
      <c r="AC93" s="1"/>
      <c r="AD93" s="1"/>
      <c r="AE93" s="1"/>
      <c r="AF93" s="1"/>
      <c r="AG93" s="1"/>
    </row>
    <row r="94" spans="1:33" ht="13.8">
      <c r="A94" s="1"/>
      <c r="B94" s="1"/>
      <c r="C94" s="1"/>
      <c r="D94" s="1"/>
      <c r="E94" s="1"/>
      <c r="F94" s="1"/>
      <c r="G94" s="1"/>
      <c r="H94" s="1"/>
      <c r="I94" s="1"/>
      <c r="J94" s="1" t="str">
        <f t="shared" si="12"/>
        <v>.001</v>
      </c>
      <c r="K94" s="1" t="str">
        <f ca="1">IFERROR(__xludf.dummyfunction("VLOOKUP(J94, IMPORTRANGE(""https://docs.google.com/spreadsheets/d/1yDAaXNsi4Mr5FtRQL4tbmSdIzhx6_m4wkOD7IG-k_eo/edit#gid=1336395716"", ""Science!M:N""), 2, FALSE)"),"#N/A")</f>
        <v>#N/A</v>
      </c>
      <c r="L94" s="1" t="str">
        <f t="shared" si="13"/>
        <v>.002</v>
      </c>
      <c r="M94" s="1" t="str">
        <f ca="1">IFERROR(__xludf.dummyfunction("VLOOKUP(L94, IMPORTRANGE(""https://docs.google.com/spreadsheets/d/1yDAaXNsi4Mr5FtRQL4tbmSdIzhx6_m4wkOD7IG-k_eo/edit#gid=1336395716"", ""Science!M:N""), 2, FALSE)"),"#N/A")</f>
        <v>#N/A</v>
      </c>
      <c r="N94" s="1" t="str">
        <f t="shared" si="14"/>
        <v>.003</v>
      </c>
      <c r="O94" s="1" t="str">
        <f ca="1">IFERROR(__xludf.dummyfunction("VLOOKUP(N94, IMPORTRANGE(""https://docs.google.com/spreadsheets/d/1yDAaXNsi4Mr5FtRQL4tbmSdIzhx6_m4wkOD7IG-k_eo/edit#gid=1336395716"", ""Science!M:N""), 2, FALSE)"),"#N/A")</f>
        <v>#N/A</v>
      </c>
      <c r="P94" s="1" t="str">
        <f t="shared" si="15"/>
        <v>.004</v>
      </c>
      <c r="Q94" s="15" t="str">
        <f ca="1">IFERROR(__xludf.dummyfunction("VLOOKUP(P94, IMPORTRANGE(""https://docs.google.com/spreadsheets/d/1yDAaXNsi4Mr5FtRQL4tbmSdIzhx6_m4wkOD7IG-k_eo/edit#gid=1336395716"", ""Science!M:N""), 2, FALSE)"),"#N/A")</f>
        <v>#N/A</v>
      </c>
      <c r="R94" s="1" t="str">
        <f t="shared" si="16"/>
        <v>.005</v>
      </c>
      <c r="S94" s="15" t="str">
        <f ca="1">IFERROR(__xludf.dummyfunction("VLOOKUP(R94, IMPORTRANGE(""https://docs.google.com/spreadsheets/d/1yDAaXNsi4Mr5FtRQL4tbmSdIzhx6_m4wkOD7IG-k_eo/edit#gid=1336395716"", ""Science!M:N""), 2, FALSE)"),"#N/A")</f>
        <v>#N/A</v>
      </c>
      <c r="T94" s="1" t="str">
        <f t="shared" si="17"/>
        <v>.006</v>
      </c>
      <c r="U94" s="15" t="str">
        <f ca="1">IFERROR(__xludf.dummyfunction("VLOOKUP(T94, IMPORTRANGE(""https://docs.google.com/spreadsheets/d/1yDAaXNsi4Mr5FtRQL4tbmSdIzhx6_m4wkOD7IG-k_eo/edit#gid=1336395716"", ""Science!M:N""), 2, FALSE)"),"#N/A")</f>
        <v>#N/A</v>
      </c>
      <c r="V94" s="1"/>
      <c r="W94" s="1"/>
      <c r="X94" s="1"/>
      <c r="Y94" s="1"/>
      <c r="Z94" s="1"/>
      <c r="AA94" s="1"/>
      <c r="AB94" s="1"/>
      <c r="AC94" s="1"/>
      <c r="AD94" s="1"/>
      <c r="AE94" s="1"/>
      <c r="AF94" s="1"/>
      <c r="AG94" s="1"/>
    </row>
    <row r="95" spans="1:33" ht="13.8">
      <c r="A95" s="1"/>
      <c r="B95" s="1"/>
      <c r="C95" s="1"/>
      <c r="D95" s="1"/>
      <c r="E95" s="1"/>
      <c r="F95" s="1"/>
      <c r="G95" s="1"/>
      <c r="H95" s="1"/>
      <c r="I95" s="1"/>
      <c r="J95" s="1" t="str">
        <f t="shared" si="12"/>
        <v>.001</v>
      </c>
      <c r="K95" s="1" t="str">
        <f ca="1">IFERROR(__xludf.dummyfunction("VLOOKUP(J95, IMPORTRANGE(""https://docs.google.com/spreadsheets/d/1yDAaXNsi4Mr5FtRQL4tbmSdIzhx6_m4wkOD7IG-k_eo/edit#gid=1336395716"", ""Science!M:N""), 2, FALSE)"),"#N/A")</f>
        <v>#N/A</v>
      </c>
      <c r="L95" s="1" t="str">
        <f t="shared" si="13"/>
        <v>.002</v>
      </c>
      <c r="M95" s="1" t="str">
        <f ca="1">IFERROR(__xludf.dummyfunction("VLOOKUP(L95, IMPORTRANGE(""https://docs.google.com/spreadsheets/d/1yDAaXNsi4Mr5FtRQL4tbmSdIzhx6_m4wkOD7IG-k_eo/edit#gid=1336395716"", ""Science!M:N""), 2, FALSE)"),"#N/A")</f>
        <v>#N/A</v>
      </c>
      <c r="N95" s="1" t="str">
        <f t="shared" si="14"/>
        <v>.003</v>
      </c>
      <c r="O95" s="1" t="str">
        <f ca="1">IFERROR(__xludf.dummyfunction("VLOOKUP(N95, IMPORTRANGE(""https://docs.google.com/spreadsheets/d/1yDAaXNsi4Mr5FtRQL4tbmSdIzhx6_m4wkOD7IG-k_eo/edit#gid=1336395716"", ""Science!M:N""), 2, FALSE)"),"#N/A")</f>
        <v>#N/A</v>
      </c>
      <c r="P95" s="1" t="str">
        <f t="shared" si="15"/>
        <v>.004</v>
      </c>
      <c r="Q95" s="15" t="str">
        <f ca="1">IFERROR(__xludf.dummyfunction("VLOOKUP(P95, IMPORTRANGE(""https://docs.google.com/spreadsheets/d/1yDAaXNsi4Mr5FtRQL4tbmSdIzhx6_m4wkOD7IG-k_eo/edit#gid=1336395716"", ""Science!M:N""), 2, FALSE)"),"#N/A")</f>
        <v>#N/A</v>
      </c>
      <c r="R95" s="1" t="str">
        <f t="shared" si="16"/>
        <v>.005</v>
      </c>
      <c r="S95" s="15" t="str">
        <f ca="1">IFERROR(__xludf.dummyfunction("VLOOKUP(R95, IMPORTRANGE(""https://docs.google.com/spreadsheets/d/1yDAaXNsi4Mr5FtRQL4tbmSdIzhx6_m4wkOD7IG-k_eo/edit#gid=1336395716"", ""Science!M:N""), 2, FALSE)"),"#N/A")</f>
        <v>#N/A</v>
      </c>
      <c r="T95" s="1" t="str">
        <f t="shared" si="17"/>
        <v>.006</v>
      </c>
      <c r="U95" s="15" t="str">
        <f ca="1">IFERROR(__xludf.dummyfunction("VLOOKUP(T95, IMPORTRANGE(""https://docs.google.com/spreadsheets/d/1yDAaXNsi4Mr5FtRQL4tbmSdIzhx6_m4wkOD7IG-k_eo/edit#gid=1336395716"", ""Science!M:N""), 2, FALSE)"),"#N/A")</f>
        <v>#N/A</v>
      </c>
      <c r="V95" s="1"/>
      <c r="W95" s="1"/>
      <c r="X95" s="1"/>
      <c r="Y95" s="1"/>
      <c r="Z95" s="1"/>
      <c r="AA95" s="1"/>
      <c r="AB95" s="1"/>
      <c r="AC95" s="1"/>
      <c r="AD95" s="1"/>
      <c r="AE95" s="1"/>
      <c r="AF95" s="1"/>
      <c r="AG95" s="1"/>
    </row>
    <row r="96" spans="1:33" ht="13.8">
      <c r="A96" s="1"/>
      <c r="B96" s="1"/>
      <c r="C96" s="1"/>
      <c r="D96" s="1"/>
      <c r="E96" s="1"/>
      <c r="F96" s="1"/>
      <c r="G96" s="1"/>
      <c r="H96" s="1"/>
      <c r="I96" s="1"/>
      <c r="J96" s="1" t="str">
        <f t="shared" si="12"/>
        <v>.001</v>
      </c>
      <c r="K96" s="1" t="str">
        <f ca="1">IFERROR(__xludf.dummyfunction("VLOOKUP(J96, IMPORTRANGE(""https://docs.google.com/spreadsheets/d/1yDAaXNsi4Mr5FtRQL4tbmSdIzhx6_m4wkOD7IG-k_eo/edit#gid=1336395716"", ""Science!M:N""), 2, FALSE)"),"#N/A")</f>
        <v>#N/A</v>
      </c>
      <c r="L96" s="1" t="str">
        <f t="shared" si="13"/>
        <v>.002</v>
      </c>
      <c r="M96" s="1" t="str">
        <f ca="1">IFERROR(__xludf.dummyfunction("VLOOKUP(L96, IMPORTRANGE(""https://docs.google.com/spreadsheets/d/1yDAaXNsi4Mr5FtRQL4tbmSdIzhx6_m4wkOD7IG-k_eo/edit#gid=1336395716"", ""Science!M:N""), 2, FALSE)"),"#N/A")</f>
        <v>#N/A</v>
      </c>
      <c r="N96" s="1" t="str">
        <f t="shared" si="14"/>
        <v>.003</v>
      </c>
      <c r="O96" s="1" t="str">
        <f ca="1">IFERROR(__xludf.dummyfunction("VLOOKUP(N96, IMPORTRANGE(""https://docs.google.com/spreadsheets/d/1yDAaXNsi4Mr5FtRQL4tbmSdIzhx6_m4wkOD7IG-k_eo/edit#gid=1336395716"", ""Science!M:N""), 2, FALSE)"),"#N/A")</f>
        <v>#N/A</v>
      </c>
      <c r="P96" s="1" t="str">
        <f t="shared" si="15"/>
        <v>.004</v>
      </c>
      <c r="Q96" s="15" t="str">
        <f ca="1">IFERROR(__xludf.dummyfunction("VLOOKUP(P96, IMPORTRANGE(""https://docs.google.com/spreadsheets/d/1yDAaXNsi4Mr5FtRQL4tbmSdIzhx6_m4wkOD7IG-k_eo/edit#gid=1336395716"", ""Science!M:N""), 2, FALSE)"),"#N/A")</f>
        <v>#N/A</v>
      </c>
      <c r="R96" s="1" t="str">
        <f t="shared" si="16"/>
        <v>.005</v>
      </c>
      <c r="S96" s="15" t="str">
        <f ca="1">IFERROR(__xludf.dummyfunction("VLOOKUP(R96, IMPORTRANGE(""https://docs.google.com/spreadsheets/d/1yDAaXNsi4Mr5FtRQL4tbmSdIzhx6_m4wkOD7IG-k_eo/edit#gid=1336395716"", ""Science!M:N""), 2, FALSE)"),"#N/A")</f>
        <v>#N/A</v>
      </c>
      <c r="T96" s="1" t="str">
        <f t="shared" si="17"/>
        <v>.006</v>
      </c>
      <c r="U96" s="15" t="str">
        <f ca="1">IFERROR(__xludf.dummyfunction("VLOOKUP(T96, IMPORTRANGE(""https://docs.google.com/spreadsheets/d/1yDAaXNsi4Mr5FtRQL4tbmSdIzhx6_m4wkOD7IG-k_eo/edit#gid=1336395716"", ""Science!M:N""), 2, FALSE)"),"#N/A")</f>
        <v>#N/A</v>
      </c>
      <c r="V96" s="1"/>
      <c r="W96" s="1"/>
      <c r="X96" s="1"/>
      <c r="Y96" s="1"/>
      <c r="Z96" s="1"/>
      <c r="AA96" s="1"/>
      <c r="AB96" s="1"/>
      <c r="AC96" s="1"/>
      <c r="AD96" s="1"/>
      <c r="AE96" s="1"/>
      <c r="AF96" s="1"/>
      <c r="AG96" s="1"/>
    </row>
    <row r="97" spans="1:33" ht="13.8">
      <c r="A97" s="1"/>
      <c r="B97" s="1"/>
      <c r="C97" s="1"/>
      <c r="D97" s="1"/>
      <c r="E97" s="1"/>
      <c r="F97" s="1"/>
      <c r="G97" s="1"/>
      <c r="H97" s="1"/>
      <c r="I97" s="1"/>
      <c r="J97" s="1" t="str">
        <f t="shared" si="12"/>
        <v>.001</v>
      </c>
      <c r="K97" s="1" t="str">
        <f ca="1">IFERROR(__xludf.dummyfunction("VLOOKUP(J97, IMPORTRANGE(""https://docs.google.com/spreadsheets/d/1yDAaXNsi4Mr5FtRQL4tbmSdIzhx6_m4wkOD7IG-k_eo/edit#gid=1336395716"", ""Science!M:N""), 2, FALSE)"),"#N/A")</f>
        <v>#N/A</v>
      </c>
      <c r="L97" s="1" t="str">
        <f t="shared" si="13"/>
        <v>.002</v>
      </c>
      <c r="M97" s="1" t="str">
        <f ca="1">IFERROR(__xludf.dummyfunction("VLOOKUP(L97, IMPORTRANGE(""https://docs.google.com/spreadsheets/d/1yDAaXNsi4Mr5FtRQL4tbmSdIzhx6_m4wkOD7IG-k_eo/edit#gid=1336395716"", ""Science!M:N""), 2, FALSE)"),"#N/A")</f>
        <v>#N/A</v>
      </c>
      <c r="N97" s="1" t="str">
        <f t="shared" si="14"/>
        <v>.003</v>
      </c>
      <c r="O97" s="1" t="str">
        <f ca="1">IFERROR(__xludf.dummyfunction("VLOOKUP(N97, IMPORTRANGE(""https://docs.google.com/spreadsheets/d/1yDAaXNsi4Mr5FtRQL4tbmSdIzhx6_m4wkOD7IG-k_eo/edit#gid=1336395716"", ""Science!M:N""), 2, FALSE)"),"#N/A")</f>
        <v>#N/A</v>
      </c>
      <c r="P97" s="1" t="str">
        <f t="shared" si="15"/>
        <v>.004</v>
      </c>
      <c r="Q97" s="15" t="str">
        <f ca="1">IFERROR(__xludf.dummyfunction("VLOOKUP(P97, IMPORTRANGE(""https://docs.google.com/spreadsheets/d/1yDAaXNsi4Mr5FtRQL4tbmSdIzhx6_m4wkOD7IG-k_eo/edit#gid=1336395716"", ""Science!M:N""), 2, FALSE)"),"#N/A")</f>
        <v>#N/A</v>
      </c>
      <c r="R97" s="1" t="str">
        <f t="shared" si="16"/>
        <v>.005</v>
      </c>
      <c r="S97" s="15" t="str">
        <f ca="1">IFERROR(__xludf.dummyfunction("VLOOKUP(R97, IMPORTRANGE(""https://docs.google.com/spreadsheets/d/1yDAaXNsi4Mr5FtRQL4tbmSdIzhx6_m4wkOD7IG-k_eo/edit#gid=1336395716"", ""Science!M:N""), 2, FALSE)"),"#N/A")</f>
        <v>#N/A</v>
      </c>
      <c r="T97" s="1" t="str">
        <f t="shared" si="17"/>
        <v>.006</v>
      </c>
      <c r="U97" s="15" t="str">
        <f ca="1">IFERROR(__xludf.dummyfunction("VLOOKUP(T97, IMPORTRANGE(""https://docs.google.com/spreadsheets/d/1yDAaXNsi4Mr5FtRQL4tbmSdIzhx6_m4wkOD7IG-k_eo/edit#gid=1336395716"", ""Science!M:N""), 2, FALSE)"),"#N/A")</f>
        <v>#N/A</v>
      </c>
      <c r="V97" s="1"/>
      <c r="W97" s="1"/>
      <c r="X97" s="1"/>
      <c r="Y97" s="1"/>
      <c r="Z97" s="1"/>
      <c r="AA97" s="1"/>
      <c r="AB97" s="1"/>
      <c r="AC97" s="1"/>
      <c r="AD97" s="1"/>
      <c r="AE97" s="1"/>
      <c r="AF97" s="1"/>
      <c r="AG97" s="1"/>
    </row>
    <row r="98" spans="1:33" ht="13.8">
      <c r="A98" s="1"/>
      <c r="B98" s="1"/>
      <c r="C98" s="1"/>
      <c r="D98" s="1"/>
      <c r="E98" s="1"/>
      <c r="F98" s="1"/>
      <c r="G98" s="1"/>
      <c r="H98" s="1"/>
      <c r="I98" s="1"/>
      <c r="J98" s="1" t="str">
        <f t="shared" ref="J98:J129" si="18">G98 &amp; ".001"</f>
        <v>.001</v>
      </c>
      <c r="K98" s="1" t="str">
        <f ca="1">IFERROR(__xludf.dummyfunction("VLOOKUP(J98, IMPORTRANGE(""https://docs.google.com/spreadsheets/d/1yDAaXNsi4Mr5FtRQL4tbmSdIzhx6_m4wkOD7IG-k_eo/edit#gid=1336395716"", ""Science!M:N""), 2, FALSE)"),"#N/A")</f>
        <v>#N/A</v>
      </c>
      <c r="L98" s="1" t="str">
        <f t="shared" ref="L98:L129" si="19">G98 &amp; ".002"</f>
        <v>.002</v>
      </c>
      <c r="M98" s="1" t="str">
        <f ca="1">IFERROR(__xludf.dummyfunction("VLOOKUP(L98, IMPORTRANGE(""https://docs.google.com/spreadsheets/d/1yDAaXNsi4Mr5FtRQL4tbmSdIzhx6_m4wkOD7IG-k_eo/edit#gid=1336395716"", ""Science!M:N""), 2, FALSE)"),"#N/A")</f>
        <v>#N/A</v>
      </c>
      <c r="N98" s="1" t="str">
        <f t="shared" ref="N98:N129" si="20">G98 &amp; ".003"</f>
        <v>.003</v>
      </c>
      <c r="O98" s="1" t="str">
        <f ca="1">IFERROR(__xludf.dummyfunction("VLOOKUP(N98, IMPORTRANGE(""https://docs.google.com/spreadsheets/d/1yDAaXNsi4Mr5FtRQL4tbmSdIzhx6_m4wkOD7IG-k_eo/edit#gid=1336395716"", ""Science!M:N""), 2, FALSE)"),"#N/A")</f>
        <v>#N/A</v>
      </c>
      <c r="P98" s="1" t="str">
        <f t="shared" ref="P98:P129" si="21">G98 &amp; ".004"</f>
        <v>.004</v>
      </c>
      <c r="Q98" s="15" t="str">
        <f ca="1">IFERROR(__xludf.dummyfunction("VLOOKUP(P98, IMPORTRANGE(""https://docs.google.com/spreadsheets/d/1yDAaXNsi4Mr5FtRQL4tbmSdIzhx6_m4wkOD7IG-k_eo/edit#gid=1336395716"", ""Science!M:N""), 2, FALSE)"),"#N/A")</f>
        <v>#N/A</v>
      </c>
      <c r="R98" s="1" t="str">
        <f t="shared" ref="R98:R129" si="22">G98 &amp; ".005"</f>
        <v>.005</v>
      </c>
      <c r="S98" s="15" t="str">
        <f ca="1">IFERROR(__xludf.dummyfunction("VLOOKUP(R98, IMPORTRANGE(""https://docs.google.com/spreadsheets/d/1yDAaXNsi4Mr5FtRQL4tbmSdIzhx6_m4wkOD7IG-k_eo/edit#gid=1336395716"", ""Science!M:N""), 2, FALSE)"),"#N/A")</f>
        <v>#N/A</v>
      </c>
      <c r="T98" s="1" t="str">
        <f t="shared" ref="T98:T129" si="23">G98 &amp; ".006"</f>
        <v>.006</v>
      </c>
      <c r="U98" s="15" t="str">
        <f ca="1">IFERROR(__xludf.dummyfunction("VLOOKUP(T98, IMPORTRANGE(""https://docs.google.com/spreadsheets/d/1yDAaXNsi4Mr5FtRQL4tbmSdIzhx6_m4wkOD7IG-k_eo/edit#gid=1336395716"", ""Science!M:N""), 2, FALSE)"),"#N/A")</f>
        <v>#N/A</v>
      </c>
      <c r="V98" s="1"/>
      <c r="W98" s="1"/>
      <c r="X98" s="1"/>
      <c r="Y98" s="1"/>
      <c r="Z98" s="1"/>
      <c r="AA98" s="1"/>
      <c r="AB98" s="1"/>
      <c r="AC98" s="1"/>
      <c r="AD98" s="1"/>
      <c r="AE98" s="1"/>
      <c r="AF98" s="1"/>
      <c r="AG98" s="1"/>
    </row>
    <row r="99" spans="1:33" ht="13.8">
      <c r="A99" s="1"/>
      <c r="B99" s="1"/>
      <c r="C99" s="1"/>
      <c r="D99" s="1"/>
      <c r="E99" s="1"/>
      <c r="F99" s="1"/>
      <c r="G99" s="1"/>
      <c r="H99" s="1"/>
      <c r="I99" s="1"/>
      <c r="J99" s="1" t="str">
        <f t="shared" si="18"/>
        <v>.001</v>
      </c>
      <c r="K99" s="1" t="str">
        <f ca="1">IFERROR(__xludf.dummyfunction("VLOOKUP(J99, IMPORTRANGE(""https://docs.google.com/spreadsheets/d/1yDAaXNsi4Mr5FtRQL4tbmSdIzhx6_m4wkOD7IG-k_eo/edit#gid=1336395716"", ""Science!M:N""), 2, FALSE)"),"#N/A")</f>
        <v>#N/A</v>
      </c>
      <c r="L99" s="1" t="str">
        <f t="shared" si="19"/>
        <v>.002</v>
      </c>
      <c r="M99" s="1" t="str">
        <f ca="1">IFERROR(__xludf.dummyfunction("VLOOKUP(L99, IMPORTRANGE(""https://docs.google.com/spreadsheets/d/1yDAaXNsi4Mr5FtRQL4tbmSdIzhx6_m4wkOD7IG-k_eo/edit#gid=1336395716"", ""Science!M:N""), 2, FALSE)"),"#N/A")</f>
        <v>#N/A</v>
      </c>
      <c r="N99" s="1" t="str">
        <f t="shared" si="20"/>
        <v>.003</v>
      </c>
      <c r="O99" s="1" t="str">
        <f ca="1">IFERROR(__xludf.dummyfunction("VLOOKUP(N99, IMPORTRANGE(""https://docs.google.com/spreadsheets/d/1yDAaXNsi4Mr5FtRQL4tbmSdIzhx6_m4wkOD7IG-k_eo/edit#gid=1336395716"", ""Science!M:N""), 2, FALSE)"),"#N/A")</f>
        <v>#N/A</v>
      </c>
      <c r="P99" s="1" t="str">
        <f t="shared" si="21"/>
        <v>.004</v>
      </c>
      <c r="Q99" s="15" t="str">
        <f ca="1">IFERROR(__xludf.dummyfunction("VLOOKUP(P99, IMPORTRANGE(""https://docs.google.com/spreadsheets/d/1yDAaXNsi4Mr5FtRQL4tbmSdIzhx6_m4wkOD7IG-k_eo/edit#gid=1336395716"", ""Science!M:N""), 2, FALSE)"),"#N/A")</f>
        <v>#N/A</v>
      </c>
      <c r="R99" s="1" t="str">
        <f t="shared" si="22"/>
        <v>.005</v>
      </c>
      <c r="S99" s="15" t="str">
        <f ca="1">IFERROR(__xludf.dummyfunction("VLOOKUP(R99, IMPORTRANGE(""https://docs.google.com/spreadsheets/d/1yDAaXNsi4Mr5FtRQL4tbmSdIzhx6_m4wkOD7IG-k_eo/edit#gid=1336395716"", ""Science!M:N""), 2, FALSE)"),"#N/A")</f>
        <v>#N/A</v>
      </c>
      <c r="T99" s="1" t="str">
        <f t="shared" si="23"/>
        <v>.006</v>
      </c>
      <c r="U99" s="15" t="str">
        <f ca="1">IFERROR(__xludf.dummyfunction("VLOOKUP(T99, IMPORTRANGE(""https://docs.google.com/spreadsheets/d/1yDAaXNsi4Mr5FtRQL4tbmSdIzhx6_m4wkOD7IG-k_eo/edit#gid=1336395716"", ""Science!M:N""), 2, FALSE)"),"#N/A")</f>
        <v>#N/A</v>
      </c>
      <c r="V99" s="1"/>
      <c r="W99" s="1"/>
      <c r="X99" s="1"/>
      <c r="Y99" s="1"/>
      <c r="Z99" s="1"/>
      <c r="AA99" s="1"/>
      <c r="AB99" s="1"/>
      <c r="AC99" s="1"/>
      <c r="AD99" s="1"/>
      <c r="AE99" s="1"/>
      <c r="AF99" s="1"/>
      <c r="AG99" s="1"/>
    </row>
    <row r="100" spans="1:33" ht="13.8">
      <c r="A100" s="1"/>
      <c r="B100" s="1"/>
      <c r="C100" s="1"/>
      <c r="D100" s="1"/>
      <c r="E100" s="1"/>
      <c r="F100" s="1"/>
      <c r="G100" s="1"/>
      <c r="H100" s="1"/>
      <c r="I100" s="1"/>
      <c r="J100" s="1" t="str">
        <f t="shared" si="18"/>
        <v>.001</v>
      </c>
      <c r="K100" s="1" t="str">
        <f ca="1">IFERROR(__xludf.dummyfunction("VLOOKUP(J100, IMPORTRANGE(""https://docs.google.com/spreadsheets/d/1yDAaXNsi4Mr5FtRQL4tbmSdIzhx6_m4wkOD7IG-k_eo/edit#gid=1336395716"", ""Science!M:N""), 2, FALSE)"),"#N/A")</f>
        <v>#N/A</v>
      </c>
      <c r="L100" s="1" t="str">
        <f t="shared" si="19"/>
        <v>.002</v>
      </c>
      <c r="M100" s="1" t="str">
        <f ca="1">IFERROR(__xludf.dummyfunction("VLOOKUP(L100, IMPORTRANGE(""https://docs.google.com/spreadsheets/d/1yDAaXNsi4Mr5FtRQL4tbmSdIzhx6_m4wkOD7IG-k_eo/edit#gid=1336395716"", ""Science!M:N""), 2, FALSE)"),"#N/A")</f>
        <v>#N/A</v>
      </c>
      <c r="N100" s="1" t="str">
        <f t="shared" si="20"/>
        <v>.003</v>
      </c>
      <c r="O100" s="1" t="str">
        <f ca="1">IFERROR(__xludf.dummyfunction("VLOOKUP(N100, IMPORTRANGE(""https://docs.google.com/spreadsheets/d/1yDAaXNsi4Mr5FtRQL4tbmSdIzhx6_m4wkOD7IG-k_eo/edit#gid=1336395716"", ""Science!M:N""), 2, FALSE)"),"#N/A")</f>
        <v>#N/A</v>
      </c>
      <c r="P100" s="1" t="str">
        <f t="shared" si="21"/>
        <v>.004</v>
      </c>
      <c r="Q100" s="15" t="str">
        <f ca="1">IFERROR(__xludf.dummyfunction("VLOOKUP(P100, IMPORTRANGE(""https://docs.google.com/spreadsheets/d/1yDAaXNsi4Mr5FtRQL4tbmSdIzhx6_m4wkOD7IG-k_eo/edit#gid=1336395716"", ""Science!M:N""), 2, FALSE)"),"#N/A")</f>
        <v>#N/A</v>
      </c>
      <c r="R100" s="1" t="str">
        <f t="shared" si="22"/>
        <v>.005</v>
      </c>
      <c r="S100" s="15" t="str">
        <f ca="1">IFERROR(__xludf.dummyfunction("VLOOKUP(R100, IMPORTRANGE(""https://docs.google.com/spreadsheets/d/1yDAaXNsi4Mr5FtRQL4tbmSdIzhx6_m4wkOD7IG-k_eo/edit#gid=1336395716"", ""Science!M:N""), 2, FALSE)"),"#N/A")</f>
        <v>#N/A</v>
      </c>
      <c r="T100" s="1" t="str">
        <f t="shared" si="23"/>
        <v>.006</v>
      </c>
      <c r="U100" s="15" t="str">
        <f ca="1">IFERROR(__xludf.dummyfunction("VLOOKUP(T100, IMPORTRANGE(""https://docs.google.com/spreadsheets/d/1yDAaXNsi4Mr5FtRQL4tbmSdIzhx6_m4wkOD7IG-k_eo/edit#gid=1336395716"", ""Science!M:N""), 2, FALSE)"),"#N/A")</f>
        <v>#N/A</v>
      </c>
      <c r="V100" s="1"/>
      <c r="W100" s="1"/>
      <c r="X100" s="1"/>
      <c r="Y100" s="1"/>
      <c r="Z100" s="1"/>
      <c r="AA100" s="1"/>
      <c r="AB100" s="1"/>
      <c r="AC100" s="1"/>
      <c r="AD100" s="1"/>
      <c r="AE100" s="1"/>
      <c r="AF100" s="1"/>
      <c r="AG100" s="1"/>
    </row>
    <row r="101" spans="1:33" ht="13.8">
      <c r="A101" s="1"/>
      <c r="B101" s="1"/>
      <c r="C101" s="1"/>
      <c r="D101" s="1"/>
      <c r="E101" s="1"/>
      <c r="F101" s="1"/>
      <c r="G101" s="1"/>
      <c r="H101" s="1"/>
      <c r="I101" s="1"/>
      <c r="J101" s="1" t="str">
        <f t="shared" si="18"/>
        <v>.001</v>
      </c>
      <c r="K101" s="1" t="str">
        <f ca="1">IFERROR(__xludf.dummyfunction("VLOOKUP(J101, IMPORTRANGE(""https://docs.google.com/spreadsheets/d/1yDAaXNsi4Mr5FtRQL4tbmSdIzhx6_m4wkOD7IG-k_eo/edit#gid=1336395716"", ""Science!M:N""), 2, FALSE)"),"#N/A")</f>
        <v>#N/A</v>
      </c>
      <c r="L101" s="1" t="str">
        <f t="shared" si="19"/>
        <v>.002</v>
      </c>
      <c r="M101" s="1" t="str">
        <f ca="1">IFERROR(__xludf.dummyfunction("VLOOKUP(L101, IMPORTRANGE(""https://docs.google.com/spreadsheets/d/1yDAaXNsi4Mr5FtRQL4tbmSdIzhx6_m4wkOD7IG-k_eo/edit#gid=1336395716"", ""Science!M:N""), 2, FALSE)"),"#N/A")</f>
        <v>#N/A</v>
      </c>
      <c r="N101" s="1" t="str">
        <f t="shared" si="20"/>
        <v>.003</v>
      </c>
      <c r="O101" s="1" t="str">
        <f ca="1">IFERROR(__xludf.dummyfunction("VLOOKUP(N101, IMPORTRANGE(""https://docs.google.com/spreadsheets/d/1yDAaXNsi4Mr5FtRQL4tbmSdIzhx6_m4wkOD7IG-k_eo/edit#gid=1336395716"", ""Science!M:N""), 2, FALSE)"),"#N/A")</f>
        <v>#N/A</v>
      </c>
      <c r="P101" s="1" t="str">
        <f t="shared" si="21"/>
        <v>.004</v>
      </c>
      <c r="Q101" s="15" t="str">
        <f ca="1">IFERROR(__xludf.dummyfunction("VLOOKUP(P101, IMPORTRANGE(""https://docs.google.com/spreadsheets/d/1yDAaXNsi4Mr5FtRQL4tbmSdIzhx6_m4wkOD7IG-k_eo/edit#gid=1336395716"", ""Science!M:N""), 2, FALSE)"),"#N/A")</f>
        <v>#N/A</v>
      </c>
      <c r="R101" s="1" t="str">
        <f t="shared" si="22"/>
        <v>.005</v>
      </c>
      <c r="S101" s="15" t="str">
        <f ca="1">IFERROR(__xludf.dummyfunction("VLOOKUP(R101, IMPORTRANGE(""https://docs.google.com/spreadsheets/d/1yDAaXNsi4Mr5FtRQL4tbmSdIzhx6_m4wkOD7IG-k_eo/edit#gid=1336395716"", ""Science!M:N""), 2, FALSE)"),"#N/A")</f>
        <v>#N/A</v>
      </c>
      <c r="T101" s="1" t="str">
        <f t="shared" si="23"/>
        <v>.006</v>
      </c>
      <c r="U101" s="15" t="str">
        <f ca="1">IFERROR(__xludf.dummyfunction("VLOOKUP(T101, IMPORTRANGE(""https://docs.google.com/spreadsheets/d/1yDAaXNsi4Mr5FtRQL4tbmSdIzhx6_m4wkOD7IG-k_eo/edit#gid=1336395716"", ""Science!M:N""), 2, FALSE)"),"#N/A")</f>
        <v>#N/A</v>
      </c>
      <c r="V101" s="1"/>
      <c r="W101" s="1"/>
      <c r="X101" s="1"/>
      <c r="Y101" s="1"/>
      <c r="Z101" s="1"/>
      <c r="AA101" s="1"/>
      <c r="AB101" s="1"/>
      <c r="AC101" s="1"/>
      <c r="AD101" s="1"/>
      <c r="AE101" s="1"/>
      <c r="AF101" s="1"/>
      <c r="AG101" s="1"/>
    </row>
    <row r="102" spans="1:33" ht="13.8">
      <c r="A102" s="1"/>
      <c r="B102" s="1"/>
      <c r="C102" s="1"/>
      <c r="D102" s="1"/>
      <c r="E102" s="1"/>
      <c r="F102" s="1"/>
      <c r="G102" s="1"/>
      <c r="H102" s="1"/>
      <c r="I102" s="1"/>
      <c r="J102" s="1" t="str">
        <f t="shared" si="18"/>
        <v>.001</v>
      </c>
      <c r="K102" s="1" t="str">
        <f ca="1">IFERROR(__xludf.dummyfunction("VLOOKUP(J102, IMPORTRANGE(""https://docs.google.com/spreadsheets/d/1yDAaXNsi4Mr5FtRQL4tbmSdIzhx6_m4wkOD7IG-k_eo/edit#gid=1336395716"", ""Science!M:N""), 2, FALSE)"),"#N/A")</f>
        <v>#N/A</v>
      </c>
      <c r="L102" s="1" t="str">
        <f t="shared" si="19"/>
        <v>.002</v>
      </c>
      <c r="M102" s="1" t="str">
        <f ca="1">IFERROR(__xludf.dummyfunction("VLOOKUP(L102, IMPORTRANGE(""https://docs.google.com/spreadsheets/d/1yDAaXNsi4Mr5FtRQL4tbmSdIzhx6_m4wkOD7IG-k_eo/edit#gid=1336395716"", ""Science!M:N""), 2, FALSE)"),"#N/A")</f>
        <v>#N/A</v>
      </c>
      <c r="N102" s="1" t="str">
        <f t="shared" si="20"/>
        <v>.003</v>
      </c>
      <c r="O102" s="1" t="str">
        <f ca="1">IFERROR(__xludf.dummyfunction("VLOOKUP(N102, IMPORTRANGE(""https://docs.google.com/spreadsheets/d/1yDAaXNsi4Mr5FtRQL4tbmSdIzhx6_m4wkOD7IG-k_eo/edit#gid=1336395716"", ""Science!M:N""), 2, FALSE)"),"#N/A")</f>
        <v>#N/A</v>
      </c>
      <c r="P102" s="1" t="str">
        <f t="shared" si="21"/>
        <v>.004</v>
      </c>
      <c r="Q102" s="15" t="str">
        <f ca="1">IFERROR(__xludf.dummyfunction("VLOOKUP(P102, IMPORTRANGE(""https://docs.google.com/spreadsheets/d/1yDAaXNsi4Mr5FtRQL4tbmSdIzhx6_m4wkOD7IG-k_eo/edit#gid=1336395716"", ""Science!M:N""), 2, FALSE)"),"#N/A")</f>
        <v>#N/A</v>
      </c>
      <c r="R102" s="1" t="str">
        <f t="shared" si="22"/>
        <v>.005</v>
      </c>
      <c r="S102" s="15" t="str">
        <f ca="1">IFERROR(__xludf.dummyfunction("VLOOKUP(R102, IMPORTRANGE(""https://docs.google.com/spreadsheets/d/1yDAaXNsi4Mr5FtRQL4tbmSdIzhx6_m4wkOD7IG-k_eo/edit#gid=1336395716"", ""Science!M:N""), 2, FALSE)"),"#N/A")</f>
        <v>#N/A</v>
      </c>
      <c r="T102" s="1" t="str">
        <f t="shared" si="23"/>
        <v>.006</v>
      </c>
      <c r="U102" s="15" t="str">
        <f ca="1">IFERROR(__xludf.dummyfunction("VLOOKUP(T102, IMPORTRANGE(""https://docs.google.com/spreadsheets/d/1yDAaXNsi4Mr5FtRQL4tbmSdIzhx6_m4wkOD7IG-k_eo/edit#gid=1336395716"", ""Science!M:N""), 2, FALSE)"),"#N/A")</f>
        <v>#N/A</v>
      </c>
      <c r="V102" s="1"/>
      <c r="W102" s="1"/>
      <c r="X102" s="1"/>
      <c r="Y102" s="1"/>
      <c r="Z102" s="1"/>
      <c r="AA102" s="1"/>
      <c r="AB102" s="1"/>
      <c r="AC102" s="1"/>
      <c r="AD102" s="1"/>
      <c r="AE102" s="1"/>
      <c r="AF102" s="1"/>
      <c r="AG102" s="1"/>
    </row>
    <row r="103" spans="1:33" ht="13.8">
      <c r="A103" s="1"/>
      <c r="B103" s="1"/>
      <c r="C103" s="1"/>
      <c r="D103" s="1"/>
      <c r="E103" s="1"/>
      <c r="F103" s="1"/>
      <c r="G103" s="1"/>
      <c r="H103" s="1"/>
      <c r="I103" s="1"/>
      <c r="J103" s="1" t="str">
        <f t="shared" si="18"/>
        <v>.001</v>
      </c>
      <c r="K103" s="1" t="str">
        <f ca="1">IFERROR(__xludf.dummyfunction("VLOOKUP(J103, IMPORTRANGE(""https://docs.google.com/spreadsheets/d/1yDAaXNsi4Mr5FtRQL4tbmSdIzhx6_m4wkOD7IG-k_eo/edit#gid=1336395716"", ""Science!M:N""), 2, FALSE)"),"#N/A")</f>
        <v>#N/A</v>
      </c>
      <c r="L103" s="1" t="str">
        <f t="shared" si="19"/>
        <v>.002</v>
      </c>
      <c r="M103" s="1" t="str">
        <f ca="1">IFERROR(__xludf.dummyfunction("VLOOKUP(L103, IMPORTRANGE(""https://docs.google.com/spreadsheets/d/1yDAaXNsi4Mr5FtRQL4tbmSdIzhx6_m4wkOD7IG-k_eo/edit#gid=1336395716"", ""Science!M:N""), 2, FALSE)"),"#N/A")</f>
        <v>#N/A</v>
      </c>
      <c r="N103" s="1" t="str">
        <f t="shared" si="20"/>
        <v>.003</v>
      </c>
      <c r="O103" s="1" t="str">
        <f ca="1">IFERROR(__xludf.dummyfunction("VLOOKUP(N103, IMPORTRANGE(""https://docs.google.com/spreadsheets/d/1yDAaXNsi4Mr5FtRQL4tbmSdIzhx6_m4wkOD7IG-k_eo/edit#gid=1336395716"", ""Science!M:N""), 2, FALSE)"),"#N/A")</f>
        <v>#N/A</v>
      </c>
      <c r="P103" s="1" t="str">
        <f t="shared" si="21"/>
        <v>.004</v>
      </c>
      <c r="Q103" s="15" t="str">
        <f ca="1">IFERROR(__xludf.dummyfunction("VLOOKUP(P103, IMPORTRANGE(""https://docs.google.com/spreadsheets/d/1yDAaXNsi4Mr5FtRQL4tbmSdIzhx6_m4wkOD7IG-k_eo/edit#gid=1336395716"", ""Science!M:N""), 2, FALSE)"),"#N/A")</f>
        <v>#N/A</v>
      </c>
      <c r="R103" s="1" t="str">
        <f t="shared" si="22"/>
        <v>.005</v>
      </c>
      <c r="S103" s="15" t="str">
        <f ca="1">IFERROR(__xludf.dummyfunction("VLOOKUP(R103, IMPORTRANGE(""https://docs.google.com/spreadsheets/d/1yDAaXNsi4Mr5FtRQL4tbmSdIzhx6_m4wkOD7IG-k_eo/edit#gid=1336395716"", ""Science!M:N""), 2, FALSE)"),"#N/A")</f>
        <v>#N/A</v>
      </c>
      <c r="T103" s="1" t="str">
        <f t="shared" si="23"/>
        <v>.006</v>
      </c>
      <c r="U103" s="15" t="str">
        <f ca="1">IFERROR(__xludf.dummyfunction("VLOOKUP(T103, IMPORTRANGE(""https://docs.google.com/spreadsheets/d/1yDAaXNsi4Mr5FtRQL4tbmSdIzhx6_m4wkOD7IG-k_eo/edit#gid=1336395716"", ""Science!M:N""), 2, FALSE)"),"#N/A")</f>
        <v>#N/A</v>
      </c>
      <c r="V103" s="1"/>
      <c r="W103" s="1"/>
      <c r="X103" s="1"/>
      <c r="Y103" s="1"/>
      <c r="Z103" s="1"/>
      <c r="AA103" s="1"/>
      <c r="AB103" s="1"/>
      <c r="AC103" s="1"/>
      <c r="AD103" s="1"/>
      <c r="AE103" s="1"/>
      <c r="AF103" s="1"/>
      <c r="AG103" s="1"/>
    </row>
    <row r="104" spans="1:33" ht="13.8">
      <c r="A104" s="1"/>
      <c r="B104" s="1"/>
      <c r="C104" s="1"/>
      <c r="D104" s="1"/>
      <c r="E104" s="1"/>
      <c r="F104" s="1"/>
      <c r="G104" s="1"/>
      <c r="H104" s="1"/>
      <c r="I104" s="1"/>
      <c r="J104" s="1" t="str">
        <f t="shared" si="18"/>
        <v>.001</v>
      </c>
      <c r="K104" s="1" t="str">
        <f ca="1">IFERROR(__xludf.dummyfunction("VLOOKUP(J104, IMPORTRANGE(""https://docs.google.com/spreadsheets/d/1yDAaXNsi4Mr5FtRQL4tbmSdIzhx6_m4wkOD7IG-k_eo/edit#gid=1336395716"", ""Science!M:N""), 2, FALSE)"),"#N/A")</f>
        <v>#N/A</v>
      </c>
      <c r="L104" s="1" t="str">
        <f t="shared" si="19"/>
        <v>.002</v>
      </c>
      <c r="M104" s="1" t="str">
        <f ca="1">IFERROR(__xludf.dummyfunction("VLOOKUP(L104, IMPORTRANGE(""https://docs.google.com/spreadsheets/d/1yDAaXNsi4Mr5FtRQL4tbmSdIzhx6_m4wkOD7IG-k_eo/edit#gid=1336395716"", ""Science!M:N""), 2, FALSE)"),"#N/A")</f>
        <v>#N/A</v>
      </c>
      <c r="N104" s="1" t="str">
        <f t="shared" si="20"/>
        <v>.003</v>
      </c>
      <c r="O104" s="1" t="str">
        <f ca="1">IFERROR(__xludf.dummyfunction("VLOOKUP(N104, IMPORTRANGE(""https://docs.google.com/spreadsheets/d/1yDAaXNsi4Mr5FtRQL4tbmSdIzhx6_m4wkOD7IG-k_eo/edit#gid=1336395716"", ""Science!M:N""), 2, FALSE)"),"#N/A")</f>
        <v>#N/A</v>
      </c>
      <c r="P104" s="1" t="str">
        <f t="shared" si="21"/>
        <v>.004</v>
      </c>
      <c r="Q104" s="15" t="str">
        <f ca="1">IFERROR(__xludf.dummyfunction("VLOOKUP(P104, IMPORTRANGE(""https://docs.google.com/spreadsheets/d/1yDAaXNsi4Mr5FtRQL4tbmSdIzhx6_m4wkOD7IG-k_eo/edit#gid=1336395716"", ""Science!M:N""), 2, FALSE)"),"#N/A")</f>
        <v>#N/A</v>
      </c>
      <c r="R104" s="1" t="str">
        <f t="shared" si="22"/>
        <v>.005</v>
      </c>
      <c r="S104" s="15" t="str">
        <f ca="1">IFERROR(__xludf.dummyfunction("VLOOKUP(R104, IMPORTRANGE(""https://docs.google.com/spreadsheets/d/1yDAaXNsi4Mr5FtRQL4tbmSdIzhx6_m4wkOD7IG-k_eo/edit#gid=1336395716"", ""Science!M:N""), 2, FALSE)"),"#N/A")</f>
        <v>#N/A</v>
      </c>
      <c r="T104" s="1" t="str">
        <f t="shared" si="23"/>
        <v>.006</v>
      </c>
      <c r="U104" s="15" t="str">
        <f ca="1">IFERROR(__xludf.dummyfunction("VLOOKUP(T104, IMPORTRANGE(""https://docs.google.com/spreadsheets/d/1yDAaXNsi4Mr5FtRQL4tbmSdIzhx6_m4wkOD7IG-k_eo/edit#gid=1336395716"", ""Science!M:N""), 2, FALSE)"),"#N/A")</f>
        <v>#N/A</v>
      </c>
      <c r="V104" s="1"/>
      <c r="W104" s="1"/>
      <c r="X104" s="1"/>
      <c r="Y104" s="1"/>
      <c r="Z104" s="1"/>
      <c r="AA104" s="1"/>
      <c r="AB104" s="1"/>
      <c r="AC104" s="1"/>
      <c r="AD104" s="1"/>
      <c r="AE104" s="1"/>
      <c r="AF104" s="1"/>
      <c r="AG104" s="1"/>
    </row>
    <row r="105" spans="1:33" ht="13.8">
      <c r="A105" s="1"/>
      <c r="B105" s="1"/>
      <c r="C105" s="1"/>
      <c r="D105" s="1"/>
      <c r="E105" s="1"/>
      <c r="F105" s="1"/>
      <c r="G105" s="1"/>
      <c r="H105" s="1"/>
      <c r="I105" s="1"/>
      <c r="J105" s="1" t="str">
        <f t="shared" si="18"/>
        <v>.001</v>
      </c>
      <c r="K105" s="1" t="str">
        <f ca="1">IFERROR(__xludf.dummyfunction("VLOOKUP(J105, IMPORTRANGE(""https://docs.google.com/spreadsheets/d/1yDAaXNsi4Mr5FtRQL4tbmSdIzhx6_m4wkOD7IG-k_eo/edit#gid=1336395716"", ""Science!M:N""), 2, FALSE)"),"#N/A")</f>
        <v>#N/A</v>
      </c>
      <c r="L105" s="1" t="str">
        <f t="shared" si="19"/>
        <v>.002</v>
      </c>
      <c r="M105" s="1" t="str">
        <f ca="1">IFERROR(__xludf.dummyfunction("VLOOKUP(L105, IMPORTRANGE(""https://docs.google.com/spreadsheets/d/1yDAaXNsi4Mr5FtRQL4tbmSdIzhx6_m4wkOD7IG-k_eo/edit#gid=1336395716"", ""Science!M:N""), 2, FALSE)"),"#N/A")</f>
        <v>#N/A</v>
      </c>
      <c r="N105" s="1" t="str">
        <f t="shared" si="20"/>
        <v>.003</v>
      </c>
      <c r="O105" s="1" t="str">
        <f ca="1">IFERROR(__xludf.dummyfunction("VLOOKUP(N105, IMPORTRANGE(""https://docs.google.com/spreadsheets/d/1yDAaXNsi4Mr5FtRQL4tbmSdIzhx6_m4wkOD7IG-k_eo/edit#gid=1336395716"", ""Science!M:N""), 2, FALSE)"),"#N/A")</f>
        <v>#N/A</v>
      </c>
      <c r="P105" s="1" t="str">
        <f t="shared" si="21"/>
        <v>.004</v>
      </c>
      <c r="Q105" s="15" t="str">
        <f ca="1">IFERROR(__xludf.dummyfunction("VLOOKUP(P105, IMPORTRANGE(""https://docs.google.com/spreadsheets/d/1yDAaXNsi4Mr5FtRQL4tbmSdIzhx6_m4wkOD7IG-k_eo/edit#gid=1336395716"", ""Science!M:N""), 2, FALSE)"),"#N/A")</f>
        <v>#N/A</v>
      </c>
      <c r="R105" s="1" t="str">
        <f t="shared" si="22"/>
        <v>.005</v>
      </c>
      <c r="S105" s="15" t="str">
        <f ca="1">IFERROR(__xludf.dummyfunction("VLOOKUP(R105, IMPORTRANGE(""https://docs.google.com/spreadsheets/d/1yDAaXNsi4Mr5FtRQL4tbmSdIzhx6_m4wkOD7IG-k_eo/edit#gid=1336395716"", ""Science!M:N""), 2, FALSE)"),"#N/A")</f>
        <v>#N/A</v>
      </c>
      <c r="T105" s="1" t="str">
        <f t="shared" si="23"/>
        <v>.006</v>
      </c>
      <c r="U105" s="15" t="str">
        <f ca="1">IFERROR(__xludf.dummyfunction("VLOOKUP(T105, IMPORTRANGE(""https://docs.google.com/spreadsheets/d/1yDAaXNsi4Mr5FtRQL4tbmSdIzhx6_m4wkOD7IG-k_eo/edit#gid=1336395716"", ""Science!M:N""), 2, FALSE)"),"#N/A")</f>
        <v>#N/A</v>
      </c>
      <c r="V105" s="1"/>
      <c r="W105" s="1"/>
      <c r="X105" s="1"/>
      <c r="Y105" s="1"/>
      <c r="Z105" s="1"/>
      <c r="AA105" s="1"/>
      <c r="AB105" s="1"/>
      <c r="AC105" s="1"/>
      <c r="AD105" s="1"/>
      <c r="AE105" s="1"/>
      <c r="AF105" s="1"/>
      <c r="AG105" s="1"/>
    </row>
    <row r="106" spans="1:33" ht="13.8">
      <c r="A106" s="1"/>
      <c r="B106" s="1"/>
      <c r="C106" s="1"/>
      <c r="D106" s="1"/>
      <c r="E106" s="1"/>
      <c r="F106" s="1"/>
      <c r="G106" s="1"/>
      <c r="H106" s="1"/>
      <c r="I106" s="1"/>
      <c r="J106" s="1" t="str">
        <f t="shared" si="18"/>
        <v>.001</v>
      </c>
      <c r="K106" s="1" t="str">
        <f ca="1">IFERROR(__xludf.dummyfunction("VLOOKUP(J106, IMPORTRANGE(""https://docs.google.com/spreadsheets/d/1yDAaXNsi4Mr5FtRQL4tbmSdIzhx6_m4wkOD7IG-k_eo/edit#gid=1336395716"", ""Science!M:N""), 2, FALSE)"),"#N/A")</f>
        <v>#N/A</v>
      </c>
      <c r="L106" s="1" t="str">
        <f t="shared" si="19"/>
        <v>.002</v>
      </c>
      <c r="M106" s="1" t="str">
        <f ca="1">IFERROR(__xludf.dummyfunction("VLOOKUP(L106, IMPORTRANGE(""https://docs.google.com/spreadsheets/d/1yDAaXNsi4Mr5FtRQL4tbmSdIzhx6_m4wkOD7IG-k_eo/edit#gid=1336395716"", ""Science!M:N""), 2, FALSE)"),"#N/A")</f>
        <v>#N/A</v>
      </c>
      <c r="N106" s="1" t="str">
        <f t="shared" si="20"/>
        <v>.003</v>
      </c>
      <c r="O106" s="1" t="str">
        <f ca="1">IFERROR(__xludf.dummyfunction("VLOOKUP(N106, IMPORTRANGE(""https://docs.google.com/spreadsheets/d/1yDAaXNsi4Mr5FtRQL4tbmSdIzhx6_m4wkOD7IG-k_eo/edit#gid=1336395716"", ""Science!M:N""), 2, FALSE)"),"#N/A")</f>
        <v>#N/A</v>
      </c>
      <c r="P106" s="1" t="str">
        <f t="shared" si="21"/>
        <v>.004</v>
      </c>
      <c r="Q106" s="15" t="str">
        <f ca="1">IFERROR(__xludf.dummyfunction("VLOOKUP(P106, IMPORTRANGE(""https://docs.google.com/spreadsheets/d/1yDAaXNsi4Mr5FtRQL4tbmSdIzhx6_m4wkOD7IG-k_eo/edit#gid=1336395716"", ""Science!M:N""), 2, FALSE)"),"#N/A")</f>
        <v>#N/A</v>
      </c>
      <c r="R106" s="1" t="str">
        <f t="shared" si="22"/>
        <v>.005</v>
      </c>
      <c r="S106" s="15" t="str">
        <f ca="1">IFERROR(__xludf.dummyfunction("VLOOKUP(R106, IMPORTRANGE(""https://docs.google.com/spreadsheets/d/1yDAaXNsi4Mr5FtRQL4tbmSdIzhx6_m4wkOD7IG-k_eo/edit#gid=1336395716"", ""Science!M:N""), 2, FALSE)"),"#N/A")</f>
        <v>#N/A</v>
      </c>
      <c r="T106" s="1" t="str">
        <f t="shared" si="23"/>
        <v>.006</v>
      </c>
      <c r="U106" s="15" t="str">
        <f ca="1">IFERROR(__xludf.dummyfunction("VLOOKUP(T106, IMPORTRANGE(""https://docs.google.com/spreadsheets/d/1yDAaXNsi4Mr5FtRQL4tbmSdIzhx6_m4wkOD7IG-k_eo/edit#gid=1336395716"", ""Science!M:N""), 2, FALSE)"),"#N/A")</f>
        <v>#N/A</v>
      </c>
      <c r="V106" s="1"/>
      <c r="W106" s="1"/>
      <c r="X106" s="1"/>
      <c r="Y106" s="1"/>
      <c r="Z106" s="1"/>
      <c r="AA106" s="1"/>
      <c r="AB106" s="1"/>
      <c r="AC106" s="1"/>
      <c r="AD106" s="1"/>
      <c r="AE106" s="1"/>
      <c r="AF106" s="1"/>
      <c r="AG106" s="1"/>
    </row>
    <row r="107" spans="1:33" ht="13.8">
      <c r="A107" s="1"/>
      <c r="B107" s="1"/>
      <c r="C107" s="1"/>
      <c r="D107" s="1"/>
      <c r="E107" s="1"/>
      <c r="F107" s="1"/>
      <c r="G107" s="1"/>
      <c r="H107" s="1"/>
      <c r="I107" s="1"/>
      <c r="J107" s="1" t="str">
        <f t="shared" si="18"/>
        <v>.001</v>
      </c>
      <c r="K107" s="1" t="str">
        <f ca="1">IFERROR(__xludf.dummyfunction("VLOOKUP(J107, IMPORTRANGE(""https://docs.google.com/spreadsheets/d/1yDAaXNsi4Mr5FtRQL4tbmSdIzhx6_m4wkOD7IG-k_eo/edit#gid=1336395716"", ""Science!M:N""), 2, FALSE)"),"#N/A")</f>
        <v>#N/A</v>
      </c>
      <c r="L107" s="1" t="str">
        <f t="shared" si="19"/>
        <v>.002</v>
      </c>
      <c r="M107" s="1" t="str">
        <f ca="1">IFERROR(__xludf.dummyfunction("VLOOKUP(L107, IMPORTRANGE(""https://docs.google.com/spreadsheets/d/1yDAaXNsi4Mr5FtRQL4tbmSdIzhx6_m4wkOD7IG-k_eo/edit#gid=1336395716"", ""Science!M:N""), 2, FALSE)"),"#N/A")</f>
        <v>#N/A</v>
      </c>
      <c r="N107" s="1" t="str">
        <f t="shared" si="20"/>
        <v>.003</v>
      </c>
      <c r="O107" s="1" t="str">
        <f ca="1">IFERROR(__xludf.dummyfunction("VLOOKUP(N107, IMPORTRANGE(""https://docs.google.com/spreadsheets/d/1yDAaXNsi4Mr5FtRQL4tbmSdIzhx6_m4wkOD7IG-k_eo/edit#gid=1336395716"", ""Science!M:N""), 2, FALSE)"),"#N/A")</f>
        <v>#N/A</v>
      </c>
      <c r="P107" s="1" t="str">
        <f t="shared" si="21"/>
        <v>.004</v>
      </c>
      <c r="Q107" s="15" t="str">
        <f ca="1">IFERROR(__xludf.dummyfunction("VLOOKUP(P107, IMPORTRANGE(""https://docs.google.com/spreadsheets/d/1yDAaXNsi4Mr5FtRQL4tbmSdIzhx6_m4wkOD7IG-k_eo/edit#gid=1336395716"", ""Science!M:N""), 2, FALSE)"),"#N/A")</f>
        <v>#N/A</v>
      </c>
      <c r="R107" s="1" t="str">
        <f t="shared" si="22"/>
        <v>.005</v>
      </c>
      <c r="S107" s="15" t="str">
        <f ca="1">IFERROR(__xludf.dummyfunction("VLOOKUP(R107, IMPORTRANGE(""https://docs.google.com/spreadsheets/d/1yDAaXNsi4Mr5FtRQL4tbmSdIzhx6_m4wkOD7IG-k_eo/edit#gid=1336395716"", ""Science!M:N""), 2, FALSE)"),"#N/A")</f>
        <v>#N/A</v>
      </c>
      <c r="T107" s="1" t="str">
        <f t="shared" si="23"/>
        <v>.006</v>
      </c>
      <c r="U107" s="15" t="str">
        <f ca="1">IFERROR(__xludf.dummyfunction("VLOOKUP(T107, IMPORTRANGE(""https://docs.google.com/spreadsheets/d/1yDAaXNsi4Mr5FtRQL4tbmSdIzhx6_m4wkOD7IG-k_eo/edit#gid=1336395716"", ""Science!M:N""), 2, FALSE)"),"#N/A")</f>
        <v>#N/A</v>
      </c>
      <c r="V107" s="1"/>
      <c r="W107" s="1"/>
      <c r="X107" s="1"/>
      <c r="Y107" s="1"/>
      <c r="Z107" s="1"/>
      <c r="AA107" s="1"/>
      <c r="AB107" s="1"/>
      <c r="AC107" s="1"/>
      <c r="AD107" s="1"/>
      <c r="AE107" s="1"/>
      <c r="AF107" s="1"/>
      <c r="AG107" s="1"/>
    </row>
    <row r="108" spans="1:33" ht="13.8">
      <c r="A108" s="1"/>
      <c r="B108" s="1"/>
      <c r="C108" s="1"/>
      <c r="D108" s="1"/>
      <c r="E108" s="1"/>
      <c r="F108" s="1"/>
      <c r="G108" s="1"/>
      <c r="H108" s="1"/>
      <c r="I108" s="1"/>
      <c r="J108" s="1" t="str">
        <f t="shared" si="18"/>
        <v>.001</v>
      </c>
      <c r="K108" s="1" t="str">
        <f ca="1">IFERROR(__xludf.dummyfunction("VLOOKUP(J108, IMPORTRANGE(""https://docs.google.com/spreadsheets/d/1yDAaXNsi4Mr5FtRQL4tbmSdIzhx6_m4wkOD7IG-k_eo/edit#gid=1336395716"", ""Science!M:N""), 2, FALSE)"),"#N/A")</f>
        <v>#N/A</v>
      </c>
      <c r="L108" s="1" t="str">
        <f t="shared" si="19"/>
        <v>.002</v>
      </c>
      <c r="M108" s="1" t="str">
        <f ca="1">IFERROR(__xludf.dummyfunction("VLOOKUP(L108, IMPORTRANGE(""https://docs.google.com/spreadsheets/d/1yDAaXNsi4Mr5FtRQL4tbmSdIzhx6_m4wkOD7IG-k_eo/edit#gid=1336395716"", ""Science!M:N""), 2, FALSE)"),"#N/A")</f>
        <v>#N/A</v>
      </c>
      <c r="N108" s="1" t="str">
        <f t="shared" si="20"/>
        <v>.003</v>
      </c>
      <c r="O108" s="1" t="str">
        <f ca="1">IFERROR(__xludf.dummyfunction("VLOOKUP(N108, IMPORTRANGE(""https://docs.google.com/spreadsheets/d/1yDAaXNsi4Mr5FtRQL4tbmSdIzhx6_m4wkOD7IG-k_eo/edit#gid=1336395716"", ""Science!M:N""), 2, FALSE)"),"#N/A")</f>
        <v>#N/A</v>
      </c>
      <c r="P108" s="1" t="str">
        <f t="shared" si="21"/>
        <v>.004</v>
      </c>
      <c r="Q108" s="15" t="str">
        <f ca="1">IFERROR(__xludf.dummyfunction("VLOOKUP(P108, IMPORTRANGE(""https://docs.google.com/spreadsheets/d/1yDAaXNsi4Mr5FtRQL4tbmSdIzhx6_m4wkOD7IG-k_eo/edit#gid=1336395716"", ""Science!M:N""), 2, FALSE)"),"#N/A")</f>
        <v>#N/A</v>
      </c>
      <c r="R108" s="1" t="str">
        <f t="shared" si="22"/>
        <v>.005</v>
      </c>
      <c r="S108" s="15" t="str">
        <f ca="1">IFERROR(__xludf.dummyfunction("VLOOKUP(R108, IMPORTRANGE(""https://docs.google.com/spreadsheets/d/1yDAaXNsi4Mr5FtRQL4tbmSdIzhx6_m4wkOD7IG-k_eo/edit#gid=1336395716"", ""Science!M:N""), 2, FALSE)"),"#N/A")</f>
        <v>#N/A</v>
      </c>
      <c r="T108" s="1" t="str">
        <f t="shared" si="23"/>
        <v>.006</v>
      </c>
      <c r="U108" s="15" t="str">
        <f ca="1">IFERROR(__xludf.dummyfunction("VLOOKUP(T108, IMPORTRANGE(""https://docs.google.com/spreadsheets/d/1yDAaXNsi4Mr5FtRQL4tbmSdIzhx6_m4wkOD7IG-k_eo/edit#gid=1336395716"", ""Science!M:N""), 2, FALSE)"),"#N/A")</f>
        <v>#N/A</v>
      </c>
      <c r="V108" s="1"/>
      <c r="W108" s="1"/>
      <c r="X108" s="1"/>
      <c r="Y108" s="1"/>
      <c r="Z108" s="1"/>
      <c r="AA108" s="1"/>
      <c r="AB108" s="1"/>
      <c r="AC108" s="1"/>
      <c r="AD108" s="1"/>
      <c r="AE108" s="1"/>
      <c r="AF108" s="1"/>
      <c r="AG108" s="1"/>
    </row>
    <row r="109" spans="1:33" ht="13.8">
      <c r="A109" s="1"/>
      <c r="B109" s="1"/>
      <c r="C109" s="1"/>
      <c r="D109" s="1"/>
      <c r="E109" s="1"/>
      <c r="F109" s="1"/>
      <c r="G109" s="1"/>
      <c r="H109" s="1"/>
      <c r="I109" s="1"/>
      <c r="J109" s="1" t="str">
        <f t="shared" si="18"/>
        <v>.001</v>
      </c>
      <c r="K109" s="1" t="str">
        <f ca="1">IFERROR(__xludf.dummyfunction("VLOOKUP(J109, IMPORTRANGE(""https://docs.google.com/spreadsheets/d/1yDAaXNsi4Mr5FtRQL4tbmSdIzhx6_m4wkOD7IG-k_eo/edit#gid=1336395716"", ""Science!M:N""), 2, FALSE)"),"#N/A")</f>
        <v>#N/A</v>
      </c>
      <c r="L109" s="1" t="str">
        <f t="shared" si="19"/>
        <v>.002</v>
      </c>
      <c r="M109" s="1" t="str">
        <f ca="1">IFERROR(__xludf.dummyfunction("VLOOKUP(L109, IMPORTRANGE(""https://docs.google.com/spreadsheets/d/1yDAaXNsi4Mr5FtRQL4tbmSdIzhx6_m4wkOD7IG-k_eo/edit#gid=1336395716"", ""Science!M:N""), 2, FALSE)"),"#N/A")</f>
        <v>#N/A</v>
      </c>
      <c r="N109" s="1" t="str">
        <f t="shared" si="20"/>
        <v>.003</v>
      </c>
      <c r="O109" s="1" t="str">
        <f ca="1">IFERROR(__xludf.dummyfunction("VLOOKUP(N109, IMPORTRANGE(""https://docs.google.com/spreadsheets/d/1yDAaXNsi4Mr5FtRQL4tbmSdIzhx6_m4wkOD7IG-k_eo/edit#gid=1336395716"", ""Science!M:N""), 2, FALSE)"),"#N/A")</f>
        <v>#N/A</v>
      </c>
      <c r="P109" s="1" t="str">
        <f t="shared" si="21"/>
        <v>.004</v>
      </c>
      <c r="Q109" s="15" t="str">
        <f ca="1">IFERROR(__xludf.dummyfunction("VLOOKUP(P109, IMPORTRANGE(""https://docs.google.com/spreadsheets/d/1yDAaXNsi4Mr5FtRQL4tbmSdIzhx6_m4wkOD7IG-k_eo/edit#gid=1336395716"", ""Science!M:N""), 2, FALSE)"),"#N/A")</f>
        <v>#N/A</v>
      </c>
      <c r="R109" s="1" t="str">
        <f t="shared" si="22"/>
        <v>.005</v>
      </c>
      <c r="S109" s="15" t="str">
        <f ca="1">IFERROR(__xludf.dummyfunction("VLOOKUP(R109, IMPORTRANGE(""https://docs.google.com/spreadsheets/d/1yDAaXNsi4Mr5FtRQL4tbmSdIzhx6_m4wkOD7IG-k_eo/edit#gid=1336395716"", ""Science!M:N""), 2, FALSE)"),"#N/A")</f>
        <v>#N/A</v>
      </c>
      <c r="T109" s="1" t="str">
        <f t="shared" si="23"/>
        <v>.006</v>
      </c>
      <c r="U109" s="15" t="str">
        <f ca="1">IFERROR(__xludf.dummyfunction("VLOOKUP(T109, IMPORTRANGE(""https://docs.google.com/spreadsheets/d/1yDAaXNsi4Mr5FtRQL4tbmSdIzhx6_m4wkOD7IG-k_eo/edit#gid=1336395716"", ""Science!M:N""), 2, FALSE)"),"#N/A")</f>
        <v>#N/A</v>
      </c>
      <c r="V109" s="1"/>
      <c r="W109" s="1"/>
      <c r="X109" s="1"/>
      <c r="Y109" s="1"/>
      <c r="Z109" s="1"/>
      <c r="AA109" s="1"/>
      <c r="AB109" s="1"/>
      <c r="AC109" s="1"/>
      <c r="AD109" s="1"/>
      <c r="AE109" s="1"/>
      <c r="AF109" s="1"/>
      <c r="AG109" s="1"/>
    </row>
    <row r="110" spans="1:33" ht="13.8">
      <c r="A110" s="1"/>
      <c r="B110" s="1"/>
      <c r="C110" s="1"/>
      <c r="D110" s="1"/>
      <c r="E110" s="1"/>
      <c r="F110" s="1"/>
      <c r="G110" s="1"/>
      <c r="H110" s="1"/>
      <c r="I110" s="1"/>
      <c r="J110" s="1" t="str">
        <f t="shared" si="18"/>
        <v>.001</v>
      </c>
      <c r="K110" s="1" t="str">
        <f ca="1">IFERROR(__xludf.dummyfunction("VLOOKUP(J110, IMPORTRANGE(""https://docs.google.com/spreadsheets/d/1yDAaXNsi4Mr5FtRQL4tbmSdIzhx6_m4wkOD7IG-k_eo/edit#gid=1336395716"", ""Science!M:N""), 2, FALSE)"),"#N/A")</f>
        <v>#N/A</v>
      </c>
      <c r="L110" s="1" t="str">
        <f t="shared" si="19"/>
        <v>.002</v>
      </c>
      <c r="M110" s="1" t="str">
        <f ca="1">IFERROR(__xludf.dummyfunction("VLOOKUP(L110, IMPORTRANGE(""https://docs.google.com/spreadsheets/d/1yDAaXNsi4Mr5FtRQL4tbmSdIzhx6_m4wkOD7IG-k_eo/edit#gid=1336395716"", ""Science!M:N""), 2, FALSE)"),"#N/A")</f>
        <v>#N/A</v>
      </c>
      <c r="N110" s="1" t="str">
        <f t="shared" si="20"/>
        <v>.003</v>
      </c>
      <c r="O110" s="1" t="str">
        <f ca="1">IFERROR(__xludf.dummyfunction("VLOOKUP(N110, IMPORTRANGE(""https://docs.google.com/spreadsheets/d/1yDAaXNsi4Mr5FtRQL4tbmSdIzhx6_m4wkOD7IG-k_eo/edit#gid=1336395716"", ""Science!M:N""), 2, FALSE)"),"#N/A")</f>
        <v>#N/A</v>
      </c>
      <c r="P110" s="1" t="str">
        <f t="shared" si="21"/>
        <v>.004</v>
      </c>
      <c r="Q110" s="15" t="str">
        <f ca="1">IFERROR(__xludf.dummyfunction("VLOOKUP(P110, IMPORTRANGE(""https://docs.google.com/spreadsheets/d/1yDAaXNsi4Mr5FtRQL4tbmSdIzhx6_m4wkOD7IG-k_eo/edit#gid=1336395716"", ""Science!M:N""), 2, FALSE)"),"#N/A")</f>
        <v>#N/A</v>
      </c>
      <c r="R110" s="1" t="str">
        <f t="shared" si="22"/>
        <v>.005</v>
      </c>
      <c r="S110" s="15" t="str">
        <f ca="1">IFERROR(__xludf.dummyfunction("VLOOKUP(R110, IMPORTRANGE(""https://docs.google.com/spreadsheets/d/1yDAaXNsi4Mr5FtRQL4tbmSdIzhx6_m4wkOD7IG-k_eo/edit#gid=1336395716"", ""Science!M:N""), 2, FALSE)"),"#N/A")</f>
        <v>#N/A</v>
      </c>
      <c r="T110" s="1" t="str">
        <f t="shared" si="23"/>
        <v>.006</v>
      </c>
      <c r="U110" s="15" t="str">
        <f ca="1">IFERROR(__xludf.dummyfunction("VLOOKUP(T110, IMPORTRANGE(""https://docs.google.com/spreadsheets/d/1yDAaXNsi4Mr5FtRQL4tbmSdIzhx6_m4wkOD7IG-k_eo/edit#gid=1336395716"", ""Science!M:N""), 2, FALSE)"),"#N/A")</f>
        <v>#N/A</v>
      </c>
      <c r="V110" s="1"/>
      <c r="W110" s="1"/>
      <c r="X110" s="1"/>
      <c r="Y110" s="1"/>
      <c r="Z110" s="1"/>
      <c r="AA110" s="1"/>
      <c r="AB110" s="1"/>
      <c r="AC110" s="1"/>
      <c r="AD110" s="1"/>
      <c r="AE110" s="1"/>
      <c r="AF110" s="1"/>
      <c r="AG110" s="1"/>
    </row>
    <row r="111" spans="1:33" ht="13.8">
      <c r="A111" s="1"/>
      <c r="B111" s="1"/>
      <c r="C111" s="1"/>
      <c r="D111" s="1"/>
      <c r="E111" s="1"/>
      <c r="F111" s="1"/>
      <c r="G111" s="1"/>
      <c r="H111" s="1"/>
      <c r="I111" s="1"/>
      <c r="J111" s="1" t="str">
        <f t="shared" si="18"/>
        <v>.001</v>
      </c>
      <c r="K111" s="1" t="str">
        <f ca="1">IFERROR(__xludf.dummyfunction("VLOOKUP(J111, IMPORTRANGE(""https://docs.google.com/spreadsheets/d/1yDAaXNsi4Mr5FtRQL4tbmSdIzhx6_m4wkOD7IG-k_eo/edit#gid=1336395716"", ""Science!M:N""), 2, FALSE)"),"#N/A")</f>
        <v>#N/A</v>
      </c>
      <c r="L111" s="1" t="str">
        <f t="shared" si="19"/>
        <v>.002</v>
      </c>
      <c r="M111" s="1" t="str">
        <f ca="1">IFERROR(__xludf.dummyfunction("VLOOKUP(L111, IMPORTRANGE(""https://docs.google.com/spreadsheets/d/1yDAaXNsi4Mr5FtRQL4tbmSdIzhx6_m4wkOD7IG-k_eo/edit#gid=1336395716"", ""Science!M:N""), 2, FALSE)"),"#N/A")</f>
        <v>#N/A</v>
      </c>
      <c r="N111" s="1" t="str">
        <f t="shared" si="20"/>
        <v>.003</v>
      </c>
      <c r="O111" s="1" t="str">
        <f ca="1">IFERROR(__xludf.dummyfunction("VLOOKUP(N111, IMPORTRANGE(""https://docs.google.com/spreadsheets/d/1yDAaXNsi4Mr5FtRQL4tbmSdIzhx6_m4wkOD7IG-k_eo/edit#gid=1336395716"", ""Science!M:N""), 2, FALSE)"),"#N/A")</f>
        <v>#N/A</v>
      </c>
      <c r="P111" s="1" t="str">
        <f t="shared" si="21"/>
        <v>.004</v>
      </c>
      <c r="Q111" s="15" t="str">
        <f ca="1">IFERROR(__xludf.dummyfunction("VLOOKUP(P111, IMPORTRANGE(""https://docs.google.com/spreadsheets/d/1yDAaXNsi4Mr5FtRQL4tbmSdIzhx6_m4wkOD7IG-k_eo/edit#gid=1336395716"", ""Science!M:N""), 2, FALSE)"),"#N/A")</f>
        <v>#N/A</v>
      </c>
      <c r="R111" s="1" t="str">
        <f t="shared" si="22"/>
        <v>.005</v>
      </c>
      <c r="S111" s="15" t="str">
        <f ca="1">IFERROR(__xludf.dummyfunction("VLOOKUP(R111, IMPORTRANGE(""https://docs.google.com/spreadsheets/d/1yDAaXNsi4Mr5FtRQL4tbmSdIzhx6_m4wkOD7IG-k_eo/edit#gid=1336395716"", ""Science!M:N""), 2, FALSE)"),"#N/A")</f>
        <v>#N/A</v>
      </c>
      <c r="T111" s="1" t="str">
        <f t="shared" si="23"/>
        <v>.006</v>
      </c>
      <c r="U111" s="15" t="str">
        <f ca="1">IFERROR(__xludf.dummyfunction("VLOOKUP(T111, IMPORTRANGE(""https://docs.google.com/spreadsheets/d/1yDAaXNsi4Mr5FtRQL4tbmSdIzhx6_m4wkOD7IG-k_eo/edit#gid=1336395716"", ""Science!M:N""), 2, FALSE)"),"#N/A")</f>
        <v>#N/A</v>
      </c>
      <c r="V111" s="1"/>
      <c r="W111" s="1"/>
      <c r="X111" s="1"/>
      <c r="Y111" s="1"/>
      <c r="Z111" s="1"/>
      <c r="AA111" s="1"/>
      <c r="AB111" s="1"/>
      <c r="AC111" s="1"/>
      <c r="AD111" s="1"/>
      <c r="AE111" s="1"/>
      <c r="AF111" s="1"/>
      <c r="AG111" s="1"/>
    </row>
    <row r="112" spans="1:33" ht="13.8">
      <c r="A112" s="1"/>
      <c r="B112" s="1"/>
      <c r="C112" s="1"/>
      <c r="D112" s="1"/>
      <c r="E112" s="1"/>
      <c r="F112" s="1"/>
      <c r="G112" s="1"/>
      <c r="H112" s="1"/>
      <c r="I112" s="1"/>
      <c r="J112" s="1" t="str">
        <f t="shared" si="18"/>
        <v>.001</v>
      </c>
      <c r="K112" s="1" t="str">
        <f ca="1">IFERROR(__xludf.dummyfunction("VLOOKUP(J112, IMPORTRANGE(""https://docs.google.com/spreadsheets/d/1yDAaXNsi4Mr5FtRQL4tbmSdIzhx6_m4wkOD7IG-k_eo/edit#gid=1336395716"", ""Science!M:N""), 2, FALSE)"),"#N/A")</f>
        <v>#N/A</v>
      </c>
      <c r="L112" s="1" t="str">
        <f t="shared" si="19"/>
        <v>.002</v>
      </c>
      <c r="M112" s="1" t="str">
        <f ca="1">IFERROR(__xludf.dummyfunction("VLOOKUP(L112, IMPORTRANGE(""https://docs.google.com/spreadsheets/d/1yDAaXNsi4Mr5FtRQL4tbmSdIzhx6_m4wkOD7IG-k_eo/edit#gid=1336395716"", ""Science!M:N""), 2, FALSE)"),"#N/A")</f>
        <v>#N/A</v>
      </c>
      <c r="N112" s="1" t="str">
        <f t="shared" si="20"/>
        <v>.003</v>
      </c>
      <c r="O112" s="1" t="str">
        <f ca="1">IFERROR(__xludf.dummyfunction("VLOOKUP(N112, IMPORTRANGE(""https://docs.google.com/spreadsheets/d/1yDAaXNsi4Mr5FtRQL4tbmSdIzhx6_m4wkOD7IG-k_eo/edit#gid=1336395716"", ""Science!M:N""), 2, FALSE)"),"#N/A")</f>
        <v>#N/A</v>
      </c>
      <c r="P112" s="1" t="str">
        <f t="shared" si="21"/>
        <v>.004</v>
      </c>
      <c r="Q112" s="15" t="str">
        <f ca="1">IFERROR(__xludf.dummyfunction("VLOOKUP(P112, IMPORTRANGE(""https://docs.google.com/spreadsheets/d/1yDAaXNsi4Mr5FtRQL4tbmSdIzhx6_m4wkOD7IG-k_eo/edit#gid=1336395716"", ""Science!M:N""), 2, FALSE)"),"#N/A")</f>
        <v>#N/A</v>
      </c>
      <c r="R112" s="1" t="str">
        <f t="shared" si="22"/>
        <v>.005</v>
      </c>
      <c r="S112" s="15" t="str">
        <f ca="1">IFERROR(__xludf.dummyfunction("VLOOKUP(R112, IMPORTRANGE(""https://docs.google.com/spreadsheets/d/1yDAaXNsi4Mr5FtRQL4tbmSdIzhx6_m4wkOD7IG-k_eo/edit#gid=1336395716"", ""Science!M:N""), 2, FALSE)"),"#N/A")</f>
        <v>#N/A</v>
      </c>
      <c r="T112" s="1" t="str">
        <f t="shared" si="23"/>
        <v>.006</v>
      </c>
      <c r="U112" s="15" t="str">
        <f ca="1">IFERROR(__xludf.dummyfunction("VLOOKUP(T112, IMPORTRANGE(""https://docs.google.com/spreadsheets/d/1yDAaXNsi4Mr5FtRQL4tbmSdIzhx6_m4wkOD7IG-k_eo/edit#gid=1336395716"", ""Science!M:N""), 2, FALSE)"),"#N/A")</f>
        <v>#N/A</v>
      </c>
      <c r="V112" s="1"/>
      <c r="W112" s="1"/>
      <c r="X112" s="1"/>
      <c r="Y112" s="1"/>
      <c r="Z112" s="1"/>
      <c r="AA112" s="1"/>
      <c r="AB112" s="1"/>
      <c r="AC112" s="1"/>
      <c r="AD112" s="1"/>
      <c r="AE112" s="1"/>
      <c r="AF112" s="1"/>
      <c r="AG112" s="1"/>
    </row>
    <row r="113" spans="1:33" ht="13.8">
      <c r="A113" s="1"/>
      <c r="B113" s="1"/>
      <c r="C113" s="1"/>
      <c r="D113" s="1"/>
      <c r="E113" s="1"/>
      <c r="F113" s="1"/>
      <c r="G113" s="1"/>
      <c r="H113" s="1"/>
      <c r="I113" s="1"/>
      <c r="J113" s="1" t="str">
        <f t="shared" si="18"/>
        <v>.001</v>
      </c>
      <c r="K113" s="1" t="str">
        <f ca="1">IFERROR(__xludf.dummyfunction("VLOOKUP(J113, IMPORTRANGE(""https://docs.google.com/spreadsheets/d/1yDAaXNsi4Mr5FtRQL4tbmSdIzhx6_m4wkOD7IG-k_eo/edit#gid=1336395716"", ""Science!M:N""), 2, FALSE)"),"#N/A")</f>
        <v>#N/A</v>
      </c>
      <c r="L113" s="1" t="str">
        <f t="shared" si="19"/>
        <v>.002</v>
      </c>
      <c r="M113" s="1" t="str">
        <f ca="1">IFERROR(__xludf.dummyfunction("VLOOKUP(L113, IMPORTRANGE(""https://docs.google.com/spreadsheets/d/1yDAaXNsi4Mr5FtRQL4tbmSdIzhx6_m4wkOD7IG-k_eo/edit#gid=1336395716"", ""Science!M:N""), 2, FALSE)"),"#N/A")</f>
        <v>#N/A</v>
      </c>
      <c r="N113" s="1" t="str">
        <f t="shared" si="20"/>
        <v>.003</v>
      </c>
      <c r="O113" s="1" t="str">
        <f ca="1">IFERROR(__xludf.dummyfunction("VLOOKUP(N113, IMPORTRANGE(""https://docs.google.com/spreadsheets/d/1yDAaXNsi4Mr5FtRQL4tbmSdIzhx6_m4wkOD7IG-k_eo/edit#gid=1336395716"", ""Science!M:N""), 2, FALSE)"),"#N/A")</f>
        <v>#N/A</v>
      </c>
      <c r="P113" s="1" t="str">
        <f t="shared" si="21"/>
        <v>.004</v>
      </c>
      <c r="Q113" s="15" t="str">
        <f ca="1">IFERROR(__xludf.dummyfunction("VLOOKUP(P113, IMPORTRANGE(""https://docs.google.com/spreadsheets/d/1yDAaXNsi4Mr5FtRQL4tbmSdIzhx6_m4wkOD7IG-k_eo/edit#gid=1336395716"", ""Science!M:N""), 2, FALSE)"),"#N/A")</f>
        <v>#N/A</v>
      </c>
      <c r="R113" s="1" t="str">
        <f t="shared" si="22"/>
        <v>.005</v>
      </c>
      <c r="S113" s="15" t="str">
        <f ca="1">IFERROR(__xludf.dummyfunction("VLOOKUP(R113, IMPORTRANGE(""https://docs.google.com/spreadsheets/d/1yDAaXNsi4Mr5FtRQL4tbmSdIzhx6_m4wkOD7IG-k_eo/edit#gid=1336395716"", ""Science!M:N""), 2, FALSE)"),"#N/A")</f>
        <v>#N/A</v>
      </c>
      <c r="T113" s="1" t="str">
        <f t="shared" si="23"/>
        <v>.006</v>
      </c>
      <c r="U113" s="15" t="str">
        <f ca="1">IFERROR(__xludf.dummyfunction("VLOOKUP(T113, IMPORTRANGE(""https://docs.google.com/spreadsheets/d/1yDAaXNsi4Mr5FtRQL4tbmSdIzhx6_m4wkOD7IG-k_eo/edit#gid=1336395716"", ""Science!M:N""), 2, FALSE)"),"#N/A")</f>
        <v>#N/A</v>
      </c>
      <c r="V113" s="1"/>
      <c r="W113" s="1"/>
      <c r="X113" s="1"/>
      <c r="Y113" s="1"/>
      <c r="Z113" s="1"/>
      <c r="AA113" s="1"/>
      <c r="AB113" s="1"/>
      <c r="AC113" s="1"/>
      <c r="AD113" s="1"/>
      <c r="AE113" s="1"/>
      <c r="AF113" s="1"/>
      <c r="AG113" s="1"/>
    </row>
    <row r="114" spans="1:33" ht="13.8">
      <c r="A114" s="1"/>
      <c r="B114" s="1"/>
      <c r="C114" s="1"/>
      <c r="D114" s="1"/>
      <c r="E114" s="1"/>
      <c r="F114" s="1"/>
      <c r="G114" s="1"/>
      <c r="H114" s="1"/>
      <c r="I114" s="1"/>
      <c r="J114" s="1" t="str">
        <f t="shared" si="18"/>
        <v>.001</v>
      </c>
      <c r="K114" s="1" t="str">
        <f ca="1">IFERROR(__xludf.dummyfunction("VLOOKUP(J114, IMPORTRANGE(""https://docs.google.com/spreadsheets/d/1yDAaXNsi4Mr5FtRQL4tbmSdIzhx6_m4wkOD7IG-k_eo/edit#gid=1336395716"", ""Science!M:N""), 2, FALSE)"),"#N/A")</f>
        <v>#N/A</v>
      </c>
      <c r="L114" s="1" t="str">
        <f t="shared" si="19"/>
        <v>.002</v>
      </c>
      <c r="M114" s="1" t="str">
        <f ca="1">IFERROR(__xludf.dummyfunction("VLOOKUP(L114, IMPORTRANGE(""https://docs.google.com/spreadsheets/d/1yDAaXNsi4Mr5FtRQL4tbmSdIzhx6_m4wkOD7IG-k_eo/edit#gid=1336395716"", ""Science!M:N""), 2, FALSE)"),"#N/A")</f>
        <v>#N/A</v>
      </c>
      <c r="N114" s="1" t="str">
        <f t="shared" si="20"/>
        <v>.003</v>
      </c>
      <c r="O114" s="1" t="str">
        <f ca="1">IFERROR(__xludf.dummyfunction("VLOOKUP(N114, IMPORTRANGE(""https://docs.google.com/spreadsheets/d/1yDAaXNsi4Mr5FtRQL4tbmSdIzhx6_m4wkOD7IG-k_eo/edit#gid=1336395716"", ""Science!M:N""), 2, FALSE)"),"#N/A")</f>
        <v>#N/A</v>
      </c>
      <c r="P114" s="1" t="str">
        <f t="shared" si="21"/>
        <v>.004</v>
      </c>
      <c r="Q114" s="15" t="str">
        <f ca="1">IFERROR(__xludf.dummyfunction("VLOOKUP(P114, IMPORTRANGE(""https://docs.google.com/spreadsheets/d/1yDAaXNsi4Mr5FtRQL4tbmSdIzhx6_m4wkOD7IG-k_eo/edit#gid=1336395716"", ""Science!M:N""), 2, FALSE)"),"#N/A")</f>
        <v>#N/A</v>
      </c>
      <c r="R114" s="1" t="str">
        <f t="shared" si="22"/>
        <v>.005</v>
      </c>
      <c r="S114" s="15" t="str">
        <f ca="1">IFERROR(__xludf.dummyfunction("VLOOKUP(R114, IMPORTRANGE(""https://docs.google.com/spreadsheets/d/1yDAaXNsi4Mr5FtRQL4tbmSdIzhx6_m4wkOD7IG-k_eo/edit#gid=1336395716"", ""Science!M:N""), 2, FALSE)"),"#N/A")</f>
        <v>#N/A</v>
      </c>
      <c r="T114" s="1" t="str">
        <f t="shared" si="23"/>
        <v>.006</v>
      </c>
      <c r="U114" s="15" t="str">
        <f ca="1">IFERROR(__xludf.dummyfunction("VLOOKUP(T114, IMPORTRANGE(""https://docs.google.com/spreadsheets/d/1yDAaXNsi4Mr5FtRQL4tbmSdIzhx6_m4wkOD7IG-k_eo/edit#gid=1336395716"", ""Science!M:N""), 2, FALSE)"),"#N/A")</f>
        <v>#N/A</v>
      </c>
      <c r="V114" s="1"/>
      <c r="W114" s="1"/>
      <c r="X114" s="1"/>
      <c r="Y114" s="1"/>
      <c r="Z114" s="1"/>
      <c r="AA114" s="1"/>
      <c r="AB114" s="1"/>
      <c r="AC114" s="1"/>
      <c r="AD114" s="1"/>
      <c r="AE114" s="1"/>
      <c r="AF114" s="1"/>
      <c r="AG114" s="1"/>
    </row>
    <row r="115" spans="1:33" ht="13.8">
      <c r="A115" s="1"/>
      <c r="B115" s="1"/>
      <c r="C115" s="1"/>
      <c r="D115" s="1"/>
      <c r="E115" s="1"/>
      <c r="F115" s="1"/>
      <c r="G115" s="1"/>
      <c r="H115" s="1"/>
      <c r="I115" s="1"/>
      <c r="J115" s="1" t="str">
        <f t="shared" si="18"/>
        <v>.001</v>
      </c>
      <c r="K115" s="1" t="str">
        <f ca="1">IFERROR(__xludf.dummyfunction("VLOOKUP(J115, IMPORTRANGE(""https://docs.google.com/spreadsheets/d/1yDAaXNsi4Mr5FtRQL4tbmSdIzhx6_m4wkOD7IG-k_eo/edit#gid=1336395716"", ""Science!M:N""), 2, FALSE)"),"#N/A")</f>
        <v>#N/A</v>
      </c>
      <c r="L115" s="1" t="str">
        <f t="shared" si="19"/>
        <v>.002</v>
      </c>
      <c r="M115" s="1" t="str">
        <f ca="1">IFERROR(__xludf.dummyfunction("VLOOKUP(L115, IMPORTRANGE(""https://docs.google.com/spreadsheets/d/1yDAaXNsi4Mr5FtRQL4tbmSdIzhx6_m4wkOD7IG-k_eo/edit#gid=1336395716"", ""Science!M:N""), 2, FALSE)"),"#N/A")</f>
        <v>#N/A</v>
      </c>
      <c r="N115" s="1" t="str">
        <f t="shared" si="20"/>
        <v>.003</v>
      </c>
      <c r="O115" s="1" t="str">
        <f ca="1">IFERROR(__xludf.dummyfunction("VLOOKUP(N115, IMPORTRANGE(""https://docs.google.com/spreadsheets/d/1yDAaXNsi4Mr5FtRQL4tbmSdIzhx6_m4wkOD7IG-k_eo/edit#gid=1336395716"", ""Science!M:N""), 2, FALSE)"),"#N/A")</f>
        <v>#N/A</v>
      </c>
      <c r="P115" s="1" t="str">
        <f t="shared" si="21"/>
        <v>.004</v>
      </c>
      <c r="Q115" s="15" t="str">
        <f ca="1">IFERROR(__xludf.dummyfunction("VLOOKUP(P115, IMPORTRANGE(""https://docs.google.com/spreadsheets/d/1yDAaXNsi4Mr5FtRQL4tbmSdIzhx6_m4wkOD7IG-k_eo/edit#gid=1336395716"", ""Science!M:N""), 2, FALSE)"),"#N/A")</f>
        <v>#N/A</v>
      </c>
      <c r="R115" s="1" t="str">
        <f t="shared" si="22"/>
        <v>.005</v>
      </c>
      <c r="S115" s="15" t="str">
        <f ca="1">IFERROR(__xludf.dummyfunction("VLOOKUP(R115, IMPORTRANGE(""https://docs.google.com/spreadsheets/d/1yDAaXNsi4Mr5FtRQL4tbmSdIzhx6_m4wkOD7IG-k_eo/edit#gid=1336395716"", ""Science!M:N""), 2, FALSE)"),"#N/A")</f>
        <v>#N/A</v>
      </c>
      <c r="T115" s="1" t="str">
        <f t="shared" si="23"/>
        <v>.006</v>
      </c>
      <c r="U115" s="15" t="str">
        <f ca="1">IFERROR(__xludf.dummyfunction("VLOOKUP(T115, IMPORTRANGE(""https://docs.google.com/spreadsheets/d/1yDAaXNsi4Mr5FtRQL4tbmSdIzhx6_m4wkOD7IG-k_eo/edit#gid=1336395716"", ""Science!M:N""), 2, FALSE)"),"#N/A")</f>
        <v>#N/A</v>
      </c>
      <c r="V115" s="1"/>
      <c r="W115" s="1"/>
      <c r="X115" s="1"/>
      <c r="Y115" s="1"/>
      <c r="Z115" s="1"/>
      <c r="AA115" s="1"/>
      <c r="AB115" s="1"/>
      <c r="AC115" s="1"/>
      <c r="AD115" s="1"/>
      <c r="AE115" s="1"/>
      <c r="AF115" s="1"/>
      <c r="AG115" s="1"/>
    </row>
    <row r="116" spans="1:33" ht="13.8">
      <c r="A116" s="1"/>
      <c r="B116" s="1"/>
      <c r="C116" s="1"/>
      <c r="D116" s="1"/>
      <c r="E116" s="1"/>
      <c r="F116" s="1"/>
      <c r="G116" s="1"/>
      <c r="H116" s="1"/>
      <c r="I116" s="1"/>
      <c r="J116" s="1" t="str">
        <f t="shared" si="18"/>
        <v>.001</v>
      </c>
      <c r="K116" s="1" t="str">
        <f ca="1">IFERROR(__xludf.dummyfunction("VLOOKUP(J116, IMPORTRANGE(""https://docs.google.com/spreadsheets/d/1yDAaXNsi4Mr5FtRQL4tbmSdIzhx6_m4wkOD7IG-k_eo/edit#gid=1336395716"", ""Science!M:N""), 2, FALSE)"),"#N/A")</f>
        <v>#N/A</v>
      </c>
      <c r="L116" s="1" t="str">
        <f t="shared" si="19"/>
        <v>.002</v>
      </c>
      <c r="M116" s="1" t="str">
        <f ca="1">IFERROR(__xludf.dummyfunction("VLOOKUP(L116, IMPORTRANGE(""https://docs.google.com/spreadsheets/d/1yDAaXNsi4Mr5FtRQL4tbmSdIzhx6_m4wkOD7IG-k_eo/edit#gid=1336395716"", ""Science!M:N""), 2, FALSE)"),"#N/A")</f>
        <v>#N/A</v>
      </c>
      <c r="N116" s="1" t="str">
        <f t="shared" si="20"/>
        <v>.003</v>
      </c>
      <c r="O116" s="1" t="str">
        <f ca="1">IFERROR(__xludf.dummyfunction("VLOOKUP(N116, IMPORTRANGE(""https://docs.google.com/spreadsheets/d/1yDAaXNsi4Mr5FtRQL4tbmSdIzhx6_m4wkOD7IG-k_eo/edit#gid=1336395716"", ""Science!M:N""), 2, FALSE)"),"#N/A")</f>
        <v>#N/A</v>
      </c>
      <c r="P116" s="1" t="str">
        <f t="shared" si="21"/>
        <v>.004</v>
      </c>
      <c r="Q116" s="15" t="str">
        <f ca="1">IFERROR(__xludf.dummyfunction("VLOOKUP(P116, IMPORTRANGE(""https://docs.google.com/spreadsheets/d/1yDAaXNsi4Mr5FtRQL4tbmSdIzhx6_m4wkOD7IG-k_eo/edit#gid=1336395716"", ""Science!M:N""), 2, FALSE)"),"#N/A")</f>
        <v>#N/A</v>
      </c>
      <c r="R116" s="1" t="str">
        <f t="shared" si="22"/>
        <v>.005</v>
      </c>
      <c r="S116" s="15" t="str">
        <f ca="1">IFERROR(__xludf.dummyfunction("VLOOKUP(R116, IMPORTRANGE(""https://docs.google.com/spreadsheets/d/1yDAaXNsi4Mr5FtRQL4tbmSdIzhx6_m4wkOD7IG-k_eo/edit#gid=1336395716"", ""Science!M:N""), 2, FALSE)"),"#N/A")</f>
        <v>#N/A</v>
      </c>
      <c r="T116" s="1" t="str">
        <f t="shared" si="23"/>
        <v>.006</v>
      </c>
      <c r="U116" s="15" t="str">
        <f ca="1">IFERROR(__xludf.dummyfunction("VLOOKUP(T116, IMPORTRANGE(""https://docs.google.com/spreadsheets/d/1yDAaXNsi4Mr5FtRQL4tbmSdIzhx6_m4wkOD7IG-k_eo/edit#gid=1336395716"", ""Science!M:N""), 2, FALSE)"),"#N/A")</f>
        <v>#N/A</v>
      </c>
      <c r="V116" s="1"/>
      <c r="W116" s="1"/>
      <c r="X116" s="1"/>
      <c r="Y116" s="1"/>
      <c r="Z116" s="1"/>
      <c r="AA116" s="1"/>
      <c r="AB116" s="1"/>
      <c r="AC116" s="1"/>
      <c r="AD116" s="1"/>
      <c r="AE116" s="1"/>
      <c r="AF116" s="1"/>
      <c r="AG116" s="1"/>
    </row>
    <row r="117" spans="1:33" ht="13.8">
      <c r="A117" s="1"/>
      <c r="B117" s="1"/>
      <c r="C117" s="1"/>
      <c r="D117" s="1"/>
      <c r="E117" s="1"/>
      <c r="F117" s="1"/>
      <c r="G117" s="1"/>
      <c r="H117" s="1"/>
      <c r="I117" s="1"/>
      <c r="J117" s="1" t="str">
        <f t="shared" si="18"/>
        <v>.001</v>
      </c>
      <c r="K117" s="1" t="str">
        <f ca="1">IFERROR(__xludf.dummyfunction("VLOOKUP(J117, IMPORTRANGE(""https://docs.google.com/spreadsheets/d/1yDAaXNsi4Mr5FtRQL4tbmSdIzhx6_m4wkOD7IG-k_eo/edit#gid=1336395716"", ""Science!M:N""), 2, FALSE)"),"#N/A")</f>
        <v>#N/A</v>
      </c>
      <c r="L117" s="1" t="str">
        <f t="shared" si="19"/>
        <v>.002</v>
      </c>
      <c r="M117" s="1" t="str">
        <f ca="1">IFERROR(__xludf.dummyfunction("VLOOKUP(L117, IMPORTRANGE(""https://docs.google.com/spreadsheets/d/1yDAaXNsi4Mr5FtRQL4tbmSdIzhx6_m4wkOD7IG-k_eo/edit#gid=1336395716"", ""Science!M:N""), 2, FALSE)"),"#N/A")</f>
        <v>#N/A</v>
      </c>
      <c r="N117" s="1" t="str">
        <f t="shared" si="20"/>
        <v>.003</v>
      </c>
      <c r="O117" s="1" t="str">
        <f ca="1">IFERROR(__xludf.dummyfunction("VLOOKUP(N117, IMPORTRANGE(""https://docs.google.com/spreadsheets/d/1yDAaXNsi4Mr5FtRQL4tbmSdIzhx6_m4wkOD7IG-k_eo/edit#gid=1336395716"", ""Science!M:N""), 2, FALSE)"),"#N/A")</f>
        <v>#N/A</v>
      </c>
      <c r="P117" s="1" t="str">
        <f t="shared" si="21"/>
        <v>.004</v>
      </c>
      <c r="Q117" s="15" t="str">
        <f ca="1">IFERROR(__xludf.dummyfunction("VLOOKUP(P117, IMPORTRANGE(""https://docs.google.com/spreadsheets/d/1yDAaXNsi4Mr5FtRQL4tbmSdIzhx6_m4wkOD7IG-k_eo/edit#gid=1336395716"", ""Science!M:N""), 2, FALSE)"),"#N/A")</f>
        <v>#N/A</v>
      </c>
      <c r="R117" s="1" t="str">
        <f t="shared" si="22"/>
        <v>.005</v>
      </c>
      <c r="S117" s="15" t="str">
        <f ca="1">IFERROR(__xludf.dummyfunction("VLOOKUP(R117, IMPORTRANGE(""https://docs.google.com/spreadsheets/d/1yDAaXNsi4Mr5FtRQL4tbmSdIzhx6_m4wkOD7IG-k_eo/edit#gid=1336395716"", ""Science!M:N""), 2, FALSE)"),"#N/A")</f>
        <v>#N/A</v>
      </c>
      <c r="T117" s="1" t="str">
        <f t="shared" si="23"/>
        <v>.006</v>
      </c>
      <c r="U117" s="15" t="str">
        <f ca="1">IFERROR(__xludf.dummyfunction("VLOOKUP(T117, IMPORTRANGE(""https://docs.google.com/spreadsheets/d/1yDAaXNsi4Mr5FtRQL4tbmSdIzhx6_m4wkOD7IG-k_eo/edit#gid=1336395716"", ""Science!M:N""), 2, FALSE)"),"#N/A")</f>
        <v>#N/A</v>
      </c>
      <c r="V117" s="1"/>
      <c r="W117" s="1"/>
      <c r="X117" s="1"/>
      <c r="Y117" s="1"/>
      <c r="Z117" s="1"/>
      <c r="AA117" s="1"/>
      <c r="AB117" s="1"/>
      <c r="AC117" s="1"/>
      <c r="AD117" s="1"/>
      <c r="AE117" s="1"/>
      <c r="AF117" s="1"/>
      <c r="AG117" s="1"/>
    </row>
    <row r="118" spans="1:33" ht="13.8">
      <c r="A118" s="1"/>
      <c r="B118" s="1"/>
      <c r="C118" s="1"/>
      <c r="D118" s="1"/>
      <c r="E118" s="1"/>
      <c r="F118" s="1"/>
      <c r="G118" s="1"/>
      <c r="H118" s="1"/>
      <c r="I118" s="1"/>
      <c r="J118" s="1" t="str">
        <f t="shared" si="18"/>
        <v>.001</v>
      </c>
      <c r="K118" s="1" t="str">
        <f ca="1">IFERROR(__xludf.dummyfunction("VLOOKUP(J118, IMPORTRANGE(""https://docs.google.com/spreadsheets/d/1yDAaXNsi4Mr5FtRQL4tbmSdIzhx6_m4wkOD7IG-k_eo/edit#gid=1336395716"", ""Science!M:N""), 2, FALSE)"),"#N/A")</f>
        <v>#N/A</v>
      </c>
      <c r="L118" s="1" t="str">
        <f t="shared" si="19"/>
        <v>.002</v>
      </c>
      <c r="M118" s="1" t="str">
        <f ca="1">IFERROR(__xludf.dummyfunction("VLOOKUP(L118, IMPORTRANGE(""https://docs.google.com/spreadsheets/d/1yDAaXNsi4Mr5FtRQL4tbmSdIzhx6_m4wkOD7IG-k_eo/edit#gid=1336395716"", ""Science!M:N""), 2, FALSE)"),"#N/A")</f>
        <v>#N/A</v>
      </c>
      <c r="N118" s="1" t="str">
        <f t="shared" si="20"/>
        <v>.003</v>
      </c>
      <c r="O118" s="1" t="str">
        <f ca="1">IFERROR(__xludf.dummyfunction("VLOOKUP(N118, IMPORTRANGE(""https://docs.google.com/spreadsheets/d/1yDAaXNsi4Mr5FtRQL4tbmSdIzhx6_m4wkOD7IG-k_eo/edit#gid=1336395716"", ""Science!M:N""), 2, FALSE)"),"#N/A")</f>
        <v>#N/A</v>
      </c>
      <c r="P118" s="1" t="str">
        <f t="shared" si="21"/>
        <v>.004</v>
      </c>
      <c r="Q118" s="15" t="str">
        <f ca="1">IFERROR(__xludf.dummyfunction("VLOOKUP(P118, IMPORTRANGE(""https://docs.google.com/spreadsheets/d/1yDAaXNsi4Mr5FtRQL4tbmSdIzhx6_m4wkOD7IG-k_eo/edit#gid=1336395716"", ""Science!M:N""), 2, FALSE)"),"#N/A")</f>
        <v>#N/A</v>
      </c>
      <c r="R118" s="1" t="str">
        <f t="shared" si="22"/>
        <v>.005</v>
      </c>
      <c r="S118" s="15" t="str">
        <f ca="1">IFERROR(__xludf.dummyfunction("VLOOKUP(R118, IMPORTRANGE(""https://docs.google.com/spreadsheets/d/1yDAaXNsi4Mr5FtRQL4tbmSdIzhx6_m4wkOD7IG-k_eo/edit#gid=1336395716"", ""Science!M:N""), 2, FALSE)"),"#N/A")</f>
        <v>#N/A</v>
      </c>
      <c r="T118" s="1" t="str">
        <f t="shared" si="23"/>
        <v>.006</v>
      </c>
      <c r="U118" s="15" t="str">
        <f ca="1">IFERROR(__xludf.dummyfunction("VLOOKUP(T118, IMPORTRANGE(""https://docs.google.com/spreadsheets/d/1yDAaXNsi4Mr5FtRQL4tbmSdIzhx6_m4wkOD7IG-k_eo/edit#gid=1336395716"", ""Science!M:N""), 2, FALSE)"),"#N/A")</f>
        <v>#N/A</v>
      </c>
      <c r="V118" s="1"/>
      <c r="W118" s="1"/>
      <c r="X118" s="1"/>
      <c r="Y118" s="1"/>
      <c r="Z118" s="1"/>
      <c r="AA118" s="1"/>
      <c r="AB118" s="1"/>
      <c r="AC118" s="1"/>
      <c r="AD118" s="1"/>
      <c r="AE118" s="1"/>
      <c r="AF118" s="1"/>
      <c r="AG118" s="1"/>
    </row>
    <row r="119" spans="1:33" ht="13.8">
      <c r="A119" s="1"/>
      <c r="B119" s="1"/>
      <c r="C119" s="1"/>
      <c r="D119" s="1"/>
      <c r="E119" s="1"/>
      <c r="F119" s="1"/>
      <c r="G119" s="1"/>
      <c r="H119" s="1"/>
      <c r="I119" s="1"/>
      <c r="J119" s="1" t="str">
        <f t="shared" si="18"/>
        <v>.001</v>
      </c>
      <c r="K119" s="1" t="str">
        <f ca="1">IFERROR(__xludf.dummyfunction("VLOOKUP(J119, IMPORTRANGE(""https://docs.google.com/spreadsheets/d/1yDAaXNsi4Mr5FtRQL4tbmSdIzhx6_m4wkOD7IG-k_eo/edit#gid=1336395716"", ""Science!M:N""), 2, FALSE)"),"#N/A")</f>
        <v>#N/A</v>
      </c>
      <c r="L119" s="1" t="str">
        <f t="shared" si="19"/>
        <v>.002</v>
      </c>
      <c r="M119" s="1" t="str">
        <f ca="1">IFERROR(__xludf.dummyfunction("VLOOKUP(L119, IMPORTRANGE(""https://docs.google.com/spreadsheets/d/1yDAaXNsi4Mr5FtRQL4tbmSdIzhx6_m4wkOD7IG-k_eo/edit#gid=1336395716"", ""Science!M:N""), 2, FALSE)"),"#N/A")</f>
        <v>#N/A</v>
      </c>
      <c r="N119" s="1" t="str">
        <f t="shared" si="20"/>
        <v>.003</v>
      </c>
      <c r="O119" s="1" t="str">
        <f ca="1">IFERROR(__xludf.dummyfunction("VLOOKUP(N119, IMPORTRANGE(""https://docs.google.com/spreadsheets/d/1yDAaXNsi4Mr5FtRQL4tbmSdIzhx6_m4wkOD7IG-k_eo/edit#gid=1336395716"", ""Science!M:N""), 2, FALSE)"),"#N/A")</f>
        <v>#N/A</v>
      </c>
      <c r="P119" s="1" t="str">
        <f t="shared" si="21"/>
        <v>.004</v>
      </c>
      <c r="Q119" s="15" t="str">
        <f ca="1">IFERROR(__xludf.dummyfunction("VLOOKUP(P119, IMPORTRANGE(""https://docs.google.com/spreadsheets/d/1yDAaXNsi4Mr5FtRQL4tbmSdIzhx6_m4wkOD7IG-k_eo/edit#gid=1336395716"", ""Science!M:N""), 2, FALSE)"),"#N/A")</f>
        <v>#N/A</v>
      </c>
      <c r="R119" s="1" t="str">
        <f t="shared" si="22"/>
        <v>.005</v>
      </c>
      <c r="S119" s="15" t="str">
        <f ca="1">IFERROR(__xludf.dummyfunction("VLOOKUP(R119, IMPORTRANGE(""https://docs.google.com/spreadsheets/d/1yDAaXNsi4Mr5FtRQL4tbmSdIzhx6_m4wkOD7IG-k_eo/edit#gid=1336395716"", ""Science!M:N""), 2, FALSE)"),"#N/A")</f>
        <v>#N/A</v>
      </c>
      <c r="T119" s="1" t="str">
        <f t="shared" si="23"/>
        <v>.006</v>
      </c>
      <c r="U119" s="15" t="str">
        <f ca="1">IFERROR(__xludf.dummyfunction("VLOOKUP(T119, IMPORTRANGE(""https://docs.google.com/spreadsheets/d/1yDAaXNsi4Mr5FtRQL4tbmSdIzhx6_m4wkOD7IG-k_eo/edit#gid=1336395716"", ""Science!M:N""), 2, FALSE)"),"#N/A")</f>
        <v>#N/A</v>
      </c>
      <c r="V119" s="1"/>
      <c r="W119" s="1"/>
      <c r="X119" s="1"/>
      <c r="Y119" s="1"/>
      <c r="Z119" s="1"/>
      <c r="AA119" s="1"/>
      <c r="AB119" s="1"/>
      <c r="AC119" s="1"/>
      <c r="AD119" s="1"/>
      <c r="AE119" s="1"/>
      <c r="AF119" s="1"/>
      <c r="AG119" s="1"/>
    </row>
    <row r="120" spans="1:33" ht="13.8">
      <c r="A120" s="1"/>
      <c r="B120" s="1"/>
      <c r="C120" s="1"/>
      <c r="D120" s="1"/>
      <c r="E120" s="1"/>
      <c r="F120" s="1"/>
      <c r="G120" s="1"/>
      <c r="H120" s="1"/>
      <c r="I120" s="1"/>
      <c r="J120" s="1" t="str">
        <f t="shared" si="18"/>
        <v>.001</v>
      </c>
      <c r="K120" s="1" t="str">
        <f ca="1">IFERROR(__xludf.dummyfunction("VLOOKUP(J120, IMPORTRANGE(""https://docs.google.com/spreadsheets/d/1yDAaXNsi4Mr5FtRQL4tbmSdIzhx6_m4wkOD7IG-k_eo/edit#gid=1336395716"", ""Science!M:N""), 2, FALSE)"),"#N/A")</f>
        <v>#N/A</v>
      </c>
      <c r="L120" s="1" t="str">
        <f t="shared" si="19"/>
        <v>.002</v>
      </c>
      <c r="M120" s="1" t="str">
        <f ca="1">IFERROR(__xludf.dummyfunction("VLOOKUP(L120, IMPORTRANGE(""https://docs.google.com/spreadsheets/d/1yDAaXNsi4Mr5FtRQL4tbmSdIzhx6_m4wkOD7IG-k_eo/edit#gid=1336395716"", ""Science!M:N""), 2, FALSE)"),"#N/A")</f>
        <v>#N/A</v>
      </c>
      <c r="N120" s="1" t="str">
        <f t="shared" si="20"/>
        <v>.003</v>
      </c>
      <c r="O120" s="1" t="str">
        <f ca="1">IFERROR(__xludf.dummyfunction("VLOOKUP(N120, IMPORTRANGE(""https://docs.google.com/spreadsheets/d/1yDAaXNsi4Mr5FtRQL4tbmSdIzhx6_m4wkOD7IG-k_eo/edit#gid=1336395716"", ""Science!M:N""), 2, FALSE)"),"#N/A")</f>
        <v>#N/A</v>
      </c>
      <c r="P120" s="1" t="str">
        <f t="shared" si="21"/>
        <v>.004</v>
      </c>
      <c r="Q120" s="15" t="str">
        <f ca="1">IFERROR(__xludf.dummyfunction("VLOOKUP(P120, IMPORTRANGE(""https://docs.google.com/spreadsheets/d/1yDAaXNsi4Mr5FtRQL4tbmSdIzhx6_m4wkOD7IG-k_eo/edit#gid=1336395716"", ""Science!M:N""), 2, FALSE)"),"#N/A")</f>
        <v>#N/A</v>
      </c>
      <c r="R120" s="1" t="str">
        <f t="shared" si="22"/>
        <v>.005</v>
      </c>
      <c r="S120" s="15" t="str">
        <f ca="1">IFERROR(__xludf.dummyfunction("VLOOKUP(R120, IMPORTRANGE(""https://docs.google.com/spreadsheets/d/1yDAaXNsi4Mr5FtRQL4tbmSdIzhx6_m4wkOD7IG-k_eo/edit#gid=1336395716"", ""Science!M:N""), 2, FALSE)"),"#N/A")</f>
        <v>#N/A</v>
      </c>
      <c r="T120" s="1" t="str">
        <f t="shared" si="23"/>
        <v>.006</v>
      </c>
      <c r="U120" s="15" t="str">
        <f ca="1">IFERROR(__xludf.dummyfunction("VLOOKUP(T120, IMPORTRANGE(""https://docs.google.com/spreadsheets/d/1yDAaXNsi4Mr5FtRQL4tbmSdIzhx6_m4wkOD7IG-k_eo/edit#gid=1336395716"", ""Science!M:N""), 2, FALSE)"),"#N/A")</f>
        <v>#N/A</v>
      </c>
      <c r="V120" s="1"/>
      <c r="W120" s="1"/>
      <c r="X120" s="1"/>
      <c r="Y120" s="1"/>
      <c r="Z120" s="1"/>
      <c r="AA120" s="1"/>
      <c r="AB120" s="1"/>
      <c r="AC120" s="1"/>
      <c r="AD120" s="1"/>
      <c r="AE120" s="1"/>
      <c r="AF120" s="1"/>
      <c r="AG120" s="1"/>
    </row>
    <row r="121" spans="1:33" ht="13.8">
      <c r="A121" s="1"/>
      <c r="B121" s="1"/>
      <c r="C121" s="1"/>
      <c r="D121" s="1"/>
      <c r="E121" s="1"/>
      <c r="F121" s="1"/>
      <c r="G121" s="1"/>
      <c r="H121" s="1"/>
      <c r="I121" s="1"/>
      <c r="J121" s="1" t="str">
        <f t="shared" si="18"/>
        <v>.001</v>
      </c>
      <c r="K121" s="1" t="str">
        <f ca="1">IFERROR(__xludf.dummyfunction("VLOOKUP(J121, IMPORTRANGE(""https://docs.google.com/spreadsheets/d/1yDAaXNsi4Mr5FtRQL4tbmSdIzhx6_m4wkOD7IG-k_eo/edit#gid=1336395716"", ""Science!M:N""), 2, FALSE)"),"#N/A")</f>
        <v>#N/A</v>
      </c>
      <c r="L121" s="1" t="str">
        <f t="shared" si="19"/>
        <v>.002</v>
      </c>
      <c r="M121" s="1" t="str">
        <f ca="1">IFERROR(__xludf.dummyfunction("VLOOKUP(L121, IMPORTRANGE(""https://docs.google.com/spreadsheets/d/1yDAaXNsi4Mr5FtRQL4tbmSdIzhx6_m4wkOD7IG-k_eo/edit#gid=1336395716"", ""Science!M:N""), 2, FALSE)"),"#N/A")</f>
        <v>#N/A</v>
      </c>
      <c r="N121" s="1" t="str">
        <f t="shared" si="20"/>
        <v>.003</v>
      </c>
      <c r="O121" s="1" t="str">
        <f ca="1">IFERROR(__xludf.dummyfunction("VLOOKUP(N121, IMPORTRANGE(""https://docs.google.com/spreadsheets/d/1yDAaXNsi4Mr5FtRQL4tbmSdIzhx6_m4wkOD7IG-k_eo/edit#gid=1336395716"", ""Science!M:N""), 2, FALSE)"),"#N/A")</f>
        <v>#N/A</v>
      </c>
      <c r="P121" s="1" t="str">
        <f t="shared" si="21"/>
        <v>.004</v>
      </c>
      <c r="Q121" s="15" t="str">
        <f ca="1">IFERROR(__xludf.dummyfunction("VLOOKUP(P121, IMPORTRANGE(""https://docs.google.com/spreadsheets/d/1yDAaXNsi4Mr5FtRQL4tbmSdIzhx6_m4wkOD7IG-k_eo/edit#gid=1336395716"", ""Science!M:N""), 2, FALSE)"),"#N/A")</f>
        <v>#N/A</v>
      </c>
      <c r="R121" s="1" t="str">
        <f t="shared" si="22"/>
        <v>.005</v>
      </c>
      <c r="S121" s="15" t="str">
        <f ca="1">IFERROR(__xludf.dummyfunction("VLOOKUP(R121, IMPORTRANGE(""https://docs.google.com/spreadsheets/d/1yDAaXNsi4Mr5FtRQL4tbmSdIzhx6_m4wkOD7IG-k_eo/edit#gid=1336395716"", ""Science!M:N""), 2, FALSE)"),"#N/A")</f>
        <v>#N/A</v>
      </c>
      <c r="T121" s="1" t="str">
        <f t="shared" si="23"/>
        <v>.006</v>
      </c>
      <c r="U121" s="15" t="str">
        <f ca="1">IFERROR(__xludf.dummyfunction("VLOOKUP(T121, IMPORTRANGE(""https://docs.google.com/spreadsheets/d/1yDAaXNsi4Mr5FtRQL4tbmSdIzhx6_m4wkOD7IG-k_eo/edit#gid=1336395716"", ""Science!M:N""), 2, FALSE)"),"#N/A")</f>
        <v>#N/A</v>
      </c>
      <c r="V121" s="1"/>
      <c r="W121" s="1"/>
      <c r="X121" s="1"/>
      <c r="Y121" s="1"/>
      <c r="Z121" s="1"/>
      <c r="AA121" s="1"/>
      <c r="AB121" s="1"/>
      <c r="AC121" s="1"/>
      <c r="AD121" s="1"/>
      <c r="AE121" s="1"/>
      <c r="AF121" s="1"/>
      <c r="AG121" s="1"/>
    </row>
    <row r="122" spans="1:33" ht="13.8">
      <c r="A122" s="1"/>
      <c r="B122" s="1"/>
      <c r="C122" s="1"/>
      <c r="D122" s="1"/>
      <c r="E122" s="1"/>
      <c r="F122" s="1"/>
      <c r="G122" s="1"/>
      <c r="H122" s="1"/>
      <c r="I122" s="1"/>
      <c r="J122" s="1" t="str">
        <f t="shared" si="18"/>
        <v>.001</v>
      </c>
      <c r="K122" s="1" t="str">
        <f ca="1">IFERROR(__xludf.dummyfunction("VLOOKUP(J122, IMPORTRANGE(""https://docs.google.com/spreadsheets/d/1yDAaXNsi4Mr5FtRQL4tbmSdIzhx6_m4wkOD7IG-k_eo/edit#gid=1336395716"", ""Science!M:N""), 2, FALSE)"),"#N/A")</f>
        <v>#N/A</v>
      </c>
      <c r="L122" s="1" t="str">
        <f t="shared" si="19"/>
        <v>.002</v>
      </c>
      <c r="M122" s="1" t="str">
        <f ca="1">IFERROR(__xludf.dummyfunction("VLOOKUP(L122, IMPORTRANGE(""https://docs.google.com/spreadsheets/d/1yDAaXNsi4Mr5FtRQL4tbmSdIzhx6_m4wkOD7IG-k_eo/edit#gid=1336395716"", ""Science!M:N""), 2, FALSE)"),"#N/A")</f>
        <v>#N/A</v>
      </c>
      <c r="N122" s="1" t="str">
        <f t="shared" si="20"/>
        <v>.003</v>
      </c>
      <c r="O122" s="1" t="str">
        <f ca="1">IFERROR(__xludf.dummyfunction("VLOOKUP(N122, IMPORTRANGE(""https://docs.google.com/spreadsheets/d/1yDAaXNsi4Mr5FtRQL4tbmSdIzhx6_m4wkOD7IG-k_eo/edit#gid=1336395716"", ""Science!M:N""), 2, FALSE)"),"#N/A")</f>
        <v>#N/A</v>
      </c>
      <c r="P122" s="1" t="str">
        <f t="shared" si="21"/>
        <v>.004</v>
      </c>
      <c r="Q122" s="15" t="str">
        <f ca="1">IFERROR(__xludf.dummyfunction("VLOOKUP(P122, IMPORTRANGE(""https://docs.google.com/spreadsheets/d/1yDAaXNsi4Mr5FtRQL4tbmSdIzhx6_m4wkOD7IG-k_eo/edit#gid=1336395716"", ""Science!M:N""), 2, FALSE)"),"#N/A")</f>
        <v>#N/A</v>
      </c>
      <c r="R122" s="1" t="str">
        <f t="shared" si="22"/>
        <v>.005</v>
      </c>
      <c r="S122" s="15" t="str">
        <f ca="1">IFERROR(__xludf.dummyfunction("VLOOKUP(R122, IMPORTRANGE(""https://docs.google.com/spreadsheets/d/1yDAaXNsi4Mr5FtRQL4tbmSdIzhx6_m4wkOD7IG-k_eo/edit#gid=1336395716"", ""Science!M:N""), 2, FALSE)"),"#N/A")</f>
        <v>#N/A</v>
      </c>
      <c r="T122" s="1" t="str">
        <f t="shared" si="23"/>
        <v>.006</v>
      </c>
      <c r="U122" s="15" t="str">
        <f ca="1">IFERROR(__xludf.dummyfunction("VLOOKUP(T122, IMPORTRANGE(""https://docs.google.com/spreadsheets/d/1yDAaXNsi4Mr5FtRQL4tbmSdIzhx6_m4wkOD7IG-k_eo/edit#gid=1336395716"", ""Science!M:N""), 2, FALSE)"),"#N/A")</f>
        <v>#N/A</v>
      </c>
      <c r="V122" s="1"/>
      <c r="W122" s="1"/>
      <c r="X122" s="1"/>
      <c r="Y122" s="1"/>
      <c r="Z122" s="1"/>
      <c r="AA122" s="1"/>
      <c r="AB122" s="1"/>
      <c r="AC122" s="1"/>
      <c r="AD122" s="1"/>
      <c r="AE122" s="1"/>
      <c r="AF122" s="1"/>
      <c r="AG122" s="1"/>
    </row>
    <row r="123" spans="1:33" ht="13.8">
      <c r="A123" s="1"/>
      <c r="B123" s="1"/>
      <c r="C123" s="1"/>
      <c r="D123" s="1"/>
      <c r="E123" s="1"/>
      <c r="F123" s="1"/>
      <c r="G123" s="1"/>
      <c r="H123" s="1"/>
      <c r="I123" s="1"/>
      <c r="J123" s="1" t="str">
        <f t="shared" si="18"/>
        <v>.001</v>
      </c>
      <c r="K123" s="1" t="str">
        <f ca="1">IFERROR(__xludf.dummyfunction("VLOOKUP(J123, IMPORTRANGE(""https://docs.google.com/spreadsheets/d/1yDAaXNsi4Mr5FtRQL4tbmSdIzhx6_m4wkOD7IG-k_eo/edit#gid=1336395716"", ""Science!M:N""), 2, FALSE)"),"#N/A")</f>
        <v>#N/A</v>
      </c>
      <c r="L123" s="1" t="str">
        <f t="shared" si="19"/>
        <v>.002</v>
      </c>
      <c r="M123" s="1" t="str">
        <f ca="1">IFERROR(__xludf.dummyfunction("VLOOKUP(L123, IMPORTRANGE(""https://docs.google.com/spreadsheets/d/1yDAaXNsi4Mr5FtRQL4tbmSdIzhx6_m4wkOD7IG-k_eo/edit#gid=1336395716"", ""Science!M:N""), 2, FALSE)"),"#N/A")</f>
        <v>#N/A</v>
      </c>
      <c r="N123" s="1" t="str">
        <f t="shared" si="20"/>
        <v>.003</v>
      </c>
      <c r="O123" s="1" t="str">
        <f ca="1">IFERROR(__xludf.dummyfunction("VLOOKUP(N123, IMPORTRANGE(""https://docs.google.com/spreadsheets/d/1yDAaXNsi4Mr5FtRQL4tbmSdIzhx6_m4wkOD7IG-k_eo/edit#gid=1336395716"", ""Science!M:N""), 2, FALSE)"),"#N/A")</f>
        <v>#N/A</v>
      </c>
      <c r="P123" s="1" t="str">
        <f t="shared" si="21"/>
        <v>.004</v>
      </c>
      <c r="Q123" s="15" t="str">
        <f ca="1">IFERROR(__xludf.dummyfunction("VLOOKUP(P123, IMPORTRANGE(""https://docs.google.com/spreadsheets/d/1yDAaXNsi4Mr5FtRQL4tbmSdIzhx6_m4wkOD7IG-k_eo/edit#gid=1336395716"", ""Science!M:N""), 2, FALSE)"),"#N/A")</f>
        <v>#N/A</v>
      </c>
      <c r="R123" s="1" t="str">
        <f t="shared" si="22"/>
        <v>.005</v>
      </c>
      <c r="S123" s="15" t="str">
        <f ca="1">IFERROR(__xludf.dummyfunction("VLOOKUP(R123, IMPORTRANGE(""https://docs.google.com/spreadsheets/d/1yDAaXNsi4Mr5FtRQL4tbmSdIzhx6_m4wkOD7IG-k_eo/edit#gid=1336395716"", ""Science!M:N""), 2, FALSE)"),"#N/A")</f>
        <v>#N/A</v>
      </c>
      <c r="T123" s="1" t="str">
        <f t="shared" si="23"/>
        <v>.006</v>
      </c>
      <c r="U123" s="15" t="str">
        <f ca="1">IFERROR(__xludf.dummyfunction("VLOOKUP(T123, IMPORTRANGE(""https://docs.google.com/spreadsheets/d/1yDAaXNsi4Mr5FtRQL4tbmSdIzhx6_m4wkOD7IG-k_eo/edit#gid=1336395716"", ""Science!M:N""), 2, FALSE)"),"#N/A")</f>
        <v>#N/A</v>
      </c>
      <c r="V123" s="1"/>
      <c r="W123" s="1"/>
      <c r="X123" s="1"/>
      <c r="Y123" s="1"/>
      <c r="Z123" s="1"/>
      <c r="AA123" s="1"/>
      <c r="AB123" s="1"/>
      <c r="AC123" s="1"/>
      <c r="AD123" s="1"/>
      <c r="AE123" s="1"/>
      <c r="AF123" s="1"/>
      <c r="AG123" s="1"/>
    </row>
    <row r="124" spans="1:33" ht="13.8">
      <c r="A124" s="1"/>
      <c r="B124" s="1"/>
      <c r="C124" s="1"/>
      <c r="D124" s="1"/>
      <c r="E124" s="1"/>
      <c r="F124" s="1"/>
      <c r="G124" s="1"/>
      <c r="H124" s="1"/>
      <c r="I124" s="1"/>
      <c r="J124" s="1" t="str">
        <f t="shared" si="18"/>
        <v>.001</v>
      </c>
      <c r="K124" s="1" t="str">
        <f ca="1">IFERROR(__xludf.dummyfunction("VLOOKUP(J124, IMPORTRANGE(""https://docs.google.com/spreadsheets/d/1yDAaXNsi4Mr5FtRQL4tbmSdIzhx6_m4wkOD7IG-k_eo/edit#gid=1336395716"", ""Science!M:N""), 2, FALSE)"),"#N/A")</f>
        <v>#N/A</v>
      </c>
      <c r="L124" s="1" t="str">
        <f t="shared" si="19"/>
        <v>.002</v>
      </c>
      <c r="M124" s="1" t="str">
        <f ca="1">IFERROR(__xludf.dummyfunction("VLOOKUP(L124, IMPORTRANGE(""https://docs.google.com/spreadsheets/d/1yDAaXNsi4Mr5FtRQL4tbmSdIzhx6_m4wkOD7IG-k_eo/edit#gid=1336395716"", ""Science!M:N""), 2, FALSE)"),"#N/A")</f>
        <v>#N/A</v>
      </c>
      <c r="N124" s="1" t="str">
        <f t="shared" si="20"/>
        <v>.003</v>
      </c>
      <c r="O124" s="1" t="str">
        <f ca="1">IFERROR(__xludf.dummyfunction("VLOOKUP(N124, IMPORTRANGE(""https://docs.google.com/spreadsheets/d/1yDAaXNsi4Mr5FtRQL4tbmSdIzhx6_m4wkOD7IG-k_eo/edit#gid=1336395716"", ""Science!M:N""), 2, FALSE)"),"#N/A")</f>
        <v>#N/A</v>
      </c>
      <c r="P124" s="1" t="str">
        <f t="shared" si="21"/>
        <v>.004</v>
      </c>
      <c r="Q124" s="15" t="str">
        <f ca="1">IFERROR(__xludf.dummyfunction("VLOOKUP(P124, IMPORTRANGE(""https://docs.google.com/spreadsheets/d/1yDAaXNsi4Mr5FtRQL4tbmSdIzhx6_m4wkOD7IG-k_eo/edit#gid=1336395716"", ""Science!M:N""), 2, FALSE)"),"#N/A")</f>
        <v>#N/A</v>
      </c>
      <c r="R124" s="1" t="str">
        <f t="shared" si="22"/>
        <v>.005</v>
      </c>
      <c r="S124" s="15" t="str">
        <f ca="1">IFERROR(__xludf.dummyfunction("VLOOKUP(R124, IMPORTRANGE(""https://docs.google.com/spreadsheets/d/1yDAaXNsi4Mr5FtRQL4tbmSdIzhx6_m4wkOD7IG-k_eo/edit#gid=1336395716"", ""Science!M:N""), 2, FALSE)"),"#N/A")</f>
        <v>#N/A</v>
      </c>
      <c r="T124" s="1" t="str">
        <f t="shared" si="23"/>
        <v>.006</v>
      </c>
      <c r="U124" s="15" t="str">
        <f ca="1">IFERROR(__xludf.dummyfunction("VLOOKUP(T124, IMPORTRANGE(""https://docs.google.com/spreadsheets/d/1yDAaXNsi4Mr5FtRQL4tbmSdIzhx6_m4wkOD7IG-k_eo/edit#gid=1336395716"", ""Science!M:N""), 2, FALSE)"),"#N/A")</f>
        <v>#N/A</v>
      </c>
      <c r="V124" s="1"/>
      <c r="W124" s="1"/>
      <c r="X124" s="1"/>
      <c r="Y124" s="1"/>
      <c r="Z124" s="1"/>
      <c r="AA124" s="1"/>
      <c r="AB124" s="1"/>
      <c r="AC124" s="1"/>
      <c r="AD124" s="1"/>
      <c r="AE124" s="1"/>
      <c r="AF124" s="1"/>
      <c r="AG124" s="1"/>
    </row>
    <row r="125" spans="1:33" ht="13.8">
      <c r="A125" s="1"/>
      <c r="B125" s="1"/>
      <c r="C125" s="1"/>
      <c r="D125" s="1"/>
      <c r="E125" s="1"/>
      <c r="F125" s="1"/>
      <c r="G125" s="1"/>
      <c r="H125" s="1"/>
      <c r="I125" s="1"/>
      <c r="J125" s="1" t="str">
        <f t="shared" si="18"/>
        <v>.001</v>
      </c>
      <c r="K125" s="1" t="str">
        <f ca="1">IFERROR(__xludf.dummyfunction("VLOOKUP(J125, IMPORTRANGE(""https://docs.google.com/spreadsheets/d/1yDAaXNsi4Mr5FtRQL4tbmSdIzhx6_m4wkOD7IG-k_eo/edit#gid=1336395716"", ""Science!M:N""), 2, FALSE)"),"#N/A")</f>
        <v>#N/A</v>
      </c>
      <c r="L125" s="1" t="str">
        <f t="shared" si="19"/>
        <v>.002</v>
      </c>
      <c r="M125" s="1" t="str">
        <f ca="1">IFERROR(__xludf.dummyfunction("VLOOKUP(L125, IMPORTRANGE(""https://docs.google.com/spreadsheets/d/1yDAaXNsi4Mr5FtRQL4tbmSdIzhx6_m4wkOD7IG-k_eo/edit#gid=1336395716"", ""Science!M:N""), 2, FALSE)"),"#N/A")</f>
        <v>#N/A</v>
      </c>
      <c r="N125" s="1" t="str">
        <f t="shared" si="20"/>
        <v>.003</v>
      </c>
      <c r="O125" s="1" t="str">
        <f ca="1">IFERROR(__xludf.dummyfunction("VLOOKUP(N125, IMPORTRANGE(""https://docs.google.com/spreadsheets/d/1yDAaXNsi4Mr5FtRQL4tbmSdIzhx6_m4wkOD7IG-k_eo/edit#gid=1336395716"", ""Science!M:N""), 2, FALSE)"),"#N/A")</f>
        <v>#N/A</v>
      </c>
      <c r="P125" s="1" t="str">
        <f t="shared" si="21"/>
        <v>.004</v>
      </c>
      <c r="Q125" s="15" t="str">
        <f ca="1">IFERROR(__xludf.dummyfunction("VLOOKUP(P125, IMPORTRANGE(""https://docs.google.com/spreadsheets/d/1yDAaXNsi4Mr5FtRQL4tbmSdIzhx6_m4wkOD7IG-k_eo/edit#gid=1336395716"", ""Science!M:N""), 2, FALSE)"),"#N/A")</f>
        <v>#N/A</v>
      </c>
      <c r="R125" s="1" t="str">
        <f t="shared" si="22"/>
        <v>.005</v>
      </c>
      <c r="S125" s="15" t="str">
        <f ca="1">IFERROR(__xludf.dummyfunction("VLOOKUP(R125, IMPORTRANGE(""https://docs.google.com/spreadsheets/d/1yDAaXNsi4Mr5FtRQL4tbmSdIzhx6_m4wkOD7IG-k_eo/edit#gid=1336395716"", ""Science!M:N""), 2, FALSE)"),"#N/A")</f>
        <v>#N/A</v>
      </c>
      <c r="T125" s="1" t="str">
        <f t="shared" si="23"/>
        <v>.006</v>
      </c>
      <c r="U125" s="15" t="str">
        <f ca="1">IFERROR(__xludf.dummyfunction("VLOOKUP(T125, IMPORTRANGE(""https://docs.google.com/spreadsheets/d/1yDAaXNsi4Mr5FtRQL4tbmSdIzhx6_m4wkOD7IG-k_eo/edit#gid=1336395716"", ""Science!M:N""), 2, FALSE)"),"#N/A")</f>
        <v>#N/A</v>
      </c>
      <c r="V125" s="1"/>
      <c r="W125" s="1"/>
      <c r="X125" s="1"/>
      <c r="Y125" s="1"/>
      <c r="Z125" s="1"/>
      <c r="AA125" s="1"/>
      <c r="AB125" s="1"/>
      <c r="AC125" s="1"/>
      <c r="AD125" s="1"/>
      <c r="AE125" s="1"/>
      <c r="AF125" s="1"/>
      <c r="AG125" s="1"/>
    </row>
    <row r="126" spans="1:33" ht="13.8">
      <c r="A126" s="1"/>
      <c r="B126" s="1"/>
      <c r="C126" s="1"/>
      <c r="D126" s="1"/>
      <c r="E126" s="1"/>
      <c r="F126" s="1"/>
      <c r="G126" s="1"/>
      <c r="H126" s="1"/>
      <c r="I126" s="1"/>
      <c r="J126" s="1" t="str">
        <f t="shared" si="18"/>
        <v>.001</v>
      </c>
      <c r="K126" s="1" t="str">
        <f ca="1">IFERROR(__xludf.dummyfunction("VLOOKUP(J126, IMPORTRANGE(""https://docs.google.com/spreadsheets/d/1yDAaXNsi4Mr5FtRQL4tbmSdIzhx6_m4wkOD7IG-k_eo/edit#gid=1336395716"", ""Science!M:N""), 2, FALSE)"),"#N/A")</f>
        <v>#N/A</v>
      </c>
      <c r="L126" s="1" t="str">
        <f t="shared" si="19"/>
        <v>.002</v>
      </c>
      <c r="M126" s="1" t="str">
        <f ca="1">IFERROR(__xludf.dummyfunction("VLOOKUP(L126, IMPORTRANGE(""https://docs.google.com/spreadsheets/d/1yDAaXNsi4Mr5FtRQL4tbmSdIzhx6_m4wkOD7IG-k_eo/edit#gid=1336395716"", ""Science!M:N""), 2, FALSE)"),"#N/A")</f>
        <v>#N/A</v>
      </c>
      <c r="N126" s="1" t="str">
        <f t="shared" si="20"/>
        <v>.003</v>
      </c>
      <c r="O126" s="1" t="str">
        <f ca="1">IFERROR(__xludf.dummyfunction("VLOOKUP(N126, IMPORTRANGE(""https://docs.google.com/spreadsheets/d/1yDAaXNsi4Mr5FtRQL4tbmSdIzhx6_m4wkOD7IG-k_eo/edit#gid=1336395716"", ""Science!M:N""), 2, FALSE)"),"#N/A")</f>
        <v>#N/A</v>
      </c>
      <c r="P126" s="1" t="str">
        <f t="shared" si="21"/>
        <v>.004</v>
      </c>
      <c r="Q126" s="15" t="str">
        <f ca="1">IFERROR(__xludf.dummyfunction("VLOOKUP(P126, IMPORTRANGE(""https://docs.google.com/spreadsheets/d/1yDAaXNsi4Mr5FtRQL4tbmSdIzhx6_m4wkOD7IG-k_eo/edit#gid=1336395716"", ""Science!M:N""), 2, FALSE)"),"#N/A")</f>
        <v>#N/A</v>
      </c>
      <c r="R126" s="1" t="str">
        <f t="shared" si="22"/>
        <v>.005</v>
      </c>
      <c r="S126" s="15" t="str">
        <f ca="1">IFERROR(__xludf.dummyfunction("VLOOKUP(R126, IMPORTRANGE(""https://docs.google.com/spreadsheets/d/1yDAaXNsi4Mr5FtRQL4tbmSdIzhx6_m4wkOD7IG-k_eo/edit#gid=1336395716"", ""Science!M:N""), 2, FALSE)"),"#N/A")</f>
        <v>#N/A</v>
      </c>
      <c r="T126" s="1" t="str">
        <f t="shared" si="23"/>
        <v>.006</v>
      </c>
      <c r="U126" s="15" t="str">
        <f ca="1">IFERROR(__xludf.dummyfunction("VLOOKUP(T126, IMPORTRANGE(""https://docs.google.com/spreadsheets/d/1yDAaXNsi4Mr5FtRQL4tbmSdIzhx6_m4wkOD7IG-k_eo/edit#gid=1336395716"", ""Science!M:N""), 2, FALSE)"),"#N/A")</f>
        <v>#N/A</v>
      </c>
      <c r="V126" s="1"/>
      <c r="W126" s="1"/>
      <c r="X126" s="1"/>
      <c r="Y126" s="1"/>
      <c r="Z126" s="1"/>
      <c r="AA126" s="1"/>
      <c r="AB126" s="1"/>
      <c r="AC126" s="1"/>
      <c r="AD126" s="1"/>
      <c r="AE126" s="1"/>
      <c r="AF126" s="1"/>
      <c r="AG126" s="1"/>
    </row>
    <row r="127" spans="1:33" ht="13.8">
      <c r="A127" s="1"/>
      <c r="B127" s="1"/>
      <c r="C127" s="1"/>
      <c r="D127" s="1"/>
      <c r="E127" s="1"/>
      <c r="F127" s="1"/>
      <c r="G127" s="1"/>
      <c r="H127" s="1"/>
      <c r="I127" s="1"/>
      <c r="J127" s="1" t="str">
        <f t="shared" si="18"/>
        <v>.001</v>
      </c>
      <c r="K127" s="1" t="str">
        <f ca="1">IFERROR(__xludf.dummyfunction("VLOOKUP(J127, IMPORTRANGE(""https://docs.google.com/spreadsheets/d/1yDAaXNsi4Mr5FtRQL4tbmSdIzhx6_m4wkOD7IG-k_eo/edit#gid=1336395716"", ""Science!M:N""), 2, FALSE)"),"#N/A")</f>
        <v>#N/A</v>
      </c>
      <c r="L127" s="1" t="str">
        <f t="shared" si="19"/>
        <v>.002</v>
      </c>
      <c r="M127" s="1" t="str">
        <f ca="1">IFERROR(__xludf.dummyfunction("VLOOKUP(L127, IMPORTRANGE(""https://docs.google.com/spreadsheets/d/1yDAaXNsi4Mr5FtRQL4tbmSdIzhx6_m4wkOD7IG-k_eo/edit#gid=1336395716"", ""Science!M:N""), 2, FALSE)"),"#N/A")</f>
        <v>#N/A</v>
      </c>
      <c r="N127" s="1" t="str">
        <f t="shared" si="20"/>
        <v>.003</v>
      </c>
      <c r="O127" s="1" t="str">
        <f ca="1">IFERROR(__xludf.dummyfunction("VLOOKUP(N127, IMPORTRANGE(""https://docs.google.com/spreadsheets/d/1yDAaXNsi4Mr5FtRQL4tbmSdIzhx6_m4wkOD7IG-k_eo/edit#gid=1336395716"", ""Science!M:N""), 2, FALSE)"),"#N/A")</f>
        <v>#N/A</v>
      </c>
      <c r="P127" s="1" t="str">
        <f t="shared" si="21"/>
        <v>.004</v>
      </c>
      <c r="Q127" s="15" t="str">
        <f ca="1">IFERROR(__xludf.dummyfunction("VLOOKUP(P127, IMPORTRANGE(""https://docs.google.com/spreadsheets/d/1yDAaXNsi4Mr5FtRQL4tbmSdIzhx6_m4wkOD7IG-k_eo/edit#gid=1336395716"", ""Science!M:N""), 2, FALSE)"),"#N/A")</f>
        <v>#N/A</v>
      </c>
      <c r="R127" s="1" t="str">
        <f t="shared" si="22"/>
        <v>.005</v>
      </c>
      <c r="S127" s="15" t="str">
        <f ca="1">IFERROR(__xludf.dummyfunction("VLOOKUP(R127, IMPORTRANGE(""https://docs.google.com/spreadsheets/d/1yDAaXNsi4Mr5FtRQL4tbmSdIzhx6_m4wkOD7IG-k_eo/edit#gid=1336395716"", ""Science!M:N""), 2, FALSE)"),"#N/A")</f>
        <v>#N/A</v>
      </c>
      <c r="T127" s="1" t="str">
        <f t="shared" si="23"/>
        <v>.006</v>
      </c>
      <c r="U127" s="15" t="str">
        <f ca="1">IFERROR(__xludf.dummyfunction("VLOOKUP(T127, IMPORTRANGE(""https://docs.google.com/spreadsheets/d/1yDAaXNsi4Mr5FtRQL4tbmSdIzhx6_m4wkOD7IG-k_eo/edit#gid=1336395716"", ""Science!M:N""), 2, FALSE)"),"#N/A")</f>
        <v>#N/A</v>
      </c>
      <c r="V127" s="1"/>
      <c r="W127" s="1"/>
      <c r="X127" s="1"/>
      <c r="Y127" s="1"/>
      <c r="Z127" s="1"/>
      <c r="AA127" s="1"/>
      <c r="AB127" s="1"/>
      <c r="AC127" s="1"/>
      <c r="AD127" s="1"/>
      <c r="AE127" s="1"/>
      <c r="AF127" s="1"/>
      <c r="AG127" s="1"/>
    </row>
    <row r="128" spans="1:33" ht="13.8">
      <c r="A128" s="1"/>
      <c r="B128" s="1"/>
      <c r="C128" s="1"/>
      <c r="D128" s="1"/>
      <c r="E128" s="1"/>
      <c r="F128" s="1"/>
      <c r="G128" s="1"/>
      <c r="H128" s="1"/>
      <c r="I128" s="1"/>
      <c r="J128" s="1" t="str">
        <f t="shared" si="18"/>
        <v>.001</v>
      </c>
      <c r="K128" s="1" t="str">
        <f ca="1">IFERROR(__xludf.dummyfunction("VLOOKUP(J128, IMPORTRANGE(""https://docs.google.com/spreadsheets/d/1yDAaXNsi4Mr5FtRQL4tbmSdIzhx6_m4wkOD7IG-k_eo/edit#gid=1336395716"", ""Science!M:N""), 2, FALSE)"),"#N/A")</f>
        <v>#N/A</v>
      </c>
      <c r="L128" s="1" t="str">
        <f t="shared" si="19"/>
        <v>.002</v>
      </c>
      <c r="M128" s="1" t="str">
        <f ca="1">IFERROR(__xludf.dummyfunction("VLOOKUP(L128, IMPORTRANGE(""https://docs.google.com/spreadsheets/d/1yDAaXNsi4Mr5FtRQL4tbmSdIzhx6_m4wkOD7IG-k_eo/edit#gid=1336395716"", ""Science!M:N""), 2, FALSE)"),"#N/A")</f>
        <v>#N/A</v>
      </c>
      <c r="N128" s="1" t="str">
        <f t="shared" si="20"/>
        <v>.003</v>
      </c>
      <c r="O128" s="1" t="str">
        <f ca="1">IFERROR(__xludf.dummyfunction("VLOOKUP(N128, IMPORTRANGE(""https://docs.google.com/spreadsheets/d/1yDAaXNsi4Mr5FtRQL4tbmSdIzhx6_m4wkOD7IG-k_eo/edit#gid=1336395716"", ""Science!M:N""), 2, FALSE)"),"#N/A")</f>
        <v>#N/A</v>
      </c>
      <c r="P128" s="1" t="str">
        <f t="shared" si="21"/>
        <v>.004</v>
      </c>
      <c r="Q128" s="15" t="str">
        <f ca="1">IFERROR(__xludf.dummyfunction("VLOOKUP(P128, IMPORTRANGE(""https://docs.google.com/spreadsheets/d/1yDAaXNsi4Mr5FtRQL4tbmSdIzhx6_m4wkOD7IG-k_eo/edit#gid=1336395716"", ""Science!M:N""), 2, FALSE)"),"#N/A")</f>
        <v>#N/A</v>
      </c>
      <c r="R128" s="1" t="str">
        <f t="shared" si="22"/>
        <v>.005</v>
      </c>
      <c r="S128" s="15" t="str">
        <f ca="1">IFERROR(__xludf.dummyfunction("VLOOKUP(R128, IMPORTRANGE(""https://docs.google.com/spreadsheets/d/1yDAaXNsi4Mr5FtRQL4tbmSdIzhx6_m4wkOD7IG-k_eo/edit#gid=1336395716"", ""Science!M:N""), 2, FALSE)"),"#N/A")</f>
        <v>#N/A</v>
      </c>
      <c r="T128" s="1" t="str">
        <f t="shared" si="23"/>
        <v>.006</v>
      </c>
      <c r="U128" s="15" t="str">
        <f ca="1">IFERROR(__xludf.dummyfunction("VLOOKUP(T128, IMPORTRANGE(""https://docs.google.com/spreadsheets/d/1yDAaXNsi4Mr5FtRQL4tbmSdIzhx6_m4wkOD7IG-k_eo/edit#gid=1336395716"", ""Science!M:N""), 2, FALSE)"),"#N/A")</f>
        <v>#N/A</v>
      </c>
      <c r="V128" s="1"/>
      <c r="W128" s="1"/>
      <c r="X128" s="1"/>
      <c r="Y128" s="1"/>
      <c r="Z128" s="1"/>
      <c r="AA128" s="1"/>
      <c r="AB128" s="1"/>
      <c r="AC128" s="1"/>
      <c r="AD128" s="1"/>
      <c r="AE128" s="1"/>
      <c r="AF128" s="1"/>
      <c r="AG128" s="1"/>
    </row>
    <row r="129" spans="1:33" ht="13.8">
      <c r="A129" s="1"/>
      <c r="B129" s="1"/>
      <c r="C129" s="1"/>
      <c r="D129" s="1"/>
      <c r="E129" s="1"/>
      <c r="F129" s="1"/>
      <c r="G129" s="1"/>
      <c r="H129" s="1"/>
      <c r="I129" s="1"/>
      <c r="J129" s="1" t="str">
        <f t="shared" si="18"/>
        <v>.001</v>
      </c>
      <c r="K129" s="1" t="str">
        <f ca="1">IFERROR(__xludf.dummyfunction("VLOOKUP(J129, IMPORTRANGE(""https://docs.google.com/spreadsheets/d/1yDAaXNsi4Mr5FtRQL4tbmSdIzhx6_m4wkOD7IG-k_eo/edit#gid=1336395716"", ""Science!M:N""), 2, FALSE)"),"#N/A")</f>
        <v>#N/A</v>
      </c>
      <c r="L129" s="1" t="str">
        <f t="shared" si="19"/>
        <v>.002</v>
      </c>
      <c r="M129" s="1" t="str">
        <f ca="1">IFERROR(__xludf.dummyfunction("VLOOKUP(L129, IMPORTRANGE(""https://docs.google.com/spreadsheets/d/1yDAaXNsi4Mr5FtRQL4tbmSdIzhx6_m4wkOD7IG-k_eo/edit#gid=1336395716"", ""Science!M:N""), 2, FALSE)"),"#N/A")</f>
        <v>#N/A</v>
      </c>
      <c r="N129" s="1" t="str">
        <f t="shared" si="20"/>
        <v>.003</v>
      </c>
      <c r="O129" s="1" t="str">
        <f ca="1">IFERROR(__xludf.dummyfunction("VLOOKUP(N129, IMPORTRANGE(""https://docs.google.com/spreadsheets/d/1yDAaXNsi4Mr5FtRQL4tbmSdIzhx6_m4wkOD7IG-k_eo/edit#gid=1336395716"", ""Science!M:N""), 2, FALSE)"),"#N/A")</f>
        <v>#N/A</v>
      </c>
      <c r="P129" s="1" t="str">
        <f t="shared" si="21"/>
        <v>.004</v>
      </c>
      <c r="Q129" s="15" t="str">
        <f ca="1">IFERROR(__xludf.dummyfunction("VLOOKUP(P129, IMPORTRANGE(""https://docs.google.com/spreadsheets/d/1yDAaXNsi4Mr5FtRQL4tbmSdIzhx6_m4wkOD7IG-k_eo/edit#gid=1336395716"", ""Science!M:N""), 2, FALSE)"),"#N/A")</f>
        <v>#N/A</v>
      </c>
      <c r="R129" s="1" t="str">
        <f t="shared" si="22"/>
        <v>.005</v>
      </c>
      <c r="S129" s="15" t="str">
        <f ca="1">IFERROR(__xludf.dummyfunction("VLOOKUP(R129, IMPORTRANGE(""https://docs.google.com/spreadsheets/d/1yDAaXNsi4Mr5FtRQL4tbmSdIzhx6_m4wkOD7IG-k_eo/edit#gid=1336395716"", ""Science!M:N""), 2, FALSE)"),"#N/A")</f>
        <v>#N/A</v>
      </c>
      <c r="T129" s="1" t="str">
        <f t="shared" si="23"/>
        <v>.006</v>
      </c>
      <c r="U129" s="15" t="str">
        <f ca="1">IFERROR(__xludf.dummyfunction("VLOOKUP(T129, IMPORTRANGE(""https://docs.google.com/spreadsheets/d/1yDAaXNsi4Mr5FtRQL4tbmSdIzhx6_m4wkOD7IG-k_eo/edit#gid=1336395716"", ""Science!M:N""), 2, FALSE)"),"#N/A")</f>
        <v>#N/A</v>
      </c>
      <c r="V129" s="1"/>
      <c r="W129" s="1"/>
      <c r="X129" s="1"/>
      <c r="Y129" s="1"/>
      <c r="Z129" s="1"/>
      <c r="AA129" s="1"/>
      <c r="AB129" s="1"/>
      <c r="AC129" s="1"/>
      <c r="AD129" s="1"/>
      <c r="AE129" s="1"/>
      <c r="AF129" s="1"/>
      <c r="AG129" s="1"/>
    </row>
    <row r="130" spans="1:33" ht="13.8">
      <c r="A130" s="1"/>
      <c r="B130" s="1"/>
      <c r="C130" s="1"/>
      <c r="D130" s="1"/>
      <c r="E130" s="1"/>
      <c r="F130" s="1"/>
      <c r="G130" s="1"/>
      <c r="H130" s="1"/>
      <c r="I130" s="1"/>
      <c r="J130" s="1" t="str">
        <f t="shared" ref="J130:J150" si="24">G130 &amp; ".001"</f>
        <v>.001</v>
      </c>
      <c r="K130" s="1" t="str">
        <f ca="1">IFERROR(__xludf.dummyfunction("VLOOKUP(J130, IMPORTRANGE(""https://docs.google.com/spreadsheets/d/1yDAaXNsi4Mr5FtRQL4tbmSdIzhx6_m4wkOD7IG-k_eo/edit#gid=1336395716"", ""Science!M:N""), 2, FALSE)"),"#N/A")</f>
        <v>#N/A</v>
      </c>
      <c r="L130" s="1" t="str">
        <f t="shared" ref="L130:L150" si="25">G130 &amp; ".002"</f>
        <v>.002</v>
      </c>
      <c r="M130" s="1" t="str">
        <f ca="1">IFERROR(__xludf.dummyfunction("VLOOKUP(L130, IMPORTRANGE(""https://docs.google.com/spreadsheets/d/1yDAaXNsi4Mr5FtRQL4tbmSdIzhx6_m4wkOD7IG-k_eo/edit#gid=1336395716"", ""Science!M:N""), 2, FALSE)"),"#N/A")</f>
        <v>#N/A</v>
      </c>
      <c r="N130" s="1" t="str">
        <f t="shared" ref="N130:N150" si="26">G130 &amp; ".003"</f>
        <v>.003</v>
      </c>
      <c r="O130" s="1" t="str">
        <f ca="1">IFERROR(__xludf.dummyfunction("VLOOKUP(N130, IMPORTRANGE(""https://docs.google.com/spreadsheets/d/1yDAaXNsi4Mr5FtRQL4tbmSdIzhx6_m4wkOD7IG-k_eo/edit#gid=1336395716"", ""Science!M:N""), 2, FALSE)"),"#N/A")</f>
        <v>#N/A</v>
      </c>
      <c r="P130" s="1" t="str">
        <f t="shared" ref="P130:P150" si="27">G130 &amp; ".004"</f>
        <v>.004</v>
      </c>
      <c r="Q130" s="15" t="str">
        <f ca="1">IFERROR(__xludf.dummyfunction("VLOOKUP(P130, IMPORTRANGE(""https://docs.google.com/spreadsheets/d/1yDAaXNsi4Mr5FtRQL4tbmSdIzhx6_m4wkOD7IG-k_eo/edit#gid=1336395716"", ""Science!M:N""), 2, FALSE)"),"#N/A")</f>
        <v>#N/A</v>
      </c>
      <c r="R130" s="1" t="str">
        <f t="shared" ref="R130:R150" si="28">G130 &amp; ".005"</f>
        <v>.005</v>
      </c>
      <c r="S130" s="15" t="str">
        <f ca="1">IFERROR(__xludf.dummyfunction("VLOOKUP(R130, IMPORTRANGE(""https://docs.google.com/spreadsheets/d/1yDAaXNsi4Mr5FtRQL4tbmSdIzhx6_m4wkOD7IG-k_eo/edit#gid=1336395716"", ""Science!M:N""), 2, FALSE)"),"#N/A")</f>
        <v>#N/A</v>
      </c>
      <c r="T130" s="1" t="str">
        <f t="shared" ref="T130:T150" si="29">G130 &amp; ".006"</f>
        <v>.006</v>
      </c>
      <c r="U130" s="15" t="str">
        <f ca="1">IFERROR(__xludf.dummyfunction("VLOOKUP(T130, IMPORTRANGE(""https://docs.google.com/spreadsheets/d/1yDAaXNsi4Mr5FtRQL4tbmSdIzhx6_m4wkOD7IG-k_eo/edit#gid=1336395716"", ""Science!M:N""), 2, FALSE)"),"#N/A")</f>
        <v>#N/A</v>
      </c>
      <c r="V130" s="1"/>
      <c r="W130" s="1"/>
      <c r="X130" s="1"/>
      <c r="Y130" s="1"/>
      <c r="Z130" s="1"/>
      <c r="AA130" s="1"/>
      <c r="AB130" s="1"/>
      <c r="AC130" s="1"/>
      <c r="AD130" s="1"/>
      <c r="AE130" s="1"/>
      <c r="AF130" s="1"/>
      <c r="AG130" s="1"/>
    </row>
    <row r="131" spans="1:33" ht="13.8">
      <c r="A131" s="1"/>
      <c r="B131" s="1"/>
      <c r="C131" s="1"/>
      <c r="D131" s="1"/>
      <c r="E131" s="1"/>
      <c r="F131" s="1"/>
      <c r="G131" s="1"/>
      <c r="H131" s="1"/>
      <c r="I131" s="1"/>
      <c r="J131" s="1" t="str">
        <f t="shared" si="24"/>
        <v>.001</v>
      </c>
      <c r="K131" s="1" t="str">
        <f ca="1">IFERROR(__xludf.dummyfunction("VLOOKUP(J131, IMPORTRANGE(""https://docs.google.com/spreadsheets/d/1yDAaXNsi4Mr5FtRQL4tbmSdIzhx6_m4wkOD7IG-k_eo/edit#gid=1336395716"", ""Science!M:N""), 2, FALSE)"),"#N/A")</f>
        <v>#N/A</v>
      </c>
      <c r="L131" s="1" t="str">
        <f t="shared" si="25"/>
        <v>.002</v>
      </c>
      <c r="M131" s="1" t="str">
        <f ca="1">IFERROR(__xludf.dummyfunction("VLOOKUP(L131, IMPORTRANGE(""https://docs.google.com/spreadsheets/d/1yDAaXNsi4Mr5FtRQL4tbmSdIzhx6_m4wkOD7IG-k_eo/edit#gid=1336395716"", ""Science!M:N""), 2, FALSE)"),"#N/A")</f>
        <v>#N/A</v>
      </c>
      <c r="N131" s="1" t="str">
        <f t="shared" si="26"/>
        <v>.003</v>
      </c>
      <c r="O131" s="1" t="str">
        <f ca="1">IFERROR(__xludf.dummyfunction("VLOOKUP(N131, IMPORTRANGE(""https://docs.google.com/spreadsheets/d/1yDAaXNsi4Mr5FtRQL4tbmSdIzhx6_m4wkOD7IG-k_eo/edit#gid=1336395716"", ""Science!M:N""), 2, FALSE)"),"#N/A")</f>
        <v>#N/A</v>
      </c>
      <c r="P131" s="1" t="str">
        <f t="shared" si="27"/>
        <v>.004</v>
      </c>
      <c r="Q131" s="15" t="str">
        <f ca="1">IFERROR(__xludf.dummyfunction("VLOOKUP(P131, IMPORTRANGE(""https://docs.google.com/spreadsheets/d/1yDAaXNsi4Mr5FtRQL4tbmSdIzhx6_m4wkOD7IG-k_eo/edit#gid=1336395716"", ""Science!M:N""), 2, FALSE)"),"#N/A")</f>
        <v>#N/A</v>
      </c>
      <c r="R131" s="1" t="str">
        <f t="shared" si="28"/>
        <v>.005</v>
      </c>
      <c r="S131" s="15" t="str">
        <f ca="1">IFERROR(__xludf.dummyfunction("VLOOKUP(R131, IMPORTRANGE(""https://docs.google.com/spreadsheets/d/1yDAaXNsi4Mr5FtRQL4tbmSdIzhx6_m4wkOD7IG-k_eo/edit#gid=1336395716"", ""Science!M:N""), 2, FALSE)"),"#N/A")</f>
        <v>#N/A</v>
      </c>
      <c r="T131" s="1" t="str">
        <f t="shared" si="29"/>
        <v>.006</v>
      </c>
      <c r="U131" s="15" t="str">
        <f ca="1">IFERROR(__xludf.dummyfunction("VLOOKUP(T131, IMPORTRANGE(""https://docs.google.com/spreadsheets/d/1yDAaXNsi4Mr5FtRQL4tbmSdIzhx6_m4wkOD7IG-k_eo/edit#gid=1336395716"", ""Science!M:N""), 2, FALSE)"),"#N/A")</f>
        <v>#N/A</v>
      </c>
      <c r="V131" s="1"/>
      <c r="W131" s="1"/>
      <c r="X131" s="1"/>
      <c r="Y131" s="1"/>
      <c r="Z131" s="1"/>
      <c r="AA131" s="1"/>
      <c r="AB131" s="1"/>
      <c r="AC131" s="1"/>
      <c r="AD131" s="1"/>
      <c r="AE131" s="1"/>
      <c r="AF131" s="1"/>
      <c r="AG131" s="1"/>
    </row>
    <row r="132" spans="1:33" ht="13.8">
      <c r="A132" s="1"/>
      <c r="B132" s="1"/>
      <c r="C132" s="1"/>
      <c r="D132" s="1"/>
      <c r="E132" s="1"/>
      <c r="F132" s="1"/>
      <c r="G132" s="1"/>
      <c r="H132" s="1"/>
      <c r="I132" s="1"/>
      <c r="J132" s="1" t="str">
        <f t="shared" si="24"/>
        <v>.001</v>
      </c>
      <c r="K132" s="1" t="str">
        <f ca="1">IFERROR(__xludf.dummyfunction("VLOOKUP(J132, IMPORTRANGE(""https://docs.google.com/spreadsheets/d/1yDAaXNsi4Mr5FtRQL4tbmSdIzhx6_m4wkOD7IG-k_eo/edit#gid=1336395716"", ""Science!M:N""), 2, FALSE)"),"#N/A")</f>
        <v>#N/A</v>
      </c>
      <c r="L132" s="1" t="str">
        <f t="shared" si="25"/>
        <v>.002</v>
      </c>
      <c r="M132" s="1" t="str">
        <f ca="1">IFERROR(__xludf.dummyfunction("VLOOKUP(L132, IMPORTRANGE(""https://docs.google.com/spreadsheets/d/1yDAaXNsi4Mr5FtRQL4tbmSdIzhx6_m4wkOD7IG-k_eo/edit#gid=1336395716"", ""Science!M:N""), 2, FALSE)"),"#N/A")</f>
        <v>#N/A</v>
      </c>
      <c r="N132" s="1" t="str">
        <f t="shared" si="26"/>
        <v>.003</v>
      </c>
      <c r="O132" s="1" t="str">
        <f ca="1">IFERROR(__xludf.dummyfunction("VLOOKUP(N132, IMPORTRANGE(""https://docs.google.com/spreadsheets/d/1yDAaXNsi4Mr5FtRQL4tbmSdIzhx6_m4wkOD7IG-k_eo/edit#gid=1336395716"", ""Science!M:N""), 2, FALSE)"),"#N/A")</f>
        <v>#N/A</v>
      </c>
      <c r="P132" s="1" t="str">
        <f t="shared" si="27"/>
        <v>.004</v>
      </c>
      <c r="Q132" s="15" t="str">
        <f ca="1">IFERROR(__xludf.dummyfunction("VLOOKUP(P132, IMPORTRANGE(""https://docs.google.com/spreadsheets/d/1yDAaXNsi4Mr5FtRQL4tbmSdIzhx6_m4wkOD7IG-k_eo/edit#gid=1336395716"", ""Science!M:N""), 2, FALSE)"),"#N/A")</f>
        <v>#N/A</v>
      </c>
      <c r="R132" s="1" t="str">
        <f t="shared" si="28"/>
        <v>.005</v>
      </c>
      <c r="S132" s="15" t="str">
        <f ca="1">IFERROR(__xludf.dummyfunction("VLOOKUP(R132, IMPORTRANGE(""https://docs.google.com/spreadsheets/d/1yDAaXNsi4Mr5FtRQL4tbmSdIzhx6_m4wkOD7IG-k_eo/edit#gid=1336395716"", ""Science!M:N""), 2, FALSE)"),"#N/A")</f>
        <v>#N/A</v>
      </c>
      <c r="T132" s="1" t="str">
        <f t="shared" si="29"/>
        <v>.006</v>
      </c>
      <c r="U132" s="15" t="str">
        <f ca="1">IFERROR(__xludf.dummyfunction("VLOOKUP(T132, IMPORTRANGE(""https://docs.google.com/spreadsheets/d/1yDAaXNsi4Mr5FtRQL4tbmSdIzhx6_m4wkOD7IG-k_eo/edit#gid=1336395716"", ""Science!M:N""), 2, FALSE)"),"#N/A")</f>
        <v>#N/A</v>
      </c>
      <c r="V132" s="1"/>
      <c r="W132" s="1"/>
      <c r="X132" s="1"/>
      <c r="Y132" s="1"/>
      <c r="Z132" s="1"/>
      <c r="AA132" s="1"/>
      <c r="AB132" s="1"/>
      <c r="AC132" s="1"/>
      <c r="AD132" s="1"/>
      <c r="AE132" s="1"/>
      <c r="AF132" s="1"/>
      <c r="AG132" s="1"/>
    </row>
    <row r="133" spans="1:33" ht="13.8">
      <c r="A133" s="1"/>
      <c r="B133" s="1"/>
      <c r="C133" s="1"/>
      <c r="D133" s="1"/>
      <c r="E133" s="1"/>
      <c r="F133" s="1"/>
      <c r="G133" s="1"/>
      <c r="H133" s="1"/>
      <c r="I133" s="1"/>
      <c r="J133" s="1" t="str">
        <f t="shared" si="24"/>
        <v>.001</v>
      </c>
      <c r="K133" s="1" t="str">
        <f ca="1">IFERROR(__xludf.dummyfunction("VLOOKUP(J133, IMPORTRANGE(""https://docs.google.com/spreadsheets/d/1yDAaXNsi4Mr5FtRQL4tbmSdIzhx6_m4wkOD7IG-k_eo/edit#gid=1336395716"", ""Science!M:N""), 2, FALSE)"),"#N/A")</f>
        <v>#N/A</v>
      </c>
      <c r="L133" s="1" t="str">
        <f t="shared" si="25"/>
        <v>.002</v>
      </c>
      <c r="M133" s="1" t="str">
        <f ca="1">IFERROR(__xludf.dummyfunction("VLOOKUP(L133, IMPORTRANGE(""https://docs.google.com/spreadsheets/d/1yDAaXNsi4Mr5FtRQL4tbmSdIzhx6_m4wkOD7IG-k_eo/edit#gid=1336395716"", ""Science!M:N""), 2, FALSE)"),"#N/A")</f>
        <v>#N/A</v>
      </c>
      <c r="N133" s="1" t="str">
        <f t="shared" si="26"/>
        <v>.003</v>
      </c>
      <c r="O133" s="1" t="str">
        <f ca="1">IFERROR(__xludf.dummyfunction("VLOOKUP(N133, IMPORTRANGE(""https://docs.google.com/spreadsheets/d/1yDAaXNsi4Mr5FtRQL4tbmSdIzhx6_m4wkOD7IG-k_eo/edit#gid=1336395716"", ""Science!M:N""), 2, FALSE)"),"#N/A")</f>
        <v>#N/A</v>
      </c>
      <c r="P133" s="1" t="str">
        <f t="shared" si="27"/>
        <v>.004</v>
      </c>
      <c r="Q133" s="15" t="str">
        <f ca="1">IFERROR(__xludf.dummyfunction("VLOOKUP(P133, IMPORTRANGE(""https://docs.google.com/spreadsheets/d/1yDAaXNsi4Mr5FtRQL4tbmSdIzhx6_m4wkOD7IG-k_eo/edit#gid=1336395716"", ""Science!M:N""), 2, FALSE)"),"#N/A")</f>
        <v>#N/A</v>
      </c>
      <c r="R133" s="1" t="str">
        <f t="shared" si="28"/>
        <v>.005</v>
      </c>
      <c r="S133" s="15" t="str">
        <f ca="1">IFERROR(__xludf.dummyfunction("VLOOKUP(R133, IMPORTRANGE(""https://docs.google.com/spreadsheets/d/1yDAaXNsi4Mr5FtRQL4tbmSdIzhx6_m4wkOD7IG-k_eo/edit#gid=1336395716"", ""Science!M:N""), 2, FALSE)"),"#N/A")</f>
        <v>#N/A</v>
      </c>
      <c r="T133" s="1" t="str">
        <f t="shared" si="29"/>
        <v>.006</v>
      </c>
      <c r="U133" s="15" t="str">
        <f ca="1">IFERROR(__xludf.dummyfunction("VLOOKUP(T133, IMPORTRANGE(""https://docs.google.com/spreadsheets/d/1yDAaXNsi4Mr5FtRQL4tbmSdIzhx6_m4wkOD7IG-k_eo/edit#gid=1336395716"", ""Science!M:N""), 2, FALSE)"),"#N/A")</f>
        <v>#N/A</v>
      </c>
      <c r="V133" s="1"/>
      <c r="W133" s="1"/>
      <c r="X133" s="1"/>
      <c r="Y133" s="1"/>
      <c r="Z133" s="1"/>
      <c r="AA133" s="1"/>
      <c r="AB133" s="1"/>
      <c r="AC133" s="1"/>
      <c r="AD133" s="1"/>
      <c r="AE133" s="1"/>
      <c r="AF133" s="1"/>
      <c r="AG133" s="1"/>
    </row>
    <row r="134" spans="1:33" ht="13.8">
      <c r="A134" s="1"/>
      <c r="B134" s="1"/>
      <c r="C134" s="1"/>
      <c r="D134" s="1"/>
      <c r="E134" s="1"/>
      <c r="F134" s="1"/>
      <c r="G134" s="1"/>
      <c r="H134" s="1"/>
      <c r="I134" s="1"/>
      <c r="J134" s="1" t="str">
        <f t="shared" si="24"/>
        <v>.001</v>
      </c>
      <c r="K134" s="1" t="str">
        <f ca="1">IFERROR(__xludf.dummyfunction("VLOOKUP(J134, IMPORTRANGE(""https://docs.google.com/spreadsheets/d/1yDAaXNsi4Mr5FtRQL4tbmSdIzhx6_m4wkOD7IG-k_eo/edit#gid=1336395716"", ""Science!M:N""), 2, FALSE)"),"#N/A")</f>
        <v>#N/A</v>
      </c>
      <c r="L134" s="1" t="str">
        <f t="shared" si="25"/>
        <v>.002</v>
      </c>
      <c r="M134" s="1" t="str">
        <f ca="1">IFERROR(__xludf.dummyfunction("VLOOKUP(L134, IMPORTRANGE(""https://docs.google.com/spreadsheets/d/1yDAaXNsi4Mr5FtRQL4tbmSdIzhx6_m4wkOD7IG-k_eo/edit#gid=1336395716"", ""Science!M:N""), 2, FALSE)"),"#N/A")</f>
        <v>#N/A</v>
      </c>
      <c r="N134" s="1" t="str">
        <f t="shared" si="26"/>
        <v>.003</v>
      </c>
      <c r="O134" s="1" t="str">
        <f ca="1">IFERROR(__xludf.dummyfunction("VLOOKUP(N134, IMPORTRANGE(""https://docs.google.com/spreadsheets/d/1yDAaXNsi4Mr5FtRQL4tbmSdIzhx6_m4wkOD7IG-k_eo/edit#gid=1336395716"", ""Science!M:N""), 2, FALSE)"),"#N/A")</f>
        <v>#N/A</v>
      </c>
      <c r="P134" s="1" t="str">
        <f t="shared" si="27"/>
        <v>.004</v>
      </c>
      <c r="Q134" s="15" t="str">
        <f ca="1">IFERROR(__xludf.dummyfunction("VLOOKUP(P134, IMPORTRANGE(""https://docs.google.com/spreadsheets/d/1yDAaXNsi4Mr5FtRQL4tbmSdIzhx6_m4wkOD7IG-k_eo/edit#gid=1336395716"", ""Science!M:N""), 2, FALSE)"),"#N/A")</f>
        <v>#N/A</v>
      </c>
      <c r="R134" s="1" t="str">
        <f t="shared" si="28"/>
        <v>.005</v>
      </c>
      <c r="S134" s="15" t="str">
        <f ca="1">IFERROR(__xludf.dummyfunction("VLOOKUP(R134, IMPORTRANGE(""https://docs.google.com/spreadsheets/d/1yDAaXNsi4Mr5FtRQL4tbmSdIzhx6_m4wkOD7IG-k_eo/edit#gid=1336395716"", ""Science!M:N""), 2, FALSE)"),"#N/A")</f>
        <v>#N/A</v>
      </c>
      <c r="T134" s="1" t="str">
        <f t="shared" si="29"/>
        <v>.006</v>
      </c>
      <c r="U134" s="15" t="str">
        <f ca="1">IFERROR(__xludf.dummyfunction("VLOOKUP(T134, IMPORTRANGE(""https://docs.google.com/spreadsheets/d/1yDAaXNsi4Mr5FtRQL4tbmSdIzhx6_m4wkOD7IG-k_eo/edit#gid=1336395716"", ""Science!M:N""), 2, FALSE)"),"#N/A")</f>
        <v>#N/A</v>
      </c>
      <c r="V134" s="1"/>
      <c r="W134" s="1"/>
      <c r="X134" s="1"/>
      <c r="Y134" s="1"/>
      <c r="Z134" s="1"/>
      <c r="AA134" s="1"/>
      <c r="AB134" s="1"/>
      <c r="AC134" s="1"/>
      <c r="AD134" s="1"/>
      <c r="AE134" s="1"/>
      <c r="AF134" s="1"/>
      <c r="AG134" s="1"/>
    </row>
    <row r="135" spans="1:33" ht="13.8">
      <c r="A135" s="1"/>
      <c r="B135" s="1"/>
      <c r="C135" s="1"/>
      <c r="D135" s="1"/>
      <c r="E135" s="1"/>
      <c r="F135" s="1"/>
      <c r="G135" s="1"/>
      <c r="H135" s="1"/>
      <c r="I135" s="1"/>
      <c r="J135" s="1" t="str">
        <f t="shared" si="24"/>
        <v>.001</v>
      </c>
      <c r="K135" s="1" t="str">
        <f ca="1">IFERROR(__xludf.dummyfunction("VLOOKUP(J135, IMPORTRANGE(""https://docs.google.com/spreadsheets/d/1yDAaXNsi4Mr5FtRQL4tbmSdIzhx6_m4wkOD7IG-k_eo/edit#gid=1336395716"", ""Science!M:N""), 2, FALSE)"),"#N/A")</f>
        <v>#N/A</v>
      </c>
      <c r="L135" s="1" t="str">
        <f t="shared" si="25"/>
        <v>.002</v>
      </c>
      <c r="M135" s="1" t="str">
        <f ca="1">IFERROR(__xludf.dummyfunction("VLOOKUP(L135, IMPORTRANGE(""https://docs.google.com/spreadsheets/d/1yDAaXNsi4Mr5FtRQL4tbmSdIzhx6_m4wkOD7IG-k_eo/edit#gid=1336395716"", ""Science!M:N""), 2, FALSE)"),"#N/A")</f>
        <v>#N/A</v>
      </c>
      <c r="N135" s="1" t="str">
        <f t="shared" si="26"/>
        <v>.003</v>
      </c>
      <c r="O135" s="1" t="str">
        <f ca="1">IFERROR(__xludf.dummyfunction("VLOOKUP(N135, IMPORTRANGE(""https://docs.google.com/spreadsheets/d/1yDAaXNsi4Mr5FtRQL4tbmSdIzhx6_m4wkOD7IG-k_eo/edit#gid=1336395716"", ""Science!M:N""), 2, FALSE)"),"#N/A")</f>
        <v>#N/A</v>
      </c>
      <c r="P135" s="1" t="str">
        <f t="shared" si="27"/>
        <v>.004</v>
      </c>
      <c r="Q135" s="15" t="str">
        <f ca="1">IFERROR(__xludf.dummyfunction("VLOOKUP(P135, IMPORTRANGE(""https://docs.google.com/spreadsheets/d/1yDAaXNsi4Mr5FtRQL4tbmSdIzhx6_m4wkOD7IG-k_eo/edit#gid=1336395716"", ""Science!M:N""), 2, FALSE)"),"#N/A")</f>
        <v>#N/A</v>
      </c>
      <c r="R135" s="1" t="str">
        <f t="shared" si="28"/>
        <v>.005</v>
      </c>
      <c r="S135" s="15" t="str">
        <f ca="1">IFERROR(__xludf.dummyfunction("VLOOKUP(R135, IMPORTRANGE(""https://docs.google.com/spreadsheets/d/1yDAaXNsi4Mr5FtRQL4tbmSdIzhx6_m4wkOD7IG-k_eo/edit#gid=1336395716"", ""Science!M:N""), 2, FALSE)"),"#N/A")</f>
        <v>#N/A</v>
      </c>
      <c r="T135" s="1" t="str">
        <f t="shared" si="29"/>
        <v>.006</v>
      </c>
      <c r="U135" s="15" t="str">
        <f ca="1">IFERROR(__xludf.dummyfunction("VLOOKUP(T135, IMPORTRANGE(""https://docs.google.com/spreadsheets/d/1yDAaXNsi4Mr5FtRQL4tbmSdIzhx6_m4wkOD7IG-k_eo/edit#gid=1336395716"", ""Science!M:N""), 2, FALSE)"),"#N/A")</f>
        <v>#N/A</v>
      </c>
      <c r="V135" s="1"/>
      <c r="W135" s="1"/>
      <c r="X135" s="1"/>
      <c r="Y135" s="1"/>
      <c r="Z135" s="1"/>
      <c r="AA135" s="1"/>
      <c r="AB135" s="1"/>
      <c r="AC135" s="1"/>
      <c r="AD135" s="1"/>
      <c r="AE135" s="1"/>
      <c r="AF135" s="1"/>
      <c r="AG135" s="1"/>
    </row>
    <row r="136" spans="1:33" ht="13.8">
      <c r="A136" s="1"/>
      <c r="B136" s="1"/>
      <c r="C136" s="1"/>
      <c r="D136" s="1"/>
      <c r="E136" s="1"/>
      <c r="F136" s="1"/>
      <c r="G136" s="1"/>
      <c r="H136" s="1"/>
      <c r="I136" s="1"/>
      <c r="J136" s="1" t="str">
        <f t="shared" si="24"/>
        <v>.001</v>
      </c>
      <c r="K136" s="1" t="str">
        <f ca="1">IFERROR(__xludf.dummyfunction("VLOOKUP(J136, IMPORTRANGE(""https://docs.google.com/spreadsheets/d/1yDAaXNsi4Mr5FtRQL4tbmSdIzhx6_m4wkOD7IG-k_eo/edit#gid=1336395716"", ""Science!M:N""), 2, FALSE)"),"#N/A")</f>
        <v>#N/A</v>
      </c>
      <c r="L136" s="1" t="str">
        <f t="shared" si="25"/>
        <v>.002</v>
      </c>
      <c r="M136" s="1" t="str">
        <f ca="1">IFERROR(__xludf.dummyfunction("VLOOKUP(L136, IMPORTRANGE(""https://docs.google.com/spreadsheets/d/1yDAaXNsi4Mr5FtRQL4tbmSdIzhx6_m4wkOD7IG-k_eo/edit#gid=1336395716"", ""Science!M:N""), 2, FALSE)"),"#N/A")</f>
        <v>#N/A</v>
      </c>
      <c r="N136" s="1" t="str">
        <f t="shared" si="26"/>
        <v>.003</v>
      </c>
      <c r="O136" s="1" t="str">
        <f ca="1">IFERROR(__xludf.dummyfunction("VLOOKUP(N136, IMPORTRANGE(""https://docs.google.com/spreadsheets/d/1yDAaXNsi4Mr5FtRQL4tbmSdIzhx6_m4wkOD7IG-k_eo/edit#gid=1336395716"", ""Science!M:N""), 2, FALSE)"),"#N/A")</f>
        <v>#N/A</v>
      </c>
      <c r="P136" s="1" t="str">
        <f t="shared" si="27"/>
        <v>.004</v>
      </c>
      <c r="Q136" s="15" t="str">
        <f ca="1">IFERROR(__xludf.dummyfunction("VLOOKUP(P136, IMPORTRANGE(""https://docs.google.com/spreadsheets/d/1yDAaXNsi4Mr5FtRQL4tbmSdIzhx6_m4wkOD7IG-k_eo/edit#gid=1336395716"", ""Science!M:N""), 2, FALSE)"),"#N/A")</f>
        <v>#N/A</v>
      </c>
      <c r="R136" s="1" t="str">
        <f t="shared" si="28"/>
        <v>.005</v>
      </c>
      <c r="S136" s="15" t="str">
        <f ca="1">IFERROR(__xludf.dummyfunction("VLOOKUP(R136, IMPORTRANGE(""https://docs.google.com/spreadsheets/d/1yDAaXNsi4Mr5FtRQL4tbmSdIzhx6_m4wkOD7IG-k_eo/edit#gid=1336395716"", ""Science!M:N""), 2, FALSE)"),"#N/A")</f>
        <v>#N/A</v>
      </c>
      <c r="T136" s="1" t="str">
        <f t="shared" si="29"/>
        <v>.006</v>
      </c>
      <c r="U136" s="15" t="str">
        <f ca="1">IFERROR(__xludf.dummyfunction("VLOOKUP(T136, IMPORTRANGE(""https://docs.google.com/spreadsheets/d/1yDAaXNsi4Mr5FtRQL4tbmSdIzhx6_m4wkOD7IG-k_eo/edit#gid=1336395716"", ""Science!M:N""), 2, FALSE)"),"#N/A")</f>
        <v>#N/A</v>
      </c>
      <c r="V136" s="1"/>
      <c r="W136" s="1"/>
      <c r="X136" s="1"/>
      <c r="Y136" s="1"/>
      <c r="Z136" s="1"/>
      <c r="AA136" s="1"/>
      <c r="AB136" s="1"/>
      <c r="AC136" s="1"/>
      <c r="AD136" s="1"/>
      <c r="AE136" s="1"/>
      <c r="AF136" s="1"/>
      <c r="AG136" s="1"/>
    </row>
    <row r="137" spans="1:33" ht="13.8">
      <c r="A137" s="1"/>
      <c r="B137" s="1"/>
      <c r="C137" s="1"/>
      <c r="D137" s="1"/>
      <c r="E137" s="1"/>
      <c r="F137" s="1"/>
      <c r="G137" s="1"/>
      <c r="H137" s="1"/>
      <c r="I137" s="1"/>
      <c r="J137" s="1" t="str">
        <f t="shared" si="24"/>
        <v>.001</v>
      </c>
      <c r="K137" s="1" t="str">
        <f ca="1">IFERROR(__xludf.dummyfunction("VLOOKUP(J137, IMPORTRANGE(""https://docs.google.com/spreadsheets/d/1yDAaXNsi4Mr5FtRQL4tbmSdIzhx6_m4wkOD7IG-k_eo/edit#gid=1336395716"", ""Science!M:N""), 2, FALSE)"),"#N/A")</f>
        <v>#N/A</v>
      </c>
      <c r="L137" s="1" t="str">
        <f t="shared" si="25"/>
        <v>.002</v>
      </c>
      <c r="M137" s="1" t="str">
        <f ca="1">IFERROR(__xludf.dummyfunction("VLOOKUP(L137, IMPORTRANGE(""https://docs.google.com/spreadsheets/d/1yDAaXNsi4Mr5FtRQL4tbmSdIzhx6_m4wkOD7IG-k_eo/edit#gid=1336395716"", ""Science!M:N""), 2, FALSE)"),"#N/A")</f>
        <v>#N/A</v>
      </c>
      <c r="N137" s="1" t="str">
        <f t="shared" si="26"/>
        <v>.003</v>
      </c>
      <c r="O137" s="1" t="str">
        <f ca="1">IFERROR(__xludf.dummyfunction("VLOOKUP(N137, IMPORTRANGE(""https://docs.google.com/spreadsheets/d/1yDAaXNsi4Mr5FtRQL4tbmSdIzhx6_m4wkOD7IG-k_eo/edit#gid=1336395716"", ""Science!M:N""), 2, FALSE)"),"#N/A")</f>
        <v>#N/A</v>
      </c>
      <c r="P137" s="1" t="str">
        <f t="shared" si="27"/>
        <v>.004</v>
      </c>
      <c r="Q137" s="15" t="str">
        <f ca="1">IFERROR(__xludf.dummyfunction("VLOOKUP(P137, IMPORTRANGE(""https://docs.google.com/spreadsheets/d/1yDAaXNsi4Mr5FtRQL4tbmSdIzhx6_m4wkOD7IG-k_eo/edit#gid=1336395716"", ""Science!M:N""), 2, FALSE)"),"#N/A")</f>
        <v>#N/A</v>
      </c>
      <c r="R137" s="1" t="str">
        <f t="shared" si="28"/>
        <v>.005</v>
      </c>
      <c r="S137" s="15" t="str">
        <f ca="1">IFERROR(__xludf.dummyfunction("VLOOKUP(R137, IMPORTRANGE(""https://docs.google.com/spreadsheets/d/1yDAaXNsi4Mr5FtRQL4tbmSdIzhx6_m4wkOD7IG-k_eo/edit#gid=1336395716"", ""Science!M:N""), 2, FALSE)"),"#N/A")</f>
        <v>#N/A</v>
      </c>
      <c r="T137" s="1" t="str">
        <f t="shared" si="29"/>
        <v>.006</v>
      </c>
      <c r="U137" s="15" t="str">
        <f ca="1">IFERROR(__xludf.dummyfunction("VLOOKUP(T137, IMPORTRANGE(""https://docs.google.com/spreadsheets/d/1yDAaXNsi4Mr5FtRQL4tbmSdIzhx6_m4wkOD7IG-k_eo/edit#gid=1336395716"", ""Science!M:N""), 2, FALSE)"),"#N/A")</f>
        <v>#N/A</v>
      </c>
      <c r="V137" s="1"/>
      <c r="W137" s="1"/>
      <c r="X137" s="1"/>
      <c r="Y137" s="1"/>
      <c r="Z137" s="1"/>
      <c r="AA137" s="1"/>
      <c r="AB137" s="1"/>
      <c r="AC137" s="1"/>
      <c r="AD137" s="1"/>
      <c r="AE137" s="1"/>
      <c r="AF137" s="1"/>
      <c r="AG137" s="1"/>
    </row>
    <row r="138" spans="1:33" ht="13.8">
      <c r="A138" s="1"/>
      <c r="B138" s="1"/>
      <c r="C138" s="1"/>
      <c r="D138" s="1"/>
      <c r="E138" s="1"/>
      <c r="F138" s="1"/>
      <c r="G138" s="1"/>
      <c r="H138" s="1"/>
      <c r="I138" s="1"/>
      <c r="J138" s="1" t="str">
        <f t="shared" si="24"/>
        <v>.001</v>
      </c>
      <c r="K138" s="1" t="str">
        <f ca="1">IFERROR(__xludf.dummyfunction("VLOOKUP(J138, IMPORTRANGE(""https://docs.google.com/spreadsheets/d/1yDAaXNsi4Mr5FtRQL4tbmSdIzhx6_m4wkOD7IG-k_eo/edit#gid=1336395716"", ""Science!M:N""), 2, FALSE)"),"#N/A")</f>
        <v>#N/A</v>
      </c>
      <c r="L138" s="1" t="str">
        <f t="shared" si="25"/>
        <v>.002</v>
      </c>
      <c r="M138" s="1" t="str">
        <f ca="1">IFERROR(__xludf.dummyfunction("VLOOKUP(L138, IMPORTRANGE(""https://docs.google.com/spreadsheets/d/1yDAaXNsi4Mr5FtRQL4tbmSdIzhx6_m4wkOD7IG-k_eo/edit#gid=1336395716"", ""Science!M:N""), 2, FALSE)"),"#N/A")</f>
        <v>#N/A</v>
      </c>
      <c r="N138" s="1" t="str">
        <f t="shared" si="26"/>
        <v>.003</v>
      </c>
      <c r="O138" s="1" t="str">
        <f ca="1">IFERROR(__xludf.dummyfunction("VLOOKUP(N138, IMPORTRANGE(""https://docs.google.com/spreadsheets/d/1yDAaXNsi4Mr5FtRQL4tbmSdIzhx6_m4wkOD7IG-k_eo/edit#gid=1336395716"", ""Science!M:N""), 2, FALSE)"),"#N/A")</f>
        <v>#N/A</v>
      </c>
      <c r="P138" s="1" t="str">
        <f t="shared" si="27"/>
        <v>.004</v>
      </c>
      <c r="Q138" s="15" t="str">
        <f ca="1">IFERROR(__xludf.dummyfunction("VLOOKUP(P138, IMPORTRANGE(""https://docs.google.com/spreadsheets/d/1yDAaXNsi4Mr5FtRQL4tbmSdIzhx6_m4wkOD7IG-k_eo/edit#gid=1336395716"", ""Science!M:N""), 2, FALSE)"),"#N/A")</f>
        <v>#N/A</v>
      </c>
      <c r="R138" s="1" t="str">
        <f t="shared" si="28"/>
        <v>.005</v>
      </c>
      <c r="S138" s="15" t="str">
        <f ca="1">IFERROR(__xludf.dummyfunction("VLOOKUP(R138, IMPORTRANGE(""https://docs.google.com/spreadsheets/d/1yDAaXNsi4Mr5FtRQL4tbmSdIzhx6_m4wkOD7IG-k_eo/edit#gid=1336395716"", ""Science!M:N""), 2, FALSE)"),"#N/A")</f>
        <v>#N/A</v>
      </c>
      <c r="T138" s="1" t="str">
        <f t="shared" si="29"/>
        <v>.006</v>
      </c>
      <c r="U138" s="15" t="str">
        <f ca="1">IFERROR(__xludf.dummyfunction("VLOOKUP(T138, IMPORTRANGE(""https://docs.google.com/spreadsheets/d/1yDAaXNsi4Mr5FtRQL4tbmSdIzhx6_m4wkOD7IG-k_eo/edit#gid=1336395716"", ""Science!M:N""), 2, FALSE)"),"#N/A")</f>
        <v>#N/A</v>
      </c>
      <c r="V138" s="1"/>
      <c r="W138" s="1"/>
      <c r="X138" s="1"/>
      <c r="Y138" s="1"/>
      <c r="Z138" s="1"/>
      <c r="AA138" s="1"/>
      <c r="AB138" s="1"/>
      <c r="AC138" s="1"/>
      <c r="AD138" s="1"/>
      <c r="AE138" s="1"/>
      <c r="AF138" s="1"/>
      <c r="AG138" s="1"/>
    </row>
    <row r="139" spans="1:33" ht="13.8">
      <c r="A139" s="1"/>
      <c r="B139" s="1"/>
      <c r="C139" s="1"/>
      <c r="D139" s="1"/>
      <c r="E139" s="1"/>
      <c r="F139" s="1"/>
      <c r="G139" s="1"/>
      <c r="H139" s="1"/>
      <c r="I139" s="1"/>
      <c r="J139" s="1" t="str">
        <f t="shared" si="24"/>
        <v>.001</v>
      </c>
      <c r="K139" s="1" t="str">
        <f ca="1">IFERROR(__xludf.dummyfunction("VLOOKUP(J139, IMPORTRANGE(""https://docs.google.com/spreadsheets/d/1yDAaXNsi4Mr5FtRQL4tbmSdIzhx6_m4wkOD7IG-k_eo/edit#gid=1336395716"", ""Science!M:N""), 2, FALSE)"),"#N/A")</f>
        <v>#N/A</v>
      </c>
      <c r="L139" s="1" t="str">
        <f t="shared" si="25"/>
        <v>.002</v>
      </c>
      <c r="M139" s="1" t="str">
        <f ca="1">IFERROR(__xludf.dummyfunction("VLOOKUP(L139, IMPORTRANGE(""https://docs.google.com/spreadsheets/d/1yDAaXNsi4Mr5FtRQL4tbmSdIzhx6_m4wkOD7IG-k_eo/edit#gid=1336395716"", ""Science!M:N""), 2, FALSE)"),"#N/A")</f>
        <v>#N/A</v>
      </c>
      <c r="N139" s="1" t="str">
        <f t="shared" si="26"/>
        <v>.003</v>
      </c>
      <c r="O139" s="1" t="str">
        <f ca="1">IFERROR(__xludf.dummyfunction("VLOOKUP(N139, IMPORTRANGE(""https://docs.google.com/spreadsheets/d/1yDAaXNsi4Mr5FtRQL4tbmSdIzhx6_m4wkOD7IG-k_eo/edit#gid=1336395716"", ""Science!M:N""), 2, FALSE)"),"#N/A")</f>
        <v>#N/A</v>
      </c>
      <c r="P139" s="1" t="str">
        <f t="shared" si="27"/>
        <v>.004</v>
      </c>
      <c r="Q139" s="15" t="str">
        <f ca="1">IFERROR(__xludf.dummyfunction("VLOOKUP(P139, IMPORTRANGE(""https://docs.google.com/spreadsheets/d/1yDAaXNsi4Mr5FtRQL4tbmSdIzhx6_m4wkOD7IG-k_eo/edit#gid=1336395716"", ""Science!M:N""), 2, FALSE)"),"#N/A")</f>
        <v>#N/A</v>
      </c>
      <c r="R139" s="1" t="str">
        <f t="shared" si="28"/>
        <v>.005</v>
      </c>
      <c r="S139" s="15" t="str">
        <f ca="1">IFERROR(__xludf.dummyfunction("VLOOKUP(R139, IMPORTRANGE(""https://docs.google.com/spreadsheets/d/1yDAaXNsi4Mr5FtRQL4tbmSdIzhx6_m4wkOD7IG-k_eo/edit#gid=1336395716"", ""Science!M:N""), 2, FALSE)"),"#N/A")</f>
        <v>#N/A</v>
      </c>
      <c r="T139" s="1" t="str">
        <f t="shared" si="29"/>
        <v>.006</v>
      </c>
      <c r="U139" s="15" t="str">
        <f ca="1">IFERROR(__xludf.dummyfunction("VLOOKUP(T139, IMPORTRANGE(""https://docs.google.com/spreadsheets/d/1yDAaXNsi4Mr5FtRQL4tbmSdIzhx6_m4wkOD7IG-k_eo/edit#gid=1336395716"", ""Science!M:N""), 2, FALSE)"),"#N/A")</f>
        <v>#N/A</v>
      </c>
      <c r="V139" s="1"/>
      <c r="W139" s="1"/>
      <c r="X139" s="1"/>
      <c r="Y139" s="1"/>
      <c r="Z139" s="1"/>
      <c r="AA139" s="1"/>
      <c r="AB139" s="1"/>
      <c r="AC139" s="1"/>
      <c r="AD139" s="1"/>
      <c r="AE139" s="1"/>
      <c r="AF139" s="1"/>
      <c r="AG139" s="1"/>
    </row>
    <row r="140" spans="1:33" ht="13.8">
      <c r="A140" s="1"/>
      <c r="B140" s="1"/>
      <c r="C140" s="1"/>
      <c r="D140" s="1"/>
      <c r="E140" s="1"/>
      <c r="F140" s="1"/>
      <c r="G140" s="1"/>
      <c r="H140" s="1"/>
      <c r="I140" s="1"/>
      <c r="J140" s="1" t="str">
        <f t="shared" si="24"/>
        <v>.001</v>
      </c>
      <c r="K140" s="1" t="str">
        <f ca="1">IFERROR(__xludf.dummyfunction("VLOOKUP(J140, IMPORTRANGE(""https://docs.google.com/spreadsheets/d/1yDAaXNsi4Mr5FtRQL4tbmSdIzhx6_m4wkOD7IG-k_eo/edit#gid=1336395716"", ""Science!M:N""), 2, FALSE)"),"#N/A")</f>
        <v>#N/A</v>
      </c>
      <c r="L140" s="1" t="str">
        <f t="shared" si="25"/>
        <v>.002</v>
      </c>
      <c r="M140" s="1" t="str">
        <f ca="1">IFERROR(__xludf.dummyfunction("VLOOKUP(L140, IMPORTRANGE(""https://docs.google.com/spreadsheets/d/1yDAaXNsi4Mr5FtRQL4tbmSdIzhx6_m4wkOD7IG-k_eo/edit#gid=1336395716"", ""Science!M:N""), 2, FALSE)"),"#N/A")</f>
        <v>#N/A</v>
      </c>
      <c r="N140" s="1" t="str">
        <f t="shared" si="26"/>
        <v>.003</v>
      </c>
      <c r="O140" s="1" t="str">
        <f ca="1">IFERROR(__xludf.dummyfunction("VLOOKUP(N140, IMPORTRANGE(""https://docs.google.com/spreadsheets/d/1yDAaXNsi4Mr5FtRQL4tbmSdIzhx6_m4wkOD7IG-k_eo/edit#gid=1336395716"", ""Science!M:N""), 2, FALSE)"),"#N/A")</f>
        <v>#N/A</v>
      </c>
      <c r="P140" s="1" t="str">
        <f t="shared" si="27"/>
        <v>.004</v>
      </c>
      <c r="Q140" s="15" t="str">
        <f ca="1">IFERROR(__xludf.dummyfunction("VLOOKUP(P140, IMPORTRANGE(""https://docs.google.com/spreadsheets/d/1yDAaXNsi4Mr5FtRQL4tbmSdIzhx6_m4wkOD7IG-k_eo/edit#gid=1336395716"", ""Science!M:N""), 2, FALSE)"),"#N/A")</f>
        <v>#N/A</v>
      </c>
      <c r="R140" s="1" t="str">
        <f t="shared" si="28"/>
        <v>.005</v>
      </c>
      <c r="S140" s="15" t="str">
        <f ca="1">IFERROR(__xludf.dummyfunction("VLOOKUP(R140, IMPORTRANGE(""https://docs.google.com/spreadsheets/d/1yDAaXNsi4Mr5FtRQL4tbmSdIzhx6_m4wkOD7IG-k_eo/edit#gid=1336395716"", ""Science!M:N""), 2, FALSE)"),"#N/A")</f>
        <v>#N/A</v>
      </c>
      <c r="T140" s="1" t="str">
        <f t="shared" si="29"/>
        <v>.006</v>
      </c>
      <c r="U140" s="15" t="str">
        <f ca="1">IFERROR(__xludf.dummyfunction("VLOOKUP(T140, IMPORTRANGE(""https://docs.google.com/spreadsheets/d/1yDAaXNsi4Mr5FtRQL4tbmSdIzhx6_m4wkOD7IG-k_eo/edit#gid=1336395716"", ""Science!M:N""), 2, FALSE)"),"#N/A")</f>
        <v>#N/A</v>
      </c>
      <c r="V140" s="1"/>
      <c r="W140" s="1"/>
      <c r="X140" s="1"/>
      <c r="Y140" s="1"/>
      <c r="Z140" s="1"/>
      <c r="AA140" s="1"/>
      <c r="AB140" s="1"/>
      <c r="AC140" s="1"/>
      <c r="AD140" s="1"/>
      <c r="AE140" s="1"/>
      <c r="AF140" s="1"/>
      <c r="AG140" s="1"/>
    </row>
    <row r="141" spans="1:33" ht="13.8">
      <c r="A141" s="1"/>
      <c r="B141" s="1"/>
      <c r="C141" s="1"/>
      <c r="D141" s="1"/>
      <c r="E141" s="1"/>
      <c r="F141" s="1"/>
      <c r="G141" s="1"/>
      <c r="H141" s="1"/>
      <c r="I141" s="1"/>
      <c r="J141" s="1" t="str">
        <f t="shared" si="24"/>
        <v>.001</v>
      </c>
      <c r="K141" s="1" t="str">
        <f ca="1">IFERROR(__xludf.dummyfunction("VLOOKUP(J141, IMPORTRANGE(""https://docs.google.com/spreadsheets/d/1yDAaXNsi4Mr5FtRQL4tbmSdIzhx6_m4wkOD7IG-k_eo/edit#gid=1336395716"", ""Science!M:N""), 2, FALSE)"),"#N/A")</f>
        <v>#N/A</v>
      </c>
      <c r="L141" s="1" t="str">
        <f t="shared" si="25"/>
        <v>.002</v>
      </c>
      <c r="M141" s="1" t="str">
        <f ca="1">IFERROR(__xludf.dummyfunction("VLOOKUP(L141, IMPORTRANGE(""https://docs.google.com/spreadsheets/d/1yDAaXNsi4Mr5FtRQL4tbmSdIzhx6_m4wkOD7IG-k_eo/edit#gid=1336395716"", ""Science!M:N""), 2, FALSE)"),"#N/A")</f>
        <v>#N/A</v>
      </c>
      <c r="N141" s="1" t="str">
        <f t="shared" si="26"/>
        <v>.003</v>
      </c>
      <c r="O141" s="1" t="str">
        <f ca="1">IFERROR(__xludf.dummyfunction("VLOOKUP(N141, IMPORTRANGE(""https://docs.google.com/spreadsheets/d/1yDAaXNsi4Mr5FtRQL4tbmSdIzhx6_m4wkOD7IG-k_eo/edit#gid=1336395716"", ""Science!M:N""), 2, FALSE)"),"#N/A")</f>
        <v>#N/A</v>
      </c>
      <c r="P141" s="1" t="str">
        <f t="shared" si="27"/>
        <v>.004</v>
      </c>
      <c r="Q141" s="15" t="str">
        <f ca="1">IFERROR(__xludf.dummyfunction("VLOOKUP(P141, IMPORTRANGE(""https://docs.google.com/spreadsheets/d/1yDAaXNsi4Mr5FtRQL4tbmSdIzhx6_m4wkOD7IG-k_eo/edit#gid=1336395716"", ""Science!M:N""), 2, FALSE)"),"#N/A")</f>
        <v>#N/A</v>
      </c>
      <c r="R141" s="1" t="str">
        <f t="shared" si="28"/>
        <v>.005</v>
      </c>
      <c r="S141" s="15" t="str">
        <f ca="1">IFERROR(__xludf.dummyfunction("VLOOKUP(R141, IMPORTRANGE(""https://docs.google.com/spreadsheets/d/1yDAaXNsi4Mr5FtRQL4tbmSdIzhx6_m4wkOD7IG-k_eo/edit#gid=1336395716"", ""Science!M:N""), 2, FALSE)"),"#N/A")</f>
        <v>#N/A</v>
      </c>
      <c r="T141" s="1" t="str">
        <f t="shared" si="29"/>
        <v>.006</v>
      </c>
      <c r="U141" s="15" t="str">
        <f ca="1">IFERROR(__xludf.dummyfunction("VLOOKUP(T141, IMPORTRANGE(""https://docs.google.com/spreadsheets/d/1yDAaXNsi4Mr5FtRQL4tbmSdIzhx6_m4wkOD7IG-k_eo/edit#gid=1336395716"", ""Science!M:N""), 2, FALSE)"),"#N/A")</f>
        <v>#N/A</v>
      </c>
      <c r="V141" s="1"/>
      <c r="W141" s="1"/>
      <c r="X141" s="1"/>
      <c r="Y141" s="1"/>
      <c r="Z141" s="1"/>
      <c r="AA141" s="1"/>
      <c r="AB141" s="1"/>
      <c r="AC141" s="1"/>
      <c r="AD141" s="1"/>
      <c r="AE141" s="1"/>
      <c r="AF141" s="1"/>
      <c r="AG141" s="1"/>
    </row>
    <row r="142" spans="1:33" ht="13.8">
      <c r="A142" s="1"/>
      <c r="B142" s="1"/>
      <c r="C142" s="1"/>
      <c r="D142" s="1"/>
      <c r="E142" s="1"/>
      <c r="F142" s="1"/>
      <c r="G142" s="1"/>
      <c r="H142" s="1"/>
      <c r="I142" s="1"/>
      <c r="J142" s="1" t="str">
        <f t="shared" si="24"/>
        <v>.001</v>
      </c>
      <c r="K142" s="1" t="str">
        <f ca="1">IFERROR(__xludf.dummyfunction("VLOOKUP(J142, IMPORTRANGE(""https://docs.google.com/spreadsheets/d/1yDAaXNsi4Mr5FtRQL4tbmSdIzhx6_m4wkOD7IG-k_eo/edit#gid=1336395716"", ""Science!M:N""), 2, FALSE)"),"#N/A")</f>
        <v>#N/A</v>
      </c>
      <c r="L142" s="1" t="str">
        <f t="shared" si="25"/>
        <v>.002</v>
      </c>
      <c r="M142" s="1" t="str">
        <f ca="1">IFERROR(__xludf.dummyfunction("VLOOKUP(L142, IMPORTRANGE(""https://docs.google.com/spreadsheets/d/1yDAaXNsi4Mr5FtRQL4tbmSdIzhx6_m4wkOD7IG-k_eo/edit#gid=1336395716"", ""Science!M:N""), 2, FALSE)"),"#N/A")</f>
        <v>#N/A</v>
      </c>
      <c r="N142" s="1" t="str">
        <f t="shared" si="26"/>
        <v>.003</v>
      </c>
      <c r="O142" s="1" t="str">
        <f ca="1">IFERROR(__xludf.dummyfunction("VLOOKUP(N142, IMPORTRANGE(""https://docs.google.com/spreadsheets/d/1yDAaXNsi4Mr5FtRQL4tbmSdIzhx6_m4wkOD7IG-k_eo/edit#gid=1336395716"", ""Science!M:N""), 2, FALSE)"),"#N/A")</f>
        <v>#N/A</v>
      </c>
      <c r="P142" s="1" t="str">
        <f t="shared" si="27"/>
        <v>.004</v>
      </c>
      <c r="Q142" s="15" t="str">
        <f ca="1">IFERROR(__xludf.dummyfunction("VLOOKUP(P142, IMPORTRANGE(""https://docs.google.com/spreadsheets/d/1yDAaXNsi4Mr5FtRQL4tbmSdIzhx6_m4wkOD7IG-k_eo/edit#gid=1336395716"", ""Science!M:N""), 2, FALSE)"),"#N/A")</f>
        <v>#N/A</v>
      </c>
      <c r="R142" s="1" t="str">
        <f t="shared" si="28"/>
        <v>.005</v>
      </c>
      <c r="S142" s="15" t="str">
        <f ca="1">IFERROR(__xludf.dummyfunction("VLOOKUP(R142, IMPORTRANGE(""https://docs.google.com/spreadsheets/d/1yDAaXNsi4Mr5FtRQL4tbmSdIzhx6_m4wkOD7IG-k_eo/edit#gid=1336395716"", ""Science!M:N""), 2, FALSE)"),"#N/A")</f>
        <v>#N/A</v>
      </c>
      <c r="T142" s="1" t="str">
        <f t="shared" si="29"/>
        <v>.006</v>
      </c>
      <c r="U142" s="15" t="str">
        <f ca="1">IFERROR(__xludf.dummyfunction("VLOOKUP(T142, IMPORTRANGE(""https://docs.google.com/spreadsheets/d/1yDAaXNsi4Mr5FtRQL4tbmSdIzhx6_m4wkOD7IG-k_eo/edit#gid=1336395716"", ""Science!M:N""), 2, FALSE)"),"#N/A")</f>
        <v>#N/A</v>
      </c>
      <c r="V142" s="1"/>
      <c r="W142" s="1"/>
      <c r="X142" s="1"/>
      <c r="Y142" s="1"/>
      <c r="Z142" s="1"/>
      <c r="AA142" s="1"/>
      <c r="AB142" s="1"/>
      <c r="AC142" s="1"/>
      <c r="AD142" s="1"/>
      <c r="AE142" s="1"/>
      <c r="AF142" s="1"/>
      <c r="AG142" s="1"/>
    </row>
    <row r="143" spans="1:33" ht="13.8">
      <c r="A143" s="1"/>
      <c r="B143" s="1"/>
      <c r="C143" s="1"/>
      <c r="D143" s="1"/>
      <c r="E143" s="1"/>
      <c r="F143" s="1"/>
      <c r="G143" s="1"/>
      <c r="H143" s="1"/>
      <c r="I143" s="1"/>
      <c r="J143" s="1" t="str">
        <f t="shared" si="24"/>
        <v>.001</v>
      </c>
      <c r="K143" s="1" t="str">
        <f ca="1">IFERROR(__xludf.dummyfunction("VLOOKUP(J143, IMPORTRANGE(""https://docs.google.com/spreadsheets/d/1yDAaXNsi4Mr5FtRQL4tbmSdIzhx6_m4wkOD7IG-k_eo/edit#gid=1336395716"", ""Science!M:N""), 2, FALSE)"),"#N/A")</f>
        <v>#N/A</v>
      </c>
      <c r="L143" s="1" t="str">
        <f t="shared" si="25"/>
        <v>.002</v>
      </c>
      <c r="M143" s="1" t="str">
        <f ca="1">IFERROR(__xludf.dummyfunction("VLOOKUP(L143, IMPORTRANGE(""https://docs.google.com/spreadsheets/d/1yDAaXNsi4Mr5FtRQL4tbmSdIzhx6_m4wkOD7IG-k_eo/edit#gid=1336395716"", ""Science!M:N""), 2, FALSE)"),"#N/A")</f>
        <v>#N/A</v>
      </c>
      <c r="N143" s="1" t="str">
        <f t="shared" si="26"/>
        <v>.003</v>
      </c>
      <c r="O143" s="1" t="str">
        <f ca="1">IFERROR(__xludf.dummyfunction("VLOOKUP(N143, IMPORTRANGE(""https://docs.google.com/spreadsheets/d/1yDAaXNsi4Mr5FtRQL4tbmSdIzhx6_m4wkOD7IG-k_eo/edit#gid=1336395716"", ""Science!M:N""), 2, FALSE)"),"#N/A")</f>
        <v>#N/A</v>
      </c>
      <c r="P143" s="1" t="str">
        <f t="shared" si="27"/>
        <v>.004</v>
      </c>
      <c r="Q143" s="15" t="str">
        <f ca="1">IFERROR(__xludf.dummyfunction("VLOOKUP(P143, IMPORTRANGE(""https://docs.google.com/spreadsheets/d/1yDAaXNsi4Mr5FtRQL4tbmSdIzhx6_m4wkOD7IG-k_eo/edit#gid=1336395716"", ""Science!M:N""), 2, FALSE)"),"#N/A")</f>
        <v>#N/A</v>
      </c>
      <c r="R143" s="1" t="str">
        <f t="shared" si="28"/>
        <v>.005</v>
      </c>
      <c r="S143" s="15" t="str">
        <f ca="1">IFERROR(__xludf.dummyfunction("VLOOKUP(R143, IMPORTRANGE(""https://docs.google.com/spreadsheets/d/1yDAaXNsi4Mr5FtRQL4tbmSdIzhx6_m4wkOD7IG-k_eo/edit#gid=1336395716"", ""Science!M:N""), 2, FALSE)"),"#N/A")</f>
        <v>#N/A</v>
      </c>
      <c r="T143" s="1" t="str">
        <f t="shared" si="29"/>
        <v>.006</v>
      </c>
      <c r="U143" s="15" t="str">
        <f ca="1">IFERROR(__xludf.dummyfunction("VLOOKUP(T143, IMPORTRANGE(""https://docs.google.com/spreadsheets/d/1yDAaXNsi4Mr5FtRQL4tbmSdIzhx6_m4wkOD7IG-k_eo/edit#gid=1336395716"", ""Science!M:N""), 2, FALSE)"),"#N/A")</f>
        <v>#N/A</v>
      </c>
      <c r="V143" s="1"/>
      <c r="W143" s="1"/>
      <c r="X143" s="1"/>
      <c r="Y143" s="1"/>
      <c r="Z143" s="1"/>
      <c r="AA143" s="1"/>
      <c r="AB143" s="1"/>
      <c r="AC143" s="1"/>
      <c r="AD143" s="1"/>
      <c r="AE143" s="1"/>
      <c r="AF143" s="1"/>
      <c r="AG143" s="1"/>
    </row>
    <row r="144" spans="1:33" ht="13.8">
      <c r="A144" s="1"/>
      <c r="B144" s="1"/>
      <c r="C144" s="1"/>
      <c r="D144" s="1"/>
      <c r="E144" s="1"/>
      <c r="F144" s="1"/>
      <c r="G144" s="1"/>
      <c r="H144" s="1"/>
      <c r="I144" s="1"/>
      <c r="J144" s="1" t="str">
        <f t="shared" si="24"/>
        <v>.001</v>
      </c>
      <c r="K144" s="1" t="str">
        <f ca="1">IFERROR(__xludf.dummyfunction("VLOOKUP(J144, IMPORTRANGE(""https://docs.google.com/spreadsheets/d/1yDAaXNsi4Mr5FtRQL4tbmSdIzhx6_m4wkOD7IG-k_eo/edit#gid=1336395716"", ""Science!M:N""), 2, FALSE)"),"#N/A")</f>
        <v>#N/A</v>
      </c>
      <c r="L144" s="1" t="str">
        <f t="shared" si="25"/>
        <v>.002</v>
      </c>
      <c r="M144" s="1" t="str">
        <f ca="1">IFERROR(__xludf.dummyfunction("VLOOKUP(L144, IMPORTRANGE(""https://docs.google.com/spreadsheets/d/1yDAaXNsi4Mr5FtRQL4tbmSdIzhx6_m4wkOD7IG-k_eo/edit#gid=1336395716"", ""Science!M:N""), 2, FALSE)"),"#N/A")</f>
        <v>#N/A</v>
      </c>
      <c r="N144" s="1" t="str">
        <f t="shared" si="26"/>
        <v>.003</v>
      </c>
      <c r="O144" s="1" t="str">
        <f ca="1">IFERROR(__xludf.dummyfunction("VLOOKUP(N144, IMPORTRANGE(""https://docs.google.com/spreadsheets/d/1yDAaXNsi4Mr5FtRQL4tbmSdIzhx6_m4wkOD7IG-k_eo/edit#gid=1336395716"", ""Science!M:N""), 2, FALSE)"),"#N/A")</f>
        <v>#N/A</v>
      </c>
      <c r="P144" s="1" t="str">
        <f t="shared" si="27"/>
        <v>.004</v>
      </c>
      <c r="Q144" s="15" t="str">
        <f ca="1">IFERROR(__xludf.dummyfunction("VLOOKUP(P144, IMPORTRANGE(""https://docs.google.com/spreadsheets/d/1yDAaXNsi4Mr5FtRQL4tbmSdIzhx6_m4wkOD7IG-k_eo/edit#gid=1336395716"", ""Science!M:N""), 2, FALSE)"),"#N/A")</f>
        <v>#N/A</v>
      </c>
      <c r="R144" s="1" t="str">
        <f t="shared" si="28"/>
        <v>.005</v>
      </c>
      <c r="S144" s="15" t="str">
        <f ca="1">IFERROR(__xludf.dummyfunction("VLOOKUP(R144, IMPORTRANGE(""https://docs.google.com/spreadsheets/d/1yDAaXNsi4Mr5FtRQL4tbmSdIzhx6_m4wkOD7IG-k_eo/edit#gid=1336395716"", ""Science!M:N""), 2, FALSE)"),"#N/A")</f>
        <v>#N/A</v>
      </c>
      <c r="T144" s="1" t="str">
        <f t="shared" si="29"/>
        <v>.006</v>
      </c>
      <c r="U144" s="15" t="str">
        <f ca="1">IFERROR(__xludf.dummyfunction("VLOOKUP(T144, IMPORTRANGE(""https://docs.google.com/spreadsheets/d/1yDAaXNsi4Mr5FtRQL4tbmSdIzhx6_m4wkOD7IG-k_eo/edit#gid=1336395716"", ""Science!M:N""), 2, FALSE)"),"#N/A")</f>
        <v>#N/A</v>
      </c>
      <c r="V144" s="1"/>
      <c r="W144" s="1"/>
      <c r="X144" s="1"/>
      <c r="Y144" s="1"/>
      <c r="Z144" s="1"/>
      <c r="AA144" s="1"/>
      <c r="AB144" s="1"/>
      <c r="AC144" s="1"/>
      <c r="AD144" s="1"/>
      <c r="AE144" s="1"/>
      <c r="AF144" s="1"/>
      <c r="AG144" s="1"/>
    </row>
    <row r="145" spans="1:33" ht="13.8">
      <c r="A145" s="1"/>
      <c r="B145" s="1"/>
      <c r="C145" s="1"/>
      <c r="D145" s="1"/>
      <c r="E145" s="1"/>
      <c r="F145" s="1"/>
      <c r="G145" s="1"/>
      <c r="H145" s="1"/>
      <c r="I145" s="1"/>
      <c r="J145" s="1" t="str">
        <f t="shared" si="24"/>
        <v>.001</v>
      </c>
      <c r="K145" s="1" t="str">
        <f ca="1">IFERROR(__xludf.dummyfunction("VLOOKUP(J145, IMPORTRANGE(""https://docs.google.com/spreadsheets/d/1yDAaXNsi4Mr5FtRQL4tbmSdIzhx6_m4wkOD7IG-k_eo/edit#gid=1336395716"", ""Science!M:N""), 2, FALSE)"),"#N/A")</f>
        <v>#N/A</v>
      </c>
      <c r="L145" s="1" t="str">
        <f t="shared" si="25"/>
        <v>.002</v>
      </c>
      <c r="M145" s="1" t="str">
        <f ca="1">IFERROR(__xludf.dummyfunction("VLOOKUP(L145, IMPORTRANGE(""https://docs.google.com/spreadsheets/d/1yDAaXNsi4Mr5FtRQL4tbmSdIzhx6_m4wkOD7IG-k_eo/edit#gid=1336395716"", ""Science!M:N""), 2, FALSE)"),"#N/A")</f>
        <v>#N/A</v>
      </c>
      <c r="N145" s="1" t="str">
        <f t="shared" si="26"/>
        <v>.003</v>
      </c>
      <c r="O145" s="1" t="str">
        <f ca="1">IFERROR(__xludf.dummyfunction("VLOOKUP(N145, IMPORTRANGE(""https://docs.google.com/spreadsheets/d/1yDAaXNsi4Mr5FtRQL4tbmSdIzhx6_m4wkOD7IG-k_eo/edit#gid=1336395716"", ""Science!M:N""), 2, FALSE)"),"#N/A")</f>
        <v>#N/A</v>
      </c>
      <c r="P145" s="1" t="str">
        <f t="shared" si="27"/>
        <v>.004</v>
      </c>
      <c r="Q145" s="15" t="str">
        <f ca="1">IFERROR(__xludf.dummyfunction("VLOOKUP(P145, IMPORTRANGE(""https://docs.google.com/spreadsheets/d/1yDAaXNsi4Mr5FtRQL4tbmSdIzhx6_m4wkOD7IG-k_eo/edit#gid=1336395716"", ""Science!M:N""), 2, FALSE)"),"#N/A")</f>
        <v>#N/A</v>
      </c>
      <c r="R145" s="1" t="str">
        <f t="shared" si="28"/>
        <v>.005</v>
      </c>
      <c r="S145" s="15" t="str">
        <f ca="1">IFERROR(__xludf.dummyfunction("VLOOKUP(R145, IMPORTRANGE(""https://docs.google.com/spreadsheets/d/1yDAaXNsi4Mr5FtRQL4tbmSdIzhx6_m4wkOD7IG-k_eo/edit#gid=1336395716"", ""Science!M:N""), 2, FALSE)"),"#N/A")</f>
        <v>#N/A</v>
      </c>
      <c r="T145" s="1" t="str">
        <f t="shared" si="29"/>
        <v>.006</v>
      </c>
      <c r="U145" s="15" t="str">
        <f ca="1">IFERROR(__xludf.dummyfunction("VLOOKUP(T145, IMPORTRANGE(""https://docs.google.com/spreadsheets/d/1yDAaXNsi4Mr5FtRQL4tbmSdIzhx6_m4wkOD7IG-k_eo/edit#gid=1336395716"", ""Science!M:N""), 2, FALSE)"),"#N/A")</f>
        <v>#N/A</v>
      </c>
      <c r="V145" s="1"/>
      <c r="W145" s="1"/>
      <c r="X145" s="1"/>
      <c r="Y145" s="1"/>
      <c r="Z145" s="1"/>
      <c r="AA145" s="1"/>
      <c r="AB145" s="1"/>
      <c r="AC145" s="1"/>
      <c r="AD145" s="1"/>
      <c r="AE145" s="1"/>
      <c r="AF145" s="1"/>
      <c r="AG145" s="1"/>
    </row>
    <row r="146" spans="1:33" ht="13.8">
      <c r="A146" s="1"/>
      <c r="B146" s="1"/>
      <c r="C146" s="1"/>
      <c r="D146" s="1"/>
      <c r="E146" s="1"/>
      <c r="F146" s="1"/>
      <c r="G146" s="1"/>
      <c r="H146" s="1"/>
      <c r="I146" s="1"/>
      <c r="J146" s="1" t="str">
        <f t="shared" si="24"/>
        <v>.001</v>
      </c>
      <c r="K146" s="1" t="str">
        <f ca="1">IFERROR(__xludf.dummyfunction("VLOOKUP(J146, IMPORTRANGE(""https://docs.google.com/spreadsheets/d/1yDAaXNsi4Mr5FtRQL4tbmSdIzhx6_m4wkOD7IG-k_eo/edit#gid=1336395716"", ""Science!M:N""), 2, FALSE)"),"#N/A")</f>
        <v>#N/A</v>
      </c>
      <c r="L146" s="1" t="str">
        <f t="shared" si="25"/>
        <v>.002</v>
      </c>
      <c r="M146" s="1" t="str">
        <f ca="1">IFERROR(__xludf.dummyfunction("VLOOKUP(L146, IMPORTRANGE(""https://docs.google.com/spreadsheets/d/1yDAaXNsi4Mr5FtRQL4tbmSdIzhx6_m4wkOD7IG-k_eo/edit#gid=1336395716"", ""Science!M:N""), 2, FALSE)"),"#N/A")</f>
        <v>#N/A</v>
      </c>
      <c r="N146" s="1" t="str">
        <f t="shared" si="26"/>
        <v>.003</v>
      </c>
      <c r="O146" s="1" t="str">
        <f ca="1">IFERROR(__xludf.dummyfunction("VLOOKUP(N146, IMPORTRANGE(""https://docs.google.com/spreadsheets/d/1yDAaXNsi4Mr5FtRQL4tbmSdIzhx6_m4wkOD7IG-k_eo/edit#gid=1336395716"", ""Science!M:N""), 2, FALSE)"),"#N/A")</f>
        <v>#N/A</v>
      </c>
      <c r="P146" s="1" t="str">
        <f t="shared" si="27"/>
        <v>.004</v>
      </c>
      <c r="Q146" s="15" t="str">
        <f ca="1">IFERROR(__xludf.dummyfunction("VLOOKUP(P146, IMPORTRANGE(""https://docs.google.com/spreadsheets/d/1yDAaXNsi4Mr5FtRQL4tbmSdIzhx6_m4wkOD7IG-k_eo/edit#gid=1336395716"", ""Science!M:N""), 2, FALSE)"),"#N/A")</f>
        <v>#N/A</v>
      </c>
      <c r="R146" s="1" t="str">
        <f t="shared" si="28"/>
        <v>.005</v>
      </c>
      <c r="S146" s="15" t="str">
        <f ca="1">IFERROR(__xludf.dummyfunction("VLOOKUP(R146, IMPORTRANGE(""https://docs.google.com/spreadsheets/d/1yDAaXNsi4Mr5FtRQL4tbmSdIzhx6_m4wkOD7IG-k_eo/edit#gid=1336395716"", ""Science!M:N""), 2, FALSE)"),"#N/A")</f>
        <v>#N/A</v>
      </c>
      <c r="T146" s="1" t="str">
        <f t="shared" si="29"/>
        <v>.006</v>
      </c>
      <c r="U146" s="15" t="str">
        <f ca="1">IFERROR(__xludf.dummyfunction("VLOOKUP(T146, IMPORTRANGE(""https://docs.google.com/spreadsheets/d/1yDAaXNsi4Mr5FtRQL4tbmSdIzhx6_m4wkOD7IG-k_eo/edit#gid=1336395716"", ""Science!M:N""), 2, FALSE)"),"#N/A")</f>
        <v>#N/A</v>
      </c>
      <c r="V146" s="1"/>
      <c r="W146" s="1"/>
      <c r="X146" s="1"/>
      <c r="Y146" s="1"/>
      <c r="Z146" s="1"/>
      <c r="AA146" s="1"/>
      <c r="AB146" s="1"/>
      <c r="AC146" s="1"/>
      <c r="AD146" s="1"/>
      <c r="AE146" s="1"/>
      <c r="AF146" s="1"/>
      <c r="AG146" s="1"/>
    </row>
    <row r="147" spans="1:33" ht="13.8">
      <c r="A147" s="1"/>
      <c r="B147" s="1"/>
      <c r="C147" s="1"/>
      <c r="D147" s="1"/>
      <c r="E147" s="1"/>
      <c r="F147" s="1"/>
      <c r="G147" s="1"/>
      <c r="H147" s="1"/>
      <c r="I147" s="1"/>
      <c r="J147" s="1" t="str">
        <f t="shared" si="24"/>
        <v>.001</v>
      </c>
      <c r="K147" s="1" t="str">
        <f ca="1">IFERROR(__xludf.dummyfunction("VLOOKUP(J147, IMPORTRANGE(""https://docs.google.com/spreadsheets/d/1yDAaXNsi4Mr5FtRQL4tbmSdIzhx6_m4wkOD7IG-k_eo/edit#gid=1336395716"", ""Science!M:N""), 2, FALSE)"),"#N/A")</f>
        <v>#N/A</v>
      </c>
      <c r="L147" s="1" t="str">
        <f t="shared" si="25"/>
        <v>.002</v>
      </c>
      <c r="M147" s="1" t="str">
        <f ca="1">IFERROR(__xludf.dummyfunction("VLOOKUP(L147, IMPORTRANGE(""https://docs.google.com/spreadsheets/d/1yDAaXNsi4Mr5FtRQL4tbmSdIzhx6_m4wkOD7IG-k_eo/edit#gid=1336395716"", ""Science!M:N""), 2, FALSE)"),"#N/A")</f>
        <v>#N/A</v>
      </c>
      <c r="N147" s="1" t="str">
        <f t="shared" si="26"/>
        <v>.003</v>
      </c>
      <c r="O147" s="1" t="str">
        <f ca="1">IFERROR(__xludf.dummyfunction("VLOOKUP(N147, IMPORTRANGE(""https://docs.google.com/spreadsheets/d/1yDAaXNsi4Mr5FtRQL4tbmSdIzhx6_m4wkOD7IG-k_eo/edit#gid=1336395716"", ""Science!M:N""), 2, FALSE)"),"#N/A")</f>
        <v>#N/A</v>
      </c>
      <c r="P147" s="1" t="str">
        <f t="shared" si="27"/>
        <v>.004</v>
      </c>
      <c r="Q147" s="15" t="str">
        <f ca="1">IFERROR(__xludf.dummyfunction("VLOOKUP(P147, IMPORTRANGE(""https://docs.google.com/spreadsheets/d/1yDAaXNsi4Mr5FtRQL4tbmSdIzhx6_m4wkOD7IG-k_eo/edit#gid=1336395716"", ""Science!M:N""), 2, FALSE)"),"#N/A")</f>
        <v>#N/A</v>
      </c>
      <c r="R147" s="1" t="str">
        <f t="shared" si="28"/>
        <v>.005</v>
      </c>
      <c r="S147" s="15" t="str">
        <f ca="1">IFERROR(__xludf.dummyfunction("VLOOKUP(R147, IMPORTRANGE(""https://docs.google.com/spreadsheets/d/1yDAaXNsi4Mr5FtRQL4tbmSdIzhx6_m4wkOD7IG-k_eo/edit#gid=1336395716"", ""Science!M:N""), 2, FALSE)"),"#N/A")</f>
        <v>#N/A</v>
      </c>
      <c r="T147" s="1" t="str">
        <f t="shared" si="29"/>
        <v>.006</v>
      </c>
      <c r="U147" s="15" t="str">
        <f ca="1">IFERROR(__xludf.dummyfunction("VLOOKUP(T147, IMPORTRANGE(""https://docs.google.com/spreadsheets/d/1yDAaXNsi4Mr5FtRQL4tbmSdIzhx6_m4wkOD7IG-k_eo/edit#gid=1336395716"", ""Science!M:N""), 2, FALSE)"),"#N/A")</f>
        <v>#N/A</v>
      </c>
      <c r="V147" s="1"/>
      <c r="W147" s="1"/>
      <c r="X147" s="1"/>
      <c r="Y147" s="1"/>
      <c r="Z147" s="1"/>
      <c r="AA147" s="1"/>
      <c r="AB147" s="1"/>
      <c r="AC147" s="1"/>
      <c r="AD147" s="1"/>
      <c r="AE147" s="1"/>
      <c r="AF147" s="1"/>
      <c r="AG147" s="1"/>
    </row>
    <row r="148" spans="1:33" ht="13.8">
      <c r="A148" s="1"/>
      <c r="B148" s="1"/>
      <c r="C148" s="1"/>
      <c r="D148" s="1"/>
      <c r="E148" s="1"/>
      <c r="F148" s="1"/>
      <c r="G148" s="1"/>
      <c r="H148" s="1"/>
      <c r="I148" s="1"/>
      <c r="J148" s="1" t="str">
        <f t="shared" si="24"/>
        <v>.001</v>
      </c>
      <c r="K148" s="1" t="str">
        <f ca="1">IFERROR(__xludf.dummyfunction("VLOOKUP(J148, IMPORTRANGE(""https://docs.google.com/spreadsheets/d/1yDAaXNsi4Mr5FtRQL4tbmSdIzhx6_m4wkOD7IG-k_eo/edit#gid=1336395716"", ""Science!M:N""), 2, FALSE)"),"#N/A")</f>
        <v>#N/A</v>
      </c>
      <c r="L148" s="1" t="str">
        <f t="shared" si="25"/>
        <v>.002</v>
      </c>
      <c r="M148" s="1" t="str">
        <f ca="1">IFERROR(__xludf.dummyfunction("VLOOKUP(L148, IMPORTRANGE(""https://docs.google.com/spreadsheets/d/1yDAaXNsi4Mr5FtRQL4tbmSdIzhx6_m4wkOD7IG-k_eo/edit#gid=1336395716"", ""Science!M:N""), 2, FALSE)"),"#N/A")</f>
        <v>#N/A</v>
      </c>
      <c r="N148" s="1" t="str">
        <f t="shared" si="26"/>
        <v>.003</v>
      </c>
      <c r="O148" s="1" t="str">
        <f ca="1">IFERROR(__xludf.dummyfunction("VLOOKUP(N148, IMPORTRANGE(""https://docs.google.com/spreadsheets/d/1yDAaXNsi4Mr5FtRQL4tbmSdIzhx6_m4wkOD7IG-k_eo/edit#gid=1336395716"", ""Science!M:N""), 2, FALSE)"),"#N/A")</f>
        <v>#N/A</v>
      </c>
      <c r="P148" s="1" t="str">
        <f t="shared" si="27"/>
        <v>.004</v>
      </c>
      <c r="Q148" s="15" t="str">
        <f ca="1">IFERROR(__xludf.dummyfunction("VLOOKUP(P148, IMPORTRANGE(""https://docs.google.com/spreadsheets/d/1yDAaXNsi4Mr5FtRQL4tbmSdIzhx6_m4wkOD7IG-k_eo/edit#gid=1336395716"", ""Science!M:N""), 2, FALSE)"),"#N/A")</f>
        <v>#N/A</v>
      </c>
      <c r="R148" s="1" t="str">
        <f t="shared" si="28"/>
        <v>.005</v>
      </c>
      <c r="S148" s="15" t="str">
        <f ca="1">IFERROR(__xludf.dummyfunction("VLOOKUP(R148, IMPORTRANGE(""https://docs.google.com/spreadsheets/d/1yDAaXNsi4Mr5FtRQL4tbmSdIzhx6_m4wkOD7IG-k_eo/edit#gid=1336395716"", ""Science!M:N""), 2, FALSE)"),"#N/A")</f>
        <v>#N/A</v>
      </c>
      <c r="T148" s="1" t="str">
        <f t="shared" si="29"/>
        <v>.006</v>
      </c>
      <c r="U148" s="15" t="str">
        <f ca="1">IFERROR(__xludf.dummyfunction("VLOOKUP(T148, IMPORTRANGE(""https://docs.google.com/spreadsheets/d/1yDAaXNsi4Mr5FtRQL4tbmSdIzhx6_m4wkOD7IG-k_eo/edit#gid=1336395716"", ""Science!M:N""), 2, FALSE)"),"#N/A")</f>
        <v>#N/A</v>
      </c>
      <c r="V148" s="1"/>
      <c r="W148" s="1"/>
      <c r="X148" s="1"/>
      <c r="Y148" s="1"/>
      <c r="Z148" s="1"/>
      <c r="AA148" s="1"/>
      <c r="AB148" s="1"/>
      <c r="AC148" s="1"/>
      <c r="AD148" s="1"/>
      <c r="AE148" s="1"/>
      <c r="AF148" s="1"/>
      <c r="AG148" s="1"/>
    </row>
    <row r="149" spans="1:33" ht="13.8">
      <c r="A149" s="1"/>
      <c r="B149" s="1"/>
      <c r="C149" s="1"/>
      <c r="D149" s="1"/>
      <c r="E149" s="1"/>
      <c r="F149" s="1"/>
      <c r="G149" s="1"/>
      <c r="H149" s="1"/>
      <c r="I149" s="1"/>
      <c r="J149" s="1" t="str">
        <f t="shared" si="24"/>
        <v>.001</v>
      </c>
      <c r="K149" s="1" t="str">
        <f ca="1">IFERROR(__xludf.dummyfunction("VLOOKUP(J149, IMPORTRANGE(""https://docs.google.com/spreadsheets/d/1yDAaXNsi4Mr5FtRQL4tbmSdIzhx6_m4wkOD7IG-k_eo/edit#gid=1336395716"", ""Science!M:N""), 2, FALSE)"),"#N/A")</f>
        <v>#N/A</v>
      </c>
      <c r="L149" s="1" t="str">
        <f t="shared" si="25"/>
        <v>.002</v>
      </c>
      <c r="M149" s="1" t="str">
        <f ca="1">IFERROR(__xludf.dummyfunction("VLOOKUP(L149, IMPORTRANGE(""https://docs.google.com/spreadsheets/d/1yDAaXNsi4Mr5FtRQL4tbmSdIzhx6_m4wkOD7IG-k_eo/edit#gid=1336395716"", ""Science!M:N""), 2, FALSE)"),"#N/A")</f>
        <v>#N/A</v>
      </c>
      <c r="N149" s="1" t="str">
        <f t="shared" si="26"/>
        <v>.003</v>
      </c>
      <c r="O149" s="1" t="str">
        <f ca="1">IFERROR(__xludf.dummyfunction("VLOOKUP(N149, IMPORTRANGE(""https://docs.google.com/spreadsheets/d/1yDAaXNsi4Mr5FtRQL4tbmSdIzhx6_m4wkOD7IG-k_eo/edit#gid=1336395716"", ""Science!M:N""), 2, FALSE)"),"#N/A")</f>
        <v>#N/A</v>
      </c>
      <c r="P149" s="1" t="str">
        <f t="shared" si="27"/>
        <v>.004</v>
      </c>
      <c r="Q149" s="15" t="str">
        <f ca="1">IFERROR(__xludf.dummyfunction("VLOOKUP(P149, IMPORTRANGE(""https://docs.google.com/spreadsheets/d/1yDAaXNsi4Mr5FtRQL4tbmSdIzhx6_m4wkOD7IG-k_eo/edit#gid=1336395716"", ""Science!M:N""), 2, FALSE)"),"#N/A")</f>
        <v>#N/A</v>
      </c>
      <c r="R149" s="1" t="str">
        <f t="shared" si="28"/>
        <v>.005</v>
      </c>
      <c r="S149" s="15" t="str">
        <f ca="1">IFERROR(__xludf.dummyfunction("VLOOKUP(R149, IMPORTRANGE(""https://docs.google.com/spreadsheets/d/1yDAaXNsi4Mr5FtRQL4tbmSdIzhx6_m4wkOD7IG-k_eo/edit#gid=1336395716"", ""Science!M:N""), 2, FALSE)"),"#N/A")</f>
        <v>#N/A</v>
      </c>
      <c r="T149" s="1" t="str">
        <f t="shared" si="29"/>
        <v>.006</v>
      </c>
      <c r="U149" s="15" t="str">
        <f ca="1">IFERROR(__xludf.dummyfunction("VLOOKUP(T149, IMPORTRANGE(""https://docs.google.com/spreadsheets/d/1yDAaXNsi4Mr5FtRQL4tbmSdIzhx6_m4wkOD7IG-k_eo/edit#gid=1336395716"", ""Science!M:N""), 2, FALSE)"),"#N/A")</f>
        <v>#N/A</v>
      </c>
      <c r="V149" s="1"/>
      <c r="W149" s="1"/>
      <c r="X149" s="1"/>
      <c r="Y149" s="1"/>
      <c r="Z149" s="1"/>
      <c r="AA149" s="1"/>
      <c r="AB149" s="1"/>
      <c r="AC149" s="1"/>
      <c r="AD149" s="1"/>
      <c r="AE149" s="1"/>
      <c r="AF149" s="1"/>
      <c r="AG149" s="1"/>
    </row>
    <row r="150" spans="1:33" ht="13.8">
      <c r="A150" s="1"/>
      <c r="B150" s="1"/>
      <c r="C150" s="1"/>
      <c r="D150" s="1"/>
      <c r="E150" s="1"/>
      <c r="F150" s="1"/>
      <c r="G150" s="1"/>
      <c r="H150" s="1"/>
      <c r="I150" s="1"/>
      <c r="J150" s="1" t="str">
        <f t="shared" si="24"/>
        <v>.001</v>
      </c>
      <c r="K150" s="1" t="str">
        <f ca="1">IFERROR(__xludf.dummyfunction("VLOOKUP(J150, IMPORTRANGE(""https://docs.google.com/spreadsheets/d/1yDAaXNsi4Mr5FtRQL4tbmSdIzhx6_m4wkOD7IG-k_eo/edit#gid=1336395716"", ""Science!M:N""), 2, FALSE)"),"#N/A")</f>
        <v>#N/A</v>
      </c>
      <c r="L150" s="1" t="str">
        <f t="shared" si="25"/>
        <v>.002</v>
      </c>
      <c r="M150" s="1" t="str">
        <f ca="1">IFERROR(__xludf.dummyfunction("VLOOKUP(L150, IMPORTRANGE(""https://docs.google.com/spreadsheets/d/1yDAaXNsi4Mr5FtRQL4tbmSdIzhx6_m4wkOD7IG-k_eo/edit#gid=1336395716"", ""Science!M:N""), 2, FALSE)"),"#N/A")</f>
        <v>#N/A</v>
      </c>
      <c r="N150" s="1" t="str">
        <f t="shared" si="26"/>
        <v>.003</v>
      </c>
      <c r="O150" s="1" t="str">
        <f ca="1">IFERROR(__xludf.dummyfunction("VLOOKUP(N150, IMPORTRANGE(""https://docs.google.com/spreadsheets/d/1yDAaXNsi4Mr5FtRQL4tbmSdIzhx6_m4wkOD7IG-k_eo/edit#gid=1336395716"", ""Science!M:N""), 2, FALSE)"),"#N/A")</f>
        <v>#N/A</v>
      </c>
      <c r="P150" s="1" t="str">
        <f t="shared" si="27"/>
        <v>.004</v>
      </c>
      <c r="Q150" s="15" t="str">
        <f ca="1">IFERROR(__xludf.dummyfunction("VLOOKUP(P150, IMPORTRANGE(""https://docs.google.com/spreadsheets/d/1yDAaXNsi4Mr5FtRQL4tbmSdIzhx6_m4wkOD7IG-k_eo/edit#gid=1336395716"", ""Science!M:N""), 2, FALSE)"),"#N/A")</f>
        <v>#N/A</v>
      </c>
      <c r="R150" s="1" t="str">
        <f t="shared" si="28"/>
        <v>.005</v>
      </c>
      <c r="S150" s="15" t="str">
        <f ca="1">IFERROR(__xludf.dummyfunction("VLOOKUP(R150, IMPORTRANGE(""https://docs.google.com/spreadsheets/d/1yDAaXNsi4Mr5FtRQL4tbmSdIzhx6_m4wkOD7IG-k_eo/edit#gid=1336395716"", ""Science!M:N""), 2, FALSE)"),"#N/A")</f>
        <v>#N/A</v>
      </c>
      <c r="T150" s="1" t="str">
        <f t="shared" si="29"/>
        <v>.006</v>
      </c>
      <c r="U150" s="15" t="str">
        <f ca="1">IFERROR(__xludf.dummyfunction("VLOOKUP(T150, IMPORTRANGE(""https://docs.google.com/spreadsheets/d/1yDAaXNsi4Mr5FtRQL4tbmSdIzhx6_m4wkOD7IG-k_eo/edit#gid=1336395716"", ""Science!M:N""), 2, FALSE)"),"#N/A")</f>
        <v>#N/A</v>
      </c>
      <c r="V150" s="1"/>
      <c r="W150" s="1"/>
      <c r="X150" s="1"/>
      <c r="Y150" s="1"/>
      <c r="Z150" s="1"/>
      <c r="AA150" s="1"/>
      <c r="AB150" s="1"/>
      <c r="AC150" s="1"/>
      <c r="AD150" s="1"/>
      <c r="AE150" s="1"/>
      <c r="AF150" s="1"/>
      <c r="AG150" s="1"/>
    </row>
    <row r="151" spans="1:33" ht="13.8">
      <c r="H151" s="1"/>
      <c r="I151" s="1"/>
    </row>
    <row r="152" spans="1:33" ht="13.8">
      <c r="H152" s="1"/>
      <c r="I152" s="1"/>
    </row>
    <row r="153" spans="1:33" ht="13.8">
      <c r="H153" s="1"/>
      <c r="I153" s="1"/>
    </row>
    <row r="154" spans="1:33" ht="13.8">
      <c r="H154" s="1"/>
      <c r="I154" s="1"/>
    </row>
    <row r="155" spans="1:33" ht="13.8">
      <c r="H155" s="1"/>
      <c r="I155" s="1"/>
    </row>
    <row r="156" spans="1:33" ht="13.8">
      <c r="H156" s="1"/>
      <c r="I156" s="1"/>
    </row>
    <row r="157" spans="1:33" ht="13.8">
      <c r="H157" s="1"/>
      <c r="I157" s="1"/>
    </row>
    <row r="158" spans="1:33" ht="13.8">
      <c r="H158" s="1"/>
      <c r="I158" s="1"/>
    </row>
    <row r="159" spans="1:33" ht="13.8">
      <c r="H159" s="1"/>
      <c r="I159" s="1"/>
    </row>
    <row r="160" spans="1:33" ht="13.8">
      <c r="H160" s="1"/>
      <c r="I160" s="1"/>
    </row>
    <row r="161" spans="8:9" ht="13.8">
      <c r="H161" s="1"/>
      <c r="I161" s="1"/>
    </row>
    <row r="162" spans="8:9" ht="13.8">
      <c r="H162" s="1"/>
      <c r="I162" s="1"/>
    </row>
    <row r="163" spans="8:9" ht="13.8">
      <c r="H163" s="1"/>
      <c r="I163" s="1"/>
    </row>
    <row r="164" spans="8:9" ht="13.8">
      <c r="H164" s="1"/>
      <c r="I164" s="1"/>
    </row>
    <row r="165" spans="8:9" ht="13.8">
      <c r="H165" s="1"/>
      <c r="I165" s="1"/>
    </row>
    <row r="166" spans="8:9" ht="13.8">
      <c r="H166" s="1"/>
      <c r="I166" s="1"/>
    </row>
    <row r="167" spans="8:9" ht="13.8">
      <c r="H167" s="1"/>
      <c r="I167" s="1"/>
    </row>
    <row r="168" spans="8:9" ht="13.8">
      <c r="H168" s="1"/>
      <c r="I168" s="1"/>
    </row>
    <row r="169" spans="8:9" ht="13.8">
      <c r="H169" s="1"/>
      <c r="I169" s="1"/>
    </row>
    <row r="170" spans="8:9" ht="13.8">
      <c r="H170" s="1"/>
      <c r="I170" s="1"/>
    </row>
    <row r="171" spans="8:9" ht="13.8">
      <c r="H171" s="1"/>
      <c r="I171" s="1"/>
    </row>
    <row r="172" spans="8:9" ht="13.8">
      <c r="H172" s="1"/>
      <c r="I172" s="1"/>
    </row>
    <row r="173" spans="8:9" ht="13.8">
      <c r="H173" s="1"/>
      <c r="I173" s="1"/>
    </row>
    <row r="174" spans="8:9" ht="13.8">
      <c r="H174" s="1"/>
      <c r="I174" s="1"/>
    </row>
    <row r="175" spans="8:9" ht="13.8">
      <c r="H175" s="1"/>
      <c r="I175" s="1"/>
    </row>
    <row r="176" spans="8:9" ht="13.8">
      <c r="H176" s="1"/>
      <c r="I176" s="1"/>
    </row>
    <row r="177" spans="8:9" ht="13.8">
      <c r="H177" s="1"/>
      <c r="I177" s="1"/>
    </row>
    <row r="178" spans="8:9" ht="13.8">
      <c r="H178" s="1"/>
      <c r="I178" s="1"/>
    </row>
    <row r="179" spans="8:9" ht="13.8">
      <c r="H179" s="1"/>
      <c r="I179" s="1"/>
    </row>
    <row r="180" spans="8:9" ht="13.8">
      <c r="H180" s="1"/>
      <c r="I180" s="1"/>
    </row>
    <row r="181" spans="8:9" ht="13.8">
      <c r="H181" s="1"/>
      <c r="I181" s="1"/>
    </row>
    <row r="182" spans="8:9" ht="13.8">
      <c r="H182" s="1"/>
      <c r="I182" s="1"/>
    </row>
    <row r="183" spans="8:9" ht="13.8">
      <c r="H183" s="1"/>
      <c r="I183" s="1"/>
    </row>
    <row r="184" spans="8:9" ht="13.8">
      <c r="H184" s="1"/>
      <c r="I184" s="1"/>
    </row>
    <row r="185" spans="8:9" ht="13.8">
      <c r="H185" s="1"/>
      <c r="I185" s="1"/>
    </row>
    <row r="186" spans="8:9" ht="13.8">
      <c r="H186" s="1"/>
      <c r="I186" s="1"/>
    </row>
    <row r="187" spans="8:9" ht="13.8">
      <c r="H187" s="1"/>
      <c r="I187" s="1"/>
    </row>
    <row r="188" spans="8:9" ht="13.8">
      <c r="H188" s="1"/>
      <c r="I188" s="1"/>
    </row>
    <row r="189" spans="8:9" ht="13.8">
      <c r="H189" s="1"/>
      <c r="I189" s="1"/>
    </row>
    <row r="190" spans="8:9" ht="13.8">
      <c r="H190" s="1"/>
      <c r="I190" s="1"/>
    </row>
    <row r="191" spans="8:9" ht="13.8">
      <c r="H191" s="1"/>
      <c r="I191" s="1"/>
    </row>
    <row r="192" spans="8:9" ht="13.8">
      <c r="H192" s="1"/>
      <c r="I192" s="1"/>
    </row>
    <row r="193" spans="8:9" ht="13.8">
      <c r="H193" s="1"/>
      <c r="I193" s="1"/>
    </row>
    <row r="194" spans="8:9" ht="13.8">
      <c r="H194" s="1"/>
      <c r="I194" s="1"/>
    </row>
    <row r="195" spans="8:9" ht="13.8">
      <c r="H195" s="1"/>
      <c r="I195" s="1"/>
    </row>
    <row r="196" spans="8:9" ht="13.8">
      <c r="H196" s="1"/>
      <c r="I196" s="1"/>
    </row>
    <row r="197" spans="8:9" ht="13.8">
      <c r="H197" s="1"/>
      <c r="I197" s="1"/>
    </row>
    <row r="198" spans="8:9" ht="13.8">
      <c r="H198" s="1"/>
      <c r="I198" s="1"/>
    </row>
    <row r="199" spans="8:9" ht="13.8">
      <c r="H199" s="1"/>
      <c r="I199" s="1"/>
    </row>
    <row r="200" spans="8:9" ht="13.8">
      <c r="H200" s="1"/>
      <c r="I200" s="1"/>
    </row>
    <row r="201" spans="8:9" ht="13.8">
      <c r="H201" s="1"/>
      <c r="I201" s="1"/>
    </row>
    <row r="202" spans="8:9" ht="13.8">
      <c r="H202" s="1"/>
      <c r="I202" s="1"/>
    </row>
    <row r="203" spans="8:9" ht="13.8">
      <c r="H203" s="1"/>
      <c r="I203" s="1"/>
    </row>
    <row r="204" spans="8:9" ht="13.8">
      <c r="H204" s="1"/>
      <c r="I204" s="1"/>
    </row>
    <row r="205" spans="8:9" ht="13.8">
      <c r="H205" s="1"/>
      <c r="I205" s="1"/>
    </row>
    <row r="206" spans="8:9" ht="13.8">
      <c r="H206" s="1"/>
      <c r="I206" s="1"/>
    </row>
    <row r="207" spans="8:9" ht="13.8">
      <c r="H207" s="1"/>
      <c r="I207" s="1"/>
    </row>
    <row r="208" spans="8:9" ht="13.8">
      <c r="H208" s="1"/>
      <c r="I208" s="1"/>
    </row>
    <row r="209" spans="8:9" ht="13.8">
      <c r="H209" s="1"/>
      <c r="I209" s="1"/>
    </row>
    <row r="210" spans="8:9" ht="13.8">
      <c r="H210" s="1"/>
      <c r="I210" s="1"/>
    </row>
    <row r="211" spans="8:9" ht="13.8">
      <c r="H211" s="1"/>
      <c r="I211" s="1"/>
    </row>
    <row r="212" spans="8:9" ht="13.8">
      <c r="H212" s="1"/>
      <c r="I212" s="1"/>
    </row>
    <row r="213" spans="8:9" ht="13.8">
      <c r="H213" s="1"/>
      <c r="I213" s="1"/>
    </row>
    <row r="214" spans="8:9" ht="13.8">
      <c r="H214" s="1"/>
      <c r="I214" s="1"/>
    </row>
    <row r="215" spans="8:9" ht="13.8">
      <c r="H215" s="1"/>
      <c r="I215" s="1"/>
    </row>
    <row r="216" spans="8:9" ht="13.8">
      <c r="H216" s="1"/>
      <c r="I216" s="1"/>
    </row>
    <row r="217" spans="8:9" ht="13.8">
      <c r="H217" s="1"/>
      <c r="I217" s="1"/>
    </row>
    <row r="218" spans="8:9" ht="13.8">
      <c r="H218" s="1"/>
      <c r="I218" s="1"/>
    </row>
    <row r="219" spans="8:9" ht="13.8">
      <c r="H219" s="1"/>
      <c r="I219" s="1"/>
    </row>
    <row r="220" spans="8:9" ht="13.8">
      <c r="H220" s="1"/>
      <c r="I220" s="1"/>
    </row>
    <row r="221" spans="8:9" ht="13.8">
      <c r="H221" s="1"/>
      <c r="I221" s="1"/>
    </row>
    <row r="222" spans="8:9" ht="13.8">
      <c r="H222" s="1"/>
      <c r="I222" s="1"/>
    </row>
    <row r="223" spans="8:9" ht="13.8">
      <c r="H223" s="1"/>
      <c r="I223" s="1"/>
    </row>
    <row r="224" spans="8:9" ht="13.8">
      <c r="H224" s="1"/>
      <c r="I224" s="1"/>
    </row>
    <row r="225" spans="8:9" ht="13.8">
      <c r="H225" s="1"/>
      <c r="I225" s="1"/>
    </row>
    <row r="226" spans="8:9" ht="13.8">
      <c r="H226" s="1"/>
      <c r="I226" s="1"/>
    </row>
    <row r="227" spans="8:9" ht="13.8">
      <c r="H227" s="1"/>
      <c r="I227" s="1"/>
    </row>
    <row r="228" spans="8:9" ht="13.8">
      <c r="H228" s="1"/>
      <c r="I228" s="1"/>
    </row>
    <row r="229" spans="8:9" ht="13.8">
      <c r="H229" s="1"/>
      <c r="I229" s="1"/>
    </row>
    <row r="230" spans="8:9" ht="13.8">
      <c r="H230" s="1"/>
      <c r="I230" s="1"/>
    </row>
    <row r="231" spans="8:9" ht="13.8">
      <c r="H231" s="1"/>
      <c r="I231" s="1"/>
    </row>
    <row r="232" spans="8:9" ht="13.8">
      <c r="H232" s="1"/>
      <c r="I232" s="1"/>
    </row>
    <row r="233" spans="8:9" ht="13.8">
      <c r="H233" s="1"/>
      <c r="I233" s="1"/>
    </row>
    <row r="234" spans="8:9" ht="13.8">
      <c r="H234" s="1"/>
      <c r="I234" s="1"/>
    </row>
    <row r="235" spans="8:9" ht="13.8">
      <c r="H235" s="1"/>
      <c r="I235" s="1"/>
    </row>
    <row r="236" spans="8:9" ht="13.8">
      <c r="H236" s="1"/>
      <c r="I236" s="1"/>
    </row>
    <row r="237" spans="8:9" ht="13.8">
      <c r="H237" s="1"/>
      <c r="I237" s="1"/>
    </row>
    <row r="238" spans="8:9" ht="13.8">
      <c r="H238" s="1"/>
      <c r="I238" s="1"/>
    </row>
    <row r="239" spans="8:9" ht="13.8">
      <c r="H239" s="1"/>
      <c r="I239" s="1"/>
    </row>
    <row r="240" spans="8:9" ht="13.8">
      <c r="H240" s="1"/>
      <c r="I240" s="1"/>
    </row>
    <row r="241" spans="8:9" ht="13.8">
      <c r="H241" s="1"/>
      <c r="I241" s="1"/>
    </row>
    <row r="242" spans="8:9" ht="13.8">
      <c r="H242" s="1"/>
      <c r="I242" s="1"/>
    </row>
    <row r="243" spans="8:9" ht="13.8">
      <c r="H243" s="1"/>
      <c r="I243" s="1"/>
    </row>
    <row r="244" spans="8:9" ht="13.8">
      <c r="H244" s="1"/>
      <c r="I244" s="1"/>
    </row>
    <row r="245" spans="8:9" ht="13.8">
      <c r="H245" s="1"/>
      <c r="I245" s="1"/>
    </row>
    <row r="246" spans="8:9" ht="13.8">
      <c r="H246" s="1"/>
      <c r="I246" s="1"/>
    </row>
    <row r="247" spans="8:9" ht="13.8">
      <c r="H247" s="1"/>
      <c r="I247" s="1"/>
    </row>
    <row r="248" spans="8:9" ht="13.8">
      <c r="H248" s="1"/>
      <c r="I248" s="1"/>
    </row>
    <row r="249" spans="8:9" ht="13.8">
      <c r="H249" s="1"/>
      <c r="I249" s="1"/>
    </row>
    <row r="250" spans="8:9" ht="13.8">
      <c r="H250" s="1"/>
      <c r="I250" s="1"/>
    </row>
    <row r="251" spans="8:9" ht="13.8">
      <c r="H251" s="1"/>
      <c r="I251" s="1"/>
    </row>
    <row r="252" spans="8:9" ht="13.8">
      <c r="H252" s="1"/>
      <c r="I252" s="1"/>
    </row>
    <row r="253" spans="8:9" ht="13.8">
      <c r="H253" s="1"/>
      <c r="I253" s="1"/>
    </row>
    <row r="254" spans="8:9" ht="13.8">
      <c r="H254" s="1"/>
      <c r="I254" s="1"/>
    </row>
    <row r="255" spans="8:9" ht="13.8">
      <c r="H255" s="1"/>
      <c r="I255" s="1"/>
    </row>
    <row r="256" spans="8:9" ht="13.8">
      <c r="H256" s="1"/>
      <c r="I256" s="1"/>
    </row>
    <row r="257" spans="8:9" ht="13.8">
      <c r="H257" s="1"/>
      <c r="I257" s="1"/>
    </row>
    <row r="258" spans="8:9" ht="13.8">
      <c r="H258" s="1"/>
      <c r="I258" s="1"/>
    </row>
    <row r="259" spans="8:9" ht="13.8">
      <c r="H259" s="1"/>
      <c r="I259" s="1"/>
    </row>
    <row r="260" spans="8:9" ht="13.8">
      <c r="H260" s="1"/>
      <c r="I260" s="1"/>
    </row>
    <row r="261" spans="8:9" ht="13.8">
      <c r="H261" s="1"/>
      <c r="I261" s="1"/>
    </row>
    <row r="262" spans="8:9" ht="13.8">
      <c r="H262" s="1"/>
      <c r="I262" s="1"/>
    </row>
    <row r="263" spans="8:9" ht="13.8">
      <c r="H263" s="1"/>
      <c r="I263" s="1"/>
    </row>
    <row r="264" spans="8:9" ht="13.8">
      <c r="H264" s="1"/>
      <c r="I264" s="1"/>
    </row>
    <row r="265" spans="8:9" ht="13.8">
      <c r="H265" s="1"/>
      <c r="I265" s="1"/>
    </row>
    <row r="266" spans="8:9" ht="13.8">
      <c r="H266" s="1"/>
      <c r="I266" s="1"/>
    </row>
    <row r="267" spans="8:9" ht="13.8">
      <c r="H267" s="1"/>
      <c r="I267" s="1"/>
    </row>
    <row r="268" spans="8:9" ht="13.8">
      <c r="H268" s="1"/>
      <c r="I268" s="1"/>
    </row>
    <row r="269" spans="8:9" ht="13.8">
      <c r="H269" s="1"/>
      <c r="I269" s="1"/>
    </row>
    <row r="270" spans="8:9" ht="13.8">
      <c r="H270" s="1"/>
      <c r="I270" s="1"/>
    </row>
    <row r="271" spans="8:9" ht="13.8">
      <c r="H271" s="1"/>
      <c r="I271" s="1"/>
    </row>
    <row r="272" spans="8:9" ht="13.8">
      <c r="H272" s="1"/>
      <c r="I272" s="1"/>
    </row>
    <row r="273" spans="8:9" ht="13.8">
      <c r="H273" s="1"/>
      <c r="I273" s="1"/>
    </row>
    <row r="274" spans="8:9" ht="13.8">
      <c r="H274" s="1"/>
      <c r="I274" s="1"/>
    </row>
    <row r="275" spans="8:9" ht="13.8">
      <c r="H275" s="1"/>
      <c r="I275" s="1"/>
    </row>
    <row r="276" spans="8:9" ht="13.8">
      <c r="H276" s="1"/>
      <c r="I276" s="1"/>
    </row>
    <row r="277" spans="8:9" ht="13.8">
      <c r="H277" s="1"/>
      <c r="I277" s="1"/>
    </row>
    <row r="278" spans="8:9" ht="13.8">
      <c r="H278" s="1"/>
      <c r="I278" s="1"/>
    </row>
    <row r="279" spans="8:9" ht="13.8">
      <c r="H279" s="1"/>
      <c r="I279" s="1"/>
    </row>
    <row r="280" spans="8:9" ht="13.8">
      <c r="H280" s="1"/>
      <c r="I280" s="1"/>
    </row>
    <row r="281" spans="8:9" ht="13.8">
      <c r="H281" s="1"/>
      <c r="I281" s="1"/>
    </row>
    <row r="282" spans="8:9" ht="13.8">
      <c r="H282" s="1"/>
      <c r="I282" s="1"/>
    </row>
    <row r="283" spans="8:9" ht="13.8">
      <c r="H283" s="1"/>
      <c r="I283" s="1"/>
    </row>
    <row r="284" spans="8:9" ht="13.8">
      <c r="H284" s="1"/>
      <c r="I284" s="1"/>
    </row>
    <row r="285" spans="8:9" ht="13.8">
      <c r="H285" s="1"/>
      <c r="I285" s="1"/>
    </row>
    <row r="286" spans="8:9" ht="13.8">
      <c r="H286" s="1"/>
      <c r="I286" s="1"/>
    </row>
    <row r="287" spans="8:9" ht="13.8">
      <c r="H287" s="1"/>
      <c r="I287" s="1"/>
    </row>
    <row r="288" spans="8:9" ht="13.8">
      <c r="H288" s="1"/>
      <c r="I288" s="1"/>
    </row>
    <row r="289" spans="8:9" ht="13.8">
      <c r="H289" s="1"/>
      <c r="I289" s="1"/>
    </row>
    <row r="290" spans="8:9" ht="13.8">
      <c r="H290" s="1"/>
      <c r="I290" s="1"/>
    </row>
    <row r="291" spans="8:9" ht="13.8">
      <c r="H291" s="1"/>
      <c r="I291" s="1"/>
    </row>
    <row r="292" spans="8:9" ht="13.8">
      <c r="H292" s="1"/>
      <c r="I292" s="1"/>
    </row>
    <row r="293" spans="8:9" ht="13.8">
      <c r="H293" s="1"/>
      <c r="I293" s="1"/>
    </row>
    <row r="294" spans="8:9" ht="13.8">
      <c r="H294" s="1"/>
      <c r="I294" s="1"/>
    </row>
    <row r="295" spans="8:9" ht="13.8">
      <c r="H295" s="1"/>
      <c r="I295" s="1"/>
    </row>
    <row r="296" spans="8:9" ht="13.8">
      <c r="H296" s="1"/>
      <c r="I296" s="1"/>
    </row>
    <row r="297" spans="8:9" ht="13.8">
      <c r="H297" s="1"/>
      <c r="I297" s="1"/>
    </row>
    <row r="298" spans="8:9" ht="13.8">
      <c r="H298" s="1"/>
      <c r="I298" s="1"/>
    </row>
    <row r="299" spans="8:9" ht="13.8">
      <c r="H299" s="1"/>
      <c r="I299" s="1"/>
    </row>
    <row r="300" spans="8:9" ht="13.8">
      <c r="H300" s="1"/>
      <c r="I300" s="1"/>
    </row>
    <row r="301" spans="8:9" ht="13.8">
      <c r="H301" s="1"/>
      <c r="I301" s="1"/>
    </row>
    <row r="302" spans="8:9" ht="13.8">
      <c r="H302" s="1"/>
      <c r="I302" s="1"/>
    </row>
    <row r="303" spans="8:9" ht="13.8">
      <c r="H303" s="1"/>
      <c r="I303" s="1"/>
    </row>
    <row r="304" spans="8:9" ht="13.8">
      <c r="H304" s="1"/>
      <c r="I304" s="1"/>
    </row>
    <row r="305" spans="8:9" ht="13.8">
      <c r="H305" s="1"/>
      <c r="I305" s="1"/>
    </row>
    <row r="306" spans="8:9" ht="13.8">
      <c r="H306" s="1"/>
      <c r="I306" s="1"/>
    </row>
    <row r="307" spans="8:9" ht="13.8">
      <c r="H307" s="1"/>
      <c r="I307" s="1"/>
    </row>
    <row r="308" spans="8:9" ht="13.8">
      <c r="H308" s="1"/>
      <c r="I308" s="1"/>
    </row>
    <row r="309" spans="8:9" ht="13.8">
      <c r="H309" s="1"/>
      <c r="I309" s="1"/>
    </row>
    <row r="310" spans="8:9" ht="13.8">
      <c r="H310" s="1"/>
      <c r="I310" s="1"/>
    </row>
    <row r="311" spans="8:9" ht="13.8">
      <c r="H311" s="1"/>
      <c r="I311" s="1"/>
    </row>
    <row r="312" spans="8:9" ht="13.8">
      <c r="H312" s="1"/>
      <c r="I312" s="1"/>
    </row>
    <row r="313" spans="8:9" ht="13.8">
      <c r="H313" s="1"/>
      <c r="I313" s="1"/>
    </row>
    <row r="314" spans="8:9" ht="13.8">
      <c r="H314" s="1"/>
      <c r="I314" s="1"/>
    </row>
    <row r="315" spans="8:9" ht="13.8">
      <c r="H315" s="1"/>
      <c r="I315" s="1"/>
    </row>
    <row r="316" spans="8:9" ht="13.8">
      <c r="H316" s="1"/>
      <c r="I316" s="1"/>
    </row>
    <row r="317" spans="8:9" ht="13.8">
      <c r="H317" s="1"/>
      <c r="I317" s="1"/>
    </row>
    <row r="318" spans="8:9" ht="13.8">
      <c r="H318" s="1"/>
      <c r="I318" s="1"/>
    </row>
    <row r="319" spans="8:9" ht="13.8">
      <c r="H319" s="1"/>
      <c r="I319" s="1"/>
    </row>
    <row r="320" spans="8:9" ht="13.8">
      <c r="H320" s="1"/>
      <c r="I320" s="1"/>
    </row>
    <row r="321" spans="8:9" ht="13.8">
      <c r="H321" s="1"/>
      <c r="I321" s="1"/>
    </row>
    <row r="322" spans="8:9" ht="13.8">
      <c r="H322" s="1"/>
      <c r="I322" s="1"/>
    </row>
    <row r="323" spans="8:9" ht="13.8">
      <c r="H323" s="1"/>
      <c r="I323" s="1"/>
    </row>
    <row r="324" spans="8:9" ht="13.8">
      <c r="H324" s="1"/>
      <c r="I324" s="1"/>
    </row>
    <row r="325" spans="8:9" ht="13.8">
      <c r="H325" s="1"/>
      <c r="I325" s="1"/>
    </row>
    <row r="326" spans="8:9" ht="13.8">
      <c r="H326" s="1"/>
      <c r="I326" s="1"/>
    </row>
    <row r="327" spans="8:9" ht="13.8">
      <c r="H327" s="1"/>
      <c r="I327" s="1"/>
    </row>
    <row r="328" spans="8:9" ht="13.8">
      <c r="H328" s="1"/>
      <c r="I328" s="1"/>
    </row>
    <row r="329" spans="8:9" ht="13.8">
      <c r="H329" s="1"/>
      <c r="I329" s="1"/>
    </row>
    <row r="330" spans="8:9" ht="13.8">
      <c r="H330" s="1"/>
      <c r="I330" s="1"/>
    </row>
    <row r="331" spans="8:9" ht="13.8">
      <c r="H331" s="1"/>
      <c r="I331" s="1"/>
    </row>
    <row r="332" spans="8:9" ht="13.8">
      <c r="H332" s="1"/>
      <c r="I332" s="1"/>
    </row>
    <row r="333" spans="8:9" ht="13.8">
      <c r="H333" s="1"/>
      <c r="I333" s="1"/>
    </row>
    <row r="334" spans="8:9" ht="13.8">
      <c r="H334" s="1"/>
      <c r="I334" s="1"/>
    </row>
    <row r="335" spans="8:9" ht="13.8">
      <c r="H335" s="1"/>
      <c r="I335" s="1"/>
    </row>
    <row r="336" spans="8:9" ht="13.8">
      <c r="H336" s="1"/>
      <c r="I336" s="1"/>
    </row>
    <row r="337" spans="8:9" ht="13.8">
      <c r="H337" s="1"/>
      <c r="I337" s="1"/>
    </row>
    <row r="338" spans="8:9" ht="13.8">
      <c r="H338" s="1"/>
      <c r="I338" s="1"/>
    </row>
    <row r="339" spans="8:9" ht="13.8">
      <c r="H339" s="1"/>
      <c r="I339" s="1"/>
    </row>
    <row r="340" spans="8:9" ht="13.8">
      <c r="H340" s="1"/>
      <c r="I340" s="1"/>
    </row>
    <row r="341" spans="8:9" ht="13.8">
      <c r="H341" s="1"/>
      <c r="I341" s="1"/>
    </row>
    <row r="342" spans="8:9" ht="13.8">
      <c r="H342" s="1"/>
      <c r="I342" s="1"/>
    </row>
    <row r="343" spans="8:9" ht="13.8">
      <c r="H343" s="1"/>
      <c r="I343" s="1"/>
    </row>
    <row r="344" spans="8:9" ht="13.8">
      <c r="H344" s="1"/>
      <c r="I344" s="1"/>
    </row>
    <row r="345" spans="8:9" ht="13.8">
      <c r="H345" s="1"/>
      <c r="I345" s="1"/>
    </row>
    <row r="346" spans="8:9" ht="13.8">
      <c r="H346" s="1"/>
      <c r="I346" s="1"/>
    </row>
    <row r="347" spans="8:9" ht="13.8">
      <c r="H347" s="1"/>
      <c r="I347" s="1"/>
    </row>
    <row r="348" spans="8:9" ht="13.8">
      <c r="H348" s="1"/>
      <c r="I348" s="1"/>
    </row>
    <row r="349" spans="8:9" ht="13.8">
      <c r="H349" s="1"/>
      <c r="I349" s="1"/>
    </row>
    <row r="350" spans="8:9" ht="13.8">
      <c r="H350" s="1"/>
      <c r="I350" s="1"/>
    </row>
    <row r="351" spans="8:9" ht="13.8">
      <c r="H351" s="1"/>
      <c r="I351" s="1"/>
    </row>
    <row r="352" spans="8:9" ht="13.8">
      <c r="H352" s="1"/>
      <c r="I352" s="1"/>
    </row>
    <row r="353" spans="8:9" ht="13.8">
      <c r="H353" s="1"/>
      <c r="I353" s="1"/>
    </row>
    <row r="354" spans="8:9" ht="13.8">
      <c r="H354" s="1"/>
      <c r="I354" s="1"/>
    </row>
    <row r="355" spans="8:9" ht="13.8">
      <c r="H355" s="1"/>
      <c r="I355" s="1"/>
    </row>
    <row r="356" spans="8:9" ht="13.8">
      <c r="H356" s="1"/>
      <c r="I356" s="1"/>
    </row>
    <row r="357" spans="8:9" ht="13.8">
      <c r="H357" s="1"/>
      <c r="I357" s="1"/>
    </row>
    <row r="358" spans="8:9" ht="13.8">
      <c r="H358" s="1"/>
      <c r="I358" s="1"/>
    </row>
    <row r="359" spans="8:9" ht="13.8">
      <c r="H359" s="1"/>
      <c r="I359" s="1"/>
    </row>
    <row r="360" spans="8:9" ht="13.8">
      <c r="H360" s="1"/>
      <c r="I360" s="1"/>
    </row>
    <row r="361" spans="8:9" ht="13.8">
      <c r="H361" s="1"/>
      <c r="I361" s="1"/>
    </row>
    <row r="362" spans="8:9" ht="13.8">
      <c r="H362" s="1"/>
      <c r="I362" s="1"/>
    </row>
    <row r="363" spans="8:9" ht="13.8">
      <c r="H363" s="1"/>
      <c r="I363" s="1"/>
    </row>
    <row r="364" spans="8:9" ht="13.8">
      <c r="H364" s="1"/>
      <c r="I364" s="1"/>
    </row>
    <row r="365" spans="8:9" ht="13.8">
      <c r="H365" s="1"/>
      <c r="I365" s="1"/>
    </row>
    <row r="366" spans="8:9" ht="13.8">
      <c r="H366" s="1"/>
      <c r="I366" s="1"/>
    </row>
    <row r="367" spans="8:9" ht="13.8">
      <c r="H367" s="1"/>
      <c r="I367" s="1"/>
    </row>
    <row r="368" spans="8:9" ht="13.8">
      <c r="H368" s="1"/>
      <c r="I368" s="1"/>
    </row>
    <row r="369" spans="8:9" ht="13.8">
      <c r="H369" s="1"/>
      <c r="I369" s="1"/>
    </row>
    <row r="370" spans="8:9" ht="13.8">
      <c r="H370" s="1"/>
      <c r="I370" s="1"/>
    </row>
    <row r="371" spans="8:9" ht="13.8">
      <c r="H371" s="1"/>
      <c r="I371" s="1"/>
    </row>
    <row r="372" spans="8:9" ht="13.8">
      <c r="H372" s="1"/>
      <c r="I372" s="1"/>
    </row>
    <row r="373" spans="8:9" ht="13.8">
      <c r="H373" s="1"/>
      <c r="I373" s="1"/>
    </row>
    <row r="374" spans="8:9" ht="13.8">
      <c r="H374" s="1"/>
      <c r="I374" s="1"/>
    </row>
    <row r="375" spans="8:9" ht="13.8">
      <c r="H375" s="1"/>
      <c r="I375" s="1"/>
    </row>
    <row r="376" spans="8:9" ht="13.8">
      <c r="H376" s="1"/>
      <c r="I376" s="1"/>
    </row>
    <row r="377" spans="8:9" ht="13.8">
      <c r="H377" s="1"/>
      <c r="I377" s="1"/>
    </row>
    <row r="378" spans="8:9" ht="13.8">
      <c r="H378" s="1"/>
      <c r="I378" s="1"/>
    </row>
    <row r="379" spans="8:9" ht="13.8">
      <c r="H379" s="1"/>
      <c r="I379" s="1"/>
    </row>
    <row r="380" spans="8:9" ht="13.8">
      <c r="H380" s="1"/>
      <c r="I380" s="1"/>
    </row>
    <row r="381" spans="8:9" ht="13.8">
      <c r="H381" s="1"/>
      <c r="I381" s="1"/>
    </row>
    <row r="382" spans="8:9" ht="13.8">
      <c r="H382" s="1"/>
      <c r="I382" s="1"/>
    </row>
    <row r="383" spans="8:9" ht="13.8">
      <c r="H383" s="1"/>
      <c r="I383" s="1"/>
    </row>
    <row r="384" spans="8:9" ht="13.8">
      <c r="H384" s="1"/>
      <c r="I384" s="1"/>
    </row>
    <row r="385" spans="8:9" ht="13.8">
      <c r="H385" s="1"/>
      <c r="I385" s="1"/>
    </row>
    <row r="386" spans="8:9" ht="13.8">
      <c r="H386" s="1"/>
      <c r="I386" s="1"/>
    </row>
    <row r="387" spans="8:9" ht="13.8">
      <c r="H387" s="1"/>
      <c r="I387" s="1"/>
    </row>
    <row r="388" spans="8:9" ht="13.8">
      <c r="H388" s="1"/>
      <c r="I388" s="1"/>
    </row>
    <row r="389" spans="8:9" ht="13.8">
      <c r="H389" s="1"/>
      <c r="I389" s="1"/>
    </row>
    <row r="390" spans="8:9" ht="13.8">
      <c r="H390" s="1"/>
      <c r="I390" s="1"/>
    </row>
    <row r="391" spans="8:9" ht="13.8">
      <c r="H391" s="1"/>
      <c r="I391" s="1"/>
    </row>
    <row r="392" spans="8:9" ht="13.8">
      <c r="H392" s="1"/>
      <c r="I392" s="1"/>
    </row>
    <row r="393" spans="8:9" ht="13.8">
      <c r="H393" s="1"/>
      <c r="I393" s="1"/>
    </row>
    <row r="394" spans="8:9" ht="13.8">
      <c r="H394" s="1"/>
      <c r="I394" s="1"/>
    </row>
    <row r="395" spans="8:9" ht="13.8">
      <c r="H395" s="1"/>
      <c r="I395" s="1"/>
    </row>
    <row r="396" spans="8:9" ht="13.8">
      <c r="H396" s="1"/>
      <c r="I396" s="1"/>
    </row>
    <row r="397" spans="8:9" ht="13.8">
      <c r="H397" s="1"/>
      <c r="I397" s="1"/>
    </row>
    <row r="398" spans="8:9" ht="13.8">
      <c r="H398" s="1"/>
      <c r="I398" s="1"/>
    </row>
    <row r="399" spans="8:9" ht="13.8">
      <c r="H399" s="1"/>
      <c r="I399" s="1"/>
    </row>
    <row r="400" spans="8:9" ht="13.8">
      <c r="H400" s="1"/>
      <c r="I400" s="1"/>
    </row>
    <row r="401" spans="8:9" ht="13.8">
      <c r="H401" s="1"/>
      <c r="I401" s="1"/>
    </row>
    <row r="402" spans="8:9" ht="13.8">
      <c r="H402" s="1"/>
      <c r="I402" s="1"/>
    </row>
    <row r="403" spans="8:9" ht="13.8">
      <c r="H403" s="1"/>
      <c r="I403" s="1"/>
    </row>
    <row r="404" spans="8:9" ht="13.8">
      <c r="H404" s="1"/>
      <c r="I404" s="1"/>
    </row>
    <row r="405" spans="8:9" ht="13.8">
      <c r="H405" s="1"/>
      <c r="I405" s="1"/>
    </row>
    <row r="406" spans="8:9" ht="13.8">
      <c r="H406" s="1"/>
      <c r="I406" s="1"/>
    </row>
    <row r="407" spans="8:9" ht="13.8">
      <c r="H407" s="1"/>
      <c r="I407" s="1"/>
    </row>
    <row r="408" spans="8:9" ht="13.8">
      <c r="H408" s="1"/>
      <c r="I408" s="1"/>
    </row>
    <row r="409" spans="8:9" ht="13.8">
      <c r="H409" s="1"/>
      <c r="I409" s="1"/>
    </row>
    <row r="410" spans="8:9" ht="13.8">
      <c r="H410" s="1"/>
      <c r="I410" s="1"/>
    </row>
    <row r="411" spans="8:9" ht="13.8">
      <c r="H411" s="1"/>
      <c r="I411" s="1"/>
    </row>
    <row r="412" spans="8:9" ht="13.8">
      <c r="H412" s="1"/>
      <c r="I412" s="1"/>
    </row>
    <row r="413" spans="8:9" ht="13.8">
      <c r="H413" s="1"/>
      <c r="I413" s="1"/>
    </row>
    <row r="414" spans="8:9" ht="13.8">
      <c r="H414" s="1"/>
      <c r="I414" s="1"/>
    </row>
    <row r="415" spans="8:9" ht="13.8">
      <c r="H415" s="1"/>
      <c r="I415" s="1"/>
    </row>
    <row r="416" spans="8:9" ht="13.8">
      <c r="H416" s="1"/>
      <c r="I416" s="1"/>
    </row>
    <row r="417" spans="8:9" ht="13.8">
      <c r="H417" s="1"/>
      <c r="I417" s="1"/>
    </row>
    <row r="418" spans="8:9" ht="13.8">
      <c r="H418" s="1"/>
      <c r="I418" s="1"/>
    </row>
    <row r="419" spans="8:9" ht="13.8">
      <c r="H419" s="1"/>
      <c r="I419" s="1"/>
    </row>
    <row r="420" spans="8:9" ht="13.8">
      <c r="H420" s="1"/>
      <c r="I420" s="1"/>
    </row>
    <row r="421" spans="8:9" ht="13.8">
      <c r="H421" s="1"/>
      <c r="I421" s="1"/>
    </row>
    <row r="422" spans="8:9" ht="13.8">
      <c r="H422" s="1"/>
      <c r="I422" s="1"/>
    </row>
    <row r="423" spans="8:9" ht="13.8">
      <c r="H423" s="1"/>
      <c r="I423" s="1"/>
    </row>
    <row r="424" spans="8:9" ht="13.8">
      <c r="H424" s="1"/>
      <c r="I424" s="1"/>
    </row>
    <row r="425" spans="8:9" ht="13.8">
      <c r="H425" s="1"/>
      <c r="I425" s="1"/>
    </row>
    <row r="426" spans="8:9" ht="13.8">
      <c r="H426" s="1"/>
      <c r="I426" s="1"/>
    </row>
    <row r="427" spans="8:9" ht="13.8">
      <c r="H427" s="1"/>
      <c r="I427" s="1"/>
    </row>
    <row r="428" spans="8:9" ht="13.8">
      <c r="H428" s="1"/>
      <c r="I428" s="1"/>
    </row>
    <row r="429" spans="8:9" ht="13.8">
      <c r="H429" s="1"/>
      <c r="I429" s="1"/>
    </row>
    <row r="430" spans="8:9" ht="13.8">
      <c r="H430" s="1"/>
      <c r="I430" s="1"/>
    </row>
    <row r="431" spans="8:9" ht="13.8">
      <c r="H431" s="1"/>
      <c r="I431" s="1"/>
    </row>
    <row r="432" spans="8:9" ht="13.8">
      <c r="H432" s="1"/>
      <c r="I432" s="1"/>
    </row>
    <row r="433" spans="8:9" ht="13.8">
      <c r="H433" s="1"/>
      <c r="I433" s="1"/>
    </row>
    <row r="434" spans="8:9" ht="13.8">
      <c r="H434" s="1"/>
      <c r="I434" s="1"/>
    </row>
    <row r="435" spans="8:9" ht="13.8">
      <c r="H435" s="1"/>
      <c r="I435" s="1"/>
    </row>
    <row r="436" spans="8:9" ht="13.8">
      <c r="H436" s="1"/>
      <c r="I436" s="1"/>
    </row>
    <row r="437" spans="8:9" ht="13.8">
      <c r="H437" s="1"/>
      <c r="I437" s="1"/>
    </row>
    <row r="438" spans="8:9" ht="13.8">
      <c r="H438" s="1"/>
      <c r="I438" s="1"/>
    </row>
    <row r="439" spans="8:9" ht="13.8">
      <c r="H439" s="1"/>
      <c r="I439" s="1"/>
    </row>
    <row r="440" spans="8:9" ht="13.8">
      <c r="H440" s="1"/>
      <c r="I440" s="1"/>
    </row>
    <row r="441" spans="8:9" ht="13.8">
      <c r="H441" s="1"/>
      <c r="I441" s="1"/>
    </row>
    <row r="442" spans="8:9" ht="13.8">
      <c r="H442" s="1"/>
      <c r="I442" s="1"/>
    </row>
    <row r="443" spans="8:9" ht="13.8">
      <c r="H443" s="1"/>
      <c r="I443" s="1"/>
    </row>
    <row r="444" spans="8:9" ht="13.8">
      <c r="H444" s="1"/>
      <c r="I444" s="1"/>
    </row>
    <row r="445" spans="8:9" ht="13.8">
      <c r="H445" s="1"/>
      <c r="I445" s="1"/>
    </row>
    <row r="446" spans="8:9" ht="13.8">
      <c r="H446" s="1"/>
      <c r="I446" s="1"/>
    </row>
    <row r="447" spans="8:9" ht="13.8">
      <c r="H447" s="1"/>
      <c r="I447" s="1"/>
    </row>
    <row r="448" spans="8:9" ht="13.8">
      <c r="H448" s="1"/>
      <c r="I448" s="1"/>
    </row>
    <row r="449" spans="8:9" ht="13.8">
      <c r="H449" s="1"/>
      <c r="I449" s="1"/>
    </row>
    <row r="450" spans="8:9" ht="13.8">
      <c r="H450" s="1"/>
      <c r="I450" s="1"/>
    </row>
    <row r="451" spans="8:9" ht="13.8">
      <c r="H451" s="1"/>
      <c r="I451" s="1"/>
    </row>
    <row r="452" spans="8:9" ht="13.8">
      <c r="H452" s="1"/>
      <c r="I452" s="1"/>
    </row>
    <row r="453" spans="8:9" ht="13.8">
      <c r="H453" s="1"/>
      <c r="I453" s="1"/>
    </row>
    <row r="454" spans="8:9" ht="13.8">
      <c r="H454" s="1"/>
      <c r="I454" s="1"/>
    </row>
    <row r="455" spans="8:9" ht="13.8">
      <c r="H455" s="1"/>
      <c r="I455" s="1"/>
    </row>
    <row r="456" spans="8:9" ht="13.8">
      <c r="H456" s="1"/>
      <c r="I456" s="1"/>
    </row>
    <row r="457" spans="8:9" ht="13.8">
      <c r="H457" s="1"/>
      <c r="I457" s="1"/>
    </row>
    <row r="458" spans="8:9" ht="13.8">
      <c r="H458" s="1"/>
      <c r="I458" s="1"/>
    </row>
    <row r="459" spans="8:9" ht="13.8">
      <c r="H459" s="1"/>
      <c r="I459" s="1"/>
    </row>
    <row r="460" spans="8:9" ht="13.8">
      <c r="H460" s="1"/>
      <c r="I460" s="1"/>
    </row>
    <row r="461" spans="8:9" ht="13.8">
      <c r="H461" s="1"/>
      <c r="I461" s="1"/>
    </row>
    <row r="462" spans="8:9" ht="13.8">
      <c r="H462" s="1"/>
      <c r="I462" s="1"/>
    </row>
    <row r="463" spans="8:9" ht="13.8">
      <c r="H463" s="1"/>
      <c r="I463" s="1"/>
    </row>
    <row r="464" spans="8:9" ht="13.8">
      <c r="H464" s="1"/>
      <c r="I464" s="1"/>
    </row>
    <row r="465" spans="8:9" ht="13.8">
      <c r="H465" s="1"/>
      <c r="I465" s="1"/>
    </row>
    <row r="466" spans="8:9" ht="13.8">
      <c r="H466" s="1"/>
      <c r="I466" s="1"/>
    </row>
    <row r="467" spans="8:9" ht="13.8">
      <c r="H467" s="1"/>
      <c r="I467" s="1"/>
    </row>
    <row r="468" spans="8:9" ht="13.8">
      <c r="H468" s="1"/>
      <c r="I468" s="1"/>
    </row>
    <row r="469" spans="8:9" ht="13.8">
      <c r="H469" s="1"/>
      <c r="I469" s="1"/>
    </row>
    <row r="470" spans="8:9" ht="13.8">
      <c r="H470" s="1"/>
      <c r="I470" s="1"/>
    </row>
    <row r="471" spans="8:9" ht="13.8">
      <c r="H471" s="1"/>
      <c r="I471" s="1"/>
    </row>
    <row r="472" spans="8:9" ht="13.8">
      <c r="H472" s="1"/>
      <c r="I472" s="1"/>
    </row>
    <row r="473" spans="8:9" ht="13.8">
      <c r="H473" s="1"/>
      <c r="I473" s="1"/>
    </row>
    <row r="474" spans="8:9" ht="13.8">
      <c r="H474" s="1"/>
      <c r="I474" s="1"/>
    </row>
    <row r="475" spans="8:9" ht="13.8">
      <c r="H475" s="1"/>
      <c r="I475" s="1"/>
    </row>
    <row r="476" spans="8:9" ht="13.8">
      <c r="H476" s="1"/>
      <c r="I476" s="1"/>
    </row>
    <row r="477" spans="8:9" ht="13.8">
      <c r="H477" s="1"/>
      <c r="I477" s="1"/>
    </row>
    <row r="478" spans="8:9" ht="13.8">
      <c r="H478" s="1"/>
      <c r="I478" s="1"/>
    </row>
    <row r="479" spans="8:9" ht="13.8">
      <c r="H479" s="1"/>
      <c r="I479" s="1"/>
    </row>
    <row r="480" spans="8:9" ht="13.8">
      <c r="H480" s="1"/>
      <c r="I480" s="1"/>
    </row>
    <row r="481" spans="8:9" ht="13.8">
      <c r="H481" s="1"/>
      <c r="I481" s="1"/>
    </row>
    <row r="482" spans="8:9" ht="13.8">
      <c r="H482" s="1"/>
      <c r="I482" s="1"/>
    </row>
    <row r="483" spans="8:9" ht="13.8">
      <c r="H483" s="1"/>
      <c r="I483" s="1"/>
    </row>
    <row r="484" spans="8:9" ht="13.8">
      <c r="H484" s="1"/>
      <c r="I484" s="1"/>
    </row>
    <row r="485" spans="8:9" ht="13.8">
      <c r="H485" s="1"/>
      <c r="I485" s="1"/>
    </row>
    <row r="486" spans="8:9" ht="13.8">
      <c r="H486" s="1"/>
      <c r="I486" s="1"/>
    </row>
    <row r="487" spans="8:9" ht="13.8">
      <c r="H487" s="1"/>
      <c r="I487" s="1"/>
    </row>
    <row r="488" spans="8:9" ht="13.8">
      <c r="H488" s="1"/>
      <c r="I488" s="1"/>
    </row>
    <row r="489" spans="8:9" ht="13.8">
      <c r="H489" s="1"/>
      <c r="I489" s="1"/>
    </row>
    <row r="490" spans="8:9" ht="13.8">
      <c r="H490" s="1"/>
      <c r="I490" s="1"/>
    </row>
    <row r="491" spans="8:9" ht="13.8">
      <c r="H491" s="1"/>
      <c r="I491" s="1"/>
    </row>
    <row r="492" spans="8:9" ht="13.8">
      <c r="H492" s="1"/>
      <c r="I492" s="1"/>
    </row>
    <row r="493" spans="8:9" ht="13.8">
      <c r="H493" s="1"/>
      <c r="I493" s="1"/>
    </row>
    <row r="494" spans="8:9" ht="13.8">
      <c r="H494" s="1"/>
      <c r="I494" s="1"/>
    </row>
    <row r="495" spans="8:9" ht="13.8">
      <c r="H495" s="1"/>
      <c r="I495" s="1"/>
    </row>
    <row r="496" spans="8:9" ht="13.8">
      <c r="H496" s="1"/>
      <c r="I496" s="1"/>
    </row>
    <row r="497" spans="8:9" ht="13.8">
      <c r="H497" s="1"/>
      <c r="I497" s="1"/>
    </row>
    <row r="498" spans="8:9" ht="13.8">
      <c r="H498" s="1"/>
      <c r="I498" s="1"/>
    </row>
    <row r="499" spans="8:9" ht="13.8">
      <c r="H499" s="1"/>
      <c r="I499" s="1"/>
    </row>
    <row r="500" spans="8:9" ht="13.8">
      <c r="H500" s="1"/>
      <c r="I500" s="1"/>
    </row>
    <row r="501" spans="8:9" ht="13.8">
      <c r="H501" s="1"/>
      <c r="I501" s="1"/>
    </row>
    <row r="502" spans="8:9" ht="13.8">
      <c r="H502" s="1"/>
      <c r="I502" s="1"/>
    </row>
    <row r="503" spans="8:9" ht="13.8">
      <c r="H503" s="1"/>
      <c r="I503" s="1"/>
    </row>
    <row r="504" spans="8:9" ht="13.8">
      <c r="H504" s="1"/>
      <c r="I504" s="1"/>
    </row>
    <row r="505" spans="8:9" ht="13.8">
      <c r="H505" s="1"/>
      <c r="I505" s="1"/>
    </row>
    <row r="506" spans="8:9" ht="13.8">
      <c r="H506" s="1"/>
      <c r="I506" s="1"/>
    </row>
    <row r="507" spans="8:9" ht="13.8">
      <c r="H507" s="1"/>
      <c r="I507" s="1"/>
    </row>
    <row r="508" spans="8:9" ht="13.8">
      <c r="H508" s="1"/>
      <c r="I508" s="1"/>
    </row>
    <row r="509" spans="8:9" ht="13.8">
      <c r="H509" s="1"/>
      <c r="I509" s="1"/>
    </row>
    <row r="510" spans="8:9" ht="13.8">
      <c r="H510" s="1"/>
      <c r="I510" s="1"/>
    </row>
    <row r="511" spans="8:9" ht="13.8">
      <c r="H511" s="1"/>
      <c r="I511" s="1"/>
    </row>
    <row r="512" spans="8:9" ht="13.8">
      <c r="H512" s="1"/>
      <c r="I512" s="1"/>
    </row>
    <row r="513" spans="8:9" ht="13.8">
      <c r="H513" s="1"/>
      <c r="I513" s="1"/>
    </row>
    <row r="514" spans="8:9" ht="13.8">
      <c r="H514" s="1"/>
      <c r="I514" s="1"/>
    </row>
    <row r="515" spans="8:9" ht="13.8">
      <c r="H515" s="1"/>
      <c r="I515" s="1"/>
    </row>
    <row r="516" spans="8:9" ht="13.8">
      <c r="H516" s="1"/>
      <c r="I516" s="1"/>
    </row>
    <row r="517" spans="8:9" ht="13.8">
      <c r="H517" s="1"/>
      <c r="I517" s="1"/>
    </row>
    <row r="518" spans="8:9" ht="13.8">
      <c r="H518" s="1"/>
      <c r="I518" s="1"/>
    </row>
    <row r="519" spans="8:9" ht="13.8">
      <c r="H519" s="1"/>
      <c r="I519" s="1"/>
    </row>
    <row r="520" spans="8:9" ht="13.8">
      <c r="H520" s="1"/>
      <c r="I520" s="1"/>
    </row>
    <row r="521" spans="8:9" ht="13.8">
      <c r="H521" s="1"/>
      <c r="I521" s="1"/>
    </row>
    <row r="522" spans="8:9" ht="13.8">
      <c r="H522" s="1"/>
      <c r="I522" s="1"/>
    </row>
    <row r="523" spans="8:9" ht="13.8">
      <c r="H523" s="1"/>
      <c r="I523" s="1"/>
    </row>
    <row r="524" spans="8:9" ht="13.8">
      <c r="H524" s="1"/>
      <c r="I524" s="1"/>
    </row>
    <row r="525" spans="8:9" ht="13.8">
      <c r="H525" s="1"/>
      <c r="I525" s="1"/>
    </row>
    <row r="526" spans="8:9" ht="13.8">
      <c r="H526" s="1"/>
      <c r="I526" s="1"/>
    </row>
    <row r="527" spans="8:9" ht="13.8">
      <c r="H527" s="1"/>
      <c r="I527" s="1"/>
    </row>
    <row r="528" spans="8:9" ht="13.8">
      <c r="H528" s="1"/>
      <c r="I528" s="1"/>
    </row>
    <row r="529" spans="8:9" ht="13.8">
      <c r="H529" s="1"/>
      <c r="I529" s="1"/>
    </row>
    <row r="530" spans="8:9" ht="13.8">
      <c r="H530" s="1"/>
      <c r="I530" s="1"/>
    </row>
    <row r="531" spans="8:9" ht="13.8">
      <c r="H531" s="1"/>
      <c r="I531" s="1"/>
    </row>
    <row r="532" spans="8:9" ht="13.8">
      <c r="H532" s="1"/>
      <c r="I532" s="1"/>
    </row>
    <row r="533" spans="8:9" ht="13.8">
      <c r="H533" s="1"/>
      <c r="I533" s="1"/>
    </row>
    <row r="534" spans="8:9" ht="13.8">
      <c r="H534" s="1"/>
      <c r="I534" s="1"/>
    </row>
    <row r="535" spans="8:9" ht="13.8">
      <c r="H535" s="1"/>
      <c r="I535" s="1"/>
    </row>
    <row r="536" spans="8:9" ht="13.8">
      <c r="H536" s="1"/>
      <c r="I536" s="1"/>
    </row>
    <row r="537" spans="8:9" ht="13.8">
      <c r="H537" s="1"/>
      <c r="I537" s="1"/>
    </row>
    <row r="538" spans="8:9" ht="13.8">
      <c r="H538" s="1"/>
      <c r="I538" s="1"/>
    </row>
    <row r="539" spans="8:9" ht="13.8">
      <c r="H539" s="1"/>
      <c r="I539" s="1"/>
    </row>
    <row r="540" spans="8:9" ht="13.8">
      <c r="H540" s="1"/>
      <c r="I540" s="1"/>
    </row>
    <row r="541" spans="8:9" ht="13.8">
      <c r="H541" s="1"/>
      <c r="I541" s="1"/>
    </row>
    <row r="542" spans="8:9" ht="13.8">
      <c r="H542" s="1"/>
      <c r="I542" s="1"/>
    </row>
    <row r="543" spans="8:9" ht="13.8">
      <c r="H543" s="1"/>
      <c r="I543" s="1"/>
    </row>
    <row r="544" spans="8:9" ht="13.8">
      <c r="H544" s="1"/>
      <c r="I544" s="1"/>
    </row>
    <row r="545" spans="8:9" ht="13.8">
      <c r="H545" s="1"/>
      <c r="I545" s="1"/>
    </row>
    <row r="546" spans="8:9" ht="13.8">
      <c r="H546" s="1"/>
      <c r="I546" s="1"/>
    </row>
    <row r="547" spans="8:9" ht="13.8">
      <c r="H547" s="1"/>
      <c r="I547" s="1"/>
    </row>
    <row r="548" spans="8:9" ht="13.8">
      <c r="H548" s="1"/>
      <c r="I548" s="1"/>
    </row>
    <row r="549" spans="8:9" ht="13.8">
      <c r="H549" s="1"/>
      <c r="I549" s="1"/>
    </row>
    <row r="550" spans="8:9" ht="13.8">
      <c r="H550" s="1"/>
      <c r="I550" s="1"/>
    </row>
    <row r="551" spans="8:9" ht="13.8">
      <c r="H551" s="1"/>
      <c r="I551" s="1"/>
    </row>
    <row r="552" spans="8:9" ht="13.8">
      <c r="H552" s="1"/>
      <c r="I552" s="1"/>
    </row>
    <row r="553" spans="8:9" ht="13.8">
      <c r="H553" s="1"/>
      <c r="I553" s="1"/>
    </row>
    <row r="554" spans="8:9" ht="13.8">
      <c r="H554" s="1"/>
      <c r="I554" s="1"/>
    </row>
    <row r="555" spans="8:9" ht="13.8">
      <c r="H555" s="1"/>
      <c r="I555" s="1"/>
    </row>
    <row r="556" spans="8:9" ht="13.8">
      <c r="H556" s="1"/>
      <c r="I556" s="1"/>
    </row>
    <row r="557" spans="8:9" ht="13.8">
      <c r="H557" s="1"/>
      <c r="I557" s="1"/>
    </row>
    <row r="558" spans="8:9" ht="13.8">
      <c r="H558" s="1"/>
      <c r="I558" s="1"/>
    </row>
    <row r="559" spans="8:9" ht="13.8">
      <c r="H559" s="1"/>
      <c r="I559" s="1"/>
    </row>
    <row r="560" spans="8:9" ht="13.8">
      <c r="H560" s="1"/>
      <c r="I560" s="1"/>
    </row>
    <row r="561" spans="8:9" ht="13.8">
      <c r="H561" s="1"/>
      <c r="I561" s="1"/>
    </row>
    <row r="562" spans="8:9" ht="13.8">
      <c r="H562" s="1"/>
      <c r="I562" s="1"/>
    </row>
    <row r="563" spans="8:9" ht="13.8">
      <c r="H563" s="1"/>
      <c r="I563" s="1"/>
    </row>
    <row r="564" spans="8:9" ht="13.8">
      <c r="H564" s="1"/>
      <c r="I564" s="1"/>
    </row>
    <row r="565" spans="8:9" ht="13.8">
      <c r="H565" s="1"/>
      <c r="I565" s="1"/>
    </row>
    <row r="566" spans="8:9" ht="13.8">
      <c r="H566" s="1"/>
      <c r="I566" s="1"/>
    </row>
    <row r="567" spans="8:9" ht="13.8">
      <c r="H567" s="1"/>
      <c r="I567" s="1"/>
    </row>
    <row r="568" spans="8:9" ht="13.8">
      <c r="H568" s="1"/>
      <c r="I568" s="1"/>
    </row>
    <row r="569" spans="8:9" ht="13.8">
      <c r="H569" s="1"/>
      <c r="I569" s="1"/>
    </row>
    <row r="570" spans="8:9" ht="13.8">
      <c r="H570" s="1"/>
      <c r="I570" s="1"/>
    </row>
    <row r="571" spans="8:9" ht="13.8">
      <c r="H571" s="1"/>
      <c r="I571" s="1"/>
    </row>
    <row r="572" spans="8:9" ht="13.8">
      <c r="H572" s="1"/>
      <c r="I572" s="1"/>
    </row>
    <row r="573" spans="8:9" ht="13.8">
      <c r="H573" s="1"/>
      <c r="I573" s="1"/>
    </row>
    <row r="574" spans="8:9" ht="13.8">
      <c r="H574" s="1"/>
      <c r="I574" s="1"/>
    </row>
    <row r="575" spans="8:9" ht="13.8">
      <c r="H575" s="1"/>
      <c r="I575" s="1"/>
    </row>
    <row r="576" spans="8:9" ht="13.8">
      <c r="H576" s="1"/>
      <c r="I576" s="1"/>
    </row>
    <row r="577" spans="8:9" ht="13.8">
      <c r="H577" s="1"/>
      <c r="I577" s="1"/>
    </row>
    <row r="578" spans="8:9" ht="13.8">
      <c r="H578" s="1"/>
      <c r="I578" s="1"/>
    </row>
    <row r="579" spans="8:9" ht="13.8">
      <c r="H579" s="1"/>
      <c r="I579" s="1"/>
    </row>
    <row r="580" spans="8:9" ht="13.8">
      <c r="H580" s="1"/>
      <c r="I580" s="1"/>
    </row>
    <row r="581" spans="8:9" ht="13.8">
      <c r="H581" s="1"/>
      <c r="I581" s="1"/>
    </row>
    <row r="582" spans="8:9" ht="13.8">
      <c r="H582" s="1"/>
      <c r="I582" s="1"/>
    </row>
    <row r="583" spans="8:9" ht="13.8">
      <c r="H583" s="1"/>
      <c r="I583" s="1"/>
    </row>
    <row r="584" spans="8:9" ht="13.8">
      <c r="H584" s="1"/>
      <c r="I584" s="1"/>
    </row>
    <row r="585" spans="8:9" ht="13.8">
      <c r="H585" s="1"/>
      <c r="I585" s="1"/>
    </row>
    <row r="586" spans="8:9" ht="13.8">
      <c r="H586" s="1"/>
      <c r="I586" s="1"/>
    </row>
    <row r="587" spans="8:9" ht="13.8">
      <c r="H587" s="1"/>
      <c r="I587" s="1"/>
    </row>
    <row r="588" spans="8:9" ht="13.8">
      <c r="H588" s="1"/>
      <c r="I588" s="1"/>
    </row>
    <row r="589" spans="8:9" ht="13.8">
      <c r="H589" s="1"/>
      <c r="I589" s="1"/>
    </row>
    <row r="590" spans="8:9" ht="13.8">
      <c r="H590" s="1"/>
      <c r="I590" s="1"/>
    </row>
    <row r="591" spans="8:9" ht="13.8">
      <c r="H591" s="1"/>
      <c r="I591" s="1"/>
    </row>
    <row r="592" spans="8:9" ht="13.8">
      <c r="H592" s="1"/>
      <c r="I592" s="1"/>
    </row>
    <row r="593" spans="8:9" ht="13.8">
      <c r="H593" s="1"/>
      <c r="I593" s="1"/>
    </row>
    <row r="594" spans="8:9" ht="13.8">
      <c r="H594" s="1"/>
      <c r="I594" s="1"/>
    </row>
    <row r="595" spans="8:9" ht="13.8">
      <c r="H595" s="1"/>
      <c r="I595" s="1"/>
    </row>
    <row r="596" spans="8:9" ht="13.8">
      <c r="H596" s="1"/>
      <c r="I596" s="1"/>
    </row>
    <row r="597" spans="8:9" ht="13.8">
      <c r="H597" s="1"/>
      <c r="I597" s="1"/>
    </row>
    <row r="598" spans="8:9" ht="13.8">
      <c r="H598" s="1"/>
      <c r="I598" s="1"/>
    </row>
    <row r="599" spans="8:9" ht="13.8">
      <c r="H599" s="1"/>
      <c r="I599" s="1"/>
    </row>
    <row r="600" spans="8:9" ht="13.8">
      <c r="H600" s="1"/>
      <c r="I600" s="1"/>
    </row>
    <row r="601" spans="8:9" ht="13.8">
      <c r="H601" s="1"/>
      <c r="I601" s="1"/>
    </row>
    <row r="602" spans="8:9" ht="13.8">
      <c r="H602" s="1"/>
      <c r="I602" s="1"/>
    </row>
    <row r="603" spans="8:9" ht="13.8">
      <c r="H603" s="1"/>
      <c r="I603" s="1"/>
    </row>
    <row r="604" spans="8:9" ht="13.8">
      <c r="H604" s="1"/>
      <c r="I604" s="1"/>
    </row>
    <row r="605" spans="8:9" ht="13.8">
      <c r="H605" s="1"/>
      <c r="I605" s="1"/>
    </row>
    <row r="606" spans="8:9" ht="13.8">
      <c r="H606" s="1"/>
      <c r="I606" s="1"/>
    </row>
    <row r="607" spans="8:9" ht="13.8">
      <c r="H607" s="1"/>
      <c r="I607" s="1"/>
    </row>
    <row r="608" spans="8:9" ht="13.8">
      <c r="H608" s="1"/>
      <c r="I608" s="1"/>
    </row>
    <row r="609" spans="8:9" ht="13.8">
      <c r="H609" s="1"/>
      <c r="I609" s="1"/>
    </row>
    <row r="610" spans="8:9" ht="13.8">
      <c r="H610" s="1"/>
      <c r="I610" s="1"/>
    </row>
    <row r="611" spans="8:9" ht="13.8">
      <c r="H611" s="1"/>
      <c r="I611" s="1"/>
    </row>
    <row r="612" spans="8:9" ht="13.8">
      <c r="H612" s="1"/>
      <c r="I612" s="1"/>
    </row>
    <row r="613" spans="8:9" ht="13.8">
      <c r="H613" s="1"/>
      <c r="I613" s="1"/>
    </row>
    <row r="614" spans="8:9" ht="13.8">
      <c r="H614" s="1"/>
      <c r="I614" s="1"/>
    </row>
    <row r="615" spans="8:9" ht="13.8">
      <c r="H615" s="1"/>
      <c r="I615" s="1"/>
    </row>
    <row r="616" spans="8:9" ht="13.8">
      <c r="H616" s="1"/>
      <c r="I616" s="1"/>
    </row>
    <row r="617" spans="8:9" ht="13.8">
      <c r="H617" s="1"/>
      <c r="I617" s="1"/>
    </row>
    <row r="618" spans="8:9" ht="13.8">
      <c r="H618" s="1"/>
      <c r="I618" s="1"/>
    </row>
    <row r="619" spans="8:9" ht="13.8">
      <c r="H619" s="1"/>
      <c r="I619" s="1"/>
    </row>
    <row r="620" spans="8:9" ht="13.8">
      <c r="H620" s="1"/>
      <c r="I620" s="1"/>
    </row>
    <row r="621" spans="8:9" ht="13.8">
      <c r="H621" s="1"/>
      <c r="I621" s="1"/>
    </row>
    <row r="622" spans="8:9" ht="13.8">
      <c r="H622" s="1"/>
      <c r="I622" s="1"/>
    </row>
    <row r="623" spans="8:9" ht="13.8">
      <c r="H623" s="1"/>
      <c r="I623" s="1"/>
    </row>
    <row r="624" spans="8:9" ht="13.8">
      <c r="H624" s="1"/>
      <c r="I624" s="1"/>
    </row>
    <row r="625" spans="8:9" ht="13.8">
      <c r="H625" s="1"/>
      <c r="I625" s="1"/>
    </row>
    <row r="626" spans="8:9" ht="13.8">
      <c r="H626" s="1"/>
      <c r="I626" s="1"/>
    </row>
    <row r="627" spans="8:9" ht="13.8">
      <c r="H627" s="1"/>
      <c r="I627" s="1"/>
    </row>
    <row r="628" spans="8:9" ht="13.8">
      <c r="H628" s="1"/>
      <c r="I628" s="1"/>
    </row>
    <row r="629" spans="8:9" ht="13.8">
      <c r="H629" s="1"/>
      <c r="I629" s="1"/>
    </row>
    <row r="630" spans="8:9" ht="13.8">
      <c r="H630" s="1"/>
      <c r="I630" s="1"/>
    </row>
    <row r="631" spans="8:9" ht="13.8">
      <c r="H631" s="1"/>
      <c r="I631" s="1"/>
    </row>
    <row r="632" spans="8:9" ht="13.8">
      <c r="H632" s="1"/>
      <c r="I632" s="1"/>
    </row>
    <row r="633" spans="8:9" ht="13.8">
      <c r="H633" s="1"/>
      <c r="I633" s="1"/>
    </row>
    <row r="634" spans="8:9" ht="13.8">
      <c r="H634" s="1"/>
      <c r="I634" s="1"/>
    </row>
    <row r="635" spans="8:9" ht="13.8">
      <c r="H635" s="1"/>
      <c r="I635" s="1"/>
    </row>
    <row r="636" spans="8:9" ht="13.8">
      <c r="H636" s="1"/>
      <c r="I636" s="1"/>
    </row>
    <row r="637" spans="8:9" ht="13.8">
      <c r="H637" s="1"/>
      <c r="I637" s="1"/>
    </row>
    <row r="638" spans="8:9" ht="13.8">
      <c r="H638" s="1"/>
      <c r="I638" s="1"/>
    </row>
    <row r="639" spans="8:9" ht="13.8">
      <c r="H639" s="1"/>
      <c r="I639" s="1"/>
    </row>
    <row r="640" spans="8:9" ht="13.8">
      <c r="H640" s="1"/>
      <c r="I640" s="1"/>
    </row>
    <row r="641" spans="8:9" ht="13.8">
      <c r="H641" s="1"/>
      <c r="I641" s="1"/>
    </row>
    <row r="642" spans="8:9" ht="13.8">
      <c r="H642" s="1"/>
      <c r="I642" s="1"/>
    </row>
    <row r="643" spans="8:9" ht="13.8">
      <c r="H643" s="1"/>
      <c r="I643" s="1"/>
    </row>
    <row r="644" spans="8:9" ht="13.8">
      <c r="H644" s="1"/>
      <c r="I644" s="1"/>
    </row>
    <row r="645" spans="8:9" ht="13.8">
      <c r="H645" s="1"/>
      <c r="I645" s="1"/>
    </row>
    <row r="646" spans="8:9" ht="13.8">
      <c r="H646" s="1"/>
      <c r="I646" s="1"/>
    </row>
    <row r="647" spans="8:9" ht="13.8">
      <c r="H647" s="1"/>
      <c r="I647" s="1"/>
    </row>
    <row r="648" spans="8:9" ht="13.8">
      <c r="H648" s="1"/>
      <c r="I648" s="1"/>
    </row>
    <row r="649" spans="8:9" ht="13.8">
      <c r="H649" s="1"/>
      <c r="I649" s="1"/>
    </row>
    <row r="650" spans="8:9" ht="13.8">
      <c r="H650" s="1"/>
      <c r="I650" s="1"/>
    </row>
    <row r="651" spans="8:9" ht="13.8">
      <c r="H651" s="1"/>
      <c r="I651" s="1"/>
    </row>
    <row r="652" spans="8:9" ht="13.8">
      <c r="H652" s="1"/>
      <c r="I652" s="1"/>
    </row>
    <row r="653" spans="8:9" ht="13.8">
      <c r="H653" s="1"/>
      <c r="I653" s="1"/>
    </row>
    <row r="654" spans="8:9" ht="13.8">
      <c r="H654" s="1"/>
      <c r="I654" s="1"/>
    </row>
    <row r="655" spans="8:9" ht="13.8">
      <c r="H655" s="1"/>
      <c r="I655" s="1"/>
    </row>
    <row r="656" spans="8:9" ht="13.8">
      <c r="H656" s="1"/>
      <c r="I656" s="1"/>
    </row>
    <row r="657" spans="8:9" ht="13.8">
      <c r="H657" s="1"/>
      <c r="I657" s="1"/>
    </row>
    <row r="658" spans="8:9" ht="13.8">
      <c r="H658" s="1"/>
      <c r="I658" s="1"/>
    </row>
    <row r="659" spans="8:9" ht="13.8">
      <c r="H659" s="1"/>
      <c r="I659" s="1"/>
    </row>
    <row r="660" spans="8:9" ht="13.8">
      <c r="H660" s="1"/>
      <c r="I660" s="1"/>
    </row>
    <row r="661" spans="8:9" ht="13.8">
      <c r="H661" s="1"/>
      <c r="I661" s="1"/>
    </row>
    <row r="662" spans="8:9" ht="13.8">
      <c r="H662" s="1"/>
      <c r="I662" s="1"/>
    </row>
    <row r="663" spans="8:9" ht="13.8">
      <c r="H663" s="1"/>
      <c r="I663" s="1"/>
    </row>
    <row r="664" spans="8:9" ht="13.8">
      <c r="H664" s="1"/>
      <c r="I664" s="1"/>
    </row>
    <row r="665" spans="8:9" ht="13.8">
      <c r="H665" s="1"/>
      <c r="I665" s="1"/>
    </row>
    <row r="666" spans="8:9" ht="13.8">
      <c r="H666" s="1"/>
      <c r="I666" s="1"/>
    </row>
    <row r="667" spans="8:9" ht="13.8">
      <c r="H667" s="1"/>
      <c r="I667" s="1"/>
    </row>
    <row r="668" spans="8:9" ht="13.8">
      <c r="H668" s="1"/>
      <c r="I668" s="1"/>
    </row>
    <row r="669" spans="8:9" ht="13.8">
      <c r="H669" s="1"/>
      <c r="I669" s="1"/>
    </row>
    <row r="670" spans="8:9" ht="13.8">
      <c r="H670" s="1"/>
      <c r="I670" s="1"/>
    </row>
    <row r="671" spans="8:9" ht="13.8">
      <c r="H671" s="1"/>
      <c r="I671" s="1"/>
    </row>
    <row r="672" spans="8:9" ht="13.8">
      <c r="H672" s="1"/>
      <c r="I672" s="1"/>
    </row>
    <row r="673" spans="8:9" ht="13.8">
      <c r="H673" s="1"/>
      <c r="I673" s="1"/>
    </row>
    <row r="674" spans="8:9" ht="13.8">
      <c r="H674" s="1"/>
      <c r="I674" s="1"/>
    </row>
    <row r="675" spans="8:9" ht="13.8">
      <c r="H675" s="1"/>
      <c r="I675" s="1"/>
    </row>
    <row r="676" spans="8:9" ht="13.8">
      <c r="H676" s="1"/>
      <c r="I676" s="1"/>
    </row>
    <row r="677" spans="8:9" ht="13.8">
      <c r="H677" s="1"/>
      <c r="I677" s="1"/>
    </row>
    <row r="678" spans="8:9" ht="13.8">
      <c r="H678" s="1"/>
      <c r="I678" s="1"/>
    </row>
    <row r="679" spans="8:9" ht="13.8">
      <c r="H679" s="1"/>
      <c r="I679" s="1"/>
    </row>
    <row r="680" spans="8:9" ht="13.8">
      <c r="H680" s="1"/>
      <c r="I680" s="1"/>
    </row>
    <row r="681" spans="8:9" ht="13.8">
      <c r="H681" s="1"/>
      <c r="I681" s="1"/>
    </row>
    <row r="682" spans="8:9" ht="13.8">
      <c r="H682" s="1"/>
      <c r="I682" s="1"/>
    </row>
    <row r="683" spans="8:9" ht="13.8">
      <c r="H683" s="1"/>
      <c r="I683" s="1"/>
    </row>
    <row r="684" spans="8:9" ht="13.8">
      <c r="H684" s="1"/>
      <c r="I684" s="1"/>
    </row>
    <row r="685" spans="8:9" ht="13.8">
      <c r="H685" s="1"/>
      <c r="I685" s="1"/>
    </row>
    <row r="686" spans="8:9" ht="13.8">
      <c r="H686" s="1"/>
      <c r="I686" s="1"/>
    </row>
    <row r="687" spans="8:9" ht="13.8">
      <c r="H687" s="1"/>
      <c r="I687" s="1"/>
    </row>
    <row r="688" spans="8:9" ht="13.8">
      <c r="H688" s="1"/>
      <c r="I688" s="1"/>
    </row>
    <row r="689" spans="8:9" ht="13.8">
      <c r="H689" s="1"/>
      <c r="I689" s="1"/>
    </row>
    <row r="690" spans="8:9" ht="13.8">
      <c r="H690" s="1"/>
      <c r="I690" s="1"/>
    </row>
    <row r="691" spans="8:9" ht="13.8">
      <c r="H691" s="1"/>
      <c r="I691" s="1"/>
    </row>
    <row r="692" spans="8:9" ht="13.8">
      <c r="H692" s="1"/>
      <c r="I692" s="1"/>
    </row>
    <row r="693" spans="8:9" ht="13.8">
      <c r="H693" s="1"/>
      <c r="I693" s="1"/>
    </row>
    <row r="694" spans="8:9" ht="13.8">
      <c r="H694" s="1"/>
      <c r="I694" s="1"/>
    </row>
    <row r="695" spans="8:9" ht="13.8">
      <c r="H695" s="1"/>
      <c r="I695" s="1"/>
    </row>
    <row r="696" spans="8:9" ht="13.8">
      <c r="H696" s="1"/>
      <c r="I696" s="1"/>
    </row>
    <row r="697" spans="8:9" ht="13.8">
      <c r="H697" s="1"/>
      <c r="I697" s="1"/>
    </row>
    <row r="698" spans="8:9" ht="13.8">
      <c r="H698" s="1"/>
      <c r="I698" s="1"/>
    </row>
    <row r="699" spans="8:9" ht="13.8">
      <c r="H699" s="1"/>
      <c r="I699" s="1"/>
    </row>
    <row r="700" spans="8:9" ht="13.8">
      <c r="H700" s="1"/>
      <c r="I700" s="1"/>
    </row>
    <row r="701" spans="8:9" ht="13.8">
      <c r="H701" s="1"/>
      <c r="I701" s="1"/>
    </row>
    <row r="702" spans="8:9" ht="13.8">
      <c r="H702" s="1"/>
      <c r="I702" s="1"/>
    </row>
    <row r="703" spans="8:9" ht="13.8">
      <c r="H703" s="1"/>
      <c r="I703" s="1"/>
    </row>
    <row r="704" spans="8:9" ht="13.8">
      <c r="H704" s="1"/>
      <c r="I704" s="1"/>
    </row>
    <row r="705" spans="8:9" ht="13.8">
      <c r="H705" s="1"/>
      <c r="I705" s="1"/>
    </row>
    <row r="706" spans="8:9" ht="13.8">
      <c r="H706" s="1"/>
      <c r="I706" s="1"/>
    </row>
    <row r="707" spans="8:9" ht="13.8">
      <c r="H707" s="1"/>
      <c r="I707" s="1"/>
    </row>
    <row r="708" spans="8:9" ht="13.8">
      <c r="H708" s="1"/>
      <c r="I708" s="1"/>
    </row>
    <row r="709" spans="8:9" ht="13.8">
      <c r="H709" s="1"/>
      <c r="I709" s="1"/>
    </row>
    <row r="710" spans="8:9" ht="13.8">
      <c r="H710" s="1"/>
      <c r="I710" s="1"/>
    </row>
    <row r="711" spans="8:9" ht="13.8">
      <c r="H711" s="1"/>
      <c r="I711" s="1"/>
    </row>
    <row r="712" spans="8:9" ht="13.8">
      <c r="H712" s="1"/>
      <c r="I712" s="1"/>
    </row>
    <row r="713" spans="8:9" ht="13.8">
      <c r="H713" s="1"/>
      <c r="I713" s="1"/>
    </row>
    <row r="714" spans="8:9" ht="13.8">
      <c r="H714" s="1"/>
      <c r="I714" s="1"/>
    </row>
    <row r="715" spans="8:9" ht="13.8">
      <c r="H715" s="1"/>
      <c r="I715" s="1"/>
    </row>
    <row r="716" spans="8:9" ht="13.8">
      <c r="H716" s="1"/>
      <c r="I716" s="1"/>
    </row>
    <row r="717" spans="8:9" ht="13.8">
      <c r="H717" s="1"/>
      <c r="I717" s="1"/>
    </row>
    <row r="718" spans="8:9" ht="13.8">
      <c r="H718" s="1"/>
      <c r="I718" s="1"/>
    </row>
    <row r="719" spans="8:9" ht="13.8">
      <c r="H719" s="1"/>
      <c r="I719" s="1"/>
    </row>
    <row r="720" spans="8:9" ht="13.8">
      <c r="H720" s="1"/>
      <c r="I720" s="1"/>
    </row>
    <row r="721" spans="8:9" ht="13.8">
      <c r="H721" s="1"/>
      <c r="I721" s="1"/>
    </row>
    <row r="722" spans="8:9" ht="13.8">
      <c r="H722" s="1"/>
      <c r="I722" s="1"/>
    </row>
    <row r="723" spans="8:9" ht="13.8">
      <c r="H723" s="1"/>
      <c r="I723" s="1"/>
    </row>
    <row r="724" spans="8:9" ht="13.8">
      <c r="H724" s="1"/>
      <c r="I724" s="1"/>
    </row>
    <row r="725" spans="8:9" ht="13.8">
      <c r="H725" s="1"/>
      <c r="I725" s="1"/>
    </row>
    <row r="726" spans="8:9" ht="13.8">
      <c r="H726" s="1"/>
      <c r="I726" s="1"/>
    </row>
    <row r="727" spans="8:9" ht="13.8">
      <c r="H727" s="1"/>
      <c r="I727" s="1"/>
    </row>
    <row r="728" spans="8:9" ht="13.8">
      <c r="H728" s="1"/>
      <c r="I728" s="1"/>
    </row>
    <row r="729" spans="8:9" ht="13.8">
      <c r="H729" s="1"/>
      <c r="I729" s="1"/>
    </row>
    <row r="730" spans="8:9" ht="13.8">
      <c r="H730" s="1"/>
      <c r="I730" s="1"/>
    </row>
    <row r="731" spans="8:9" ht="13.8">
      <c r="H731" s="1"/>
      <c r="I731" s="1"/>
    </row>
    <row r="732" spans="8:9" ht="13.8">
      <c r="H732" s="1"/>
      <c r="I732" s="1"/>
    </row>
    <row r="733" spans="8:9" ht="13.8">
      <c r="H733" s="1"/>
      <c r="I733" s="1"/>
    </row>
    <row r="734" spans="8:9" ht="13.8">
      <c r="H734" s="1"/>
      <c r="I734" s="1"/>
    </row>
    <row r="735" spans="8:9" ht="13.8">
      <c r="H735" s="1"/>
      <c r="I735" s="1"/>
    </row>
    <row r="736" spans="8:9" ht="13.8">
      <c r="H736" s="1"/>
      <c r="I736" s="1"/>
    </row>
    <row r="737" spans="8:9" ht="13.8">
      <c r="H737" s="1"/>
      <c r="I737" s="1"/>
    </row>
    <row r="738" spans="8:9" ht="13.8">
      <c r="H738" s="1"/>
      <c r="I738" s="1"/>
    </row>
    <row r="739" spans="8:9" ht="13.8">
      <c r="H739" s="1"/>
      <c r="I739" s="1"/>
    </row>
    <row r="740" spans="8:9" ht="13.8">
      <c r="H740" s="1"/>
      <c r="I740" s="1"/>
    </row>
    <row r="741" spans="8:9" ht="13.8">
      <c r="H741" s="1"/>
      <c r="I741" s="1"/>
    </row>
    <row r="742" spans="8:9" ht="13.8">
      <c r="H742" s="1"/>
      <c r="I742" s="1"/>
    </row>
    <row r="743" spans="8:9" ht="13.8">
      <c r="H743" s="1"/>
      <c r="I743" s="1"/>
    </row>
    <row r="744" spans="8:9" ht="13.8">
      <c r="H744" s="1"/>
      <c r="I744" s="1"/>
    </row>
    <row r="745" spans="8:9" ht="13.8">
      <c r="H745" s="1"/>
      <c r="I745" s="1"/>
    </row>
    <row r="746" spans="8:9" ht="13.8">
      <c r="H746" s="1"/>
      <c r="I746" s="1"/>
    </row>
    <row r="747" spans="8:9" ht="13.8">
      <c r="H747" s="1"/>
      <c r="I747" s="1"/>
    </row>
    <row r="748" spans="8:9" ht="13.8">
      <c r="H748" s="1"/>
      <c r="I748" s="1"/>
    </row>
    <row r="749" spans="8:9" ht="13.8">
      <c r="H749" s="1"/>
      <c r="I749" s="1"/>
    </row>
    <row r="750" spans="8:9" ht="13.8">
      <c r="H750" s="1"/>
      <c r="I750" s="1"/>
    </row>
    <row r="751" spans="8:9" ht="13.8">
      <c r="H751" s="1"/>
      <c r="I751" s="1"/>
    </row>
    <row r="752" spans="8:9" ht="13.8">
      <c r="H752" s="1"/>
      <c r="I752" s="1"/>
    </row>
    <row r="753" spans="8:9" ht="13.8">
      <c r="H753" s="1"/>
      <c r="I753" s="1"/>
    </row>
    <row r="754" spans="8:9" ht="13.8">
      <c r="H754" s="1"/>
      <c r="I754" s="1"/>
    </row>
    <row r="755" spans="8:9" ht="13.8">
      <c r="H755" s="1"/>
      <c r="I755" s="1"/>
    </row>
    <row r="756" spans="8:9" ht="13.8">
      <c r="H756" s="1"/>
      <c r="I756" s="1"/>
    </row>
    <row r="757" spans="8:9" ht="13.8">
      <c r="H757" s="1"/>
      <c r="I757" s="1"/>
    </row>
    <row r="758" spans="8:9" ht="13.8">
      <c r="H758" s="1"/>
      <c r="I758" s="1"/>
    </row>
    <row r="759" spans="8:9" ht="13.8">
      <c r="H759" s="1"/>
      <c r="I759" s="1"/>
    </row>
    <row r="760" spans="8:9" ht="13.8">
      <c r="H760" s="1"/>
      <c r="I760" s="1"/>
    </row>
    <row r="761" spans="8:9" ht="13.8">
      <c r="H761" s="1"/>
      <c r="I761" s="1"/>
    </row>
    <row r="762" spans="8:9" ht="13.8">
      <c r="H762" s="1"/>
      <c r="I762" s="1"/>
    </row>
    <row r="763" spans="8:9" ht="13.8">
      <c r="H763" s="1"/>
      <c r="I763" s="1"/>
    </row>
    <row r="764" spans="8:9" ht="13.8">
      <c r="H764" s="1"/>
      <c r="I764" s="1"/>
    </row>
    <row r="765" spans="8:9" ht="13.8">
      <c r="H765" s="1"/>
      <c r="I765" s="1"/>
    </row>
    <row r="766" spans="8:9" ht="13.8">
      <c r="H766" s="1"/>
      <c r="I766" s="1"/>
    </row>
    <row r="767" spans="8:9" ht="13.8">
      <c r="H767" s="1"/>
      <c r="I767" s="1"/>
    </row>
    <row r="768" spans="8:9" ht="13.8">
      <c r="H768" s="1"/>
      <c r="I768" s="1"/>
    </row>
    <row r="769" spans="8:9" ht="13.8">
      <c r="H769" s="1"/>
      <c r="I769" s="1"/>
    </row>
    <row r="770" spans="8:9" ht="13.8">
      <c r="H770" s="1"/>
      <c r="I770" s="1"/>
    </row>
    <row r="771" spans="8:9" ht="13.8">
      <c r="H771" s="1"/>
      <c r="I771" s="1"/>
    </row>
    <row r="772" spans="8:9" ht="13.8">
      <c r="H772" s="1"/>
      <c r="I772" s="1"/>
    </row>
    <row r="773" spans="8:9" ht="13.8">
      <c r="H773" s="1"/>
      <c r="I773" s="1"/>
    </row>
    <row r="774" spans="8:9" ht="13.8">
      <c r="H774" s="1"/>
      <c r="I774" s="1"/>
    </row>
    <row r="775" spans="8:9" ht="13.8">
      <c r="H775" s="1"/>
      <c r="I775" s="1"/>
    </row>
    <row r="776" spans="8:9" ht="13.8">
      <c r="H776" s="1"/>
      <c r="I776" s="1"/>
    </row>
    <row r="777" spans="8:9" ht="13.8">
      <c r="H777" s="1"/>
      <c r="I777" s="1"/>
    </row>
    <row r="778" spans="8:9" ht="13.8">
      <c r="H778" s="1"/>
      <c r="I778" s="1"/>
    </row>
    <row r="779" spans="8:9" ht="13.8">
      <c r="H779" s="1"/>
      <c r="I779" s="1"/>
    </row>
    <row r="780" spans="8:9" ht="13.8">
      <c r="H780" s="1"/>
      <c r="I780" s="1"/>
    </row>
    <row r="781" spans="8:9" ht="13.8">
      <c r="H781" s="1"/>
      <c r="I781" s="1"/>
    </row>
    <row r="782" spans="8:9" ht="13.8">
      <c r="H782" s="1"/>
      <c r="I782" s="1"/>
    </row>
    <row r="783" spans="8:9" ht="13.8">
      <c r="H783" s="1"/>
      <c r="I783" s="1"/>
    </row>
    <row r="784" spans="8:9" ht="13.8">
      <c r="H784" s="1"/>
      <c r="I784" s="1"/>
    </row>
    <row r="785" spans="8:9" ht="13.8">
      <c r="H785" s="1"/>
      <c r="I785" s="1"/>
    </row>
    <row r="786" spans="8:9" ht="13.8">
      <c r="H786" s="1"/>
      <c r="I786" s="1"/>
    </row>
    <row r="787" spans="8:9" ht="13.8">
      <c r="H787" s="1"/>
      <c r="I787" s="1"/>
    </row>
    <row r="788" spans="8:9" ht="13.8">
      <c r="H788" s="1"/>
      <c r="I788" s="1"/>
    </row>
    <row r="789" spans="8:9" ht="13.8">
      <c r="H789" s="1"/>
      <c r="I789" s="1"/>
    </row>
    <row r="790" spans="8:9" ht="13.8">
      <c r="H790" s="1"/>
      <c r="I790" s="1"/>
    </row>
    <row r="791" spans="8:9" ht="13.8">
      <c r="H791" s="1"/>
      <c r="I791" s="1"/>
    </row>
    <row r="792" spans="8:9" ht="13.8">
      <c r="H792" s="1"/>
      <c r="I792" s="1"/>
    </row>
    <row r="793" spans="8:9" ht="13.8">
      <c r="H793" s="1"/>
      <c r="I793" s="1"/>
    </row>
    <row r="794" spans="8:9" ht="13.8">
      <c r="H794" s="1"/>
      <c r="I794" s="1"/>
    </row>
    <row r="795" spans="8:9" ht="13.8">
      <c r="H795" s="1"/>
      <c r="I795" s="1"/>
    </row>
    <row r="796" spans="8:9" ht="13.8">
      <c r="H796" s="1"/>
      <c r="I796" s="1"/>
    </row>
    <row r="797" spans="8:9" ht="13.8">
      <c r="H797" s="1"/>
      <c r="I797" s="1"/>
    </row>
    <row r="798" spans="8:9" ht="13.8">
      <c r="H798" s="1"/>
      <c r="I798" s="1"/>
    </row>
    <row r="799" spans="8:9" ht="13.8">
      <c r="H799" s="1"/>
      <c r="I799" s="1"/>
    </row>
    <row r="800" spans="8:9" ht="13.8">
      <c r="H800" s="1"/>
      <c r="I800" s="1"/>
    </row>
    <row r="801" spans="8:9" ht="13.8">
      <c r="H801" s="1"/>
      <c r="I801" s="1"/>
    </row>
    <row r="802" spans="8:9" ht="13.8">
      <c r="H802" s="1"/>
      <c r="I802" s="1"/>
    </row>
    <row r="803" spans="8:9" ht="13.8">
      <c r="H803" s="1"/>
      <c r="I803" s="1"/>
    </row>
    <row r="804" spans="8:9" ht="13.8">
      <c r="H804" s="1"/>
      <c r="I804" s="1"/>
    </row>
    <row r="805" spans="8:9" ht="13.8">
      <c r="H805" s="1"/>
      <c r="I805" s="1"/>
    </row>
    <row r="806" spans="8:9" ht="13.8">
      <c r="H806" s="1"/>
      <c r="I806" s="1"/>
    </row>
    <row r="807" spans="8:9" ht="13.8">
      <c r="H807" s="1"/>
      <c r="I807" s="1"/>
    </row>
    <row r="808" spans="8:9" ht="13.8">
      <c r="H808" s="1"/>
      <c r="I808" s="1"/>
    </row>
    <row r="809" spans="8:9" ht="13.8">
      <c r="H809" s="1"/>
      <c r="I809" s="1"/>
    </row>
    <row r="810" spans="8:9" ht="13.8">
      <c r="H810" s="1"/>
      <c r="I810" s="1"/>
    </row>
    <row r="811" spans="8:9" ht="13.8">
      <c r="H811" s="1"/>
      <c r="I811" s="1"/>
    </row>
    <row r="812" spans="8:9" ht="13.8">
      <c r="H812" s="1"/>
      <c r="I812" s="1"/>
    </row>
    <row r="813" spans="8:9" ht="13.8">
      <c r="H813" s="1"/>
      <c r="I813" s="1"/>
    </row>
    <row r="814" spans="8:9" ht="13.8">
      <c r="H814" s="1"/>
      <c r="I814" s="1"/>
    </row>
    <row r="815" spans="8:9" ht="13.8">
      <c r="H815" s="1"/>
      <c r="I815" s="1"/>
    </row>
    <row r="816" spans="8:9" ht="13.8">
      <c r="H816" s="1"/>
      <c r="I816" s="1"/>
    </row>
    <row r="817" spans="8:9" ht="13.8">
      <c r="H817" s="1"/>
      <c r="I817" s="1"/>
    </row>
    <row r="818" spans="8:9" ht="13.8">
      <c r="H818" s="1"/>
      <c r="I818" s="1"/>
    </row>
    <row r="819" spans="8:9" ht="13.8">
      <c r="H819" s="1"/>
      <c r="I819" s="1"/>
    </row>
    <row r="820" spans="8:9" ht="13.8">
      <c r="H820" s="1"/>
      <c r="I820" s="1"/>
    </row>
    <row r="821" spans="8:9" ht="13.8">
      <c r="H821" s="1"/>
      <c r="I821" s="1"/>
    </row>
    <row r="822" spans="8:9" ht="13.8">
      <c r="H822" s="1"/>
      <c r="I822" s="1"/>
    </row>
    <row r="823" spans="8:9" ht="13.8">
      <c r="H823" s="1"/>
      <c r="I823" s="1"/>
    </row>
    <row r="824" spans="8:9" ht="13.8">
      <c r="H824" s="1"/>
      <c r="I824" s="1"/>
    </row>
    <row r="825" spans="8:9" ht="13.8">
      <c r="H825" s="1"/>
      <c r="I825" s="1"/>
    </row>
    <row r="826" spans="8:9" ht="13.8">
      <c r="H826" s="1"/>
      <c r="I826" s="1"/>
    </row>
    <row r="827" spans="8:9" ht="13.8">
      <c r="H827" s="1"/>
      <c r="I827" s="1"/>
    </row>
    <row r="828" spans="8:9" ht="13.8">
      <c r="H828" s="1"/>
      <c r="I828" s="1"/>
    </row>
    <row r="829" spans="8:9" ht="13.8">
      <c r="H829" s="1"/>
      <c r="I829" s="1"/>
    </row>
    <row r="830" spans="8:9" ht="13.8">
      <c r="H830" s="1"/>
      <c r="I830" s="1"/>
    </row>
    <row r="831" spans="8:9" ht="13.8">
      <c r="H831" s="1"/>
      <c r="I831" s="1"/>
    </row>
    <row r="832" spans="8:9" ht="13.8">
      <c r="H832" s="1"/>
      <c r="I832" s="1"/>
    </row>
    <row r="833" spans="8:9" ht="13.8">
      <c r="H833" s="1"/>
      <c r="I833" s="1"/>
    </row>
    <row r="834" spans="8:9" ht="13.8">
      <c r="H834" s="1"/>
      <c r="I834" s="1"/>
    </row>
    <row r="835" spans="8:9" ht="13.8">
      <c r="H835" s="1"/>
      <c r="I835" s="1"/>
    </row>
    <row r="836" spans="8:9" ht="13.8">
      <c r="H836" s="1"/>
      <c r="I836" s="1"/>
    </row>
    <row r="837" spans="8:9" ht="13.8">
      <c r="H837" s="1"/>
      <c r="I837" s="1"/>
    </row>
    <row r="838" spans="8:9" ht="13.8">
      <c r="H838" s="1"/>
      <c r="I838" s="1"/>
    </row>
    <row r="839" spans="8:9" ht="13.8">
      <c r="H839" s="1"/>
      <c r="I839" s="1"/>
    </row>
    <row r="840" spans="8:9" ht="13.8">
      <c r="H840" s="1"/>
      <c r="I840" s="1"/>
    </row>
    <row r="841" spans="8:9" ht="13.8">
      <c r="H841" s="1"/>
      <c r="I841" s="1"/>
    </row>
    <row r="842" spans="8:9" ht="13.8">
      <c r="H842" s="1"/>
      <c r="I842" s="1"/>
    </row>
    <row r="843" spans="8:9" ht="13.8">
      <c r="H843" s="1"/>
      <c r="I843" s="1"/>
    </row>
    <row r="844" spans="8:9" ht="13.8">
      <c r="H844" s="1"/>
      <c r="I844" s="1"/>
    </row>
    <row r="845" spans="8:9" ht="13.8">
      <c r="H845" s="1"/>
      <c r="I845" s="1"/>
    </row>
    <row r="846" spans="8:9" ht="13.8">
      <c r="H846" s="1"/>
      <c r="I846" s="1"/>
    </row>
    <row r="847" spans="8:9" ht="13.8">
      <c r="H847" s="1"/>
      <c r="I847" s="1"/>
    </row>
    <row r="848" spans="8:9" ht="13.8">
      <c r="H848" s="1"/>
      <c r="I848" s="1"/>
    </row>
    <row r="849" spans="8:9" ht="13.8">
      <c r="H849" s="1"/>
      <c r="I849" s="1"/>
    </row>
    <row r="850" spans="8:9" ht="13.8">
      <c r="H850" s="1"/>
      <c r="I850" s="1"/>
    </row>
    <row r="851" spans="8:9" ht="13.8">
      <c r="H851" s="1"/>
      <c r="I851" s="1"/>
    </row>
    <row r="852" spans="8:9" ht="13.8">
      <c r="H852" s="1"/>
      <c r="I852" s="1"/>
    </row>
    <row r="853" spans="8:9" ht="13.8">
      <c r="H853" s="1"/>
      <c r="I853" s="1"/>
    </row>
    <row r="854" spans="8:9" ht="13.8">
      <c r="H854" s="1"/>
      <c r="I854" s="1"/>
    </row>
    <row r="855" spans="8:9" ht="13.8">
      <c r="H855" s="1"/>
      <c r="I855" s="1"/>
    </row>
    <row r="856" spans="8:9" ht="13.8">
      <c r="H856" s="1"/>
      <c r="I856" s="1"/>
    </row>
    <row r="857" spans="8:9" ht="13.8">
      <c r="H857" s="1"/>
      <c r="I857" s="1"/>
    </row>
    <row r="858" spans="8:9" ht="13.8">
      <c r="H858" s="1"/>
      <c r="I858" s="1"/>
    </row>
    <row r="859" spans="8:9" ht="13.8">
      <c r="H859" s="1"/>
      <c r="I859" s="1"/>
    </row>
    <row r="860" spans="8:9" ht="13.8">
      <c r="H860" s="1"/>
      <c r="I860" s="1"/>
    </row>
    <row r="861" spans="8:9" ht="13.8">
      <c r="H861" s="1"/>
      <c r="I861" s="1"/>
    </row>
    <row r="862" spans="8:9" ht="13.8">
      <c r="H862" s="1"/>
      <c r="I862" s="1"/>
    </row>
    <row r="863" spans="8:9" ht="13.8">
      <c r="H863" s="1"/>
      <c r="I863" s="1"/>
    </row>
    <row r="864" spans="8:9" ht="13.8">
      <c r="H864" s="1"/>
      <c r="I864" s="1"/>
    </row>
    <row r="865" spans="8:9" ht="13.8">
      <c r="H865" s="1"/>
      <c r="I865" s="1"/>
    </row>
    <row r="866" spans="8:9" ht="13.8">
      <c r="H866" s="1"/>
      <c r="I866" s="1"/>
    </row>
    <row r="867" spans="8:9" ht="13.8">
      <c r="H867" s="1"/>
      <c r="I867" s="1"/>
    </row>
    <row r="868" spans="8:9" ht="13.8">
      <c r="H868" s="1"/>
      <c r="I868" s="1"/>
    </row>
    <row r="869" spans="8:9" ht="13.8">
      <c r="H869" s="1"/>
      <c r="I869" s="1"/>
    </row>
    <row r="870" spans="8:9" ht="13.8">
      <c r="H870" s="1"/>
      <c r="I870" s="1"/>
    </row>
    <row r="871" spans="8:9" ht="13.8">
      <c r="H871" s="1"/>
      <c r="I871" s="1"/>
    </row>
    <row r="872" spans="8:9" ht="13.8">
      <c r="H872" s="1"/>
      <c r="I872" s="1"/>
    </row>
    <row r="873" spans="8:9" ht="13.8">
      <c r="H873" s="1"/>
      <c r="I873" s="1"/>
    </row>
    <row r="874" spans="8:9" ht="13.8">
      <c r="H874" s="1"/>
      <c r="I874" s="1"/>
    </row>
    <row r="875" spans="8:9" ht="13.8">
      <c r="H875" s="1"/>
      <c r="I875" s="1"/>
    </row>
    <row r="876" spans="8:9" ht="13.8">
      <c r="H876" s="1"/>
      <c r="I876" s="1"/>
    </row>
    <row r="877" spans="8:9" ht="13.8">
      <c r="H877" s="1"/>
      <c r="I877" s="1"/>
    </row>
    <row r="878" spans="8:9" ht="13.8">
      <c r="H878" s="1"/>
      <c r="I878" s="1"/>
    </row>
    <row r="879" spans="8:9" ht="13.8">
      <c r="H879" s="1"/>
      <c r="I879" s="1"/>
    </row>
    <row r="880" spans="8:9" ht="13.8">
      <c r="H880" s="1"/>
      <c r="I880" s="1"/>
    </row>
    <row r="881" spans="8:9" ht="13.8">
      <c r="H881" s="1"/>
      <c r="I881" s="1"/>
    </row>
    <row r="882" spans="8:9" ht="13.8">
      <c r="H882" s="1"/>
      <c r="I882" s="1"/>
    </row>
    <row r="883" spans="8:9" ht="13.8">
      <c r="H883" s="1"/>
      <c r="I883" s="1"/>
    </row>
    <row r="884" spans="8:9" ht="13.8">
      <c r="H884" s="1"/>
      <c r="I884" s="1"/>
    </row>
    <row r="885" spans="8:9" ht="13.8">
      <c r="H885" s="1"/>
      <c r="I885" s="1"/>
    </row>
    <row r="886" spans="8:9" ht="13.8">
      <c r="H886" s="1"/>
      <c r="I886" s="1"/>
    </row>
    <row r="887" spans="8:9" ht="13.8">
      <c r="H887" s="1"/>
      <c r="I887" s="1"/>
    </row>
    <row r="888" spans="8:9" ht="13.8">
      <c r="H888" s="1"/>
      <c r="I888" s="1"/>
    </row>
    <row r="889" spans="8:9" ht="13.8">
      <c r="H889" s="1"/>
      <c r="I889" s="1"/>
    </row>
    <row r="890" spans="8:9" ht="13.8">
      <c r="H890" s="1"/>
      <c r="I890" s="1"/>
    </row>
    <row r="891" spans="8:9" ht="13.8">
      <c r="H891" s="1"/>
      <c r="I891" s="1"/>
    </row>
    <row r="892" spans="8:9" ht="13.8">
      <c r="H892" s="1"/>
      <c r="I892" s="1"/>
    </row>
    <row r="893" spans="8:9" ht="13.8">
      <c r="H893" s="1"/>
      <c r="I893" s="1"/>
    </row>
    <row r="894" spans="8:9" ht="13.8">
      <c r="H894" s="1"/>
      <c r="I894" s="1"/>
    </row>
    <row r="895" spans="8:9" ht="13.8">
      <c r="H895" s="1"/>
      <c r="I895" s="1"/>
    </row>
    <row r="896" spans="8:9" ht="13.8">
      <c r="H896" s="1"/>
      <c r="I896" s="1"/>
    </row>
    <row r="897" spans="8:9" ht="13.8">
      <c r="H897" s="1"/>
      <c r="I897" s="1"/>
    </row>
    <row r="898" spans="8:9" ht="13.8">
      <c r="H898" s="1"/>
      <c r="I898" s="1"/>
    </row>
    <row r="899" spans="8:9" ht="13.8">
      <c r="H899" s="1"/>
      <c r="I899" s="1"/>
    </row>
    <row r="900" spans="8:9" ht="13.8">
      <c r="H900" s="1"/>
      <c r="I900" s="1"/>
    </row>
    <row r="901" spans="8:9" ht="13.8">
      <c r="H901" s="1"/>
      <c r="I901" s="1"/>
    </row>
    <row r="902" spans="8:9" ht="13.8">
      <c r="H902" s="1"/>
      <c r="I902" s="1"/>
    </row>
    <row r="903" spans="8:9" ht="13.8">
      <c r="H903" s="1"/>
      <c r="I903" s="1"/>
    </row>
    <row r="904" spans="8:9" ht="13.8">
      <c r="H904" s="1"/>
      <c r="I904" s="1"/>
    </row>
    <row r="905" spans="8:9" ht="13.8">
      <c r="H905" s="1"/>
      <c r="I905" s="1"/>
    </row>
    <row r="906" spans="8:9" ht="13.8">
      <c r="H906" s="1"/>
      <c r="I906" s="1"/>
    </row>
    <row r="907" spans="8:9" ht="13.8">
      <c r="H907" s="1"/>
      <c r="I907" s="1"/>
    </row>
    <row r="908" spans="8:9" ht="13.8">
      <c r="H908" s="1"/>
      <c r="I908" s="1"/>
    </row>
    <row r="909" spans="8:9" ht="13.8">
      <c r="H909" s="1"/>
      <c r="I909" s="1"/>
    </row>
    <row r="910" spans="8:9" ht="13.8">
      <c r="H910" s="1"/>
      <c r="I910" s="1"/>
    </row>
    <row r="911" spans="8:9" ht="13.8">
      <c r="H911" s="1"/>
      <c r="I911" s="1"/>
    </row>
    <row r="912" spans="8:9" ht="13.8">
      <c r="H912" s="1"/>
      <c r="I912" s="1"/>
    </row>
    <row r="913" spans="8:9" ht="13.8">
      <c r="H913" s="1"/>
      <c r="I913" s="1"/>
    </row>
    <row r="914" spans="8:9" ht="13.8">
      <c r="H914" s="1"/>
      <c r="I914" s="1"/>
    </row>
    <row r="915" spans="8:9" ht="13.8">
      <c r="H915" s="1"/>
      <c r="I915" s="1"/>
    </row>
    <row r="916" spans="8:9" ht="13.8">
      <c r="H916" s="1"/>
      <c r="I916" s="1"/>
    </row>
    <row r="917" spans="8:9" ht="13.8">
      <c r="H917" s="1"/>
      <c r="I917" s="1"/>
    </row>
    <row r="918" spans="8:9" ht="13.8">
      <c r="H918" s="1"/>
      <c r="I918" s="1"/>
    </row>
    <row r="919" spans="8:9" ht="13.8">
      <c r="H919" s="1"/>
      <c r="I919" s="1"/>
    </row>
    <row r="920" spans="8:9" ht="13.8">
      <c r="H920" s="1"/>
      <c r="I920" s="1"/>
    </row>
    <row r="921" spans="8:9" ht="13.8">
      <c r="H921" s="1"/>
      <c r="I921" s="1"/>
    </row>
    <row r="922" spans="8:9" ht="13.8">
      <c r="H922" s="1"/>
      <c r="I922" s="1"/>
    </row>
    <row r="923" spans="8:9" ht="13.8">
      <c r="H923" s="1"/>
      <c r="I923" s="1"/>
    </row>
    <row r="924" spans="8:9" ht="13.8">
      <c r="H924" s="1"/>
      <c r="I924" s="1"/>
    </row>
    <row r="925" spans="8:9" ht="13.8">
      <c r="H925" s="1"/>
      <c r="I925" s="1"/>
    </row>
    <row r="926" spans="8:9" ht="13.8">
      <c r="H926" s="1"/>
      <c r="I926" s="1"/>
    </row>
    <row r="927" spans="8:9" ht="13.8">
      <c r="H927" s="1"/>
      <c r="I927" s="1"/>
    </row>
    <row r="928" spans="8:9" ht="13.8">
      <c r="H928" s="1"/>
      <c r="I928" s="1"/>
    </row>
    <row r="929" spans="8:9" ht="13.8">
      <c r="H929" s="1"/>
      <c r="I929" s="1"/>
    </row>
    <row r="930" spans="8:9" ht="13.8">
      <c r="H930" s="1"/>
      <c r="I930" s="1"/>
    </row>
    <row r="931" spans="8:9" ht="13.8">
      <c r="H931" s="1"/>
      <c r="I931" s="1"/>
    </row>
    <row r="932" spans="8:9" ht="13.8">
      <c r="H932" s="1"/>
      <c r="I932" s="1"/>
    </row>
    <row r="933" spans="8:9" ht="13.8">
      <c r="H933" s="1"/>
      <c r="I933" s="1"/>
    </row>
    <row r="934" spans="8:9" ht="13.8">
      <c r="H934" s="1"/>
      <c r="I934" s="1"/>
    </row>
    <row r="935" spans="8:9" ht="13.8">
      <c r="H935" s="1"/>
      <c r="I935" s="1"/>
    </row>
    <row r="936" spans="8:9" ht="13.8">
      <c r="H936" s="1"/>
      <c r="I936" s="1"/>
    </row>
    <row r="937" spans="8:9" ht="13.8">
      <c r="H937" s="1"/>
      <c r="I937" s="1"/>
    </row>
    <row r="938" spans="8:9" ht="13.8">
      <c r="H938" s="1"/>
      <c r="I938" s="1"/>
    </row>
    <row r="939" spans="8:9" ht="13.8">
      <c r="H939" s="1"/>
      <c r="I939" s="1"/>
    </row>
    <row r="940" spans="8:9" ht="13.8">
      <c r="H940" s="1"/>
      <c r="I940" s="1"/>
    </row>
    <row r="941" spans="8:9" ht="13.8">
      <c r="H941" s="1"/>
      <c r="I941" s="1"/>
    </row>
    <row r="942" spans="8:9" ht="13.8">
      <c r="H942" s="1"/>
      <c r="I942" s="1"/>
    </row>
    <row r="943" spans="8:9" ht="13.8">
      <c r="H943" s="1"/>
      <c r="I943" s="1"/>
    </row>
    <row r="944" spans="8:9" ht="13.8">
      <c r="H944" s="1"/>
      <c r="I944" s="1"/>
    </row>
    <row r="945" spans="8:9" ht="13.8">
      <c r="H945" s="1"/>
      <c r="I945" s="1"/>
    </row>
    <row r="946" spans="8:9" ht="13.8">
      <c r="H946" s="1"/>
      <c r="I946" s="1"/>
    </row>
    <row r="947" spans="8:9" ht="13.8">
      <c r="H947" s="1"/>
      <c r="I947" s="1"/>
    </row>
    <row r="948" spans="8:9" ht="13.8">
      <c r="H948" s="1"/>
      <c r="I948" s="1"/>
    </row>
    <row r="949" spans="8:9" ht="13.8">
      <c r="H949" s="1"/>
      <c r="I949" s="1"/>
    </row>
    <row r="950" spans="8:9" ht="13.8">
      <c r="H950" s="1"/>
      <c r="I950" s="1"/>
    </row>
    <row r="951" spans="8:9" ht="13.8">
      <c r="H951" s="1"/>
      <c r="I951" s="1"/>
    </row>
    <row r="952" spans="8:9" ht="13.8">
      <c r="H952" s="1"/>
      <c r="I952" s="1"/>
    </row>
    <row r="953" spans="8:9" ht="13.8">
      <c r="H953" s="1"/>
      <c r="I953" s="1"/>
    </row>
    <row r="954" spans="8:9" ht="13.8">
      <c r="H954" s="1"/>
      <c r="I954" s="1"/>
    </row>
    <row r="955" spans="8:9" ht="13.8">
      <c r="H955" s="1"/>
      <c r="I955" s="1"/>
    </row>
    <row r="956" spans="8:9" ht="13.8">
      <c r="H956" s="1"/>
      <c r="I956" s="1"/>
    </row>
    <row r="957" spans="8:9" ht="13.8">
      <c r="H957" s="1"/>
      <c r="I957" s="1"/>
    </row>
    <row r="958" spans="8:9" ht="13.8">
      <c r="H958" s="1"/>
      <c r="I958" s="1"/>
    </row>
    <row r="959" spans="8:9" ht="13.8">
      <c r="H959" s="1"/>
      <c r="I959" s="1"/>
    </row>
    <row r="960" spans="8:9" ht="13.8">
      <c r="H960" s="1"/>
      <c r="I960" s="1"/>
    </row>
    <row r="961" spans="8:9" ht="13.8">
      <c r="H961" s="1"/>
      <c r="I961" s="1"/>
    </row>
    <row r="962" spans="8:9" ht="13.8">
      <c r="H962" s="1"/>
      <c r="I962" s="1"/>
    </row>
    <row r="963" spans="8:9" ht="13.8">
      <c r="H963" s="1"/>
      <c r="I963" s="1"/>
    </row>
    <row r="964" spans="8:9" ht="13.8">
      <c r="H964" s="1"/>
      <c r="I964" s="1"/>
    </row>
    <row r="965" spans="8:9" ht="13.8">
      <c r="H965" s="1"/>
      <c r="I965" s="1"/>
    </row>
    <row r="966" spans="8:9" ht="13.8">
      <c r="H966" s="1"/>
      <c r="I966" s="1"/>
    </row>
    <row r="967" spans="8:9" ht="13.8">
      <c r="H967" s="1"/>
      <c r="I967" s="1"/>
    </row>
    <row r="968" spans="8:9" ht="13.8">
      <c r="H968" s="1"/>
      <c r="I968" s="1"/>
    </row>
    <row r="969" spans="8:9" ht="13.8">
      <c r="H969" s="1"/>
      <c r="I969" s="1"/>
    </row>
    <row r="970" spans="8:9" ht="13.8">
      <c r="H970" s="1"/>
      <c r="I970" s="1"/>
    </row>
    <row r="971" spans="8:9" ht="13.8">
      <c r="H971" s="1"/>
      <c r="I971" s="1"/>
    </row>
    <row r="972" spans="8:9" ht="13.8">
      <c r="H972" s="1"/>
      <c r="I972" s="1"/>
    </row>
    <row r="973" spans="8:9" ht="13.8">
      <c r="H973" s="1"/>
      <c r="I973" s="1"/>
    </row>
    <row r="974" spans="8:9" ht="13.8">
      <c r="H974" s="1"/>
      <c r="I974" s="1"/>
    </row>
    <row r="975" spans="8:9" ht="13.8">
      <c r="H975" s="1"/>
      <c r="I975" s="1"/>
    </row>
    <row r="976" spans="8:9" ht="13.8">
      <c r="H976" s="1"/>
      <c r="I976" s="1"/>
    </row>
    <row r="977" spans="8:9" ht="13.8">
      <c r="H977" s="1"/>
      <c r="I977" s="1"/>
    </row>
    <row r="978" spans="8:9" ht="13.8">
      <c r="H978" s="1"/>
      <c r="I978" s="1"/>
    </row>
    <row r="979" spans="8:9" ht="13.8">
      <c r="H979" s="1"/>
      <c r="I979" s="1"/>
    </row>
    <row r="980" spans="8:9" ht="13.8">
      <c r="H980" s="1"/>
      <c r="I980" s="1"/>
    </row>
    <row r="981" spans="8:9" ht="13.8">
      <c r="H981" s="1"/>
      <c r="I981" s="1"/>
    </row>
    <row r="982" spans="8:9" ht="13.8">
      <c r="H982" s="1"/>
      <c r="I982" s="1"/>
    </row>
    <row r="983" spans="8:9" ht="13.8">
      <c r="H983" s="1"/>
      <c r="I983" s="1"/>
    </row>
    <row r="984" spans="8:9" ht="13.8">
      <c r="H984" s="1"/>
      <c r="I984" s="1"/>
    </row>
    <row r="985" spans="8:9" ht="13.8">
      <c r="H985" s="1"/>
      <c r="I985" s="1"/>
    </row>
    <row r="986" spans="8:9" ht="13.8">
      <c r="H986" s="1"/>
      <c r="I986" s="1"/>
    </row>
    <row r="987" spans="8:9" ht="13.8">
      <c r="H987" s="1"/>
      <c r="I987" s="1"/>
    </row>
    <row r="988" spans="8:9" ht="13.8">
      <c r="H988" s="1"/>
      <c r="I988" s="1"/>
    </row>
    <row r="989" spans="8:9" ht="13.8">
      <c r="H989" s="1"/>
      <c r="I989" s="1"/>
    </row>
    <row r="990" spans="8:9" ht="13.8">
      <c r="H990" s="1"/>
      <c r="I990" s="1"/>
    </row>
    <row r="991" spans="8:9" ht="13.8">
      <c r="H991" s="1"/>
      <c r="I991" s="1"/>
    </row>
    <row r="992" spans="8:9" ht="13.8">
      <c r="H992" s="1"/>
      <c r="I992" s="1"/>
    </row>
    <row r="993" spans="8:9" ht="13.8">
      <c r="H993" s="1"/>
      <c r="I993" s="1"/>
    </row>
    <row r="994" spans="8:9" ht="13.8">
      <c r="H994" s="1"/>
      <c r="I994" s="1"/>
    </row>
    <row r="995" spans="8:9" ht="13.8">
      <c r="H995" s="1"/>
      <c r="I995" s="1"/>
    </row>
    <row r="996" spans="8:9" ht="13.8">
      <c r="H996" s="1"/>
      <c r="I996" s="1"/>
    </row>
    <row r="997" spans="8:9" ht="13.8">
      <c r="H997" s="1"/>
      <c r="I997" s="1"/>
    </row>
    <row r="998" spans="8:9" ht="13.8">
      <c r="H998" s="1"/>
      <c r="I998" s="1"/>
    </row>
    <row r="999" spans="8:9" ht="13.8">
      <c r="H999" s="1"/>
      <c r="I999" s="1"/>
    </row>
    <row r="1000" spans="8:9" ht="13.8">
      <c r="H1000" s="1"/>
      <c r="I1000" s="1"/>
    </row>
    <row r="1001" spans="8:9" ht="13.8">
      <c r="H1001" s="1"/>
      <c r="I1001" s="1"/>
    </row>
    <row r="1002" spans="8:9" ht="13.8">
      <c r="H1002" s="1"/>
      <c r="I1002" s="1"/>
    </row>
    <row r="1003" spans="8:9" ht="13.8">
      <c r="H1003" s="1"/>
      <c r="I1003" s="1"/>
    </row>
    <row r="1004" spans="8:9" ht="13.8">
      <c r="H1004" s="1"/>
      <c r="I1004" s="1"/>
    </row>
    <row r="1005" spans="8:9" ht="13.8">
      <c r="H1005" s="1"/>
      <c r="I1005" s="1"/>
    </row>
    <row r="1006" spans="8:9" ht="13.8">
      <c r="H1006" s="1"/>
      <c r="I1006" s="1"/>
    </row>
    <row r="1007" spans="8:9" ht="13.8">
      <c r="H1007" s="1"/>
      <c r="I1007" s="1"/>
    </row>
    <row r="1008" spans="8:9" ht="13.8">
      <c r="H1008" s="1"/>
      <c r="I1008" s="1"/>
    </row>
    <row r="1009" spans="8:9" ht="13.8">
      <c r="H1009" s="1"/>
      <c r="I1009" s="1"/>
    </row>
    <row r="1010" spans="8:9" ht="13.8">
      <c r="H1010" s="1"/>
      <c r="I1010" s="1"/>
    </row>
    <row r="1011" spans="8:9" ht="13.8">
      <c r="H1011" s="1"/>
      <c r="I1011" s="1"/>
    </row>
    <row r="1012" spans="8:9" ht="13.8">
      <c r="H1012" s="1"/>
      <c r="I1012" s="1"/>
    </row>
    <row r="1013" spans="8:9" ht="13.8">
      <c r="H1013" s="1"/>
      <c r="I1013" s="1"/>
    </row>
    <row r="1014" spans="8:9" ht="13.8">
      <c r="H1014" s="1"/>
      <c r="I1014" s="1"/>
    </row>
    <row r="1015" spans="8:9" ht="13.8">
      <c r="H1015" s="1"/>
      <c r="I1015" s="1"/>
    </row>
    <row r="1016" spans="8:9" ht="13.8">
      <c r="H1016" s="1"/>
      <c r="I1016" s="1"/>
    </row>
    <row r="1017" spans="8:9" ht="13.8">
      <c r="H1017" s="1"/>
      <c r="I1017" s="1"/>
    </row>
    <row r="1018" spans="8:9" ht="13.8">
      <c r="H1018" s="1"/>
      <c r="I1018" s="1"/>
    </row>
    <row r="1019" spans="8:9" ht="13.8">
      <c r="H1019" s="1"/>
      <c r="I1019" s="1"/>
    </row>
    <row r="1020" spans="8:9" ht="13.8">
      <c r="H1020" s="1"/>
      <c r="I1020" s="1"/>
    </row>
    <row r="1021" spans="8:9" ht="13.8">
      <c r="H1021" s="1"/>
      <c r="I1021" s="1"/>
    </row>
    <row r="1022" spans="8:9" ht="13.8">
      <c r="H1022" s="1"/>
      <c r="I1022" s="1"/>
    </row>
    <row r="1023" spans="8:9" ht="13.8">
      <c r="H1023" s="1"/>
      <c r="I1023" s="1"/>
    </row>
    <row r="1024" spans="8:9" ht="13.8">
      <c r="H1024" s="1"/>
      <c r="I1024" s="1"/>
    </row>
    <row r="1025" spans="8:9" ht="13.8">
      <c r="H1025" s="1"/>
      <c r="I1025" s="1"/>
    </row>
    <row r="1026" spans="8:9" ht="13.8">
      <c r="H1026" s="1"/>
      <c r="I1026" s="1"/>
    </row>
    <row r="1027" spans="8:9" ht="13.8">
      <c r="H1027" s="1"/>
      <c r="I1027" s="1"/>
    </row>
    <row r="1028" spans="8:9" ht="13.8">
      <c r="H1028" s="1"/>
      <c r="I1028" s="1"/>
    </row>
    <row r="1029" spans="8:9" ht="13.8">
      <c r="H1029" s="1"/>
      <c r="I1029" s="1"/>
    </row>
    <row r="1030" spans="8:9" ht="13.8">
      <c r="H1030" s="1"/>
      <c r="I1030" s="1"/>
    </row>
    <row r="1031" spans="8:9" ht="13.8">
      <c r="H1031" s="1"/>
      <c r="I1031" s="1"/>
    </row>
    <row r="1032" spans="8:9" ht="13.8">
      <c r="H1032" s="1"/>
      <c r="I1032" s="1"/>
    </row>
    <row r="1033" spans="8:9" ht="13.8">
      <c r="H1033" s="1"/>
      <c r="I1033" s="1"/>
    </row>
    <row r="1034" spans="8:9" ht="13.8">
      <c r="H1034" s="1"/>
      <c r="I1034" s="1"/>
    </row>
    <row r="1035" spans="8:9" ht="13.8">
      <c r="H1035" s="1"/>
      <c r="I1035" s="1"/>
    </row>
    <row r="1036" spans="8:9" ht="13.8">
      <c r="H1036" s="1"/>
      <c r="I1036" s="1"/>
    </row>
    <row r="1037" spans="8:9" ht="13.8">
      <c r="H1037" s="1"/>
      <c r="I1037" s="1"/>
    </row>
    <row r="1038" spans="8:9" ht="13.8">
      <c r="H1038" s="1"/>
      <c r="I1038" s="1"/>
    </row>
    <row r="1039" spans="8:9" ht="13.8">
      <c r="H1039" s="1"/>
      <c r="I1039" s="1"/>
    </row>
    <row r="1040" spans="8:9" ht="13.8">
      <c r="H1040" s="1"/>
      <c r="I1040" s="1"/>
    </row>
    <row r="1041" spans="8:9" ht="13.8">
      <c r="H1041" s="1"/>
      <c r="I1041" s="1"/>
    </row>
    <row r="1042" spans="8:9" ht="13.8">
      <c r="H1042" s="1"/>
      <c r="I1042" s="1"/>
    </row>
    <row r="1043" spans="8:9" ht="13.8">
      <c r="H1043" s="1"/>
      <c r="I1043" s="1"/>
    </row>
    <row r="1044" spans="8:9" ht="13.8">
      <c r="H1044" s="1"/>
      <c r="I1044" s="1"/>
    </row>
    <row r="1045" spans="8:9" ht="13.8">
      <c r="H1045" s="1"/>
      <c r="I1045" s="1"/>
    </row>
    <row r="1046" spans="8:9" ht="13.8">
      <c r="H1046" s="1"/>
      <c r="I1046" s="1"/>
    </row>
    <row r="1047" spans="8:9" ht="13.8">
      <c r="H1047" s="1"/>
      <c r="I1047" s="1"/>
    </row>
    <row r="1048" spans="8:9" ht="13.8">
      <c r="H1048" s="1"/>
      <c r="I1048" s="1"/>
    </row>
    <row r="1049" spans="8:9" ht="13.8">
      <c r="H1049" s="1"/>
      <c r="I1049" s="1"/>
    </row>
    <row r="1050" spans="8:9" ht="13.8">
      <c r="H1050" s="1"/>
      <c r="I1050" s="1"/>
    </row>
    <row r="1051" spans="8:9" ht="13.8">
      <c r="H1051" s="1"/>
      <c r="I1051" s="1"/>
    </row>
    <row r="1052" spans="8:9" ht="13.8">
      <c r="H1052" s="1"/>
      <c r="I1052" s="1"/>
    </row>
    <row r="1053" spans="8:9" ht="13.8">
      <c r="H1053" s="1"/>
      <c r="I1053" s="1"/>
    </row>
    <row r="1054" spans="8:9" ht="13.8">
      <c r="H1054" s="1"/>
      <c r="I1054" s="1"/>
    </row>
    <row r="1055" spans="8:9" ht="13.8">
      <c r="H1055" s="1"/>
      <c r="I1055" s="1"/>
    </row>
    <row r="1056" spans="8:9" ht="13.8">
      <c r="H1056" s="1"/>
      <c r="I1056" s="1"/>
    </row>
    <row r="1057" spans="8:9" ht="13.8">
      <c r="H1057" s="1"/>
      <c r="I1057" s="1"/>
    </row>
    <row r="1058" spans="8:9" ht="13.8">
      <c r="H1058" s="1"/>
      <c r="I1058" s="1"/>
    </row>
    <row r="1059" spans="8:9" ht="13.8">
      <c r="H1059" s="1"/>
      <c r="I1059" s="1"/>
    </row>
    <row r="1060" spans="8:9" ht="13.8">
      <c r="H1060" s="1"/>
      <c r="I1060" s="1"/>
    </row>
    <row r="1061" spans="8:9" ht="13.8">
      <c r="H1061" s="1"/>
      <c r="I1061" s="1"/>
    </row>
    <row r="1062" spans="8:9" ht="13.8">
      <c r="H1062" s="1"/>
      <c r="I1062" s="1"/>
    </row>
    <row r="1063" spans="8:9" ht="13.8">
      <c r="H1063" s="1"/>
      <c r="I1063" s="1"/>
    </row>
    <row r="1064" spans="8:9" ht="13.8">
      <c r="H1064" s="1"/>
      <c r="I1064" s="1"/>
    </row>
    <row r="1065" spans="8:9" ht="13.8">
      <c r="H1065" s="1"/>
      <c r="I1065" s="1"/>
    </row>
    <row r="1066" spans="8:9" ht="13.8">
      <c r="H1066" s="1"/>
      <c r="I1066" s="1"/>
    </row>
    <row r="1067" spans="8:9" ht="13.8">
      <c r="H1067" s="1"/>
      <c r="I1067" s="1"/>
    </row>
    <row r="1068" spans="8:9" ht="13.8">
      <c r="H1068" s="1"/>
      <c r="I1068" s="1"/>
    </row>
    <row r="1069" spans="8:9" ht="13.8">
      <c r="H1069" s="1"/>
      <c r="I1069" s="1"/>
    </row>
    <row r="1070" spans="8:9" ht="13.8">
      <c r="H1070" s="1"/>
      <c r="I1070" s="1"/>
    </row>
    <row r="1071" spans="8:9" ht="13.8">
      <c r="H1071" s="1"/>
      <c r="I1071" s="1"/>
    </row>
    <row r="1072" spans="8:9" ht="13.8">
      <c r="H1072" s="1"/>
      <c r="I1072" s="1"/>
    </row>
    <row r="1073" spans="8:9" ht="13.8">
      <c r="H1073" s="1"/>
      <c r="I1073" s="1"/>
    </row>
    <row r="1074" spans="8:9" ht="13.8">
      <c r="H1074" s="1"/>
      <c r="I1074" s="1"/>
    </row>
    <row r="1075" spans="8:9" ht="13.8">
      <c r="H1075" s="1"/>
      <c r="I1075" s="1"/>
    </row>
    <row r="1076" spans="8:9" ht="13.8">
      <c r="H1076" s="1"/>
      <c r="I1076" s="1"/>
    </row>
    <row r="1077" spans="8:9" ht="13.8">
      <c r="H1077" s="1"/>
      <c r="I1077" s="1"/>
    </row>
    <row r="1078" spans="8:9" ht="13.8">
      <c r="H1078" s="1"/>
      <c r="I1078" s="1"/>
    </row>
    <row r="1079" spans="8:9" ht="13.8">
      <c r="H1079" s="1"/>
      <c r="I1079" s="1"/>
    </row>
    <row r="1080" spans="8:9" ht="13.8">
      <c r="H1080" s="1"/>
      <c r="I1080" s="1"/>
    </row>
    <row r="1081" spans="8:9" ht="13.8">
      <c r="H1081" s="1"/>
      <c r="I1081" s="1"/>
    </row>
    <row r="1082" spans="8:9" ht="13.8">
      <c r="H1082" s="1"/>
      <c r="I1082" s="1"/>
    </row>
    <row r="1083" spans="8:9" ht="13.8">
      <c r="H1083" s="1"/>
      <c r="I1083" s="1"/>
    </row>
    <row r="1084" spans="8:9" ht="13.8">
      <c r="H1084" s="1"/>
      <c r="I1084" s="1"/>
    </row>
    <row r="1085" spans="8:9" ht="13.8">
      <c r="H1085" s="1"/>
      <c r="I1085" s="1"/>
    </row>
    <row r="1086" spans="8:9" ht="13.8">
      <c r="H1086" s="1"/>
      <c r="I1086" s="1"/>
    </row>
    <row r="1087" spans="8:9" ht="13.8">
      <c r="H1087" s="1"/>
      <c r="I1087" s="1"/>
    </row>
    <row r="1088" spans="8:9" ht="13.8">
      <c r="H1088" s="1"/>
      <c r="I1088" s="1"/>
    </row>
    <row r="1089" spans="8:9" ht="13.8">
      <c r="H1089" s="1"/>
      <c r="I1089" s="1"/>
    </row>
    <row r="1090" spans="8:9" ht="13.8">
      <c r="H1090" s="1"/>
      <c r="I1090" s="1"/>
    </row>
    <row r="1091" spans="8:9" ht="13.8">
      <c r="H1091" s="1"/>
      <c r="I1091" s="1"/>
    </row>
    <row r="1092" spans="8:9" ht="13.8">
      <c r="H1092" s="1"/>
      <c r="I1092" s="1"/>
    </row>
    <row r="1093" spans="8:9" ht="13.8">
      <c r="H1093" s="1"/>
      <c r="I1093" s="1"/>
    </row>
    <row r="1094" spans="8:9" ht="13.8">
      <c r="H1094" s="1"/>
      <c r="I1094" s="1"/>
    </row>
    <row r="1095" spans="8:9" ht="13.8">
      <c r="H1095" s="1"/>
      <c r="I1095" s="1"/>
    </row>
    <row r="1096" spans="8:9" ht="13.8">
      <c r="H1096" s="1"/>
      <c r="I1096" s="1"/>
    </row>
    <row r="1097" spans="8:9" ht="13.8">
      <c r="H1097" s="1"/>
      <c r="I1097" s="1"/>
    </row>
    <row r="1098" spans="8:9" ht="13.8">
      <c r="H1098" s="1"/>
      <c r="I1098" s="1"/>
    </row>
    <row r="1099" spans="8:9" ht="13.8">
      <c r="H1099" s="1"/>
      <c r="I1099" s="1"/>
    </row>
    <row r="1100" spans="8:9" ht="13.8">
      <c r="H1100" s="1"/>
      <c r="I1100" s="1"/>
    </row>
    <row r="1101" spans="8:9" ht="13.8">
      <c r="H1101" s="1"/>
      <c r="I1101" s="1"/>
    </row>
    <row r="1102" spans="8:9" ht="13.8">
      <c r="H1102" s="1"/>
      <c r="I1102" s="1"/>
    </row>
    <row r="1103" spans="8:9" ht="13.8">
      <c r="H1103" s="1"/>
      <c r="I1103" s="1"/>
    </row>
    <row r="1104" spans="8:9" ht="13.8">
      <c r="H1104" s="1"/>
      <c r="I1104" s="1"/>
    </row>
    <row r="1105" spans="8:9" ht="13.8">
      <c r="H1105" s="1"/>
      <c r="I1105" s="1"/>
    </row>
    <row r="1106" spans="8:9" ht="13.8">
      <c r="H1106" s="1"/>
      <c r="I1106" s="1"/>
    </row>
    <row r="1107" spans="8:9" ht="13.8">
      <c r="H1107" s="1"/>
      <c r="I1107" s="1"/>
    </row>
    <row r="1108" spans="8:9" ht="13.8">
      <c r="H1108" s="1"/>
      <c r="I1108" s="1"/>
    </row>
    <row r="1109" spans="8:9" ht="13.8">
      <c r="H1109" s="1"/>
      <c r="I1109" s="1"/>
    </row>
    <row r="1110" spans="8:9" ht="13.8">
      <c r="H1110" s="1"/>
      <c r="I1110" s="1"/>
    </row>
    <row r="1111" spans="8:9" ht="13.8">
      <c r="H1111" s="1"/>
      <c r="I1111" s="1"/>
    </row>
    <row r="1112" spans="8:9" ht="13.8">
      <c r="H1112" s="1"/>
      <c r="I1112" s="1"/>
    </row>
    <row r="1113" spans="8:9" ht="13.8">
      <c r="H1113" s="1"/>
      <c r="I1113" s="1"/>
    </row>
    <row r="1114" spans="8:9" ht="13.8">
      <c r="H1114" s="1"/>
      <c r="I1114" s="1"/>
    </row>
    <row r="1115" spans="8:9" ht="13.8">
      <c r="H1115" s="1"/>
      <c r="I1115" s="1"/>
    </row>
    <row r="1116" spans="8:9" ht="13.8">
      <c r="H1116" s="1"/>
      <c r="I1116" s="1"/>
    </row>
    <row r="1117" spans="8:9" ht="13.8">
      <c r="H1117" s="1"/>
      <c r="I1117" s="1"/>
    </row>
    <row r="1118" spans="8:9" ht="13.8">
      <c r="H1118" s="1"/>
      <c r="I1118" s="1"/>
    </row>
    <row r="1119" spans="8:9" ht="13.8">
      <c r="H1119" s="1"/>
      <c r="I1119" s="1"/>
    </row>
    <row r="1120" spans="8:9" ht="13.8">
      <c r="H1120" s="1"/>
      <c r="I1120" s="1"/>
    </row>
    <row r="1121" spans="8:9" ht="13.8">
      <c r="H1121" s="1"/>
      <c r="I1121" s="1"/>
    </row>
    <row r="1122" spans="8:9" ht="13.8">
      <c r="H1122" s="1"/>
      <c r="I1122" s="1"/>
    </row>
    <row r="1123" spans="8:9" ht="13.8">
      <c r="H1123" s="1"/>
      <c r="I1123" s="1"/>
    </row>
    <row r="1124" spans="8:9" ht="13.8">
      <c r="H1124" s="1"/>
      <c r="I1124" s="1"/>
    </row>
    <row r="1125" spans="8:9" ht="13.8">
      <c r="H1125" s="1"/>
      <c r="I1125" s="1"/>
    </row>
    <row r="1126" spans="8:9" ht="13.8">
      <c r="H1126" s="1"/>
      <c r="I1126" s="1"/>
    </row>
    <row r="1127" spans="8:9" ht="13.8">
      <c r="H1127" s="1"/>
      <c r="I1127" s="1"/>
    </row>
    <row r="1128" spans="8:9" ht="13.8">
      <c r="H1128" s="1"/>
      <c r="I1128" s="1"/>
    </row>
    <row r="1129" spans="8:9" ht="13.8">
      <c r="H1129" s="1"/>
      <c r="I1129" s="1"/>
    </row>
    <row r="1130" spans="8:9" ht="13.8">
      <c r="H1130" s="1"/>
      <c r="I1130" s="1"/>
    </row>
    <row r="1131" spans="8:9" ht="13.8">
      <c r="H1131" s="1"/>
      <c r="I1131" s="1"/>
    </row>
    <row r="1132" spans="8:9" ht="13.8">
      <c r="H1132" s="1"/>
      <c r="I1132" s="1"/>
    </row>
    <row r="1133" spans="8:9" ht="13.8">
      <c r="H1133" s="1"/>
      <c r="I1133" s="1"/>
    </row>
    <row r="1134" spans="8:9" ht="13.8">
      <c r="H1134" s="1"/>
      <c r="I1134" s="1"/>
    </row>
    <row r="1135" spans="8:9" ht="13.8">
      <c r="H1135" s="1"/>
      <c r="I1135" s="1"/>
    </row>
    <row r="1136" spans="8:9" ht="13.8">
      <c r="H1136" s="1"/>
      <c r="I1136" s="1"/>
    </row>
    <row r="1137" spans="8:9" ht="13.8">
      <c r="H1137" s="1"/>
      <c r="I1137" s="1"/>
    </row>
    <row r="1138" spans="8:9" ht="13.8">
      <c r="H1138" s="1"/>
      <c r="I1138" s="1"/>
    </row>
    <row r="1139" spans="8:9" ht="13.8">
      <c r="H1139" s="1"/>
      <c r="I1139" s="1"/>
    </row>
    <row r="1140" spans="8:9" ht="13.8">
      <c r="H1140" s="1"/>
      <c r="I1140" s="1"/>
    </row>
    <row r="1141" spans="8:9" ht="13.8">
      <c r="H1141" s="1"/>
      <c r="I1141" s="1"/>
    </row>
    <row r="1142" spans="8:9" ht="13.8">
      <c r="H1142" s="1"/>
      <c r="I1142" s="1"/>
    </row>
    <row r="1143" spans="8:9" ht="13.8">
      <c r="H1143" s="1"/>
      <c r="I1143" s="1"/>
    </row>
    <row r="1144" spans="8:9" ht="13.8">
      <c r="H1144" s="1"/>
      <c r="I1144" s="1"/>
    </row>
    <row r="1145" spans="8:9" ht="13.8">
      <c r="H1145" s="1"/>
      <c r="I1145" s="1"/>
    </row>
    <row r="1146" spans="8:9" ht="13.8">
      <c r="H1146" s="1"/>
      <c r="I1146" s="1"/>
    </row>
    <row r="1147" spans="8:9" ht="13.8">
      <c r="H1147" s="1"/>
      <c r="I1147" s="1"/>
    </row>
    <row r="1148" spans="8:9" ht="13.8">
      <c r="H1148" s="1"/>
      <c r="I1148" s="1"/>
    </row>
    <row r="1149" spans="8:9" ht="13.8">
      <c r="H1149" s="1"/>
      <c r="I1149" s="1"/>
    </row>
    <row r="1150" spans="8:9" ht="13.8">
      <c r="H1150" s="1"/>
      <c r="I1150" s="1"/>
    </row>
    <row r="1048576" ht="15.75" customHeight="1"/>
  </sheetData>
  <dataValidations count="2">
    <dataValidation type="list" allowBlank="1" showErrorMessage="1" sqref="C2:C56" xr:uid="{00000000-0002-0000-0900-000000000000}">
      <formula1>"6,7,8"</formula1>
      <formula2>0</formula2>
    </dataValidation>
    <dataValidation type="list" allowBlank="1" showErrorMessage="1" sqref="E2:E56" xr:uid="{00000000-0002-0000-0900-000001000000}">
      <formula1>"Physics,Biology,Chemistry"</formula1>
      <formula2>0</formula2>
    </dataValidation>
  </dataValidations>
  <pageMargins left="0.74791666666666701" right="0.74791666666666701" top="0.98402777777777795" bottom="0.98402777777777795" header="0.511811023622047" footer="0.511811023622047"/>
  <pageSetup paperSize="9" orientation="portrait" horizontalDpi="300" verticalDpi="300"/>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G996"/>
  <sheetViews>
    <sheetView zoomScaleNormal="100" workbookViewId="0">
      <pane ySplit="1" topLeftCell="A2" activePane="bottomLeft" state="frozen"/>
      <selection pane="bottomLeft" activeCell="H5" sqref="H5"/>
    </sheetView>
  </sheetViews>
  <sheetFormatPr defaultColWidth="12.6640625" defaultRowHeight="13.2"/>
  <cols>
    <col min="1" max="1" width="9.88671875" customWidth="1"/>
    <col min="2" max="2" width="7.33203125" customWidth="1"/>
    <col min="3" max="3" width="7.44140625" customWidth="1"/>
    <col min="4" max="4" width="17.109375" customWidth="1"/>
    <col min="6" max="6" width="21.88671875" customWidth="1"/>
    <col min="8" max="8" width="37.77734375" customWidth="1"/>
    <col min="9" max="9" width="47.109375" hidden="1" customWidth="1"/>
    <col min="11" max="11" width="35.44140625" customWidth="1"/>
    <col min="13" max="13" width="36.77734375" customWidth="1"/>
    <col min="15" max="15" width="38.21875" customWidth="1"/>
    <col min="17" max="17" width="35.33203125" customWidth="1"/>
    <col min="19" max="19" width="35.21875" customWidth="1"/>
    <col min="21" max="21" width="41.88671875" customWidth="1"/>
  </cols>
  <sheetData>
    <row r="1" spans="1:33" ht="27.6">
      <c r="A1" s="3" t="s">
        <v>0</v>
      </c>
      <c r="B1" s="4" t="s">
        <v>1</v>
      </c>
      <c r="C1" s="4" t="s">
        <v>3</v>
      </c>
      <c r="D1" s="4" t="s">
        <v>1280</v>
      </c>
      <c r="E1" s="4" t="s">
        <v>2</v>
      </c>
      <c r="F1" s="6" t="s">
        <v>4</v>
      </c>
      <c r="G1" s="6" t="s">
        <v>223</v>
      </c>
      <c r="H1" s="7" t="s">
        <v>307</v>
      </c>
      <c r="I1" s="106" t="s">
        <v>1281</v>
      </c>
      <c r="J1" s="20" t="s">
        <v>5</v>
      </c>
      <c r="K1" s="20" t="s">
        <v>6</v>
      </c>
      <c r="L1" s="20" t="s">
        <v>7</v>
      </c>
      <c r="M1" s="20" t="s">
        <v>8</v>
      </c>
      <c r="N1" s="20" t="s">
        <v>9</v>
      </c>
      <c r="O1" s="20" t="s">
        <v>10</v>
      </c>
      <c r="P1" s="20" t="s">
        <v>11</v>
      </c>
      <c r="Q1" s="20" t="s">
        <v>12</v>
      </c>
      <c r="R1" s="20" t="s">
        <v>13</v>
      </c>
      <c r="S1" s="20" t="s">
        <v>14</v>
      </c>
      <c r="T1" s="20" t="s">
        <v>15</v>
      </c>
      <c r="U1" s="20" t="s">
        <v>16</v>
      </c>
      <c r="V1" s="9" t="s">
        <v>17</v>
      </c>
      <c r="W1" s="9" t="s">
        <v>18</v>
      </c>
      <c r="X1" s="9" t="s">
        <v>19</v>
      </c>
      <c r="Y1" s="9" t="s">
        <v>20</v>
      </c>
      <c r="Z1" s="9" t="s">
        <v>21</v>
      </c>
      <c r="AA1" s="9" t="s">
        <v>22</v>
      </c>
      <c r="AB1" s="9" t="s">
        <v>23</v>
      </c>
      <c r="AC1" s="10" t="s">
        <v>24</v>
      </c>
      <c r="AD1" s="11" t="s">
        <v>25</v>
      </c>
      <c r="AE1" s="11" t="s">
        <v>26</v>
      </c>
      <c r="AF1" s="11" t="s">
        <v>27</v>
      </c>
      <c r="AG1" s="12" t="s">
        <v>28</v>
      </c>
    </row>
    <row r="2" spans="1:33" ht="13.8">
      <c r="A2" s="1"/>
      <c r="B2" s="1" t="s">
        <v>29</v>
      </c>
      <c r="C2" s="13">
        <v>7</v>
      </c>
      <c r="D2" s="2" t="s">
        <v>1387</v>
      </c>
      <c r="E2" s="1" t="s">
        <v>1283</v>
      </c>
      <c r="F2" s="2" t="s">
        <v>1388</v>
      </c>
      <c r="G2" s="1" t="s">
        <v>1389</v>
      </c>
      <c r="H2" s="1" t="str">
        <f ca="1">IFERROR(__xludf.dummyfunction("IFERROR(
  VLOOKUP(G2, IMPORTRANGE(""https://docs.google.com/spreadsheets/d/14deopnvwcrKtEGCKuYXdUHJbeLDZlkiSSWWT0g7x2pM/edit#gid=849066331"", ""LU List Maths (Filter)!A:B""), 2, FALSE),
  IFERROR(
    VLOOKUP(G2, IMPORTRANGE(""https://docs.google.com/spr"&amp;"eadsheets/d/14deopnvwcrKtEGCKuYXdUHJbeLDZlkiSSWWT0g7x2pM/edit#gid=849066331"", ""LU List Science (Filter)!A:B""), 2, FALSE),
    ""Not Found""
  )
)
"),"Definition of Tissues")</f>
        <v>Definition of Tissues</v>
      </c>
      <c r="J2" s="2" t="str">
        <f t="shared" ref="J2:J33" si="0">G2 &amp; ".001"</f>
        <v>LU006242.001</v>
      </c>
      <c r="K2" s="2" t="str">
        <f ca="1">IFERROR(__xludf.dummyfunction("VLOOKUP(J2, IMPORTRANGE(""https://docs.google.com/spreadsheets/d/1yDAaXNsi4Mr5FtRQL4tbmSdIzhx6_m4wkOD7IG-k_eo/edit#gid=1336395716"", ""Science!M:N""), 2, FALSE)"),"Define tissues in the context of biology.")</f>
        <v>Define tissues in the context of biology.</v>
      </c>
      <c r="L2" s="2" t="str">
        <f t="shared" ref="L2:L33" si="1">G2 &amp; ".002"</f>
        <v>LU006242.002</v>
      </c>
      <c r="M2" s="2" t="str">
        <f ca="1">IFERROR(__xludf.dummyfunction("VLOOKUP(L2, IMPORTRANGE(""https://docs.google.com/spreadsheets/d/1yDAaXNsi4Mr5FtRQL4tbmSdIzhx6_m4wkOD7IG-k_eo/edit#gid=1336395716"", ""Science!M:N""), 2, FALSE)"),"Explain the characteristics and functions of different types of tissues.")</f>
        <v>Explain the characteristics and functions of different types of tissues.</v>
      </c>
      <c r="N2" s="2" t="str">
        <f t="shared" ref="N2:N33" si="2">G2 &amp; ".003"</f>
        <v>LU006242.003</v>
      </c>
      <c r="O2" s="2" t="str">
        <f ca="1">IFERROR(__xludf.dummyfunction("VLOOKUP(N2, IMPORTRANGE(""https://docs.google.com/spreadsheets/d/1yDAaXNsi4Mr5FtRQL4tbmSdIzhx6_m4wkOD7IG-k_eo/edit#gid=1336395716"", ""Science!M:N""), 2, FALSE)"),"Illustrate the structure of a simple tissue using diagrams.")</f>
        <v>Illustrate the structure of a simple tissue using diagrams.</v>
      </c>
      <c r="P2" s="2" t="str">
        <f t="shared" ref="P2:P33" si="3">G2 &amp; ".004"</f>
        <v>LU006242.004</v>
      </c>
      <c r="Q2" s="17" t="str">
        <f ca="1">IFERROR(__xludf.dummyfunction("VLOOKUP(P2, IMPORTRANGE(""https://docs.google.com/spreadsheets/d/1yDAaXNsi4Mr5FtRQL4tbmSdIzhx6_m4wkOD7IG-k_eo/edit#gid=1336395716"", ""Science!M:N""), 2, FALSE)"),"Compare the different types of tissues based on their structure and function.")</f>
        <v>Compare the different types of tissues based on their structure and function.</v>
      </c>
      <c r="R2" s="2" t="str">
        <f t="shared" ref="R2:R33" si="4">G2 &amp; ".005"</f>
        <v>LU006242.005</v>
      </c>
      <c r="S2" s="17" t="str">
        <f ca="1">IFERROR(__xludf.dummyfunction("VLOOKUP(R2, IMPORTRANGE(""https://docs.google.com/spreadsheets/d/1yDAaXNsi4Mr5FtRQL4tbmSdIzhx6_m4wkOD7IG-k_eo/edit#gid=1336395716"", ""Science!M:N""), 2, FALSE)"),"Evaluate the importance of tissues in the organization and function of multicellular organisms.")</f>
        <v>Evaluate the importance of tissues in the organization and function of multicellular organisms.</v>
      </c>
      <c r="T2" s="2" t="str">
        <f t="shared" ref="T2:T33" si="5">G2 &amp; ".006"</f>
        <v>LU006242.006</v>
      </c>
      <c r="U2" s="17" t="str">
        <f ca="1">IFERROR(__xludf.dummyfunction("VLOOKUP(T2, IMPORTRANGE(""https://docs.google.com/spreadsheets/d/1yDAaXNsi4Mr5FtRQL4tbmSdIzhx6_m4wkOD7IG-k_eo/edit#gid=1336395716"", ""Science!M:N""), 2, FALSE)"),"Design an experiment to observe different types of tissues under a microscope.")</f>
        <v>Design an experiment to observe different types of tissues under a microscope.</v>
      </c>
      <c r="V2" s="16" t="str">
        <f ca="1">IFERROR(__xludf.dummyfunction("ArrayFormula(VLOOKUP(G2, IMPORTRANGE(""https://docs.google.com/spreadsheets/d/1p7R4vtkWt5VOBim4ltsDG9KTzSjrtKXsMtQGXPHyND0/edit#gid=795171502"", ""'Filter 30_05_2024'!A1:M2000""), {2, 3, 4, 5,6,7,8,9,10,11,12,13}, 0))"),"#N/A")</f>
        <v>#N/A</v>
      </c>
      <c r="W2" s="16" t="str">
        <f ca="1">IFERROR(__xludf.dummyfunction("""COMPUTED_VALUE"""),"#N/A")</f>
        <v>#N/A</v>
      </c>
      <c r="X2" s="16" t="str">
        <f ca="1">IFERROR(__xludf.dummyfunction("""COMPUTED_VALUE"""),"#N/A")</f>
        <v>#N/A</v>
      </c>
      <c r="Y2" s="16" t="str">
        <f ca="1">IFERROR(__xludf.dummyfunction("""COMPUTED_VALUE"""),"#N/A")</f>
        <v>#N/A</v>
      </c>
      <c r="Z2" s="16" t="str">
        <f ca="1">IFERROR(__xludf.dummyfunction("""COMPUTED_VALUE"""),"#N/A")</f>
        <v>#N/A</v>
      </c>
      <c r="AA2" s="17" t="str">
        <f ca="1">IFERROR(__xludf.dummyfunction("""COMPUTED_VALUE"""),"#N/A")</f>
        <v>#N/A</v>
      </c>
      <c r="AB2" s="17" t="str">
        <f ca="1">IFERROR(__xludf.dummyfunction("""COMPUTED_VALUE"""),"#N/A")</f>
        <v>#N/A</v>
      </c>
      <c r="AC2" s="17" t="str">
        <f ca="1">IFERROR(__xludf.dummyfunction("""COMPUTED_VALUE"""),"#N/A")</f>
        <v>#N/A</v>
      </c>
      <c r="AD2" s="2" t="str">
        <f ca="1">IFERROR(__xludf.dummyfunction("""COMPUTED_VALUE"""),"#N/A")</f>
        <v>#N/A</v>
      </c>
      <c r="AE2" s="2" t="str">
        <f ca="1">IFERROR(__xludf.dummyfunction("""COMPUTED_VALUE"""),"#N/A")</f>
        <v>#N/A</v>
      </c>
      <c r="AF2" s="2" t="str">
        <f ca="1">IFERROR(__xludf.dummyfunction("""COMPUTED_VALUE"""),"#N/A")</f>
        <v>#N/A</v>
      </c>
      <c r="AG2" s="2" t="str">
        <f ca="1">IFERROR(__xludf.dummyfunction("""COMPUTED_VALUE"""),"#N/A")</f>
        <v>#N/A</v>
      </c>
    </row>
    <row r="3" spans="1:33" ht="13.8">
      <c r="A3" s="1"/>
      <c r="B3" s="1" t="s">
        <v>29</v>
      </c>
      <c r="C3" s="13">
        <v>7</v>
      </c>
      <c r="D3" s="2" t="s">
        <v>1387</v>
      </c>
      <c r="E3" s="1" t="s">
        <v>1283</v>
      </c>
      <c r="F3" s="2" t="s">
        <v>1390</v>
      </c>
      <c r="G3" s="1" t="s">
        <v>1391</v>
      </c>
      <c r="H3" s="1" t="str">
        <f ca="1">IFERROR(__xludf.dummyfunction("IFERROR(
  VLOOKUP(G3, IMPORTRANGE(""https://docs.google.com/spreadsheets/d/14deopnvwcrKtEGCKuYXdUHJbeLDZlkiSSWWT0g7x2pM/edit#gid=849066331"", ""LU List Maths (Filter)!A:B""), 2, FALSE),
  IFERROR(
    VLOOKUP(G3, IMPORTRANGE(""https://docs.google.com/spr"&amp;"eadsheets/d/14deopnvwcrKtEGCKuYXdUHJbeLDZlkiSSWWT0g7x2pM/edit#gid=849066331"", ""LU List Science (Filter)!A:B""), 2, FALSE),
    ""Not Found""
  )
)
"),"Introduction to Meristematic Tissue")</f>
        <v>Introduction to Meristematic Tissue</v>
      </c>
      <c r="J3" s="2" t="str">
        <f t="shared" si="0"/>
        <v>LU006244.001</v>
      </c>
      <c r="K3" s="2" t="str">
        <f ca="1">IFERROR(__xludf.dummyfunction("VLOOKUP(J3, IMPORTRANGE(""https://docs.google.com/spreadsheets/d/1yDAaXNsi4Mr5FtRQL4tbmSdIzhx6_m4wkOD7IG-k_eo/edit#gid=1336395716"", ""Science!M:N""), 2, FALSE)"),"Define meristematic tissue and its characteristics.")</f>
        <v>Define meristematic tissue and its characteristics.</v>
      </c>
      <c r="L3" s="2" t="str">
        <f t="shared" si="1"/>
        <v>LU006244.002</v>
      </c>
      <c r="M3" s="2" t="str">
        <f ca="1">IFERROR(__xludf.dummyfunction("VLOOKUP(L3, IMPORTRANGE(""https://docs.google.com/spreadsheets/d/1yDAaXNsi4Mr5FtRQL4tbmSdIzhx6_m4wkOD7IG-k_eo/edit#gid=1336395716"", ""Science!M:N""), 2, FALSE)"),"Explain the role of meristematic tissue in plant growth.")</f>
        <v>Explain the role of meristematic tissue in plant growth.</v>
      </c>
      <c r="N3" s="2" t="str">
        <f t="shared" si="2"/>
        <v>LU006244.003</v>
      </c>
      <c r="O3" s="2" t="str">
        <f ca="1">IFERROR(__xludf.dummyfunction("VLOOKUP(N3, IMPORTRANGE(""https://docs.google.com/spreadsheets/d/1yDAaXNsi4Mr5FtRQL4tbmSdIzhx6_m4wkOD7IG-k_eo/edit#gid=1336395716"", ""Science!M:N""), 2, FALSE)"),"Illustrate the locations of apical, lateral, and intercalary meristematic tissues in plants.")</f>
        <v>Illustrate the locations of apical, lateral, and intercalary meristematic tissues in plants.</v>
      </c>
      <c r="P3" s="2" t="str">
        <f t="shared" si="3"/>
        <v>LU006244.004</v>
      </c>
      <c r="Q3" s="17" t="str">
        <f ca="1">IFERROR(__xludf.dummyfunction("VLOOKUP(P3, IMPORTRANGE(""https://docs.google.com/spreadsheets/d/1yDAaXNsi4Mr5FtRQL4tbmSdIzhx6_m4wkOD7IG-k_eo/edit#gid=1336395716"", ""Science!M:N""), 2, FALSE)"),"Compare the growth patterns observed in roots placed in water for different periods.")</f>
        <v>Compare the growth patterns observed in roots placed in water for different periods.</v>
      </c>
      <c r="R3" s="2" t="str">
        <f t="shared" si="4"/>
        <v>LU006244.005</v>
      </c>
      <c r="S3" s="17" t="str">
        <f ca="1">IFERROR(__xludf.dummyfunction("VLOOKUP(R3, IMPORTRANGE(""https://docs.google.com/spreadsheets/d/1yDAaXNsi4Mr5FtRQL4tbmSdIzhx6_m4wkOD7IG-k_eo/edit#gid=1336395716"", ""Science!M:N""), 2, FALSE)"),"Evaluate the significance of meristematic cells lacking vacuoles.")</f>
        <v>Evaluate the significance of meristematic cells lacking vacuoles.</v>
      </c>
      <c r="T3" s="2" t="str">
        <f t="shared" si="5"/>
        <v>LU006244.006</v>
      </c>
      <c r="U3" s="17" t="str">
        <f ca="1">IFERROR(__xludf.dummyfunction("VLOOKUP(T3, IMPORTRANGE(""https://docs.google.com/spreadsheets/d/1yDAaXNsi4Mr5FtRQL4tbmSdIzhx6_m4wkOD7IG-k_eo/edit#gid=1336395716"", ""Science!M:N""), 2, FALSE)"),"Design an experiment to observe the growth of roots in onion bulbs and measure the length of roots over several days.")</f>
        <v>Design an experiment to observe the growth of roots in onion bulbs and measure the length of roots over several days.</v>
      </c>
    </row>
    <row r="4" spans="1:33" ht="13.8">
      <c r="A4" s="1"/>
      <c r="B4" s="1" t="s">
        <v>29</v>
      </c>
      <c r="C4" s="13">
        <v>7</v>
      </c>
      <c r="D4" s="2" t="s">
        <v>1387</v>
      </c>
      <c r="E4" s="1" t="s">
        <v>1283</v>
      </c>
      <c r="F4" s="2" t="s">
        <v>1390</v>
      </c>
      <c r="G4" s="1" t="s">
        <v>1392</v>
      </c>
      <c r="H4" s="1" t="str">
        <f ca="1">IFERROR(__xludf.dummyfunction("IFERROR(
  VLOOKUP(G4, IMPORTRANGE(""https://docs.google.com/spreadsheets/d/14deopnvwcrKtEGCKuYXdUHJbeLDZlkiSSWWT0g7x2pM/edit#gid=849066331"", ""LU List Maths (Filter)!A:B""), 2, FALSE),
  IFERROR(
    VLOOKUP(G4, IMPORTRANGE(""https://docs.google.com/spr"&amp;"eadsheets/d/14deopnvwcrKtEGCKuYXdUHJbeLDZlkiSSWWT0g7x2pM/edit#gid=849066331"", ""LU List Science (Filter)!A:B""), 2, FALSE),
    ""Not Found""
  )
)
"),"Introduction to Permanent Tissue")</f>
        <v>Introduction to Permanent Tissue</v>
      </c>
      <c r="J4" s="2" t="str">
        <f t="shared" si="0"/>
        <v>LU006245.001</v>
      </c>
      <c r="K4" s="2" t="str">
        <f ca="1">IFERROR(__xludf.dummyfunction("VLOOKUP(J4, IMPORTRANGE(""https://docs.google.com/spreadsheets/d/1yDAaXNsi4Mr5FtRQL4tbmSdIzhx6_m4wkOD7IG-k_eo/edit#gid=1336395716"", ""Science!M:N""), 2, FALSE)"),"Define permanent tissue and its characteristics.")</f>
        <v>Define permanent tissue and its characteristics.</v>
      </c>
      <c r="L4" s="2" t="str">
        <f t="shared" si="1"/>
        <v>LU006245.002</v>
      </c>
      <c r="M4" s="2" t="str">
        <f ca="1">IFERROR(__xludf.dummyfunction("VLOOKUP(L4, IMPORTRANGE(""https://docs.google.com/spreadsheets/d/1yDAaXNsi4Mr5FtRQL4tbmSdIzhx6_m4wkOD7IG-k_eo/edit#gid=1336395716"", ""Science!M:N""), 2, FALSE)"),"Explain the difference between meristematic tissue and permanent tissue.")</f>
        <v>Explain the difference between meristematic tissue and permanent tissue.</v>
      </c>
      <c r="N4" s="2" t="str">
        <f t="shared" si="2"/>
        <v>LU006245.003</v>
      </c>
      <c r="O4" s="2" t="str">
        <f ca="1">IFERROR(__xludf.dummyfunction("VLOOKUP(N4, IMPORTRANGE(""https://docs.google.com/spreadsheets/d/1yDAaXNsi4Mr5FtRQL4tbmSdIzhx6_m4wkOD7IG-k_eo/edit#gid=1336395716"", ""Science!M:N""), 2, FALSE)"),"Illustrate the types of permanent tissues found in plants.")</f>
        <v>Illustrate the types of permanent tissues found in plants.</v>
      </c>
      <c r="P4" s="2" t="str">
        <f t="shared" si="3"/>
        <v>LU006245.004</v>
      </c>
      <c r="Q4" s="17" t="str">
        <f ca="1">IFERROR(__xludf.dummyfunction("VLOOKUP(P4, IMPORTRANGE(""https://docs.google.com/spreadsheets/d/1yDAaXNsi4Mr5FtRQL4tbmSdIzhx6_m4wkOD7IG-k_eo/edit#gid=1336395716"", ""Science!M:N""), 2, FALSE)"),"Compare the functions of different types of permanent tissues.")</f>
        <v>Compare the functions of different types of permanent tissues.</v>
      </c>
      <c r="R4" s="2" t="str">
        <f t="shared" si="4"/>
        <v>LU006245.005</v>
      </c>
      <c r="S4" s="17" t="str">
        <f ca="1">IFERROR(__xludf.dummyfunction("VLOOKUP(R4, IMPORTRANGE(""https://docs.google.com/spreadsheets/d/1yDAaXNsi4Mr5FtRQL4tbmSdIzhx6_m4wkOD7IG-k_eo/edit#gid=1336395716"", ""Science!M:N""), 2, FALSE)"),"Evaluate the importance of permanent tissues in the overall structure and function of plants.")</f>
        <v>Evaluate the importance of permanent tissues in the overall structure and function of plants.</v>
      </c>
      <c r="T4" s="2" t="str">
        <f t="shared" si="5"/>
        <v>LU006245.006</v>
      </c>
      <c r="U4" s="17" t="str">
        <f ca="1">IFERROR(__xludf.dummyfunction("VLOOKUP(T4, IMPORTRANGE(""https://docs.google.com/spreadsheets/d/1yDAaXNsi4Mr5FtRQL4tbmSdIzhx6_m4wkOD7IG-k_eo/edit#gid=1336395716"", ""Science!M:N""), 2, FALSE)"),"Design an observation activity to identify different types of permanent tissues in plant slides under a microscope.")</f>
        <v>Design an observation activity to identify different types of permanent tissues in plant slides under a microscope.</v>
      </c>
    </row>
    <row r="5" spans="1:33" ht="27.6">
      <c r="A5" s="1"/>
      <c r="B5" s="1" t="s">
        <v>29</v>
      </c>
      <c r="C5" s="13">
        <v>7</v>
      </c>
      <c r="D5" s="2" t="s">
        <v>1387</v>
      </c>
      <c r="E5" s="1" t="s">
        <v>1283</v>
      </c>
      <c r="F5" s="2" t="s">
        <v>1393</v>
      </c>
      <c r="G5" s="1" t="s">
        <v>1394</v>
      </c>
      <c r="H5" s="1" t="str">
        <f ca="1">IFERROR(__xludf.dummyfunction("IFERROR(
  VLOOKUP(G5, IMPORTRANGE(""https://docs.google.com/spreadsheets/d/14deopnvwcrKtEGCKuYXdUHJbeLDZlkiSSWWT0g7x2pM/edit#gid=849066331"", ""LU List Maths (Filter)!A:B""), 2, FALSE),
  IFERROR(
    VLOOKUP(G5, IMPORTRANGE(""https://docs.google.com/spr"&amp;"eadsheets/d/14deopnvwcrKtEGCKuYXdUHJbeLDZlkiSSWWT0g7x2pM/edit#gid=849066331"", ""LU List Science (Filter)!A:B""), 2, FALSE),
    ""Not Found""
  )
)
"),"Introduction to different types of simple permanent tissue")</f>
        <v>Introduction to different types of simple permanent tissue</v>
      </c>
      <c r="J5" s="2" t="str">
        <f t="shared" si="0"/>
        <v>LU006246.001</v>
      </c>
      <c r="K5" s="2" t="str">
        <f ca="1">IFERROR(__xludf.dummyfunction("VLOOKUP(J5, IMPORTRANGE(""https://docs.google.com/spreadsheets/d/1yDAaXNsi4Mr5FtRQL4tbmSdIzhx6_m4wkOD7IG-k_eo/edit#gid=1336395716"", ""Science!M:N""), 2, FALSE)"),"Identify different types of simple permanent tissues.")</f>
        <v>Identify different types of simple permanent tissues.</v>
      </c>
      <c r="L5" s="2" t="str">
        <f t="shared" si="1"/>
        <v>LU006246.002</v>
      </c>
      <c r="M5" s="2" t="str">
        <f ca="1">IFERROR(__xludf.dummyfunction("VLOOKUP(L5, IMPORTRANGE(""https://docs.google.com/spreadsheets/d/1yDAaXNsi4Mr5FtRQL4tbmSdIzhx6_m4wkOD7IG-k_eo/edit#gid=1336395716"", ""Science!M:N""), 2, FALSE)"),"Explain the functions of various types of simple permanent tissues.")</f>
        <v>Explain the functions of various types of simple permanent tissues.</v>
      </c>
      <c r="N5" s="2" t="str">
        <f t="shared" si="2"/>
        <v>LU006246.003</v>
      </c>
      <c r="O5" s="2" t="str">
        <f ca="1">IFERROR(__xludf.dummyfunction("VLOOKUP(N5, IMPORTRANGE(""https://docs.google.com/spreadsheets/d/1yDAaXNsi4Mr5FtRQL4tbmSdIzhx6_m4wkOD7IG-k_eo/edit#gid=1336395716"", ""Science!M:N""), 2, FALSE)"),"Illustrate the structure of different simple permanent tissues using diagrams.")</f>
        <v>Illustrate the structure of different simple permanent tissues using diagrams.</v>
      </c>
      <c r="P5" s="2" t="str">
        <f t="shared" si="3"/>
        <v>LU006246.004</v>
      </c>
      <c r="Q5" s="17" t="str">
        <f ca="1">IFERROR(__xludf.dummyfunction("VLOOKUP(P5, IMPORTRANGE(""https://docs.google.com/spreadsheets/d/1yDAaXNsi4Mr5FtRQL4tbmSdIzhx6_m4wkOD7IG-k_eo/edit#gid=1336395716"", ""Science!M:N""), 2, FALSE)"),"Compare the characteristics of various simple permanent tissues based on their structure and function.")</f>
        <v>Compare the characteristics of various simple permanent tissues based on their structure and function.</v>
      </c>
      <c r="R5" s="2" t="str">
        <f t="shared" si="4"/>
        <v>LU006246.005</v>
      </c>
      <c r="S5" s="17" t="str">
        <f ca="1">IFERROR(__xludf.dummyfunction("VLOOKUP(R5, IMPORTRANGE(""https://docs.google.com/spreadsheets/d/1yDAaXNsi4Mr5FtRQL4tbmSdIzhx6_m4wkOD7IG-k_eo/edit#gid=1336395716"", ""Science!M:N""), 2, FALSE)"),"Evaluate the importance of simple permanent tissues in the overall functioning of plants.")</f>
        <v>Evaluate the importance of simple permanent tissues in the overall functioning of plants.</v>
      </c>
      <c r="T5" s="2" t="str">
        <f t="shared" si="5"/>
        <v>LU006246.006</v>
      </c>
      <c r="U5" s="17" t="str">
        <f ca="1">IFERROR(__xludf.dummyfunction("VLOOKUP(T5, IMPORTRANGE(""https://docs.google.com/spreadsheets/d/1yDAaXNsi4Mr5FtRQL4tbmSdIzhx6_m4wkOD7IG-k_eo/edit#gid=1336395716"", ""Science!M:N""), 2, FALSE)"),"Design an experiment to observe and differentiate between types of simple permanent tissues using prepared slides and a microscope.")</f>
        <v>Design an experiment to observe and differentiate between types of simple permanent tissues using prepared slides and a microscope.</v>
      </c>
    </row>
    <row r="6" spans="1:33" ht="27.6">
      <c r="A6" s="1"/>
      <c r="B6" s="1" t="s">
        <v>29</v>
      </c>
      <c r="C6" s="13">
        <v>7</v>
      </c>
      <c r="D6" s="2" t="s">
        <v>1387</v>
      </c>
      <c r="E6" s="1" t="s">
        <v>1283</v>
      </c>
      <c r="F6" s="2" t="s">
        <v>1393</v>
      </c>
      <c r="G6" s="14" t="s">
        <v>1395</v>
      </c>
      <c r="H6" s="1" t="str">
        <f ca="1">IFERROR(__xludf.dummyfunction("IFERROR(
  VLOOKUP(G6, IMPORTRANGE(""https://docs.google.com/spreadsheets/d/14deopnvwcrKtEGCKuYXdUHJbeLDZlkiSSWWT0g7x2pM/edit#gid=849066331"", ""LU List Maths (Filter)!A:B""), 2, FALSE),
  IFERROR(
    VLOOKUP(G6, IMPORTRANGE(""https://docs.google.com/spr"&amp;"eadsheets/d/14deopnvwcrKtEGCKuYXdUHJbeLDZlkiSSWWT0g7x2pM/edit#gid=849066331"", ""LU List Science (Filter)!A:B""), 2, FALSE),
    ""Not Found""
  )
)
"),"Complex permanent tissues(xylem and phloem-nature of cells and function)")</f>
        <v>Complex permanent tissues(xylem and phloem-nature of cells and function)</v>
      </c>
      <c r="I6" s="2" t="s">
        <v>1396</v>
      </c>
      <c r="J6" s="2" t="str">
        <f t="shared" si="0"/>
        <v>LU006610.001</v>
      </c>
      <c r="K6" s="2" t="str">
        <f ca="1">IFERROR(__xludf.dummyfunction("VLOOKUP(J6, IMPORTRANGE(""https://docs.google.com/spreadsheets/d/1yDAaXNsi4Mr5FtRQL4tbmSdIzhx6_m4wkOD7IG-k_eo/edit#gid=1336395716"", ""Science!M:N""), 2, FALSE)"),"(LU006610.001); Default - Remember")</f>
        <v>(LU006610.001); Default - Remember</v>
      </c>
      <c r="L6" s="2" t="str">
        <f t="shared" si="1"/>
        <v>LU006610.002</v>
      </c>
      <c r="M6" s="2" t="str">
        <f ca="1">IFERROR(__xludf.dummyfunction("VLOOKUP(L6, IMPORTRANGE(""https://docs.google.com/spreadsheets/d/1yDAaXNsi4Mr5FtRQL4tbmSdIzhx6_m4wkOD7IG-k_eo/edit#gid=1336395716"", ""Science!M:N""), 2, FALSE)"),"(LU006610.002); Default - Understand")</f>
        <v>(LU006610.002); Default - Understand</v>
      </c>
      <c r="N6" s="2" t="str">
        <f t="shared" si="2"/>
        <v>LU006610.003</v>
      </c>
      <c r="O6" s="2" t="str">
        <f ca="1">IFERROR(__xludf.dummyfunction("VLOOKUP(N6, IMPORTRANGE(""https://docs.google.com/spreadsheets/d/1yDAaXNsi4Mr5FtRQL4tbmSdIzhx6_m4wkOD7IG-k_eo/edit#gid=1336395716"", ""Science!M:N""), 2, FALSE)"),"(LU006610.003); Default - Apply")</f>
        <v>(LU006610.003); Default - Apply</v>
      </c>
      <c r="P6" s="2" t="str">
        <f t="shared" si="3"/>
        <v>LU006610.004</v>
      </c>
      <c r="Q6" s="17" t="str">
        <f ca="1">IFERROR(__xludf.dummyfunction("VLOOKUP(P6, IMPORTRANGE(""https://docs.google.com/spreadsheets/d/1yDAaXNsi4Mr5FtRQL4tbmSdIzhx6_m4wkOD7IG-k_eo/edit#gid=1336395716"", ""Science!M:N""), 2, FALSE)"),"(LU006610.004); Default - Analyse")</f>
        <v>(LU006610.004); Default - Analyse</v>
      </c>
      <c r="R6" s="2" t="str">
        <f t="shared" si="4"/>
        <v>LU006610.005</v>
      </c>
      <c r="S6" s="17" t="str">
        <f ca="1">IFERROR(__xludf.dummyfunction("VLOOKUP(R6, IMPORTRANGE(""https://docs.google.com/spreadsheets/d/1yDAaXNsi4Mr5FtRQL4tbmSdIzhx6_m4wkOD7IG-k_eo/edit#gid=1336395716"", ""Science!M:N""), 2, FALSE)"),"(LU006610.005); Default - Evaluate")</f>
        <v>(LU006610.005); Default - Evaluate</v>
      </c>
      <c r="T6" s="2" t="str">
        <f t="shared" si="5"/>
        <v>LU006610.006</v>
      </c>
      <c r="U6" s="17" t="str">
        <f ca="1">IFERROR(__xludf.dummyfunction("VLOOKUP(T6, IMPORTRANGE(""https://docs.google.com/spreadsheets/d/1yDAaXNsi4Mr5FtRQL4tbmSdIzhx6_m4wkOD7IG-k_eo/edit#gid=1336395716"", ""Science!M:N""), 2, FALSE)"),"(LU006610.006); Default - Create")</f>
        <v>(LU006610.006); Default - Create</v>
      </c>
    </row>
    <row r="7" spans="1:33" ht="13.8">
      <c r="A7" s="1"/>
      <c r="B7" s="1" t="s">
        <v>29</v>
      </c>
      <c r="C7" s="13">
        <v>7</v>
      </c>
      <c r="D7" s="2" t="s">
        <v>1387</v>
      </c>
      <c r="E7" s="1" t="s">
        <v>1283</v>
      </c>
      <c r="F7" s="2" t="s">
        <v>1397</v>
      </c>
      <c r="G7" s="1" t="s">
        <v>1398</v>
      </c>
      <c r="H7" s="1" t="str">
        <f ca="1">IFERROR(__xludf.dummyfunction("IFERROR(
  VLOOKUP(G7, IMPORTRANGE(""https://docs.google.com/spreadsheets/d/14deopnvwcrKtEGCKuYXdUHJbeLDZlkiSSWWT0g7x2pM/edit#gid=849066331"", ""LU List Maths (Filter)!A:B""), 2, FALSE),
  IFERROR(
    VLOOKUP(G7, IMPORTRANGE(""https://docs.google.com/spr"&amp;"eadsheets/d/14deopnvwcrKtEGCKuYXdUHJbeLDZlkiSSWWT0g7x2pM/edit#gid=849066331"", ""LU List Science (Filter)!A:B""), 2, FALSE),
    ""Not Found""
  )
)
"),"Introduction to epithelial tissues")</f>
        <v>Introduction to epithelial tissues</v>
      </c>
      <c r="J7" s="2" t="str">
        <f t="shared" si="0"/>
        <v>LU006249.001</v>
      </c>
      <c r="K7" s="2" t="str">
        <f ca="1">IFERROR(__xludf.dummyfunction("VLOOKUP(J7, IMPORTRANGE(""https://docs.google.com/spreadsheets/d/1yDAaXNsi4Mr5FtRQL4tbmSdIzhx6_m4wkOD7IG-k_eo/edit#gid=1336395716"", ""Science!M:N""), 2, FALSE)"),"Define epithelial tissues.")</f>
        <v>Define epithelial tissues.</v>
      </c>
      <c r="L7" s="2" t="str">
        <f t="shared" si="1"/>
        <v>LU006249.002</v>
      </c>
      <c r="M7" s="2" t="str">
        <f ca="1">IFERROR(__xludf.dummyfunction("VLOOKUP(L7, IMPORTRANGE(""https://docs.google.com/spreadsheets/d/1yDAaXNsi4Mr5FtRQL4tbmSdIzhx6_m4wkOD7IG-k_eo/edit#gid=1336395716"", ""Science!M:N""), 2, FALSE)"),"Explain the characteristics and functions of epithelial tissues.")</f>
        <v>Explain the characteristics and functions of epithelial tissues.</v>
      </c>
      <c r="N7" s="2" t="str">
        <f t="shared" si="2"/>
        <v>LU006249.003</v>
      </c>
      <c r="O7" s="2" t="str">
        <f ca="1">IFERROR(__xludf.dummyfunction("VLOOKUP(N7, IMPORTRANGE(""https://docs.google.com/spreadsheets/d/1yDAaXNsi4Mr5FtRQL4tbmSdIzhx6_m4wkOD7IG-k_eo/edit#gid=1336395716"", ""Science!M:N""), 2, FALSE)"),"Illustrate the different types of epithelial tissues using diagrams.")</f>
        <v>Illustrate the different types of epithelial tissues using diagrams.</v>
      </c>
      <c r="P7" s="2" t="str">
        <f t="shared" si="3"/>
        <v>LU006249.004</v>
      </c>
      <c r="Q7" s="17" t="str">
        <f ca="1">IFERROR(__xludf.dummyfunction("VLOOKUP(P7, IMPORTRANGE(""https://docs.google.com/spreadsheets/d/1yDAaXNsi4Mr5FtRQL4tbmSdIzhx6_m4wkOD7IG-k_eo/edit#gid=1336395716"", ""Science!M:N""), 2, FALSE)"),"Compare the functions of various types of epithelial tissues.")</f>
        <v>Compare the functions of various types of epithelial tissues.</v>
      </c>
      <c r="R7" s="2" t="str">
        <f t="shared" si="4"/>
        <v>LU006249.005</v>
      </c>
      <c r="S7" s="17" t="str">
        <f ca="1">IFERROR(__xludf.dummyfunction("VLOOKUP(R7, IMPORTRANGE(""https://docs.google.com/spreadsheets/d/1yDAaXNsi4Mr5FtRQL4tbmSdIzhx6_m4wkOD7IG-k_eo/edit#gid=1336395716"", ""Science!M:N""), 2, FALSE)"),"Evaluate the role of epithelial tissues in protecting and lining organs and structures in the body.")</f>
        <v>Evaluate the role of epithelial tissues in protecting and lining organs and structures in the body.</v>
      </c>
      <c r="T7" s="2" t="str">
        <f t="shared" si="5"/>
        <v>LU006249.006</v>
      </c>
      <c r="U7" s="17" t="str">
        <f ca="1">IFERROR(__xludf.dummyfunction("VLOOKUP(T7, IMPORTRANGE(""https://docs.google.com/spreadsheets/d/1yDAaXNsi4Mr5FtRQL4tbmSdIzhx6_m4wkOD7IG-k_eo/edit#gid=1336395716"", ""Science!M:N""), 2, FALSE)"),"Design an experiment to observe different types of epithelial tissues under a microscope.")</f>
        <v>Design an experiment to observe different types of epithelial tissues under a microscope.</v>
      </c>
    </row>
    <row r="8" spans="1:33" ht="13.8">
      <c r="A8" s="1"/>
      <c r="B8" s="1" t="s">
        <v>29</v>
      </c>
      <c r="C8" s="13">
        <v>7</v>
      </c>
      <c r="D8" s="2" t="s">
        <v>1387</v>
      </c>
      <c r="E8" s="1" t="s">
        <v>1283</v>
      </c>
      <c r="F8" s="2" t="s">
        <v>1399</v>
      </c>
      <c r="G8" s="1" t="s">
        <v>1400</v>
      </c>
      <c r="H8" s="1" t="str">
        <f ca="1">IFERROR(__xludf.dummyfunction("IFERROR(
  VLOOKUP(G8, IMPORTRANGE(""https://docs.google.com/spreadsheets/d/14deopnvwcrKtEGCKuYXdUHJbeLDZlkiSSWWT0g7x2pM/edit#gid=849066331"", ""LU List Maths (Filter)!A:B""), 2, FALSE),
  IFERROR(
    VLOOKUP(G8, IMPORTRANGE(""https://docs.google.com/spr"&amp;"eadsheets/d/14deopnvwcrKtEGCKuYXdUHJbeLDZlkiSSWWT0g7x2pM/edit#gid=849066331"", ""LU List Science (Filter)!A:B""), 2, FALSE),
    ""Not Found""
  )
)
"),"Introduction to connective tissues")</f>
        <v>Introduction to connective tissues</v>
      </c>
      <c r="J8" s="2" t="str">
        <f t="shared" si="0"/>
        <v>LU006251.001</v>
      </c>
      <c r="K8" s="2" t="str">
        <f ca="1">IFERROR(__xludf.dummyfunction("VLOOKUP(J8, IMPORTRANGE(""https://docs.google.com/spreadsheets/d/1yDAaXNsi4Mr5FtRQL4tbmSdIzhx6_m4wkOD7IG-k_eo/edit#gid=1336395716"", ""Science!M:N""), 2, FALSE)"),"Define connective tissues.")</f>
        <v>Define connective tissues.</v>
      </c>
      <c r="L8" s="2" t="str">
        <f t="shared" si="1"/>
        <v>LU006251.002</v>
      </c>
      <c r="M8" s="2" t="str">
        <f ca="1">IFERROR(__xludf.dummyfunction("VLOOKUP(L8, IMPORTRANGE(""https://docs.google.com/spreadsheets/d/1yDAaXNsi4Mr5FtRQL4tbmSdIzhx6_m4wkOD7IG-k_eo/edit#gid=1336395716"", ""Science!M:N""), 2, FALSE)"),"Explain the characteristics and functions of connective tissues.")</f>
        <v>Explain the characteristics and functions of connective tissues.</v>
      </c>
      <c r="N8" s="2" t="str">
        <f t="shared" si="2"/>
        <v>LU006251.003</v>
      </c>
      <c r="O8" s="2" t="str">
        <f ca="1">IFERROR(__xludf.dummyfunction("VLOOKUP(N8, IMPORTRANGE(""https://docs.google.com/spreadsheets/d/1yDAaXNsi4Mr5FtRQL4tbmSdIzhx6_m4wkOD7IG-k_eo/edit#gid=1336395716"", ""Science!M:N""), 2, FALSE)"),"Illustrate the structure of a specific type of connective tissue using diagrams.")</f>
        <v>Illustrate the structure of a specific type of connective tissue using diagrams.</v>
      </c>
      <c r="P8" s="2" t="str">
        <f t="shared" si="3"/>
        <v>LU006251.004</v>
      </c>
      <c r="Q8" s="17" t="str">
        <f ca="1">IFERROR(__xludf.dummyfunction("VLOOKUP(P8, IMPORTRANGE(""https://docs.google.com/spreadsheets/d/1yDAaXNsi4Mr5FtRQL4tbmSdIzhx6_m4wkOD7IG-k_eo/edit#gid=1336395716"", ""Science!M:N""), 2, FALSE)"),"Compare the functions of different types of connective tissues in the body.")</f>
        <v>Compare the functions of different types of connective tissues in the body.</v>
      </c>
      <c r="R8" s="2" t="str">
        <f t="shared" si="4"/>
        <v>LU006251.005</v>
      </c>
      <c r="S8" s="17" t="str">
        <f ca="1">IFERROR(__xludf.dummyfunction("VLOOKUP(R8, IMPORTRANGE(""https://docs.google.com/spreadsheets/d/1yDAaXNsi4Mr5FtRQL4tbmSdIzhx6_m4wkOD7IG-k_eo/edit#gid=1336395716"", ""Science!M:N""), 2, FALSE)"),"Evaluate the importance of connective tissues in providing support and structure to organs and tissues.")</f>
        <v>Evaluate the importance of connective tissues in providing support and structure to organs and tissues.</v>
      </c>
      <c r="T8" s="2" t="str">
        <f t="shared" si="5"/>
        <v>LU006251.006</v>
      </c>
      <c r="U8" s="17" t="str">
        <f ca="1">IFERROR(__xludf.dummyfunction("VLOOKUP(T8, IMPORTRANGE(""https://docs.google.com/spreadsheets/d/1yDAaXNsi4Mr5FtRQL4tbmSdIzhx6_m4wkOD7IG-k_eo/edit#gid=1336395716"", ""Science!M:N""), 2, FALSE)"),"Design an experiment or observation activity to identify different types of connective tissues under a microscope.")</f>
        <v>Design an experiment or observation activity to identify different types of connective tissues under a microscope.</v>
      </c>
    </row>
    <row r="9" spans="1:33" ht="27.6">
      <c r="A9" s="1"/>
      <c r="B9" s="1" t="s">
        <v>29</v>
      </c>
      <c r="C9" s="13">
        <v>7</v>
      </c>
      <c r="D9" s="2" t="s">
        <v>1387</v>
      </c>
      <c r="E9" s="1" t="s">
        <v>1283</v>
      </c>
      <c r="F9" s="2" t="s">
        <v>1399</v>
      </c>
      <c r="G9" s="1" t="s">
        <v>1401</v>
      </c>
      <c r="H9" s="1" t="str">
        <f ca="1">IFERROR(__xludf.dummyfunction("IFERROR(
  VLOOKUP(G9, IMPORTRANGE(""https://docs.google.com/spreadsheets/d/14deopnvwcrKtEGCKuYXdUHJbeLDZlkiSSWWT0g7x2pM/edit#gid=849066331"", ""LU List Maths (Filter)!A:B""), 2, FALSE),
  IFERROR(
    VLOOKUP(G9, IMPORTRANGE(""https://docs.google.com/spr"&amp;"eadsheets/d/14deopnvwcrKtEGCKuYXdUHJbeLDZlkiSSWWT0g7x2pM/edit#gid=849066331"", ""LU List Science (Filter)!A:B""), 2, FALSE),
    ""Not Found""
  )
)
"),"Introduction to different types of connective tissues")</f>
        <v>Introduction to different types of connective tissues</v>
      </c>
      <c r="J9" s="2" t="str">
        <f t="shared" si="0"/>
        <v>LU006252.001</v>
      </c>
      <c r="K9" s="2" t="str">
        <f ca="1">IFERROR(__xludf.dummyfunction("VLOOKUP(J9, IMPORTRANGE(""https://docs.google.com/spreadsheets/d/1yDAaXNsi4Mr5FtRQL4tbmSdIzhx6_m4wkOD7IG-k_eo/edit#gid=1336395716"", ""Science!M:N""), 2, FALSE)"),"Enlist different types of connective tissues and their basic structure.")</f>
        <v>Enlist different types of connective tissues and their basic structure.</v>
      </c>
      <c r="L9" s="2" t="str">
        <f t="shared" si="1"/>
        <v>LU006252.002</v>
      </c>
      <c r="M9" s="2" t="str">
        <f ca="1">IFERROR(__xludf.dummyfunction("VLOOKUP(L9, IMPORTRANGE(""https://docs.google.com/spreadsheets/d/1yDAaXNsi4Mr5FtRQL4tbmSdIzhx6_m4wkOD7IG-k_eo/edit#gid=1336395716"", ""Science!M:N""), 2, FALSE)"),"Explain the different types of connective tissues and their specific functions.")</f>
        <v>Explain the different types of connective tissues and their specific functions.</v>
      </c>
      <c r="N9" s="2" t="str">
        <f t="shared" si="2"/>
        <v>LU006252.003</v>
      </c>
      <c r="O9" s="2" t="str">
        <f ca="1">IFERROR(__xludf.dummyfunction("VLOOKUP(N9, IMPORTRANGE(""https://docs.google.com/spreadsheets/d/1yDAaXNsi4Mr5FtRQL4tbmSdIzhx6_m4wkOD7IG-k_eo/edit#gid=1336395716"", ""Science!M:N""), 2, FALSE)"),"Illustrate the structure of various connective tissues using diagrams.")</f>
        <v>Illustrate the structure of various connective tissues using diagrams.</v>
      </c>
      <c r="P9" s="2" t="str">
        <f t="shared" si="3"/>
        <v>LU006252.004</v>
      </c>
      <c r="Q9" s="17" t="str">
        <f ca="1">IFERROR(__xludf.dummyfunction("VLOOKUP(P9, IMPORTRANGE(""https://docs.google.com/spreadsheets/d/1yDAaXNsi4Mr5FtRQL4tbmSdIzhx6_m4wkOD7IG-k_eo/edit#gid=1336395716"", ""Science!M:N""), 2, FALSE)"),"Compare the characteristics of different types of connective tissues.")</f>
        <v>Compare the characteristics of different types of connective tissues.</v>
      </c>
      <c r="R9" s="2" t="str">
        <f t="shared" si="4"/>
        <v>LU006252.005</v>
      </c>
      <c r="S9" s="17" t="str">
        <f ca="1">IFERROR(__xludf.dummyfunction("VLOOKUP(R9, IMPORTRANGE(""https://docs.google.com/spreadsheets/d/1yDAaXNsi4Mr5FtRQL4tbmSdIzhx6_m4wkOD7IG-k_eo/edit#gid=1336395716"", ""Science!M:N""), 2, FALSE)"),"Evaluate the role of connective tissues in providing support and structure to the body.")</f>
        <v>Evaluate the role of connective tissues in providing support and structure to the body.</v>
      </c>
      <c r="T9" s="2" t="str">
        <f t="shared" si="5"/>
        <v>LU006252.006</v>
      </c>
      <c r="U9" s="17" t="str">
        <f ca="1">IFERROR(__xludf.dummyfunction("VLOOKUP(T9, IMPORTRANGE(""https://docs.google.com/spreadsheets/d/1yDAaXNsi4Mr5FtRQL4tbmSdIzhx6_m4wkOD7IG-k_eo/edit#gid=1336395716"", ""Science!M:N""), 2, FALSE)"),"Design an experiment to observe different types of connective tissues under a microscope.")</f>
        <v>Design an experiment to observe different types of connective tissues under a microscope.</v>
      </c>
    </row>
    <row r="10" spans="1:33" ht="27.6">
      <c r="A10" s="1"/>
      <c r="B10" s="1" t="s">
        <v>29</v>
      </c>
      <c r="C10" s="13">
        <v>7</v>
      </c>
      <c r="D10" s="2" t="s">
        <v>1387</v>
      </c>
      <c r="E10" s="1" t="s">
        <v>1283</v>
      </c>
      <c r="F10" s="2" t="s">
        <v>1402</v>
      </c>
      <c r="G10" s="1" t="s">
        <v>1403</v>
      </c>
      <c r="H10" s="1" t="str">
        <f ca="1">IFERROR(__xludf.dummyfunction("IFERROR(
  VLOOKUP(G10, IMPORTRANGE(""https://docs.google.com/spreadsheets/d/14deopnvwcrKtEGCKuYXdUHJbeLDZlkiSSWWT0g7x2pM/edit#gid=849066331"", ""LU List Maths (Filter)!A:B""), 2, FALSE),
  IFERROR(
    VLOOKUP(G10, IMPORTRANGE(""https://docs.google.com/s"&amp;"preadsheets/d/14deopnvwcrKtEGCKuYXdUHJbeLDZlkiSSWWT0g7x2pM/edit#gid=849066331"", ""LU List Science (Filter)!A:B""), 2, FALSE),
    ""Not Found""
  )
)
"),"Introduction to muscular tissue and its types")</f>
        <v>Introduction to muscular tissue and its types</v>
      </c>
      <c r="J10" s="2" t="str">
        <f t="shared" si="0"/>
        <v>LU006253.001</v>
      </c>
      <c r="K10" s="2" t="str">
        <f ca="1">IFERROR(__xludf.dummyfunction("VLOOKUP(J10, IMPORTRANGE(""https://docs.google.com/spreadsheets/d/1yDAaXNsi4Mr5FtRQL4tbmSdIzhx6_m4wkOD7IG-k_eo/edit#gid=1336395716"", ""Science!M:N""), 2, FALSE)"),"Define muscular tissue and its types.")</f>
        <v>Define muscular tissue and its types.</v>
      </c>
      <c r="L10" s="2" t="str">
        <f t="shared" si="1"/>
        <v>LU006253.002</v>
      </c>
      <c r="M10" s="2" t="str">
        <f ca="1">IFERROR(__xludf.dummyfunction("VLOOKUP(L10, IMPORTRANGE(""https://docs.google.com/spreadsheets/d/1yDAaXNsi4Mr5FtRQL4tbmSdIzhx6_m4wkOD7IG-k_eo/edit#gid=1336395716"", ""Science!M:N""), 2, FALSE)"),"Explain the characteristics and functions of different types of muscular tissue.")</f>
        <v>Explain the characteristics and functions of different types of muscular tissue.</v>
      </c>
      <c r="N10" s="2" t="str">
        <f t="shared" si="2"/>
        <v>LU006253.003</v>
      </c>
      <c r="O10" s="2" t="str">
        <f ca="1">IFERROR(__xludf.dummyfunction("VLOOKUP(N10, IMPORTRANGE(""https://docs.google.com/spreadsheets/d/1yDAaXNsi4Mr5FtRQL4tbmSdIzhx6_m4wkOD7IG-k_eo/edit#gid=1336395716"", ""Science!M:N""), 2, FALSE)"),"Illustrate the structure of each type of muscular tissue using diagrams.")</f>
        <v>Illustrate the structure of each type of muscular tissue using diagrams.</v>
      </c>
      <c r="P10" s="2" t="str">
        <f t="shared" si="3"/>
        <v>LU006253.004</v>
      </c>
      <c r="Q10" s="17" t="str">
        <f ca="1">IFERROR(__xludf.dummyfunction("VLOOKUP(P10, IMPORTRANGE(""https://docs.google.com/spreadsheets/d/1yDAaXNsi4Mr5FtRQL4tbmSdIzhx6_m4wkOD7IG-k_eo/edit#gid=1336395716"", ""Science!M:N""), 2, FALSE)"),"Compare the three types of muscular tissue based on their structure and function.")</f>
        <v>Compare the three types of muscular tissue based on their structure and function.</v>
      </c>
      <c r="R10" s="2" t="str">
        <f t="shared" si="4"/>
        <v>LU006253.005</v>
      </c>
      <c r="S10" s="17" t="str">
        <f ca="1">IFERROR(__xludf.dummyfunction("VLOOKUP(R10, IMPORTRANGE(""https://docs.google.com/spreadsheets/d/1yDAaXNsi4Mr5FtRQL4tbmSdIzhx6_m4wkOD7IG-k_eo/edit#gid=1336395716"", ""Science!M:N""), 2, FALSE)"),"Evaluate the importance of muscular tissue in the movement and functioning of the body.")</f>
        <v>Evaluate the importance of muscular tissue in the movement and functioning of the body.</v>
      </c>
      <c r="T10" s="2" t="str">
        <f t="shared" si="5"/>
        <v>LU006253.006</v>
      </c>
      <c r="U10" s="17" t="str">
        <f ca="1">IFERROR(__xludf.dummyfunction("VLOOKUP(T10, IMPORTRANGE(""https://docs.google.com/spreadsheets/d/1yDAaXNsi4Mr5FtRQL4tbmSdIzhx6_m4wkOD7IG-k_eo/edit#gid=1336395716"", ""Science!M:N""), 2, FALSE)"),"Design an experiment or activity to observe the different types of muscular tissue using prepared slides.")</f>
        <v>Design an experiment or activity to observe the different types of muscular tissue using prepared slides.</v>
      </c>
    </row>
    <row r="11" spans="1:33" ht="27.6">
      <c r="A11" s="1"/>
      <c r="B11" s="1" t="s">
        <v>29</v>
      </c>
      <c r="C11" s="13">
        <v>7</v>
      </c>
      <c r="D11" s="2" t="s">
        <v>1387</v>
      </c>
      <c r="E11" s="1" t="s">
        <v>1283</v>
      </c>
      <c r="F11" s="2" t="s">
        <v>1402</v>
      </c>
      <c r="G11" s="1" t="s">
        <v>1404</v>
      </c>
      <c r="H11" s="1" t="str">
        <f ca="1">IFERROR(__xludf.dummyfunction("IFERROR(
  VLOOKUP(G11, IMPORTRANGE(""https://docs.google.com/spreadsheets/d/14deopnvwcrKtEGCKuYXdUHJbeLDZlkiSSWWT0g7x2pM/edit#gid=849066331"", ""LU List Maths (Filter)!A:B""), 2, FALSE),
  IFERROR(
    VLOOKUP(G11, IMPORTRANGE(""https://docs.google.com/s"&amp;"preadsheets/d/14deopnvwcrKtEGCKuYXdUHJbeLDZlkiSSWWT0g7x2pM/edit#gid=849066331"", ""LU List Science (Filter)!A:B""), 2, FALSE),
    ""Not Found""
  )
)
"),"Introduction to neuron as a single unit of nervous tissue")</f>
        <v>Introduction to neuron as a single unit of nervous tissue</v>
      </c>
      <c r="J11" s="2" t="str">
        <f t="shared" si="0"/>
        <v>LU006254.001</v>
      </c>
      <c r="K11" s="2" t="str">
        <f ca="1">IFERROR(__xludf.dummyfunction("VLOOKUP(J11, IMPORTRANGE(""https://docs.google.com/spreadsheets/d/1yDAaXNsi4Mr5FtRQL4tbmSdIzhx6_m4wkOD7IG-k_eo/edit#gid=1336395716"", ""Science!M:N""), 2, FALSE)"),"Define a neuron and its role as a single unit of nervous tissue.")</f>
        <v>Define a neuron and its role as a single unit of nervous tissue.</v>
      </c>
      <c r="L11" s="2" t="str">
        <f t="shared" si="1"/>
        <v>LU006254.002</v>
      </c>
      <c r="M11" s="2" t="str">
        <f ca="1">IFERROR(__xludf.dummyfunction("VLOOKUP(L11, IMPORTRANGE(""https://docs.google.com/spreadsheets/d/1yDAaXNsi4Mr5FtRQL4tbmSdIzhx6_m4wkOD7IG-k_eo/edit#gid=1336395716"", ""Science!M:N""), 2, FALSE)"),"Explain the structure and function of a neuron.")</f>
        <v>Explain the structure and function of a neuron.</v>
      </c>
      <c r="N11" s="2" t="str">
        <f t="shared" si="2"/>
        <v>LU006254.003</v>
      </c>
      <c r="O11" s="2" t="str">
        <f ca="1">IFERROR(__xludf.dummyfunction("VLOOKUP(N11, IMPORTRANGE(""https://docs.google.com/spreadsheets/d/1yDAaXNsi4Mr5FtRQL4tbmSdIzhx6_m4wkOD7IG-k_eo/edit#gid=1336395716"", ""Science!M:N""), 2, FALSE)"),"Illustrate the different parts of a neuron using a labeled diagram.")</f>
        <v>Illustrate the different parts of a neuron using a labeled diagram.</v>
      </c>
      <c r="P11" s="2" t="str">
        <f t="shared" si="3"/>
        <v>LU006254.004</v>
      </c>
      <c r="Q11" s="17" t="str">
        <f ca="1">IFERROR(__xludf.dummyfunction("VLOOKUP(P11, IMPORTRANGE(""https://docs.google.com/spreadsheets/d/1yDAaXNsi4Mr5FtRQL4tbmSdIzhx6_m4wkOD7IG-k_eo/edit#gid=1336395716"", ""Science!M:N""), 2, FALSE)"),"Compare the functions of neurons with other types of cells.")</f>
        <v>Compare the functions of neurons with other types of cells.</v>
      </c>
      <c r="R11" s="2" t="str">
        <f t="shared" si="4"/>
        <v>LU006254.005</v>
      </c>
      <c r="S11" s="17" t="str">
        <f ca="1">IFERROR(__xludf.dummyfunction("VLOOKUP(R11, IMPORTRANGE(""https://docs.google.com/spreadsheets/d/1yDAaXNsi4Mr5FtRQL4tbmSdIzhx6_m4wkOD7IG-k_eo/edit#gid=1336395716"", ""Science!M:N""), 2, FALSE)"),"Evaluate the importance of neurons in transmitting nerve impulses.")</f>
        <v>Evaluate the importance of neurons in transmitting nerve impulses.</v>
      </c>
      <c r="T11" s="2" t="str">
        <f t="shared" si="5"/>
        <v>LU006254.006</v>
      </c>
      <c r="U11" s="17" t="str">
        <f ca="1">IFERROR(__xludf.dummyfunction("VLOOKUP(T11, IMPORTRANGE(""https://docs.google.com/spreadsheets/d/1yDAaXNsi4Mr5FtRQL4tbmSdIzhx6_m4wkOD7IG-k_eo/edit#gid=1336395716"", ""Science!M:N""), 2, FALSE)"),"Design an activity to observe and identify neurons in a prepared slide under a microscope.")</f>
        <v>Design an activity to observe and identify neurons in a prepared slide under a microscope.</v>
      </c>
    </row>
    <row r="12" spans="1:33" ht="13.8">
      <c r="A12" s="1"/>
      <c r="B12" s="1" t="s">
        <v>29</v>
      </c>
      <c r="C12" s="13">
        <v>7</v>
      </c>
      <c r="D12" s="2" t="s">
        <v>1405</v>
      </c>
      <c r="E12" s="1" t="s">
        <v>1283</v>
      </c>
      <c r="F12" s="2" t="s">
        <v>1406</v>
      </c>
      <c r="G12" s="14" t="s">
        <v>1407</v>
      </c>
      <c r="H12" s="1" t="str">
        <f ca="1">IFERROR(__xludf.dummyfunction("IFERROR(
  VLOOKUP(G12, IMPORTRANGE(""https://docs.google.com/spreadsheets/d/14deopnvwcrKtEGCKuYXdUHJbeLDZlkiSSWWT0g7x2pM/edit#gid=849066331"", ""LU List Maths (Filter)!A:B""), 2, FALSE),
  IFERROR(
    VLOOKUP(G12, IMPORTRANGE(""https://docs.google.com/s"&amp;"preadsheets/d/14deopnvwcrKtEGCKuYXdUHJbeLDZlkiSSWWT0g7x2pM/edit#gid=849066331"", ""LU List Science (Filter)!A:B""), 2, FALSE),
    ""Not Found""
  )
)
"),"Meaning and concept of classification")</f>
        <v>Meaning and concept of classification</v>
      </c>
      <c r="J12" s="2" t="str">
        <f t="shared" si="0"/>
        <v>LU006611.001</v>
      </c>
      <c r="K12" s="2" t="str">
        <f ca="1">IFERROR(__xludf.dummyfunction("VLOOKUP(J12, IMPORTRANGE(""https://docs.google.com/spreadsheets/d/1yDAaXNsi4Mr5FtRQL4tbmSdIzhx6_m4wkOD7IG-k_eo/edit#gid=1336395716"", ""Science!M:N""), 2, FALSE)"),"(LU006611.001); Default - Remember")</f>
        <v>(LU006611.001); Default - Remember</v>
      </c>
      <c r="L12" s="2" t="str">
        <f t="shared" si="1"/>
        <v>LU006611.002</v>
      </c>
      <c r="M12" s="2" t="str">
        <f ca="1">IFERROR(__xludf.dummyfunction("VLOOKUP(L12, IMPORTRANGE(""https://docs.google.com/spreadsheets/d/1yDAaXNsi4Mr5FtRQL4tbmSdIzhx6_m4wkOD7IG-k_eo/edit#gid=1336395716"", ""Science!M:N""), 2, FALSE)"),"(LU006611.002); Default - Understand")</f>
        <v>(LU006611.002); Default - Understand</v>
      </c>
      <c r="N12" s="2" t="str">
        <f t="shared" si="2"/>
        <v>LU006611.003</v>
      </c>
      <c r="O12" s="2" t="str">
        <f ca="1">IFERROR(__xludf.dummyfunction("VLOOKUP(N12, IMPORTRANGE(""https://docs.google.com/spreadsheets/d/1yDAaXNsi4Mr5FtRQL4tbmSdIzhx6_m4wkOD7IG-k_eo/edit#gid=1336395716"", ""Science!M:N""), 2, FALSE)"),"(LU006611.003); Default - Apply")</f>
        <v>(LU006611.003); Default - Apply</v>
      </c>
      <c r="P12" s="2" t="str">
        <f t="shared" si="3"/>
        <v>LU006611.004</v>
      </c>
      <c r="Q12" s="17" t="str">
        <f ca="1">IFERROR(__xludf.dummyfunction("VLOOKUP(P12, IMPORTRANGE(""https://docs.google.com/spreadsheets/d/1yDAaXNsi4Mr5FtRQL4tbmSdIzhx6_m4wkOD7IG-k_eo/edit#gid=1336395716"", ""Science!M:N""), 2, FALSE)"),"(LU006611.004); Default - Analyse")</f>
        <v>(LU006611.004); Default - Analyse</v>
      </c>
      <c r="R12" s="2" t="str">
        <f t="shared" si="4"/>
        <v>LU006611.005</v>
      </c>
      <c r="S12" s="17" t="str">
        <f ca="1">IFERROR(__xludf.dummyfunction("VLOOKUP(R12, IMPORTRANGE(""https://docs.google.com/spreadsheets/d/1yDAaXNsi4Mr5FtRQL4tbmSdIzhx6_m4wkOD7IG-k_eo/edit#gid=1336395716"", ""Science!M:N""), 2, FALSE)"),"(LU006611.005); Default - Evaluate")</f>
        <v>(LU006611.005); Default - Evaluate</v>
      </c>
      <c r="T12" s="2" t="str">
        <f t="shared" si="5"/>
        <v>LU006611.006</v>
      </c>
      <c r="U12" s="17" t="str">
        <f ca="1">IFERROR(__xludf.dummyfunction("VLOOKUP(T12, IMPORTRANGE(""https://docs.google.com/spreadsheets/d/1yDAaXNsi4Mr5FtRQL4tbmSdIzhx6_m4wkOD7IG-k_eo/edit#gid=1336395716"", ""Science!M:N""), 2, FALSE)"),"(LU006611.006); Default - Create")</f>
        <v>(LU006611.006); Default - Create</v>
      </c>
    </row>
    <row r="13" spans="1:33" ht="13.8">
      <c r="A13" s="1"/>
      <c r="B13" s="1" t="s">
        <v>29</v>
      </c>
      <c r="C13" s="13">
        <v>7</v>
      </c>
      <c r="D13" s="2" t="s">
        <v>1405</v>
      </c>
      <c r="E13" s="1" t="s">
        <v>1283</v>
      </c>
      <c r="F13" s="2" t="s">
        <v>1406</v>
      </c>
      <c r="G13" s="14" t="s">
        <v>1408</v>
      </c>
      <c r="H13" s="1" t="str">
        <f ca="1">IFERROR(__xludf.dummyfunction("IFERROR(
  VLOOKUP(G13, IMPORTRANGE(""https://docs.google.com/spreadsheets/d/14deopnvwcrKtEGCKuYXdUHJbeLDZlkiSSWWT0g7x2pM/edit#gid=849066331"", ""LU List Maths (Filter)!A:B""), 2, FALSE),
  IFERROR(
    VLOOKUP(G13, IMPORTRANGE(""https://docs.google.com/s"&amp;"preadsheets/d/14deopnvwcrKtEGCKuYXdUHJbeLDZlkiSSWWT0g7x2pM/edit#gid=849066331"", ""LU List Science (Filter)!A:B""), 2, FALSE),
    ""Not Found""
  )
)
"),"Need and advantages of classification")</f>
        <v>Need and advantages of classification</v>
      </c>
      <c r="J13" s="2" t="str">
        <f t="shared" si="0"/>
        <v>LU006612.001</v>
      </c>
      <c r="K13" s="2" t="str">
        <f ca="1">IFERROR(__xludf.dummyfunction("VLOOKUP(J13, IMPORTRANGE(""https://docs.google.com/spreadsheets/d/1yDAaXNsi4Mr5FtRQL4tbmSdIzhx6_m4wkOD7IG-k_eo/edit#gid=1336395716"", ""Science!M:N""), 2, FALSE)"),"(LU006612.001); Default - Remember")</f>
        <v>(LU006612.001); Default - Remember</v>
      </c>
      <c r="L13" s="2" t="str">
        <f t="shared" si="1"/>
        <v>LU006612.002</v>
      </c>
      <c r="M13" s="2" t="str">
        <f ca="1">IFERROR(__xludf.dummyfunction("VLOOKUP(L13, IMPORTRANGE(""https://docs.google.com/spreadsheets/d/1yDAaXNsi4Mr5FtRQL4tbmSdIzhx6_m4wkOD7IG-k_eo/edit#gid=1336395716"", ""Science!M:N""), 2, FALSE)"),"(LU006612.002); Default - Understand")</f>
        <v>(LU006612.002); Default - Understand</v>
      </c>
      <c r="N13" s="2" t="str">
        <f t="shared" si="2"/>
        <v>LU006612.003</v>
      </c>
      <c r="O13" s="2" t="str">
        <f ca="1">IFERROR(__xludf.dummyfunction("VLOOKUP(N13, IMPORTRANGE(""https://docs.google.com/spreadsheets/d/1yDAaXNsi4Mr5FtRQL4tbmSdIzhx6_m4wkOD7IG-k_eo/edit#gid=1336395716"", ""Science!M:N""), 2, FALSE)"),"(LU006612.003); Default - Apply")</f>
        <v>(LU006612.003); Default - Apply</v>
      </c>
      <c r="P13" s="2" t="str">
        <f t="shared" si="3"/>
        <v>LU006612.004</v>
      </c>
      <c r="Q13" s="17" t="str">
        <f ca="1">IFERROR(__xludf.dummyfunction("VLOOKUP(P13, IMPORTRANGE(""https://docs.google.com/spreadsheets/d/1yDAaXNsi4Mr5FtRQL4tbmSdIzhx6_m4wkOD7IG-k_eo/edit#gid=1336395716"", ""Science!M:N""), 2, FALSE)"),"(LU006612.004); Default - Analyse")</f>
        <v>(LU006612.004); Default - Analyse</v>
      </c>
      <c r="R13" s="2" t="str">
        <f t="shared" si="4"/>
        <v>LU006612.005</v>
      </c>
      <c r="S13" s="17" t="str">
        <f ca="1">IFERROR(__xludf.dummyfunction("VLOOKUP(R13, IMPORTRANGE(""https://docs.google.com/spreadsheets/d/1yDAaXNsi4Mr5FtRQL4tbmSdIzhx6_m4wkOD7IG-k_eo/edit#gid=1336395716"", ""Science!M:N""), 2, FALSE)"),"(LU006612.005); Default - Evaluate")</f>
        <v>(LU006612.005); Default - Evaluate</v>
      </c>
      <c r="T13" s="2" t="str">
        <f t="shared" si="5"/>
        <v>LU006612.006</v>
      </c>
      <c r="U13" s="17" t="str">
        <f ca="1">IFERROR(__xludf.dummyfunction("VLOOKUP(T13, IMPORTRANGE(""https://docs.google.com/spreadsheets/d/1yDAaXNsi4Mr5FtRQL4tbmSdIzhx6_m4wkOD7IG-k_eo/edit#gid=1336395716"", ""Science!M:N""), 2, FALSE)"),"(LU006612.006); Default - Create")</f>
        <v>(LU006612.006); Default - Create</v>
      </c>
    </row>
    <row r="14" spans="1:33" ht="41.4">
      <c r="A14" s="1"/>
      <c r="B14" s="1" t="s">
        <v>29</v>
      </c>
      <c r="C14" s="13">
        <v>7</v>
      </c>
      <c r="D14" s="2" t="s">
        <v>1405</v>
      </c>
      <c r="E14" s="1" t="s">
        <v>1283</v>
      </c>
      <c r="F14" s="2" t="s">
        <v>1406</v>
      </c>
      <c r="G14" s="14" t="s">
        <v>1409</v>
      </c>
      <c r="H14" s="1" t="str">
        <f ca="1">IFERROR(__xludf.dummyfunction("IFERROR(
  VLOOKUP(G14, IMPORTRANGE(""https://docs.google.com/spreadsheets/d/14deopnvwcrKtEGCKuYXdUHJbeLDZlkiSSWWT0g7x2pM/edit#gid=849066331"", ""LU List Maths (Filter)!A:B""), 2, FALSE),
  IFERROR(
    VLOOKUP(G14, IMPORTRANGE(""https://docs.google.com/s"&amp;"preadsheets/d/14deopnvwcrKtEGCKuYXdUHJbeLDZlkiSSWWT0g7x2pM/edit#gid=849066331"", ""LU List Science (Filter)!A:B""), 2, FALSE),
    ""Not Found""
  )
)
"),"Introduction to the five kingdom classification system of life forms on Earth")</f>
        <v>Introduction to the five kingdom classification system of life forms on Earth</v>
      </c>
      <c r="J14" s="2" t="str">
        <f t="shared" si="0"/>
        <v>LU006258.001</v>
      </c>
      <c r="K14" s="2" t="str">
        <f ca="1">IFERROR(__xludf.dummyfunction("VLOOKUP(J14, IMPORTRANGE(""https://docs.google.com/spreadsheets/d/1yDAaXNsi4Mr5FtRQL4tbmSdIzhx6_m4wkOD7IG-k_eo/edit#gid=1336395716"", ""Science!M:N""), 2, FALSE)"),"Define the five kingdom classification system proposed by Robert Whittaker.")</f>
        <v>Define the five kingdom classification system proposed by Robert Whittaker.</v>
      </c>
      <c r="L14" s="2" t="str">
        <f t="shared" si="1"/>
        <v>LU006258.002</v>
      </c>
      <c r="M14" s="2" t="str">
        <f ca="1">IFERROR(__xludf.dummyfunction("VLOOKUP(L14, IMPORTRANGE(""https://docs.google.com/spreadsheets/d/1yDAaXNsi4Mr5FtRQL4tbmSdIzhx6_m4wkOD7IG-k_eo/edit#gid=1336395716"", ""Science!M:N""), 2, FALSE)"),"Explain the basis for classifying organisms into the five kingdoms: Monera, Protista, Fungi, Plantae, and Animalia.")</f>
        <v>Explain the basis for classifying organisms into the five kingdoms: Monera, Protista, Fungi, Plantae, and Animalia.</v>
      </c>
      <c r="N14" s="2" t="str">
        <f t="shared" si="2"/>
        <v>LU006258.003</v>
      </c>
      <c r="O14" s="2" t="str">
        <f ca="1">IFERROR(__xludf.dummyfunction("VLOOKUP(N14, IMPORTRANGE(""https://docs.google.com/spreadsheets/d/1yDAaXNsi4Mr5FtRQL4tbmSdIzhx6_m4wkOD7IG-k_eo/edit#gid=1336395716"", ""Science!M:N""), 2, FALSE)"),"Illustrate the characteristics that differentiate the five kingdoms using a diagram.")</f>
        <v>Illustrate the characteristics that differentiate the five kingdoms using a diagram.</v>
      </c>
      <c r="P14" s="2" t="str">
        <f t="shared" si="3"/>
        <v>LU006258.004</v>
      </c>
      <c r="Q14" s="17" t="str">
        <f ca="1">IFERROR(__xludf.dummyfunction("VLOOKUP(P14, IMPORTRANGE(""https://docs.google.com/spreadsheets/d/1yDAaXNsi4Mr5FtRQL4tbmSdIzhx6_m4wkOD7IG-k_eo/edit#gid=1336395716"", ""Science!M:N""), 2, FALSE)"),"Compare the classification criteria of the five kingdoms based on cell structure, mode of nutrition, and body organization.")</f>
        <v>Compare the classification criteria of the five kingdoms based on cell structure, mode of nutrition, and body organization.</v>
      </c>
      <c r="R14" s="2" t="str">
        <f t="shared" si="4"/>
        <v>LU006258.005</v>
      </c>
      <c r="S14" s="17" t="str">
        <f ca="1">IFERROR(__xludf.dummyfunction("VLOOKUP(R14, IMPORTRANGE(""https://docs.google.com/spreadsheets/d/1yDAaXNsi4Mr5FtRQL4tbmSdIzhx6_m4wkOD7IG-k_eo/edit#gid=1336395716"", ""Science!M:N""), 2, FALSE)"),"Evaluate the significance of the modification introduced by Carl Woese in dividing Monera into Archaebacteria and Eubacteria.")</f>
        <v>Evaluate the significance of the modification introduced by Carl Woese in dividing Monera into Archaebacteria and Eubacteria.</v>
      </c>
      <c r="T14" s="2" t="str">
        <f t="shared" si="5"/>
        <v>LU006258.006</v>
      </c>
      <c r="U14" s="17" t="str">
        <f ca="1">IFERROR(__xludf.dummyfunction("VLOOKUP(T14, IMPORTRANGE(""https://docs.google.com/spreadsheets/d/1yDAaXNsi4Mr5FtRQL4tbmSdIzhx6_m4wkOD7IG-k_eo/edit#gid=1336395716"", ""Science!M:N""), 2, FALSE)"),"Design an activity to classify a set of organisms into the five kingdoms based on their characteristics.")</f>
        <v>Design an activity to classify a set of organisms into the five kingdoms based on their characteristics.</v>
      </c>
    </row>
    <row r="15" spans="1:33" ht="27.6">
      <c r="A15" s="1"/>
      <c r="B15" s="1" t="s">
        <v>29</v>
      </c>
      <c r="C15" s="13">
        <v>7</v>
      </c>
      <c r="D15" s="2" t="s">
        <v>1405</v>
      </c>
      <c r="E15" s="1" t="s">
        <v>1283</v>
      </c>
      <c r="F15" s="2" t="s">
        <v>1410</v>
      </c>
      <c r="G15" s="14" t="s">
        <v>1411</v>
      </c>
      <c r="H15" s="1" t="str">
        <f ca="1">IFERROR(__xludf.dummyfunction("IFERROR(
  VLOOKUP(G15, IMPORTRANGE(""https://docs.google.com/spreadsheets/d/14deopnvwcrKtEGCKuYXdUHJbeLDZlkiSSWWT0g7x2pM/edit#gid=849066331"", ""LU List Maths (Filter)!A:B""), 2, FALSE),
  IFERROR(
    VLOOKUP(G15, IMPORTRANGE(""https://docs.google.com/s"&amp;"preadsheets/d/14deopnvwcrKtEGCKuYXdUHJbeLDZlkiSSWWT0g7x2pM/edit#gid=849066331"", ""LU List Science (Filter)!A:B""), 2, FALSE),
    ""Not Found""
  )
)
"),"Monera(bacteria - shape, useful bacteria, harmful bacteria, applications)")</f>
        <v>Monera(bacteria - shape, useful bacteria, harmful bacteria, applications)</v>
      </c>
      <c r="I15" s="2" t="s">
        <v>1412</v>
      </c>
      <c r="J15" s="2" t="str">
        <f t="shared" si="0"/>
        <v>LU006613.001</v>
      </c>
      <c r="K15" s="2" t="str">
        <f ca="1">IFERROR(__xludf.dummyfunction("VLOOKUP(J15, IMPORTRANGE(""https://docs.google.com/spreadsheets/d/1yDAaXNsi4Mr5FtRQL4tbmSdIzhx6_m4wkOD7IG-k_eo/edit#gid=1336395716"", ""Science!M:N""), 2, FALSE)"),"(LU006613.001); Default - Remember")</f>
        <v>(LU006613.001); Default - Remember</v>
      </c>
      <c r="L15" s="2" t="str">
        <f t="shared" si="1"/>
        <v>LU006613.002</v>
      </c>
      <c r="M15" s="2" t="str">
        <f ca="1">IFERROR(__xludf.dummyfunction("VLOOKUP(L15, IMPORTRANGE(""https://docs.google.com/spreadsheets/d/1yDAaXNsi4Mr5FtRQL4tbmSdIzhx6_m4wkOD7IG-k_eo/edit#gid=1336395716"", ""Science!M:N""), 2, FALSE)"),"(LU006613.002); Default - Understand")</f>
        <v>(LU006613.002); Default - Understand</v>
      </c>
      <c r="N15" s="2" t="str">
        <f t="shared" si="2"/>
        <v>LU006613.003</v>
      </c>
      <c r="O15" s="2" t="str">
        <f ca="1">IFERROR(__xludf.dummyfunction("VLOOKUP(N15, IMPORTRANGE(""https://docs.google.com/spreadsheets/d/1yDAaXNsi4Mr5FtRQL4tbmSdIzhx6_m4wkOD7IG-k_eo/edit#gid=1336395716"", ""Science!M:N""), 2, FALSE)"),"(LU006613.003); Default - Apply")</f>
        <v>(LU006613.003); Default - Apply</v>
      </c>
      <c r="P15" s="2" t="str">
        <f t="shared" si="3"/>
        <v>LU006613.004</v>
      </c>
      <c r="Q15" s="17" t="str">
        <f ca="1">IFERROR(__xludf.dummyfunction("VLOOKUP(P15, IMPORTRANGE(""https://docs.google.com/spreadsheets/d/1yDAaXNsi4Mr5FtRQL4tbmSdIzhx6_m4wkOD7IG-k_eo/edit#gid=1336395716"", ""Science!M:N""), 2, FALSE)"),"(LU006613.004); Default - Analyse")</f>
        <v>(LU006613.004); Default - Analyse</v>
      </c>
      <c r="R15" s="2" t="str">
        <f t="shared" si="4"/>
        <v>LU006613.005</v>
      </c>
      <c r="S15" s="17" t="str">
        <f ca="1">IFERROR(__xludf.dummyfunction("VLOOKUP(R15, IMPORTRANGE(""https://docs.google.com/spreadsheets/d/1yDAaXNsi4Mr5FtRQL4tbmSdIzhx6_m4wkOD7IG-k_eo/edit#gid=1336395716"", ""Science!M:N""), 2, FALSE)"),"(LU006613.005); Default - Evaluate")</f>
        <v>(LU006613.005); Default - Evaluate</v>
      </c>
      <c r="T15" s="2" t="str">
        <f t="shared" si="5"/>
        <v>LU006613.006</v>
      </c>
      <c r="U15" s="17" t="str">
        <f ca="1">IFERROR(__xludf.dummyfunction("VLOOKUP(T15, IMPORTRANGE(""https://docs.google.com/spreadsheets/d/1yDAaXNsi4Mr5FtRQL4tbmSdIzhx6_m4wkOD7IG-k_eo/edit#gid=1336395716"", ""Science!M:N""), 2, FALSE)"),"(LU006613.006); Default - Create")</f>
        <v>(LU006613.006); Default - Create</v>
      </c>
    </row>
    <row r="16" spans="1:33" ht="41.4">
      <c r="A16" s="1"/>
      <c r="B16" s="1" t="s">
        <v>29</v>
      </c>
      <c r="C16" s="13">
        <v>7</v>
      </c>
      <c r="D16" s="2" t="s">
        <v>1405</v>
      </c>
      <c r="E16" s="1" t="s">
        <v>1283</v>
      </c>
      <c r="F16" s="2" t="s">
        <v>1413</v>
      </c>
      <c r="G16" s="14" t="s">
        <v>1414</v>
      </c>
      <c r="H16" s="1" t="str">
        <f ca="1">IFERROR(__xludf.dummyfunction("IFERROR(
  VLOOKUP(G16, IMPORTRANGE(""https://docs.google.com/spreadsheets/d/14deopnvwcrKtEGCKuYXdUHJbeLDZlkiSSWWT0g7x2pM/edit#gid=849066331"", ""LU List Maths (Filter)!A:B""), 2, FALSE),
  IFERROR(
    VLOOKUP(G16, IMPORTRANGE(""https://docs.google.com/s"&amp;"preadsheets/d/14deopnvwcrKtEGCKuYXdUHJbeLDZlkiSSWWT0g7x2pM/edit#gid=849066331"", ""LU List Science (Filter)!A:B""), 2, FALSE),
    ""Not Found""
  )
)
"),"Protista(Amoeba - basic structure and all life processes)")</f>
        <v>Protista(Amoeba - basic structure and all life processes)</v>
      </c>
      <c r="I16" s="1" t="s">
        <v>1415</v>
      </c>
      <c r="J16" s="2" t="str">
        <f t="shared" si="0"/>
        <v>LU006614.001</v>
      </c>
      <c r="K16" s="2" t="str">
        <f ca="1">IFERROR(__xludf.dummyfunction("VLOOKUP(J16, IMPORTRANGE(""https://docs.google.com/spreadsheets/d/1yDAaXNsi4Mr5FtRQL4tbmSdIzhx6_m4wkOD7IG-k_eo/edit#gid=1336395716"", ""Science!M:N""), 2, FALSE)"),"(LU006614.001); Default - Remember")</f>
        <v>(LU006614.001); Default - Remember</v>
      </c>
      <c r="L16" s="2" t="str">
        <f t="shared" si="1"/>
        <v>LU006614.002</v>
      </c>
      <c r="M16" s="2" t="str">
        <f ca="1">IFERROR(__xludf.dummyfunction("VLOOKUP(L16, IMPORTRANGE(""https://docs.google.com/spreadsheets/d/1yDAaXNsi4Mr5FtRQL4tbmSdIzhx6_m4wkOD7IG-k_eo/edit#gid=1336395716"", ""Science!M:N""), 2, FALSE)"),"(LU006614.002); Default - Understand")</f>
        <v>(LU006614.002); Default - Understand</v>
      </c>
      <c r="N16" s="2" t="str">
        <f t="shared" si="2"/>
        <v>LU006614.003</v>
      </c>
      <c r="O16" s="2" t="str">
        <f ca="1">IFERROR(__xludf.dummyfunction("VLOOKUP(N16, IMPORTRANGE(""https://docs.google.com/spreadsheets/d/1yDAaXNsi4Mr5FtRQL4tbmSdIzhx6_m4wkOD7IG-k_eo/edit#gid=1336395716"", ""Science!M:N""), 2, FALSE)"),"(LU006614.003); Default - Apply")</f>
        <v>(LU006614.003); Default - Apply</v>
      </c>
      <c r="P16" s="2" t="str">
        <f t="shared" si="3"/>
        <v>LU006614.004</v>
      </c>
      <c r="Q16" s="17" t="str">
        <f ca="1">IFERROR(__xludf.dummyfunction("VLOOKUP(P16, IMPORTRANGE(""https://docs.google.com/spreadsheets/d/1yDAaXNsi4Mr5FtRQL4tbmSdIzhx6_m4wkOD7IG-k_eo/edit#gid=1336395716"", ""Science!M:N""), 2, FALSE)"),"(LU006614.004); Default - Analyse")</f>
        <v>(LU006614.004); Default - Analyse</v>
      </c>
      <c r="R16" s="2" t="str">
        <f t="shared" si="4"/>
        <v>LU006614.005</v>
      </c>
      <c r="S16" s="17" t="str">
        <f ca="1">IFERROR(__xludf.dummyfunction("VLOOKUP(R16, IMPORTRANGE(""https://docs.google.com/spreadsheets/d/1yDAaXNsi4Mr5FtRQL4tbmSdIzhx6_m4wkOD7IG-k_eo/edit#gid=1336395716"", ""Science!M:N""), 2, FALSE)"),"(LU006614.005); Default - Evaluate")</f>
        <v>(LU006614.005); Default - Evaluate</v>
      </c>
      <c r="T16" s="2" t="str">
        <f t="shared" si="5"/>
        <v>LU006614.006</v>
      </c>
      <c r="U16" s="17" t="str">
        <f ca="1">IFERROR(__xludf.dummyfunction("VLOOKUP(T16, IMPORTRANGE(""https://docs.google.com/spreadsheets/d/1yDAaXNsi4Mr5FtRQL4tbmSdIzhx6_m4wkOD7IG-k_eo/edit#gid=1336395716"", ""Science!M:N""), 2, FALSE)"),"(LU006614.006); Default - Create")</f>
        <v>(LU006614.006); Default - Create</v>
      </c>
    </row>
    <row r="17" spans="1:21" ht="27.6">
      <c r="A17" s="1"/>
      <c r="B17" s="1" t="s">
        <v>29</v>
      </c>
      <c r="C17" s="13">
        <v>7</v>
      </c>
      <c r="D17" s="2" t="s">
        <v>1405</v>
      </c>
      <c r="E17" s="1" t="s">
        <v>1283</v>
      </c>
      <c r="F17" s="2" t="s">
        <v>1416</v>
      </c>
      <c r="G17" s="14" t="s">
        <v>1417</v>
      </c>
      <c r="H17" s="1" t="str">
        <f ca="1">IFERROR(__xludf.dummyfunction("IFERROR(
  VLOOKUP(G17, IMPORTRANGE(""https://docs.google.com/spreadsheets/d/14deopnvwcrKtEGCKuYXdUHJbeLDZlkiSSWWT0g7x2pM/edit#gid=849066331"", ""LU List Maths (Filter)!A:B""), 2, FALSE),
  IFERROR(
    VLOOKUP(G17, IMPORTRANGE(""https://docs.google.com/s"&amp;"preadsheets/d/14deopnvwcrKtEGCKuYXdUHJbeLDZlkiSSWWT0g7x2pM/edit#gid=849066331"", ""LU List Science (Filter)!A:B""), 2, FALSE),
    ""Not Found""
  )
)
"),"Fungi(moulds, useful fungi, harmful fungi, applications)")</f>
        <v>Fungi(moulds, useful fungi, harmful fungi, applications)</v>
      </c>
      <c r="I17" s="2" t="s">
        <v>1412</v>
      </c>
      <c r="J17" s="2" t="str">
        <f t="shared" si="0"/>
        <v>LU006615.001</v>
      </c>
      <c r="K17" s="2" t="str">
        <f ca="1">IFERROR(__xludf.dummyfunction("VLOOKUP(J17, IMPORTRANGE(""https://docs.google.com/spreadsheets/d/1yDAaXNsi4Mr5FtRQL4tbmSdIzhx6_m4wkOD7IG-k_eo/edit#gid=1336395716"", ""Science!M:N""), 2, FALSE)"),"(LU006615.001); Default - Remember")</f>
        <v>(LU006615.001); Default - Remember</v>
      </c>
      <c r="L17" s="2" t="str">
        <f t="shared" si="1"/>
        <v>LU006615.002</v>
      </c>
      <c r="M17" s="2" t="str">
        <f ca="1">IFERROR(__xludf.dummyfunction("VLOOKUP(L17, IMPORTRANGE(""https://docs.google.com/spreadsheets/d/1yDAaXNsi4Mr5FtRQL4tbmSdIzhx6_m4wkOD7IG-k_eo/edit#gid=1336395716"", ""Science!M:N""), 2, FALSE)"),"(LU006615.002); Default - Understand")</f>
        <v>(LU006615.002); Default - Understand</v>
      </c>
      <c r="N17" s="2" t="str">
        <f t="shared" si="2"/>
        <v>LU006615.003</v>
      </c>
      <c r="O17" s="2" t="str">
        <f ca="1">IFERROR(__xludf.dummyfunction("VLOOKUP(N17, IMPORTRANGE(""https://docs.google.com/spreadsheets/d/1yDAaXNsi4Mr5FtRQL4tbmSdIzhx6_m4wkOD7IG-k_eo/edit#gid=1336395716"", ""Science!M:N""), 2, FALSE)"),"(LU006615.003); Default - Apply")</f>
        <v>(LU006615.003); Default - Apply</v>
      </c>
      <c r="P17" s="2" t="str">
        <f t="shared" si="3"/>
        <v>LU006615.004</v>
      </c>
      <c r="Q17" s="17" t="str">
        <f ca="1">IFERROR(__xludf.dummyfunction("VLOOKUP(P17, IMPORTRANGE(""https://docs.google.com/spreadsheets/d/1yDAaXNsi4Mr5FtRQL4tbmSdIzhx6_m4wkOD7IG-k_eo/edit#gid=1336395716"", ""Science!M:N""), 2, FALSE)"),"(LU006615.004); Default - Analyse")</f>
        <v>(LU006615.004); Default - Analyse</v>
      </c>
      <c r="R17" s="2" t="str">
        <f t="shared" si="4"/>
        <v>LU006615.005</v>
      </c>
      <c r="S17" s="17" t="str">
        <f ca="1">IFERROR(__xludf.dummyfunction("VLOOKUP(R17, IMPORTRANGE(""https://docs.google.com/spreadsheets/d/1yDAaXNsi4Mr5FtRQL4tbmSdIzhx6_m4wkOD7IG-k_eo/edit#gid=1336395716"", ""Science!M:N""), 2, FALSE)"),"(LU006615.005); Default - Evaluate")</f>
        <v>(LU006615.005); Default - Evaluate</v>
      </c>
      <c r="T17" s="2" t="str">
        <f t="shared" si="5"/>
        <v>LU006615.006</v>
      </c>
      <c r="U17" s="17" t="str">
        <f ca="1">IFERROR(__xludf.dummyfunction("VLOOKUP(T17, IMPORTRANGE(""https://docs.google.com/spreadsheets/d/1yDAaXNsi4Mr5FtRQL4tbmSdIzhx6_m4wkOD7IG-k_eo/edit#gid=1336395716"", ""Science!M:N""), 2, FALSE)"),"(LU006615.006); Default - Create")</f>
        <v>(LU006615.006); Default - Create</v>
      </c>
    </row>
    <row r="18" spans="1:21" ht="13.8">
      <c r="A18" s="1"/>
      <c r="B18" s="1" t="s">
        <v>29</v>
      </c>
      <c r="C18" s="13">
        <v>7</v>
      </c>
      <c r="D18" s="2" t="s">
        <v>1405</v>
      </c>
      <c r="E18" s="1" t="s">
        <v>1283</v>
      </c>
      <c r="F18" s="2" t="s">
        <v>1416</v>
      </c>
      <c r="G18" s="14" t="s">
        <v>1418</v>
      </c>
      <c r="H18" s="1" t="str">
        <f ca="1">IFERROR(__xludf.dummyfunction("IFERROR(
  VLOOKUP(G18, IMPORTRANGE(""https://docs.google.com/spreadsheets/d/14deopnvwcrKtEGCKuYXdUHJbeLDZlkiSSWWT0g7x2pM/edit#gid=849066331"", ""LU List Maths (Filter)!A:B""), 2, FALSE),
  IFERROR(
    VLOOKUP(G18, IMPORTRANGE(""https://docs.google.com/s"&amp;"preadsheets/d/14deopnvwcrKtEGCKuYXdUHJbeLDZlkiSSWWT0g7x2pM/edit#gid=849066331"", ""LU List Science (Filter)!A:B""), 2, FALSE),
    ""Not Found""
  )
)
"),"Plantae(characteristics and examples)")</f>
        <v>Plantae(characteristics and examples)</v>
      </c>
      <c r="I18" s="2" t="s">
        <v>1419</v>
      </c>
      <c r="J18" s="2" t="str">
        <f t="shared" si="0"/>
        <v>LU006616.001</v>
      </c>
      <c r="K18" s="2" t="str">
        <f ca="1">IFERROR(__xludf.dummyfunction("VLOOKUP(J18, IMPORTRANGE(""https://docs.google.com/spreadsheets/d/1yDAaXNsi4Mr5FtRQL4tbmSdIzhx6_m4wkOD7IG-k_eo/edit#gid=1336395716"", ""Science!M:N""), 2, FALSE)"),"(LU006616.001); Default - Remember")</f>
        <v>(LU006616.001); Default - Remember</v>
      </c>
      <c r="L18" s="2" t="str">
        <f t="shared" si="1"/>
        <v>LU006616.002</v>
      </c>
      <c r="M18" s="2" t="str">
        <f ca="1">IFERROR(__xludf.dummyfunction("VLOOKUP(L18, IMPORTRANGE(""https://docs.google.com/spreadsheets/d/1yDAaXNsi4Mr5FtRQL4tbmSdIzhx6_m4wkOD7IG-k_eo/edit#gid=1336395716"", ""Science!M:N""), 2, FALSE)"),"(LU006616.002); Default - Understand")</f>
        <v>(LU006616.002); Default - Understand</v>
      </c>
      <c r="N18" s="2" t="str">
        <f t="shared" si="2"/>
        <v>LU006616.003</v>
      </c>
      <c r="O18" s="2" t="str">
        <f ca="1">IFERROR(__xludf.dummyfunction("VLOOKUP(N18, IMPORTRANGE(""https://docs.google.com/spreadsheets/d/1yDAaXNsi4Mr5FtRQL4tbmSdIzhx6_m4wkOD7IG-k_eo/edit#gid=1336395716"", ""Science!M:N""), 2, FALSE)"),"(LU006616.003); Default - Apply")</f>
        <v>(LU006616.003); Default - Apply</v>
      </c>
      <c r="P18" s="2" t="str">
        <f t="shared" si="3"/>
        <v>LU006616.004</v>
      </c>
      <c r="Q18" s="17" t="str">
        <f ca="1">IFERROR(__xludf.dummyfunction("VLOOKUP(P18, IMPORTRANGE(""https://docs.google.com/spreadsheets/d/1yDAaXNsi4Mr5FtRQL4tbmSdIzhx6_m4wkOD7IG-k_eo/edit#gid=1336395716"", ""Science!M:N""), 2, FALSE)"),"(LU006616.004); Default - Analyse")</f>
        <v>(LU006616.004); Default - Analyse</v>
      </c>
      <c r="R18" s="2" t="str">
        <f t="shared" si="4"/>
        <v>LU006616.005</v>
      </c>
      <c r="S18" s="17" t="str">
        <f ca="1">IFERROR(__xludf.dummyfunction("VLOOKUP(R18, IMPORTRANGE(""https://docs.google.com/spreadsheets/d/1yDAaXNsi4Mr5FtRQL4tbmSdIzhx6_m4wkOD7IG-k_eo/edit#gid=1336395716"", ""Science!M:N""), 2, FALSE)"),"(LU006616.005); Default - Evaluate")</f>
        <v>(LU006616.005); Default - Evaluate</v>
      </c>
      <c r="T18" s="2" t="str">
        <f t="shared" si="5"/>
        <v>LU006616.006</v>
      </c>
      <c r="U18" s="17" t="str">
        <f ca="1">IFERROR(__xludf.dummyfunction("VLOOKUP(T18, IMPORTRANGE(""https://docs.google.com/spreadsheets/d/1yDAaXNsi4Mr5FtRQL4tbmSdIzhx6_m4wkOD7IG-k_eo/edit#gid=1336395716"", ""Science!M:N""), 2, FALSE)"),"(LU006616.006); Default - Create")</f>
        <v>(LU006616.006); Default - Create</v>
      </c>
    </row>
    <row r="19" spans="1:21" ht="27.6">
      <c r="A19" s="1"/>
      <c r="B19" s="1" t="s">
        <v>29</v>
      </c>
      <c r="C19" s="13">
        <v>7</v>
      </c>
      <c r="D19" s="2" t="s">
        <v>1405</v>
      </c>
      <c r="E19" s="1" t="s">
        <v>1283</v>
      </c>
      <c r="F19" s="2" t="s">
        <v>1420</v>
      </c>
      <c r="G19" s="14" t="s">
        <v>1421</v>
      </c>
      <c r="H19" s="1" t="str">
        <f ca="1">IFERROR(__xludf.dummyfunction("IFERROR(
  VLOOKUP(G19, IMPORTRANGE(""https://docs.google.com/spreadsheets/d/14deopnvwcrKtEGCKuYXdUHJbeLDZlkiSSWWT0g7x2pM/edit#gid=849066331"", ""LU List Maths (Filter)!A:B""), 2, FALSE),
  IFERROR(
    VLOOKUP(G19, IMPORTRANGE(""https://docs.google.com/s"&amp;"preadsheets/d/14deopnvwcrKtEGCKuYXdUHJbeLDZlkiSSWWT0g7x2pM/edit#gid=849066331"", ""LU List Science (Filter)!A:B""), 2, FALSE),
    ""Not Found""
  )
)
"),"Animal classification into vertebrates and invertebrates")</f>
        <v>Animal classification into vertebrates and invertebrates</v>
      </c>
      <c r="J19" s="2" t="str">
        <f t="shared" si="0"/>
        <v>LU006617.001</v>
      </c>
      <c r="K19" s="2" t="str">
        <f ca="1">IFERROR(__xludf.dummyfunction("VLOOKUP(J19, IMPORTRANGE(""https://docs.google.com/spreadsheets/d/1yDAaXNsi4Mr5FtRQL4tbmSdIzhx6_m4wkOD7IG-k_eo/edit#gid=1336395716"", ""Science!M:N""), 2, FALSE)"),"(LU006617.001); Default - Remember")</f>
        <v>(LU006617.001); Default - Remember</v>
      </c>
      <c r="L19" s="2" t="str">
        <f t="shared" si="1"/>
        <v>LU006617.002</v>
      </c>
      <c r="M19" s="2" t="str">
        <f ca="1">IFERROR(__xludf.dummyfunction("VLOOKUP(L19, IMPORTRANGE(""https://docs.google.com/spreadsheets/d/1yDAaXNsi4Mr5FtRQL4tbmSdIzhx6_m4wkOD7IG-k_eo/edit#gid=1336395716"", ""Science!M:N""), 2, FALSE)"),"(LU006617.002); Default - Understand")</f>
        <v>(LU006617.002); Default - Understand</v>
      </c>
      <c r="N19" s="2" t="str">
        <f t="shared" si="2"/>
        <v>LU006617.003</v>
      </c>
      <c r="O19" s="2" t="str">
        <f ca="1">IFERROR(__xludf.dummyfunction("VLOOKUP(N19, IMPORTRANGE(""https://docs.google.com/spreadsheets/d/1yDAaXNsi4Mr5FtRQL4tbmSdIzhx6_m4wkOD7IG-k_eo/edit#gid=1336395716"", ""Science!M:N""), 2, FALSE)"),"(LU006617.003); Default - Apply")</f>
        <v>(LU006617.003); Default - Apply</v>
      </c>
      <c r="P19" s="2" t="str">
        <f t="shared" si="3"/>
        <v>LU006617.004</v>
      </c>
      <c r="Q19" s="17" t="str">
        <f ca="1">IFERROR(__xludf.dummyfunction("VLOOKUP(P19, IMPORTRANGE(""https://docs.google.com/spreadsheets/d/1yDAaXNsi4Mr5FtRQL4tbmSdIzhx6_m4wkOD7IG-k_eo/edit#gid=1336395716"", ""Science!M:N""), 2, FALSE)"),"(LU006617.004); Default - Analyse")</f>
        <v>(LU006617.004); Default - Analyse</v>
      </c>
      <c r="R19" s="2" t="str">
        <f t="shared" si="4"/>
        <v>LU006617.005</v>
      </c>
      <c r="S19" s="17" t="str">
        <f ca="1">IFERROR(__xludf.dummyfunction("VLOOKUP(R19, IMPORTRANGE(""https://docs.google.com/spreadsheets/d/1yDAaXNsi4Mr5FtRQL4tbmSdIzhx6_m4wkOD7IG-k_eo/edit#gid=1336395716"", ""Science!M:N""), 2, FALSE)"),"(LU006617.005); Default - Evaluate")</f>
        <v>(LU006617.005); Default - Evaluate</v>
      </c>
      <c r="T19" s="2" t="str">
        <f t="shared" si="5"/>
        <v>LU006617.006</v>
      </c>
      <c r="U19" s="17" t="str">
        <f ca="1">IFERROR(__xludf.dummyfunction("VLOOKUP(T19, IMPORTRANGE(""https://docs.google.com/spreadsheets/d/1yDAaXNsi4Mr5FtRQL4tbmSdIzhx6_m4wkOD7IG-k_eo/edit#gid=1336395716"", ""Science!M:N""), 2, FALSE)"),"(LU006617.006); Default - Create")</f>
        <v>(LU006617.006); Default - Create</v>
      </c>
    </row>
    <row r="20" spans="1:21" ht="41.4">
      <c r="A20" s="1"/>
      <c r="B20" s="1" t="s">
        <v>29</v>
      </c>
      <c r="C20" s="13">
        <v>7</v>
      </c>
      <c r="D20" s="2" t="s">
        <v>1405</v>
      </c>
      <c r="E20" s="1" t="s">
        <v>1283</v>
      </c>
      <c r="F20" s="2" t="s">
        <v>1420</v>
      </c>
      <c r="G20" s="14" t="s">
        <v>1422</v>
      </c>
      <c r="H20" s="1" t="str">
        <f ca="1">IFERROR(__xludf.dummyfunction("IFERROR(
  VLOOKUP(G20, IMPORTRANGE(""https://docs.google.com/spreadsheets/d/14deopnvwcrKtEGCKuYXdUHJbeLDZlkiSSWWT0g7x2pM/edit#gid=849066331"", ""LU List Maths (Filter)!A:B""), 2, FALSE),
  IFERROR(
    VLOOKUP(G20, IMPORTRANGE(""https://docs.google.com/s"&amp;"preadsheets/d/14deopnvwcrKtEGCKuYXdUHJbeLDZlkiSSWWT0g7x2pM/edit#gid=849066331"", ""LU List Science (Filter)!A:B""), 2, FALSE),
    ""Not Found""
  )
)
"),"Porifera, Cnidaria, and Coelenterata(characteristics and examples)")</f>
        <v>Porifera, Cnidaria, and Coelenterata(characteristics and examples)</v>
      </c>
      <c r="I20" s="2" t="s">
        <v>1423</v>
      </c>
      <c r="J20" s="2" t="str">
        <f t="shared" si="0"/>
        <v>LU006618.001</v>
      </c>
      <c r="K20" s="2" t="str">
        <f ca="1">IFERROR(__xludf.dummyfunction("VLOOKUP(J20, IMPORTRANGE(""https://docs.google.com/spreadsheets/d/1yDAaXNsi4Mr5FtRQL4tbmSdIzhx6_m4wkOD7IG-k_eo/edit#gid=1336395716"", ""Science!M:N""), 2, FALSE)"),"(LU006618.001); Default - Remember")</f>
        <v>(LU006618.001); Default - Remember</v>
      </c>
      <c r="L20" s="2" t="str">
        <f t="shared" si="1"/>
        <v>LU006618.002</v>
      </c>
      <c r="M20" s="2" t="str">
        <f ca="1">IFERROR(__xludf.dummyfunction("VLOOKUP(L20, IMPORTRANGE(""https://docs.google.com/spreadsheets/d/1yDAaXNsi4Mr5FtRQL4tbmSdIzhx6_m4wkOD7IG-k_eo/edit#gid=1336395716"", ""Science!M:N""), 2, FALSE)"),"(LU006618.002); Default - Understand")</f>
        <v>(LU006618.002); Default - Understand</v>
      </c>
      <c r="N20" s="2" t="str">
        <f t="shared" si="2"/>
        <v>LU006618.003</v>
      </c>
      <c r="O20" s="2" t="str">
        <f ca="1">IFERROR(__xludf.dummyfunction("VLOOKUP(N20, IMPORTRANGE(""https://docs.google.com/spreadsheets/d/1yDAaXNsi4Mr5FtRQL4tbmSdIzhx6_m4wkOD7IG-k_eo/edit#gid=1336395716"", ""Science!M:N""), 2, FALSE)"),"(LU006618.003); Default - Apply")</f>
        <v>(LU006618.003); Default - Apply</v>
      </c>
      <c r="P20" s="2" t="str">
        <f t="shared" si="3"/>
        <v>LU006618.004</v>
      </c>
      <c r="Q20" s="17" t="str">
        <f ca="1">IFERROR(__xludf.dummyfunction("VLOOKUP(P20, IMPORTRANGE(""https://docs.google.com/spreadsheets/d/1yDAaXNsi4Mr5FtRQL4tbmSdIzhx6_m4wkOD7IG-k_eo/edit#gid=1336395716"", ""Science!M:N""), 2, FALSE)"),"(LU006618.004); Default - Analyse")</f>
        <v>(LU006618.004); Default - Analyse</v>
      </c>
      <c r="R20" s="2" t="str">
        <f t="shared" si="4"/>
        <v>LU006618.005</v>
      </c>
      <c r="S20" s="17" t="str">
        <f ca="1">IFERROR(__xludf.dummyfunction("VLOOKUP(R20, IMPORTRANGE(""https://docs.google.com/spreadsheets/d/1yDAaXNsi4Mr5FtRQL4tbmSdIzhx6_m4wkOD7IG-k_eo/edit#gid=1336395716"", ""Science!M:N""), 2, FALSE)"),"(LU006618.005); Default - Evaluate")</f>
        <v>(LU006618.005); Default - Evaluate</v>
      </c>
      <c r="T20" s="2" t="str">
        <f t="shared" si="5"/>
        <v>LU006618.006</v>
      </c>
      <c r="U20" s="17" t="str">
        <f ca="1">IFERROR(__xludf.dummyfunction("VLOOKUP(T20, IMPORTRANGE(""https://docs.google.com/spreadsheets/d/1yDAaXNsi4Mr5FtRQL4tbmSdIzhx6_m4wkOD7IG-k_eo/edit#gid=1336395716"", ""Science!M:N""), 2, FALSE)"),"(LU006618.006); Default - Create")</f>
        <v>(LU006618.006); Default - Create</v>
      </c>
    </row>
    <row r="21" spans="1:21" ht="27.6">
      <c r="A21" s="1"/>
      <c r="B21" s="1" t="s">
        <v>29</v>
      </c>
      <c r="C21" s="13">
        <v>7</v>
      </c>
      <c r="D21" s="2" t="s">
        <v>1405</v>
      </c>
      <c r="E21" s="1" t="s">
        <v>1283</v>
      </c>
      <c r="F21" s="2" t="s">
        <v>1424</v>
      </c>
      <c r="G21" s="14" t="s">
        <v>1425</v>
      </c>
      <c r="H21" s="1" t="str">
        <f ca="1">IFERROR(__xludf.dummyfunction("IFERROR(
  VLOOKUP(G21, IMPORTRANGE(""https://docs.google.com/spreadsheets/d/14deopnvwcrKtEGCKuYXdUHJbeLDZlkiSSWWT0g7x2pM/edit#gid=849066331"", ""LU List Maths (Filter)!A:B""), 2, FALSE),
  IFERROR(
    VLOOKUP(G21, IMPORTRANGE(""https://docs.google.com/s"&amp;"preadsheets/d/14deopnvwcrKtEGCKuYXdUHJbeLDZlkiSSWWT0g7x2pM/edit#gid=849066331"", ""LU List Science (Filter)!A:B""), 2, FALSE),
    ""Not Found""
  )
)
"),"Platyhelminthes and Nematoda(characteristics and examples)")</f>
        <v>Platyhelminthes and Nematoda(characteristics and examples)</v>
      </c>
      <c r="I21" s="2" t="s">
        <v>1423</v>
      </c>
      <c r="J21" s="2" t="str">
        <f t="shared" si="0"/>
        <v>LU006619.001</v>
      </c>
      <c r="K21" s="2" t="str">
        <f ca="1">IFERROR(__xludf.dummyfunction("VLOOKUP(J21, IMPORTRANGE(""https://docs.google.com/spreadsheets/d/1yDAaXNsi4Mr5FtRQL4tbmSdIzhx6_m4wkOD7IG-k_eo/edit#gid=1336395716"", ""Science!M:N""), 2, FALSE)"),"(LU006619.001); Default - Remember")</f>
        <v>(LU006619.001); Default - Remember</v>
      </c>
      <c r="L21" s="2" t="str">
        <f t="shared" si="1"/>
        <v>LU006619.002</v>
      </c>
      <c r="M21" s="2" t="str">
        <f ca="1">IFERROR(__xludf.dummyfunction("VLOOKUP(L21, IMPORTRANGE(""https://docs.google.com/spreadsheets/d/1yDAaXNsi4Mr5FtRQL4tbmSdIzhx6_m4wkOD7IG-k_eo/edit#gid=1336395716"", ""Science!M:N""), 2, FALSE)"),"(LU006619.002); Default - Understand")</f>
        <v>(LU006619.002); Default - Understand</v>
      </c>
      <c r="N21" s="2" t="str">
        <f t="shared" si="2"/>
        <v>LU006619.003</v>
      </c>
      <c r="O21" s="2" t="str">
        <f ca="1">IFERROR(__xludf.dummyfunction("VLOOKUP(N21, IMPORTRANGE(""https://docs.google.com/spreadsheets/d/1yDAaXNsi4Mr5FtRQL4tbmSdIzhx6_m4wkOD7IG-k_eo/edit#gid=1336395716"", ""Science!M:N""), 2, FALSE)"),"(LU006619.003); Default - Apply")</f>
        <v>(LU006619.003); Default - Apply</v>
      </c>
      <c r="P21" s="2" t="str">
        <f t="shared" si="3"/>
        <v>LU006619.004</v>
      </c>
      <c r="Q21" s="17" t="str">
        <f ca="1">IFERROR(__xludf.dummyfunction("VLOOKUP(P21, IMPORTRANGE(""https://docs.google.com/spreadsheets/d/1yDAaXNsi4Mr5FtRQL4tbmSdIzhx6_m4wkOD7IG-k_eo/edit#gid=1336395716"", ""Science!M:N""), 2, FALSE)"),"(LU006619.004); Default - Analyse")</f>
        <v>(LU006619.004); Default - Analyse</v>
      </c>
      <c r="R21" s="2" t="str">
        <f t="shared" si="4"/>
        <v>LU006619.005</v>
      </c>
      <c r="S21" s="17" t="str">
        <f ca="1">IFERROR(__xludf.dummyfunction("VLOOKUP(R21, IMPORTRANGE(""https://docs.google.com/spreadsheets/d/1yDAaXNsi4Mr5FtRQL4tbmSdIzhx6_m4wkOD7IG-k_eo/edit#gid=1336395716"", ""Science!M:N""), 2, FALSE)"),"(LU006619.005); Default - Evaluate")</f>
        <v>(LU006619.005); Default - Evaluate</v>
      </c>
      <c r="T21" s="2" t="str">
        <f t="shared" si="5"/>
        <v>LU006619.006</v>
      </c>
      <c r="U21" s="17" t="str">
        <f ca="1">IFERROR(__xludf.dummyfunction("VLOOKUP(T21, IMPORTRANGE(""https://docs.google.com/spreadsheets/d/1yDAaXNsi4Mr5FtRQL4tbmSdIzhx6_m4wkOD7IG-k_eo/edit#gid=1336395716"", ""Science!M:N""), 2, FALSE)"),"(LU006619.006); Default - Create")</f>
        <v>(LU006619.006); Default - Create</v>
      </c>
    </row>
    <row r="22" spans="1:21" ht="27.6">
      <c r="A22" s="1"/>
      <c r="B22" s="1" t="s">
        <v>29</v>
      </c>
      <c r="C22" s="13">
        <v>7</v>
      </c>
      <c r="D22" s="2" t="s">
        <v>1405</v>
      </c>
      <c r="E22" s="1" t="s">
        <v>1283</v>
      </c>
      <c r="F22" s="2" t="s">
        <v>1424</v>
      </c>
      <c r="G22" s="14" t="s">
        <v>1426</v>
      </c>
      <c r="H22" s="1" t="str">
        <f ca="1">IFERROR(__xludf.dummyfunction("IFERROR(
  VLOOKUP(G22, IMPORTRANGE(""https://docs.google.com/spreadsheets/d/14deopnvwcrKtEGCKuYXdUHJbeLDZlkiSSWWT0g7x2pM/edit#gid=849066331"", ""LU List Maths (Filter)!A:B""), 2, FALSE),
  IFERROR(
    VLOOKUP(G22, IMPORTRANGE(""https://docs.google.com/s"&amp;"preadsheets/d/14deopnvwcrKtEGCKuYXdUHJbeLDZlkiSSWWT0g7x2pM/edit#gid=849066331"", ""LU List Science (Filter)!A:B""), 2, FALSE),
    ""Not Found""
  )
)
"),"Annelida and Arthropoda(characteristics and examples)")</f>
        <v>Annelida and Arthropoda(characteristics and examples)</v>
      </c>
      <c r="I22" s="2" t="s">
        <v>1423</v>
      </c>
      <c r="J22" s="2" t="str">
        <f t="shared" si="0"/>
        <v>LU006620.001</v>
      </c>
      <c r="K22" s="2" t="str">
        <f ca="1">IFERROR(__xludf.dummyfunction("VLOOKUP(J22, IMPORTRANGE(""https://docs.google.com/spreadsheets/d/1yDAaXNsi4Mr5FtRQL4tbmSdIzhx6_m4wkOD7IG-k_eo/edit#gid=1336395716"", ""Science!M:N""), 2, FALSE)"),"(LU006620.001); Default - Remember")</f>
        <v>(LU006620.001); Default - Remember</v>
      </c>
      <c r="L22" s="2" t="str">
        <f t="shared" si="1"/>
        <v>LU006620.002</v>
      </c>
      <c r="M22" s="2" t="str">
        <f ca="1">IFERROR(__xludf.dummyfunction("VLOOKUP(L22, IMPORTRANGE(""https://docs.google.com/spreadsheets/d/1yDAaXNsi4Mr5FtRQL4tbmSdIzhx6_m4wkOD7IG-k_eo/edit#gid=1336395716"", ""Science!M:N""), 2, FALSE)"),"(LU006620.002); Default - Understand")</f>
        <v>(LU006620.002); Default - Understand</v>
      </c>
      <c r="N22" s="2" t="str">
        <f t="shared" si="2"/>
        <v>LU006620.003</v>
      </c>
      <c r="O22" s="2" t="str">
        <f ca="1">IFERROR(__xludf.dummyfunction("VLOOKUP(N22, IMPORTRANGE(""https://docs.google.com/spreadsheets/d/1yDAaXNsi4Mr5FtRQL4tbmSdIzhx6_m4wkOD7IG-k_eo/edit#gid=1336395716"", ""Science!M:N""), 2, FALSE)"),"(LU006620.003); Default - Apply")</f>
        <v>(LU006620.003); Default - Apply</v>
      </c>
      <c r="P22" s="2" t="str">
        <f t="shared" si="3"/>
        <v>LU006620.004</v>
      </c>
      <c r="Q22" s="17" t="str">
        <f ca="1">IFERROR(__xludf.dummyfunction("VLOOKUP(P22, IMPORTRANGE(""https://docs.google.com/spreadsheets/d/1yDAaXNsi4Mr5FtRQL4tbmSdIzhx6_m4wkOD7IG-k_eo/edit#gid=1336395716"", ""Science!M:N""), 2, FALSE)"),"(LU006620.004); Default - Analyse")</f>
        <v>(LU006620.004); Default - Analyse</v>
      </c>
      <c r="R22" s="2" t="str">
        <f t="shared" si="4"/>
        <v>LU006620.005</v>
      </c>
      <c r="S22" s="17" t="str">
        <f ca="1">IFERROR(__xludf.dummyfunction("VLOOKUP(R22, IMPORTRANGE(""https://docs.google.com/spreadsheets/d/1yDAaXNsi4Mr5FtRQL4tbmSdIzhx6_m4wkOD7IG-k_eo/edit#gid=1336395716"", ""Science!M:N""), 2, FALSE)"),"(LU006620.005); Default - Evaluate")</f>
        <v>(LU006620.005); Default - Evaluate</v>
      </c>
      <c r="T22" s="2" t="str">
        <f t="shared" si="5"/>
        <v>LU006620.006</v>
      </c>
      <c r="U22" s="17" t="str">
        <f ca="1">IFERROR(__xludf.dummyfunction("VLOOKUP(T22, IMPORTRANGE(""https://docs.google.com/spreadsheets/d/1yDAaXNsi4Mr5FtRQL4tbmSdIzhx6_m4wkOD7IG-k_eo/edit#gid=1336395716"", ""Science!M:N""), 2, FALSE)"),"(LU006620.006); Default - Create")</f>
        <v>(LU006620.006); Default - Create</v>
      </c>
    </row>
    <row r="23" spans="1:21" ht="27.6">
      <c r="A23" s="1"/>
      <c r="B23" s="1" t="s">
        <v>29</v>
      </c>
      <c r="C23" s="13">
        <v>7</v>
      </c>
      <c r="D23" s="2" t="s">
        <v>1405</v>
      </c>
      <c r="E23" s="1" t="s">
        <v>1283</v>
      </c>
      <c r="F23" s="2" t="s">
        <v>1424</v>
      </c>
      <c r="G23" s="14" t="s">
        <v>1427</v>
      </c>
      <c r="H23" s="1" t="str">
        <f ca="1">IFERROR(__xludf.dummyfunction("IFERROR(
  VLOOKUP(G23, IMPORTRANGE(""https://docs.google.com/spreadsheets/d/14deopnvwcrKtEGCKuYXdUHJbeLDZlkiSSWWT0g7x2pM/edit#gid=849066331"", ""LU List Maths (Filter)!A:B""), 2, FALSE),
  IFERROR(
    VLOOKUP(G23, IMPORTRANGE(""https://docs.google.com/s"&amp;"preadsheets/d/14deopnvwcrKtEGCKuYXdUHJbeLDZlkiSSWWT0g7x2pM/edit#gid=849066331"", ""LU List Science (Filter)!A:B""), 2, FALSE),
    ""Not Found""
  )
)
"),"Mollusca and Echinodermata (characteristics and examples)")</f>
        <v>Mollusca and Echinodermata (characteristics and examples)</v>
      </c>
      <c r="I23" s="2" t="s">
        <v>1423</v>
      </c>
      <c r="J23" s="2" t="str">
        <f t="shared" si="0"/>
        <v>LU006621.001</v>
      </c>
      <c r="K23" s="2" t="str">
        <f ca="1">IFERROR(__xludf.dummyfunction("VLOOKUP(J23, IMPORTRANGE(""https://docs.google.com/spreadsheets/d/1yDAaXNsi4Mr5FtRQL4tbmSdIzhx6_m4wkOD7IG-k_eo/edit#gid=1336395716"", ""Science!M:N""), 2, FALSE)"),"(LU006621.001); Default - Remember")</f>
        <v>(LU006621.001); Default - Remember</v>
      </c>
      <c r="L23" s="2" t="str">
        <f t="shared" si="1"/>
        <v>LU006621.002</v>
      </c>
      <c r="M23" s="2" t="str">
        <f ca="1">IFERROR(__xludf.dummyfunction("VLOOKUP(L23, IMPORTRANGE(""https://docs.google.com/spreadsheets/d/1yDAaXNsi4Mr5FtRQL4tbmSdIzhx6_m4wkOD7IG-k_eo/edit#gid=1336395716"", ""Science!M:N""), 2, FALSE)"),"(LU006621.002); Default - Understand")</f>
        <v>(LU006621.002); Default - Understand</v>
      </c>
      <c r="N23" s="2" t="str">
        <f t="shared" si="2"/>
        <v>LU006621.003</v>
      </c>
      <c r="O23" s="2" t="str">
        <f ca="1">IFERROR(__xludf.dummyfunction("VLOOKUP(N23, IMPORTRANGE(""https://docs.google.com/spreadsheets/d/1yDAaXNsi4Mr5FtRQL4tbmSdIzhx6_m4wkOD7IG-k_eo/edit#gid=1336395716"", ""Science!M:N""), 2, FALSE)"),"(LU006621.003); Default - Apply")</f>
        <v>(LU006621.003); Default - Apply</v>
      </c>
      <c r="P23" s="2" t="str">
        <f t="shared" si="3"/>
        <v>LU006621.004</v>
      </c>
      <c r="Q23" s="17" t="str">
        <f ca="1">IFERROR(__xludf.dummyfunction("VLOOKUP(P23, IMPORTRANGE(""https://docs.google.com/spreadsheets/d/1yDAaXNsi4Mr5FtRQL4tbmSdIzhx6_m4wkOD7IG-k_eo/edit#gid=1336395716"", ""Science!M:N""), 2, FALSE)"),"(LU006621.004); Default - Analyse")</f>
        <v>(LU006621.004); Default - Analyse</v>
      </c>
      <c r="R23" s="2" t="str">
        <f t="shared" si="4"/>
        <v>LU006621.005</v>
      </c>
      <c r="S23" s="17" t="str">
        <f ca="1">IFERROR(__xludf.dummyfunction("VLOOKUP(R23, IMPORTRANGE(""https://docs.google.com/spreadsheets/d/1yDAaXNsi4Mr5FtRQL4tbmSdIzhx6_m4wkOD7IG-k_eo/edit#gid=1336395716"", ""Science!M:N""), 2, FALSE)"),"(LU006621.005); Default - Evaluate")</f>
        <v>(LU006621.005); Default - Evaluate</v>
      </c>
      <c r="T23" s="2" t="str">
        <f t="shared" si="5"/>
        <v>LU006621.006</v>
      </c>
      <c r="U23" s="17" t="str">
        <f ca="1">IFERROR(__xludf.dummyfunction("VLOOKUP(T23, IMPORTRANGE(""https://docs.google.com/spreadsheets/d/1yDAaXNsi4Mr5FtRQL4tbmSdIzhx6_m4wkOD7IG-k_eo/edit#gid=1336395716"", ""Science!M:N""), 2, FALSE)"),"(LU006621.006); Default - Create")</f>
        <v>(LU006621.006); Default - Create</v>
      </c>
    </row>
    <row r="24" spans="1:21" ht="27.6">
      <c r="A24" s="1"/>
      <c r="B24" s="1" t="s">
        <v>29</v>
      </c>
      <c r="C24" s="13">
        <v>7</v>
      </c>
      <c r="D24" s="2" t="s">
        <v>1405</v>
      </c>
      <c r="E24" s="1" t="s">
        <v>1283</v>
      </c>
      <c r="F24" s="2" t="s">
        <v>1428</v>
      </c>
      <c r="G24" s="14" t="s">
        <v>1429</v>
      </c>
      <c r="H24" s="1" t="str">
        <f ca="1">IFERROR(__xludf.dummyfunction("IFERROR(
  VLOOKUP(G24, IMPORTRANGE(""https://docs.google.com/spreadsheets/d/14deopnvwcrKtEGCKuYXdUHJbeLDZlkiSSWWT0g7x2pM/edit#gid=849066331"", ""LU List Maths (Filter)!A:B""), 2, FALSE),
  IFERROR(
    VLOOKUP(G24, IMPORTRANGE(""https://docs.google.com/s"&amp;"preadsheets/d/14deopnvwcrKtEGCKuYXdUHJbeLDZlkiSSWWT0g7x2pM/edit#gid=849066331"", ""LU List Science (Filter)!A:B""), 2, FALSE),
    ""Not Found""
  )
)
"),"Introduction to the relationship between classification of life forms and evolution")</f>
        <v>Introduction to the relationship between classification of life forms and evolution</v>
      </c>
      <c r="I24" s="2" t="s">
        <v>1430</v>
      </c>
      <c r="J24" s="2" t="str">
        <f t="shared" si="0"/>
        <v>LU006257.001</v>
      </c>
      <c r="K24" s="2" t="str">
        <f ca="1">IFERROR(__xludf.dummyfunction("VLOOKUP(J24, IMPORTRANGE(""https://docs.google.com/spreadsheets/d/1yDAaXNsi4Mr5FtRQL4tbmSdIzhx6_m4wkOD7IG-k_eo/edit#gid=1336395716"", ""Science!M:N""), 2, FALSE)"),"Define the relationship between classification of life forms and evolution.")</f>
        <v>Define the relationship between classification of life forms and evolution.</v>
      </c>
      <c r="L24" s="2" t="str">
        <f t="shared" si="1"/>
        <v>LU006257.002</v>
      </c>
      <c r="M24" s="2" t="str">
        <f ca="1">IFERROR(__xludf.dummyfunction("VLOOKUP(L24, IMPORTRANGE(""https://docs.google.com/spreadsheets/d/1yDAaXNsi4Mr5FtRQL4tbmSdIzhx6_m4wkOD7IG-k_eo/edit#gid=1336395716"", ""Science!M:N""), 2, FALSE)"),"Explain how body design characteristics are used to classify organisms and relate to their evolutionary history.")</f>
        <v>Explain how body design characteristics are used to classify organisms and relate to their evolutionary history.</v>
      </c>
      <c r="N24" s="2" t="str">
        <f t="shared" si="2"/>
        <v>LU006257.003</v>
      </c>
      <c r="O24" s="2" t="str">
        <f ca="1">IFERROR(__xludf.dummyfunction("VLOOKUP(N24, IMPORTRANGE(""https://docs.google.com/spreadsheets/d/1yDAaXNsi4Mr5FtRQL4tbmSdIzhx6_m4wkOD7IG-k_eo/edit#gid=1336395716"", ""Science!M:N""), 2, FALSE)"),"Illustrate the process of classification based on body design and its connection to evolutionary changes.")</f>
        <v>Illustrate the process of classification based on body design and its connection to evolutionary changes.</v>
      </c>
      <c r="P24" s="2" t="str">
        <f t="shared" si="3"/>
        <v>LU006257.004</v>
      </c>
      <c r="Q24" s="17" t="str">
        <f ca="1">IFERROR(__xludf.dummyfunction("VLOOKUP(P24, IMPORTRANGE(""https://docs.google.com/spreadsheets/d/1yDAaXNsi4Mr5FtRQL4tbmSdIzhx6_m4wkOD7IG-k_eo/edit#gid=1336395716"", ""Science!M:N""), 2, FALSE)"),"Compare the classification of organisms based on their complexity and evolutionary age.")</f>
        <v>Compare the classification of organisms based on their complexity and evolutionary age.</v>
      </c>
      <c r="R24" s="2" t="str">
        <f t="shared" si="4"/>
        <v>LU006257.005</v>
      </c>
      <c r="S24" s="17" t="str">
        <f ca="1">IFERROR(__xludf.dummyfunction("VLOOKUP(R24, IMPORTRANGE(""https://docs.google.com/spreadsheets/d/1yDAaXNsi4Mr5FtRQL4tbmSdIzhx6_m4wkOD7IG-k_eo/edit#gid=1336395716"", ""Science!M:N""), 2, FALSE)"),"Evaluate the significance of using evolutionary history in the classification of life forms.")</f>
        <v>Evaluate the significance of using evolutionary history in the classification of life forms.</v>
      </c>
      <c r="T24" s="2" t="str">
        <f t="shared" si="5"/>
        <v>LU006257.006</v>
      </c>
      <c r="U24" s="17" t="str">
        <f ca="1">IFERROR(__xludf.dummyfunction("VLOOKUP(T24, IMPORTRANGE(""https://docs.google.com/spreadsheets/d/1yDAaXNsi4Mr5FtRQL4tbmSdIzhx6_m4wkOD7IG-k_eo/edit#gid=1336395716"", ""Science!M:N""), 2, FALSE)"),"Design an activity to classify a set of organisms based on body design and discuss their evolutionary relationships.")</f>
        <v>Design an activity to classify a set of organisms based on body design and discuss their evolutionary relationships.</v>
      </c>
    </row>
    <row r="25" spans="1:21" ht="13.8">
      <c r="A25" s="1"/>
      <c r="B25" s="1" t="s">
        <v>29</v>
      </c>
      <c r="C25" s="13">
        <v>7</v>
      </c>
      <c r="D25" s="2" t="s">
        <v>1431</v>
      </c>
      <c r="E25" s="1" t="s">
        <v>1283</v>
      </c>
      <c r="F25" s="2" t="s">
        <v>1432</v>
      </c>
      <c r="G25" s="14" t="s">
        <v>1433</v>
      </c>
      <c r="H25" s="1" t="str">
        <f ca="1">IFERROR(__xludf.dummyfunction("IFERROR(
  VLOOKUP(G25, IMPORTRANGE(""https://docs.google.com/spreadsheets/d/14deopnvwcrKtEGCKuYXdUHJbeLDZlkiSSWWT0g7x2pM/edit#gid=849066331"", ""LU List Maths (Filter)!A:B""), 2, FALSE),
  IFERROR(
    VLOOKUP(G25, IMPORTRANGE(""https://docs.google.com/s"&amp;"preadsheets/d/14deopnvwcrKtEGCKuYXdUHJbeLDZlkiSSWWT0g7x2pM/edit#gid=849066331"", ""LU List Science (Filter)!A:B""), 2, FALSE),
    ""Not Found""
  )
)
"),"Process of Photosynthesis")</f>
        <v>Process of Photosynthesis</v>
      </c>
      <c r="I25" s="2" t="s">
        <v>1434</v>
      </c>
      <c r="J25" s="2" t="str">
        <f t="shared" si="0"/>
        <v>LU006622.001</v>
      </c>
      <c r="K25" s="2" t="str">
        <f ca="1">IFERROR(__xludf.dummyfunction("VLOOKUP(J25, IMPORTRANGE(""https://docs.google.com/spreadsheets/d/1yDAaXNsi4Mr5FtRQL4tbmSdIzhx6_m4wkOD7IG-k_eo/edit#gid=1336395716"", ""Science!M:N""), 2, FALSE)"),"(LU006622.001); Default - Remember")</f>
        <v>(LU006622.001); Default - Remember</v>
      </c>
      <c r="L25" s="2" t="str">
        <f t="shared" si="1"/>
        <v>LU006622.002</v>
      </c>
      <c r="M25" s="2" t="str">
        <f ca="1">IFERROR(__xludf.dummyfunction("VLOOKUP(L25, IMPORTRANGE(""https://docs.google.com/spreadsheets/d/1yDAaXNsi4Mr5FtRQL4tbmSdIzhx6_m4wkOD7IG-k_eo/edit#gid=1336395716"", ""Science!M:N""), 2, FALSE)"),"(LU006622.002); Default - Understand")</f>
        <v>(LU006622.002); Default - Understand</v>
      </c>
      <c r="N25" s="2" t="str">
        <f t="shared" si="2"/>
        <v>LU006622.003</v>
      </c>
      <c r="O25" s="2" t="str">
        <f ca="1">IFERROR(__xludf.dummyfunction("VLOOKUP(N25, IMPORTRANGE(""https://docs.google.com/spreadsheets/d/1yDAaXNsi4Mr5FtRQL4tbmSdIzhx6_m4wkOD7IG-k_eo/edit#gid=1336395716"", ""Science!M:N""), 2, FALSE)"),"(LU006622.003); Default - Apply")</f>
        <v>(LU006622.003); Default - Apply</v>
      </c>
      <c r="P25" s="2" t="str">
        <f t="shared" si="3"/>
        <v>LU006622.004</v>
      </c>
      <c r="Q25" s="17" t="str">
        <f ca="1">IFERROR(__xludf.dummyfunction("VLOOKUP(P25, IMPORTRANGE(""https://docs.google.com/spreadsheets/d/1yDAaXNsi4Mr5FtRQL4tbmSdIzhx6_m4wkOD7IG-k_eo/edit#gid=1336395716"", ""Science!M:N""), 2, FALSE)"),"(LU006622.004); Default - Analyse")</f>
        <v>(LU006622.004); Default - Analyse</v>
      </c>
      <c r="R25" s="2" t="str">
        <f t="shared" si="4"/>
        <v>LU006622.005</v>
      </c>
      <c r="S25" s="17" t="str">
        <f ca="1">IFERROR(__xludf.dummyfunction("VLOOKUP(R25, IMPORTRANGE(""https://docs.google.com/spreadsheets/d/1yDAaXNsi4Mr5FtRQL4tbmSdIzhx6_m4wkOD7IG-k_eo/edit#gid=1336395716"", ""Science!M:N""), 2, FALSE)"),"(LU006622.005); Default - Evaluate")</f>
        <v>(LU006622.005); Default - Evaluate</v>
      </c>
      <c r="T25" s="2" t="str">
        <f t="shared" si="5"/>
        <v>LU006622.006</v>
      </c>
      <c r="U25" s="17" t="str">
        <f ca="1">IFERROR(__xludf.dummyfunction("VLOOKUP(T25, IMPORTRANGE(""https://docs.google.com/spreadsheets/d/1yDAaXNsi4Mr5FtRQL4tbmSdIzhx6_m4wkOD7IG-k_eo/edit#gid=1336395716"", ""Science!M:N""), 2, FALSE)"),"(LU006622.006); Default - Create")</f>
        <v>(LU006622.006); Default - Create</v>
      </c>
    </row>
    <row r="26" spans="1:21" ht="27.6">
      <c r="A26" s="1"/>
      <c r="B26" s="1" t="s">
        <v>29</v>
      </c>
      <c r="C26" s="13">
        <v>7</v>
      </c>
      <c r="D26" s="2" t="s">
        <v>1431</v>
      </c>
      <c r="E26" s="1" t="s">
        <v>1283</v>
      </c>
      <c r="F26" s="2" t="s">
        <v>1435</v>
      </c>
      <c r="G26" s="14" t="s">
        <v>1436</v>
      </c>
      <c r="H26" s="1" t="str">
        <f ca="1">IFERROR(__xludf.dummyfunction("IFERROR(
  VLOOKUP(G26, IMPORTRANGE(""https://docs.google.com/spreadsheets/d/14deopnvwcrKtEGCKuYXdUHJbeLDZlkiSSWWT0g7x2pM/edit#gid=849066331"", ""LU List Maths (Filter)!A:B""), 2, FALSE),
  IFERROR(
    VLOOKUP(G26, IMPORTRANGE(""https://docs.google.com/s"&amp;"preadsheets/d/14deopnvwcrKtEGCKuYXdUHJbeLDZlkiSSWWT0g7x2pM/edit#gid=849066331"", ""LU List Science (Filter)!A:B""), 2, FALSE),
    ""Not Found""
  )
)
"),"Factors affecting photosynthesis(light, carbon dioxide, water, chlorophyll)")</f>
        <v>Factors affecting photosynthesis(light, carbon dioxide, water, chlorophyll)</v>
      </c>
      <c r="I26" s="2" t="s">
        <v>1437</v>
      </c>
      <c r="J26" s="2" t="str">
        <f t="shared" si="0"/>
        <v>LU006623.001</v>
      </c>
      <c r="K26" s="2" t="str">
        <f ca="1">IFERROR(__xludf.dummyfunction("VLOOKUP(J26, IMPORTRANGE(""https://docs.google.com/spreadsheets/d/1yDAaXNsi4Mr5FtRQL4tbmSdIzhx6_m4wkOD7IG-k_eo/edit#gid=1336395716"", ""Science!M:N""), 2, FALSE)"),"(LU006623.001); Default - Remember")</f>
        <v>(LU006623.001); Default - Remember</v>
      </c>
      <c r="L26" s="2" t="str">
        <f t="shared" si="1"/>
        <v>LU006623.002</v>
      </c>
      <c r="M26" s="2" t="str">
        <f ca="1">IFERROR(__xludf.dummyfunction("VLOOKUP(L26, IMPORTRANGE(""https://docs.google.com/spreadsheets/d/1yDAaXNsi4Mr5FtRQL4tbmSdIzhx6_m4wkOD7IG-k_eo/edit#gid=1336395716"", ""Science!M:N""), 2, FALSE)"),"(LU006623.002); Default - Understand")</f>
        <v>(LU006623.002); Default - Understand</v>
      </c>
      <c r="N26" s="2" t="str">
        <f t="shared" si="2"/>
        <v>LU006623.003</v>
      </c>
      <c r="O26" s="2" t="str">
        <f ca="1">IFERROR(__xludf.dummyfunction("VLOOKUP(N26, IMPORTRANGE(""https://docs.google.com/spreadsheets/d/1yDAaXNsi4Mr5FtRQL4tbmSdIzhx6_m4wkOD7IG-k_eo/edit#gid=1336395716"", ""Science!M:N""), 2, FALSE)"),"(LU006623.003); Default - Apply")</f>
        <v>(LU006623.003); Default - Apply</v>
      </c>
      <c r="P26" s="2" t="str">
        <f t="shared" si="3"/>
        <v>LU006623.004</v>
      </c>
      <c r="Q26" s="17" t="str">
        <f ca="1">IFERROR(__xludf.dummyfunction("VLOOKUP(P26, IMPORTRANGE(""https://docs.google.com/spreadsheets/d/1yDAaXNsi4Mr5FtRQL4tbmSdIzhx6_m4wkOD7IG-k_eo/edit#gid=1336395716"", ""Science!M:N""), 2, FALSE)"),"(LU006623.004); Default - Analyse")</f>
        <v>(LU006623.004); Default - Analyse</v>
      </c>
      <c r="R26" s="2" t="str">
        <f t="shared" si="4"/>
        <v>LU006623.005</v>
      </c>
      <c r="S26" s="17" t="str">
        <f ca="1">IFERROR(__xludf.dummyfunction("VLOOKUP(R26, IMPORTRANGE(""https://docs.google.com/spreadsheets/d/1yDAaXNsi4Mr5FtRQL4tbmSdIzhx6_m4wkOD7IG-k_eo/edit#gid=1336395716"", ""Science!M:N""), 2, FALSE)"),"(LU006623.005); Default - Evaluate")</f>
        <v>(LU006623.005); Default - Evaluate</v>
      </c>
      <c r="T26" s="2" t="str">
        <f t="shared" si="5"/>
        <v>LU006623.006</v>
      </c>
      <c r="U26" s="17" t="str">
        <f ca="1">IFERROR(__xludf.dummyfunction("VLOOKUP(T26, IMPORTRANGE(""https://docs.google.com/spreadsheets/d/1yDAaXNsi4Mr5FtRQL4tbmSdIzhx6_m4wkOD7IG-k_eo/edit#gid=1336395716"", ""Science!M:N""), 2, FALSE)"),"(LU006623.006); Default - Create")</f>
        <v>(LU006623.006); Default - Create</v>
      </c>
    </row>
    <row r="27" spans="1:21" ht="27.6">
      <c r="A27" s="1"/>
      <c r="B27" s="1" t="s">
        <v>29</v>
      </c>
      <c r="C27" s="13">
        <v>7</v>
      </c>
      <c r="D27" s="2" t="s">
        <v>1431</v>
      </c>
      <c r="E27" s="1" t="s">
        <v>1283</v>
      </c>
      <c r="F27" s="2" t="s">
        <v>1438</v>
      </c>
      <c r="G27" s="1" t="s">
        <v>1439</v>
      </c>
      <c r="H27" s="1" t="str">
        <f ca="1">IFERROR(__xludf.dummyfunction("IFERROR(
  VLOOKUP(G27, IMPORTRANGE(""https://docs.google.com/spreadsheets/d/14deopnvwcrKtEGCKuYXdUHJbeLDZlkiSSWWT0g7x2pM/edit#gid=849066331"", ""LU List Maths (Filter)!A:B""), 2, FALSE),
  IFERROR(
    VLOOKUP(G27, IMPORTRANGE(""https://docs.google.com/s"&amp;"preadsheets/d/14deopnvwcrKtEGCKuYXdUHJbeLDZlkiSSWWT0g7x2pM/edit#gid=849066331"", ""LU List Science (Filter)!A:B""), 2, FALSE),
    ""Not Found""
  )
)
"),"Introduction to cellular, aerobic and anaerobic respiration")</f>
        <v>Introduction to cellular, aerobic and anaerobic respiration</v>
      </c>
      <c r="J27" s="2" t="str">
        <f t="shared" si="0"/>
        <v>LU005435.001</v>
      </c>
      <c r="K27" s="2" t="str">
        <f ca="1">IFERROR(__xludf.dummyfunction("VLOOKUP(J27, IMPORTRANGE(""https://docs.google.com/spreadsheets/d/1yDAaXNsi4Mr5FtRQL4tbmSdIzhx6_m4wkOD7IG-k_eo/edit#gid=1336395716"", ""Science!M:N""), 2, FALSE)"),"Students will define cellular respiration, and identify the basic processes involved in aerobic and anaerobic cellular respiration.")</f>
        <v>Students will define cellular respiration, and identify the basic processes involved in aerobic and anaerobic cellular respiration.</v>
      </c>
      <c r="L27" s="2" t="str">
        <f t="shared" si="1"/>
        <v>LU005435.002</v>
      </c>
      <c r="M27" s="2" t="str">
        <f ca="1">IFERROR(__xludf.dummyfunction("VLOOKUP(L27, IMPORTRANGE(""https://docs.google.com/spreadsheets/d/1yDAaXNsi4Mr5FtRQL4tbmSdIzhx6_m4wkOD7IG-k_eo/edit#gid=1336395716"", ""Science!M:N""), 2, FALSE)"),"Students will explain the difference between aerobic and anaerobic respiration, and infer the need for energy in various processes.")</f>
        <v>Students will explain the difference between aerobic and anaerobic respiration, and infer the need for energy in various processes.</v>
      </c>
      <c r="N27" s="2" t="str">
        <f t="shared" si="2"/>
        <v>LU005435.003</v>
      </c>
      <c r="O27" s="2" t="str">
        <f ca="1">IFERROR(__xludf.dummyfunction("VLOOKUP(N27, IMPORTRANGE(""https://docs.google.com/spreadsheets/d/1yDAaXNsi4Mr5FtRQL4tbmSdIzhx6_m4wkOD7IG-k_eo/edit#gid=1336395716"", ""Science!M:N""), 2, FALSE)"),"Students will distinguish where in the cell aerobic and anaerobic respiration occur.")</f>
        <v>Students will distinguish where in the cell aerobic and anaerobic respiration occur.</v>
      </c>
      <c r="P27" s="2" t="str">
        <f t="shared" si="3"/>
        <v>LU005435.004</v>
      </c>
      <c r="Q27" s="17" t="str">
        <f ca="1">IFERROR(__xludf.dummyfunction("VLOOKUP(P27, IMPORTRANGE(""https://docs.google.com/spreadsheets/d/1yDAaXNsi4Mr5FtRQL4tbmSdIzhx6_m4wkOD7IG-k_eo/edit#gid=1336395716"", ""Science!M:N""), 2, FALSE)"),"Students will analyze the products of aerobic and anaerobic respiration and their effects on an organism.")</f>
        <v>Students will analyze the products of aerobic and anaerobic respiration and their effects on an organism.</v>
      </c>
      <c r="R27" s="2" t="str">
        <f t="shared" si="4"/>
        <v>LU005435.005</v>
      </c>
      <c r="S27" s="17" t="str">
        <f ca="1">IFERROR(__xludf.dummyfunction("VLOOKUP(R27, IMPORTRANGE(""https://docs.google.com/spreadsheets/d/1yDAaXNsi4Mr5FtRQL4tbmSdIzhx6_m4wkOD7IG-k_eo/edit#gid=1336395716"", ""Science!M:N""), 2, FALSE)"),"Students will assess the advantages and disadvantages of aerobic and anaerobic respiration for different organisms.")</f>
        <v>Students will assess the advantages and disadvantages of aerobic and anaerobic respiration for different organisms.</v>
      </c>
      <c r="T27" s="2" t="str">
        <f t="shared" si="5"/>
        <v>LU005435.006</v>
      </c>
      <c r="U27" s="17" t="str">
        <f ca="1">IFERROR(__xludf.dummyfunction("VLOOKUP(T27, IMPORTRANGE(""https://docs.google.com/spreadsheets/d/1yDAaXNsi4Mr5FtRQL4tbmSdIzhx6_m4wkOD7IG-k_eo/edit#gid=1336395716"", ""Science!M:N""), 2, FALSE)"),"#N/A")</f>
        <v>#N/A</v>
      </c>
    </row>
    <row r="28" spans="1:21" ht="13.8">
      <c r="A28" s="1"/>
      <c r="B28" s="1" t="s">
        <v>29</v>
      </c>
      <c r="C28" s="13">
        <v>7</v>
      </c>
      <c r="D28" s="2" t="s">
        <v>1431</v>
      </c>
      <c r="E28" s="1" t="s">
        <v>1283</v>
      </c>
      <c r="F28" s="2" t="s">
        <v>1440</v>
      </c>
      <c r="G28" s="1" t="s">
        <v>1441</v>
      </c>
      <c r="H28" s="1" t="str">
        <f ca="1">IFERROR(__xludf.dummyfunction("IFERROR(
  VLOOKUP(G28, IMPORTRANGE(""https://docs.google.com/spreadsheets/d/14deopnvwcrKtEGCKuYXdUHJbeLDZlkiSSWWT0g7x2pM/edit#gid=849066331"", ""LU List Maths (Filter)!A:B""), 2, FALSE),
  IFERROR(
    VLOOKUP(G28, IMPORTRANGE(""https://docs.google.com/s"&amp;"preadsheets/d/14deopnvwcrKtEGCKuYXdUHJbeLDZlkiSSWWT0g7x2pM/edit#gid=849066331"", ""LU List Science (Filter)!A:B""), 2, FALSE),
    ""Not Found""
  )
)
"),"Introduction to respiration in Plants")</f>
        <v>Introduction to respiration in Plants</v>
      </c>
      <c r="J28" s="2" t="str">
        <f t="shared" si="0"/>
        <v>LU005443.001</v>
      </c>
      <c r="K28" s="2" t="str">
        <f ca="1">IFERROR(__xludf.dummyfunction("VLOOKUP(J28, IMPORTRANGE(""https://docs.google.com/spreadsheets/d/1yDAaXNsi4Mr5FtRQL4tbmSdIzhx6_m4wkOD7IG-k_eo/edit#gid=1336395716"", ""Science!M:N""), 2, FALSE)"),"Recall the basic concept of respiration in plants.")</f>
        <v>Recall the basic concept of respiration in plants.</v>
      </c>
      <c r="L28" s="2" t="str">
        <f t="shared" si="1"/>
        <v>LU005443.002</v>
      </c>
      <c r="M28" s="2" t="str">
        <f ca="1">IFERROR(__xludf.dummyfunction("VLOOKUP(L28, IMPORTRANGE(""https://docs.google.com/spreadsheets/d/1yDAaXNsi4Mr5FtRQL4tbmSdIzhx6_m4wkOD7IG-k_eo/edit#gid=1336395716"", ""Science!M:N""), 2, FALSE)"),"Explain how plants carry out respiration and why it is essential for their survival.")</f>
        <v>Explain how plants carry out respiration and why it is essential for their survival.</v>
      </c>
      <c r="N28" s="2" t="str">
        <f t="shared" si="2"/>
        <v>LU005443.003</v>
      </c>
      <c r="O28" s="2" t="str">
        <f ca="1">IFERROR(__xludf.dummyfunction("VLOOKUP(N28, IMPORTRANGE(""https://docs.google.com/spreadsheets/d/1yDAaXNsi4Mr5FtRQL4tbmSdIzhx6_m4wkOD7IG-k_eo/edit#gid=1336395716"", ""Science!M:N""), 2, FALSE)"),"Apply your understanding to describe the specific cellular structures in plants where respiration occurs and demonstrate respiration in plants.")</f>
        <v>Apply your understanding to describe the specific cellular structures in plants where respiration occurs and demonstrate respiration in plants.</v>
      </c>
      <c r="P28" s="2" t="str">
        <f t="shared" si="3"/>
        <v>LU005443.004</v>
      </c>
      <c r="Q28" s="17" t="str">
        <f ca="1">IFERROR(__xludf.dummyfunction("VLOOKUP(P28, IMPORTRANGE(""https://docs.google.com/spreadsheets/d/1yDAaXNsi4Mr5FtRQL4tbmSdIzhx6_m4wkOD7IG-k_eo/edit#gid=1336395716"", ""Science!M:N""), 2, FALSE)"),"Analyze the key differences between plant and animal respiration, focusing on the primary processes and inputs/outputs.")</f>
        <v>Analyze the key differences between plant and animal respiration, focusing on the primary processes and inputs/outputs.</v>
      </c>
      <c r="R28" s="2" t="str">
        <f t="shared" si="4"/>
        <v>LU005443.005</v>
      </c>
      <c r="S28" s="17" t="str">
        <f ca="1">IFERROR(__xludf.dummyfunction("VLOOKUP(R28, IMPORTRANGE(""https://docs.google.com/spreadsheets/d/1yDAaXNsi4Mr5FtRQL4tbmSdIzhx6_m4wkOD7IG-k_eo/edit#gid=1336395716"", ""Science!M:N""), 2, FALSE)"),"Default")</f>
        <v>Default</v>
      </c>
      <c r="T28" s="2" t="str">
        <f t="shared" si="5"/>
        <v>LU005443.006</v>
      </c>
      <c r="U28" s="17" t="str">
        <f ca="1">IFERROR(__xludf.dummyfunction("VLOOKUP(T28, IMPORTRANGE(""https://docs.google.com/spreadsheets/d/1yDAaXNsi4Mr5FtRQL4tbmSdIzhx6_m4wkOD7IG-k_eo/edit#gid=1336395716"", ""Science!M:N""), 2, FALSE)"),"Evaluate the significance of respiration in plants for maintaining a balance between oxygen and carbon dioxide levels in the environment and how it contributes to the overall ecosystem.")</f>
        <v>Evaluate the significance of respiration in plants for maintaining a balance between oxygen and carbon dioxide levels in the environment and how it contributes to the overall ecosystem.</v>
      </c>
    </row>
    <row r="29" spans="1:21" ht="27.6">
      <c r="A29" s="1"/>
      <c r="B29" s="1" t="s">
        <v>29</v>
      </c>
      <c r="C29" s="13">
        <v>7</v>
      </c>
      <c r="D29" s="2" t="s">
        <v>1431</v>
      </c>
      <c r="E29" s="1" t="s">
        <v>1283</v>
      </c>
      <c r="F29" s="2" t="s">
        <v>1442</v>
      </c>
      <c r="G29" s="1" t="s">
        <v>1443</v>
      </c>
      <c r="H29" s="1" t="str">
        <f ca="1">IFERROR(__xludf.dummyfunction("IFERROR(
  VLOOKUP(G29, IMPORTRANGE(""https://docs.google.com/spreadsheets/d/14deopnvwcrKtEGCKuYXdUHJbeLDZlkiSSWWT0g7x2pM/edit#gid=849066331"", ""LU List Maths (Filter)!A:B""), 2, FALSE),
  IFERROR(
    VLOOKUP(G29, IMPORTRANGE(""https://docs.google.com/s"&amp;"preadsheets/d/14deopnvwcrKtEGCKuYXdUHJbeLDZlkiSSWWT0g7x2pM/edit#gid=849066331"", ""LU List Science (Filter)!A:B""), 2, FALSE),
    ""Not Found""
  )
)
"),"Compare Photosynthesis and Respiration in Plants")</f>
        <v>Compare Photosynthesis and Respiration in Plants</v>
      </c>
      <c r="J29" s="2" t="str">
        <f t="shared" si="0"/>
        <v>LU005444.001</v>
      </c>
      <c r="K29" s="2" t="str">
        <f ca="1">IFERROR(__xludf.dummyfunction("VLOOKUP(J29, IMPORTRANGE(""https://docs.google.com/spreadsheets/d/1yDAaXNsi4Mr5FtRQL4tbmSdIzhx6_m4wkOD7IG-k_eo/edit#gid=1336395716"", ""Science!M:N""), 2, FALSE)"),"Recall the key processes of photosynthesis and respiration in plants.")</f>
        <v>Recall the key processes of photosynthesis and respiration in plants.</v>
      </c>
      <c r="L29" s="2" t="str">
        <f t="shared" si="1"/>
        <v>LU005444.002</v>
      </c>
      <c r="M29" s="2" t="str">
        <f ca="1">IFERROR(__xludf.dummyfunction("VLOOKUP(L29, IMPORTRANGE(""https://docs.google.com/spreadsheets/d/1yDAaXNsi4Mr5FtRQL4tbmSdIzhx6_m4wkOD7IG-k_eo/edit#gid=1336395716"", ""Science!M:N""), 2, FALSE)"),"Explain how photosynthesis and respiration are interconnected processes in plants, and how they contribute to the plant's overall energy balance.")</f>
        <v>Explain how photosynthesis and respiration are interconnected processes in plants, and how they contribute to the plant's overall energy balance.</v>
      </c>
      <c r="N29" s="2" t="str">
        <f t="shared" si="2"/>
        <v>LU005444.003</v>
      </c>
      <c r="O29" s="2" t="str">
        <f ca="1">IFERROR(__xludf.dummyfunction("VLOOKUP(N29, IMPORTRANGE(""https://docs.google.com/spreadsheets/d/1yDAaXNsi4Mr5FtRQL4tbmSdIzhx6_m4wkOD7IG-k_eo/edit#gid=1336395716"", ""Science!M:N""), 2, FALSE)"),"Apply your understanding of photosynthesis and respiration by describing how these two processes are interconnected.")</f>
        <v>Apply your understanding of photosynthesis and respiration by describing how these two processes are interconnected.</v>
      </c>
      <c r="P29" s="2" t="str">
        <f t="shared" si="3"/>
        <v>LU005444.004</v>
      </c>
      <c r="Q29" s="17" t="str">
        <f ca="1">IFERROR(__xludf.dummyfunction("VLOOKUP(P29, IMPORTRANGE(""https://docs.google.com/spreadsheets/d/1yDAaXNsi4Mr5FtRQL4tbmSdIzhx6_m4wkOD7IG-k_eo/edit#gid=1336395716"", ""Science!M:N""), 2, FALSE)"),"Analyze the relationship between photosynthesis and respiration, discussing how they form a balanced cycle, with products of one process serving as reactants for the other.")</f>
        <v>Analyze the relationship between photosynthesis and respiration, discussing how they form a balanced cycle, with products of one process serving as reactants for the other.</v>
      </c>
      <c r="R29" s="2" t="str">
        <f t="shared" si="4"/>
        <v>LU005444.005</v>
      </c>
      <c r="S29" s="17" t="str">
        <f ca="1">IFERROR(__xludf.dummyfunction("VLOOKUP(R29, IMPORTRANGE(""https://docs.google.com/spreadsheets/d/1yDAaXNsi4Mr5FtRQL4tbmSdIzhx6_m4wkOD7IG-k_eo/edit#gid=1336395716"", ""Science!M:N""), 2, FALSE)"),"Imagine you are a plant scientist. Develop a hands-on classroom activity that allows your peers to explore the interconnected processes of photosynthesis and respiration using simple materials. Provide step-by-step instructions, predict the observations, "&amp;"and explain the scientific concepts behind the activity.")</f>
        <v>Imagine you are a plant scientist. Develop a hands-on classroom activity that allows your peers to explore the interconnected processes of photosynthesis and respiration using simple materials. Provide step-by-step instructions, predict the observations, and explain the scientific concepts behind the activity.</v>
      </c>
      <c r="T29" s="2" t="str">
        <f t="shared" si="5"/>
        <v>LU005444.006</v>
      </c>
      <c r="U29" s="17" t="str">
        <f ca="1">IFERROR(__xludf.dummyfunction("VLOOKUP(T29, IMPORTRANGE(""https://docs.google.com/spreadsheets/d/1yDAaXNsi4Mr5FtRQL4tbmSdIzhx6_m4wkOD7IG-k_eo/edit#gid=1336395716"", ""Science!M:N""), 2, FALSE)"),"Evaluate the significance of the balance between photosynthesis and respiration for maintaining oxygen-carbon dioxide equilibrium in the atmosphere and sustaining plant growth.")</f>
        <v>Evaluate the significance of the balance between photosynthesis and respiration for maintaining oxygen-carbon dioxide equilibrium in the atmosphere and sustaining plant growth.</v>
      </c>
    </row>
    <row r="30" spans="1:21" ht="27.6">
      <c r="A30" s="1"/>
      <c r="B30" s="1" t="s">
        <v>29</v>
      </c>
      <c r="C30" s="13">
        <v>7</v>
      </c>
      <c r="D30" s="2" t="s">
        <v>1444</v>
      </c>
      <c r="E30" s="1" t="s">
        <v>1283</v>
      </c>
      <c r="F30" s="2" t="s">
        <v>1445</v>
      </c>
      <c r="G30" s="14" t="s">
        <v>1446</v>
      </c>
      <c r="H30" s="1" t="str">
        <f ca="1">IFERROR(__xludf.dummyfunction("IFERROR(
  VLOOKUP(G30, IMPORTRANGE(""https://docs.google.com/spreadsheets/d/14deopnvwcrKtEGCKuYXdUHJbeLDZlkiSSWWT0g7x2pM/edit#gid=849066331"", ""LU List Maths (Filter)!A:B""), 2, FALSE),
  IFERROR(
    VLOOKUP(G30, IMPORTRANGE(""https://docs.google.com/s"&amp;"preadsheets/d/14deopnvwcrKtEGCKuYXdUHJbeLDZlkiSSWWT0g7x2pM/edit#gid=849066331"", ""LU List Science (Filter)!A:B""), 2, FALSE),
    ""Not Found""
  )
)
"),"Organs and their excretory products (kidneys, sweat glands, lungs)")</f>
        <v>Organs and their excretory products (kidneys, sweat glands, lungs)</v>
      </c>
      <c r="J30" s="2" t="str">
        <f t="shared" si="0"/>
        <v>LU006624.001</v>
      </c>
      <c r="K30" s="2" t="str">
        <f ca="1">IFERROR(__xludf.dummyfunction("VLOOKUP(J30, IMPORTRANGE(""https://docs.google.com/spreadsheets/d/1yDAaXNsi4Mr5FtRQL4tbmSdIzhx6_m4wkOD7IG-k_eo/edit#gid=1336395716"", ""Science!M:N""), 2, FALSE)"),"(LU006624.001); Default - Remember")</f>
        <v>(LU006624.001); Default - Remember</v>
      </c>
      <c r="L30" s="2" t="str">
        <f t="shared" si="1"/>
        <v>LU006624.002</v>
      </c>
      <c r="M30" s="2" t="str">
        <f ca="1">IFERROR(__xludf.dummyfunction("VLOOKUP(L30, IMPORTRANGE(""https://docs.google.com/spreadsheets/d/1yDAaXNsi4Mr5FtRQL4tbmSdIzhx6_m4wkOD7IG-k_eo/edit#gid=1336395716"", ""Science!M:N""), 2, FALSE)"),"(LU006624.002); Default - Understand")</f>
        <v>(LU006624.002); Default - Understand</v>
      </c>
      <c r="N30" s="2" t="str">
        <f t="shared" si="2"/>
        <v>LU006624.003</v>
      </c>
      <c r="O30" s="2" t="str">
        <f ca="1">IFERROR(__xludf.dummyfunction("VLOOKUP(N30, IMPORTRANGE(""https://docs.google.com/spreadsheets/d/1yDAaXNsi4Mr5FtRQL4tbmSdIzhx6_m4wkOD7IG-k_eo/edit#gid=1336395716"", ""Science!M:N""), 2, FALSE)"),"(LU006624.003); Default - Apply")</f>
        <v>(LU006624.003); Default - Apply</v>
      </c>
      <c r="P30" s="2" t="str">
        <f t="shared" si="3"/>
        <v>LU006624.004</v>
      </c>
      <c r="Q30" s="17" t="str">
        <f ca="1">IFERROR(__xludf.dummyfunction("VLOOKUP(P30, IMPORTRANGE(""https://docs.google.com/spreadsheets/d/1yDAaXNsi4Mr5FtRQL4tbmSdIzhx6_m4wkOD7IG-k_eo/edit#gid=1336395716"", ""Science!M:N""), 2, FALSE)"),"(LU006624.004); Default - Analyse")</f>
        <v>(LU006624.004); Default - Analyse</v>
      </c>
      <c r="R30" s="2" t="str">
        <f t="shared" si="4"/>
        <v>LU006624.005</v>
      </c>
      <c r="S30" s="17" t="str">
        <f ca="1">IFERROR(__xludf.dummyfunction("VLOOKUP(R30, IMPORTRANGE(""https://docs.google.com/spreadsheets/d/1yDAaXNsi4Mr5FtRQL4tbmSdIzhx6_m4wkOD7IG-k_eo/edit#gid=1336395716"", ""Science!M:N""), 2, FALSE)"),"(LU006624.005); Default - Evaluate")</f>
        <v>(LU006624.005); Default - Evaluate</v>
      </c>
      <c r="T30" s="2" t="str">
        <f t="shared" si="5"/>
        <v>LU006624.006</v>
      </c>
      <c r="U30" s="17" t="str">
        <f ca="1">IFERROR(__xludf.dummyfunction("VLOOKUP(T30, IMPORTRANGE(""https://docs.google.com/spreadsheets/d/1yDAaXNsi4Mr5FtRQL4tbmSdIzhx6_m4wkOD7IG-k_eo/edit#gid=1336395716"", ""Science!M:N""), 2, FALSE)"),"(LU006624.006); Default - Create")</f>
        <v>(LU006624.006); Default - Create</v>
      </c>
    </row>
    <row r="31" spans="1:21" ht="41.4">
      <c r="A31" s="1"/>
      <c r="B31" s="1" t="s">
        <v>29</v>
      </c>
      <c r="C31" s="13">
        <v>7</v>
      </c>
      <c r="D31" s="2" t="s">
        <v>1444</v>
      </c>
      <c r="E31" s="1" t="s">
        <v>1283</v>
      </c>
      <c r="F31" s="2" t="s">
        <v>1447</v>
      </c>
      <c r="G31" s="14" t="s">
        <v>1448</v>
      </c>
      <c r="H31" s="1" t="str">
        <f ca="1">IFERROR(__xludf.dummyfunction("IFERROR(
  VLOOKUP(G31, IMPORTRANGE(""https://docs.google.com/spreadsheets/d/14deopnvwcrKtEGCKuYXdUHJbeLDZlkiSSWWT0g7x2pM/edit#gid=849066331"", ""LU List Maths (Filter)!A:B""), 2, FALSE),
  IFERROR(
    VLOOKUP(G31, IMPORTRANGE(""https://docs.google.com/s"&amp;"preadsheets/d/14deopnvwcrKtEGCKuYXdUHJbeLDZlkiSSWWT0g7x2pM/edit#gid=849066331"", ""LU List Science (Filter)!A:B""), 2, FALSE),
    ""Not Found""
  )
)
"),"Renal excretory system - kidneys, ureter, urinary bladder, urethra (location and functions)")</f>
        <v>Renal excretory system - kidneys, ureter, urinary bladder, urethra (location and functions)</v>
      </c>
      <c r="I31" s="2" t="s">
        <v>1449</v>
      </c>
      <c r="J31" s="2" t="str">
        <f t="shared" si="0"/>
        <v>LU006625.001</v>
      </c>
      <c r="K31" s="2" t="str">
        <f ca="1">IFERROR(__xludf.dummyfunction("VLOOKUP(J31, IMPORTRANGE(""https://docs.google.com/spreadsheets/d/1yDAaXNsi4Mr5FtRQL4tbmSdIzhx6_m4wkOD7IG-k_eo/edit#gid=1336395716"", ""Science!M:N""), 2, FALSE)"),"(LU006625.001); Default - Remember")</f>
        <v>(LU006625.001); Default - Remember</v>
      </c>
      <c r="L31" s="2" t="str">
        <f t="shared" si="1"/>
        <v>LU006625.002</v>
      </c>
      <c r="M31" s="2" t="str">
        <f ca="1">IFERROR(__xludf.dummyfunction("VLOOKUP(L31, IMPORTRANGE(""https://docs.google.com/spreadsheets/d/1yDAaXNsi4Mr5FtRQL4tbmSdIzhx6_m4wkOD7IG-k_eo/edit#gid=1336395716"", ""Science!M:N""), 2, FALSE)"),"(LU006625.002); Default - Understand")</f>
        <v>(LU006625.002); Default - Understand</v>
      </c>
      <c r="N31" s="2" t="str">
        <f t="shared" si="2"/>
        <v>LU006625.003</v>
      </c>
      <c r="O31" s="2" t="str">
        <f ca="1">IFERROR(__xludf.dummyfunction("VLOOKUP(N31, IMPORTRANGE(""https://docs.google.com/spreadsheets/d/1yDAaXNsi4Mr5FtRQL4tbmSdIzhx6_m4wkOD7IG-k_eo/edit#gid=1336395716"", ""Science!M:N""), 2, FALSE)"),"(LU006625.003); Default - Apply")</f>
        <v>(LU006625.003); Default - Apply</v>
      </c>
      <c r="P31" s="2" t="str">
        <f t="shared" si="3"/>
        <v>LU006625.004</v>
      </c>
      <c r="Q31" s="17" t="str">
        <f ca="1">IFERROR(__xludf.dummyfunction("VLOOKUP(P31, IMPORTRANGE(""https://docs.google.com/spreadsheets/d/1yDAaXNsi4Mr5FtRQL4tbmSdIzhx6_m4wkOD7IG-k_eo/edit#gid=1336395716"", ""Science!M:N""), 2, FALSE)"),"(LU006625.004); Default - Analyse")</f>
        <v>(LU006625.004); Default - Analyse</v>
      </c>
      <c r="R31" s="2" t="str">
        <f t="shared" si="4"/>
        <v>LU006625.005</v>
      </c>
      <c r="S31" s="17" t="str">
        <f ca="1">IFERROR(__xludf.dummyfunction("VLOOKUP(R31, IMPORTRANGE(""https://docs.google.com/spreadsheets/d/1yDAaXNsi4Mr5FtRQL4tbmSdIzhx6_m4wkOD7IG-k_eo/edit#gid=1336395716"", ""Science!M:N""), 2, FALSE)"),"(LU006625.005); Default - Evaluate")</f>
        <v>(LU006625.005); Default - Evaluate</v>
      </c>
      <c r="T31" s="2" t="str">
        <f t="shared" si="5"/>
        <v>LU006625.006</v>
      </c>
      <c r="U31" s="17" t="str">
        <f ca="1">IFERROR(__xludf.dummyfunction("VLOOKUP(T31, IMPORTRANGE(""https://docs.google.com/spreadsheets/d/1yDAaXNsi4Mr5FtRQL4tbmSdIzhx6_m4wkOD7IG-k_eo/edit#gid=1336395716"", ""Science!M:N""), 2, FALSE)"),"(LU006625.006); Default - Create")</f>
        <v>(LU006625.006); Default - Create</v>
      </c>
    </row>
    <row r="32" spans="1:21" ht="69">
      <c r="A32" s="1"/>
      <c r="B32" s="1" t="s">
        <v>29</v>
      </c>
      <c r="C32" s="13">
        <v>7</v>
      </c>
      <c r="D32" s="2" t="s">
        <v>1444</v>
      </c>
      <c r="E32" s="1" t="s">
        <v>1283</v>
      </c>
      <c r="F32" s="2" t="s">
        <v>1447</v>
      </c>
      <c r="G32" s="14" t="s">
        <v>1450</v>
      </c>
      <c r="H32" s="1" t="str">
        <f ca="1">IFERROR(__xludf.dummyfunction("IFERROR(
  VLOOKUP(G32, IMPORTRANGE(""https://docs.google.com/spreadsheets/d/14deopnvwcrKtEGCKuYXdUHJbeLDZlkiSSWWT0g7x2pM/edit#gid=849066331"", ""LU List Maths (Filter)!A:B""), 2, FALSE),
  IFERROR(
    VLOOKUP(G32, IMPORTRANGE(""https://docs.google.com/s"&amp;"preadsheets/d/14deopnvwcrKtEGCKuYXdUHJbeLDZlkiSSWWT0g7x2pM/edit#gid=849066331"", ""LU List Science (Filter)!A:B""), 2, FALSE),
    ""Not Found""
  )
)
"),"Role of kidneys infiltration of blood ")</f>
        <v xml:space="preserve">Role of kidneys infiltration of blood </v>
      </c>
      <c r="I32" s="1" t="s">
        <v>1451</v>
      </c>
      <c r="J32" s="2" t="str">
        <f t="shared" si="0"/>
        <v>LU006626.001</v>
      </c>
      <c r="K32" s="2" t="str">
        <f ca="1">IFERROR(__xludf.dummyfunction("VLOOKUP(J32, IMPORTRANGE(""https://docs.google.com/spreadsheets/d/1yDAaXNsi4Mr5FtRQL4tbmSdIzhx6_m4wkOD7IG-k_eo/edit#gid=1336395716"", ""Science!M:N""), 2, FALSE)"),"(LU006626.001); Default - Remember")</f>
        <v>(LU006626.001); Default - Remember</v>
      </c>
      <c r="L32" s="2" t="str">
        <f t="shared" si="1"/>
        <v>LU006626.002</v>
      </c>
      <c r="M32" s="2" t="str">
        <f ca="1">IFERROR(__xludf.dummyfunction("VLOOKUP(L32, IMPORTRANGE(""https://docs.google.com/spreadsheets/d/1yDAaXNsi4Mr5FtRQL4tbmSdIzhx6_m4wkOD7IG-k_eo/edit#gid=1336395716"", ""Science!M:N""), 2, FALSE)"),"(LU006626.002); Default - Understand")</f>
        <v>(LU006626.002); Default - Understand</v>
      </c>
      <c r="N32" s="2" t="str">
        <f t="shared" si="2"/>
        <v>LU006626.003</v>
      </c>
      <c r="O32" s="2" t="str">
        <f ca="1">IFERROR(__xludf.dummyfunction("VLOOKUP(N32, IMPORTRANGE(""https://docs.google.com/spreadsheets/d/1yDAaXNsi4Mr5FtRQL4tbmSdIzhx6_m4wkOD7IG-k_eo/edit#gid=1336395716"", ""Science!M:N""), 2, FALSE)"),"(LU006626.003); Default - Apply")</f>
        <v>(LU006626.003); Default - Apply</v>
      </c>
      <c r="P32" s="2" t="str">
        <f t="shared" si="3"/>
        <v>LU006626.004</v>
      </c>
      <c r="Q32" s="17" t="str">
        <f ca="1">IFERROR(__xludf.dummyfunction("VLOOKUP(P32, IMPORTRANGE(""https://docs.google.com/spreadsheets/d/1yDAaXNsi4Mr5FtRQL4tbmSdIzhx6_m4wkOD7IG-k_eo/edit#gid=1336395716"", ""Science!M:N""), 2, FALSE)"),"(LU006626.004); Default - Analyse")</f>
        <v>(LU006626.004); Default - Analyse</v>
      </c>
      <c r="R32" s="2" t="str">
        <f t="shared" si="4"/>
        <v>LU006626.005</v>
      </c>
      <c r="S32" s="17" t="str">
        <f ca="1">IFERROR(__xludf.dummyfunction("VLOOKUP(R32, IMPORTRANGE(""https://docs.google.com/spreadsheets/d/1yDAaXNsi4Mr5FtRQL4tbmSdIzhx6_m4wkOD7IG-k_eo/edit#gid=1336395716"", ""Science!M:N""), 2, FALSE)"),"(LU006626.005); Default - Evaluate")</f>
        <v>(LU006626.005); Default - Evaluate</v>
      </c>
      <c r="T32" s="2" t="str">
        <f t="shared" si="5"/>
        <v>LU006626.006</v>
      </c>
      <c r="U32" s="17" t="str">
        <f ca="1">IFERROR(__xludf.dummyfunction("VLOOKUP(T32, IMPORTRANGE(""https://docs.google.com/spreadsheets/d/1yDAaXNsi4Mr5FtRQL4tbmSdIzhx6_m4wkOD7IG-k_eo/edit#gid=1336395716"", ""Science!M:N""), 2, FALSE)"),"(LU006626.006); Default - Create")</f>
        <v>(LU006626.006); Default - Create</v>
      </c>
    </row>
    <row r="33" spans="1:21" ht="41.4">
      <c r="A33" s="1"/>
      <c r="B33" s="1" t="s">
        <v>29</v>
      </c>
      <c r="C33" s="13">
        <v>7</v>
      </c>
      <c r="D33" s="2" t="s">
        <v>1444</v>
      </c>
      <c r="E33" s="1" t="s">
        <v>1283</v>
      </c>
      <c r="F33" s="2" t="s">
        <v>1452</v>
      </c>
      <c r="G33" s="14" t="s">
        <v>1453</v>
      </c>
      <c r="H33" s="1" t="str">
        <f ca="1">IFERROR(__xludf.dummyfunction("IFERROR(
  VLOOKUP(G33, IMPORTRANGE(""https://docs.google.com/spreadsheets/d/14deopnvwcrKtEGCKuYXdUHJbeLDZlkiSSWWT0g7x2pM/edit#gid=849066331"", ""LU List Maths (Filter)!A:B""), 2, FALSE),
  IFERROR(
    VLOOKUP(G33, IMPORTRANGE(""https://docs.google.com/s"&amp;"preadsheets/d/14deopnvwcrKtEGCKuYXdUHJbeLDZlkiSSWWT0g7x2pM/edit#gid=849066331"", ""LU List Science (Filter)!A:B""), 2, FALSE),
    ""Not Found""
  )
)
"),"Common disorders of the urinary system(urinary tract Infection and kidney stone)")</f>
        <v>Common disorders of the urinary system(urinary tract Infection and kidney stone)</v>
      </c>
      <c r="I33" s="2" t="s">
        <v>1454</v>
      </c>
      <c r="J33" s="2" t="str">
        <f t="shared" si="0"/>
        <v>LU006627.001</v>
      </c>
      <c r="K33" s="2" t="str">
        <f ca="1">IFERROR(__xludf.dummyfunction("VLOOKUP(J33, IMPORTRANGE(""https://docs.google.com/spreadsheets/d/1yDAaXNsi4Mr5FtRQL4tbmSdIzhx6_m4wkOD7IG-k_eo/edit#gid=1336395716"", ""Science!M:N""), 2, FALSE)"),"(LU006627.001); Default - Remember")</f>
        <v>(LU006627.001); Default - Remember</v>
      </c>
      <c r="L33" s="2" t="str">
        <f t="shared" si="1"/>
        <v>LU006627.002</v>
      </c>
      <c r="M33" s="2" t="str">
        <f ca="1">IFERROR(__xludf.dummyfunction("VLOOKUP(L33, IMPORTRANGE(""https://docs.google.com/spreadsheets/d/1yDAaXNsi4Mr5FtRQL4tbmSdIzhx6_m4wkOD7IG-k_eo/edit#gid=1336395716"", ""Science!M:N""), 2, FALSE)"),"(LU006627.002); Default - Understand")</f>
        <v>(LU006627.002); Default - Understand</v>
      </c>
      <c r="N33" s="2" t="str">
        <f t="shared" si="2"/>
        <v>LU006627.003</v>
      </c>
      <c r="O33" s="2" t="str">
        <f ca="1">IFERROR(__xludf.dummyfunction("VLOOKUP(N33, IMPORTRANGE(""https://docs.google.com/spreadsheets/d/1yDAaXNsi4Mr5FtRQL4tbmSdIzhx6_m4wkOD7IG-k_eo/edit#gid=1336395716"", ""Science!M:N""), 2, FALSE)"),"(LU006627.003); Default - Apply")</f>
        <v>(LU006627.003); Default - Apply</v>
      </c>
      <c r="P33" s="2" t="str">
        <f t="shared" si="3"/>
        <v>LU006627.004</v>
      </c>
      <c r="Q33" s="17" t="str">
        <f ca="1">IFERROR(__xludf.dummyfunction("VLOOKUP(P33, IMPORTRANGE(""https://docs.google.com/spreadsheets/d/1yDAaXNsi4Mr5FtRQL4tbmSdIzhx6_m4wkOD7IG-k_eo/edit#gid=1336395716"", ""Science!M:N""), 2, FALSE)"),"(LU006627.004); Default - Analyse")</f>
        <v>(LU006627.004); Default - Analyse</v>
      </c>
      <c r="R33" s="2" t="str">
        <f t="shared" si="4"/>
        <v>LU006627.005</v>
      </c>
      <c r="S33" s="17" t="str">
        <f ca="1">IFERROR(__xludf.dummyfunction("VLOOKUP(R33, IMPORTRANGE(""https://docs.google.com/spreadsheets/d/1yDAaXNsi4Mr5FtRQL4tbmSdIzhx6_m4wkOD7IG-k_eo/edit#gid=1336395716"", ""Science!M:N""), 2, FALSE)"),"(LU006627.005); Default - Evaluate")</f>
        <v>(LU006627.005); Default - Evaluate</v>
      </c>
      <c r="T33" s="2" t="str">
        <f t="shared" si="5"/>
        <v>LU006627.006</v>
      </c>
      <c r="U33" s="17" t="str">
        <f ca="1">IFERROR(__xludf.dummyfunction("VLOOKUP(T33, IMPORTRANGE(""https://docs.google.com/spreadsheets/d/1yDAaXNsi4Mr5FtRQL4tbmSdIzhx6_m4wkOD7IG-k_eo/edit#gid=1336395716"", ""Science!M:N""), 2, FALSE)"),"(LU006627.006); Default - Create")</f>
        <v>(LU006627.006); Default - Create</v>
      </c>
    </row>
    <row r="34" spans="1:21" ht="27.6">
      <c r="A34" s="1"/>
      <c r="B34" s="1" t="s">
        <v>29</v>
      </c>
      <c r="C34" s="13">
        <v>7</v>
      </c>
      <c r="D34" s="2" t="s">
        <v>1444</v>
      </c>
      <c r="E34" s="1" t="s">
        <v>1283</v>
      </c>
      <c r="F34" s="2" t="s">
        <v>1455</v>
      </c>
      <c r="G34" s="14" t="s">
        <v>1456</v>
      </c>
      <c r="H34" s="1" t="str">
        <f ca="1">IFERROR(__xludf.dummyfunction("IFERROR(
  VLOOKUP(G34, IMPORTRANGE(""https://docs.google.com/spreadsheets/d/14deopnvwcrKtEGCKuYXdUHJbeLDZlkiSSWWT0g7x2pM/edit#gid=849066331"", ""LU List Maths (Filter)!A:B""), 2, FALSE),
  IFERROR(
    VLOOKUP(G34, IMPORTRANGE(""https://docs.google.com/s"&amp;"preadsheets/d/14deopnvwcrKtEGCKuYXdUHJbeLDZlkiSSWWT0g7x2pM/edit#gid=849066331"", ""LU List Science (Filter)!A:B""), 2, FALSE),
    ""Not Found""
  )
)
"),"Main parts of nervous system(brain, spinal cord, nerves)")</f>
        <v>Main parts of nervous system(brain, spinal cord, nerves)</v>
      </c>
      <c r="I34" s="2" t="s">
        <v>1457</v>
      </c>
      <c r="J34" s="2" t="str">
        <f t="shared" ref="J34:J68" si="6">G34 &amp; ".001"</f>
        <v>LU006628.001</v>
      </c>
      <c r="K34" s="2" t="str">
        <f ca="1">IFERROR(__xludf.dummyfunction("VLOOKUP(J34, IMPORTRANGE(""https://docs.google.com/spreadsheets/d/1yDAaXNsi4Mr5FtRQL4tbmSdIzhx6_m4wkOD7IG-k_eo/edit#gid=1336395716"", ""Science!M:N""), 2, FALSE)"),"(LU006628.001); Default - Remember")</f>
        <v>(LU006628.001); Default - Remember</v>
      </c>
      <c r="L34" s="2" t="str">
        <f t="shared" ref="L34:L68" si="7">G34 &amp; ".002"</f>
        <v>LU006628.002</v>
      </c>
      <c r="M34" s="2" t="str">
        <f ca="1">IFERROR(__xludf.dummyfunction("VLOOKUP(L34, IMPORTRANGE(""https://docs.google.com/spreadsheets/d/1yDAaXNsi4Mr5FtRQL4tbmSdIzhx6_m4wkOD7IG-k_eo/edit#gid=1336395716"", ""Science!M:N""), 2, FALSE)"),"(LU006628.002); Default - Understand")</f>
        <v>(LU006628.002); Default - Understand</v>
      </c>
      <c r="N34" s="2" t="str">
        <f t="shared" ref="N34:N68" si="8">G34 &amp; ".003"</f>
        <v>LU006628.003</v>
      </c>
      <c r="O34" s="2" t="str">
        <f ca="1">IFERROR(__xludf.dummyfunction("VLOOKUP(N34, IMPORTRANGE(""https://docs.google.com/spreadsheets/d/1yDAaXNsi4Mr5FtRQL4tbmSdIzhx6_m4wkOD7IG-k_eo/edit#gid=1336395716"", ""Science!M:N""), 2, FALSE)"),"(LU006628.003); Default - Apply")</f>
        <v>(LU006628.003); Default - Apply</v>
      </c>
      <c r="P34" s="2" t="str">
        <f t="shared" ref="P34:P68" si="9">G34 &amp; ".004"</f>
        <v>LU006628.004</v>
      </c>
      <c r="Q34" s="17" t="str">
        <f ca="1">IFERROR(__xludf.dummyfunction("VLOOKUP(P34, IMPORTRANGE(""https://docs.google.com/spreadsheets/d/1yDAaXNsi4Mr5FtRQL4tbmSdIzhx6_m4wkOD7IG-k_eo/edit#gid=1336395716"", ""Science!M:N""), 2, FALSE)"),"(LU006628.004); Default - Analyse")</f>
        <v>(LU006628.004); Default - Analyse</v>
      </c>
      <c r="R34" s="2" t="str">
        <f t="shared" ref="R34:R68" si="10">G34 &amp; ".005"</f>
        <v>LU006628.005</v>
      </c>
      <c r="S34" s="17" t="str">
        <f ca="1">IFERROR(__xludf.dummyfunction("VLOOKUP(R34, IMPORTRANGE(""https://docs.google.com/spreadsheets/d/1yDAaXNsi4Mr5FtRQL4tbmSdIzhx6_m4wkOD7IG-k_eo/edit#gid=1336395716"", ""Science!M:N""), 2, FALSE)"),"(LU006628.005); Default - Evaluate")</f>
        <v>(LU006628.005); Default - Evaluate</v>
      </c>
      <c r="T34" s="2" t="str">
        <f t="shared" ref="T34:T68" si="11">G34 &amp; ".006"</f>
        <v>LU006628.006</v>
      </c>
      <c r="U34" s="17" t="str">
        <f ca="1">IFERROR(__xludf.dummyfunction("VLOOKUP(T34, IMPORTRANGE(""https://docs.google.com/spreadsheets/d/1yDAaXNsi4Mr5FtRQL4tbmSdIzhx6_m4wkOD7IG-k_eo/edit#gid=1336395716"", ""Science!M:N""), 2, FALSE)"),"(LU006628.006); Default - Create")</f>
        <v>(LU006628.006); Default - Create</v>
      </c>
    </row>
    <row r="35" spans="1:21" ht="27.6">
      <c r="A35" s="1"/>
      <c r="B35" s="1" t="s">
        <v>29</v>
      </c>
      <c r="C35" s="13">
        <v>7</v>
      </c>
      <c r="D35" s="2" t="s">
        <v>1444</v>
      </c>
      <c r="E35" s="1" t="s">
        <v>1283</v>
      </c>
      <c r="F35" s="2" t="s">
        <v>1458</v>
      </c>
      <c r="G35" s="14" t="s">
        <v>1459</v>
      </c>
      <c r="H35" s="1" t="str">
        <f ca="1">IFERROR(__xludf.dummyfunction("IFERROR(
  VLOOKUP(G35, IMPORTRANGE(""https://docs.google.com/spreadsheets/d/14deopnvwcrKtEGCKuYXdUHJbeLDZlkiSSWWT0g7x2pM/edit#gid=849066331"", ""LU List Maths (Filter)!A:B""), 2, FALSE),
  IFERROR(
    VLOOKUP(G35, IMPORTRANGE(""https://docs.google.com/s"&amp;"preadsheets/d/14deopnvwcrKtEGCKuYXdUHJbeLDZlkiSSWWT0g7x2pM/edit#gid=849066331"", ""LU List Science (Filter)!A:B""), 2, FALSE),
    ""Not Found""
  )
)
"),"Brain-cerebrum, cerebellum, medulla oblongata (location and function)")</f>
        <v>Brain-cerebrum, cerebellum, medulla oblongata (location and function)</v>
      </c>
      <c r="I35" s="2" t="s">
        <v>1460</v>
      </c>
      <c r="J35" s="2" t="str">
        <f t="shared" si="6"/>
        <v>LU006629.001</v>
      </c>
      <c r="K35" s="2" t="str">
        <f ca="1">IFERROR(__xludf.dummyfunction("VLOOKUP(J35, IMPORTRANGE(""https://docs.google.com/spreadsheets/d/1yDAaXNsi4Mr5FtRQL4tbmSdIzhx6_m4wkOD7IG-k_eo/edit#gid=1336395716"", ""Science!M:N""), 2, FALSE)"),"(LU006629.001); Default - Remember")</f>
        <v>(LU006629.001); Default - Remember</v>
      </c>
      <c r="L35" s="2" t="str">
        <f t="shared" si="7"/>
        <v>LU006629.002</v>
      </c>
      <c r="M35" s="2" t="str">
        <f ca="1">IFERROR(__xludf.dummyfunction("VLOOKUP(L35, IMPORTRANGE(""https://docs.google.com/spreadsheets/d/1yDAaXNsi4Mr5FtRQL4tbmSdIzhx6_m4wkOD7IG-k_eo/edit#gid=1336395716"", ""Science!M:N""), 2, FALSE)"),"(LU006629.002); Default - Understand")</f>
        <v>(LU006629.002); Default - Understand</v>
      </c>
      <c r="N35" s="2" t="str">
        <f t="shared" si="8"/>
        <v>LU006629.003</v>
      </c>
      <c r="O35" s="2" t="str">
        <f ca="1">IFERROR(__xludf.dummyfunction("VLOOKUP(N35, IMPORTRANGE(""https://docs.google.com/spreadsheets/d/1yDAaXNsi4Mr5FtRQL4tbmSdIzhx6_m4wkOD7IG-k_eo/edit#gid=1336395716"", ""Science!M:N""), 2, FALSE)"),"(LU006629.003); Default - Apply")</f>
        <v>(LU006629.003); Default - Apply</v>
      </c>
      <c r="P35" s="2" t="str">
        <f t="shared" si="9"/>
        <v>LU006629.004</v>
      </c>
      <c r="Q35" s="17" t="str">
        <f ca="1">IFERROR(__xludf.dummyfunction("VLOOKUP(P35, IMPORTRANGE(""https://docs.google.com/spreadsheets/d/1yDAaXNsi4Mr5FtRQL4tbmSdIzhx6_m4wkOD7IG-k_eo/edit#gid=1336395716"", ""Science!M:N""), 2, FALSE)"),"(LU006629.004); Default - Analyse")</f>
        <v>(LU006629.004); Default - Analyse</v>
      </c>
      <c r="R35" s="2" t="str">
        <f t="shared" si="10"/>
        <v>LU006629.005</v>
      </c>
      <c r="S35" s="17" t="str">
        <f ca="1">IFERROR(__xludf.dummyfunction("VLOOKUP(R35, IMPORTRANGE(""https://docs.google.com/spreadsheets/d/1yDAaXNsi4Mr5FtRQL4tbmSdIzhx6_m4wkOD7IG-k_eo/edit#gid=1336395716"", ""Science!M:N""), 2, FALSE)"),"(LU006629.005); Default - Evaluate")</f>
        <v>(LU006629.005); Default - Evaluate</v>
      </c>
      <c r="T35" s="2" t="str">
        <f t="shared" si="11"/>
        <v>LU006629.006</v>
      </c>
      <c r="U35" s="17" t="str">
        <f ca="1">IFERROR(__xludf.dummyfunction("VLOOKUP(T35, IMPORTRANGE(""https://docs.google.com/spreadsheets/d/1yDAaXNsi4Mr5FtRQL4tbmSdIzhx6_m4wkOD7IG-k_eo/edit#gid=1336395716"", ""Science!M:N""), 2, FALSE)"),"(LU006629.006); Default - Create")</f>
        <v>(LU006629.006); Default - Create</v>
      </c>
    </row>
    <row r="36" spans="1:21" ht="13.8">
      <c r="A36" s="1"/>
      <c r="B36" s="1" t="s">
        <v>29</v>
      </c>
      <c r="C36" s="13">
        <v>7</v>
      </c>
      <c r="D36" s="2" t="s">
        <v>1444</v>
      </c>
      <c r="E36" s="1" t="s">
        <v>1283</v>
      </c>
      <c r="F36" s="2" t="s">
        <v>1458</v>
      </c>
      <c r="G36" s="14" t="s">
        <v>1461</v>
      </c>
      <c r="H36" s="1" t="str">
        <f ca="1">IFERROR(__xludf.dummyfunction("IFERROR(
  VLOOKUP(G36, IMPORTRANGE(""https://docs.google.com/spreadsheets/d/14deopnvwcrKtEGCKuYXdUHJbeLDZlkiSSWWT0g7x2pM/edit#gid=849066331"", ""LU List Maths (Filter)!A:B""), 2, FALSE),
  IFERROR(
    VLOOKUP(G36, IMPORTRANGE(""https://docs.google.com/s"&amp;"preadsheets/d/14deopnvwcrKtEGCKuYXdUHJbeLDZlkiSSWWT0g7x2pM/edit#gid=849066331"", ""LU List Science (Filter)!A:B""), 2, FALSE),
    ""Not Found""
  )
)
"),"Spinal cord(location and function)")</f>
        <v>Spinal cord(location and function)</v>
      </c>
      <c r="I36" s="2" t="s">
        <v>1460</v>
      </c>
      <c r="J36" s="2" t="str">
        <f t="shared" si="6"/>
        <v>LU006630.001</v>
      </c>
      <c r="K36" s="2" t="str">
        <f ca="1">IFERROR(__xludf.dummyfunction("VLOOKUP(J36, IMPORTRANGE(""https://docs.google.com/spreadsheets/d/1yDAaXNsi4Mr5FtRQL4tbmSdIzhx6_m4wkOD7IG-k_eo/edit#gid=1336395716"", ""Science!M:N""), 2, FALSE)"),"(LU006630.001); Default - Remember")</f>
        <v>(LU006630.001); Default - Remember</v>
      </c>
      <c r="L36" s="2" t="str">
        <f t="shared" si="7"/>
        <v>LU006630.002</v>
      </c>
      <c r="M36" s="2" t="str">
        <f ca="1">IFERROR(__xludf.dummyfunction("VLOOKUP(L36, IMPORTRANGE(""https://docs.google.com/spreadsheets/d/1yDAaXNsi4Mr5FtRQL4tbmSdIzhx6_m4wkOD7IG-k_eo/edit#gid=1336395716"", ""Science!M:N""), 2, FALSE)"),"(LU006630.002); Default - Understand")</f>
        <v>(LU006630.002); Default - Understand</v>
      </c>
      <c r="N36" s="2" t="str">
        <f t="shared" si="8"/>
        <v>LU006630.003</v>
      </c>
      <c r="O36" s="2" t="str">
        <f ca="1">IFERROR(__xludf.dummyfunction("VLOOKUP(N36, IMPORTRANGE(""https://docs.google.com/spreadsheets/d/1yDAaXNsi4Mr5FtRQL4tbmSdIzhx6_m4wkOD7IG-k_eo/edit#gid=1336395716"", ""Science!M:N""), 2, FALSE)"),"(LU006630.003); Default - Apply")</f>
        <v>(LU006630.003); Default - Apply</v>
      </c>
      <c r="P36" s="2" t="str">
        <f t="shared" si="9"/>
        <v>LU006630.004</v>
      </c>
      <c r="Q36" s="17" t="str">
        <f ca="1">IFERROR(__xludf.dummyfunction("VLOOKUP(P36, IMPORTRANGE(""https://docs.google.com/spreadsheets/d/1yDAaXNsi4Mr5FtRQL4tbmSdIzhx6_m4wkOD7IG-k_eo/edit#gid=1336395716"", ""Science!M:N""), 2, FALSE)"),"(LU006630.004); Default - Analyse")</f>
        <v>(LU006630.004); Default - Analyse</v>
      </c>
      <c r="R36" s="2" t="str">
        <f t="shared" si="10"/>
        <v>LU006630.005</v>
      </c>
      <c r="S36" s="17" t="str">
        <f ca="1">IFERROR(__xludf.dummyfunction("VLOOKUP(R36, IMPORTRANGE(""https://docs.google.com/spreadsheets/d/1yDAaXNsi4Mr5FtRQL4tbmSdIzhx6_m4wkOD7IG-k_eo/edit#gid=1336395716"", ""Science!M:N""), 2, FALSE)"),"(LU006630.005); Default - Evaluate")</f>
        <v>(LU006630.005); Default - Evaluate</v>
      </c>
      <c r="T36" s="2" t="str">
        <f t="shared" si="11"/>
        <v>LU006630.006</v>
      </c>
      <c r="U36" s="17" t="str">
        <f ca="1">IFERROR(__xludf.dummyfunction("VLOOKUP(T36, IMPORTRANGE(""https://docs.google.com/spreadsheets/d/1yDAaXNsi4Mr5FtRQL4tbmSdIzhx6_m4wkOD7IG-k_eo/edit#gid=1336395716"", ""Science!M:N""), 2, FALSE)"),"(LU006630.006); Default - Create")</f>
        <v>(LU006630.006); Default - Create</v>
      </c>
    </row>
    <row r="37" spans="1:21" ht="27.6">
      <c r="A37" s="1"/>
      <c r="B37" s="1" t="s">
        <v>29</v>
      </c>
      <c r="C37" s="13">
        <v>7</v>
      </c>
      <c r="D37" s="2" t="s">
        <v>1444</v>
      </c>
      <c r="E37" s="1" t="s">
        <v>1283</v>
      </c>
      <c r="F37" s="2" t="s">
        <v>1458</v>
      </c>
      <c r="G37" s="14" t="s">
        <v>1462</v>
      </c>
      <c r="H37" s="1" t="str">
        <f ca="1">IFERROR(__xludf.dummyfunction("IFERROR(
  VLOOKUP(G37, IMPORTRANGE(""https://docs.google.com/spreadsheets/d/14deopnvwcrKtEGCKuYXdUHJbeLDZlkiSSWWT0g7x2pM/edit#gid=849066331"", ""LU List Maths (Filter)!A:B""), 2, FALSE),
  IFERROR(
    VLOOKUP(G37, IMPORTRANGE(""https://docs.google.com/s"&amp;"preadsheets/d/14deopnvwcrKtEGCKuYXdUHJbeLDZlkiSSWWT0g7x2pM/edit#gid=849066331"", ""LU List Science (Filter)!A:B""), 2, FALSE),
    ""Not Found""
  )
)
"),"Nerves(definition and their general function)")</f>
        <v>Nerves(definition and their general function)</v>
      </c>
      <c r="I37" s="2" t="s">
        <v>1463</v>
      </c>
      <c r="J37" s="2" t="str">
        <f t="shared" si="6"/>
        <v>LU006631.001</v>
      </c>
      <c r="K37" s="2" t="str">
        <f ca="1">IFERROR(__xludf.dummyfunction("VLOOKUP(J37, IMPORTRANGE(""https://docs.google.com/spreadsheets/d/1yDAaXNsi4Mr5FtRQL4tbmSdIzhx6_m4wkOD7IG-k_eo/edit#gid=1336395716"", ""Science!M:N""), 2, FALSE)"),"(LU006631.001); Default - Remember")</f>
        <v>(LU006631.001); Default - Remember</v>
      </c>
      <c r="L37" s="2" t="str">
        <f t="shared" si="7"/>
        <v>LU006631.002</v>
      </c>
      <c r="M37" s="2" t="str">
        <f ca="1">IFERROR(__xludf.dummyfunction("VLOOKUP(L37, IMPORTRANGE(""https://docs.google.com/spreadsheets/d/1yDAaXNsi4Mr5FtRQL4tbmSdIzhx6_m4wkOD7IG-k_eo/edit#gid=1336395716"", ""Science!M:N""), 2, FALSE)"),"(LU006631.002); Default - Understand")</f>
        <v>(LU006631.002); Default - Understand</v>
      </c>
      <c r="N37" s="2" t="str">
        <f t="shared" si="8"/>
        <v>LU006631.003</v>
      </c>
      <c r="O37" s="2" t="str">
        <f ca="1">IFERROR(__xludf.dummyfunction("VLOOKUP(N37, IMPORTRANGE(""https://docs.google.com/spreadsheets/d/1yDAaXNsi4Mr5FtRQL4tbmSdIzhx6_m4wkOD7IG-k_eo/edit#gid=1336395716"", ""Science!M:N""), 2, FALSE)"),"(LU006631.003); Default - Apply")</f>
        <v>(LU006631.003); Default - Apply</v>
      </c>
      <c r="P37" s="2" t="str">
        <f t="shared" si="9"/>
        <v>LU006631.004</v>
      </c>
      <c r="Q37" s="17" t="str">
        <f ca="1">IFERROR(__xludf.dummyfunction("VLOOKUP(P37, IMPORTRANGE(""https://docs.google.com/spreadsheets/d/1yDAaXNsi4Mr5FtRQL4tbmSdIzhx6_m4wkOD7IG-k_eo/edit#gid=1336395716"", ""Science!M:N""), 2, FALSE)"),"(LU006631.004); Default - Analyse")</f>
        <v>(LU006631.004); Default - Analyse</v>
      </c>
      <c r="R37" s="2" t="str">
        <f t="shared" si="10"/>
        <v>LU006631.005</v>
      </c>
      <c r="S37" s="17" t="str">
        <f ca="1">IFERROR(__xludf.dummyfunction("VLOOKUP(R37, IMPORTRANGE(""https://docs.google.com/spreadsheets/d/1yDAaXNsi4Mr5FtRQL4tbmSdIzhx6_m4wkOD7IG-k_eo/edit#gid=1336395716"", ""Science!M:N""), 2, FALSE)"),"(LU006631.005); Default - Evaluate")</f>
        <v>(LU006631.005); Default - Evaluate</v>
      </c>
      <c r="T37" s="2" t="str">
        <f t="shared" si="11"/>
        <v>LU006631.006</v>
      </c>
      <c r="U37" s="17" t="str">
        <f ca="1">IFERROR(__xludf.dummyfunction("VLOOKUP(T37, IMPORTRANGE(""https://docs.google.com/spreadsheets/d/1yDAaXNsi4Mr5FtRQL4tbmSdIzhx6_m4wkOD7IG-k_eo/edit#gid=1336395716"", ""Science!M:N""), 2, FALSE)"),"(LU006631.006); Default - Create")</f>
        <v>(LU006631.006); Default - Create</v>
      </c>
    </row>
    <row r="38" spans="1:21" ht="13.8">
      <c r="A38" s="1"/>
      <c r="B38" s="1" t="s">
        <v>29</v>
      </c>
      <c r="C38" s="13">
        <v>7</v>
      </c>
      <c r="D38" s="2" t="s">
        <v>1464</v>
      </c>
      <c r="E38" s="1" t="s">
        <v>1283</v>
      </c>
      <c r="F38" s="2" t="s">
        <v>1465</v>
      </c>
      <c r="G38" s="14" t="s">
        <v>1466</v>
      </c>
      <c r="H38" s="1" t="str">
        <f ca="1">IFERROR(__xludf.dummyfunction("IFERROR(
  VLOOKUP(G38, IMPORTRANGE(""https://docs.google.com/spreadsheets/d/14deopnvwcrKtEGCKuYXdUHJbeLDZlkiSSWWT0g7x2pM/edit#gid=849066331"", ""LU List Maths (Filter)!A:B""), 2, FALSE),
  IFERROR(
    VLOOKUP(G38, IMPORTRANGE(""https://docs.google.com/s"&amp;"preadsheets/d/14deopnvwcrKtEGCKuYXdUHJbeLDZlkiSSWWT0g7x2pM/edit#gid=849066331"", ""LU List Science (Filter)!A:B""), 2, FALSE),
    ""Not Found""
  )
)
"),"Concept of allergy and allergens")</f>
        <v>Concept of allergy and allergens</v>
      </c>
      <c r="I38" s="2" t="s">
        <v>1467</v>
      </c>
      <c r="J38" s="2" t="str">
        <f t="shared" si="6"/>
        <v>LU006632.001</v>
      </c>
      <c r="K38" s="2" t="str">
        <f ca="1">IFERROR(__xludf.dummyfunction("VLOOKUP(J38, IMPORTRANGE(""https://docs.google.com/spreadsheets/d/1yDAaXNsi4Mr5FtRQL4tbmSdIzhx6_m4wkOD7IG-k_eo/edit#gid=1336395716"", ""Science!M:N""), 2, FALSE)"),"(LU006632.001); Default - Remember")</f>
        <v>(LU006632.001); Default - Remember</v>
      </c>
      <c r="L38" s="2" t="str">
        <f t="shared" si="7"/>
        <v>LU006632.002</v>
      </c>
      <c r="M38" s="2" t="str">
        <f ca="1">IFERROR(__xludf.dummyfunction("VLOOKUP(L38, IMPORTRANGE(""https://docs.google.com/spreadsheets/d/1yDAaXNsi4Mr5FtRQL4tbmSdIzhx6_m4wkOD7IG-k_eo/edit#gid=1336395716"", ""Science!M:N""), 2, FALSE)"),"(LU006632.002); Default - Understand")</f>
        <v>(LU006632.002); Default - Understand</v>
      </c>
      <c r="N38" s="2" t="str">
        <f t="shared" si="8"/>
        <v>LU006632.003</v>
      </c>
      <c r="O38" s="2" t="str">
        <f ca="1">IFERROR(__xludf.dummyfunction("VLOOKUP(N38, IMPORTRANGE(""https://docs.google.com/spreadsheets/d/1yDAaXNsi4Mr5FtRQL4tbmSdIzhx6_m4wkOD7IG-k_eo/edit#gid=1336395716"", ""Science!M:N""), 2, FALSE)"),"(LU006632.003); Default - Apply")</f>
        <v>(LU006632.003); Default - Apply</v>
      </c>
      <c r="P38" s="2" t="str">
        <f t="shared" si="9"/>
        <v>LU006632.004</v>
      </c>
      <c r="Q38" s="17" t="str">
        <f ca="1">IFERROR(__xludf.dummyfunction("VLOOKUP(P38, IMPORTRANGE(""https://docs.google.com/spreadsheets/d/1yDAaXNsi4Mr5FtRQL4tbmSdIzhx6_m4wkOD7IG-k_eo/edit#gid=1336395716"", ""Science!M:N""), 2, FALSE)"),"(LU006632.004); Default - Analyse")</f>
        <v>(LU006632.004); Default - Analyse</v>
      </c>
      <c r="R38" s="2" t="str">
        <f t="shared" si="10"/>
        <v>LU006632.005</v>
      </c>
      <c r="S38" s="17" t="str">
        <f ca="1">IFERROR(__xludf.dummyfunction("VLOOKUP(R38, IMPORTRANGE(""https://docs.google.com/spreadsheets/d/1yDAaXNsi4Mr5FtRQL4tbmSdIzhx6_m4wkOD7IG-k_eo/edit#gid=1336395716"", ""Science!M:N""), 2, FALSE)"),"(LU006632.005); Default - Evaluate")</f>
        <v>(LU006632.005); Default - Evaluate</v>
      </c>
      <c r="T38" s="2" t="str">
        <f t="shared" si="11"/>
        <v>LU006632.006</v>
      </c>
      <c r="U38" s="17" t="str">
        <f ca="1">IFERROR(__xludf.dummyfunction("VLOOKUP(T38, IMPORTRANGE(""https://docs.google.com/spreadsheets/d/1yDAaXNsi4Mr5FtRQL4tbmSdIzhx6_m4wkOD7IG-k_eo/edit#gid=1336395716"", ""Science!M:N""), 2, FALSE)"),"(LU006632.006); Default - Create")</f>
        <v>(LU006632.006); Default - Create</v>
      </c>
    </row>
    <row r="39" spans="1:21" ht="27.6">
      <c r="A39" s="1"/>
      <c r="B39" s="1" t="s">
        <v>29</v>
      </c>
      <c r="C39" s="13">
        <v>7</v>
      </c>
      <c r="D39" s="2" t="s">
        <v>1464</v>
      </c>
      <c r="E39" s="1" t="s">
        <v>1283</v>
      </c>
      <c r="F39" s="2" t="s">
        <v>1465</v>
      </c>
      <c r="G39" s="14" t="s">
        <v>1468</v>
      </c>
      <c r="H39" s="1" t="str">
        <f ca="1">IFERROR(__xludf.dummyfunction("IFERROR(
  VLOOKUP(G39, IMPORTRANGE(""https://docs.google.com/spreadsheets/d/14deopnvwcrKtEGCKuYXdUHJbeLDZlkiSSWWT0g7x2pM/edit#gid=849066331"", ""LU List Maths (Filter)!A:B""), 2, FALSE),
  IFERROR(
    VLOOKUP(G39, IMPORTRANGE(""https://docs.google.com/s"&amp;"preadsheets/d/14deopnvwcrKtEGCKuYXdUHJbeLDZlkiSSWWT0g7x2pM/edit#gid=849066331"", ""LU List Science (Filter)!A:B""), 2, FALSE),
    ""Not Found""
  )
)
"),"Entry routes of allergens(mouth, nose, skin) ")</f>
        <v xml:space="preserve">Entry routes of allergens(mouth, nose, skin) </v>
      </c>
      <c r="J39" s="2" t="str">
        <f t="shared" si="6"/>
        <v>LU006633.001</v>
      </c>
      <c r="K39" s="2" t="str">
        <f ca="1">IFERROR(__xludf.dummyfunction("VLOOKUP(J39, IMPORTRANGE(""https://docs.google.com/spreadsheets/d/1yDAaXNsi4Mr5FtRQL4tbmSdIzhx6_m4wkOD7IG-k_eo/edit#gid=1336395716"", ""Science!M:N""), 2, FALSE)"),"(LU006633.001); Default - Remember")</f>
        <v>(LU006633.001); Default - Remember</v>
      </c>
      <c r="L39" s="2" t="str">
        <f t="shared" si="7"/>
        <v>LU006633.002</v>
      </c>
      <c r="M39" s="2" t="str">
        <f ca="1">IFERROR(__xludf.dummyfunction("VLOOKUP(L39, IMPORTRANGE(""https://docs.google.com/spreadsheets/d/1yDAaXNsi4Mr5FtRQL4tbmSdIzhx6_m4wkOD7IG-k_eo/edit#gid=1336395716"", ""Science!M:N""), 2, FALSE)"),"(LU006633.002); Default - Understand")</f>
        <v>(LU006633.002); Default - Understand</v>
      </c>
      <c r="N39" s="2" t="str">
        <f t="shared" si="8"/>
        <v>LU006633.003</v>
      </c>
      <c r="O39" s="2" t="str">
        <f ca="1">IFERROR(__xludf.dummyfunction("VLOOKUP(N39, IMPORTRANGE(""https://docs.google.com/spreadsheets/d/1yDAaXNsi4Mr5FtRQL4tbmSdIzhx6_m4wkOD7IG-k_eo/edit#gid=1336395716"", ""Science!M:N""), 2, FALSE)"),"(LU006633.003); Default - Apply")</f>
        <v>(LU006633.003); Default - Apply</v>
      </c>
      <c r="P39" s="2" t="str">
        <f t="shared" si="9"/>
        <v>LU006633.004</v>
      </c>
      <c r="Q39" s="17" t="str">
        <f ca="1">IFERROR(__xludf.dummyfunction("VLOOKUP(P39, IMPORTRANGE(""https://docs.google.com/spreadsheets/d/1yDAaXNsi4Mr5FtRQL4tbmSdIzhx6_m4wkOD7IG-k_eo/edit#gid=1336395716"", ""Science!M:N""), 2, FALSE)"),"(LU006633.004); Default - Analyse")</f>
        <v>(LU006633.004); Default - Analyse</v>
      </c>
      <c r="R39" s="2" t="str">
        <f t="shared" si="10"/>
        <v>LU006633.005</v>
      </c>
      <c r="S39" s="17" t="str">
        <f ca="1">IFERROR(__xludf.dummyfunction("VLOOKUP(R39, IMPORTRANGE(""https://docs.google.com/spreadsheets/d/1yDAaXNsi4Mr5FtRQL4tbmSdIzhx6_m4wkOD7IG-k_eo/edit#gid=1336395716"", ""Science!M:N""), 2, FALSE)"),"(LU006633.005); Default - Evaluate")</f>
        <v>(LU006633.005); Default - Evaluate</v>
      </c>
      <c r="T39" s="2" t="str">
        <f t="shared" si="11"/>
        <v>LU006633.006</v>
      </c>
      <c r="U39" s="17" t="str">
        <f ca="1">IFERROR(__xludf.dummyfunction("VLOOKUP(T39, IMPORTRANGE(""https://docs.google.com/spreadsheets/d/1yDAaXNsi4Mr5FtRQL4tbmSdIzhx6_m4wkOD7IG-k_eo/edit#gid=1336395716"", ""Science!M:N""), 2, FALSE)"),"(LU006633.006); Default - Create")</f>
        <v>(LU006633.006); Default - Create</v>
      </c>
    </row>
    <row r="40" spans="1:21" ht="13.8">
      <c r="A40" s="1"/>
      <c r="B40" s="1" t="s">
        <v>29</v>
      </c>
      <c r="C40" s="13">
        <v>7</v>
      </c>
      <c r="D40" s="2" t="s">
        <v>1464</v>
      </c>
      <c r="E40" s="1" t="s">
        <v>1283</v>
      </c>
      <c r="F40" s="2" t="s">
        <v>1465</v>
      </c>
      <c r="G40" s="14" t="s">
        <v>1469</v>
      </c>
      <c r="H40" s="1" t="str">
        <f ca="1">IFERROR(__xludf.dummyfunction("IFERROR(
  VLOOKUP(G40, IMPORTRANGE(""https://docs.google.com/spreadsheets/d/14deopnvwcrKtEGCKuYXdUHJbeLDZlkiSSWWT0g7x2pM/edit#gid=849066331"", ""LU List Maths (Filter)!A:B""), 2, FALSE),
  IFERROR(
    VLOOKUP(G40, IMPORTRANGE(""https://docs.google.com/s"&amp;"preadsheets/d/14deopnvwcrKtEGCKuYXdUHJbeLDZlkiSSWWT0g7x2pM/edit#gid=849066331"", ""LU List Science (Filter)!A:B""), 2, FALSE),
    ""Not Found""
  )
)
"),"Allergic reaction and symptoms")</f>
        <v>Allergic reaction and symptoms</v>
      </c>
      <c r="J40" s="2" t="str">
        <f t="shared" si="6"/>
        <v>LU006634.001</v>
      </c>
      <c r="K40" s="2" t="str">
        <f ca="1">IFERROR(__xludf.dummyfunction("VLOOKUP(J40, IMPORTRANGE(""https://docs.google.com/spreadsheets/d/1yDAaXNsi4Mr5FtRQL4tbmSdIzhx6_m4wkOD7IG-k_eo/edit#gid=1336395716"", ""Science!M:N""), 2, FALSE)"),"(LU006634.001); Default - Remember")</f>
        <v>(LU006634.001); Default - Remember</v>
      </c>
      <c r="L40" s="2" t="str">
        <f t="shared" si="7"/>
        <v>LU006634.002</v>
      </c>
      <c r="M40" s="2" t="str">
        <f ca="1">IFERROR(__xludf.dummyfunction("VLOOKUP(L40, IMPORTRANGE(""https://docs.google.com/spreadsheets/d/1yDAaXNsi4Mr5FtRQL4tbmSdIzhx6_m4wkOD7IG-k_eo/edit#gid=1336395716"", ""Science!M:N""), 2, FALSE)"),"(LU006634.002); Default - Understand")</f>
        <v>(LU006634.002); Default - Understand</v>
      </c>
      <c r="N40" s="2" t="str">
        <f t="shared" si="8"/>
        <v>LU006634.003</v>
      </c>
      <c r="O40" s="2" t="str">
        <f ca="1">IFERROR(__xludf.dummyfunction("VLOOKUP(N40, IMPORTRANGE(""https://docs.google.com/spreadsheets/d/1yDAaXNsi4Mr5FtRQL4tbmSdIzhx6_m4wkOD7IG-k_eo/edit#gid=1336395716"", ""Science!M:N""), 2, FALSE)"),"(LU006634.003); Default - Apply")</f>
        <v>(LU006634.003); Default - Apply</v>
      </c>
      <c r="P40" s="2" t="str">
        <f t="shared" si="9"/>
        <v>LU006634.004</v>
      </c>
      <c r="Q40" s="17" t="str">
        <f ca="1">IFERROR(__xludf.dummyfunction("VLOOKUP(P40, IMPORTRANGE(""https://docs.google.com/spreadsheets/d/1yDAaXNsi4Mr5FtRQL4tbmSdIzhx6_m4wkOD7IG-k_eo/edit#gid=1336395716"", ""Science!M:N""), 2, FALSE)"),"(LU006634.004); Default - Analyse")</f>
        <v>(LU006634.004); Default - Analyse</v>
      </c>
      <c r="R40" s="2" t="str">
        <f t="shared" si="10"/>
        <v>LU006634.005</v>
      </c>
      <c r="S40" s="17" t="str">
        <f ca="1">IFERROR(__xludf.dummyfunction("VLOOKUP(R40, IMPORTRANGE(""https://docs.google.com/spreadsheets/d/1yDAaXNsi4Mr5FtRQL4tbmSdIzhx6_m4wkOD7IG-k_eo/edit#gid=1336395716"", ""Science!M:N""), 2, FALSE)"),"(LU006634.005); Default - Evaluate")</f>
        <v>(LU006634.005); Default - Evaluate</v>
      </c>
      <c r="T40" s="2" t="str">
        <f t="shared" si="11"/>
        <v>LU006634.006</v>
      </c>
      <c r="U40" s="17" t="str">
        <f ca="1">IFERROR(__xludf.dummyfunction("VLOOKUP(T40, IMPORTRANGE(""https://docs.google.com/spreadsheets/d/1yDAaXNsi4Mr5FtRQL4tbmSdIzhx6_m4wkOD7IG-k_eo/edit#gid=1336395716"", ""Science!M:N""), 2, FALSE)"),"(LU006634.006); Default - Create")</f>
        <v>(LU006634.006); Default - Create</v>
      </c>
    </row>
    <row r="41" spans="1:21" ht="27.6">
      <c r="A41" s="1"/>
      <c r="B41" s="1" t="s">
        <v>29</v>
      </c>
      <c r="C41" s="13">
        <v>7</v>
      </c>
      <c r="D41" s="2" t="s">
        <v>1464</v>
      </c>
      <c r="E41" s="1" t="s">
        <v>1283</v>
      </c>
      <c r="F41" s="2" t="s">
        <v>1470</v>
      </c>
      <c r="G41" s="14" t="s">
        <v>1471</v>
      </c>
      <c r="H41" s="1" t="str">
        <f ca="1">IFERROR(__xludf.dummyfunction("IFERROR(
  VLOOKUP(G41, IMPORTRANGE(""https://docs.google.com/spreadsheets/d/14deopnvwcrKtEGCKuYXdUHJbeLDZlkiSSWWT0g7x2pM/edit#gid=849066331"", ""LU List Maths (Filter)!A:B""), 2, FALSE),
  IFERROR(
    VLOOKUP(G41, IMPORTRANGE(""https://docs.google.com/s"&amp;"preadsheets/d/14deopnvwcrKtEGCKuYXdUHJbeLDZlkiSSWWT0g7x2pM/edit#gid=849066331"", ""LU List Science (Filter)!A:B""), 2, FALSE),
    ""Not Found""
  )
)
"),"Types of allergies(seasonal and perennial)")</f>
        <v>Types of allergies(seasonal and perennial)</v>
      </c>
      <c r="I41" s="2" t="s">
        <v>1472</v>
      </c>
      <c r="J41" s="2" t="str">
        <f t="shared" si="6"/>
        <v>LU006635.001</v>
      </c>
      <c r="K41" s="2" t="str">
        <f ca="1">IFERROR(__xludf.dummyfunction("VLOOKUP(J41, IMPORTRANGE(""https://docs.google.com/spreadsheets/d/1yDAaXNsi4Mr5FtRQL4tbmSdIzhx6_m4wkOD7IG-k_eo/edit#gid=1336395716"", ""Science!M:N""), 2, FALSE)"),"(LU006635.001); Default - Remember")</f>
        <v>(LU006635.001); Default - Remember</v>
      </c>
      <c r="L41" s="2" t="str">
        <f t="shared" si="7"/>
        <v>LU006635.002</v>
      </c>
      <c r="M41" s="2" t="str">
        <f ca="1">IFERROR(__xludf.dummyfunction("VLOOKUP(L41, IMPORTRANGE(""https://docs.google.com/spreadsheets/d/1yDAaXNsi4Mr5FtRQL4tbmSdIzhx6_m4wkOD7IG-k_eo/edit#gid=1336395716"", ""Science!M:N""), 2, FALSE)"),"(LU006635.002); Default - Understand")</f>
        <v>(LU006635.002); Default - Understand</v>
      </c>
      <c r="N41" s="2" t="str">
        <f t="shared" si="8"/>
        <v>LU006635.003</v>
      </c>
      <c r="O41" s="2" t="str">
        <f ca="1">IFERROR(__xludf.dummyfunction("VLOOKUP(N41, IMPORTRANGE(""https://docs.google.com/spreadsheets/d/1yDAaXNsi4Mr5FtRQL4tbmSdIzhx6_m4wkOD7IG-k_eo/edit#gid=1336395716"", ""Science!M:N""), 2, FALSE)"),"(LU006635.003); Default - Apply")</f>
        <v>(LU006635.003); Default - Apply</v>
      </c>
      <c r="P41" s="2" t="str">
        <f t="shared" si="9"/>
        <v>LU006635.004</v>
      </c>
      <c r="Q41" s="17" t="str">
        <f ca="1">IFERROR(__xludf.dummyfunction("VLOOKUP(P41, IMPORTRANGE(""https://docs.google.com/spreadsheets/d/1yDAaXNsi4Mr5FtRQL4tbmSdIzhx6_m4wkOD7IG-k_eo/edit#gid=1336395716"", ""Science!M:N""), 2, FALSE)"),"(LU006635.004); Default - Analyse")</f>
        <v>(LU006635.004); Default - Analyse</v>
      </c>
      <c r="R41" s="2" t="str">
        <f t="shared" si="10"/>
        <v>LU006635.005</v>
      </c>
      <c r="S41" s="17" t="str">
        <f ca="1">IFERROR(__xludf.dummyfunction("VLOOKUP(R41, IMPORTRANGE(""https://docs.google.com/spreadsheets/d/1yDAaXNsi4Mr5FtRQL4tbmSdIzhx6_m4wkOD7IG-k_eo/edit#gid=1336395716"", ""Science!M:N""), 2, FALSE)"),"(LU006635.005); Default - Evaluate")</f>
        <v>(LU006635.005); Default - Evaluate</v>
      </c>
      <c r="T41" s="2" t="str">
        <f t="shared" si="11"/>
        <v>LU006635.006</v>
      </c>
      <c r="U41" s="17" t="str">
        <f ca="1">IFERROR(__xludf.dummyfunction("VLOOKUP(T41, IMPORTRANGE(""https://docs.google.com/spreadsheets/d/1yDAaXNsi4Mr5FtRQL4tbmSdIzhx6_m4wkOD7IG-k_eo/edit#gid=1336395716"", ""Science!M:N""), 2, FALSE)"),"(LU006635.006); Default - Create")</f>
        <v>(LU006635.006); Default - Create</v>
      </c>
    </row>
    <row r="42" spans="1:21" ht="13.8">
      <c r="A42" s="1"/>
      <c r="B42" s="1" t="s">
        <v>29</v>
      </c>
      <c r="C42" s="13">
        <v>7</v>
      </c>
      <c r="D42" s="2" t="s">
        <v>1464</v>
      </c>
      <c r="E42" s="1" t="s">
        <v>1283</v>
      </c>
      <c r="F42" s="2" t="s">
        <v>1470</v>
      </c>
      <c r="G42" s="14" t="s">
        <v>1473</v>
      </c>
      <c r="H42" s="1" t="str">
        <f ca="1">IFERROR(__xludf.dummyfunction("IFERROR(
  VLOOKUP(G42, IMPORTRANGE(""https://docs.google.com/spreadsheets/d/14deopnvwcrKtEGCKuYXdUHJbeLDZlkiSSWWT0g7x2pM/edit#gid=849066331"", ""LU List Maths (Filter)!A:B""), 2, FALSE),
  IFERROR(
    VLOOKUP(G42, IMPORTRANGE(""https://docs.google.com/s"&amp;"preadsheets/d/14deopnvwcrKtEGCKuYXdUHJbeLDZlkiSSWWT0g7x2pM/edit#gid=849066331"", ""LU List Science (Filter)!A:B""), 2, FALSE),
    ""Not Found""
  )
)
"),"Precautions against allergies")</f>
        <v>Precautions against allergies</v>
      </c>
      <c r="I42" s="2" t="s">
        <v>1474</v>
      </c>
      <c r="J42" s="2" t="str">
        <f t="shared" si="6"/>
        <v>LU006636.001</v>
      </c>
      <c r="K42" s="2" t="str">
        <f ca="1">IFERROR(__xludf.dummyfunction("VLOOKUP(J42, IMPORTRANGE(""https://docs.google.com/spreadsheets/d/1yDAaXNsi4Mr5FtRQL4tbmSdIzhx6_m4wkOD7IG-k_eo/edit#gid=1336395716"", ""Science!M:N""), 2, FALSE)"),"(LU006636.001); Default - Remember")</f>
        <v>(LU006636.001); Default - Remember</v>
      </c>
      <c r="L42" s="2" t="str">
        <f t="shared" si="7"/>
        <v>LU006636.002</v>
      </c>
      <c r="M42" s="2" t="str">
        <f ca="1">IFERROR(__xludf.dummyfunction("VLOOKUP(L42, IMPORTRANGE(""https://docs.google.com/spreadsheets/d/1yDAaXNsi4Mr5FtRQL4tbmSdIzhx6_m4wkOD7IG-k_eo/edit#gid=1336395716"", ""Science!M:N""), 2, FALSE)"),"(LU006636.002); Default - Understand")</f>
        <v>(LU006636.002); Default - Understand</v>
      </c>
      <c r="N42" s="2" t="str">
        <f t="shared" si="8"/>
        <v>LU006636.003</v>
      </c>
      <c r="O42" s="2" t="str">
        <f ca="1">IFERROR(__xludf.dummyfunction("VLOOKUP(N42, IMPORTRANGE(""https://docs.google.com/spreadsheets/d/1yDAaXNsi4Mr5FtRQL4tbmSdIzhx6_m4wkOD7IG-k_eo/edit#gid=1336395716"", ""Science!M:N""), 2, FALSE)"),"(LU006636.003); Default - Apply")</f>
        <v>(LU006636.003); Default - Apply</v>
      </c>
      <c r="P42" s="2" t="str">
        <f t="shared" si="9"/>
        <v>LU006636.004</v>
      </c>
      <c r="Q42" s="17" t="str">
        <f ca="1">IFERROR(__xludf.dummyfunction("VLOOKUP(P42, IMPORTRANGE(""https://docs.google.com/spreadsheets/d/1yDAaXNsi4Mr5FtRQL4tbmSdIzhx6_m4wkOD7IG-k_eo/edit#gid=1336395716"", ""Science!M:N""), 2, FALSE)"),"(LU006636.004); Default - Analyse")</f>
        <v>(LU006636.004); Default - Analyse</v>
      </c>
      <c r="R42" s="2" t="str">
        <f t="shared" si="10"/>
        <v>LU006636.005</v>
      </c>
      <c r="S42" s="17" t="str">
        <f ca="1">IFERROR(__xludf.dummyfunction("VLOOKUP(R42, IMPORTRANGE(""https://docs.google.com/spreadsheets/d/1yDAaXNsi4Mr5FtRQL4tbmSdIzhx6_m4wkOD7IG-k_eo/edit#gid=1336395716"", ""Science!M:N""), 2, FALSE)"),"(LU006636.005); Default - Evaluate")</f>
        <v>(LU006636.005); Default - Evaluate</v>
      </c>
      <c r="T42" s="2" t="str">
        <f t="shared" si="11"/>
        <v>LU006636.006</v>
      </c>
      <c r="U42" s="17" t="str">
        <f ca="1">IFERROR(__xludf.dummyfunction("VLOOKUP(T42, IMPORTRANGE(""https://docs.google.com/spreadsheets/d/1yDAaXNsi4Mr5FtRQL4tbmSdIzhx6_m4wkOD7IG-k_eo/edit#gid=1336395716"", ""Science!M:N""), 2, FALSE)"),"(LU006636.006); Default - Create")</f>
        <v>(LU006636.006); Default - Create</v>
      </c>
    </row>
    <row r="43" spans="1:21" ht="13.8">
      <c r="H43" s="1"/>
      <c r="J43" s="2" t="str">
        <f t="shared" si="6"/>
        <v>.001</v>
      </c>
      <c r="K43" s="2" t="str">
        <f ca="1">IFERROR(__xludf.dummyfunction("VLOOKUP(J43, IMPORTRANGE(""https://docs.google.com/spreadsheets/d/1yDAaXNsi4Mr5FtRQL4tbmSdIzhx6_m4wkOD7IG-k_eo/edit#gid=1336395716"", ""Science!M:N""), 2, FALSE)"),"#N/A")</f>
        <v>#N/A</v>
      </c>
      <c r="L43" s="2" t="str">
        <f t="shared" si="7"/>
        <v>.002</v>
      </c>
      <c r="M43" s="2" t="str">
        <f ca="1">IFERROR(__xludf.dummyfunction("VLOOKUP(L43, IMPORTRANGE(""https://docs.google.com/spreadsheets/d/1yDAaXNsi4Mr5FtRQL4tbmSdIzhx6_m4wkOD7IG-k_eo/edit#gid=1336395716"", ""Science!M:N""), 2, FALSE)"),"#N/A")</f>
        <v>#N/A</v>
      </c>
      <c r="N43" s="2" t="str">
        <f t="shared" si="8"/>
        <v>.003</v>
      </c>
      <c r="O43" s="2" t="str">
        <f ca="1">IFERROR(__xludf.dummyfunction("VLOOKUP(N43, IMPORTRANGE(""https://docs.google.com/spreadsheets/d/1yDAaXNsi4Mr5FtRQL4tbmSdIzhx6_m4wkOD7IG-k_eo/edit#gid=1336395716"", ""Science!M:N""), 2, FALSE)"),"#N/A")</f>
        <v>#N/A</v>
      </c>
      <c r="P43" s="2" t="str">
        <f t="shared" si="9"/>
        <v>.004</v>
      </c>
      <c r="Q43" s="17" t="str">
        <f ca="1">IFERROR(__xludf.dummyfunction("VLOOKUP(P43, IMPORTRANGE(""https://docs.google.com/spreadsheets/d/1yDAaXNsi4Mr5FtRQL4tbmSdIzhx6_m4wkOD7IG-k_eo/edit#gid=1336395716"", ""Science!M:N""), 2, FALSE)"),"#N/A")</f>
        <v>#N/A</v>
      </c>
      <c r="R43" s="2" t="str">
        <f t="shared" si="10"/>
        <v>.005</v>
      </c>
      <c r="S43" s="17" t="str">
        <f ca="1">IFERROR(__xludf.dummyfunction("VLOOKUP(R43, IMPORTRANGE(""https://docs.google.com/spreadsheets/d/1yDAaXNsi4Mr5FtRQL4tbmSdIzhx6_m4wkOD7IG-k_eo/edit#gid=1336395716"", ""Science!M:N""), 2, FALSE)"),"#N/A")</f>
        <v>#N/A</v>
      </c>
      <c r="T43" s="2" t="str">
        <f t="shared" si="11"/>
        <v>.006</v>
      </c>
      <c r="U43" s="17" t="str">
        <f ca="1">IFERROR(__xludf.dummyfunction("VLOOKUP(T43, IMPORTRANGE(""https://docs.google.com/spreadsheets/d/1yDAaXNsi4Mr5FtRQL4tbmSdIzhx6_m4wkOD7IG-k_eo/edit#gid=1336395716"", ""Science!M:N""), 2, FALSE)"),"#N/A")</f>
        <v>#N/A</v>
      </c>
    </row>
    <row r="44" spans="1:21" ht="13.8">
      <c r="H44" s="1">
        <v>29</v>
      </c>
      <c r="J44" s="2" t="str">
        <f t="shared" si="6"/>
        <v>.001</v>
      </c>
      <c r="K44" s="2" t="str">
        <f ca="1">IFERROR(__xludf.dummyfunction("VLOOKUP(J44, IMPORTRANGE(""https://docs.google.com/spreadsheets/d/1yDAaXNsi4Mr5FtRQL4tbmSdIzhx6_m4wkOD7IG-k_eo/edit#gid=1336395716"", ""Science!M:N""), 2, FALSE)"),"#N/A")</f>
        <v>#N/A</v>
      </c>
      <c r="L44" s="2" t="str">
        <f t="shared" si="7"/>
        <v>.002</v>
      </c>
      <c r="M44" s="2" t="str">
        <f ca="1">IFERROR(__xludf.dummyfunction("VLOOKUP(L44, IMPORTRANGE(""https://docs.google.com/spreadsheets/d/1yDAaXNsi4Mr5FtRQL4tbmSdIzhx6_m4wkOD7IG-k_eo/edit#gid=1336395716"", ""Science!M:N""), 2, FALSE)"),"#N/A")</f>
        <v>#N/A</v>
      </c>
      <c r="N44" s="2" t="str">
        <f t="shared" si="8"/>
        <v>.003</v>
      </c>
      <c r="O44" s="2" t="str">
        <f ca="1">IFERROR(__xludf.dummyfunction("VLOOKUP(N44, IMPORTRANGE(""https://docs.google.com/spreadsheets/d/1yDAaXNsi4Mr5FtRQL4tbmSdIzhx6_m4wkOD7IG-k_eo/edit#gid=1336395716"", ""Science!M:N""), 2, FALSE)"),"#N/A")</f>
        <v>#N/A</v>
      </c>
      <c r="P44" s="2" t="str">
        <f t="shared" si="9"/>
        <v>.004</v>
      </c>
      <c r="Q44" s="17" t="str">
        <f ca="1">IFERROR(__xludf.dummyfunction("VLOOKUP(P44, IMPORTRANGE(""https://docs.google.com/spreadsheets/d/1yDAaXNsi4Mr5FtRQL4tbmSdIzhx6_m4wkOD7IG-k_eo/edit#gid=1336395716"", ""Science!M:N""), 2, FALSE)"),"#N/A")</f>
        <v>#N/A</v>
      </c>
      <c r="R44" s="2" t="str">
        <f t="shared" si="10"/>
        <v>.005</v>
      </c>
      <c r="S44" s="17" t="str">
        <f ca="1">IFERROR(__xludf.dummyfunction("VLOOKUP(R44, IMPORTRANGE(""https://docs.google.com/spreadsheets/d/1yDAaXNsi4Mr5FtRQL4tbmSdIzhx6_m4wkOD7IG-k_eo/edit#gid=1336395716"", ""Science!M:N""), 2, FALSE)"),"#N/A")</f>
        <v>#N/A</v>
      </c>
      <c r="T44" s="2" t="str">
        <f t="shared" si="11"/>
        <v>.006</v>
      </c>
      <c r="U44" s="17" t="str">
        <f ca="1">IFERROR(__xludf.dummyfunction("VLOOKUP(T44, IMPORTRANGE(""https://docs.google.com/spreadsheets/d/1yDAaXNsi4Mr5FtRQL4tbmSdIzhx6_m4wkOD7IG-k_eo/edit#gid=1336395716"", ""Science!M:N""), 2, FALSE)"),"#N/A")</f>
        <v>#N/A</v>
      </c>
    </row>
    <row r="45" spans="1:21" ht="13.8">
      <c r="H45" s="1"/>
      <c r="J45" s="2" t="str">
        <f t="shared" si="6"/>
        <v>.001</v>
      </c>
      <c r="K45" s="2" t="str">
        <f ca="1">IFERROR(__xludf.dummyfunction("VLOOKUP(J45, IMPORTRANGE(""https://docs.google.com/spreadsheets/d/1yDAaXNsi4Mr5FtRQL4tbmSdIzhx6_m4wkOD7IG-k_eo/edit#gid=1336395716"", ""Science!M:N""), 2, FALSE)"),"#N/A")</f>
        <v>#N/A</v>
      </c>
      <c r="L45" s="2" t="str">
        <f t="shared" si="7"/>
        <v>.002</v>
      </c>
      <c r="M45" s="2" t="str">
        <f ca="1">IFERROR(__xludf.dummyfunction("VLOOKUP(L45, IMPORTRANGE(""https://docs.google.com/spreadsheets/d/1yDAaXNsi4Mr5FtRQL4tbmSdIzhx6_m4wkOD7IG-k_eo/edit#gid=1336395716"", ""Science!M:N""), 2, FALSE)"),"#N/A")</f>
        <v>#N/A</v>
      </c>
      <c r="N45" s="2" t="str">
        <f t="shared" si="8"/>
        <v>.003</v>
      </c>
      <c r="O45" s="2" t="str">
        <f ca="1">IFERROR(__xludf.dummyfunction("VLOOKUP(N45, IMPORTRANGE(""https://docs.google.com/spreadsheets/d/1yDAaXNsi4Mr5FtRQL4tbmSdIzhx6_m4wkOD7IG-k_eo/edit#gid=1336395716"", ""Science!M:N""), 2, FALSE)"),"#N/A")</f>
        <v>#N/A</v>
      </c>
      <c r="P45" s="2" t="str">
        <f t="shared" si="9"/>
        <v>.004</v>
      </c>
      <c r="Q45" s="17" t="str">
        <f ca="1">IFERROR(__xludf.dummyfunction("VLOOKUP(P45, IMPORTRANGE(""https://docs.google.com/spreadsheets/d/1yDAaXNsi4Mr5FtRQL4tbmSdIzhx6_m4wkOD7IG-k_eo/edit#gid=1336395716"", ""Science!M:N""), 2, FALSE)"),"#N/A")</f>
        <v>#N/A</v>
      </c>
      <c r="R45" s="2" t="str">
        <f t="shared" si="10"/>
        <v>.005</v>
      </c>
      <c r="S45" s="17" t="str">
        <f ca="1">IFERROR(__xludf.dummyfunction("VLOOKUP(R45, IMPORTRANGE(""https://docs.google.com/spreadsheets/d/1yDAaXNsi4Mr5FtRQL4tbmSdIzhx6_m4wkOD7IG-k_eo/edit#gid=1336395716"", ""Science!M:N""), 2, FALSE)"),"#N/A")</f>
        <v>#N/A</v>
      </c>
      <c r="T45" s="2" t="str">
        <f t="shared" si="11"/>
        <v>.006</v>
      </c>
      <c r="U45" s="17" t="str">
        <f ca="1">IFERROR(__xludf.dummyfunction("VLOOKUP(T45, IMPORTRANGE(""https://docs.google.com/spreadsheets/d/1yDAaXNsi4Mr5FtRQL4tbmSdIzhx6_m4wkOD7IG-k_eo/edit#gid=1336395716"", ""Science!M:N""), 2, FALSE)"),"#N/A")</f>
        <v>#N/A</v>
      </c>
    </row>
    <row r="46" spans="1:21" ht="13.8">
      <c r="H46" s="1"/>
      <c r="J46" s="2" t="str">
        <f t="shared" si="6"/>
        <v>.001</v>
      </c>
      <c r="K46" s="2" t="str">
        <f ca="1">IFERROR(__xludf.dummyfunction("VLOOKUP(J46, IMPORTRANGE(""https://docs.google.com/spreadsheets/d/1yDAaXNsi4Mr5FtRQL4tbmSdIzhx6_m4wkOD7IG-k_eo/edit#gid=1336395716"", ""Science!M:N""), 2, FALSE)"),"#N/A")</f>
        <v>#N/A</v>
      </c>
      <c r="L46" s="2" t="str">
        <f t="shared" si="7"/>
        <v>.002</v>
      </c>
      <c r="M46" s="2" t="str">
        <f ca="1">IFERROR(__xludf.dummyfunction("VLOOKUP(L46, IMPORTRANGE(""https://docs.google.com/spreadsheets/d/1yDAaXNsi4Mr5FtRQL4tbmSdIzhx6_m4wkOD7IG-k_eo/edit#gid=1336395716"", ""Science!M:N""), 2, FALSE)"),"#N/A")</f>
        <v>#N/A</v>
      </c>
      <c r="N46" s="2" t="str">
        <f t="shared" si="8"/>
        <v>.003</v>
      </c>
      <c r="O46" s="2" t="str">
        <f ca="1">IFERROR(__xludf.dummyfunction("VLOOKUP(N46, IMPORTRANGE(""https://docs.google.com/spreadsheets/d/1yDAaXNsi4Mr5FtRQL4tbmSdIzhx6_m4wkOD7IG-k_eo/edit#gid=1336395716"", ""Science!M:N""), 2, FALSE)"),"#N/A")</f>
        <v>#N/A</v>
      </c>
      <c r="P46" s="2" t="str">
        <f t="shared" si="9"/>
        <v>.004</v>
      </c>
      <c r="Q46" s="17" t="str">
        <f ca="1">IFERROR(__xludf.dummyfunction("VLOOKUP(P46, IMPORTRANGE(""https://docs.google.com/spreadsheets/d/1yDAaXNsi4Mr5FtRQL4tbmSdIzhx6_m4wkOD7IG-k_eo/edit#gid=1336395716"", ""Science!M:N""), 2, FALSE)"),"#N/A")</f>
        <v>#N/A</v>
      </c>
      <c r="R46" s="2" t="str">
        <f t="shared" si="10"/>
        <v>.005</v>
      </c>
      <c r="S46" s="17" t="str">
        <f ca="1">IFERROR(__xludf.dummyfunction("VLOOKUP(R46, IMPORTRANGE(""https://docs.google.com/spreadsheets/d/1yDAaXNsi4Mr5FtRQL4tbmSdIzhx6_m4wkOD7IG-k_eo/edit#gid=1336395716"", ""Science!M:N""), 2, FALSE)"),"#N/A")</f>
        <v>#N/A</v>
      </c>
      <c r="T46" s="2" t="str">
        <f t="shared" si="11"/>
        <v>.006</v>
      </c>
      <c r="U46" s="17" t="str">
        <f ca="1">IFERROR(__xludf.dummyfunction("VLOOKUP(T46, IMPORTRANGE(""https://docs.google.com/spreadsheets/d/1yDAaXNsi4Mr5FtRQL4tbmSdIzhx6_m4wkOD7IG-k_eo/edit#gid=1336395716"", ""Science!M:N""), 2, FALSE)"),"#N/A")</f>
        <v>#N/A</v>
      </c>
    </row>
    <row r="47" spans="1:21" ht="13.8">
      <c r="H47" s="1"/>
      <c r="J47" s="2" t="str">
        <f t="shared" si="6"/>
        <v>.001</v>
      </c>
      <c r="K47" s="2" t="str">
        <f ca="1">IFERROR(__xludf.dummyfunction("VLOOKUP(J47, IMPORTRANGE(""https://docs.google.com/spreadsheets/d/1yDAaXNsi4Mr5FtRQL4tbmSdIzhx6_m4wkOD7IG-k_eo/edit#gid=1336395716"", ""Science!M:N""), 2, FALSE)"),"#N/A")</f>
        <v>#N/A</v>
      </c>
      <c r="L47" s="2" t="str">
        <f t="shared" si="7"/>
        <v>.002</v>
      </c>
      <c r="M47" s="2" t="str">
        <f ca="1">IFERROR(__xludf.dummyfunction("VLOOKUP(L47, IMPORTRANGE(""https://docs.google.com/spreadsheets/d/1yDAaXNsi4Mr5FtRQL4tbmSdIzhx6_m4wkOD7IG-k_eo/edit#gid=1336395716"", ""Science!M:N""), 2, FALSE)"),"#N/A")</f>
        <v>#N/A</v>
      </c>
      <c r="N47" s="2" t="str">
        <f t="shared" si="8"/>
        <v>.003</v>
      </c>
      <c r="O47" s="2" t="str">
        <f ca="1">IFERROR(__xludf.dummyfunction("VLOOKUP(N47, IMPORTRANGE(""https://docs.google.com/spreadsheets/d/1yDAaXNsi4Mr5FtRQL4tbmSdIzhx6_m4wkOD7IG-k_eo/edit#gid=1336395716"", ""Science!M:N""), 2, FALSE)"),"#N/A")</f>
        <v>#N/A</v>
      </c>
      <c r="P47" s="2" t="str">
        <f t="shared" si="9"/>
        <v>.004</v>
      </c>
      <c r="Q47" s="17" t="str">
        <f ca="1">IFERROR(__xludf.dummyfunction("VLOOKUP(P47, IMPORTRANGE(""https://docs.google.com/spreadsheets/d/1yDAaXNsi4Mr5FtRQL4tbmSdIzhx6_m4wkOD7IG-k_eo/edit#gid=1336395716"", ""Science!M:N""), 2, FALSE)"),"#N/A")</f>
        <v>#N/A</v>
      </c>
      <c r="R47" s="2" t="str">
        <f t="shared" si="10"/>
        <v>.005</v>
      </c>
      <c r="S47" s="17" t="str">
        <f ca="1">IFERROR(__xludf.dummyfunction("VLOOKUP(R47, IMPORTRANGE(""https://docs.google.com/spreadsheets/d/1yDAaXNsi4Mr5FtRQL4tbmSdIzhx6_m4wkOD7IG-k_eo/edit#gid=1336395716"", ""Science!M:N""), 2, FALSE)"),"#N/A")</f>
        <v>#N/A</v>
      </c>
      <c r="T47" s="2" t="str">
        <f t="shared" si="11"/>
        <v>.006</v>
      </c>
      <c r="U47" s="17" t="str">
        <f ca="1">IFERROR(__xludf.dummyfunction("VLOOKUP(T47, IMPORTRANGE(""https://docs.google.com/spreadsheets/d/1yDAaXNsi4Mr5FtRQL4tbmSdIzhx6_m4wkOD7IG-k_eo/edit#gid=1336395716"", ""Science!M:N""), 2, FALSE)"),"#N/A")</f>
        <v>#N/A</v>
      </c>
    </row>
    <row r="48" spans="1:21" ht="13.8">
      <c r="H48" s="1"/>
      <c r="J48" s="2" t="str">
        <f t="shared" si="6"/>
        <v>.001</v>
      </c>
      <c r="K48" s="2" t="str">
        <f ca="1">IFERROR(__xludf.dummyfunction("VLOOKUP(J48, IMPORTRANGE(""https://docs.google.com/spreadsheets/d/1yDAaXNsi4Mr5FtRQL4tbmSdIzhx6_m4wkOD7IG-k_eo/edit#gid=1336395716"", ""Science!M:N""), 2, FALSE)"),"#N/A")</f>
        <v>#N/A</v>
      </c>
      <c r="L48" s="2" t="str">
        <f t="shared" si="7"/>
        <v>.002</v>
      </c>
      <c r="M48" s="2" t="str">
        <f ca="1">IFERROR(__xludf.dummyfunction("VLOOKUP(L48, IMPORTRANGE(""https://docs.google.com/spreadsheets/d/1yDAaXNsi4Mr5FtRQL4tbmSdIzhx6_m4wkOD7IG-k_eo/edit#gid=1336395716"", ""Science!M:N""), 2, FALSE)"),"#N/A")</f>
        <v>#N/A</v>
      </c>
      <c r="N48" s="2" t="str">
        <f t="shared" si="8"/>
        <v>.003</v>
      </c>
      <c r="O48" s="2" t="str">
        <f ca="1">IFERROR(__xludf.dummyfunction("VLOOKUP(N48, IMPORTRANGE(""https://docs.google.com/spreadsheets/d/1yDAaXNsi4Mr5FtRQL4tbmSdIzhx6_m4wkOD7IG-k_eo/edit#gid=1336395716"", ""Science!M:N""), 2, FALSE)"),"#N/A")</f>
        <v>#N/A</v>
      </c>
      <c r="P48" s="2" t="str">
        <f t="shared" si="9"/>
        <v>.004</v>
      </c>
      <c r="Q48" s="17" t="str">
        <f ca="1">IFERROR(__xludf.dummyfunction("VLOOKUP(P48, IMPORTRANGE(""https://docs.google.com/spreadsheets/d/1yDAaXNsi4Mr5FtRQL4tbmSdIzhx6_m4wkOD7IG-k_eo/edit#gid=1336395716"", ""Science!M:N""), 2, FALSE)"),"#N/A")</f>
        <v>#N/A</v>
      </c>
      <c r="R48" s="2" t="str">
        <f t="shared" si="10"/>
        <v>.005</v>
      </c>
      <c r="S48" s="17" t="str">
        <f ca="1">IFERROR(__xludf.dummyfunction("VLOOKUP(R48, IMPORTRANGE(""https://docs.google.com/spreadsheets/d/1yDAaXNsi4Mr5FtRQL4tbmSdIzhx6_m4wkOD7IG-k_eo/edit#gid=1336395716"", ""Science!M:N""), 2, FALSE)"),"#N/A")</f>
        <v>#N/A</v>
      </c>
      <c r="T48" s="2" t="str">
        <f t="shared" si="11"/>
        <v>.006</v>
      </c>
      <c r="U48" s="17" t="str">
        <f ca="1">IFERROR(__xludf.dummyfunction("VLOOKUP(T48, IMPORTRANGE(""https://docs.google.com/spreadsheets/d/1yDAaXNsi4Mr5FtRQL4tbmSdIzhx6_m4wkOD7IG-k_eo/edit#gid=1336395716"", ""Science!M:N""), 2, FALSE)"),"#N/A")</f>
        <v>#N/A</v>
      </c>
    </row>
    <row r="49" spans="8:21" ht="13.8">
      <c r="H49" s="1"/>
      <c r="J49" s="2" t="str">
        <f t="shared" si="6"/>
        <v>.001</v>
      </c>
      <c r="K49" s="2" t="str">
        <f ca="1">IFERROR(__xludf.dummyfunction("VLOOKUP(J49, IMPORTRANGE(""https://docs.google.com/spreadsheets/d/1yDAaXNsi4Mr5FtRQL4tbmSdIzhx6_m4wkOD7IG-k_eo/edit#gid=1336395716"", ""Science!M:N""), 2, FALSE)"),"#N/A")</f>
        <v>#N/A</v>
      </c>
      <c r="L49" s="2" t="str">
        <f t="shared" si="7"/>
        <v>.002</v>
      </c>
      <c r="M49" s="2" t="str">
        <f ca="1">IFERROR(__xludf.dummyfunction("VLOOKUP(L49, IMPORTRANGE(""https://docs.google.com/spreadsheets/d/1yDAaXNsi4Mr5FtRQL4tbmSdIzhx6_m4wkOD7IG-k_eo/edit#gid=1336395716"", ""Science!M:N""), 2, FALSE)"),"#N/A")</f>
        <v>#N/A</v>
      </c>
      <c r="N49" s="2" t="str">
        <f t="shared" si="8"/>
        <v>.003</v>
      </c>
      <c r="O49" s="2" t="str">
        <f ca="1">IFERROR(__xludf.dummyfunction("VLOOKUP(N49, IMPORTRANGE(""https://docs.google.com/spreadsheets/d/1yDAaXNsi4Mr5FtRQL4tbmSdIzhx6_m4wkOD7IG-k_eo/edit#gid=1336395716"", ""Science!M:N""), 2, FALSE)"),"#N/A")</f>
        <v>#N/A</v>
      </c>
      <c r="P49" s="2" t="str">
        <f t="shared" si="9"/>
        <v>.004</v>
      </c>
      <c r="Q49" s="17" t="str">
        <f ca="1">IFERROR(__xludf.dummyfunction("VLOOKUP(P49, IMPORTRANGE(""https://docs.google.com/spreadsheets/d/1yDAaXNsi4Mr5FtRQL4tbmSdIzhx6_m4wkOD7IG-k_eo/edit#gid=1336395716"", ""Science!M:N""), 2, FALSE)"),"#N/A")</f>
        <v>#N/A</v>
      </c>
      <c r="R49" s="2" t="str">
        <f t="shared" si="10"/>
        <v>.005</v>
      </c>
      <c r="S49" s="17" t="str">
        <f ca="1">IFERROR(__xludf.dummyfunction("VLOOKUP(R49, IMPORTRANGE(""https://docs.google.com/spreadsheets/d/1yDAaXNsi4Mr5FtRQL4tbmSdIzhx6_m4wkOD7IG-k_eo/edit#gid=1336395716"", ""Science!M:N""), 2, FALSE)"),"#N/A")</f>
        <v>#N/A</v>
      </c>
      <c r="T49" s="2" t="str">
        <f t="shared" si="11"/>
        <v>.006</v>
      </c>
      <c r="U49" s="17" t="str">
        <f ca="1">IFERROR(__xludf.dummyfunction("VLOOKUP(T49, IMPORTRANGE(""https://docs.google.com/spreadsheets/d/1yDAaXNsi4Mr5FtRQL4tbmSdIzhx6_m4wkOD7IG-k_eo/edit#gid=1336395716"", ""Science!M:N""), 2, FALSE)"),"#N/A")</f>
        <v>#N/A</v>
      </c>
    </row>
    <row r="50" spans="8:21" ht="13.8">
      <c r="H50" s="1"/>
      <c r="J50" s="2" t="str">
        <f t="shared" si="6"/>
        <v>.001</v>
      </c>
      <c r="K50" s="2" t="str">
        <f ca="1">IFERROR(__xludf.dummyfunction("VLOOKUP(J50, IMPORTRANGE(""https://docs.google.com/spreadsheets/d/1yDAaXNsi4Mr5FtRQL4tbmSdIzhx6_m4wkOD7IG-k_eo/edit#gid=1336395716"", ""Science!M:N""), 2, FALSE)"),"#N/A")</f>
        <v>#N/A</v>
      </c>
      <c r="L50" s="2" t="str">
        <f t="shared" si="7"/>
        <v>.002</v>
      </c>
      <c r="M50" s="2" t="str">
        <f ca="1">IFERROR(__xludf.dummyfunction("VLOOKUP(L50, IMPORTRANGE(""https://docs.google.com/spreadsheets/d/1yDAaXNsi4Mr5FtRQL4tbmSdIzhx6_m4wkOD7IG-k_eo/edit#gid=1336395716"", ""Science!M:N""), 2, FALSE)"),"#N/A")</f>
        <v>#N/A</v>
      </c>
      <c r="N50" s="2" t="str">
        <f t="shared" si="8"/>
        <v>.003</v>
      </c>
      <c r="O50" s="2" t="str">
        <f ca="1">IFERROR(__xludf.dummyfunction("VLOOKUP(N50, IMPORTRANGE(""https://docs.google.com/spreadsheets/d/1yDAaXNsi4Mr5FtRQL4tbmSdIzhx6_m4wkOD7IG-k_eo/edit#gid=1336395716"", ""Science!M:N""), 2, FALSE)"),"#N/A")</f>
        <v>#N/A</v>
      </c>
      <c r="P50" s="2" t="str">
        <f t="shared" si="9"/>
        <v>.004</v>
      </c>
      <c r="Q50" s="17" t="str">
        <f ca="1">IFERROR(__xludf.dummyfunction("VLOOKUP(P50, IMPORTRANGE(""https://docs.google.com/spreadsheets/d/1yDAaXNsi4Mr5FtRQL4tbmSdIzhx6_m4wkOD7IG-k_eo/edit#gid=1336395716"", ""Science!M:N""), 2, FALSE)"),"#N/A")</f>
        <v>#N/A</v>
      </c>
      <c r="R50" s="2" t="str">
        <f t="shared" si="10"/>
        <v>.005</v>
      </c>
      <c r="S50" s="17" t="str">
        <f ca="1">IFERROR(__xludf.dummyfunction("VLOOKUP(R50, IMPORTRANGE(""https://docs.google.com/spreadsheets/d/1yDAaXNsi4Mr5FtRQL4tbmSdIzhx6_m4wkOD7IG-k_eo/edit#gid=1336395716"", ""Science!M:N""), 2, FALSE)"),"#N/A")</f>
        <v>#N/A</v>
      </c>
      <c r="T50" s="2" t="str">
        <f t="shared" si="11"/>
        <v>.006</v>
      </c>
      <c r="U50" s="17" t="str">
        <f ca="1">IFERROR(__xludf.dummyfunction("VLOOKUP(T50, IMPORTRANGE(""https://docs.google.com/spreadsheets/d/1yDAaXNsi4Mr5FtRQL4tbmSdIzhx6_m4wkOD7IG-k_eo/edit#gid=1336395716"", ""Science!M:N""), 2, FALSE)"),"#N/A")</f>
        <v>#N/A</v>
      </c>
    </row>
    <row r="51" spans="8:21" ht="13.8">
      <c r="H51" s="1"/>
      <c r="J51" s="2" t="str">
        <f t="shared" si="6"/>
        <v>.001</v>
      </c>
      <c r="K51" s="2" t="str">
        <f ca="1">IFERROR(__xludf.dummyfunction("VLOOKUP(J51, IMPORTRANGE(""https://docs.google.com/spreadsheets/d/1yDAaXNsi4Mr5FtRQL4tbmSdIzhx6_m4wkOD7IG-k_eo/edit#gid=1336395716"", ""Science!M:N""), 2, FALSE)"),"#N/A")</f>
        <v>#N/A</v>
      </c>
      <c r="L51" s="2" t="str">
        <f t="shared" si="7"/>
        <v>.002</v>
      </c>
      <c r="M51" s="2" t="str">
        <f ca="1">IFERROR(__xludf.dummyfunction("VLOOKUP(L51, IMPORTRANGE(""https://docs.google.com/spreadsheets/d/1yDAaXNsi4Mr5FtRQL4tbmSdIzhx6_m4wkOD7IG-k_eo/edit#gid=1336395716"", ""Science!M:N""), 2, FALSE)"),"#N/A")</f>
        <v>#N/A</v>
      </c>
      <c r="N51" s="2" t="str">
        <f t="shared" si="8"/>
        <v>.003</v>
      </c>
      <c r="O51" s="2" t="str">
        <f ca="1">IFERROR(__xludf.dummyfunction("VLOOKUP(N51, IMPORTRANGE(""https://docs.google.com/spreadsheets/d/1yDAaXNsi4Mr5FtRQL4tbmSdIzhx6_m4wkOD7IG-k_eo/edit#gid=1336395716"", ""Science!M:N""), 2, FALSE)"),"#N/A")</f>
        <v>#N/A</v>
      </c>
      <c r="P51" s="2" t="str">
        <f t="shared" si="9"/>
        <v>.004</v>
      </c>
      <c r="Q51" s="17" t="str">
        <f ca="1">IFERROR(__xludf.dummyfunction("VLOOKUP(P51, IMPORTRANGE(""https://docs.google.com/spreadsheets/d/1yDAaXNsi4Mr5FtRQL4tbmSdIzhx6_m4wkOD7IG-k_eo/edit#gid=1336395716"", ""Science!M:N""), 2, FALSE)"),"#N/A")</f>
        <v>#N/A</v>
      </c>
      <c r="R51" s="2" t="str">
        <f t="shared" si="10"/>
        <v>.005</v>
      </c>
      <c r="S51" s="17" t="str">
        <f ca="1">IFERROR(__xludf.dummyfunction("VLOOKUP(R51, IMPORTRANGE(""https://docs.google.com/spreadsheets/d/1yDAaXNsi4Mr5FtRQL4tbmSdIzhx6_m4wkOD7IG-k_eo/edit#gid=1336395716"", ""Science!M:N""), 2, FALSE)"),"#N/A")</f>
        <v>#N/A</v>
      </c>
      <c r="T51" s="2" t="str">
        <f t="shared" si="11"/>
        <v>.006</v>
      </c>
      <c r="U51" s="17" t="str">
        <f ca="1">IFERROR(__xludf.dummyfunction("VLOOKUP(T51, IMPORTRANGE(""https://docs.google.com/spreadsheets/d/1yDAaXNsi4Mr5FtRQL4tbmSdIzhx6_m4wkOD7IG-k_eo/edit#gid=1336395716"", ""Science!M:N""), 2, FALSE)"),"#N/A")</f>
        <v>#N/A</v>
      </c>
    </row>
    <row r="52" spans="8:21" ht="13.8">
      <c r="H52" s="1"/>
      <c r="J52" s="2" t="str">
        <f t="shared" si="6"/>
        <v>.001</v>
      </c>
      <c r="K52" s="2" t="str">
        <f ca="1">IFERROR(__xludf.dummyfunction("VLOOKUP(J52, IMPORTRANGE(""https://docs.google.com/spreadsheets/d/1yDAaXNsi4Mr5FtRQL4tbmSdIzhx6_m4wkOD7IG-k_eo/edit#gid=1336395716"", ""Science!M:N""), 2, FALSE)"),"#N/A")</f>
        <v>#N/A</v>
      </c>
      <c r="L52" s="2" t="str">
        <f t="shared" si="7"/>
        <v>.002</v>
      </c>
      <c r="M52" s="2" t="str">
        <f ca="1">IFERROR(__xludf.dummyfunction("VLOOKUP(L52, IMPORTRANGE(""https://docs.google.com/spreadsheets/d/1yDAaXNsi4Mr5FtRQL4tbmSdIzhx6_m4wkOD7IG-k_eo/edit#gid=1336395716"", ""Science!M:N""), 2, FALSE)"),"#N/A")</f>
        <v>#N/A</v>
      </c>
      <c r="N52" s="2" t="str">
        <f t="shared" si="8"/>
        <v>.003</v>
      </c>
      <c r="O52" s="2" t="str">
        <f ca="1">IFERROR(__xludf.dummyfunction("VLOOKUP(N52, IMPORTRANGE(""https://docs.google.com/spreadsheets/d/1yDAaXNsi4Mr5FtRQL4tbmSdIzhx6_m4wkOD7IG-k_eo/edit#gid=1336395716"", ""Science!M:N""), 2, FALSE)"),"#N/A")</f>
        <v>#N/A</v>
      </c>
      <c r="P52" s="2" t="str">
        <f t="shared" si="9"/>
        <v>.004</v>
      </c>
      <c r="Q52" s="17" t="str">
        <f ca="1">IFERROR(__xludf.dummyfunction("VLOOKUP(P52, IMPORTRANGE(""https://docs.google.com/spreadsheets/d/1yDAaXNsi4Mr5FtRQL4tbmSdIzhx6_m4wkOD7IG-k_eo/edit#gid=1336395716"", ""Science!M:N""), 2, FALSE)"),"#N/A")</f>
        <v>#N/A</v>
      </c>
      <c r="R52" s="2" t="str">
        <f t="shared" si="10"/>
        <v>.005</v>
      </c>
      <c r="S52" s="17" t="str">
        <f ca="1">IFERROR(__xludf.dummyfunction("VLOOKUP(R52, IMPORTRANGE(""https://docs.google.com/spreadsheets/d/1yDAaXNsi4Mr5FtRQL4tbmSdIzhx6_m4wkOD7IG-k_eo/edit#gid=1336395716"", ""Science!M:N""), 2, FALSE)"),"#N/A")</f>
        <v>#N/A</v>
      </c>
      <c r="T52" s="2" t="str">
        <f t="shared" si="11"/>
        <v>.006</v>
      </c>
      <c r="U52" s="17" t="str">
        <f ca="1">IFERROR(__xludf.dummyfunction("VLOOKUP(T52, IMPORTRANGE(""https://docs.google.com/spreadsheets/d/1yDAaXNsi4Mr5FtRQL4tbmSdIzhx6_m4wkOD7IG-k_eo/edit#gid=1336395716"", ""Science!M:N""), 2, FALSE)"),"#N/A")</f>
        <v>#N/A</v>
      </c>
    </row>
    <row r="53" spans="8:21" ht="13.8">
      <c r="H53" s="1"/>
      <c r="J53" s="2" t="str">
        <f t="shared" si="6"/>
        <v>.001</v>
      </c>
      <c r="K53" s="2" t="str">
        <f ca="1">IFERROR(__xludf.dummyfunction("VLOOKUP(J53, IMPORTRANGE(""https://docs.google.com/spreadsheets/d/1yDAaXNsi4Mr5FtRQL4tbmSdIzhx6_m4wkOD7IG-k_eo/edit#gid=1336395716"", ""Science!M:N""), 2, FALSE)"),"#N/A")</f>
        <v>#N/A</v>
      </c>
      <c r="L53" s="2" t="str">
        <f t="shared" si="7"/>
        <v>.002</v>
      </c>
      <c r="M53" s="2" t="str">
        <f ca="1">IFERROR(__xludf.dummyfunction("VLOOKUP(L53, IMPORTRANGE(""https://docs.google.com/spreadsheets/d/1yDAaXNsi4Mr5FtRQL4tbmSdIzhx6_m4wkOD7IG-k_eo/edit#gid=1336395716"", ""Science!M:N""), 2, FALSE)"),"#N/A")</f>
        <v>#N/A</v>
      </c>
      <c r="N53" s="2" t="str">
        <f t="shared" si="8"/>
        <v>.003</v>
      </c>
      <c r="O53" s="2" t="str">
        <f ca="1">IFERROR(__xludf.dummyfunction("VLOOKUP(N53, IMPORTRANGE(""https://docs.google.com/spreadsheets/d/1yDAaXNsi4Mr5FtRQL4tbmSdIzhx6_m4wkOD7IG-k_eo/edit#gid=1336395716"", ""Science!M:N""), 2, FALSE)"),"#N/A")</f>
        <v>#N/A</v>
      </c>
      <c r="P53" s="2" t="str">
        <f t="shared" si="9"/>
        <v>.004</v>
      </c>
      <c r="Q53" s="17" t="str">
        <f ca="1">IFERROR(__xludf.dummyfunction("VLOOKUP(P53, IMPORTRANGE(""https://docs.google.com/spreadsheets/d/1yDAaXNsi4Mr5FtRQL4tbmSdIzhx6_m4wkOD7IG-k_eo/edit#gid=1336395716"", ""Science!M:N""), 2, FALSE)"),"#N/A")</f>
        <v>#N/A</v>
      </c>
      <c r="R53" s="2" t="str">
        <f t="shared" si="10"/>
        <v>.005</v>
      </c>
      <c r="S53" s="17" t="str">
        <f ca="1">IFERROR(__xludf.dummyfunction("VLOOKUP(R53, IMPORTRANGE(""https://docs.google.com/spreadsheets/d/1yDAaXNsi4Mr5FtRQL4tbmSdIzhx6_m4wkOD7IG-k_eo/edit#gid=1336395716"", ""Science!M:N""), 2, FALSE)"),"#N/A")</f>
        <v>#N/A</v>
      </c>
      <c r="T53" s="2" t="str">
        <f t="shared" si="11"/>
        <v>.006</v>
      </c>
      <c r="U53" s="17" t="str">
        <f ca="1">IFERROR(__xludf.dummyfunction("VLOOKUP(T53, IMPORTRANGE(""https://docs.google.com/spreadsheets/d/1yDAaXNsi4Mr5FtRQL4tbmSdIzhx6_m4wkOD7IG-k_eo/edit#gid=1336395716"", ""Science!M:N""), 2, FALSE)"),"#N/A")</f>
        <v>#N/A</v>
      </c>
    </row>
    <row r="54" spans="8:21" ht="13.8">
      <c r="H54" s="1"/>
      <c r="J54" s="2" t="str">
        <f t="shared" si="6"/>
        <v>.001</v>
      </c>
      <c r="K54" s="2" t="str">
        <f ca="1">IFERROR(__xludf.dummyfunction("VLOOKUP(J54, IMPORTRANGE(""https://docs.google.com/spreadsheets/d/1yDAaXNsi4Mr5FtRQL4tbmSdIzhx6_m4wkOD7IG-k_eo/edit#gid=1336395716"", ""Science!M:N""), 2, FALSE)"),"#N/A")</f>
        <v>#N/A</v>
      </c>
      <c r="L54" s="2" t="str">
        <f t="shared" si="7"/>
        <v>.002</v>
      </c>
      <c r="M54" s="2" t="str">
        <f ca="1">IFERROR(__xludf.dummyfunction("VLOOKUP(L54, IMPORTRANGE(""https://docs.google.com/spreadsheets/d/1yDAaXNsi4Mr5FtRQL4tbmSdIzhx6_m4wkOD7IG-k_eo/edit#gid=1336395716"", ""Science!M:N""), 2, FALSE)"),"#N/A")</f>
        <v>#N/A</v>
      </c>
      <c r="N54" s="2" t="str">
        <f t="shared" si="8"/>
        <v>.003</v>
      </c>
      <c r="O54" s="2" t="str">
        <f ca="1">IFERROR(__xludf.dummyfunction("VLOOKUP(N54, IMPORTRANGE(""https://docs.google.com/spreadsheets/d/1yDAaXNsi4Mr5FtRQL4tbmSdIzhx6_m4wkOD7IG-k_eo/edit#gid=1336395716"", ""Science!M:N""), 2, FALSE)"),"#N/A")</f>
        <v>#N/A</v>
      </c>
      <c r="P54" s="2" t="str">
        <f t="shared" si="9"/>
        <v>.004</v>
      </c>
      <c r="Q54" s="17" t="str">
        <f ca="1">IFERROR(__xludf.dummyfunction("VLOOKUP(P54, IMPORTRANGE(""https://docs.google.com/spreadsheets/d/1yDAaXNsi4Mr5FtRQL4tbmSdIzhx6_m4wkOD7IG-k_eo/edit#gid=1336395716"", ""Science!M:N""), 2, FALSE)"),"#N/A")</f>
        <v>#N/A</v>
      </c>
      <c r="R54" s="2" t="str">
        <f t="shared" si="10"/>
        <v>.005</v>
      </c>
      <c r="S54" s="17" t="str">
        <f ca="1">IFERROR(__xludf.dummyfunction("VLOOKUP(R54, IMPORTRANGE(""https://docs.google.com/spreadsheets/d/1yDAaXNsi4Mr5FtRQL4tbmSdIzhx6_m4wkOD7IG-k_eo/edit#gid=1336395716"", ""Science!M:N""), 2, FALSE)"),"#N/A")</f>
        <v>#N/A</v>
      </c>
      <c r="T54" s="2" t="str">
        <f t="shared" si="11"/>
        <v>.006</v>
      </c>
      <c r="U54" s="17" t="str">
        <f ca="1">IFERROR(__xludf.dummyfunction("VLOOKUP(T54, IMPORTRANGE(""https://docs.google.com/spreadsheets/d/1yDAaXNsi4Mr5FtRQL4tbmSdIzhx6_m4wkOD7IG-k_eo/edit#gid=1336395716"", ""Science!M:N""), 2, FALSE)"),"#N/A")</f>
        <v>#N/A</v>
      </c>
    </row>
    <row r="55" spans="8:21" ht="13.8">
      <c r="H55" s="1"/>
      <c r="J55" s="2" t="str">
        <f t="shared" si="6"/>
        <v>.001</v>
      </c>
      <c r="K55" s="2" t="str">
        <f ca="1">IFERROR(__xludf.dummyfunction("VLOOKUP(J55, IMPORTRANGE(""https://docs.google.com/spreadsheets/d/1yDAaXNsi4Mr5FtRQL4tbmSdIzhx6_m4wkOD7IG-k_eo/edit#gid=1336395716"", ""Science!M:N""), 2, FALSE)"),"#N/A")</f>
        <v>#N/A</v>
      </c>
      <c r="L55" s="2" t="str">
        <f t="shared" si="7"/>
        <v>.002</v>
      </c>
      <c r="M55" s="2" t="str">
        <f ca="1">IFERROR(__xludf.dummyfunction("VLOOKUP(L55, IMPORTRANGE(""https://docs.google.com/spreadsheets/d/1yDAaXNsi4Mr5FtRQL4tbmSdIzhx6_m4wkOD7IG-k_eo/edit#gid=1336395716"", ""Science!M:N""), 2, FALSE)"),"#N/A")</f>
        <v>#N/A</v>
      </c>
      <c r="N55" s="2" t="str">
        <f t="shared" si="8"/>
        <v>.003</v>
      </c>
      <c r="O55" s="2" t="str">
        <f ca="1">IFERROR(__xludf.dummyfunction("VLOOKUP(N55, IMPORTRANGE(""https://docs.google.com/spreadsheets/d/1yDAaXNsi4Mr5FtRQL4tbmSdIzhx6_m4wkOD7IG-k_eo/edit#gid=1336395716"", ""Science!M:N""), 2, FALSE)"),"#N/A")</f>
        <v>#N/A</v>
      </c>
      <c r="P55" s="2" t="str">
        <f t="shared" si="9"/>
        <v>.004</v>
      </c>
      <c r="Q55" s="17" t="str">
        <f ca="1">IFERROR(__xludf.dummyfunction("VLOOKUP(P55, IMPORTRANGE(""https://docs.google.com/spreadsheets/d/1yDAaXNsi4Mr5FtRQL4tbmSdIzhx6_m4wkOD7IG-k_eo/edit#gid=1336395716"", ""Science!M:N""), 2, FALSE)"),"#N/A")</f>
        <v>#N/A</v>
      </c>
      <c r="R55" s="2" t="str">
        <f t="shared" si="10"/>
        <v>.005</v>
      </c>
      <c r="S55" s="17" t="str">
        <f ca="1">IFERROR(__xludf.dummyfunction("VLOOKUP(R55, IMPORTRANGE(""https://docs.google.com/spreadsheets/d/1yDAaXNsi4Mr5FtRQL4tbmSdIzhx6_m4wkOD7IG-k_eo/edit#gid=1336395716"", ""Science!M:N""), 2, FALSE)"),"#N/A")</f>
        <v>#N/A</v>
      </c>
      <c r="T55" s="2" t="str">
        <f t="shared" si="11"/>
        <v>.006</v>
      </c>
      <c r="U55" s="17" t="str">
        <f ca="1">IFERROR(__xludf.dummyfunction("VLOOKUP(T55, IMPORTRANGE(""https://docs.google.com/spreadsheets/d/1yDAaXNsi4Mr5FtRQL4tbmSdIzhx6_m4wkOD7IG-k_eo/edit#gid=1336395716"", ""Science!M:N""), 2, FALSE)"),"#N/A")</f>
        <v>#N/A</v>
      </c>
    </row>
    <row r="56" spans="8:21" ht="13.8">
      <c r="H56" s="1"/>
      <c r="J56" s="2" t="str">
        <f t="shared" si="6"/>
        <v>.001</v>
      </c>
      <c r="K56" s="2" t="str">
        <f ca="1">IFERROR(__xludf.dummyfunction("VLOOKUP(J56, IMPORTRANGE(""https://docs.google.com/spreadsheets/d/1yDAaXNsi4Mr5FtRQL4tbmSdIzhx6_m4wkOD7IG-k_eo/edit#gid=1336395716"", ""Science!M:N""), 2, FALSE)"),"#N/A")</f>
        <v>#N/A</v>
      </c>
      <c r="L56" s="2" t="str">
        <f t="shared" si="7"/>
        <v>.002</v>
      </c>
      <c r="M56" s="2" t="str">
        <f ca="1">IFERROR(__xludf.dummyfunction("VLOOKUP(L56, IMPORTRANGE(""https://docs.google.com/spreadsheets/d/1yDAaXNsi4Mr5FtRQL4tbmSdIzhx6_m4wkOD7IG-k_eo/edit#gid=1336395716"", ""Science!M:N""), 2, FALSE)"),"#N/A")</f>
        <v>#N/A</v>
      </c>
      <c r="N56" s="2" t="str">
        <f t="shared" si="8"/>
        <v>.003</v>
      </c>
      <c r="O56" s="2" t="str">
        <f ca="1">IFERROR(__xludf.dummyfunction("VLOOKUP(N56, IMPORTRANGE(""https://docs.google.com/spreadsheets/d/1yDAaXNsi4Mr5FtRQL4tbmSdIzhx6_m4wkOD7IG-k_eo/edit#gid=1336395716"", ""Science!M:N""), 2, FALSE)"),"#N/A")</f>
        <v>#N/A</v>
      </c>
      <c r="P56" s="2" t="str">
        <f t="shared" si="9"/>
        <v>.004</v>
      </c>
      <c r="Q56" s="17" t="str">
        <f ca="1">IFERROR(__xludf.dummyfunction("VLOOKUP(P56, IMPORTRANGE(""https://docs.google.com/spreadsheets/d/1yDAaXNsi4Mr5FtRQL4tbmSdIzhx6_m4wkOD7IG-k_eo/edit#gid=1336395716"", ""Science!M:N""), 2, FALSE)"),"#N/A")</f>
        <v>#N/A</v>
      </c>
      <c r="R56" s="2" t="str">
        <f t="shared" si="10"/>
        <v>.005</v>
      </c>
      <c r="S56" s="17" t="str">
        <f ca="1">IFERROR(__xludf.dummyfunction("VLOOKUP(R56, IMPORTRANGE(""https://docs.google.com/spreadsheets/d/1yDAaXNsi4Mr5FtRQL4tbmSdIzhx6_m4wkOD7IG-k_eo/edit#gid=1336395716"", ""Science!M:N""), 2, FALSE)"),"#N/A")</f>
        <v>#N/A</v>
      </c>
      <c r="T56" s="2" t="str">
        <f t="shared" si="11"/>
        <v>.006</v>
      </c>
      <c r="U56" s="17" t="str">
        <f ca="1">IFERROR(__xludf.dummyfunction("VLOOKUP(T56, IMPORTRANGE(""https://docs.google.com/spreadsheets/d/1yDAaXNsi4Mr5FtRQL4tbmSdIzhx6_m4wkOD7IG-k_eo/edit#gid=1336395716"", ""Science!M:N""), 2, FALSE)"),"#N/A")</f>
        <v>#N/A</v>
      </c>
    </row>
    <row r="57" spans="8:21" ht="13.8">
      <c r="H57" s="1"/>
      <c r="J57" s="2" t="str">
        <f t="shared" si="6"/>
        <v>.001</v>
      </c>
      <c r="K57" s="2" t="str">
        <f ca="1">IFERROR(__xludf.dummyfunction("VLOOKUP(J57, IMPORTRANGE(""https://docs.google.com/spreadsheets/d/1yDAaXNsi4Mr5FtRQL4tbmSdIzhx6_m4wkOD7IG-k_eo/edit#gid=1336395716"", ""Science!M:N""), 2, FALSE)"),"#N/A")</f>
        <v>#N/A</v>
      </c>
      <c r="L57" s="2" t="str">
        <f t="shared" si="7"/>
        <v>.002</v>
      </c>
      <c r="M57" s="2" t="str">
        <f ca="1">IFERROR(__xludf.dummyfunction("VLOOKUP(L57, IMPORTRANGE(""https://docs.google.com/spreadsheets/d/1yDAaXNsi4Mr5FtRQL4tbmSdIzhx6_m4wkOD7IG-k_eo/edit#gid=1336395716"", ""Science!M:N""), 2, FALSE)"),"#N/A")</f>
        <v>#N/A</v>
      </c>
      <c r="N57" s="2" t="str">
        <f t="shared" si="8"/>
        <v>.003</v>
      </c>
      <c r="O57" s="2" t="str">
        <f ca="1">IFERROR(__xludf.dummyfunction("VLOOKUP(N57, IMPORTRANGE(""https://docs.google.com/spreadsheets/d/1yDAaXNsi4Mr5FtRQL4tbmSdIzhx6_m4wkOD7IG-k_eo/edit#gid=1336395716"", ""Science!M:N""), 2, FALSE)"),"#N/A")</f>
        <v>#N/A</v>
      </c>
      <c r="P57" s="2" t="str">
        <f t="shared" si="9"/>
        <v>.004</v>
      </c>
      <c r="Q57" s="17" t="str">
        <f ca="1">IFERROR(__xludf.dummyfunction("VLOOKUP(P57, IMPORTRANGE(""https://docs.google.com/spreadsheets/d/1yDAaXNsi4Mr5FtRQL4tbmSdIzhx6_m4wkOD7IG-k_eo/edit#gid=1336395716"", ""Science!M:N""), 2, FALSE)"),"#N/A")</f>
        <v>#N/A</v>
      </c>
      <c r="R57" s="2" t="str">
        <f t="shared" si="10"/>
        <v>.005</v>
      </c>
      <c r="S57" s="17" t="str">
        <f ca="1">IFERROR(__xludf.dummyfunction("VLOOKUP(R57, IMPORTRANGE(""https://docs.google.com/spreadsheets/d/1yDAaXNsi4Mr5FtRQL4tbmSdIzhx6_m4wkOD7IG-k_eo/edit#gid=1336395716"", ""Science!M:N""), 2, FALSE)"),"#N/A")</f>
        <v>#N/A</v>
      </c>
      <c r="T57" s="2" t="str">
        <f t="shared" si="11"/>
        <v>.006</v>
      </c>
      <c r="U57" s="17" t="str">
        <f ca="1">IFERROR(__xludf.dummyfunction("VLOOKUP(T57, IMPORTRANGE(""https://docs.google.com/spreadsheets/d/1yDAaXNsi4Mr5FtRQL4tbmSdIzhx6_m4wkOD7IG-k_eo/edit#gid=1336395716"", ""Science!M:N""), 2, FALSE)"),"#N/A")</f>
        <v>#N/A</v>
      </c>
    </row>
    <row r="58" spans="8:21" ht="13.8">
      <c r="H58" s="1"/>
      <c r="J58" s="2" t="str">
        <f t="shared" si="6"/>
        <v>.001</v>
      </c>
      <c r="K58" s="2" t="str">
        <f ca="1">IFERROR(__xludf.dummyfunction("VLOOKUP(J58, IMPORTRANGE(""https://docs.google.com/spreadsheets/d/1yDAaXNsi4Mr5FtRQL4tbmSdIzhx6_m4wkOD7IG-k_eo/edit#gid=1336395716"", ""Science!M:N""), 2, FALSE)"),"#N/A")</f>
        <v>#N/A</v>
      </c>
      <c r="L58" s="2" t="str">
        <f t="shared" si="7"/>
        <v>.002</v>
      </c>
      <c r="M58" s="2" t="str">
        <f ca="1">IFERROR(__xludf.dummyfunction("VLOOKUP(L58, IMPORTRANGE(""https://docs.google.com/spreadsheets/d/1yDAaXNsi4Mr5FtRQL4tbmSdIzhx6_m4wkOD7IG-k_eo/edit#gid=1336395716"", ""Science!M:N""), 2, FALSE)"),"#N/A")</f>
        <v>#N/A</v>
      </c>
      <c r="N58" s="2" t="str">
        <f t="shared" si="8"/>
        <v>.003</v>
      </c>
      <c r="O58" s="2" t="str">
        <f ca="1">IFERROR(__xludf.dummyfunction("VLOOKUP(N58, IMPORTRANGE(""https://docs.google.com/spreadsheets/d/1yDAaXNsi4Mr5FtRQL4tbmSdIzhx6_m4wkOD7IG-k_eo/edit#gid=1336395716"", ""Science!M:N""), 2, FALSE)"),"#N/A")</f>
        <v>#N/A</v>
      </c>
      <c r="P58" s="2" t="str">
        <f t="shared" si="9"/>
        <v>.004</v>
      </c>
      <c r="Q58" s="17" t="str">
        <f ca="1">IFERROR(__xludf.dummyfunction("VLOOKUP(P58, IMPORTRANGE(""https://docs.google.com/spreadsheets/d/1yDAaXNsi4Mr5FtRQL4tbmSdIzhx6_m4wkOD7IG-k_eo/edit#gid=1336395716"", ""Science!M:N""), 2, FALSE)"),"#N/A")</f>
        <v>#N/A</v>
      </c>
      <c r="R58" s="2" t="str">
        <f t="shared" si="10"/>
        <v>.005</v>
      </c>
      <c r="S58" s="17" t="str">
        <f ca="1">IFERROR(__xludf.dummyfunction("VLOOKUP(R58, IMPORTRANGE(""https://docs.google.com/spreadsheets/d/1yDAaXNsi4Mr5FtRQL4tbmSdIzhx6_m4wkOD7IG-k_eo/edit#gid=1336395716"", ""Science!M:N""), 2, FALSE)"),"#N/A")</f>
        <v>#N/A</v>
      </c>
      <c r="T58" s="2" t="str">
        <f t="shared" si="11"/>
        <v>.006</v>
      </c>
      <c r="U58" s="17" t="str">
        <f ca="1">IFERROR(__xludf.dummyfunction("VLOOKUP(T58, IMPORTRANGE(""https://docs.google.com/spreadsheets/d/1yDAaXNsi4Mr5FtRQL4tbmSdIzhx6_m4wkOD7IG-k_eo/edit#gid=1336395716"", ""Science!M:N""), 2, FALSE)"),"#N/A")</f>
        <v>#N/A</v>
      </c>
    </row>
    <row r="59" spans="8:21" ht="13.8">
      <c r="H59" s="1"/>
      <c r="J59" s="2" t="str">
        <f t="shared" si="6"/>
        <v>.001</v>
      </c>
      <c r="K59" s="2" t="str">
        <f ca="1">IFERROR(__xludf.dummyfunction("VLOOKUP(J59, IMPORTRANGE(""https://docs.google.com/spreadsheets/d/1yDAaXNsi4Mr5FtRQL4tbmSdIzhx6_m4wkOD7IG-k_eo/edit#gid=1336395716"", ""Science!M:N""), 2, FALSE)"),"#N/A")</f>
        <v>#N/A</v>
      </c>
      <c r="L59" s="2" t="str">
        <f t="shared" si="7"/>
        <v>.002</v>
      </c>
      <c r="M59" s="2" t="str">
        <f ca="1">IFERROR(__xludf.dummyfunction("VLOOKUP(L59, IMPORTRANGE(""https://docs.google.com/spreadsheets/d/1yDAaXNsi4Mr5FtRQL4tbmSdIzhx6_m4wkOD7IG-k_eo/edit#gid=1336395716"", ""Science!M:N""), 2, FALSE)"),"#N/A")</f>
        <v>#N/A</v>
      </c>
      <c r="N59" s="2" t="str">
        <f t="shared" si="8"/>
        <v>.003</v>
      </c>
      <c r="O59" s="2" t="str">
        <f ca="1">IFERROR(__xludf.dummyfunction("VLOOKUP(N59, IMPORTRANGE(""https://docs.google.com/spreadsheets/d/1yDAaXNsi4Mr5FtRQL4tbmSdIzhx6_m4wkOD7IG-k_eo/edit#gid=1336395716"", ""Science!M:N""), 2, FALSE)"),"#N/A")</f>
        <v>#N/A</v>
      </c>
      <c r="P59" s="2" t="str">
        <f t="shared" si="9"/>
        <v>.004</v>
      </c>
      <c r="Q59" s="17" t="str">
        <f ca="1">IFERROR(__xludf.dummyfunction("VLOOKUP(P59, IMPORTRANGE(""https://docs.google.com/spreadsheets/d/1yDAaXNsi4Mr5FtRQL4tbmSdIzhx6_m4wkOD7IG-k_eo/edit#gid=1336395716"", ""Science!M:N""), 2, FALSE)"),"#N/A")</f>
        <v>#N/A</v>
      </c>
      <c r="R59" s="2" t="str">
        <f t="shared" si="10"/>
        <v>.005</v>
      </c>
      <c r="S59" s="17" t="str">
        <f ca="1">IFERROR(__xludf.dummyfunction("VLOOKUP(R59, IMPORTRANGE(""https://docs.google.com/spreadsheets/d/1yDAaXNsi4Mr5FtRQL4tbmSdIzhx6_m4wkOD7IG-k_eo/edit#gid=1336395716"", ""Science!M:N""), 2, FALSE)"),"#N/A")</f>
        <v>#N/A</v>
      </c>
      <c r="T59" s="2" t="str">
        <f t="shared" si="11"/>
        <v>.006</v>
      </c>
      <c r="U59" s="17" t="str">
        <f ca="1">IFERROR(__xludf.dummyfunction("VLOOKUP(T59, IMPORTRANGE(""https://docs.google.com/spreadsheets/d/1yDAaXNsi4Mr5FtRQL4tbmSdIzhx6_m4wkOD7IG-k_eo/edit#gid=1336395716"", ""Science!M:N""), 2, FALSE)"),"#N/A")</f>
        <v>#N/A</v>
      </c>
    </row>
    <row r="60" spans="8:21" ht="13.8">
      <c r="H60" s="1"/>
      <c r="J60" s="2" t="str">
        <f t="shared" si="6"/>
        <v>.001</v>
      </c>
      <c r="K60" s="2" t="str">
        <f ca="1">IFERROR(__xludf.dummyfunction("VLOOKUP(J60, IMPORTRANGE(""https://docs.google.com/spreadsheets/d/1yDAaXNsi4Mr5FtRQL4tbmSdIzhx6_m4wkOD7IG-k_eo/edit#gid=1336395716"", ""Science!M:N""), 2, FALSE)"),"#N/A")</f>
        <v>#N/A</v>
      </c>
      <c r="L60" s="2" t="str">
        <f t="shared" si="7"/>
        <v>.002</v>
      </c>
      <c r="M60" s="2" t="str">
        <f ca="1">IFERROR(__xludf.dummyfunction("VLOOKUP(L60, IMPORTRANGE(""https://docs.google.com/spreadsheets/d/1yDAaXNsi4Mr5FtRQL4tbmSdIzhx6_m4wkOD7IG-k_eo/edit#gid=1336395716"", ""Science!M:N""), 2, FALSE)"),"#N/A")</f>
        <v>#N/A</v>
      </c>
      <c r="N60" s="2" t="str">
        <f t="shared" si="8"/>
        <v>.003</v>
      </c>
      <c r="O60" s="2" t="str">
        <f ca="1">IFERROR(__xludf.dummyfunction("VLOOKUP(N60, IMPORTRANGE(""https://docs.google.com/spreadsheets/d/1yDAaXNsi4Mr5FtRQL4tbmSdIzhx6_m4wkOD7IG-k_eo/edit#gid=1336395716"", ""Science!M:N""), 2, FALSE)"),"#N/A")</f>
        <v>#N/A</v>
      </c>
      <c r="P60" s="2" t="str">
        <f t="shared" si="9"/>
        <v>.004</v>
      </c>
      <c r="Q60" s="17" t="str">
        <f ca="1">IFERROR(__xludf.dummyfunction("VLOOKUP(P60, IMPORTRANGE(""https://docs.google.com/spreadsheets/d/1yDAaXNsi4Mr5FtRQL4tbmSdIzhx6_m4wkOD7IG-k_eo/edit#gid=1336395716"", ""Science!M:N""), 2, FALSE)"),"#N/A")</f>
        <v>#N/A</v>
      </c>
      <c r="R60" s="2" t="str">
        <f t="shared" si="10"/>
        <v>.005</v>
      </c>
      <c r="S60" s="17" t="str">
        <f ca="1">IFERROR(__xludf.dummyfunction("VLOOKUP(R60, IMPORTRANGE(""https://docs.google.com/spreadsheets/d/1yDAaXNsi4Mr5FtRQL4tbmSdIzhx6_m4wkOD7IG-k_eo/edit#gid=1336395716"", ""Science!M:N""), 2, FALSE)"),"#N/A")</f>
        <v>#N/A</v>
      </c>
      <c r="T60" s="2" t="str">
        <f t="shared" si="11"/>
        <v>.006</v>
      </c>
      <c r="U60" s="17" t="str">
        <f ca="1">IFERROR(__xludf.dummyfunction("VLOOKUP(T60, IMPORTRANGE(""https://docs.google.com/spreadsheets/d/1yDAaXNsi4Mr5FtRQL4tbmSdIzhx6_m4wkOD7IG-k_eo/edit#gid=1336395716"", ""Science!M:N""), 2, FALSE)"),"#N/A")</f>
        <v>#N/A</v>
      </c>
    </row>
    <row r="61" spans="8:21" ht="13.8">
      <c r="H61" s="1"/>
      <c r="J61" s="2" t="str">
        <f t="shared" si="6"/>
        <v>.001</v>
      </c>
      <c r="K61" s="2" t="str">
        <f ca="1">IFERROR(__xludf.dummyfunction("VLOOKUP(J61, IMPORTRANGE(""https://docs.google.com/spreadsheets/d/1yDAaXNsi4Mr5FtRQL4tbmSdIzhx6_m4wkOD7IG-k_eo/edit#gid=1336395716"", ""Science!M:N""), 2, FALSE)"),"#N/A")</f>
        <v>#N/A</v>
      </c>
      <c r="L61" s="2" t="str">
        <f t="shared" si="7"/>
        <v>.002</v>
      </c>
      <c r="M61" s="2" t="str">
        <f ca="1">IFERROR(__xludf.dummyfunction("VLOOKUP(L61, IMPORTRANGE(""https://docs.google.com/spreadsheets/d/1yDAaXNsi4Mr5FtRQL4tbmSdIzhx6_m4wkOD7IG-k_eo/edit#gid=1336395716"", ""Science!M:N""), 2, FALSE)"),"#N/A")</f>
        <v>#N/A</v>
      </c>
      <c r="N61" s="2" t="str">
        <f t="shared" si="8"/>
        <v>.003</v>
      </c>
      <c r="O61" s="2" t="str">
        <f ca="1">IFERROR(__xludf.dummyfunction("VLOOKUP(N61, IMPORTRANGE(""https://docs.google.com/spreadsheets/d/1yDAaXNsi4Mr5FtRQL4tbmSdIzhx6_m4wkOD7IG-k_eo/edit#gid=1336395716"", ""Science!M:N""), 2, FALSE)"),"#N/A")</f>
        <v>#N/A</v>
      </c>
      <c r="P61" s="2" t="str">
        <f t="shared" si="9"/>
        <v>.004</v>
      </c>
      <c r="Q61" s="17" t="str">
        <f ca="1">IFERROR(__xludf.dummyfunction("VLOOKUP(P61, IMPORTRANGE(""https://docs.google.com/spreadsheets/d/1yDAaXNsi4Mr5FtRQL4tbmSdIzhx6_m4wkOD7IG-k_eo/edit#gid=1336395716"", ""Science!M:N""), 2, FALSE)"),"#N/A")</f>
        <v>#N/A</v>
      </c>
      <c r="R61" s="2" t="str">
        <f t="shared" si="10"/>
        <v>.005</v>
      </c>
      <c r="S61" s="17" t="str">
        <f ca="1">IFERROR(__xludf.dummyfunction("VLOOKUP(R61, IMPORTRANGE(""https://docs.google.com/spreadsheets/d/1yDAaXNsi4Mr5FtRQL4tbmSdIzhx6_m4wkOD7IG-k_eo/edit#gid=1336395716"", ""Science!M:N""), 2, FALSE)"),"#N/A")</f>
        <v>#N/A</v>
      </c>
      <c r="T61" s="2" t="str">
        <f t="shared" si="11"/>
        <v>.006</v>
      </c>
      <c r="U61" s="17" t="str">
        <f ca="1">IFERROR(__xludf.dummyfunction("VLOOKUP(T61, IMPORTRANGE(""https://docs.google.com/spreadsheets/d/1yDAaXNsi4Mr5FtRQL4tbmSdIzhx6_m4wkOD7IG-k_eo/edit#gid=1336395716"", ""Science!M:N""), 2, FALSE)"),"#N/A")</f>
        <v>#N/A</v>
      </c>
    </row>
    <row r="62" spans="8:21" ht="13.8">
      <c r="H62" s="1"/>
      <c r="J62" s="2" t="str">
        <f t="shared" si="6"/>
        <v>.001</v>
      </c>
      <c r="K62" s="2" t="str">
        <f ca="1">IFERROR(__xludf.dummyfunction("VLOOKUP(J62, IMPORTRANGE(""https://docs.google.com/spreadsheets/d/1yDAaXNsi4Mr5FtRQL4tbmSdIzhx6_m4wkOD7IG-k_eo/edit#gid=1336395716"", ""Science!M:N""), 2, FALSE)"),"#N/A")</f>
        <v>#N/A</v>
      </c>
      <c r="L62" s="2" t="str">
        <f t="shared" si="7"/>
        <v>.002</v>
      </c>
      <c r="M62" s="2" t="str">
        <f ca="1">IFERROR(__xludf.dummyfunction("VLOOKUP(L62, IMPORTRANGE(""https://docs.google.com/spreadsheets/d/1yDAaXNsi4Mr5FtRQL4tbmSdIzhx6_m4wkOD7IG-k_eo/edit#gid=1336395716"", ""Science!M:N""), 2, FALSE)"),"#N/A")</f>
        <v>#N/A</v>
      </c>
      <c r="N62" s="2" t="str">
        <f t="shared" si="8"/>
        <v>.003</v>
      </c>
      <c r="O62" s="2" t="str">
        <f ca="1">IFERROR(__xludf.dummyfunction("VLOOKUP(N62, IMPORTRANGE(""https://docs.google.com/spreadsheets/d/1yDAaXNsi4Mr5FtRQL4tbmSdIzhx6_m4wkOD7IG-k_eo/edit#gid=1336395716"", ""Science!M:N""), 2, FALSE)"),"#N/A")</f>
        <v>#N/A</v>
      </c>
      <c r="P62" s="2" t="str">
        <f t="shared" si="9"/>
        <v>.004</v>
      </c>
      <c r="Q62" s="17" t="str">
        <f ca="1">IFERROR(__xludf.dummyfunction("VLOOKUP(P62, IMPORTRANGE(""https://docs.google.com/spreadsheets/d/1yDAaXNsi4Mr5FtRQL4tbmSdIzhx6_m4wkOD7IG-k_eo/edit#gid=1336395716"", ""Science!M:N""), 2, FALSE)"),"#N/A")</f>
        <v>#N/A</v>
      </c>
      <c r="R62" s="2" t="str">
        <f t="shared" si="10"/>
        <v>.005</v>
      </c>
      <c r="S62" s="17" t="str">
        <f ca="1">IFERROR(__xludf.dummyfunction("VLOOKUP(R62, IMPORTRANGE(""https://docs.google.com/spreadsheets/d/1yDAaXNsi4Mr5FtRQL4tbmSdIzhx6_m4wkOD7IG-k_eo/edit#gid=1336395716"", ""Science!M:N""), 2, FALSE)"),"#N/A")</f>
        <v>#N/A</v>
      </c>
      <c r="T62" s="2" t="str">
        <f t="shared" si="11"/>
        <v>.006</v>
      </c>
      <c r="U62" s="17" t="str">
        <f ca="1">IFERROR(__xludf.dummyfunction("VLOOKUP(T62, IMPORTRANGE(""https://docs.google.com/spreadsheets/d/1yDAaXNsi4Mr5FtRQL4tbmSdIzhx6_m4wkOD7IG-k_eo/edit#gid=1336395716"", ""Science!M:N""), 2, FALSE)"),"#N/A")</f>
        <v>#N/A</v>
      </c>
    </row>
    <row r="63" spans="8:21" ht="13.8">
      <c r="H63" s="1"/>
      <c r="J63" s="2" t="str">
        <f t="shared" si="6"/>
        <v>.001</v>
      </c>
      <c r="K63" s="2" t="str">
        <f ca="1">IFERROR(__xludf.dummyfunction("VLOOKUP(J63, IMPORTRANGE(""https://docs.google.com/spreadsheets/d/1yDAaXNsi4Mr5FtRQL4tbmSdIzhx6_m4wkOD7IG-k_eo/edit#gid=1336395716"", ""Science!M:N""), 2, FALSE)"),"#N/A")</f>
        <v>#N/A</v>
      </c>
      <c r="L63" s="2" t="str">
        <f t="shared" si="7"/>
        <v>.002</v>
      </c>
      <c r="M63" s="2" t="str">
        <f ca="1">IFERROR(__xludf.dummyfunction("VLOOKUP(L63, IMPORTRANGE(""https://docs.google.com/spreadsheets/d/1yDAaXNsi4Mr5FtRQL4tbmSdIzhx6_m4wkOD7IG-k_eo/edit#gid=1336395716"", ""Science!M:N""), 2, FALSE)"),"#N/A")</f>
        <v>#N/A</v>
      </c>
      <c r="N63" s="2" t="str">
        <f t="shared" si="8"/>
        <v>.003</v>
      </c>
      <c r="O63" s="2" t="str">
        <f ca="1">IFERROR(__xludf.dummyfunction("VLOOKUP(N63, IMPORTRANGE(""https://docs.google.com/spreadsheets/d/1yDAaXNsi4Mr5FtRQL4tbmSdIzhx6_m4wkOD7IG-k_eo/edit#gid=1336395716"", ""Science!M:N""), 2, FALSE)"),"#N/A")</f>
        <v>#N/A</v>
      </c>
      <c r="P63" s="2" t="str">
        <f t="shared" si="9"/>
        <v>.004</v>
      </c>
      <c r="Q63" s="17" t="str">
        <f ca="1">IFERROR(__xludf.dummyfunction("VLOOKUP(P63, IMPORTRANGE(""https://docs.google.com/spreadsheets/d/1yDAaXNsi4Mr5FtRQL4tbmSdIzhx6_m4wkOD7IG-k_eo/edit#gid=1336395716"", ""Science!M:N""), 2, FALSE)"),"#N/A")</f>
        <v>#N/A</v>
      </c>
      <c r="R63" s="2" t="str">
        <f t="shared" si="10"/>
        <v>.005</v>
      </c>
      <c r="S63" s="17" t="str">
        <f ca="1">IFERROR(__xludf.dummyfunction("VLOOKUP(R63, IMPORTRANGE(""https://docs.google.com/spreadsheets/d/1yDAaXNsi4Mr5FtRQL4tbmSdIzhx6_m4wkOD7IG-k_eo/edit#gid=1336395716"", ""Science!M:N""), 2, FALSE)"),"#N/A")</f>
        <v>#N/A</v>
      </c>
      <c r="T63" s="2" t="str">
        <f t="shared" si="11"/>
        <v>.006</v>
      </c>
      <c r="U63" s="17" t="str">
        <f ca="1">IFERROR(__xludf.dummyfunction("VLOOKUP(T63, IMPORTRANGE(""https://docs.google.com/spreadsheets/d/1yDAaXNsi4Mr5FtRQL4tbmSdIzhx6_m4wkOD7IG-k_eo/edit#gid=1336395716"", ""Science!M:N""), 2, FALSE)"),"#N/A")</f>
        <v>#N/A</v>
      </c>
    </row>
    <row r="64" spans="8:21" ht="13.8">
      <c r="H64" s="1"/>
      <c r="J64" s="2" t="str">
        <f t="shared" si="6"/>
        <v>.001</v>
      </c>
      <c r="K64" s="2" t="str">
        <f ca="1">IFERROR(__xludf.dummyfunction("VLOOKUP(J64, IMPORTRANGE(""https://docs.google.com/spreadsheets/d/1yDAaXNsi4Mr5FtRQL4tbmSdIzhx6_m4wkOD7IG-k_eo/edit#gid=1336395716"", ""Science!M:N""), 2, FALSE)"),"#N/A")</f>
        <v>#N/A</v>
      </c>
      <c r="L64" s="2" t="str">
        <f t="shared" si="7"/>
        <v>.002</v>
      </c>
      <c r="M64" s="2" t="str">
        <f ca="1">IFERROR(__xludf.dummyfunction("VLOOKUP(L64, IMPORTRANGE(""https://docs.google.com/spreadsheets/d/1yDAaXNsi4Mr5FtRQL4tbmSdIzhx6_m4wkOD7IG-k_eo/edit#gid=1336395716"", ""Science!M:N""), 2, FALSE)"),"#N/A")</f>
        <v>#N/A</v>
      </c>
      <c r="N64" s="2" t="str">
        <f t="shared" si="8"/>
        <v>.003</v>
      </c>
      <c r="O64" s="2" t="str">
        <f ca="1">IFERROR(__xludf.dummyfunction("VLOOKUP(N64, IMPORTRANGE(""https://docs.google.com/spreadsheets/d/1yDAaXNsi4Mr5FtRQL4tbmSdIzhx6_m4wkOD7IG-k_eo/edit#gid=1336395716"", ""Science!M:N""), 2, FALSE)"),"#N/A")</f>
        <v>#N/A</v>
      </c>
      <c r="P64" s="2" t="str">
        <f t="shared" si="9"/>
        <v>.004</v>
      </c>
      <c r="Q64" s="17" t="str">
        <f ca="1">IFERROR(__xludf.dummyfunction("VLOOKUP(P64, IMPORTRANGE(""https://docs.google.com/spreadsheets/d/1yDAaXNsi4Mr5FtRQL4tbmSdIzhx6_m4wkOD7IG-k_eo/edit#gid=1336395716"", ""Science!M:N""), 2, FALSE)"),"#N/A")</f>
        <v>#N/A</v>
      </c>
      <c r="R64" s="2" t="str">
        <f t="shared" si="10"/>
        <v>.005</v>
      </c>
      <c r="S64" s="17" t="str">
        <f ca="1">IFERROR(__xludf.dummyfunction("VLOOKUP(R64, IMPORTRANGE(""https://docs.google.com/spreadsheets/d/1yDAaXNsi4Mr5FtRQL4tbmSdIzhx6_m4wkOD7IG-k_eo/edit#gid=1336395716"", ""Science!M:N""), 2, FALSE)"),"#N/A")</f>
        <v>#N/A</v>
      </c>
      <c r="T64" s="2" t="str">
        <f t="shared" si="11"/>
        <v>.006</v>
      </c>
      <c r="U64" s="17" t="str">
        <f ca="1">IFERROR(__xludf.dummyfunction("VLOOKUP(T64, IMPORTRANGE(""https://docs.google.com/spreadsheets/d/1yDAaXNsi4Mr5FtRQL4tbmSdIzhx6_m4wkOD7IG-k_eo/edit#gid=1336395716"", ""Science!M:N""), 2, FALSE)"),"#N/A")</f>
        <v>#N/A</v>
      </c>
    </row>
    <row r="65" spans="8:21" ht="13.8">
      <c r="H65" s="1"/>
      <c r="J65" s="2" t="str">
        <f t="shared" si="6"/>
        <v>.001</v>
      </c>
      <c r="K65" s="2" t="str">
        <f ca="1">IFERROR(__xludf.dummyfunction("VLOOKUP(J65, IMPORTRANGE(""https://docs.google.com/spreadsheets/d/1yDAaXNsi4Mr5FtRQL4tbmSdIzhx6_m4wkOD7IG-k_eo/edit#gid=1336395716"", ""Science!M:N""), 2, FALSE)"),"#N/A")</f>
        <v>#N/A</v>
      </c>
      <c r="L65" s="2" t="str">
        <f t="shared" si="7"/>
        <v>.002</v>
      </c>
      <c r="M65" s="2" t="str">
        <f ca="1">IFERROR(__xludf.dummyfunction("VLOOKUP(L65, IMPORTRANGE(""https://docs.google.com/spreadsheets/d/1yDAaXNsi4Mr5FtRQL4tbmSdIzhx6_m4wkOD7IG-k_eo/edit#gid=1336395716"", ""Science!M:N""), 2, FALSE)"),"#N/A")</f>
        <v>#N/A</v>
      </c>
      <c r="N65" s="2" t="str">
        <f t="shared" si="8"/>
        <v>.003</v>
      </c>
      <c r="O65" s="2" t="str">
        <f ca="1">IFERROR(__xludf.dummyfunction("VLOOKUP(N65, IMPORTRANGE(""https://docs.google.com/spreadsheets/d/1yDAaXNsi4Mr5FtRQL4tbmSdIzhx6_m4wkOD7IG-k_eo/edit#gid=1336395716"", ""Science!M:N""), 2, FALSE)"),"#N/A")</f>
        <v>#N/A</v>
      </c>
      <c r="P65" s="2" t="str">
        <f t="shared" si="9"/>
        <v>.004</v>
      </c>
      <c r="Q65" s="17" t="str">
        <f ca="1">IFERROR(__xludf.dummyfunction("VLOOKUP(P65, IMPORTRANGE(""https://docs.google.com/spreadsheets/d/1yDAaXNsi4Mr5FtRQL4tbmSdIzhx6_m4wkOD7IG-k_eo/edit#gid=1336395716"", ""Science!M:N""), 2, FALSE)"),"#N/A")</f>
        <v>#N/A</v>
      </c>
      <c r="R65" s="2" t="str">
        <f t="shared" si="10"/>
        <v>.005</v>
      </c>
      <c r="S65" s="17" t="str">
        <f ca="1">IFERROR(__xludf.dummyfunction("VLOOKUP(R65, IMPORTRANGE(""https://docs.google.com/spreadsheets/d/1yDAaXNsi4Mr5FtRQL4tbmSdIzhx6_m4wkOD7IG-k_eo/edit#gid=1336395716"", ""Science!M:N""), 2, FALSE)"),"#N/A")</f>
        <v>#N/A</v>
      </c>
      <c r="T65" s="2" t="str">
        <f t="shared" si="11"/>
        <v>.006</v>
      </c>
      <c r="U65" s="17" t="str">
        <f ca="1">IFERROR(__xludf.dummyfunction("VLOOKUP(T65, IMPORTRANGE(""https://docs.google.com/spreadsheets/d/1yDAaXNsi4Mr5FtRQL4tbmSdIzhx6_m4wkOD7IG-k_eo/edit#gid=1336395716"", ""Science!M:N""), 2, FALSE)"),"#N/A")</f>
        <v>#N/A</v>
      </c>
    </row>
    <row r="66" spans="8:21" ht="13.8">
      <c r="H66" s="1"/>
      <c r="J66" s="2" t="str">
        <f t="shared" si="6"/>
        <v>.001</v>
      </c>
      <c r="K66" s="2" t="str">
        <f ca="1">IFERROR(__xludf.dummyfunction("VLOOKUP(J66, IMPORTRANGE(""https://docs.google.com/spreadsheets/d/1yDAaXNsi4Mr5FtRQL4tbmSdIzhx6_m4wkOD7IG-k_eo/edit#gid=1336395716"", ""Science!M:N""), 2, FALSE)"),"#N/A")</f>
        <v>#N/A</v>
      </c>
      <c r="L66" s="2" t="str">
        <f t="shared" si="7"/>
        <v>.002</v>
      </c>
      <c r="M66" s="2" t="str">
        <f ca="1">IFERROR(__xludf.dummyfunction("VLOOKUP(L66, IMPORTRANGE(""https://docs.google.com/spreadsheets/d/1yDAaXNsi4Mr5FtRQL4tbmSdIzhx6_m4wkOD7IG-k_eo/edit#gid=1336395716"", ""Science!M:N""), 2, FALSE)"),"#N/A")</f>
        <v>#N/A</v>
      </c>
      <c r="N66" s="2" t="str">
        <f t="shared" si="8"/>
        <v>.003</v>
      </c>
      <c r="O66" s="2" t="str">
        <f ca="1">IFERROR(__xludf.dummyfunction("VLOOKUP(N66, IMPORTRANGE(""https://docs.google.com/spreadsheets/d/1yDAaXNsi4Mr5FtRQL4tbmSdIzhx6_m4wkOD7IG-k_eo/edit#gid=1336395716"", ""Science!M:N""), 2, FALSE)"),"#N/A")</f>
        <v>#N/A</v>
      </c>
      <c r="P66" s="2" t="str">
        <f t="shared" si="9"/>
        <v>.004</v>
      </c>
      <c r="Q66" s="17" t="str">
        <f ca="1">IFERROR(__xludf.dummyfunction("VLOOKUP(P66, IMPORTRANGE(""https://docs.google.com/spreadsheets/d/1yDAaXNsi4Mr5FtRQL4tbmSdIzhx6_m4wkOD7IG-k_eo/edit#gid=1336395716"", ""Science!M:N""), 2, FALSE)"),"#N/A")</f>
        <v>#N/A</v>
      </c>
      <c r="R66" s="2" t="str">
        <f t="shared" si="10"/>
        <v>.005</v>
      </c>
      <c r="S66" s="17" t="str">
        <f ca="1">IFERROR(__xludf.dummyfunction("VLOOKUP(R66, IMPORTRANGE(""https://docs.google.com/spreadsheets/d/1yDAaXNsi4Mr5FtRQL4tbmSdIzhx6_m4wkOD7IG-k_eo/edit#gid=1336395716"", ""Science!M:N""), 2, FALSE)"),"#N/A")</f>
        <v>#N/A</v>
      </c>
      <c r="T66" s="2" t="str">
        <f t="shared" si="11"/>
        <v>.006</v>
      </c>
      <c r="U66" s="17" t="str">
        <f ca="1">IFERROR(__xludf.dummyfunction("VLOOKUP(T66, IMPORTRANGE(""https://docs.google.com/spreadsheets/d/1yDAaXNsi4Mr5FtRQL4tbmSdIzhx6_m4wkOD7IG-k_eo/edit#gid=1336395716"", ""Science!M:N""), 2, FALSE)"),"#N/A")</f>
        <v>#N/A</v>
      </c>
    </row>
    <row r="67" spans="8:21" ht="13.8">
      <c r="H67" s="1"/>
      <c r="J67" s="2" t="str">
        <f t="shared" si="6"/>
        <v>.001</v>
      </c>
      <c r="K67" s="2" t="str">
        <f ca="1">IFERROR(__xludf.dummyfunction("VLOOKUP(J67, IMPORTRANGE(""https://docs.google.com/spreadsheets/d/1yDAaXNsi4Mr5FtRQL4tbmSdIzhx6_m4wkOD7IG-k_eo/edit#gid=1336395716"", ""Science!M:N""), 2, FALSE)"),"#N/A")</f>
        <v>#N/A</v>
      </c>
      <c r="L67" s="2" t="str">
        <f t="shared" si="7"/>
        <v>.002</v>
      </c>
      <c r="M67" s="2" t="str">
        <f ca="1">IFERROR(__xludf.dummyfunction("VLOOKUP(L67, IMPORTRANGE(""https://docs.google.com/spreadsheets/d/1yDAaXNsi4Mr5FtRQL4tbmSdIzhx6_m4wkOD7IG-k_eo/edit#gid=1336395716"", ""Science!M:N""), 2, FALSE)"),"#N/A")</f>
        <v>#N/A</v>
      </c>
      <c r="N67" s="2" t="str">
        <f t="shared" si="8"/>
        <v>.003</v>
      </c>
      <c r="O67" s="2" t="str">
        <f ca="1">IFERROR(__xludf.dummyfunction("VLOOKUP(N67, IMPORTRANGE(""https://docs.google.com/spreadsheets/d/1yDAaXNsi4Mr5FtRQL4tbmSdIzhx6_m4wkOD7IG-k_eo/edit#gid=1336395716"", ""Science!M:N""), 2, FALSE)"),"#N/A")</f>
        <v>#N/A</v>
      </c>
      <c r="P67" s="2" t="str">
        <f t="shared" si="9"/>
        <v>.004</v>
      </c>
      <c r="Q67" s="17" t="str">
        <f ca="1">IFERROR(__xludf.dummyfunction("VLOOKUP(P67, IMPORTRANGE(""https://docs.google.com/spreadsheets/d/1yDAaXNsi4Mr5FtRQL4tbmSdIzhx6_m4wkOD7IG-k_eo/edit#gid=1336395716"", ""Science!M:N""), 2, FALSE)"),"#N/A")</f>
        <v>#N/A</v>
      </c>
      <c r="R67" s="2" t="str">
        <f t="shared" si="10"/>
        <v>.005</v>
      </c>
      <c r="S67" s="17" t="str">
        <f ca="1">IFERROR(__xludf.dummyfunction("VLOOKUP(R67, IMPORTRANGE(""https://docs.google.com/spreadsheets/d/1yDAaXNsi4Mr5FtRQL4tbmSdIzhx6_m4wkOD7IG-k_eo/edit#gid=1336395716"", ""Science!M:N""), 2, FALSE)"),"#N/A")</f>
        <v>#N/A</v>
      </c>
      <c r="T67" s="2" t="str">
        <f t="shared" si="11"/>
        <v>.006</v>
      </c>
      <c r="U67" s="17" t="str">
        <f ca="1">IFERROR(__xludf.dummyfunction("VLOOKUP(T67, IMPORTRANGE(""https://docs.google.com/spreadsheets/d/1yDAaXNsi4Mr5FtRQL4tbmSdIzhx6_m4wkOD7IG-k_eo/edit#gid=1336395716"", ""Science!M:N""), 2, FALSE)"),"#N/A")</f>
        <v>#N/A</v>
      </c>
    </row>
    <row r="68" spans="8:21" ht="13.8">
      <c r="H68" s="1"/>
      <c r="J68" s="2" t="str">
        <f t="shared" si="6"/>
        <v>.001</v>
      </c>
      <c r="K68" s="2" t="str">
        <f ca="1">IFERROR(__xludf.dummyfunction("VLOOKUP(J68, IMPORTRANGE(""https://docs.google.com/spreadsheets/d/1yDAaXNsi4Mr5FtRQL4tbmSdIzhx6_m4wkOD7IG-k_eo/edit#gid=1336395716"", ""Science!M:N""), 2, FALSE)"),"#N/A")</f>
        <v>#N/A</v>
      </c>
      <c r="L68" s="2" t="str">
        <f t="shared" si="7"/>
        <v>.002</v>
      </c>
      <c r="M68" s="2" t="str">
        <f ca="1">IFERROR(__xludf.dummyfunction("VLOOKUP(L68, IMPORTRANGE(""https://docs.google.com/spreadsheets/d/1yDAaXNsi4Mr5FtRQL4tbmSdIzhx6_m4wkOD7IG-k_eo/edit#gid=1336395716"", ""Science!M:N""), 2, FALSE)"),"#N/A")</f>
        <v>#N/A</v>
      </c>
      <c r="N68" s="2" t="str">
        <f t="shared" si="8"/>
        <v>.003</v>
      </c>
      <c r="O68" s="2" t="str">
        <f ca="1">IFERROR(__xludf.dummyfunction("VLOOKUP(N68, IMPORTRANGE(""https://docs.google.com/spreadsheets/d/1yDAaXNsi4Mr5FtRQL4tbmSdIzhx6_m4wkOD7IG-k_eo/edit#gid=1336395716"", ""Science!M:N""), 2, FALSE)"),"#N/A")</f>
        <v>#N/A</v>
      </c>
      <c r="P68" s="2" t="str">
        <f t="shared" si="9"/>
        <v>.004</v>
      </c>
      <c r="Q68" s="17" t="str">
        <f ca="1">IFERROR(__xludf.dummyfunction("VLOOKUP(P68, IMPORTRANGE(""https://docs.google.com/spreadsheets/d/1yDAaXNsi4Mr5FtRQL4tbmSdIzhx6_m4wkOD7IG-k_eo/edit#gid=1336395716"", ""Science!M:N""), 2, FALSE)"),"#N/A")</f>
        <v>#N/A</v>
      </c>
      <c r="R68" s="2" t="str">
        <f t="shared" si="10"/>
        <v>.005</v>
      </c>
      <c r="S68" s="17" t="str">
        <f ca="1">IFERROR(__xludf.dummyfunction("VLOOKUP(R68, IMPORTRANGE(""https://docs.google.com/spreadsheets/d/1yDAaXNsi4Mr5FtRQL4tbmSdIzhx6_m4wkOD7IG-k_eo/edit#gid=1336395716"", ""Science!M:N""), 2, FALSE)"),"#N/A")</f>
        <v>#N/A</v>
      </c>
      <c r="T68" s="2" t="str">
        <f t="shared" si="11"/>
        <v>.006</v>
      </c>
      <c r="U68" s="17" t="str">
        <f ca="1">IFERROR(__xludf.dummyfunction("VLOOKUP(T68, IMPORTRANGE(""https://docs.google.com/spreadsheets/d/1yDAaXNsi4Mr5FtRQL4tbmSdIzhx6_m4wkOD7IG-k_eo/edit#gid=1336395716"", ""Science!M:N""), 2, FALSE)"),"#N/A")</f>
        <v>#N/A</v>
      </c>
    </row>
    <row r="69" spans="8:21" ht="13.8">
      <c r="H69" s="1"/>
    </row>
    <row r="70" spans="8:21" ht="13.8">
      <c r="H70" s="1"/>
    </row>
    <row r="71" spans="8:21" ht="13.8">
      <c r="H71" s="1"/>
    </row>
    <row r="72" spans="8:21" ht="13.8">
      <c r="H72" s="1"/>
    </row>
    <row r="73" spans="8:21" ht="13.8">
      <c r="H73" s="1"/>
    </row>
    <row r="74" spans="8:21" ht="13.8">
      <c r="H74" s="1"/>
    </row>
    <row r="75" spans="8:21" ht="13.8">
      <c r="H75" s="1"/>
    </row>
    <row r="76" spans="8:21" ht="13.8">
      <c r="H76" s="1"/>
    </row>
    <row r="77" spans="8:21" ht="13.8">
      <c r="H77" s="1"/>
    </row>
    <row r="78" spans="8:21" ht="13.8">
      <c r="H78" s="1"/>
    </row>
    <row r="79" spans="8:21" ht="13.8">
      <c r="H79" s="1"/>
    </row>
    <row r="80" spans="8:21" ht="13.8">
      <c r="H80" s="1"/>
    </row>
    <row r="81" spans="8:8" ht="13.8">
      <c r="H81" s="1"/>
    </row>
    <row r="82" spans="8:8" ht="13.8">
      <c r="H82" s="1"/>
    </row>
    <row r="83" spans="8:8" ht="13.8">
      <c r="H83" s="1"/>
    </row>
    <row r="84" spans="8:8" ht="13.8">
      <c r="H84" s="1"/>
    </row>
    <row r="85" spans="8:8" ht="13.8">
      <c r="H85" s="1"/>
    </row>
    <row r="86" spans="8:8" ht="13.8">
      <c r="H86" s="1"/>
    </row>
    <row r="87" spans="8:8" ht="13.8">
      <c r="H87" s="1"/>
    </row>
    <row r="88" spans="8:8" ht="13.8">
      <c r="H88" s="1"/>
    </row>
    <row r="89" spans="8:8" ht="13.8">
      <c r="H89" s="1"/>
    </row>
    <row r="90" spans="8:8" ht="13.8">
      <c r="H90" s="1"/>
    </row>
    <row r="91" spans="8:8" ht="13.8">
      <c r="H91" s="1"/>
    </row>
    <row r="92" spans="8:8" ht="13.8">
      <c r="H92" s="1"/>
    </row>
    <row r="93" spans="8:8" ht="13.8">
      <c r="H93" s="1"/>
    </row>
    <row r="94" spans="8:8" ht="13.8">
      <c r="H94" s="1"/>
    </row>
    <row r="95" spans="8:8" ht="13.8">
      <c r="H95" s="1"/>
    </row>
    <row r="96" spans="8:8" ht="13.8">
      <c r="H96" s="1"/>
    </row>
    <row r="97" spans="8:8" ht="13.8">
      <c r="H97" s="1"/>
    </row>
    <row r="98" spans="8:8" ht="13.8">
      <c r="H98" s="1"/>
    </row>
    <row r="99" spans="8:8" ht="13.8">
      <c r="H99" s="1"/>
    </row>
    <row r="100" spans="8:8" ht="13.8">
      <c r="H100" s="1"/>
    </row>
    <row r="101" spans="8:8" ht="13.8">
      <c r="H101" s="1"/>
    </row>
    <row r="102" spans="8:8" ht="13.8">
      <c r="H102" s="1"/>
    </row>
    <row r="103" spans="8:8" ht="13.8">
      <c r="H103" s="1"/>
    </row>
    <row r="104" spans="8:8" ht="13.8">
      <c r="H104" s="1"/>
    </row>
    <row r="105" spans="8:8" ht="13.8">
      <c r="H105" s="1"/>
    </row>
    <row r="106" spans="8:8" ht="13.8">
      <c r="H106" s="1"/>
    </row>
    <row r="107" spans="8:8" ht="13.8">
      <c r="H107" s="1"/>
    </row>
    <row r="108" spans="8:8" ht="13.8">
      <c r="H108" s="1"/>
    </row>
    <row r="109" spans="8:8" ht="13.8">
      <c r="H109" s="1"/>
    </row>
    <row r="110" spans="8:8" ht="13.8">
      <c r="H110" s="1"/>
    </row>
    <row r="111" spans="8:8" ht="13.8">
      <c r="H111" s="1"/>
    </row>
    <row r="112" spans="8:8" ht="13.8">
      <c r="H112" s="1"/>
    </row>
    <row r="113" spans="8:8" ht="13.8">
      <c r="H113" s="1"/>
    </row>
    <row r="114" spans="8:8" ht="13.8">
      <c r="H114" s="1"/>
    </row>
    <row r="115" spans="8:8" ht="13.8">
      <c r="H115" s="1"/>
    </row>
    <row r="116" spans="8:8" ht="13.8">
      <c r="H116" s="1"/>
    </row>
    <row r="117" spans="8:8" ht="13.8">
      <c r="H117" s="1"/>
    </row>
    <row r="118" spans="8:8" ht="13.8">
      <c r="H118" s="1"/>
    </row>
    <row r="119" spans="8:8" ht="13.8">
      <c r="H119" s="1"/>
    </row>
    <row r="120" spans="8:8" ht="13.8">
      <c r="H120" s="1"/>
    </row>
    <row r="121" spans="8:8" ht="13.8">
      <c r="H121" s="1"/>
    </row>
    <row r="122" spans="8:8" ht="13.8">
      <c r="H122" s="1"/>
    </row>
    <row r="123" spans="8:8" ht="13.8">
      <c r="H123" s="1"/>
    </row>
    <row r="124" spans="8:8" ht="13.8">
      <c r="H124" s="1"/>
    </row>
    <row r="125" spans="8:8" ht="13.8">
      <c r="H125" s="1"/>
    </row>
    <row r="126" spans="8:8" ht="13.8">
      <c r="H126" s="1"/>
    </row>
    <row r="127" spans="8:8" ht="13.8">
      <c r="H127" s="1"/>
    </row>
    <row r="128" spans="8:8" ht="13.8">
      <c r="H128" s="1"/>
    </row>
    <row r="129" spans="8:8" ht="13.8">
      <c r="H129" s="1"/>
    </row>
    <row r="130" spans="8:8" ht="13.8">
      <c r="H130" s="1"/>
    </row>
    <row r="131" spans="8:8" ht="13.8">
      <c r="H131" s="1"/>
    </row>
    <row r="132" spans="8:8" ht="13.8">
      <c r="H132" s="1"/>
    </row>
    <row r="133" spans="8:8" ht="13.8">
      <c r="H133" s="1"/>
    </row>
    <row r="134" spans="8:8" ht="13.8">
      <c r="H134" s="1"/>
    </row>
    <row r="135" spans="8:8" ht="13.8">
      <c r="H135" s="1"/>
    </row>
    <row r="136" spans="8:8" ht="13.8">
      <c r="H136" s="1"/>
    </row>
    <row r="137" spans="8:8" ht="13.8">
      <c r="H137" s="1"/>
    </row>
    <row r="138" spans="8:8" ht="13.8">
      <c r="H138" s="1"/>
    </row>
    <row r="139" spans="8:8" ht="13.8">
      <c r="H139" s="1"/>
    </row>
    <row r="140" spans="8:8" ht="13.8">
      <c r="H140" s="1"/>
    </row>
    <row r="141" spans="8:8" ht="13.8">
      <c r="H141" s="1"/>
    </row>
    <row r="142" spans="8:8" ht="13.8">
      <c r="H142" s="1"/>
    </row>
    <row r="143" spans="8:8" ht="13.8">
      <c r="H143" s="1"/>
    </row>
    <row r="144" spans="8:8" ht="13.8">
      <c r="H144" s="1"/>
    </row>
    <row r="145" spans="8:8" ht="13.8">
      <c r="H145" s="1"/>
    </row>
    <row r="146" spans="8:8" ht="13.8">
      <c r="H146" s="1"/>
    </row>
    <row r="147" spans="8:8" ht="13.8">
      <c r="H147" s="1"/>
    </row>
    <row r="148" spans="8:8" ht="13.8">
      <c r="H148" s="1"/>
    </row>
    <row r="149" spans="8:8" ht="13.8">
      <c r="H149" s="1"/>
    </row>
    <row r="150" spans="8:8" ht="13.8">
      <c r="H150" s="1"/>
    </row>
    <row r="151" spans="8:8" ht="13.8">
      <c r="H151" s="1"/>
    </row>
    <row r="152" spans="8:8" ht="13.8">
      <c r="H152" s="1"/>
    </row>
    <row r="153" spans="8:8" ht="13.8">
      <c r="H153" s="1"/>
    </row>
    <row r="154" spans="8:8" ht="13.8">
      <c r="H154" s="1"/>
    </row>
    <row r="155" spans="8:8" ht="13.8">
      <c r="H155" s="1"/>
    </row>
    <row r="156" spans="8:8" ht="13.8">
      <c r="H156" s="1"/>
    </row>
    <row r="157" spans="8:8" ht="13.8">
      <c r="H157" s="1"/>
    </row>
    <row r="158" spans="8:8" ht="13.8">
      <c r="H158" s="1"/>
    </row>
    <row r="159" spans="8:8" ht="13.8">
      <c r="H159" s="1"/>
    </row>
    <row r="160" spans="8:8" ht="13.8">
      <c r="H160" s="1"/>
    </row>
    <row r="161" spans="8:8" ht="13.8">
      <c r="H161" s="1"/>
    </row>
    <row r="162" spans="8:8" ht="13.8">
      <c r="H162" s="1"/>
    </row>
    <row r="163" spans="8:8" ht="13.8">
      <c r="H163" s="1"/>
    </row>
    <row r="164" spans="8:8" ht="13.8">
      <c r="H164" s="1"/>
    </row>
    <row r="165" spans="8:8" ht="13.8">
      <c r="H165" s="1"/>
    </row>
    <row r="166" spans="8:8" ht="13.8">
      <c r="H166" s="1"/>
    </row>
    <row r="167" spans="8:8" ht="13.8">
      <c r="H167" s="1"/>
    </row>
    <row r="168" spans="8:8" ht="13.8">
      <c r="H168" s="1"/>
    </row>
    <row r="169" spans="8:8" ht="13.8">
      <c r="H169" s="1"/>
    </row>
    <row r="170" spans="8:8" ht="13.8">
      <c r="H170" s="1"/>
    </row>
    <row r="171" spans="8:8" ht="13.8">
      <c r="H171" s="1"/>
    </row>
    <row r="172" spans="8:8" ht="13.8">
      <c r="H172" s="1"/>
    </row>
    <row r="173" spans="8:8" ht="13.8">
      <c r="H173" s="1"/>
    </row>
    <row r="174" spans="8:8" ht="13.8">
      <c r="H174" s="1"/>
    </row>
    <row r="175" spans="8:8" ht="13.8">
      <c r="H175" s="1"/>
    </row>
    <row r="176" spans="8:8" ht="13.8">
      <c r="H176" s="1"/>
    </row>
    <row r="177" spans="8:8" ht="13.8">
      <c r="H177" s="1"/>
    </row>
    <row r="178" spans="8:8" ht="13.8">
      <c r="H178" s="1"/>
    </row>
    <row r="179" spans="8:8" ht="13.8">
      <c r="H179" s="1"/>
    </row>
    <row r="180" spans="8:8" ht="13.8">
      <c r="H180" s="1"/>
    </row>
    <row r="181" spans="8:8" ht="13.8">
      <c r="H181" s="1"/>
    </row>
    <row r="182" spans="8:8" ht="13.8">
      <c r="H182" s="1"/>
    </row>
    <row r="183" spans="8:8" ht="13.8">
      <c r="H183" s="1"/>
    </row>
    <row r="184" spans="8:8" ht="13.8">
      <c r="H184" s="1"/>
    </row>
    <row r="185" spans="8:8" ht="13.8">
      <c r="H185" s="1"/>
    </row>
    <row r="186" spans="8:8" ht="13.8">
      <c r="H186" s="1"/>
    </row>
    <row r="187" spans="8:8" ht="13.8">
      <c r="H187" s="1"/>
    </row>
    <row r="188" spans="8:8" ht="13.8">
      <c r="H188" s="1"/>
    </row>
    <row r="189" spans="8:8" ht="13.8">
      <c r="H189" s="1"/>
    </row>
    <row r="190" spans="8:8" ht="13.8">
      <c r="H190" s="1"/>
    </row>
    <row r="191" spans="8:8" ht="13.8">
      <c r="H191" s="1"/>
    </row>
    <row r="192" spans="8:8" ht="13.8">
      <c r="H192" s="1"/>
    </row>
    <row r="193" spans="8:8" ht="13.8">
      <c r="H193" s="1"/>
    </row>
    <row r="194" spans="8:8" ht="13.8">
      <c r="H194" s="1"/>
    </row>
    <row r="195" spans="8:8" ht="13.8">
      <c r="H195" s="1"/>
    </row>
    <row r="196" spans="8:8" ht="13.8">
      <c r="H196" s="1"/>
    </row>
    <row r="197" spans="8:8" ht="13.8">
      <c r="H197" s="1"/>
    </row>
    <row r="198" spans="8:8" ht="13.8">
      <c r="H198" s="1"/>
    </row>
    <row r="199" spans="8:8" ht="13.8">
      <c r="H199" s="1"/>
    </row>
    <row r="200" spans="8:8" ht="13.8">
      <c r="H200" s="1"/>
    </row>
    <row r="201" spans="8:8" ht="13.8">
      <c r="H201" s="1"/>
    </row>
    <row r="202" spans="8:8" ht="13.8">
      <c r="H202" s="1"/>
    </row>
    <row r="203" spans="8:8" ht="13.8">
      <c r="H203" s="1"/>
    </row>
    <row r="204" spans="8:8" ht="13.8">
      <c r="H204" s="1"/>
    </row>
    <row r="205" spans="8:8" ht="13.8">
      <c r="H205" s="1"/>
    </row>
    <row r="206" spans="8:8" ht="13.8">
      <c r="H206" s="1"/>
    </row>
    <row r="207" spans="8:8" ht="13.8">
      <c r="H207" s="1"/>
    </row>
    <row r="208" spans="8:8" ht="13.8">
      <c r="H208" s="1"/>
    </row>
    <row r="209" spans="8:8" ht="13.8">
      <c r="H209" s="1"/>
    </row>
    <row r="210" spans="8:8" ht="13.8">
      <c r="H210" s="1"/>
    </row>
    <row r="211" spans="8:8" ht="13.8">
      <c r="H211" s="1"/>
    </row>
    <row r="212" spans="8:8" ht="13.8">
      <c r="H212" s="1"/>
    </row>
    <row r="213" spans="8:8" ht="13.8">
      <c r="H213" s="1"/>
    </row>
    <row r="214" spans="8:8" ht="13.8">
      <c r="H214" s="1"/>
    </row>
    <row r="215" spans="8:8" ht="13.8">
      <c r="H215" s="1"/>
    </row>
    <row r="216" spans="8:8" ht="13.8">
      <c r="H216" s="1"/>
    </row>
    <row r="217" spans="8:8" ht="13.8">
      <c r="H217" s="1"/>
    </row>
    <row r="218" spans="8:8" ht="13.8">
      <c r="H218" s="1"/>
    </row>
    <row r="219" spans="8:8" ht="13.8">
      <c r="H219" s="1"/>
    </row>
    <row r="220" spans="8:8" ht="13.8">
      <c r="H220" s="1"/>
    </row>
    <row r="221" spans="8:8" ht="13.8">
      <c r="H221" s="1"/>
    </row>
    <row r="222" spans="8:8" ht="13.8">
      <c r="H222" s="1"/>
    </row>
    <row r="223" spans="8:8" ht="13.8">
      <c r="H223" s="1"/>
    </row>
    <row r="224" spans="8:8" ht="13.8">
      <c r="H224" s="1"/>
    </row>
    <row r="225" spans="8:8" ht="13.8">
      <c r="H225" s="1"/>
    </row>
    <row r="226" spans="8:8" ht="13.8">
      <c r="H226" s="1"/>
    </row>
    <row r="227" spans="8:8" ht="13.8">
      <c r="H227" s="1"/>
    </row>
    <row r="228" spans="8:8" ht="13.8">
      <c r="H228" s="1"/>
    </row>
    <row r="229" spans="8:8" ht="13.8">
      <c r="H229" s="1"/>
    </row>
    <row r="230" spans="8:8" ht="13.8">
      <c r="H230" s="1"/>
    </row>
    <row r="231" spans="8:8" ht="13.8">
      <c r="H231" s="1"/>
    </row>
    <row r="232" spans="8:8" ht="13.8">
      <c r="H232" s="1"/>
    </row>
    <row r="233" spans="8:8" ht="13.8">
      <c r="H233" s="1"/>
    </row>
    <row r="234" spans="8:8" ht="13.8">
      <c r="H234" s="1"/>
    </row>
    <row r="235" spans="8:8" ht="13.8">
      <c r="H235" s="1"/>
    </row>
    <row r="236" spans="8:8" ht="13.8">
      <c r="H236" s="1"/>
    </row>
    <row r="237" spans="8:8" ht="13.8">
      <c r="H237" s="1"/>
    </row>
    <row r="238" spans="8:8" ht="13.8">
      <c r="H238" s="1"/>
    </row>
    <row r="239" spans="8:8" ht="13.8">
      <c r="H239" s="1"/>
    </row>
    <row r="240" spans="8:8" ht="13.8">
      <c r="H240" s="1"/>
    </row>
    <row r="241" spans="8:8" ht="13.8">
      <c r="H241" s="1"/>
    </row>
    <row r="242" spans="8:8" ht="13.8">
      <c r="H242" s="1"/>
    </row>
    <row r="243" spans="8:8" ht="13.8">
      <c r="H243" s="1"/>
    </row>
    <row r="244" spans="8:8" ht="13.8">
      <c r="H244" s="1"/>
    </row>
    <row r="245" spans="8:8" ht="13.8">
      <c r="H245" s="1"/>
    </row>
    <row r="246" spans="8:8" ht="13.8">
      <c r="H246" s="1"/>
    </row>
    <row r="247" spans="8:8" ht="13.8">
      <c r="H247" s="1"/>
    </row>
    <row r="248" spans="8:8" ht="13.8">
      <c r="H248" s="1"/>
    </row>
    <row r="249" spans="8:8" ht="13.8">
      <c r="H249" s="1"/>
    </row>
    <row r="250" spans="8:8" ht="13.8">
      <c r="H250" s="1"/>
    </row>
    <row r="251" spans="8:8" ht="13.8">
      <c r="H251" s="1"/>
    </row>
    <row r="252" spans="8:8" ht="13.8">
      <c r="H252" s="1"/>
    </row>
    <row r="253" spans="8:8" ht="13.8">
      <c r="H253" s="1"/>
    </row>
    <row r="254" spans="8:8" ht="13.8">
      <c r="H254" s="1"/>
    </row>
    <row r="255" spans="8:8" ht="13.8">
      <c r="H255" s="1"/>
    </row>
    <row r="256" spans="8:8" ht="13.8">
      <c r="H256" s="1"/>
    </row>
    <row r="257" spans="8:8" ht="13.8">
      <c r="H257" s="1"/>
    </row>
    <row r="258" spans="8:8" ht="13.8">
      <c r="H258" s="1"/>
    </row>
    <row r="259" spans="8:8" ht="13.8">
      <c r="H259" s="1"/>
    </row>
    <row r="260" spans="8:8" ht="13.8">
      <c r="H260" s="1"/>
    </row>
    <row r="261" spans="8:8" ht="13.8">
      <c r="H261" s="1"/>
    </row>
    <row r="262" spans="8:8" ht="13.8">
      <c r="H262" s="1"/>
    </row>
    <row r="263" spans="8:8" ht="13.8">
      <c r="H263" s="1"/>
    </row>
    <row r="264" spans="8:8" ht="13.8">
      <c r="H264" s="1"/>
    </row>
    <row r="265" spans="8:8" ht="13.8">
      <c r="H265" s="1"/>
    </row>
    <row r="266" spans="8:8" ht="13.8">
      <c r="H266" s="1"/>
    </row>
    <row r="267" spans="8:8" ht="13.8">
      <c r="H267" s="1"/>
    </row>
    <row r="268" spans="8:8" ht="13.8">
      <c r="H268" s="1"/>
    </row>
    <row r="269" spans="8:8" ht="13.8">
      <c r="H269" s="1"/>
    </row>
    <row r="270" spans="8:8" ht="13.8">
      <c r="H270" s="1"/>
    </row>
    <row r="271" spans="8:8" ht="13.8">
      <c r="H271" s="1"/>
    </row>
    <row r="272" spans="8:8" ht="13.8">
      <c r="H272" s="1"/>
    </row>
    <row r="273" spans="8:8" ht="13.8">
      <c r="H273" s="1"/>
    </row>
    <row r="274" spans="8:8" ht="13.8">
      <c r="H274" s="1"/>
    </row>
    <row r="275" spans="8:8" ht="13.8">
      <c r="H275" s="1"/>
    </row>
    <row r="276" spans="8:8" ht="13.8">
      <c r="H276" s="1"/>
    </row>
    <row r="277" spans="8:8" ht="13.8">
      <c r="H277" s="1"/>
    </row>
    <row r="278" spans="8:8" ht="13.8">
      <c r="H278" s="1"/>
    </row>
    <row r="279" spans="8:8" ht="13.8">
      <c r="H279" s="1"/>
    </row>
    <row r="280" spans="8:8" ht="13.8">
      <c r="H280" s="1"/>
    </row>
    <row r="281" spans="8:8" ht="13.8">
      <c r="H281" s="1"/>
    </row>
    <row r="282" spans="8:8" ht="13.8">
      <c r="H282" s="1"/>
    </row>
    <row r="283" spans="8:8" ht="13.8">
      <c r="H283" s="1"/>
    </row>
    <row r="284" spans="8:8" ht="13.8">
      <c r="H284" s="1"/>
    </row>
    <row r="285" spans="8:8" ht="13.8">
      <c r="H285" s="1"/>
    </row>
    <row r="286" spans="8:8" ht="13.8">
      <c r="H286" s="1"/>
    </row>
    <row r="287" spans="8:8" ht="13.8">
      <c r="H287" s="1"/>
    </row>
    <row r="288" spans="8:8" ht="13.8">
      <c r="H288" s="1"/>
    </row>
    <row r="289" spans="8:8" ht="13.8">
      <c r="H289" s="1"/>
    </row>
    <row r="290" spans="8:8" ht="13.8">
      <c r="H290" s="1"/>
    </row>
    <row r="291" spans="8:8" ht="13.8">
      <c r="H291" s="1"/>
    </row>
    <row r="292" spans="8:8" ht="13.8">
      <c r="H292" s="1"/>
    </row>
    <row r="293" spans="8:8" ht="13.8">
      <c r="H293" s="1"/>
    </row>
    <row r="294" spans="8:8" ht="13.8">
      <c r="H294" s="1"/>
    </row>
    <row r="295" spans="8:8" ht="13.8">
      <c r="H295" s="1"/>
    </row>
    <row r="296" spans="8:8" ht="13.8">
      <c r="H296" s="1"/>
    </row>
    <row r="297" spans="8:8" ht="13.8">
      <c r="H297" s="1"/>
    </row>
    <row r="298" spans="8:8" ht="13.8">
      <c r="H298" s="1"/>
    </row>
    <row r="299" spans="8:8" ht="13.8">
      <c r="H299" s="1"/>
    </row>
    <row r="300" spans="8:8" ht="13.8">
      <c r="H300" s="1"/>
    </row>
    <row r="301" spans="8:8" ht="13.8">
      <c r="H301" s="1"/>
    </row>
    <row r="302" spans="8:8" ht="13.8">
      <c r="H302" s="1"/>
    </row>
    <row r="303" spans="8:8" ht="13.8">
      <c r="H303" s="1"/>
    </row>
    <row r="304" spans="8:8" ht="13.8">
      <c r="H304" s="1"/>
    </row>
    <row r="305" spans="8:8" ht="13.8">
      <c r="H305" s="1"/>
    </row>
    <row r="306" spans="8:8" ht="13.8">
      <c r="H306" s="1"/>
    </row>
    <row r="307" spans="8:8" ht="13.8">
      <c r="H307" s="1"/>
    </row>
    <row r="308" spans="8:8" ht="13.8">
      <c r="H308" s="1"/>
    </row>
    <row r="309" spans="8:8" ht="13.8">
      <c r="H309" s="1"/>
    </row>
    <row r="310" spans="8:8" ht="13.8">
      <c r="H310" s="1"/>
    </row>
    <row r="311" spans="8:8" ht="13.8">
      <c r="H311" s="1"/>
    </row>
    <row r="312" spans="8:8" ht="13.8">
      <c r="H312" s="1"/>
    </row>
    <row r="313" spans="8:8" ht="13.8">
      <c r="H313" s="1"/>
    </row>
    <row r="314" spans="8:8" ht="13.8">
      <c r="H314" s="1"/>
    </row>
    <row r="315" spans="8:8" ht="13.8">
      <c r="H315" s="1"/>
    </row>
    <row r="316" spans="8:8" ht="13.8">
      <c r="H316" s="1"/>
    </row>
    <row r="317" spans="8:8" ht="13.8">
      <c r="H317" s="1"/>
    </row>
    <row r="318" spans="8:8" ht="13.8">
      <c r="H318" s="1"/>
    </row>
    <row r="319" spans="8:8" ht="13.8">
      <c r="H319" s="1"/>
    </row>
    <row r="320" spans="8:8" ht="13.8">
      <c r="H320" s="1"/>
    </row>
    <row r="321" spans="8:8" ht="13.8">
      <c r="H321" s="1"/>
    </row>
    <row r="322" spans="8:8" ht="13.8">
      <c r="H322" s="1"/>
    </row>
    <row r="323" spans="8:8" ht="13.8">
      <c r="H323" s="1"/>
    </row>
    <row r="324" spans="8:8" ht="13.8">
      <c r="H324" s="1"/>
    </row>
    <row r="325" spans="8:8" ht="13.8">
      <c r="H325" s="1"/>
    </row>
    <row r="326" spans="8:8" ht="13.8">
      <c r="H326" s="1"/>
    </row>
    <row r="327" spans="8:8" ht="13.8">
      <c r="H327" s="1"/>
    </row>
    <row r="328" spans="8:8" ht="13.8">
      <c r="H328" s="1"/>
    </row>
    <row r="329" spans="8:8" ht="13.8">
      <c r="H329" s="1"/>
    </row>
    <row r="330" spans="8:8" ht="13.8">
      <c r="H330" s="1"/>
    </row>
    <row r="331" spans="8:8" ht="13.8">
      <c r="H331" s="1"/>
    </row>
    <row r="332" spans="8:8" ht="13.8">
      <c r="H332" s="1"/>
    </row>
    <row r="333" spans="8:8" ht="13.8">
      <c r="H333" s="1"/>
    </row>
    <row r="334" spans="8:8" ht="13.8">
      <c r="H334" s="1"/>
    </row>
    <row r="335" spans="8:8" ht="13.8">
      <c r="H335" s="1"/>
    </row>
    <row r="336" spans="8:8" ht="13.8">
      <c r="H336" s="1"/>
    </row>
    <row r="337" spans="8:8" ht="13.8">
      <c r="H337" s="1"/>
    </row>
    <row r="338" spans="8:8" ht="13.8">
      <c r="H338" s="1"/>
    </row>
    <row r="339" spans="8:8" ht="13.8">
      <c r="H339" s="1"/>
    </row>
    <row r="340" spans="8:8" ht="13.8">
      <c r="H340" s="1"/>
    </row>
    <row r="341" spans="8:8" ht="13.8">
      <c r="H341" s="1"/>
    </row>
    <row r="342" spans="8:8" ht="13.8">
      <c r="H342" s="1"/>
    </row>
    <row r="343" spans="8:8" ht="13.8">
      <c r="H343" s="1"/>
    </row>
    <row r="344" spans="8:8" ht="13.8">
      <c r="H344" s="1"/>
    </row>
    <row r="345" spans="8:8" ht="13.8">
      <c r="H345" s="1"/>
    </row>
    <row r="346" spans="8:8" ht="13.8">
      <c r="H346" s="1"/>
    </row>
    <row r="347" spans="8:8" ht="13.8">
      <c r="H347" s="1"/>
    </row>
    <row r="348" spans="8:8" ht="13.8">
      <c r="H348" s="1"/>
    </row>
    <row r="349" spans="8:8" ht="13.8">
      <c r="H349" s="1"/>
    </row>
    <row r="350" spans="8:8" ht="13.8">
      <c r="H350" s="1"/>
    </row>
    <row r="351" spans="8:8" ht="13.8">
      <c r="H351" s="1"/>
    </row>
    <row r="352" spans="8:8" ht="13.8">
      <c r="H352" s="1"/>
    </row>
    <row r="353" spans="8:8" ht="13.8">
      <c r="H353" s="1"/>
    </row>
    <row r="354" spans="8:8" ht="13.8">
      <c r="H354" s="1"/>
    </row>
    <row r="355" spans="8:8" ht="13.8">
      <c r="H355" s="1"/>
    </row>
    <row r="356" spans="8:8" ht="13.8">
      <c r="H356" s="1"/>
    </row>
    <row r="357" spans="8:8" ht="13.8">
      <c r="H357" s="1"/>
    </row>
    <row r="358" spans="8:8" ht="13.8">
      <c r="H358" s="1"/>
    </row>
    <row r="359" spans="8:8" ht="13.8">
      <c r="H359" s="1"/>
    </row>
    <row r="360" spans="8:8" ht="13.8">
      <c r="H360" s="1"/>
    </row>
    <row r="361" spans="8:8" ht="13.8">
      <c r="H361" s="1"/>
    </row>
    <row r="362" spans="8:8" ht="13.8">
      <c r="H362" s="1"/>
    </row>
    <row r="363" spans="8:8" ht="13.8">
      <c r="H363" s="1"/>
    </row>
    <row r="364" spans="8:8" ht="13.8">
      <c r="H364" s="1"/>
    </row>
    <row r="365" spans="8:8" ht="13.8">
      <c r="H365" s="1"/>
    </row>
    <row r="366" spans="8:8" ht="13.8">
      <c r="H366" s="1"/>
    </row>
    <row r="367" spans="8:8" ht="13.8">
      <c r="H367" s="1"/>
    </row>
    <row r="368" spans="8:8" ht="13.8">
      <c r="H368" s="1"/>
    </row>
    <row r="369" spans="8:8" ht="13.8">
      <c r="H369" s="1"/>
    </row>
    <row r="370" spans="8:8" ht="13.8">
      <c r="H370" s="1"/>
    </row>
    <row r="371" spans="8:8" ht="13.8">
      <c r="H371" s="1"/>
    </row>
    <row r="372" spans="8:8" ht="13.8">
      <c r="H372" s="1"/>
    </row>
    <row r="373" spans="8:8" ht="13.8">
      <c r="H373" s="1"/>
    </row>
    <row r="374" spans="8:8" ht="13.8">
      <c r="H374" s="1"/>
    </row>
    <row r="375" spans="8:8" ht="13.8">
      <c r="H375" s="1"/>
    </row>
    <row r="376" spans="8:8" ht="13.8">
      <c r="H376" s="1"/>
    </row>
    <row r="377" spans="8:8" ht="13.8">
      <c r="H377" s="1"/>
    </row>
    <row r="378" spans="8:8" ht="13.8">
      <c r="H378" s="1"/>
    </row>
    <row r="379" spans="8:8" ht="13.8">
      <c r="H379" s="1"/>
    </row>
    <row r="380" spans="8:8" ht="13.8">
      <c r="H380" s="1"/>
    </row>
    <row r="381" spans="8:8" ht="13.8">
      <c r="H381" s="1"/>
    </row>
    <row r="382" spans="8:8" ht="13.8">
      <c r="H382" s="1"/>
    </row>
    <row r="383" spans="8:8" ht="13.8">
      <c r="H383" s="1"/>
    </row>
    <row r="384" spans="8:8" ht="13.8">
      <c r="H384" s="1"/>
    </row>
    <row r="385" spans="8:8" ht="13.8">
      <c r="H385" s="1"/>
    </row>
    <row r="386" spans="8:8" ht="13.8">
      <c r="H386" s="1"/>
    </row>
    <row r="387" spans="8:8" ht="13.8">
      <c r="H387" s="1"/>
    </row>
    <row r="388" spans="8:8" ht="13.8">
      <c r="H388" s="1"/>
    </row>
    <row r="389" spans="8:8" ht="13.8">
      <c r="H389" s="1"/>
    </row>
    <row r="390" spans="8:8" ht="13.8">
      <c r="H390" s="1"/>
    </row>
    <row r="391" spans="8:8" ht="13.8">
      <c r="H391" s="1"/>
    </row>
    <row r="392" spans="8:8" ht="13.8">
      <c r="H392" s="1"/>
    </row>
    <row r="393" spans="8:8" ht="13.8">
      <c r="H393" s="1"/>
    </row>
    <row r="394" spans="8:8" ht="13.8">
      <c r="H394" s="1"/>
    </row>
    <row r="395" spans="8:8" ht="13.8">
      <c r="H395" s="1"/>
    </row>
    <row r="396" spans="8:8" ht="13.8">
      <c r="H396" s="1"/>
    </row>
    <row r="397" spans="8:8" ht="13.8">
      <c r="H397" s="1"/>
    </row>
    <row r="398" spans="8:8" ht="13.8">
      <c r="H398" s="1"/>
    </row>
    <row r="399" spans="8:8" ht="13.8">
      <c r="H399" s="1"/>
    </row>
    <row r="400" spans="8:8" ht="13.8">
      <c r="H400" s="1"/>
    </row>
    <row r="401" spans="8:8" ht="13.8">
      <c r="H401" s="1"/>
    </row>
    <row r="402" spans="8:8" ht="13.8">
      <c r="H402" s="1"/>
    </row>
    <row r="403" spans="8:8" ht="13.8">
      <c r="H403" s="1"/>
    </row>
    <row r="404" spans="8:8" ht="13.8">
      <c r="H404" s="1"/>
    </row>
    <row r="405" spans="8:8" ht="13.8">
      <c r="H405" s="1"/>
    </row>
    <row r="406" spans="8:8" ht="13.8">
      <c r="H406" s="1"/>
    </row>
    <row r="407" spans="8:8" ht="13.8">
      <c r="H407" s="1"/>
    </row>
    <row r="408" spans="8:8" ht="13.8">
      <c r="H408" s="1"/>
    </row>
    <row r="409" spans="8:8" ht="13.8">
      <c r="H409" s="1"/>
    </row>
    <row r="410" spans="8:8" ht="13.8">
      <c r="H410" s="1"/>
    </row>
    <row r="411" spans="8:8" ht="13.8">
      <c r="H411" s="1"/>
    </row>
    <row r="412" spans="8:8" ht="13.8">
      <c r="H412" s="1"/>
    </row>
    <row r="413" spans="8:8" ht="13.8">
      <c r="H413" s="1"/>
    </row>
    <row r="414" spans="8:8" ht="13.8">
      <c r="H414" s="1"/>
    </row>
    <row r="415" spans="8:8" ht="13.8">
      <c r="H415" s="1"/>
    </row>
    <row r="416" spans="8:8" ht="13.8">
      <c r="H416" s="1"/>
    </row>
    <row r="417" spans="8:8" ht="13.8">
      <c r="H417" s="1"/>
    </row>
    <row r="418" spans="8:8" ht="13.8">
      <c r="H418" s="1"/>
    </row>
    <row r="419" spans="8:8" ht="13.8">
      <c r="H419" s="1"/>
    </row>
    <row r="420" spans="8:8" ht="13.8">
      <c r="H420" s="1"/>
    </row>
    <row r="421" spans="8:8" ht="13.8">
      <c r="H421" s="1"/>
    </row>
    <row r="422" spans="8:8" ht="13.8">
      <c r="H422" s="1"/>
    </row>
    <row r="423" spans="8:8" ht="13.8">
      <c r="H423" s="1"/>
    </row>
    <row r="424" spans="8:8" ht="13.8">
      <c r="H424" s="1"/>
    </row>
    <row r="425" spans="8:8" ht="13.8">
      <c r="H425" s="1"/>
    </row>
    <row r="426" spans="8:8" ht="13.8">
      <c r="H426" s="1"/>
    </row>
    <row r="427" spans="8:8" ht="13.8">
      <c r="H427" s="1"/>
    </row>
    <row r="428" spans="8:8" ht="13.8">
      <c r="H428" s="1"/>
    </row>
    <row r="429" spans="8:8" ht="13.8">
      <c r="H429" s="1"/>
    </row>
    <row r="430" spans="8:8" ht="13.8">
      <c r="H430" s="1"/>
    </row>
    <row r="431" spans="8:8" ht="13.8">
      <c r="H431" s="1"/>
    </row>
    <row r="432" spans="8:8" ht="13.8">
      <c r="H432" s="1"/>
    </row>
    <row r="433" spans="8:8" ht="13.8">
      <c r="H433" s="1"/>
    </row>
    <row r="434" spans="8:8" ht="13.8">
      <c r="H434" s="1"/>
    </row>
    <row r="435" spans="8:8" ht="13.8">
      <c r="H435" s="1"/>
    </row>
    <row r="436" spans="8:8" ht="13.8">
      <c r="H436" s="1"/>
    </row>
    <row r="437" spans="8:8" ht="13.8">
      <c r="H437" s="1"/>
    </row>
    <row r="438" spans="8:8" ht="13.8">
      <c r="H438" s="1"/>
    </row>
    <row r="439" spans="8:8" ht="13.8">
      <c r="H439" s="1"/>
    </row>
    <row r="440" spans="8:8" ht="13.8">
      <c r="H440" s="1"/>
    </row>
    <row r="441" spans="8:8" ht="13.8">
      <c r="H441" s="1"/>
    </row>
    <row r="442" spans="8:8" ht="13.8">
      <c r="H442" s="1"/>
    </row>
    <row r="443" spans="8:8" ht="13.8">
      <c r="H443" s="1"/>
    </row>
    <row r="444" spans="8:8" ht="13.8">
      <c r="H444" s="1"/>
    </row>
    <row r="445" spans="8:8" ht="13.8">
      <c r="H445" s="1"/>
    </row>
    <row r="446" spans="8:8" ht="13.8">
      <c r="H446" s="1"/>
    </row>
    <row r="447" spans="8:8" ht="13.8">
      <c r="H447" s="1"/>
    </row>
    <row r="448" spans="8:8" ht="13.8">
      <c r="H448" s="1"/>
    </row>
    <row r="449" spans="8:8" ht="13.8">
      <c r="H449" s="1"/>
    </row>
    <row r="450" spans="8:8" ht="13.8">
      <c r="H450" s="1"/>
    </row>
    <row r="451" spans="8:8" ht="13.8">
      <c r="H451" s="1"/>
    </row>
    <row r="452" spans="8:8" ht="13.8">
      <c r="H452" s="1"/>
    </row>
    <row r="453" spans="8:8" ht="13.8">
      <c r="H453" s="1"/>
    </row>
    <row r="454" spans="8:8" ht="13.8">
      <c r="H454" s="1"/>
    </row>
    <row r="455" spans="8:8" ht="13.8">
      <c r="H455" s="1"/>
    </row>
    <row r="456" spans="8:8" ht="13.8">
      <c r="H456" s="1"/>
    </row>
    <row r="457" spans="8:8" ht="13.8">
      <c r="H457" s="1"/>
    </row>
    <row r="458" spans="8:8" ht="13.8">
      <c r="H458" s="1"/>
    </row>
    <row r="459" spans="8:8" ht="13.8">
      <c r="H459" s="1"/>
    </row>
    <row r="460" spans="8:8" ht="13.8">
      <c r="H460" s="1"/>
    </row>
    <row r="461" spans="8:8" ht="13.8">
      <c r="H461" s="1"/>
    </row>
    <row r="462" spans="8:8" ht="13.8">
      <c r="H462" s="1"/>
    </row>
    <row r="463" spans="8:8" ht="13.8">
      <c r="H463" s="1"/>
    </row>
    <row r="464" spans="8:8" ht="13.8">
      <c r="H464" s="1"/>
    </row>
    <row r="465" spans="8:8" ht="13.8">
      <c r="H465" s="1"/>
    </row>
    <row r="466" spans="8:8" ht="13.8">
      <c r="H466" s="1"/>
    </row>
    <row r="467" spans="8:8" ht="13.8">
      <c r="H467" s="1"/>
    </row>
    <row r="468" spans="8:8" ht="13.8">
      <c r="H468" s="1"/>
    </row>
    <row r="469" spans="8:8" ht="13.8">
      <c r="H469" s="1"/>
    </row>
    <row r="470" spans="8:8" ht="13.8">
      <c r="H470" s="1"/>
    </row>
    <row r="471" spans="8:8" ht="13.8">
      <c r="H471" s="1"/>
    </row>
    <row r="472" spans="8:8" ht="13.8">
      <c r="H472" s="1"/>
    </row>
    <row r="473" spans="8:8" ht="13.8">
      <c r="H473" s="1"/>
    </row>
    <row r="474" spans="8:8" ht="13.8">
      <c r="H474" s="1"/>
    </row>
    <row r="475" spans="8:8" ht="13.8">
      <c r="H475" s="1"/>
    </row>
    <row r="476" spans="8:8" ht="13.8">
      <c r="H476" s="1"/>
    </row>
    <row r="477" spans="8:8" ht="13.8">
      <c r="H477" s="1"/>
    </row>
    <row r="478" spans="8:8" ht="13.8">
      <c r="H478" s="1"/>
    </row>
    <row r="479" spans="8:8" ht="13.8">
      <c r="H479" s="1"/>
    </row>
    <row r="480" spans="8:8" ht="13.8">
      <c r="H480" s="1"/>
    </row>
    <row r="481" spans="8:8" ht="13.8">
      <c r="H481" s="1"/>
    </row>
    <row r="482" spans="8:8" ht="13.8">
      <c r="H482" s="1"/>
    </row>
    <row r="483" spans="8:8" ht="13.8">
      <c r="H483" s="1"/>
    </row>
    <row r="484" spans="8:8" ht="13.8">
      <c r="H484" s="1"/>
    </row>
    <row r="485" spans="8:8" ht="13.8">
      <c r="H485" s="1"/>
    </row>
    <row r="486" spans="8:8" ht="13.8">
      <c r="H486" s="1"/>
    </row>
    <row r="487" spans="8:8" ht="13.8">
      <c r="H487" s="1"/>
    </row>
    <row r="488" spans="8:8" ht="13.8">
      <c r="H488" s="1"/>
    </row>
    <row r="489" spans="8:8" ht="13.8">
      <c r="H489" s="1"/>
    </row>
    <row r="490" spans="8:8" ht="13.8">
      <c r="H490" s="1"/>
    </row>
    <row r="491" spans="8:8" ht="13.8">
      <c r="H491" s="1"/>
    </row>
    <row r="492" spans="8:8" ht="13.8">
      <c r="H492" s="1"/>
    </row>
    <row r="493" spans="8:8" ht="13.8">
      <c r="H493" s="1"/>
    </row>
    <row r="494" spans="8:8" ht="13.8">
      <c r="H494" s="1"/>
    </row>
    <row r="495" spans="8:8" ht="13.8">
      <c r="H495" s="1"/>
    </row>
    <row r="496" spans="8:8" ht="13.8">
      <c r="H496" s="1"/>
    </row>
    <row r="497" spans="8:8" ht="13.8">
      <c r="H497" s="1"/>
    </row>
    <row r="498" spans="8:8" ht="13.8">
      <c r="H498" s="1"/>
    </row>
    <row r="499" spans="8:8" ht="13.8">
      <c r="H499" s="1"/>
    </row>
    <row r="500" spans="8:8" ht="13.8">
      <c r="H500" s="1"/>
    </row>
    <row r="501" spans="8:8" ht="13.8">
      <c r="H501" s="1"/>
    </row>
    <row r="502" spans="8:8" ht="13.8">
      <c r="H502" s="1"/>
    </row>
    <row r="503" spans="8:8" ht="13.8">
      <c r="H503" s="1"/>
    </row>
    <row r="504" spans="8:8" ht="13.8">
      <c r="H504" s="1"/>
    </row>
    <row r="505" spans="8:8" ht="13.8">
      <c r="H505" s="1"/>
    </row>
    <row r="506" spans="8:8" ht="13.8">
      <c r="H506" s="1"/>
    </row>
    <row r="507" spans="8:8" ht="13.8">
      <c r="H507" s="1"/>
    </row>
    <row r="508" spans="8:8" ht="13.8">
      <c r="H508" s="1"/>
    </row>
    <row r="509" spans="8:8" ht="13.8">
      <c r="H509" s="1"/>
    </row>
    <row r="510" spans="8:8" ht="13.8">
      <c r="H510" s="1"/>
    </row>
    <row r="511" spans="8:8" ht="13.8">
      <c r="H511" s="1"/>
    </row>
    <row r="512" spans="8:8" ht="13.8">
      <c r="H512" s="1"/>
    </row>
    <row r="513" spans="8:8" ht="13.8">
      <c r="H513" s="1"/>
    </row>
    <row r="514" spans="8:8" ht="13.8">
      <c r="H514" s="1"/>
    </row>
    <row r="515" spans="8:8" ht="13.8">
      <c r="H515" s="1"/>
    </row>
    <row r="516" spans="8:8" ht="13.8">
      <c r="H516" s="1"/>
    </row>
    <row r="517" spans="8:8" ht="13.8">
      <c r="H517" s="1"/>
    </row>
    <row r="518" spans="8:8" ht="13.8">
      <c r="H518" s="1"/>
    </row>
    <row r="519" spans="8:8" ht="13.8">
      <c r="H519" s="1"/>
    </row>
    <row r="520" spans="8:8" ht="13.8">
      <c r="H520" s="1"/>
    </row>
    <row r="521" spans="8:8" ht="13.8">
      <c r="H521" s="1"/>
    </row>
    <row r="522" spans="8:8" ht="13.8">
      <c r="H522" s="1"/>
    </row>
    <row r="523" spans="8:8" ht="13.8">
      <c r="H523" s="1"/>
    </row>
    <row r="524" spans="8:8" ht="13.8">
      <c r="H524" s="1"/>
    </row>
    <row r="525" spans="8:8" ht="13.8">
      <c r="H525" s="1"/>
    </row>
    <row r="526" spans="8:8" ht="13.8">
      <c r="H526" s="1"/>
    </row>
    <row r="527" spans="8:8" ht="13.8">
      <c r="H527" s="1"/>
    </row>
    <row r="528" spans="8:8" ht="13.8">
      <c r="H528" s="1"/>
    </row>
    <row r="529" spans="8:8" ht="13.8">
      <c r="H529" s="1"/>
    </row>
    <row r="530" spans="8:8" ht="13.8">
      <c r="H530" s="1"/>
    </row>
    <row r="531" spans="8:8" ht="13.8">
      <c r="H531" s="1"/>
    </row>
    <row r="532" spans="8:8" ht="13.8">
      <c r="H532" s="1"/>
    </row>
    <row r="533" spans="8:8" ht="13.8">
      <c r="H533" s="1"/>
    </row>
    <row r="534" spans="8:8" ht="13.8">
      <c r="H534" s="1"/>
    </row>
    <row r="535" spans="8:8" ht="13.8">
      <c r="H535" s="1"/>
    </row>
    <row r="536" spans="8:8" ht="13.8">
      <c r="H536" s="1"/>
    </row>
    <row r="537" spans="8:8" ht="13.8">
      <c r="H537" s="1"/>
    </row>
    <row r="538" spans="8:8" ht="13.8">
      <c r="H538" s="1"/>
    </row>
    <row r="539" spans="8:8" ht="13.8">
      <c r="H539" s="1"/>
    </row>
    <row r="540" spans="8:8" ht="13.8">
      <c r="H540" s="1"/>
    </row>
    <row r="541" spans="8:8" ht="13.8">
      <c r="H541" s="1"/>
    </row>
    <row r="542" spans="8:8" ht="13.8">
      <c r="H542" s="1"/>
    </row>
    <row r="543" spans="8:8" ht="13.8">
      <c r="H543" s="1"/>
    </row>
    <row r="544" spans="8:8" ht="13.8">
      <c r="H544" s="1"/>
    </row>
    <row r="545" spans="8:8" ht="13.8">
      <c r="H545" s="1"/>
    </row>
    <row r="546" spans="8:8" ht="13.8">
      <c r="H546" s="1"/>
    </row>
    <row r="547" spans="8:8" ht="13.8">
      <c r="H547" s="1"/>
    </row>
    <row r="548" spans="8:8" ht="13.8">
      <c r="H548" s="1"/>
    </row>
    <row r="549" spans="8:8" ht="13.8">
      <c r="H549" s="1"/>
    </row>
    <row r="550" spans="8:8" ht="13.8">
      <c r="H550" s="1"/>
    </row>
    <row r="551" spans="8:8" ht="13.8">
      <c r="H551" s="1"/>
    </row>
    <row r="552" spans="8:8" ht="13.8">
      <c r="H552" s="1"/>
    </row>
    <row r="553" spans="8:8" ht="13.8">
      <c r="H553" s="1"/>
    </row>
    <row r="554" spans="8:8" ht="13.8">
      <c r="H554" s="1"/>
    </row>
    <row r="555" spans="8:8" ht="13.8">
      <c r="H555" s="1"/>
    </row>
    <row r="556" spans="8:8" ht="13.8">
      <c r="H556" s="1"/>
    </row>
    <row r="557" spans="8:8" ht="13.8">
      <c r="H557" s="1"/>
    </row>
    <row r="558" spans="8:8" ht="13.8">
      <c r="H558" s="1"/>
    </row>
    <row r="559" spans="8:8" ht="13.8">
      <c r="H559" s="1"/>
    </row>
    <row r="560" spans="8:8" ht="13.8">
      <c r="H560" s="1"/>
    </row>
    <row r="561" spans="8:8" ht="13.8">
      <c r="H561" s="1"/>
    </row>
    <row r="562" spans="8:8" ht="13.8">
      <c r="H562" s="1"/>
    </row>
    <row r="563" spans="8:8" ht="13.8">
      <c r="H563" s="1"/>
    </row>
    <row r="564" spans="8:8" ht="13.8">
      <c r="H564" s="1"/>
    </row>
    <row r="565" spans="8:8" ht="13.8">
      <c r="H565" s="1"/>
    </row>
    <row r="566" spans="8:8" ht="13.8">
      <c r="H566" s="1"/>
    </row>
    <row r="567" spans="8:8" ht="13.8">
      <c r="H567" s="1"/>
    </row>
    <row r="568" spans="8:8" ht="13.8">
      <c r="H568" s="1"/>
    </row>
    <row r="569" spans="8:8" ht="13.8">
      <c r="H569" s="1"/>
    </row>
    <row r="570" spans="8:8" ht="13.8">
      <c r="H570" s="1"/>
    </row>
    <row r="571" spans="8:8" ht="13.8">
      <c r="H571" s="1"/>
    </row>
    <row r="572" spans="8:8" ht="13.8">
      <c r="H572" s="1"/>
    </row>
    <row r="573" spans="8:8" ht="13.8">
      <c r="H573" s="1"/>
    </row>
    <row r="574" spans="8:8" ht="13.8">
      <c r="H574" s="1"/>
    </row>
    <row r="575" spans="8:8" ht="13.8">
      <c r="H575" s="1"/>
    </row>
    <row r="576" spans="8:8" ht="13.8">
      <c r="H576" s="1"/>
    </row>
    <row r="577" spans="8:8" ht="13.8">
      <c r="H577" s="1"/>
    </row>
    <row r="578" spans="8:8" ht="13.8">
      <c r="H578" s="1"/>
    </row>
    <row r="579" spans="8:8" ht="13.8">
      <c r="H579" s="1"/>
    </row>
    <row r="580" spans="8:8" ht="13.8">
      <c r="H580" s="1"/>
    </row>
    <row r="581" spans="8:8" ht="13.8">
      <c r="H581" s="1"/>
    </row>
    <row r="582" spans="8:8" ht="13.8">
      <c r="H582" s="1"/>
    </row>
    <row r="583" spans="8:8" ht="13.8">
      <c r="H583" s="1"/>
    </row>
    <row r="584" spans="8:8" ht="13.8">
      <c r="H584" s="1"/>
    </row>
    <row r="585" spans="8:8" ht="13.8">
      <c r="H585" s="1"/>
    </row>
    <row r="586" spans="8:8" ht="13.8">
      <c r="H586" s="1"/>
    </row>
    <row r="587" spans="8:8" ht="13.8">
      <c r="H587" s="1"/>
    </row>
    <row r="588" spans="8:8" ht="13.8">
      <c r="H588" s="1"/>
    </row>
    <row r="589" spans="8:8" ht="13.8">
      <c r="H589" s="1"/>
    </row>
    <row r="590" spans="8:8" ht="13.8">
      <c r="H590" s="1"/>
    </row>
    <row r="591" spans="8:8" ht="13.8">
      <c r="H591" s="1"/>
    </row>
    <row r="592" spans="8:8" ht="13.8">
      <c r="H592" s="1"/>
    </row>
    <row r="593" spans="8:8" ht="13.8">
      <c r="H593" s="1"/>
    </row>
    <row r="594" spans="8:8" ht="13.8">
      <c r="H594" s="1"/>
    </row>
    <row r="595" spans="8:8" ht="13.8">
      <c r="H595" s="1"/>
    </row>
    <row r="596" spans="8:8" ht="13.8">
      <c r="H596" s="1"/>
    </row>
    <row r="597" spans="8:8" ht="13.8">
      <c r="H597" s="1"/>
    </row>
    <row r="598" spans="8:8" ht="13.8">
      <c r="H598" s="1"/>
    </row>
    <row r="599" spans="8:8" ht="13.8">
      <c r="H599" s="1"/>
    </row>
    <row r="600" spans="8:8" ht="13.8">
      <c r="H600" s="1"/>
    </row>
    <row r="601" spans="8:8" ht="13.8">
      <c r="H601" s="1"/>
    </row>
    <row r="602" spans="8:8" ht="13.8">
      <c r="H602" s="1"/>
    </row>
    <row r="603" spans="8:8" ht="13.8">
      <c r="H603" s="1"/>
    </row>
    <row r="604" spans="8:8" ht="13.8">
      <c r="H604" s="1"/>
    </row>
    <row r="605" spans="8:8" ht="13.8">
      <c r="H605" s="1"/>
    </row>
    <row r="606" spans="8:8" ht="13.8">
      <c r="H606" s="1"/>
    </row>
    <row r="607" spans="8:8" ht="13.8">
      <c r="H607" s="1"/>
    </row>
    <row r="608" spans="8:8" ht="13.8">
      <c r="H608" s="1"/>
    </row>
    <row r="609" spans="8:8" ht="13.8">
      <c r="H609" s="1"/>
    </row>
    <row r="610" spans="8:8" ht="13.8">
      <c r="H610" s="1"/>
    </row>
    <row r="611" spans="8:8" ht="13.8">
      <c r="H611" s="1"/>
    </row>
    <row r="612" spans="8:8" ht="13.8">
      <c r="H612" s="1"/>
    </row>
    <row r="613" spans="8:8" ht="13.8">
      <c r="H613" s="1"/>
    </row>
    <row r="614" spans="8:8" ht="13.8">
      <c r="H614" s="1"/>
    </row>
    <row r="615" spans="8:8" ht="13.8">
      <c r="H615" s="1"/>
    </row>
    <row r="616" spans="8:8" ht="13.8">
      <c r="H616" s="1"/>
    </row>
    <row r="617" spans="8:8" ht="13.8">
      <c r="H617" s="1"/>
    </row>
    <row r="618" spans="8:8" ht="13.8">
      <c r="H618" s="1"/>
    </row>
    <row r="619" spans="8:8" ht="13.8">
      <c r="H619" s="1"/>
    </row>
    <row r="620" spans="8:8" ht="13.8">
      <c r="H620" s="1"/>
    </row>
    <row r="621" spans="8:8" ht="13.8">
      <c r="H621" s="1"/>
    </row>
    <row r="622" spans="8:8" ht="13.8">
      <c r="H622" s="1"/>
    </row>
    <row r="623" spans="8:8" ht="13.8">
      <c r="H623" s="1"/>
    </row>
    <row r="624" spans="8:8" ht="13.8">
      <c r="H624" s="1"/>
    </row>
    <row r="625" spans="8:8" ht="13.8">
      <c r="H625" s="1"/>
    </row>
    <row r="626" spans="8:8" ht="13.8">
      <c r="H626" s="1"/>
    </row>
    <row r="627" spans="8:8" ht="13.8">
      <c r="H627" s="1"/>
    </row>
    <row r="628" spans="8:8" ht="13.8">
      <c r="H628" s="1"/>
    </row>
    <row r="629" spans="8:8" ht="13.8">
      <c r="H629" s="1"/>
    </row>
    <row r="630" spans="8:8" ht="13.8">
      <c r="H630" s="1"/>
    </row>
    <row r="631" spans="8:8" ht="13.8">
      <c r="H631" s="1"/>
    </row>
    <row r="632" spans="8:8" ht="13.8">
      <c r="H632" s="1"/>
    </row>
    <row r="633" spans="8:8" ht="13.8">
      <c r="H633" s="1"/>
    </row>
    <row r="634" spans="8:8" ht="13.8">
      <c r="H634" s="1"/>
    </row>
    <row r="635" spans="8:8" ht="13.8">
      <c r="H635" s="1"/>
    </row>
    <row r="636" spans="8:8" ht="13.8">
      <c r="H636" s="1"/>
    </row>
    <row r="637" spans="8:8" ht="13.8">
      <c r="H637" s="1"/>
    </row>
    <row r="638" spans="8:8" ht="13.8">
      <c r="H638" s="1"/>
    </row>
    <row r="639" spans="8:8" ht="13.8">
      <c r="H639" s="1"/>
    </row>
    <row r="640" spans="8:8" ht="13.8">
      <c r="H640" s="1"/>
    </row>
    <row r="641" spans="8:8" ht="13.8">
      <c r="H641" s="1"/>
    </row>
    <row r="642" spans="8:8" ht="13.8">
      <c r="H642" s="1"/>
    </row>
    <row r="643" spans="8:8" ht="13.8">
      <c r="H643" s="1"/>
    </row>
    <row r="644" spans="8:8" ht="13.8">
      <c r="H644" s="1"/>
    </row>
    <row r="645" spans="8:8" ht="13.8">
      <c r="H645" s="1"/>
    </row>
    <row r="646" spans="8:8" ht="13.8">
      <c r="H646" s="1"/>
    </row>
    <row r="647" spans="8:8" ht="13.8">
      <c r="H647" s="1"/>
    </row>
    <row r="648" spans="8:8" ht="13.8">
      <c r="H648" s="1"/>
    </row>
    <row r="649" spans="8:8" ht="13.8">
      <c r="H649" s="1"/>
    </row>
    <row r="650" spans="8:8" ht="13.8">
      <c r="H650" s="1"/>
    </row>
    <row r="651" spans="8:8" ht="13.8">
      <c r="H651" s="1"/>
    </row>
    <row r="652" spans="8:8" ht="13.8">
      <c r="H652" s="1"/>
    </row>
    <row r="653" spans="8:8" ht="13.8">
      <c r="H653" s="1"/>
    </row>
    <row r="654" spans="8:8" ht="13.8">
      <c r="H654" s="1"/>
    </row>
    <row r="655" spans="8:8" ht="13.8">
      <c r="H655" s="1"/>
    </row>
    <row r="656" spans="8:8" ht="13.8">
      <c r="H656" s="1"/>
    </row>
    <row r="657" spans="8:8" ht="13.8">
      <c r="H657" s="1"/>
    </row>
    <row r="658" spans="8:8" ht="13.8">
      <c r="H658" s="1"/>
    </row>
    <row r="659" spans="8:8" ht="13.8">
      <c r="H659" s="1"/>
    </row>
    <row r="660" spans="8:8" ht="13.8">
      <c r="H660" s="1"/>
    </row>
    <row r="661" spans="8:8" ht="13.8">
      <c r="H661" s="1"/>
    </row>
    <row r="662" spans="8:8" ht="13.8">
      <c r="H662" s="1"/>
    </row>
    <row r="663" spans="8:8" ht="13.8">
      <c r="H663" s="1"/>
    </row>
    <row r="664" spans="8:8" ht="13.8">
      <c r="H664" s="1"/>
    </row>
    <row r="665" spans="8:8" ht="13.8">
      <c r="H665" s="1"/>
    </row>
    <row r="666" spans="8:8" ht="13.8">
      <c r="H666" s="1"/>
    </row>
    <row r="667" spans="8:8" ht="13.8">
      <c r="H667" s="1"/>
    </row>
    <row r="668" spans="8:8" ht="13.8">
      <c r="H668" s="1"/>
    </row>
    <row r="669" spans="8:8" ht="13.8">
      <c r="H669" s="1"/>
    </row>
    <row r="670" spans="8:8" ht="13.8">
      <c r="H670" s="1"/>
    </row>
    <row r="671" spans="8:8" ht="13.8">
      <c r="H671" s="1"/>
    </row>
    <row r="672" spans="8:8" ht="13.8">
      <c r="H672" s="1"/>
    </row>
    <row r="673" spans="8:8" ht="13.8">
      <c r="H673" s="1"/>
    </row>
    <row r="674" spans="8:8" ht="13.8">
      <c r="H674" s="1"/>
    </row>
    <row r="675" spans="8:8" ht="13.8">
      <c r="H675" s="1"/>
    </row>
    <row r="676" spans="8:8" ht="13.8">
      <c r="H676" s="1"/>
    </row>
    <row r="677" spans="8:8" ht="13.8">
      <c r="H677" s="1"/>
    </row>
    <row r="678" spans="8:8" ht="13.8">
      <c r="H678" s="1"/>
    </row>
    <row r="679" spans="8:8" ht="13.8">
      <c r="H679" s="1"/>
    </row>
    <row r="680" spans="8:8" ht="13.8">
      <c r="H680" s="1"/>
    </row>
    <row r="681" spans="8:8" ht="13.8">
      <c r="H681" s="1"/>
    </row>
    <row r="682" spans="8:8" ht="13.8">
      <c r="H682" s="1"/>
    </row>
    <row r="683" spans="8:8" ht="13.8">
      <c r="H683" s="1"/>
    </row>
    <row r="684" spans="8:8" ht="13.8">
      <c r="H684" s="1"/>
    </row>
    <row r="685" spans="8:8" ht="13.8">
      <c r="H685" s="1"/>
    </row>
    <row r="686" spans="8:8" ht="13.8">
      <c r="H686" s="1"/>
    </row>
    <row r="687" spans="8:8" ht="13.8">
      <c r="H687" s="1"/>
    </row>
    <row r="688" spans="8:8" ht="13.8">
      <c r="H688" s="1"/>
    </row>
    <row r="689" spans="8:8" ht="13.8">
      <c r="H689" s="1"/>
    </row>
    <row r="690" spans="8:8" ht="13.8">
      <c r="H690" s="1"/>
    </row>
    <row r="691" spans="8:8" ht="13.8">
      <c r="H691" s="1"/>
    </row>
    <row r="692" spans="8:8" ht="13.8">
      <c r="H692" s="1"/>
    </row>
    <row r="693" spans="8:8" ht="13.8">
      <c r="H693" s="1"/>
    </row>
    <row r="694" spans="8:8" ht="13.8">
      <c r="H694" s="1"/>
    </row>
    <row r="695" spans="8:8" ht="13.8">
      <c r="H695" s="1"/>
    </row>
    <row r="696" spans="8:8" ht="13.8">
      <c r="H696" s="1"/>
    </row>
    <row r="697" spans="8:8" ht="13.8">
      <c r="H697" s="1"/>
    </row>
    <row r="698" spans="8:8" ht="13.8">
      <c r="H698" s="1"/>
    </row>
    <row r="699" spans="8:8" ht="13.8">
      <c r="H699" s="1"/>
    </row>
    <row r="700" spans="8:8" ht="13.8">
      <c r="H700" s="1"/>
    </row>
    <row r="701" spans="8:8" ht="13.8">
      <c r="H701" s="1"/>
    </row>
    <row r="702" spans="8:8" ht="13.8">
      <c r="H702" s="1"/>
    </row>
    <row r="703" spans="8:8" ht="13.8">
      <c r="H703" s="1"/>
    </row>
    <row r="704" spans="8:8" ht="13.8">
      <c r="H704" s="1"/>
    </row>
    <row r="705" spans="8:8" ht="13.8">
      <c r="H705" s="1"/>
    </row>
    <row r="706" spans="8:8" ht="13.8">
      <c r="H706" s="1"/>
    </row>
    <row r="707" spans="8:8" ht="13.8">
      <c r="H707" s="1"/>
    </row>
    <row r="708" spans="8:8" ht="13.8">
      <c r="H708" s="1"/>
    </row>
    <row r="709" spans="8:8" ht="13.8">
      <c r="H709" s="1"/>
    </row>
    <row r="710" spans="8:8" ht="13.8">
      <c r="H710" s="1"/>
    </row>
    <row r="711" spans="8:8" ht="13.8">
      <c r="H711" s="1"/>
    </row>
    <row r="712" spans="8:8" ht="13.8">
      <c r="H712" s="1"/>
    </row>
    <row r="713" spans="8:8" ht="13.8">
      <c r="H713" s="1"/>
    </row>
    <row r="714" spans="8:8" ht="13.8">
      <c r="H714" s="1"/>
    </row>
    <row r="715" spans="8:8" ht="13.8">
      <c r="H715" s="1"/>
    </row>
    <row r="716" spans="8:8" ht="13.8">
      <c r="H716" s="1"/>
    </row>
    <row r="717" spans="8:8" ht="13.8">
      <c r="H717" s="1"/>
    </row>
    <row r="718" spans="8:8" ht="13.8">
      <c r="H718" s="1"/>
    </row>
    <row r="719" spans="8:8" ht="13.8">
      <c r="H719" s="1"/>
    </row>
    <row r="720" spans="8:8" ht="13.8">
      <c r="H720" s="1"/>
    </row>
    <row r="721" spans="8:8" ht="13.8">
      <c r="H721" s="1"/>
    </row>
    <row r="722" spans="8:8" ht="13.8">
      <c r="H722" s="1"/>
    </row>
    <row r="723" spans="8:8" ht="13.8">
      <c r="H723" s="1"/>
    </row>
    <row r="724" spans="8:8" ht="13.8">
      <c r="H724" s="1"/>
    </row>
    <row r="725" spans="8:8" ht="13.8">
      <c r="H725" s="1"/>
    </row>
    <row r="726" spans="8:8" ht="13.8">
      <c r="H726" s="1"/>
    </row>
    <row r="727" spans="8:8" ht="13.8">
      <c r="H727" s="1"/>
    </row>
    <row r="728" spans="8:8" ht="13.8">
      <c r="H728" s="1"/>
    </row>
    <row r="729" spans="8:8" ht="13.8">
      <c r="H729" s="1"/>
    </row>
    <row r="730" spans="8:8" ht="13.8">
      <c r="H730" s="1"/>
    </row>
    <row r="731" spans="8:8" ht="13.8">
      <c r="H731" s="1"/>
    </row>
    <row r="732" spans="8:8" ht="13.8">
      <c r="H732" s="1"/>
    </row>
    <row r="733" spans="8:8" ht="13.8">
      <c r="H733" s="1"/>
    </row>
    <row r="734" spans="8:8" ht="13.8">
      <c r="H734" s="1"/>
    </row>
    <row r="735" spans="8:8" ht="13.8">
      <c r="H735" s="1"/>
    </row>
    <row r="736" spans="8:8" ht="13.8">
      <c r="H736" s="1"/>
    </row>
    <row r="737" spans="8:8" ht="13.8">
      <c r="H737" s="1"/>
    </row>
    <row r="738" spans="8:8" ht="13.8">
      <c r="H738" s="1"/>
    </row>
    <row r="739" spans="8:8" ht="13.8">
      <c r="H739" s="1"/>
    </row>
    <row r="740" spans="8:8" ht="13.8">
      <c r="H740" s="1"/>
    </row>
    <row r="741" spans="8:8" ht="13.8">
      <c r="H741" s="1"/>
    </row>
    <row r="742" spans="8:8" ht="13.8">
      <c r="H742" s="1"/>
    </row>
    <row r="743" spans="8:8" ht="13.8">
      <c r="H743" s="1"/>
    </row>
    <row r="744" spans="8:8" ht="13.8">
      <c r="H744" s="1"/>
    </row>
    <row r="745" spans="8:8" ht="13.8">
      <c r="H745" s="1"/>
    </row>
    <row r="746" spans="8:8" ht="13.8">
      <c r="H746" s="1"/>
    </row>
    <row r="747" spans="8:8" ht="13.8">
      <c r="H747" s="1"/>
    </row>
    <row r="748" spans="8:8" ht="13.8">
      <c r="H748" s="1"/>
    </row>
    <row r="749" spans="8:8" ht="13.8">
      <c r="H749" s="1"/>
    </row>
    <row r="750" spans="8:8" ht="13.8">
      <c r="H750" s="1"/>
    </row>
    <row r="751" spans="8:8" ht="13.8">
      <c r="H751" s="1"/>
    </row>
    <row r="752" spans="8:8" ht="13.8">
      <c r="H752" s="1"/>
    </row>
    <row r="753" spans="8:8" ht="13.8">
      <c r="H753" s="1"/>
    </row>
    <row r="754" spans="8:8" ht="13.8">
      <c r="H754" s="1"/>
    </row>
    <row r="755" spans="8:8" ht="13.8">
      <c r="H755" s="1"/>
    </row>
    <row r="756" spans="8:8" ht="13.8">
      <c r="H756" s="1"/>
    </row>
    <row r="757" spans="8:8" ht="13.8">
      <c r="H757" s="1"/>
    </row>
    <row r="758" spans="8:8" ht="13.8">
      <c r="H758" s="1"/>
    </row>
    <row r="759" spans="8:8" ht="13.8">
      <c r="H759" s="1"/>
    </row>
    <row r="760" spans="8:8" ht="13.8">
      <c r="H760" s="1"/>
    </row>
    <row r="761" spans="8:8" ht="13.8">
      <c r="H761" s="1"/>
    </row>
    <row r="762" spans="8:8" ht="13.8">
      <c r="H762" s="1"/>
    </row>
    <row r="763" spans="8:8" ht="13.8">
      <c r="H763" s="1"/>
    </row>
    <row r="764" spans="8:8" ht="13.8">
      <c r="H764" s="1"/>
    </row>
    <row r="765" spans="8:8" ht="13.8">
      <c r="H765" s="1"/>
    </row>
    <row r="766" spans="8:8" ht="13.8">
      <c r="H766" s="1"/>
    </row>
    <row r="767" spans="8:8" ht="13.8">
      <c r="H767" s="1"/>
    </row>
    <row r="768" spans="8:8" ht="13.8">
      <c r="H768" s="1"/>
    </row>
    <row r="769" spans="8:8" ht="13.8">
      <c r="H769" s="1"/>
    </row>
    <row r="770" spans="8:8" ht="13.8">
      <c r="H770" s="1"/>
    </row>
    <row r="771" spans="8:8" ht="13.8">
      <c r="H771" s="1"/>
    </row>
    <row r="772" spans="8:8" ht="13.8">
      <c r="H772" s="1"/>
    </row>
    <row r="773" spans="8:8" ht="13.8">
      <c r="H773" s="1"/>
    </row>
    <row r="774" spans="8:8" ht="13.8">
      <c r="H774" s="1"/>
    </row>
    <row r="775" spans="8:8" ht="13.8">
      <c r="H775" s="1"/>
    </row>
    <row r="776" spans="8:8" ht="13.8">
      <c r="H776" s="1"/>
    </row>
    <row r="777" spans="8:8" ht="13.8">
      <c r="H777" s="1"/>
    </row>
    <row r="778" spans="8:8" ht="13.8">
      <c r="H778" s="1"/>
    </row>
    <row r="779" spans="8:8" ht="13.8">
      <c r="H779" s="1"/>
    </row>
    <row r="780" spans="8:8" ht="13.8">
      <c r="H780" s="1"/>
    </row>
    <row r="781" spans="8:8" ht="13.8">
      <c r="H781" s="1"/>
    </row>
    <row r="782" spans="8:8" ht="13.8">
      <c r="H782" s="1"/>
    </row>
    <row r="783" spans="8:8" ht="13.8">
      <c r="H783" s="1"/>
    </row>
    <row r="784" spans="8:8" ht="13.8">
      <c r="H784" s="1"/>
    </row>
    <row r="785" spans="8:8" ht="13.8">
      <c r="H785" s="1"/>
    </row>
    <row r="786" spans="8:8" ht="13.8">
      <c r="H786" s="1"/>
    </row>
    <row r="787" spans="8:8" ht="13.8">
      <c r="H787" s="1"/>
    </row>
    <row r="788" spans="8:8" ht="13.8">
      <c r="H788" s="1"/>
    </row>
    <row r="789" spans="8:8" ht="13.8">
      <c r="H789" s="1"/>
    </row>
    <row r="790" spans="8:8" ht="13.8">
      <c r="H790" s="1"/>
    </row>
    <row r="791" spans="8:8" ht="13.8">
      <c r="H791" s="1"/>
    </row>
    <row r="792" spans="8:8" ht="13.8">
      <c r="H792" s="1"/>
    </row>
    <row r="793" spans="8:8" ht="13.8">
      <c r="H793" s="1"/>
    </row>
    <row r="794" spans="8:8" ht="13.8">
      <c r="H794" s="1"/>
    </row>
    <row r="795" spans="8:8" ht="13.8">
      <c r="H795" s="1"/>
    </row>
    <row r="796" spans="8:8" ht="13.8">
      <c r="H796" s="1"/>
    </row>
    <row r="797" spans="8:8" ht="13.8">
      <c r="H797" s="1"/>
    </row>
    <row r="798" spans="8:8" ht="13.8">
      <c r="H798" s="1"/>
    </row>
    <row r="799" spans="8:8" ht="13.8">
      <c r="H799" s="1"/>
    </row>
    <row r="800" spans="8:8" ht="13.8">
      <c r="H800" s="1"/>
    </row>
    <row r="801" spans="8:8" ht="13.8">
      <c r="H801" s="1"/>
    </row>
    <row r="802" spans="8:8" ht="13.8">
      <c r="H802" s="1"/>
    </row>
    <row r="803" spans="8:8" ht="13.8">
      <c r="H803" s="1"/>
    </row>
    <row r="804" spans="8:8" ht="13.8">
      <c r="H804" s="1"/>
    </row>
    <row r="805" spans="8:8" ht="13.8">
      <c r="H805" s="1"/>
    </row>
    <row r="806" spans="8:8" ht="13.8">
      <c r="H806" s="1"/>
    </row>
    <row r="807" spans="8:8" ht="13.8">
      <c r="H807" s="1"/>
    </row>
    <row r="808" spans="8:8" ht="13.8">
      <c r="H808" s="1"/>
    </row>
    <row r="809" spans="8:8" ht="13.8">
      <c r="H809" s="1"/>
    </row>
    <row r="810" spans="8:8" ht="13.8">
      <c r="H810" s="1"/>
    </row>
    <row r="811" spans="8:8" ht="13.8">
      <c r="H811" s="1"/>
    </row>
    <row r="812" spans="8:8" ht="13.8">
      <c r="H812" s="1"/>
    </row>
    <row r="813" spans="8:8" ht="13.8">
      <c r="H813" s="1"/>
    </row>
    <row r="814" spans="8:8" ht="13.8">
      <c r="H814" s="1"/>
    </row>
    <row r="815" spans="8:8" ht="13.8">
      <c r="H815" s="1"/>
    </row>
    <row r="816" spans="8:8" ht="13.8">
      <c r="H816" s="1"/>
    </row>
    <row r="817" spans="8:8" ht="13.8">
      <c r="H817" s="1"/>
    </row>
    <row r="818" spans="8:8" ht="13.8">
      <c r="H818" s="1"/>
    </row>
    <row r="819" spans="8:8" ht="13.8">
      <c r="H819" s="1"/>
    </row>
    <row r="820" spans="8:8" ht="13.8">
      <c r="H820" s="1"/>
    </row>
    <row r="821" spans="8:8" ht="13.8">
      <c r="H821" s="1"/>
    </row>
    <row r="822" spans="8:8" ht="13.8">
      <c r="H822" s="1"/>
    </row>
    <row r="823" spans="8:8" ht="13.8">
      <c r="H823" s="1"/>
    </row>
    <row r="824" spans="8:8" ht="13.8">
      <c r="H824" s="1"/>
    </row>
    <row r="825" spans="8:8" ht="13.8">
      <c r="H825" s="1"/>
    </row>
    <row r="826" spans="8:8" ht="13.8">
      <c r="H826" s="1"/>
    </row>
    <row r="827" spans="8:8" ht="13.8">
      <c r="H827" s="1"/>
    </row>
    <row r="828" spans="8:8" ht="13.8">
      <c r="H828" s="1"/>
    </row>
    <row r="829" spans="8:8" ht="13.8">
      <c r="H829" s="1"/>
    </row>
    <row r="830" spans="8:8" ht="13.8">
      <c r="H830" s="1"/>
    </row>
    <row r="831" spans="8:8" ht="13.8">
      <c r="H831" s="1"/>
    </row>
    <row r="832" spans="8:8" ht="13.8">
      <c r="H832" s="1"/>
    </row>
    <row r="833" spans="8:8" ht="13.8">
      <c r="H833" s="1"/>
    </row>
    <row r="834" spans="8:8" ht="13.8">
      <c r="H834" s="1"/>
    </row>
    <row r="835" spans="8:8" ht="13.8">
      <c r="H835" s="1"/>
    </row>
    <row r="836" spans="8:8" ht="13.8">
      <c r="H836" s="1"/>
    </row>
    <row r="837" spans="8:8" ht="13.8">
      <c r="H837" s="1"/>
    </row>
    <row r="838" spans="8:8" ht="13.8">
      <c r="H838" s="1"/>
    </row>
    <row r="839" spans="8:8" ht="13.8">
      <c r="H839" s="1"/>
    </row>
    <row r="840" spans="8:8" ht="13.8">
      <c r="H840" s="1"/>
    </row>
    <row r="841" spans="8:8" ht="13.8">
      <c r="H841" s="1"/>
    </row>
    <row r="842" spans="8:8" ht="13.8">
      <c r="H842" s="1"/>
    </row>
    <row r="843" spans="8:8" ht="13.8">
      <c r="H843" s="1"/>
    </row>
    <row r="844" spans="8:8" ht="13.8">
      <c r="H844" s="1"/>
    </row>
    <row r="845" spans="8:8" ht="13.8">
      <c r="H845" s="1"/>
    </row>
    <row r="846" spans="8:8" ht="13.8">
      <c r="H846" s="1"/>
    </row>
    <row r="847" spans="8:8" ht="13.8">
      <c r="H847" s="1"/>
    </row>
    <row r="848" spans="8:8" ht="13.8">
      <c r="H848" s="1"/>
    </row>
    <row r="849" spans="8:8" ht="13.8">
      <c r="H849" s="1"/>
    </row>
    <row r="850" spans="8:8" ht="13.8">
      <c r="H850" s="1"/>
    </row>
    <row r="851" spans="8:8" ht="13.8">
      <c r="H851" s="1"/>
    </row>
    <row r="852" spans="8:8" ht="13.8">
      <c r="H852" s="1"/>
    </row>
    <row r="853" spans="8:8" ht="13.8">
      <c r="H853" s="1"/>
    </row>
    <row r="854" spans="8:8" ht="13.8">
      <c r="H854" s="1"/>
    </row>
    <row r="855" spans="8:8" ht="13.8">
      <c r="H855" s="1"/>
    </row>
    <row r="856" spans="8:8" ht="13.8">
      <c r="H856" s="1"/>
    </row>
    <row r="857" spans="8:8" ht="13.8">
      <c r="H857" s="1"/>
    </row>
    <row r="858" spans="8:8" ht="13.8">
      <c r="H858" s="1"/>
    </row>
    <row r="859" spans="8:8" ht="13.8">
      <c r="H859" s="1"/>
    </row>
    <row r="860" spans="8:8" ht="13.8">
      <c r="H860" s="1"/>
    </row>
    <row r="861" spans="8:8" ht="13.8">
      <c r="H861" s="1"/>
    </row>
    <row r="862" spans="8:8" ht="13.8">
      <c r="H862" s="1"/>
    </row>
    <row r="863" spans="8:8" ht="13.8">
      <c r="H863" s="1"/>
    </row>
    <row r="864" spans="8:8" ht="13.8">
      <c r="H864" s="1"/>
    </row>
    <row r="865" spans="8:8" ht="13.8">
      <c r="H865" s="1"/>
    </row>
    <row r="866" spans="8:8" ht="13.8">
      <c r="H866" s="1"/>
    </row>
    <row r="867" spans="8:8" ht="13.8">
      <c r="H867" s="1"/>
    </row>
    <row r="868" spans="8:8" ht="13.8">
      <c r="H868" s="1"/>
    </row>
    <row r="869" spans="8:8" ht="13.8">
      <c r="H869" s="1"/>
    </row>
    <row r="870" spans="8:8" ht="13.8">
      <c r="H870" s="1"/>
    </row>
    <row r="871" spans="8:8" ht="13.8">
      <c r="H871" s="1"/>
    </row>
    <row r="872" spans="8:8" ht="13.8">
      <c r="H872" s="1"/>
    </row>
    <row r="873" spans="8:8" ht="13.8">
      <c r="H873" s="1"/>
    </row>
    <row r="874" spans="8:8" ht="13.8">
      <c r="H874" s="1"/>
    </row>
    <row r="875" spans="8:8" ht="13.8">
      <c r="H875" s="1"/>
    </row>
    <row r="876" spans="8:8" ht="13.8">
      <c r="H876" s="1"/>
    </row>
    <row r="877" spans="8:8" ht="13.8">
      <c r="H877" s="1"/>
    </row>
    <row r="878" spans="8:8" ht="13.8">
      <c r="H878" s="1"/>
    </row>
    <row r="879" spans="8:8" ht="13.8">
      <c r="H879" s="1"/>
    </row>
    <row r="880" spans="8:8" ht="13.8">
      <c r="H880" s="1"/>
    </row>
    <row r="881" spans="8:8" ht="13.8">
      <c r="H881" s="1"/>
    </row>
    <row r="882" spans="8:8" ht="13.8">
      <c r="H882" s="1"/>
    </row>
    <row r="883" spans="8:8" ht="13.8">
      <c r="H883" s="1"/>
    </row>
    <row r="884" spans="8:8" ht="13.8">
      <c r="H884" s="1"/>
    </row>
    <row r="885" spans="8:8" ht="13.8">
      <c r="H885" s="1"/>
    </row>
    <row r="886" spans="8:8" ht="13.8">
      <c r="H886" s="1"/>
    </row>
    <row r="887" spans="8:8" ht="13.8">
      <c r="H887" s="1"/>
    </row>
    <row r="888" spans="8:8" ht="13.8">
      <c r="H888" s="1"/>
    </row>
    <row r="889" spans="8:8" ht="13.8">
      <c r="H889" s="1"/>
    </row>
    <row r="890" spans="8:8" ht="13.8">
      <c r="H890" s="1"/>
    </row>
    <row r="891" spans="8:8" ht="13.8">
      <c r="H891" s="1"/>
    </row>
    <row r="892" spans="8:8" ht="13.8">
      <c r="H892" s="1"/>
    </row>
    <row r="893" spans="8:8" ht="13.8">
      <c r="H893" s="1"/>
    </row>
    <row r="894" spans="8:8" ht="13.8">
      <c r="H894" s="1"/>
    </row>
    <row r="895" spans="8:8" ht="13.8">
      <c r="H895" s="1"/>
    </row>
    <row r="896" spans="8:8" ht="13.8">
      <c r="H896" s="1"/>
    </row>
    <row r="897" spans="8:8" ht="13.8">
      <c r="H897" s="1"/>
    </row>
    <row r="898" spans="8:8" ht="13.8">
      <c r="H898" s="1"/>
    </row>
    <row r="899" spans="8:8" ht="13.8">
      <c r="H899" s="1"/>
    </row>
    <row r="900" spans="8:8" ht="13.8">
      <c r="H900" s="1"/>
    </row>
    <row r="901" spans="8:8" ht="13.8">
      <c r="H901" s="1"/>
    </row>
    <row r="902" spans="8:8" ht="13.8">
      <c r="H902" s="1"/>
    </row>
    <row r="903" spans="8:8" ht="13.8">
      <c r="H903" s="1"/>
    </row>
    <row r="904" spans="8:8" ht="13.8">
      <c r="H904" s="1"/>
    </row>
    <row r="905" spans="8:8" ht="13.8">
      <c r="H905" s="1"/>
    </row>
    <row r="906" spans="8:8" ht="13.8">
      <c r="H906" s="1"/>
    </row>
    <row r="907" spans="8:8" ht="13.8">
      <c r="H907" s="1"/>
    </row>
    <row r="908" spans="8:8" ht="13.8">
      <c r="H908" s="1"/>
    </row>
    <row r="909" spans="8:8" ht="13.8">
      <c r="H909" s="1"/>
    </row>
    <row r="910" spans="8:8" ht="13.8">
      <c r="H910" s="1"/>
    </row>
    <row r="911" spans="8:8" ht="13.8">
      <c r="H911" s="1"/>
    </row>
    <row r="912" spans="8:8" ht="13.8">
      <c r="H912" s="1"/>
    </row>
    <row r="913" spans="8:8" ht="13.8">
      <c r="H913" s="1"/>
    </row>
    <row r="914" spans="8:8" ht="13.8">
      <c r="H914" s="1"/>
    </row>
    <row r="915" spans="8:8" ht="13.8">
      <c r="H915" s="1"/>
    </row>
    <row r="916" spans="8:8" ht="13.8">
      <c r="H916" s="1"/>
    </row>
    <row r="917" spans="8:8" ht="13.8">
      <c r="H917" s="1"/>
    </row>
    <row r="918" spans="8:8" ht="13.8">
      <c r="H918" s="1"/>
    </row>
    <row r="919" spans="8:8" ht="13.8">
      <c r="H919" s="1"/>
    </row>
    <row r="920" spans="8:8" ht="13.8">
      <c r="H920" s="1"/>
    </row>
    <row r="921" spans="8:8" ht="13.8">
      <c r="H921" s="1"/>
    </row>
    <row r="922" spans="8:8" ht="13.8">
      <c r="H922" s="1"/>
    </row>
    <row r="923" spans="8:8" ht="13.8">
      <c r="H923" s="1"/>
    </row>
    <row r="924" spans="8:8" ht="13.8">
      <c r="H924" s="1"/>
    </row>
    <row r="925" spans="8:8" ht="13.8">
      <c r="H925" s="1"/>
    </row>
    <row r="926" spans="8:8" ht="13.8">
      <c r="H926" s="1"/>
    </row>
    <row r="927" spans="8:8" ht="13.8">
      <c r="H927" s="1"/>
    </row>
    <row r="928" spans="8:8" ht="13.8">
      <c r="H928" s="1"/>
    </row>
    <row r="929" spans="8:8" ht="13.8">
      <c r="H929" s="1"/>
    </row>
    <row r="930" spans="8:8" ht="13.8">
      <c r="H930" s="1"/>
    </row>
    <row r="931" spans="8:8" ht="13.8">
      <c r="H931" s="1"/>
    </row>
    <row r="932" spans="8:8" ht="13.8">
      <c r="H932" s="1"/>
    </row>
    <row r="933" spans="8:8" ht="13.8">
      <c r="H933" s="1"/>
    </row>
    <row r="934" spans="8:8" ht="13.8">
      <c r="H934" s="1"/>
    </row>
    <row r="935" spans="8:8" ht="13.8">
      <c r="H935" s="1"/>
    </row>
    <row r="936" spans="8:8" ht="13.8">
      <c r="H936" s="1"/>
    </row>
    <row r="937" spans="8:8" ht="13.8">
      <c r="H937" s="1"/>
    </row>
    <row r="938" spans="8:8" ht="13.8">
      <c r="H938" s="1"/>
    </row>
    <row r="939" spans="8:8" ht="13.8">
      <c r="H939" s="1"/>
    </row>
    <row r="940" spans="8:8" ht="13.8">
      <c r="H940" s="1"/>
    </row>
    <row r="941" spans="8:8" ht="13.8">
      <c r="H941" s="1"/>
    </row>
    <row r="942" spans="8:8" ht="13.8">
      <c r="H942" s="1"/>
    </row>
    <row r="943" spans="8:8" ht="13.8">
      <c r="H943" s="1"/>
    </row>
    <row r="944" spans="8:8" ht="13.8">
      <c r="H944" s="1"/>
    </row>
    <row r="945" spans="8:8" ht="13.8">
      <c r="H945" s="1"/>
    </row>
    <row r="946" spans="8:8" ht="13.8">
      <c r="H946" s="1"/>
    </row>
    <row r="947" spans="8:8" ht="13.8">
      <c r="H947" s="1"/>
    </row>
    <row r="948" spans="8:8" ht="13.8">
      <c r="H948" s="1"/>
    </row>
    <row r="949" spans="8:8" ht="13.8">
      <c r="H949" s="1"/>
    </row>
    <row r="950" spans="8:8" ht="13.8">
      <c r="H950" s="1"/>
    </row>
    <row r="951" spans="8:8" ht="13.8">
      <c r="H951" s="1"/>
    </row>
    <row r="952" spans="8:8" ht="13.8">
      <c r="H952" s="1"/>
    </row>
    <row r="953" spans="8:8" ht="13.8">
      <c r="H953" s="1"/>
    </row>
    <row r="954" spans="8:8" ht="13.8">
      <c r="H954" s="1"/>
    </row>
    <row r="955" spans="8:8" ht="13.8">
      <c r="H955" s="1"/>
    </row>
    <row r="956" spans="8:8" ht="13.8">
      <c r="H956" s="1"/>
    </row>
    <row r="957" spans="8:8" ht="13.8">
      <c r="H957" s="1"/>
    </row>
    <row r="958" spans="8:8" ht="13.8">
      <c r="H958" s="1"/>
    </row>
    <row r="959" spans="8:8" ht="13.8">
      <c r="H959" s="1"/>
    </row>
    <row r="960" spans="8:8" ht="13.8">
      <c r="H960" s="1"/>
    </row>
    <row r="961" spans="8:8" ht="13.8">
      <c r="H961" s="1"/>
    </row>
    <row r="962" spans="8:8" ht="13.8">
      <c r="H962" s="1"/>
    </row>
    <row r="963" spans="8:8" ht="13.8">
      <c r="H963" s="1"/>
    </row>
    <row r="964" spans="8:8" ht="13.8">
      <c r="H964" s="1"/>
    </row>
    <row r="965" spans="8:8" ht="13.8">
      <c r="H965" s="1"/>
    </row>
    <row r="966" spans="8:8" ht="13.8">
      <c r="H966" s="1"/>
    </row>
    <row r="967" spans="8:8" ht="13.8">
      <c r="H967" s="1"/>
    </row>
    <row r="968" spans="8:8" ht="13.8">
      <c r="H968" s="1"/>
    </row>
    <row r="969" spans="8:8" ht="13.8">
      <c r="H969" s="1"/>
    </row>
    <row r="970" spans="8:8" ht="13.8">
      <c r="H970" s="1"/>
    </row>
    <row r="971" spans="8:8" ht="13.8">
      <c r="H971" s="1"/>
    </row>
    <row r="972" spans="8:8" ht="13.8">
      <c r="H972" s="1"/>
    </row>
    <row r="973" spans="8:8" ht="13.8">
      <c r="H973" s="1"/>
    </row>
    <row r="974" spans="8:8" ht="13.8">
      <c r="H974" s="1"/>
    </row>
    <row r="975" spans="8:8" ht="13.8">
      <c r="H975" s="1"/>
    </row>
    <row r="976" spans="8:8" ht="13.8">
      <c r="H976" s="1"/>
    </row>
    <row r="977" spans="8:8" ht="13.8">
      <c r="H977" s="1"/>
    </row>
    <row r="978" spans="8:8" ht="13.8">
      <c r="H978" s="1"/>
    </row>
    <row r="979" spans="8:8" ht="13.8">
      <c r="H979" s="1"/>
    </row>
    <row r="980" spans="8:8" ht="13.8">
      <c r="H980" s="1"/>
    </row>
    <row r="981" spans="8:8" ht="13.8">
      <c r="H981" s="1"/>
    </row>
    <row r="982" spans="8:8" ht="13.8">
      <c r="H982" s="1"/>
    </row>
    <row r="983" spans="8:8" ht="13.8">
      <c r="H983" s="1"/>
    </row>
    <row r="984" spans="8:8" ht="13.8">
      <c r="H984" s="1"/>
    </row>
    <row r="985" spans="8:8" ht="13.8">
      <c r="H985" s="1"/>
    </row>
    <row r="986" spans="8:8" ht="13.8">
      <c r="H986" s="1"/>
    </row>
    <row r="987" spans="8:8" ht="13.8">
      <c r="H987" s="1"/>
    </row>
    <row r="988" spans="8:8" ht="13.8">
      <c r="H988" s="1"/>
    </row>
    <row r="989" spans="8:8" ht="13.8">
      <c r="H989" s="1"/>
    </row>
    <row r="990" spans="8:8" ht="13.8">
      <c r="H990" s="1"/>
    </row>
    <row r="991" spans="8:8" ht="13.8">
      <c r="H991" s="1"/>
    </row>
    <row r="992" spans="8:8" ht="13.8">
      <c r="H992" s="1"/>
    </row>
    <row r="993" spans="8:8" ht="13.8">
      <c r="H993" s="1"/>
    </row>
    <row r="994" spans="8:8" ht="13.8">
      <c r="H994" s="1"/>
    </row>
    <row r="995" spans="8:8" ht="13.8">
      <c r="H995" s="1"/>
    </row>
    <row r="996" spans="8:8" ht="13.8">
      <c r="H996" s="1"/>
    </row>
  </sheetData>
  <dataValidations count="2">
    <dataValidation type="list" allowBlank="1" showErrorMessage="1" sqref="C2:C42" xr:uid="{00000000-0002-0000-0A00-000000000000}">
      <formula1>"6,7,8"</formula1>
      <formula2>0</formula2>
    </dataValidation>
    <dataValidation type="list" allowBlank="1" showErrorMessage="1" sqref="E2:E42" xr:uid="{00000000-0002-0000-0A00-000001000000}">
      <formula1>"Physics,Biology,Chemistry"</formula1>
      <formula2>0</formula2>
    </dataValidation>
  </dataValidations>
  <pageMargins left="0.74791666666666701" right="0.74791666666666701" top="0.98402777777777795" bottom="0.98402777777777795" header="0.511811023622047" footer="0.511811023622047"/>
  <pageSetup paperSize="9" orientation="portrait" horizontalDpi="300" verticalDpi="300"/>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G1001"/>
  <sheetViews>
    <sheetView zoomScaleNormal="100" workbookViewId="0">
      <pane ySplit="1" topLeftCell="A2" activePane="bottomLeft" state="frozen"/>
      <selection pane="bottomLeft" activeCell="D8" sqref="D8"/>
    </sheetView>
  </sheetViews>
  <sheetFormatPr defaultColWidth="12.6640625" defaultRowHeight="13.2"/>
  <cols>
    <col min="1" max="1" width="10.6640625" customWidth="1"/>
    <col min="2" max="2" width="6.77734375" customWidth="1"/>
    <col min="3" max="3" width="8.21875" customWidth="1"/>
    <col min="4" max="4" width="20.21875" customWidth="1"/>
    <col min="6" max="6" width="27.88671875" customWidth="1"/>
    <col min="8" max="8" width="34.33203125" customWidth="1"/>
    <col min="11" max="11" width="36" customWidth="1"/>
    <col min="13" max="13" width="41.6640625" customWidth="1"/>
    <col min="15" max="15" width="50.88671875" customWidth="1"/>
    <col min="17" max="17" width="46.6640625" customWidth="1"/>
    <col min="19" max="19" width="50.21875" customWidth="1"/>
    <col min="21" max="21" width="34.33203125" customWidth="1"/>
  </cols>
  <sheetData>
    <row r="1" spans="1:33" ht="27.6">
      <c r="A1" s="3" t="s">
        <v>0</v>
      </c>
      <c r="B1" s="4" t="s">
        <v>1</v>
      </c>
      <c r="C1" s="4" t="s">
        <v>3</v>
      </c>
      <c r="D1" s="4" t="s">
        <v>1280</v>
      </c>
      <c r="E1" s="4" t="s">
        <v>2</v>
      </c>
      <c r="F1" s="7" t="s">
        <v>4</v>
      </c>
      <c r="G1" s="6" t="s">
        <v>1844</v>
      </c>
      <c r="H1" s="7" t="s">
        <v>307</v>
      </c>
      <c r="I1" s="106" t="s">
        <v>1281</v>
      </c>
      <c r="J1" s="8" t="s">
        <v>5</v>
      </c>
      <c r="K1" s="8" t="s">
        <v>6</v>
      </c>
      <c r="L1" s="8" t="s">
        <v>7</v>
      </c>
      <c r="M1" s="8" t="s">
        <v>8</v>
      </c>
      <c r="N1" s="8" t="s">
        <v>9</v>
      </c>
      <c r="O1" s="8" t="s">
        <v>10</v>
      </c>
      <c r="P1" s="8" t="s">
        <v>11</v>
      </c>
      <c r="Q1" s="8" t="s">
        <v>12</v>
      </c>
      <c r="R1" s="8" t="s">
        <v>13</v>
      </c>
      <c r="S1" s="8" t="s">
        <v>14</v>
      </c>
      <c r="T1" s="8" t="s">
        <v>15</v>
      </c>
      <c r="U1" s="8" t="s">
        <v>16</v>
      </c>
      <c r="V1" s="9" t="s">
        <v>17</v>
      </c>
      <c r="W1" s="9" t="s">
        <v>18</v>
      </c>
      <c r="X1" s="9" t="s">
        <v>19</v>
      </c>
      <c r="Y1" s="9" t="s">
        <v>20</v>
      </c>
      <c r="Z1" s="9" t="s">
        <v>21</v>
      </c>
      <c r="AA1" s="9" t="s">
        <v>22</v>
      </c>
      <c r="AB1" s="9" t="s">
        <v>23</v>
      </c>
      <c r="AC1" s="10" t="s">
        <v>24</v>
      </c>
      <c r="AD1" s="11" t="s">
        <v>25</v>
      </c>
      <c r="AE1" s="11" t="s">
        <v>26</v>
      </c>
      <c r="AF1" s="11" t="s">
        <v>27</v>
      </c>
      <c r="AG1" s="12" t="s">
        <v>28</v>
      </c>
    </row>
    <row r="2" spans="1:33" ht="27.6">
      <c r="A2" s="1"/>
      <c r="B2" s="1" t="s">
        <v>29</v>
      </c>
      <c r="C2" s="13">
        <v>8</v>
      </c>
      <c r="D2" s="2" t="s">
        <v>1475</v>
      </c>
      <c r="E2" s="1" t="s">
        <v>1283</v>
      </c>
      <c r="F2" s="1" t="s">
        <v>1476</v>
      </c>
      <c r="G2" s="14" t="s">
        <v>1477</v>
      </c>
      <c r="H2" s="18" t="str">
        <f ca="1">IFERROR(__xludf.dummyfunction("IFERROR(
  VLOOKUP(G2, IMPORTRANGE(""https://docs.google.com/spreadsheets/d/14deopnvwcrKtEGCKuYXdUHJbeLDZlkiSSWWT0g7x2pM/edit#gid=849066331"", ""LU List Maths (Filter)!A:B""), 2, FALSE),
  IFERROR(
    VLOOKUP(G2, IMPORTRANGE(""https://docs.google.com/spr"&amp;"eadsheets/d/14deopnvwcrKtEGCKuYXdUHJbeLDZlkiSSWWT0g7x2pM/edit#gid=849066331"", ""LU List Science (Filter)!A:B""), 2, FALSE),
    ""Not Found""
  )
)
"),"Definition of diffusion and osmosis")</f>
        <v>Definition of diffusion and osmosis</v>
      </c>
      <c r="I2" s="2" t="s">
        <v>1478</v>
      </c>
      <c r="J2" s="1" t="str">
        <f t="shared" ref="J2:J33" si="0">G2 &amp; ".001"</f>
        <v>LU006171.001</v>
      </c>
      <c r="K2" s="1" t="str">
        <f ca="1">IFERROR(__xludf.dummyfunction("VLOOKUP(J2, IMPORTRANGE(""https://docs.google.com/spreadsheets/d/1yDAaXNsi4Mr5FtRQL4tbmSdIzhx6_m4wkOD7IG-k_eo/edit#gid=1336395716"", ""Science!M:N""), 2, FALSE)"),"(LU006171.001); Default - Remember")</f>
        <v>(LU006171.001); Default - Remember</v>
      </c>
      <c r="L2" s="1" t="str">
        <f t="shared" ref="L2:L33" si="1">G2 &amp; ".002"</f>
        <v>LU006171.002</v>
      </c>
      <c r="M2" s="1" t="str">
        <f ca="1">IFERROR(__xludf.dummyfunction("VLOOKUP(L2, IMPORTRANGE(""https://docs.google.com/spreadsheets/d/1yDAaXNsi4Mr5FtRQL4tbmSdIzhx6_m4wkOD7IG-k_eo/edit#gid=1336395716"", ""Science!M:N""), 2, FALSE)"),"(LU006171.002); Default - Understand")</f>
        <v>(LU006171.002); Default - Understand</v>
      </c>
      <c r="N2" s="1" t="str">
        <f t="shared" ref="N2:N33" si="2">G2 &amp; ".003"</f>
        <v>LU006171.003</v>
      </c>
      <c r="O2" s="1" t="str">
        <f ca="1">IFERROR(__xludf.dummyfunction("VLOOKUP(N2, IMPORTRANGE(""https://docs.google.com/spreadsheets/d/1yDAaXNsi4Mr5FtRQL4tbmSdIzhx6_m4wkOD7IG-k_eo/edit#gid=1336395716"", ""Science!M:N""), 2, FALSE)"),"(LU006171.003); Default - Apply")</f>
        <v>(LU006171.003); Default - Apply</v>
      </c>
      <c r="P2" s="1" t="str">
        <f t="shared" ref="P2:P33" si="3">G2 &amp; ".004"</f>
        <v>LU006171.004</v>
      </c>
      <c r="Q2" s="15" t="str">
        <f ca="1">IFERROR(__xludf.dummyfunction("VLOOKUP(P2, IMPORTRANGE(""https://docs.google.com/spreadsheets/d/1yDAaXNsi4Mr5FtRQL4tbmSdIzhx6_m4wkOD7IG-k_eo/edit#gid=1336395716"", ""Science!M:N""), 2, FALSE)"),"(LU006171.004); Default - Analyse")</f>
        <v>(LU006171.004); Default - Analyse</v>
      </c>
      <c r="R2" s="1" t="str">
        <f t="shared" ref="R2:R33" si="4">G2 &amp; ".005"</f>
        <v>LU006171.005</v>
      </c>
      <c r="S2" s="15" t="str">
        <f ca="1">IFERROR(__xludf.dummyfunction("VLOOKUP(R2, IMPORTRANGE(""https://docs.google.com/spreadsheets/d/1yDAaXNsi4Mr5FtRQL4tbmSdIzhx6_m4wkOD7IG-k_eo/edit#gid=1336395716"", ""Science!M:N""), 2, FALSE)"),"(LU006171.005); Default - Evaluate")</f>
        <v>(LU006171.005); Default - Evaluate</v>
      </c>
      <c r="T2" s="1" t="str">
        <f t="shared" ref="T2:T33" si="5">G2 &amp; ".006"</f>
        <v>LU006171.006</v>
      </c>
      <c r="U2" s="15" t="str">
        <f ca="1">IFERROR(__xludf.dummyfunction("VLOOKUP(T2, IMPORTRANGE(""https://docs.google.com/spreadsheets/d/1yDAaXNsi4Mr5FtRQL4tbmSdIzhx6_m4wkOD7IG-k_eo/edit#gid=1336395716"", ""Science!M:N""), 2, FALSE)"),"(LU006171.006); Default - Create")</f>
        <v>(LU006171.006); Default - Create</v>
      </c>
      <c r="V2" s="16" t="str">
        <f ca="1">IFERROR(__xludf.dummyfunction("ArrayFormula(VLOOKUP(G2, IMPORTRANGE(""https://docs.google.com/spreadsheets/d/1p7R4vtkWt5VOBim4ltsDG9KTzSjrtKXsMtQGXPHyND0/edit#gid=795171502"", ""'Filter 30_05_2024'!A1:M2000""), {2, 3, 4, 5,6,7,8,9,10,11,12,13}, 0))"),"#N/A")</f>
        <v>#N/A</v>
      </c>
      <c r="W2" s="16" t="str">
        <f ca="1">IFERROR(__xludf.dummyfunction("""COMPUTED_VALUE"""),"#N/A")</f>
        <v>#N/A</v>
      </c>
      <c r="X2" s="16" t="str">
        <f ca="1">IFERROR(__xludf.dummyfunction("""COMPUTED_VALUE"""),"#N/A")</f>
        <v>#N/A</v>
      </c>
      <c r="Y2" s="16" t="str">
        <f ca="1">IFERROR(__xludf.dummyfunction("""COMPUTED_VALUE"""),"#N/A")</f>
        <v>#N/A</v>
      </c>
      <c r="Z2" s="16" t="str">
        <f ca="1">IFERROR(__xludf.dummyfunction("""COMPUTED_VALUE"""),"#N/A")</f>
        <v>#N/A</v>
      </c>
      <c r="AA2" s="17" t="str">
        <f ca="1">IFERROR(__xludf.dummyfunction("""COMPUTED_VALUE"""),"#N/A")</f>
        <v>#N/A</v>
      </c>
      <c r="AB2" s="17" t="str">
        <f ca="1">IFERROR(__xludf.dummyfunction("""COMPUTED_VALUE"""),"#N/A")</f>
        <v>#N/A</v>
      </c>
      <c r="AC2" s="17" t="str">
        <f ca="1">IFERROR(__xludf.dummyfunction("""COMPUTED_VALUE"""),"#N/A")</f>
        <v>#N/A</v>
      </c>
      <c r="AD2" s="2" t="str">
        <f ca="1">IFERROR(__xludf.dummyfunction("""COMPUTED_VALUE"""),"#N/A")</f>
        <v>#N/A</v>
      </c>
      <c r="AE2" s="2" t="str">
        <f ca="1">IFERROR(__xludf.dummyfunction("""COMPUTED_VALUE"""),"#N/A")</f>
        <v>#N/A</v>
      </c>
      <c r="AF2" s="2" t="str">
        <f ca="1">IFERROR(__xludf.dummyfunction("""COMPUTED_VALUE"""),"#N/A")</f>
        <v>#N/A</v>
      </c>
      <c r="AG2" s="2" t="str">
        <f ca="1">IFERROR(__xludf.dummyfunction("""COMPUTED_VALUE"""),"#N/A")</f>
        <v>#N/A</v>
      </c>
    </row>
    <row r="3" spans="1:33" ht="41.4">
      <c r="A3" s="1"/>
      <c r="B3" s="1" t="s">
        <v>29</v>
      </c>
      <c r="C3" s="13">
        <v>8</v>
      </c>
      <c r="D3" s="2" t="s">
        <v>1475</v>
      </c>
      <c r="E3" s="1" t="s">
        <v>1283</v>
      </c>
      <c r="F3" s="1" t="s">
        <v>1479</v>
      </c>
      <c r="G3" s="14" t="s">
        <v>1480</v>
      </c>
      <c r="H3" s="18" t="str">
        <f ca="1">IFERROR(__xludf.dummyfunction("IFERROR(
  VLOOKUP(G3, IMPORTRANGE(""https://docs.google.com/spreadsheets/d/14deopnvwcrKtEGCKuYXdUHJbeLDZlkiSSWWT0g7x2pM/edit#gid=849066331"", ""LU List Maths (Filter)!A:B""), 2, FALSE),
  IFERROR(
    VLOOKUP(G3, IMPORTRANGE(""https://docs.google.com/spr"&amp;"eadsheets/d/14deopnvwcrKtEGCKuYXdUHJbeLDZlkiSSWWT0g7x2pM/edit#gid=849066331"", ""LU List Science (Filter)!A:B""), 2, FALSE),
    ""Not Found""
  )
)
"),"Concept of semipermeable membrane, active transport and root pressure")</f>
        <v>Concept of semipermeable membrane, active transport and root pressure</v>
      </c>
      <c r="I3" s="2" t="s">
        <v>1481</v>
      </c>
      <c r="J3" s="1" t="str">
        <f t="shared" si="0"/>
        <v>LU006637.001</v>
      </c>
      <c r="K3" s="1" t="str">
        <f ca="1">IFERROR(__xludf.dummyfunction("VLOOKUP(J3, IMPORTRANGE(""https://docs.google.com/spreadsheets/d/1yDAaXNsi4Mr5FtRQL4tbmSdIzhx6_m4wkOD7IG-k_eo/edit#gid=1336395716"", ""Science!M:N""), 2, FALSE)"),"(LU006637.001); Default - Remember")</f>
        <v>(LU006637.001); Default - Remember</v>
      </c>
      <c r="L3" s="1" t="str">
        <f t="shared" si="1"/>
        <v>LU006637.002</v>
      </c>
      <c r="M3" s="1" t="str">
        <f ca="1">IFERROR(__xludf.dummyfunction("VLOOKUP(L3, IMPORTRANGE(""https://docs.google.com/spreadsheets/d/1yDAaXNsi4Mr5FtRQL4tbmSdIzhx6_m4wkOD7IG-k_eo/edit#gid=1336395716"", ""Science!M:N""), 2, FALSE)"),"(LU006637.002); Default - Understand")</f>
        <v>(LU006637.002); Default - Understand</v>
      </c>
      <c r="N3" s="1" t="str">
        <f t="shared" si="2"/>
        <v>LU006637.003</v>
      </c>
      <c r="O3" s="1" t="str">
        <f ca="1">IFERROR(__xludf.dummyfunction("VLOOKUP(N3, IMPORTRANGE(""https://docs.google.com/spreadsheets/d/1yDAaXNsi4Mr5FtRQL4tbmSdIzhx6_m4wkOD7IG-k_eo/edit#gid=1336395716"", ""Science!M:N""), 2, FALSE)"),"(LU006637.003); Default - Apply")</f>
        <v>(LU006637.003); Default - Apply</v>
      </c>
      <c r="P3" s="1" t="str">
        <f t="shared" si="3"/>
        <v>LU006637.004</v>
      </c>
      <c r="Q3" s="15" t="str">
        <f ca="1">IFERROR(__xludf.dummyfunction("VLOOKUP(P3, IMPORTRANGE(""https://docs.google.com/spreadsheets/d/1yDAaXNsi4Mr5FtRQL4tbmSdIzhx6_m4wkOD7IG-k_eo/edit#gid=1336395716"", ""Science!M:N""), 2, FALSE)"),"(LU006637.004); Default - Analyse")</f>
        <v>(LU006637.004); Default - Analyse</v>
      </c>
      <c r="R3" s="1" t="str">
        <f t="shared" si="4"/>
        <v>LU006637.005</v>
      </c>
      <c r="S3" s="15" t="str">
        <f ca="1">IFERROR(__xludf.dummyfunction("VLOOKUP(R3, IMPORTRANGE(""https://docs.google.com/spreadsheets/d/1yDAaXNsi4Mr5FtRQL4tbmSdIzhx6_m4wkOD7IG-k_eo/edit#gid=1336395716"", ""Science!M:N""), 2, FALSE)"),"(LU006637.005); Default - Evaluate")</f>
        <v>(LU006637.005); Default - Evaluate</v>
      </c>
      <c r="T3" s="1" t="str">
        <f t="shared" si="5"/>
        <v>LU006637.006</v>
      </c>
      <c r="U3" s="15" t="str">
        <f ca="1">IFERROR(__xludf.dummyfunction("VLOOKUP(T3, IMPORTRANGE(""https://docs.google.com/spreadsheets/d/1yDAaXNsi4Mr5FtRQL4tbmSdIzhx6_m4wkOD7IG-k_eo/edit#gid=1336395716"", ""Science!M:N""), 2, FALSE)"),"(LU006637.006); Default - Create")</f>
        <v>(LU006637.006); Default - Create</v>
      </c>
      <c r="V3" s="16" t="str">
        <f ca="1">IFERROR(__xludf.dummyfunction("ArrayFormula(VLOOKUP(G3, IMPORTRANGE(""https://docs.google.com/spreadsheets/d/1p7R4vtkWt5VOBim4ltsDG9KTzSjrtKXsMtQGXPHyND0/edit#gid=795171502"", ""'Filter 30_05_2024'!A1:M2000""), {2, 3, 4, 5,6,7,8,9,10,11,12,13}, 0))"),"#N/A")</f>
        <v>#N/A</v>
      </c>
      <c r="W3" s="16" t="str">
        <f ca="1">IFERROR(__xludf.dummyfunction("""COMPUTED_VALUE"""),"#N/A")</f>
        <v>#N/A</v>
      </c>
      <c r="X3" s="16" t="str">
        <f ca="1">IFERROR(__xludf.dummyfunction("""COMPUTED_VALUE"""),"#N/A")</f>
        <v>#N/A</v>
      </c>
      <c r="Y3" s="16" t="str">
        <f ca="1">IFERROR(__xludf.dummyfunction("""COMPUTED_VALUE"""),"#N/A")</f>
        <v>#N/A</v>
      </c>
      <c r="Z3" s="16" t="str">
        <f ca="1">IFERROR(__xludf.dummyfunction("""COMPUTED_VALUE"""),"#N/A")</f>
        <v>#N/A</v>
      </c>
      <c r="AA3" s="17" t="str">
        <f ca="1">IFERROR(__xludf.dummyfunction("""COMPUTED_VALUE"""),"#N/A")</f>
        <v>#N/A</v>
      </c>
      <c r="AB3" s="17" t="str">
        <f ca="1">IFERROR(__xludf.dummyfunction("""COMPUTED_VALUE"""),"#N/A")</f>
        <v>#N/A</v>
      </c>
      <c r="AC3" s="17" t="str">
        <f ca="1">IFERROR(__xludf.dummyfunction("""COMPUTED_VALUE"""),"#N/A")</f>
        <v>#N/A</v>
      </c>
      <c r="AD3" s="2" t="str">
        <f ca="1">IFERROR(__xludf.dummyfunction("""COMPUTED_VALUE"""),"#N/A")</f>
        <v>#N/A</v>
      </c>
      <c r="AE3" s="2" t="str">
        <f ca="1">IFERROR(__xludf.dummyfunction("""COMPUTED_VALUE"""),"#N/A")</f>
        <v>#N/A</v>
      </c>
      <c r="AF3" s="2" t="str">
        <f ca="1">IFERROR(__xludf.dummyfunction("""COMPUTED_VALUE"""),"#N/A")</f>
        <v>#N/A</v>
      </c>
      <c r="AG3" s="2" t="str">
        <f ca="1">IFERROR(__xludf.dummyfunction("""COMPUTED_VALUE"""),"#N/A")</f>
        <v>#N/A</v>
      </c>
    </row>
    <row r="4" spans="1:33" ht="55.2">
      <c r="A4" s="1"/>
      <c r="B4" s="1" t="s">
        <v>29</v>
      </c>
      <c r="C4" s="13">
        <v>8</v>
      </c>
      <c r="D4" s="2" t="s">
        <v>1475</v>
      </c>
      <c r="E4" s="1" t="s">
        <v>1283</v>
      </c>
      <c r="F4" s="1" t="s">
        <v>1482</v>
      </c>
      <c r="G4" s="1" t="s">
        <v>1483</v>
      </c>
      <c r="H4" s="18" t="str">
        <f ca="1">IFERROR(__xludf.dummyfunction("IFERROR(
  VLOOKUP(G4, IMPORTRANGE(""https://docs.google.com/spreadsheets/d/14deopnvwcrKtEGCKuYXdUHJbeLDZlkiSSWWT0g7x2pM/edit#gid=849066331"", ""LU List Maths (Filter)!A:B""), 2, FALSE),
  IFERROR(
    VLOOKUP(G4, IMPORTRANGE(""https://docs.google.com/spr"&amp;"eadsheets/d/14deopnvwcrKtEGCKuYXdUHJbeLDZlkiSSWWT0g7x2pM/edit#gid=849066331"", ""LU List Science (Filter)!A:B""), 2, FALSE),
    ""Not Found""
  )
)
"),"Transpiration in Plants - Necessary Evil and its Mechanism")</f>
        <v>Transpiration in Plants - Necessary Evil and its Mechanism</v>
      </c>
      <c r="I4" s="2"/>
      <c r="J4" s="1" t="str">
        <f t="shared" si="0"/>
        <v>LU005463.001</v>
      </c>
      <c r="K4" s="1" t="str">
        <f ca="1">IFERROR(__xludf.dummyfunction("VLOOKUP(J4, IMPORTRANGE(""https://docs.google.com/spreadsheets/d/1yDAaXNsi4Mr5FtRQL4tbmSdIzhx6_m4wkOD7IG-k_eo/edit#gid=1336395716"", ""Science!M:N""), 2, FALSE)"),"Recall the definition of transpiration in plants and its significance as a ""necessary evil.""")</f>
        <v>Recall the definition of transpiration in plants and its significance as a "necessary evil."</v>
      </c>
      <c r="L4" s="1" t="str">
        <f t="shared" si="1"/>
        <v>LU005463.002</v>
      </c>
      <c r="M4" s="1" t="str">
        <f ca="1">IFERROR(__xludf.dummyfunction("VLOOKUP(L4, IMPORTRANGE(""https://docs.google.com/spreadsheets/d/1yDAaXNsi4Mr5FtRQL4tbmSdIzhx6_m4wkOD7IG-k_eo/edit#gid=1336395716"", ""Science!M:N""), 2, FALSE)"),"Explain the concept of transpiration as a crucial process for plants despite its potential drawbacks.")</f>
        <v>Explain the concept of transpiration as a crucial process for plants despite its potential drawbacks.</v>
      </c>
      <c r="N4" s="1" t="str">
        <f t="shared" si="2"/>
        <v>LU005463.003</v>
      </c>
      <c r="O4" s="1" t="str">
        <f ca="1">IFERROR(__xludf.dummyfunction("VLOOKUP(N4, IMPORTRANGE(""https://docs.google.com/spreadsheets/d/1yDAaXNsi4Mr5FtRQL4tbmSdIzhx6_m4wkOD7IG-k_eo/edit#gid=1336395716"", ""Science!M:N""), 2, FALSE)"),"Apply your understanding to describe the mechanism of transpiration, including how water vapor is lost through stomata and the role of guard cells in regulating this process.")</f>
        <v>Apply your understanding to describe the mechanism of transpiration, including how water vapor is lost through stomata and the role of guard cells in regulating this process.</v>
      </c>
      <c r="P4" s="1" t="str">
        <f t="shared" si="3"/>
        <v>LU005463.004</v>
      </c>
      <c r="Q4" s="15" t="str">
        <f ca="1">IFERROR(__xludf.dummyfunction("VLOOKUP(P4, IMPORTRANGE(""https://docs.google.com/spreadsheets/d/1yDAaXNsi4Mr5FtRQL4tbmSdIzhx6_m4wkOD7IG-k_eo/edit#gid=1336395716"", ""Science!M:N""), 2, FALSE)"),"Analyze the trade-offs of transpiration, discussing its benefits in terms of water and nutrient movement against the potential risks of excessive water loss.")</f>
        <v>Analyze the trade-offs of transpiration, discussing its benefits in terms of water and nutrient movement against the potential risks of excessive water loss.</v>
      </c>
      <c r="R4" s="1" t="str">
        <f t="shared" si="4"/>
        <v>LU005463.005</v>
      </c>
      <c r="S4" s="15" t="str">
        <f ca="1">IFERROR(__xludf.dummyfunction("VLOOKUP(R4, IMPORTRANGE(""https://docs.google.com/spreadsheets/d/1yDAaXNsi4Mr5FtRQL4tbmSdIzhx6_m4wkOD7IG-k_eo/edit#gid=1336395716"", ""Science!M:N""), 2, FALSE)"),"Evaluate the impact of environmental conditions on transpiration rates and plant health, discussing scenarios where transpiration becomes a challenge or advantage for plants.")</f>
        <v>Evaluate the impact of environmental conditions on transpiration rates and plant health, discussing scenarios where transpiration becomes a challenge or advantage for plants.</v>
      </c>
      <c r="T4" s="1" t="str">
        <f t="shared" si="5"/>
        <v>LU005463.006</v>
      </c>
      <c r="U4" s="15" t="str">
        <f ca="1">IFERROR(__xludf.dummyfunction("VLOOKUP(T4, IMPORTRANGE(""https://docs.google.com/spreadsheets/d/1yDAaXNsi4Mr5FtRQL4tbmSdIzhx6_m4wkOD7IG-k_eo/edit#gid=1336395716"", ""Science!M:N""), 2, FALSE)"),"#N/A")</f>
        <v>#N/A</v>
      </c>
      <c r="V4" s="16">
        <f ca="1">IFERROR(__xludf.dummyfunction("ArrayFormula(VLOOKUP(G4, IMPORTRANGE(""https://docs.google.com/spreadsheets/d/1p7R4vtkWt5VOBim4ltsDG9KTzSjrtKXsMtQGXPHyND0/edit#gid=795171502"", ""'Filter 30_05_2024'!A1:M2000""), {2, 3, 4, 5,6,7,8,9,10,11,12,13}, 0))"),3)</f>
        <v>3</v>
      </c>
      <c r="W4" s="16">
        <f ca="1">IFERROR(__xludf.dummyfunction("""COMPUTED_VALUE"""),6)</f>
        <v>6</v>
      </c>
      <c r="X4" s="16">
        <f ca="1">IFERROR(__xludf.dummyfunction("""COMPUTED_VALUE"""),4)</f>
        <v>4</v>
      </c>
      <c r="Y4" s="16">
        <f ca="1">IFERROR(__xludf.dummyfunction("""COMPUTED_VALUE"""),13)</f>
        <v>13</v>
      </c>
      <c r="Z4" s="16">
        <f ca="1">IFERROR(__xludf.dummyfunction("""COMPUTED_VALUE"""),5)</f>
        <v>5</v>
      </c>
      <c r="AA4" s="17">
        <f ca="1">IFERROR(__xludf.dummyfunction("""COMPUTED_VALUE"""),3)</f>
        <v>3</v>
      </c>
      <c r="AB4" s="17"/>
      <c r="AC4" s="17">
        <f ca="1">IFERROR(__xludf.dummyfunction("""COMPUTED_VALUE"""),8)</f>
        <v>8</v>
      </c>
      <c r="AD4" s="2"/>
      <c r="AE4" s="2"/>
      <c r="AF4" s="2"/>
      <c r="AG4" s="2"/>
    </row>
    <row r="5" spans="1:33" ht="27.6">
      <c r="A5" s="1"/>
      <c r="B5" s="1" t="s">
        <v>29</v>
      </c>
      <c r="C5" s="13">
        <v>8</v>
      </c>
      <c r="D5" s="2" t="s">
        <v>1475</v>
      </c>
      <c r="E5" s="1" t="s">
        <v>1283</v>
      </c>
      <c r="F5" s="1" t="s">
        <v>1482</v>
      </c>
      <c r="G5" s="14" t="s">
        <v>1484</v>
      </c>
      <c r="H5" s="18" t="str">
        <f ca="1">IFERROR(__xludf.dummyfunction("IFERROR(
  VLOOKUP(G5, IMPORTRANGE(""https://docs.google.com/spreadsheets/d/14deopnvwcrKtEGCKuYXdUHJbeLDZlkiSSWWT0g7x2pM/edit#gid=849066331"", ""LU List Maths (Filter)!A:B""), 2, FALSE),
  IFERROR(
    VLOOKUP(G5, IMPORTRANGE(""https://docs.google.com/spr"&amp;"eadsheets/d/14deopnvwcrKtEGCKuYXdUHJbeLDZlkiSSWWT0g7x2pM/edit#gid=849066331"", ""LU List Science (Filter)!A:B""), 2, FALSE),
    ""Not Found""
  )
)
"),"Factors affecting transpiration")</f>
        <v>Factors affecting transpiration</v>
      </c>
      <c r="I5" s="2" t="s">
        <v>1485</v>
      </c>
      <c r="J5" s="1" t="str">
        <f t="shared" si="0"/>
        <v>LU006638.001</v>
      </c>
      <c r="K5" s="1" t="str">
        <f ca="1">IFERROR(__xludf.dummyfunction("VLOOKUP(J5, IMPORTRANGE(""https://docs.google.com/spreadsheets/d/1yDAaXNsi4Mr5FtRQL4tbmSdIzhx6_m4wkOD7IG-k_eo/edit#gid=1336395716"", ""Science!M:N""), 2, FALSE)"),"(LU006638.001); Default - Remember")</f>
        <v>(LU006638.001); Default - Remember</v>
      </c>
      <c r="L5" s="1" t="str">
        <f t="shared" si="1"/>
        <v>LU006638.002</v>
      </c>
      <c r="M5" s="1" t="str">
        <f ca="1">IFERROR(__xludf.dummyfunction("VLOOKUP(L5, IMPORTRANGE(""https://docs.google.com/spreadsheets/d/1yDAaXNsi4Mr5FtRQL4tbmSdIzhx6_m4wkOD7IG-k_eo/edit#gid=1336395716"", ""Science!M:N""), 2, FALSE)"),"(LU006638.002); Default - Understand")</f>
        <v>(LU006638.002); Default - Understand</v>
      </c>
      <c r="N5" s="1" t="str">
        <f t="shared" si="2"/>
        <v>LU006638.003</v>
      </c>
      <c r="O5" s="1" t="str">
        <f ca="1">IFERROR(__xludf.dummyfunction("VLOOKUP(N5, IMPORTRANGE(""https://docs.google.com/spreadsheets/d/1yDAaXNsi4Mr5FtRQL4tbmSdIzhx6_m4wkOD7IG-k_eo/edit#gid=1336395716"", ""Science!M:N""), 2, FALSE)"),"(LU006638.003); Default - Apply")</f>
        <v>(LU006638.003); Default - Apply</v>
      </c>
      <c r="P5" s="1" t="str">
        <f t="shared" si="3"/>
        <v>LU006638.004</v>
      </c>
      <c r="Q5" s="15" t="str">
        <f ca="1">IFERROR(__xludf.dummyfunction("VLOOKUP(P5, IMPORTRANGE(""https://docs.google.com/spreadsheets/d/1yDAaXNsi4Mr5FtRQL4tbmSdIzhx6_m4wkOD7IG-k_eo/edit#gid=1336395716"", ""Science!M:N""), 2, FALSE)"),"(LU006638.004); Default - Analyse")</f>
        <v>(LU006638.004); Default - Analyse</v>
      </c>
      <c r="R5" s="1" t="str">
        <f t="shared" si="4"/>
        <v>LU006638.005</v>
      </c>
      <c r="S5" s="15" t="str">
        <f ca="1">IFERROR(__xludf.dummyfunction("VLOOKUP(R5, IMPORTRANGE(""https://docs.google.com/spreadsheets/d/1yDAaXNsi4Mr5FtRQL4tbmSdIzhx6_m4wkOD7IG-k_eo/edit#gid=1336395716"", ""Science!M:N""), 2, FALSE)"),"(LU006638.005); Default - Evaluate")</f>
        <v>(LU006638.005); Default - Evaluate</v>
      </c>
      <c r="T5" s="1" t="str">
        <f t="shared" si="5"/>
        <v>LU006638.006</v>
      </c>
      <c r="U5" s="15" t="str">
        <f ca="1">IFERROR(__xludf.dummyfunction("VLOOKUP(T5, IMPORTRANGE(""https://docs.google.com/spreadsheets/d/1yDAaXNsi4Mr5FtRQL4tbmSdIzhx6_m4wkOD7IG-k_eo/edit#gid=1336395716"", ""Science!M:N""), 2, FALSE)"),"(LU006638.006); Default - Create")</f>
        <v>(LU006638.006); Default - Create</v>
      </c>
      <c r="V5" s="16" t="str">
        <f ca="1">IFERROR(__xludf.dummyfunction("ArrayFormula(VLOOKUP(G5, IMPORTRANGE(""https://docs.google.com/spreadsheets/d/1p7R4vtkWt5VOBim4ltsDG9KTzSjrtKXsMtQGXPHyND0/edit#gid=795171502"", ""'Filter 30_05_2024'!A1:M2000""), {2, 3, 4, 5,6,7,8,9,10,11,12,13}, 0))"),"#N/A")</f>
        <v>#N/A</v>
      </c>
      <c r="W5" s="16" t="str">
        <f ca="1">IFERROR(__xludf.dummyfunction("""COMPUTED_VALUE"""),"#N/A")</f>
        <v>#N/A</v>
      </c>
      <c r="X5" s="16" t="str">
        <f ca="1">IFERROR(__xludf.dummyfunction("""COMPUTED_VALUE"""),"#N/A")</f>
        <v>#N/A</v>
      </c>
      <c r="Y5" s="16" t="str">
        <f ca="1">IFERROR(__xludf.dummyfunction("""COMPUTED_VALUE"""),"#N/A")</f>
        <v>#N/A</v>
      </c>
      <c r="Z5" s="16" t="str">
        <f ca="1">IFERROR(__xludf.dummyfunction("""COMPUTED_VALUE"""),"#N/A")</f>
        <v>#N/A</v>
      </c>
      <c r="AA5" s="17" t="str">
        <f ca="1">IFERROR(__xludf.dummyfunction("""COMPUTED_VALUE"""),"#N/A")</f>
        <v>#N/A</v>
      </c>
      <c r="AB5" s="17" t="str">
        <f ca="1">IFERROR(__xludf.dummyfunction("""COMPUTED_VALUE"""),"#N/A")</f>
        <v>#N/A</v>
      </c>
      <c r="AC5" s="17" t="str">
        <f ca="1">IFERROR(__xludf.dummyfunction("""COMPUTED_VALUE"""),"#N/A")</f>
        <v>#N/A</v>
      </c>
      <c r="AD5" s="2" t="str">
        <f ca="1">IFERROR(__xludf.dummyfunction("""COMPUTED_VALUE"""),"#N/A")</f>
        <v>#N/A</v>
      </c>
      <c r="AE5" s="2" t="str">
        <f ca="1">IFERROR(__xludf.dummyfunction("""COMPUTED_VALUE"""),"#N/A")</f>
        <v>#N/A</v>
      </c>
      <c r="AF5" s="2" t="str">
        <f ca="1">IFERROR(__xludf.dummyfunction("""COMPUTED_VALUE"""),"#N/A")</f>
        <v>#N/A</v>
      </c>
      <c r="AG5" s="2" t="str">
        <f ca="1">IFERROR(__xludf.dummyfunction("""COMPUTED_VALUE"""),"#N/A")</f>
        <v>#N/A</v>
      </c>
    </row>
    <row r="6" spans="1:33" ht="27.6">
      <c r="A6" s="1"/>
      <c r="B6" s="1" t="s">
        <v>29</v>
      </c>
      <c r="C6" s="13">
        <v>8</v>
      </c>
      <c r="D6" s="2" t="s">
        <v>1475</v>
      </c>
      <c r="E6" s="1" t="s">
        <v>1283</v>
      </c>
      <c r="F6" s="1" t="s">
        <v>1486</v>
      </c>
      <c r="G6" s="14" t="s">
        <v>1487</v>
      </c>
      <c r="H6" s="18" t="str">
        <f ca="1">IFERROR(__xludf.dummyfunction("IFERROR(
  VLOOKUP(G6, IMPORTRANGE(""https://docs.google.com/spreadsheets/d/14deopnvwcrKtEGCKuYXdUHJbeLDZlkiSSWWT0g7x2pM/edit#gid=849066331"", ""LU List Maths (Filter)!A:B""), 2, FALSE),
  IFERROR(
    VLOOKUP(G6, IMPORTRANGE(""https://docs.google.com/spr"&amp;"eadsheets/d/14deopnvwcrKtEGCKuYXdUHJbeLDZlkiSSWWT0g7x2pM/edit#gid=849066331"", ""LU List Science (Filter)!A:B""), 2, FALSE),
    ""Not Found""
  )
)
"),"Structure and function of xylem and phloem")</f>
        <v>Structure and function of xylem and phloem</v>
      </c>
      <c r="I6" s="2" t="s">
        <v>1488</v>
      </c>
      <c r="J6" s="1" t="str">
        <f t="shared" si="0"/>
        <v>LU006639.001</v>
      </c>
      <c r="K6" s="1" t="str">
        <f ca="1">IFERROR(__xludf.dummyfunction("VLOOKUP(J6, IMPORTRANGE(""https://docs.google.com/spreadsheets/d/1yDAaXNsi4Mr5FtRQL4tbmSdIzhx6_m4wkOD7IG-k_eo/edit#gid=1336395716"", ""Science!M:N""), 2, FALSE)"),"(LU006639.001); Default - Remember")</f>
        <v>(LU006639.001); Default - Remember</v>
      </c>
      <c r="L6" s="1" t="str">
        <f t="shared" si="1"/>
        <v>LU006639.002</v>
      </c>
      <c r="M6" s="1" t="str">
        <f ca="1">IFERROR(__xludf.dummyfunction("VLOOKUP(L6, IMPORTRANGE(""https://docs.google.com/spreadsheets/d/1yDAaXNsi4Mr5FtRQL4tbmSdIzhx6_m4wkOD7IG-k_eo/edit#gid=1336395716"", ""Science!M:N""), 2, FALSE)"),"(LU006639.002); Default - Understand")</f>
        <v>(LU006639.002); Default - Understand</v>
      </c>
      <c r="N6" s="1" t="str">
        <f t="shared" si="2"/>
        <v>LU006639.003</v>
      </c>
      <c r="O6" s="1" t="str">
        <f ca="1">IFERROR(__xludf.dummyfunction("VLOOKUP(N6, IMPORTRANGE(""https://docs.google.com/spreadsheets/d/1yDAaXNsi4Mr5FtRQL4tbmSdIzhx6_m4wkOD7IG-k_eo/edit#gid=1336395716"", ""Science!M:N""), 2, FALSE)"),"(LU006639.003); Default - Apply")</f>
        <v>(LU006639.003); Default - Apply</v>
      </c>
      <c r="P6" s="1" t="str">
        <f t="shared" si="3"/>
        <v>LU006639.004</v>
      </c>
      <c r="Q6" s="15" t="str">
        <f ca="1">IFERROR(__xludf.dummyfunction("VLOOKUP(P6, IMPORTRANGE(""https://docs.google.com/spreadsheets/d/1yDAaXNsi4Mr5FtRQL4tbmSdIzhx6_m4wkOD7IG-k_eo/edit#gid=1336395716"", ""Science!M:N""), 2, FALSE)"),"(LU006639.004); Default - Analyse")</f>
        <v>(LU006639.004); Default - Analyse</v>
      </c>
      <c r="R6" s="1" t="str">
        <f t="shared" si="4"/>
        <v>LU006639.005</v>
      </c>
      <c r="S6" s="15" t="str">
        <f ca="1">IFERROR(__xludf.dummyfunction("VLOOKUP(R6, IMPORTRANGE(""https://docs.google.com/spreadsheets/d/1yDAaXNsi4Mr5FtRQL4tbmSdIzhx6_m4wkOD7IG-k_eo/edit#gid=1336395716"", ""Science!M:N""), 2, FALSE)"),"(LU006639.005); Default - Evaluate")</f>
        <v>(LU006639.005); Default - Evaluate</v>
      </c>
      <c r="T6" s="1" t="str">
        <f t="shared" si="5"/>
        <v>LU006639.006</v>
      </c>
      <c r="U6" s="15" t="str">
        <f ca="1">IFERROR(__xludf.dummyfunction("VLOOKUP(T6, IMPORTRANGE(""https://docs.google.com/spreadsheets/d/1yDAaXNsi4Mr5FtRQL4tbmSdIzhx6_m4wkOD7IG-k_eo/edit#gid=1336395716"", ""Science!M:N""), 2, FALSE)"),"(LU006639.006); Default - Create")</f>
        <v>(LU006639.006); Default - Create</v>
      </c>
      <c r="V6" s="16" t="str">
        <f ca="1">IFERROR(__xludf.dummyfunction("ArrayFormula(VLOOKUP(G6, IMPORTRANGE(""https://docs.google.com/spreadsheets/d/1p7R4vtkWt5VOBim4ltsDG9KTzSjrtKXsMtQGXPHyND0/edit#gid=795171502"", ""'Filter 30_05_2024'!A1:M2000""), {2, 3, 4, 5,6,7,8,9,10,11,12,13}, 0))"),"#N/A")</f>
        <v>#N/A</v>
      </c>
      <c r="W6" s="16" t="str">
        <f ca="1">IFERROR(__xludf.dummyfunction("""COMPUTED_VALUE"""),"#N/A")</f>
        <v>#N/A</v>
      </c>
      <c r="X6" s="16" t="str">
        <f ca="1">IFERROR(__xludf.dummyfunction("""COMPUTED_VALUE"""),"#N/A")</f>
        <v>#N/A</v>
      </c>
      <c r="Y6" s="16" t="str">
        <f ca="1">IFERROR(__xludf.dummyfunction("""COMPUTED_VALUE"""),"#N/A")</f>
        <v>#N/A</v>
      </c>
      <c r="Z6" s="16" t="str">
        <f ca="1">IFERROR(__xludf.dummyfunction("""COMPUTED_VALUE"""),"#N/A")</f>
        <v>#N/A</v>
      </c>
      <c r="AA6" s="17" t="str">
        <f ca="1">IFERROR(__xludf.dummyfunction("""COMPUTED_VALUE"""),"#N/A")</f>
        <v>#N/A</v>
      </c>
      <c r="AB6" s="17" t="str">
        <f ca="1">IFERROR(__xludf.dummyfunction("""COMPUTED_VALUE"""),"#N/A")</f>
        <v>#N/A</v>
      </c>
      <c r="AC6" s="17" t="str">
        <f ca="1">IFERROR(__xludf.dummyfunction("""COMPUTED_VALUE"""),"#N/A")</f>
        <v>#N/A</v>
      </c>
      <c r="AD6" s="2" t="str">
        <f ca="1">IFERROR(__xludf.dummyfunction("""COMPUTED_VALUE"""),"#N/A")</f>
        <v>#N/A</v>
      </c>
      <c r="AE6" s="2" t="str">
        <f ca="1">IFERROR(__xludf.dummyfunction("""COMPUTED_VALUE"""),"#N/A")</f>
        <v>#N/A</v>
      </c>
      <c r="AF6" s="2" t="str">
        <f ca="1">IFERROR(__xludf.dummyfunction("""COMPUTED_VALUE"""),"#N/A")</f>
        <v>#N/A</v>
      </c>
      <c r="AG6" s="2" t="str">
        <f ca="1">IFERROR(__xludf.dummyfunction("""COMPUTED_VALUE"""),"#N/A")</f>
        <v>#N/A</v>
      </c>
    </row>
    <row r="7" spans="1:33" ht="27.6">
      <c r="A7" s="1"/>
      <c r="B7" s="1" t="s">
        <v>29</v>
      </c>
      <c r="C7" s="13">
        <v>8</v>
      </c>
      <c r="D7" s="2" t="s">
        <v>1475</v>
      </c>
      <c r="E7" s="1" t="s">
        <v>1283</v>
      </c>
      <c r="F7" s="1" t="s">
        <v>1489</v>
      </c>
      <c r="G7" s="14" t="s">
        <v>1490</v>
      </c>
      <c r="H7" s="18" t="str">
        <f ca="1">IFERROR(__xludf.dummyfunction("IFERROR(
  VLOOKUP(G7, IMPORTRANGE(""https://docs.google.com/spreadsheets/d/14deopnvwcrKtEGCKuYXdUHJbeLDZlkiSSWWT0g7x2pM/edit#gid=849066331"", ""LU List Maths (Filter)!A:B""), 2, FALSE),
  IFERROR(
    VLOOKUP(G7, IMPORTRANGE(""https://docs.google.com/spr"&amp;"eadsheets/d/14deopnvwcrKtEGCKuYXdUHJbeLDZlkiSSWWT0g7x2pM/edit#gid=849066331"", ""LU List Science (Filter)!A:B""), 2, FALSE),
    ""Not Found""
  )
)
"),"Importance of macro and micronutrients")</f>
        <v>Importance of macro and micronutrients</v>
      </c>
      <c r="I7" s="2" t="s">
        <v>1491</v>
      </c>
      <c r="J7" s="1" t="str">
        <f t="shared" si="0"/>
        <v>LU006640.001</v>
      </c>
      <c r="K7" s="1" t="str">
        <f ca="1">IFERROR(__xludf.dummyfunction("VLOOKUP(J7, IMPORTRANGE(""https://docs.google.com/spreadsheets/d/1yDAaXNsi4Mr5FtRQL4tbmSdIzhx6_m4wkOD7IG-k_eo/edit#gid=1336395716"", ""Science!M:N""), 2, FALSE)"),"(LU006640.001); Default - Remember")</f>
        <v>(LU006640.001); Default - Remember</v>
      </c>
      <c r="L7" s="1" t="str">
        <f t="shared" si="1"/>
        <v>LU006640.002</v>
      </c>
      <c r="M7" s="1" t="str">
        <f ca="1">IFERROR(__xludf.dummyfunction("VLOOKUP(L7, IMPORTRANGE(""https://docs.google.com/spreadsheets/d/1yDAaXNsi4Mr5FtRQL4tbmSdIzhx6_m4wkOD7IG-k_eo/edit#gid=1336395716"", ""Science!M:N""), 2, FALSE)"),"(LU006640.002); Default - Understand")</f>
        <v>(LU006640.002); Default - Understand</v>
      </c>
      <c r="N7" s="1" t="str">
        <f t="shared" si="2"/>
        <v>LU006640.003</v>
      </c>
      <c r="O7" s="1" t="str">
        <f ca="1">IFERROR(__xludf.dummyfunction("VLOOKUP(N7, IMPORTRANGE(""https://docs.google.com/spreadsheets/d/1yDAaXNsi4Mr5FtRQL4tbmSdIzhx6_m4wkOD7IG-k_eo/edit#gid=1336395716"", ""Science!M:N""), 2, FALSE)"),"(LU006640.003); Default - Apply")</f>
        <v>(LU006640.003); Default - Apply</v>
      </c>
      <c r="P7" s="1" t="str">
        <f t="shared" si="3"/>
        <v>LU006640.004</v>
      </c>
      <c r="Q7" s="15" t="str">
        <f ca="1">IFERROR(__xludf.dummyfunction("VLOOKUP(P7, IMPORTRANGE(""https://docs.google.com/spreadsheets/d/1yDAaXNsi4Mr5FtRQL4tbmSdIzhx6_m4wkOD7IG-k_eo/edit#gid=1336395716"", ""Science!M:N""), 2, FALSE)"),"(LU006640.004); Default - Analyse")</f>
        <v>(LU006640.004); Default - Analyse</v>
      </c>
      <c r="R7" s="1" t="str">
        <f t="shared" si="4"/>
        <v>LU006640.005</v>
      </c>
      <c r="S7" s="15" t="str">
        <f ca="1">IFERROR(__xludf.dummyfunction("VLOOKUP(R7, IMPORTRANGE(""https://docs.google.com/spreadsheets/d/1yDAaXNsi4Mr5FtRQL4tbmSdIzhx6_m4wkOD7IG-k_eo/edit#gid=1336395716"", ""Science!M:N""), 2, FALSE)"),"(LU006640.005); Default - Evaluate")</f>
        <v>(LU006640.005); Default - Evaluate</v>
      </c>
      <c r="T7" s="1" t="str">
        <f t="shared" si="5"/>
        <v>LU006640.006</v>
      </c>
      <c r="U7" s="15" t="str">
        <f ca="1">IFERROR(__xludf.dummyfunction("VLOOKUP(T7, IMPORTRANGE(""https://docs.google.com/spreadsheets/d/1yDAaXNsi4Mr5FtRQL4tbmSdIzhx6_m4wkOD7IG-k_eo/edit#gid=1336395716"", ""Science!M:N""), 2, FALSE)"),"(LU006640.006); Default - Create")</f>
        <v>(LU006640.006); Default - Create</v>
      </c>
      <c r="V7" s="16" t="str">
        <f ca="1">IFERROR(__xludf.dummyfunction("ArrayFormula(VLOOKUP(G7, IMPORTRANGE(""https://docs.google.com/spreadsheets/d/1p7R4vtkWt5VOBim4ltsDG9KTzSjrtKXsMtQGXPHyND0/edit#gid=795171502"", ""'Filter 30_05_2024'!A1:M2000""), {2, 3, 4, 5,6,7,8,9,10,11,12,13}, 0))"),"#N/A")</f>
        <v>#N/A</v>
      </c>
      <c r="W7" s="16" t="str">
        <f ca="1">IFERROR(__xludf.dummyfunction("""COMPUTED_VALUE"""),"#N/A")</f>
        <v>#N/A</v>
      </c>
      <c r="X7" s="16" t="str">
        <f ca="1">IFERROR(__xludf.dummyfunction("""COMPUTED_VALUE"""),"#N/A")</f>
        <v>#N/A</v>
      </c>
      <c r="Y7" s="16" t="str">
        <f ca="1">IFERROR(__xludf.dummyfunction("""COMPUTED_VALUE"""),"#N/A")</f>
        <v>#N/A</v>
      </c>
      <c r="Z7" s="16" t="str">
        <f ca="1">IFERROR(__xludf.dummyfunction("""COMPUTED_VALUE"""),"#N/A")</f>
        <v>#N/A</v>
      </c>
      <c r="AA7" s="17" t="str">
        <f ca="1">IFERROR(__xludf.dummyfunction("""COMPUTED_VALUE"""),"#N/A")</f>
        <v>#N/A</v>
      </c>
      <c r="AB7" s="17" t="str">
        <f ca="1">IFERROR(__xludf.dummyfunction("""COMPUTED_VALUE"""),"#N/A")</f>
        <v>#N/A</v>
      </c>
      <c r="AC7" s="17" t="str">
        <f ca="1">IFERROR(__xludf.dummyfunction("""COMPUTED_VALUE"""),"#N/A")</f>
        <v>#N/A</v>
      </c>
      <c r="AD7" s="2" t="str">
        <f ca="1">IFERROR(__xludf.dummyfunction("""COMPUTED_VALUE"""),"#N/A")</f>
        <v>#N/A</v>
      </c>
      <c r="AE7" s="2" t="str">
        <f ca="1">IFERROR(__xludf.dummyfunction("""COMPUTED_VALUE"""),"#N/A")</f>
        <v>#N/A</v>
      </c>
      <c r="AF7" s="2" t="str">
        <f ca="1">IFERROR(__xludf.dummyfunction("""COMPUTED_VALUE"""),"#N/A")</f>
        <v>#N/A</v>
      </c>
      <c r="AG7" s="2" t="str">
        <f ca="1">IFERROR(__xludf.dummyfunction("""COMPUTED_VALUE"""),"#N/A")</f>
        <v>#N/A</v>
      </c>
    </row>
    <row r="8" spans="1:33" ht="41.4">
      <c r="A8" s="1"/>
      <c r="B8" s="1" t="s">
        <v>29</v>
      </c>
      <c r="C8" s="13">
        <v>8</v>
      </c>
      <c r="D8" s="2" t="s">
        <v>1492</v>
      </c>
      <c r="E8" s="1" t="s">
        <v>1283</v>
      </c>
      <c r="F8" s="1" t="s">
        <v>1493</v>
      </c>
      <c r="G8" s="1" t="s">
        <v>1494</v>
      </c>
      <c r="H8" s="18" t="str">
        <f ca="1">IFERROR(__xludf.dummyfunction("IFERROR(
  VLOOKUP(G8, IMPORTRANGE(""https://docs.google.com/spreadsheets/d/14deopnvwcrKtEGCKuYXdUHJbeLDZlkiSSWWT0g7x2pM/edit#gid=849066331"", ""LU List Maths (Filter)!A:B""), 2, FALSE),
  IFERROR(
    VLOOKUP(G8, IMPORTRANGE(""https://docs.google.com/spr"&amp;"eadsheets/d/14deopnvwcrKtEGCKuYXdUHJbeLDZlkiSSWWT0g7x2pM/edit#gid=849066331"", ""LU List Science (Filter)!A:B""), 2, FALSE),
    ""Not Found""
  )
)
"),"Definition of reproduction in plants")</f>
        <v>Definition of reproduction in plants</v>
      </c>
      <c r="I8" s="2"/>
      <c r="J8" s="1" t="str">
        <f t="shared" si="0"/>
        <v>LU005419.001</v>
      </c>
      <c r="K8" s="1" t="str">
        <f ca="1">IFERROR(__xludf.dummyfunction("VLOOKUP(J8, IMPORTRANGE(""https://docs.google.com/spreadsheets/d/1yDAaXNsi4Mr5FtRQL4tbmSdIzhx6_m4wkOD7IG-k_eo/edit#gid=1336395716"", ""Science!M:N""), 2, FALSE)"),"Students will state the definition of reproduction and list the different ways plants can reproduce.")</f>
        <v>Students will state the definition of reproduction and list the different ways plants can reproduce.</v>
      </c>
      <c r="L8" s="1" t="str">
        <f t="shared" si="1"/>
        <v>LU005419.002</v>
      </c>
      <c r="M8" s="1" t="str">
        <f ca="1">IFERROR(__xludf.dummyfunction("VLOOKUP(L8, IMPORTRANGE(""https://docs.google.com/spreadsheets/d/1yDAaXNsi4Mr5FtRQL4tbmSdIzhx6_m4wkOD7IG-k_eo/edit#gid=1336395716"", ""Science!M:N""), 2, FALSE)"),"Students will briefly explain the different ways of reproduction in plants. ")</f>
        <v xml:space="preserve">Students will briefly explain the different ways of reproduction in plants. </v>
      </c>
      <c r="N8" s="1" t="str">
        <f t="shared" si="2"/>
        <v>LU005419.003</v>
      </c>
      <c r="O8" s="1" t="str">
        <f ca="1">IFERROR(__xludf.dummyfunction("VLOOKUP(N8, IMPORTRANGE(""https://docs.google.com/spreadsheets/d/1yDAaXNsi4Mr5FtRQL4tbmSdIzhx6_m4wkOD7IG-k_eo/edit#gid=1336395716"", ""Science!M:N""), 2, FALSE)"),"Students will match various plants to the corresponding method of reproduction they utilize, whether sexual or asexual.")</f>
        <v>Students will match various plants to the corresponding method of reproduction they utilize, whether sexual or asexual.</v>
      </c>
      <c r="P8" s="1" t="str">
        <f t="shared" si="3"/>
        <v>LU005419.004</v>
      </c>
      <c r="Q8" s="15" t="str">
        <f ca="1">IFERROR(__xludf.dummyfunction("VLOOKUP(P8, IMPORTRANGE(""https://docs.google.com/spreadsheets/d/1yDAaXNsi4Mr5FtRQL4tbmSdIzhx6_m4wkOD7IG-k_eo/edit#gid=1336395716"", ""Science!M:N""), 2, FALSE)"),"Students will distinguish between the reproductive and vegetative parts of plants, providing specific examples of each.")</f>
        <v>Students will distinguish between the reproductive and vegetative parts of plants, providing specific examples of each.</v>
      </c>
      <c r="R8" s="1" t="str">
        <f t="shared" si="4"/>
        <v>LU005419.005</v>
      </c>
      <c r="S8" s="15" t="str">
        <f ca="1">IFERROR(__xludf.dummyfunction("VLOOKUP(R8, IMPORTRANGE(""https://docs.google.com/spreadsheets/d/1yDAaXNsi4Mr5FtRQL4tbmSdIzhx6_m4wkOD7IG-k_eo/edit#gid=1336395716"", ""Science!M:N""), 2, FALSE)"),"Students will critique the advantages and disadvantages of different reproductive strategies used by plants.")</f>
        <v>Students will critique the advantages and disadvantages of different reproductive strategies used by plants.</v>
      </c>
      <c r="T8" s="1" t="str">
        <f t="shared" si="5"/>
        <v>LU005419.006</v>
      </c>
      <c r="U8" s="15" t="str">
        <f ca="1">IFERROR(__xludf.dummyfunction("VLOOKUP(T8, IMPORTRANGE(""https://docs.google.com/spreadsheets/d/1yDAaXNsi4Mr5FtRQL4tbmSdIzhx6_m4wkOD7IG-k_eo/edit#gid=1336395716"", ""Science!M:N""), 2, FALSE)"),"#N/A")</f>
        <v>#N/A</v>
      </c>
      <c r="V8" s="16">
        <f ca="1">IFERROR(__xludf.dummyfunction("ArrayFormula(VLOOKUP(G8, IMPORTRANGE(""https://docs.google.com/spreadsheets/d/1p7R4vtkWt5VOBim4ltsDG9KTzSjrtKXsMtQGXPHyND0/edit#gid=795171502"", ""'Filter 30_05_2024'!A1:M2000""), {2, 3, 4, 5,6,7,8,9,10,11,12,13}, 0))"),15)</f>
        <v>15</v>
      </c>
      <c r="W8" s="16">
        <f ca="1">IFERROR(__xludf.dummyfunction("""COMPUTED_VALUE"""),7)</f>
        <v>7</v>
      </c>
      <c r="X8" s="16">
        <f ca="1">IFERROR(__xludf.dummyfunction("""COMPUTED_VALUE"""),2)</f>
        <v>2</v>
      </c>
      <c r="Y8" s="16">
        <f ca="1">IFERROR(__xludf.dummyfunction("""COMPUTED_VALUE"""),24)</f>
        <v>24</v>
      </c>
      <c r="Z8" s="16">
        <f ca="1">IFERROR(__xludf.dummyfunction("""COMPUTED_VALUE"""),4)</f>
        <v>4</v>
      </c>
      <c r="AA8" s="17">
        <f ca="1">IFERROR(__xludf.dummyfunction("""COMPUTED_VALUE"""),3)</f>
        <v>3</v>
      </c>
      <c r="AB8" s="17">
        <f ca="1">IFERROR(__xludf.dummyfunction("""COMPUTED_VALUE"""),1)</f>
        <v>1</v>
      </c>
      <c r="AC8" s="17">
        <f ca="1">IFERROR(__xludf.dummyfunction("""COMPUTED_VALUE"""),8)</f>
        <v>8</v>
      </c>
      <c r="AD8" s="2"/>
      <c r="AE8" s="2"/>
      <c r="AF8" s="2"/>
      <c r="AG8" s="2"/>
    </row>
    <row r="9" spans="1:33" ht="41.4">
      <c r="A9" s="1"/>
      <c r="B9" s="1" t="s">
        <v>29</v>
      </c>
      <c r="C9" s="13">
        <v>8</v>
      </c>
      <c r="D9" s="2" t="s">
        <v>1492</v>
      </c>
      <c r="E9" s="1" t="s">
        <v>1283</v>
      </c>
      <c r="F9" s="1" t="s">
        <v>1493</v>
      </c>
      <c r="G9" s="1" t="s">
        <v>1495</v>
      </c>
      <c r="H9" s="18" t="str">
        <f ca="1">IFERROR(__xludf.dummyfunction("IFERROR(
  VLOOKUP(G9, IMPORTRANGE(""https://docs.google.com/spreadsheets/d/14deopnvwcrKtEGCKuYXdUHJbeLDZlkiSSWWT0g7x2pM/edit#gid=849066331"", ""LU List Maths (Filter)!A:B""), 2, FALSE),
  IFERROR(
    VLOOKUP(G9, IMPORTRANGE(""https://docs.google.com/spr"&amp;"eadsheets/d/14deopnvwcrKtEGCKuYXdUHJbeLDZlkiSSWWT0g7x2pM/edit#gid=849066331"", ""LU List Science (Filter)!A:B""), 2, FALSE),
    ""Not Found""
  )
)
"),"Vegetative Propagation from stem, leaves, and roots of the plant.")</f>
        <v>Vegetative Propagation from stem, leaves, and roots of the plant.</v>
      </c>
      <c r="I9" s="2"/>
      <c r="J9" s="1" t="str">
        <f t="shared" si="0"/>
        <v>LU005421.001</v>
      </c>
      <c r="K9" s="1" t="str">
        <f ca="1">IFERROR(__xludf.dummyfunction("VLOOKUP(J9, IMPORTRANGE(""https://docs.google.com/spreadsheets/d/1yDAaXNsi4Mr5FtRQL4tbmSdIzhx6_m4wkOD7IG-k_eo/edit#gid=1336395716"", ""Science!M:N""), 2, FALSE)"),"Students will name plant species that can undergo vegetative propagation through stems, leaves, and roots.")</f>
        <v>Students will name plant species that can undergo vegetative propagation through stems, leaves, and roots.</v>
      </c>
      <c r="L9" s="1" t="str">
        <f t="shared" si="1"/>
        <v>LU005421.002</v>
      </c>
      <c r="M9" s="1" t="str">
        <f ca="1">IFERROR(__xludf.dummyfunction("VLOOKUP(L9, IMPORTRANGE(""https://docs.google.com/spreadsheets/d/1yDAaXNsi4Mr5FtRQL4tbmSdIzhx6_m4wkOD7IG-k_eo/edit#gid=1336395716"", ""Science!M:N""), 2, FALSE)"),"Students will summarize the steps involved in vegetative propagation from stems, leaves, and roots.")</f>
        <v>Students will summarize the steps involved in vegetative propagation from stems, leaves, and roots.</v>
      </c>
      <c r="N9" s="1" t="str">
        <f t="shared" si="2"/>
        <v>LU005421.003</v>
      </c>
      <c r="O9" s="1" t="str">
        <f ca="1">IFERROR(__xludf.dummyfunction("VLOOKUP(N9, IMPORTRANGE(""https://docs.google.com/spreadsheets/d/1yDAaXNsi4Mr5FtRQL4tbmSdIzhx6_m4wkOD7IG-k_eo/edit#gid=1336395716"", ""Science!M:N""), 2, FALSE)"),"Students will replicate vegetative propagation using the stems, leaves, or roots of a plant.")</f>
        <v>Students will replicate vegetative propagation using the stems, leaves, or roots of a plant.</v>
      </c>
      <c r="P9" s="1" t="str">
        <f t="shared" si="3"/>
        <v>LU005421.004</v>
      </c>
      <c r="Q9" s="15" t="str">
        <f ca="1">IFERROR(__xludf.dummyfunction("VLOOKUP(P9, IMPORTRANGE(""https://docs.google.com/spreadsheets/d/1yDAaXNsi4Mr5FtRQL4tbmSdIzhx6_m4wkOD7IG-k_eo/edit#gid=1336395716"", ""Science!M:N""), 2, FALSE)"),"Students will examine the advantages and disadvantages of vegetative propagation compared to sexual reproduction in plants.")</f>
        <v>Students will examine the advantages and disadvantages of vegetative propagation compared to sexual reproduction in plants.</v>
      </c>
      <c r="R9" s="1" t="str">
        <f t="shared" si="4"/>
        <v>LU005421.005</v>
      </c>
      <c r="S9" s="15" t="str">
        <f ca="1">IFERROR(__xludf.dummyfunction("VLOOKUP(R9, IMPORTRANGE(""https://docs.google.com/spreadsheets/d/1yDAaXNsi4Mr5FtRQL4tbmSdIzhx6_m4wkOD7IG-k_eo/edit#gid=1336395716"", ""Science!M:N""), 2, FALSE)"),"Students will justify the use of vegetative propagation in agriculture and horticulture.")</f>
        <v>Students will justify the use of vegetative propagation in agriculture and horticulture.</v>
      </c>
      <c r="T9" s="1" t="str">
        <f t="shared" si="5"/>
        <v>LU005421.006</v>
      </c>
      <c r="U9" s="15" t="str">
        <f ca="1">IFERROR(__xludf.dummyfunction("VLOOKUP(T9, IMPORTRANGE(""https://docs.google.com/spreadsheets/d/1yDAaXNsi4Mr5FtRQL4tbmSdIzhx6_m4wkOD7IG-k_eo/edit#gid=1336395716"", ""Science!M:N""), 2, FALSE)"),"#N/A")</f>
        <v>#N/A</v>
      </c>
      <c r="V9" s="16">
        <f ca="1">IFERROR(__xludf.dummyfunction("ArrayFormula(VLOOKUP(G9, IMPORTRANGE(""https://docs.google.com/spreadsheets/d/1p7R4vtkWt5VOBim4ltsDG9KTzSjrtKXsMtQGXPHyND0/edit#gid=795171502"", ""'Filter 30_05_2024'!A1:M2000""), {2, 3, 4, 5,6,7,8,9,10,11,12,13}, 0))"),14)</f>
        <v>14</v>
      </c>
      <c r="W9" s="16">
        <f ca="1">IFERROR(__xludf.dummyfunction("""COMPUTED_VALUE"""),6)</f>
        <v>6</v>
      </c>
      <c r="X9" s="16">
        <f ca="1">IFERROR(__xludf.dummyfunction("""COMPUTED_VALUE"""),7)</f>
        <v>7</v>
      </c>
      <c r="Y9" s="16">
        <f ca="1">IFERROR(__xludf.dummyfunction("""COMPUTED_VALUE"""),27)</f>
        <v>27</v>
      </c>
      <c r="Z9" s="16">
        <f ca="1">IFERROR(__xludf.dummyfunction("""COMPUTED_VALUE"""),10)</f>
        <v>10</v>
      </c>
      <c r="AA9" s="17">
        <f ca="1">IFERROR(__xludf.dummyfunction("""COMPUTED_VALUE"""),3)</f>
        <v>3</v>
      </c>
      <c r="AB9" s="17">
        <f ca="1">IFERROR(__xludf.dummyfunction("""COMPUTED_VALUE"""),2)</f>
        <v>2</v>
      </c>
      <c r="AC9" s="17">
        <f ca="1">IFERROR(__xludf.dummyfunction("""COMPUTED_VALUE"""),15)</f>
        <v>15</v>
      </c>
      <c r="AD9" s="2"/>
      <c r="AE9" s="2"/>
      <c r="AF9" s="2"/>
      <c r="AG9" s="2"/>
    </row>
    <row r="10" spans="1:33" ht="27.6">
      <c r="A10" s="1"/>
      <c r="B10" s="1" t="s">
        <v>29</v>
      </c>
      <c r="C10" s="13">
        <v>8</v>
      </c>
      <c r="D10" s="2" t="s">
        <v>1492</v>
      </c>
      <c r="E10" s="1" t="s">
        <v>1283</v>
      </c>
      <c r="F10" s="1" t="s">
        <v>1493</v>
      </c>
      <c r="G10" s="107" t="s">
        <v>1496</v>
      </c>
      <c r="H10" s="18" t="str">
        <f ca="1">IFERROR(__xludf.dummyfunction("IFERROR(
  VLOOKUP(G10, IMPORTRANGE(""https://docs.google.com/spreadsheets/d/14deopnvwcrKtEGCKuYXdUHJbeLDZlkiSSWWT0g7x2pM/edit#gid=849066331"", ""LU List Maths (Filter)!A:B""), 2, FALSE),
  IFERROR(
    VLOOKUP(G10, IMPORTRANGE(""https://docs.google.com/s"&amp;"preadsheets/d/14deopnvwcrKtEGCKuYXdUHJbeLDZlkiSSWWT0g7x2pM/edit#gid=849066331"", ""LU List Science (Filter)!A:B""), 2, FALSE),
    ""Not Found""
  )
)
"),"Introduction to tissue culture")</f>
        <v>Introduction to tissue culture</v>
      </c>
      <c r="I10" s="108" t="s">
        <v>1497</v>
      </c>
      <c r="J10" s="1" t="str">
        <f t="shared" si="0"/>
        <v>LU006474.001</v>
      </c>
      <c r="K10" s="1" t="str">
        <f ca="1">IFERROR(__xludf.dummyfunction("VLOOKUP(J10, IMPORTRANGE(""https://docs.google.com/spreadsheets/d/1yDAaXNsi4Mr5FtRQL4tbmSdIzhx6_m4wkOD7IG-k_eo/edit#gid=1336395716"", ""Science!M:N""), 2, FALSE)"),"(LU006474.001); Default - Remember")</f>
        <v>(LU006474.001); Default - Remember</v>
      </c>
      <c r="L10" s="1" t="str">
        <f t="shared" si="1"/>
        <v>LU006474.002</v>
      </c>
      <c r="M10" s="1" t="str">
        <f ca="1">IFERROR(__xludf.dummyfunction("VLOOKUP(L10, IMPORTRANGE(""https://docs.google.com/spreadsheets/d/1yDAaXNsi4Mr5FtRQL4tbmSdIzhx6_m4wkOD7IG-k_eo/edit#gid=1336395716"", ""Science!M:N""), 2, FALSE)"),"(LU006474.002); Default - Understand")</f>
        <v>(LU006474.002); Default - Understand</v>
      </c>
      <c r="N10" s="1" t="str">
        <f t="shared" si="2"/>
        <v>LU006474.003</v>
      </c>
      <c r="O10" s="1" t="str">
        <f ca="1">IFERROR(__xludf.dummyfunction("VLOOKUP(N10, IMPORTRANGE(""https://docs.google.com/spreadsheets/d/1yDAaXNsi4Mr5FtRQL4tbmSdIzhx6_m4wkOD7IG-k_eo/edit#gid=1336395716"", ""Science!M:N""), 2, FALSE)"),"(LU006474.003); Default - Apply")</f>
        <v>(LU006474.003); Default - Apply</v>
      </c>
      <c r="P10" s="1" t="str">
        <f t="shared" si="3"/>
        <v>LU006474.004</v>
      </c>
      <c r="Q10" s="15" t="str">
        <f ca="1">IFERROR(__xludf.dummyfunction("VLOOKUP(P10, IMPORTRANGE(""https://docs.google.com/spreadsheets/d/1yDAaXNsi4Mr5FtRQL4tbmSdIzhx6_m4wkOD7IG-k_eo/edit#gid=1336395716"", ""Science!M:N""), 2, FALSE)"),"(LU006474.004); Default - Analyse")</f>
        <v>(LU006474.004); Default - Analyse</v>
      </c>
      <c r="R10" s="1" t="str">
        <f t="shared" si="4"/>
        <v>LU006474.005</v>
      </c>
      <c r="S10" s="15" t="str">
        <f ca="1">IFERROR(__xludf.dummyfunction("VLOOKUP(R10, IMPORTRANGE(""https://docs.google.com/spreadsheets/d/1yDAaXNsi4Mr5FtRQL4tbmSdIzhx6_m4wkOD7IG-k_eo/edit#gid=1336395716"", ""Science!M:N""), 2, FALSE)"),"(LU006474.005); Default - Evaluate")</f>
        <v>(LU006474.005); Default - Evaluate</v>
      </c>
      <c r="T10" s="1" t="str">
        <f t="shared" si="5"/>
        <v>LU006474.006</v>
      </c>
      <c r="U10" s="15" t="str">
        <f ca="1">IFERROR(__xludf.dummyfunction("VLOOKUP(T10, IMPORTRANGE(""https://docs.google.com/spreadsheets/d/1yDAaXNsi4Mr5FtRQL4tbmSdIzhx6_m4wkOD7IG-k_eo/edit#gid=1336395716"", ""Science!M:N""), 2, FALSE)"),"(LU006474.006); Default - Create")</f>
        <v>(LU006474.006); Default - Create</v>
      </c>
      <c r="V10" s="16" t="str">
        <f ca="1">IFERROR(__xludf.dummyfunction("ArrayFormula(VLOOKUP(G10, IMPORTRANGE(""https://docs.google.com/spreadsheets/d/1p7R4vtkWt5VOBim4ltsDG9KTzSjrtKXsMtQGXPHyND0/edit#gid=795171502"", ""'Filter 30_05_2024'!A1:M2000""), {2, 3, 4, 5,6,7,8,9,10,11,12,13}, 0))"),"#N/A")</f>
        <v>#N/A</v>
      </c>
      <c r="W10" s="16" t="str">
        <f ca="1">IFERROR(__xludf.dummyfunction("""COMPUTED_VALUE"""),"#N/A")</f>
        <v>#N/A</v>
      </c>
      <c r="X10" s="16" t="str">
        <f ca="1">IFERROR(__xludf.dummyfunction("""COMPUTED_VALUE"""),"#N/A")</f>
        <v>#N/A</v>
      </c>
      <c r="Y10" s="16" t="str">
        <f ca="1">IFERROR(__xludf.dummyfunction("""COMPUTED_VALUE"""),"#N/A")</f>
        <v>#N/A</v>
      </c>
      <c r="Z10" s="16" t="str">
        <f ca="1">IFERROR(__xludf.dummyfunction("""COMPUTED_VALUE"""),"#N/A")</f>
        <v>#N/A</v>
      </c>
      <c r="AA10" s="17" t="str">
        <f ca="1">IFERROR(__xludf.dummyfunction("""COMPUTED_VALUE"""),"#N/A")</f>
        <v>#N/A</v>
      </c>
      <c r="AB10" s="17" t="str">
        <f ca="1">IFERROR(__xludf.dummyfunction("""COMPUTED_VALUE"""),"#N/A")</f>
        <v>#N/A</v>
      </c>
      <c r="AC10" s="17" t="str">
        <f ca="1">IFERROR(__xludf.dummyfunction("""COMPUTED_VALUE"""),"#N/A")</f>
        <v>#N/A</v>
      </c>
      <c r="AD10" s="2" t="str">
        <f ca="1">IFERROR(__xludf.dummyfunction("""COMPUTED_VALUE"""),"#N/A")</f>
        <v>#N/A</v>
      </c>
      <c r="AE10" s="2" t="str">
        <f ca="1">IFERROR(__xludf.dummyfunction("""COMPUTED_VALUE"""),"#N/A")</f>
        <v>#N/A</v>
      </c>
      <c r="AF10" s="2" t="str">
        <f ca="1">IFERROR(__xludf.dummyfunction("""COMPUTED_VALUE"""),"#N/A")</f>
        <v>#N/A</v>
      </c>
      <c r="AG10" s="2" t="str">
        <f ca="1">IFERROR(__xludf.dummyfunction("""COMPUTED_VALUE"""),"#N/A")</f>
        <v>#N/A</v>
      </c>
    </row>
    <row r="11" spans="1:33" ht="41.4">
      <c r="A11" s="1"/>
      <c r="B11" s="1" t="s">
        <v>29</v>
      </c>
      <c r="C11" s="13">
        <v>8</v>
      </c>
      <c r="D11" s="2" t="s">
        <v>1492</v>
      </c>
      <c r="E11" s="1" t="s">
        <v>1283</v>
      </c>
      <c r="F11" s="1" t="s">
        <v>1498</v>
      </c>
      <c r="G11" s="14" t="s">
        <v>1499</v>
      </c>
      <c r="H11" s="18" t="str">
        <f ca="1">IFERROR(__xludf.dummyfunction("IFERROR(
  VLOOKUP(G11, IMPORTRANGE(""https://docs.google.com/spreadsheets/d/14deopnvwcrKtEGCKuYXdUHJbeLDZlkiSSWWT0g7x2pM/edit#gid=849066331"", ""LU List Maths (Filter)!A:B""), 2, FALSE),
  IFERROR(
    VLOOKUP(G11, IMPORTRANGE(""https://docs.google.com/s"&amp;"preadsheets/d/14deopnvwcrKtEGCKuYXdUHJbeLDZlkiSSWWT0g7x2pM/edit#gid=849066331"", ""LU List Science (Filter)!A:B""), 2, FALSE),
    ""Not Found""
  )
)
"),"Binary fission, budding, fragmentation, and spore formation for reproduction")</f>
        <v>Binary fission, budding, fragmentation, and spore formation for reproduction</v>
      </c>
      <c r="I11" s="2" t="s">
        <v>1500</v>
      </c>
      <c r="J11" s="1" t="str">
        <f t="shared" si="0"/>
        <v>LU006641.001</v>
      </c>
      <c r="K11" s="1" t="str">
        <f ca="1">IFERROR(__xludf.dummyfunction("VLOOKUP(J11, IMPORTRANGE(""https://docs.google.com/spreadsheets/d/1yDAaXNsi4Mr5FtRQL4tbmSdIzhx6_m4wkOD7IG-k_eo/edit#gid=1336395716"", ""Science!M:N""), 2, FALSE)"),"(LU006641.001); Default - Remember")</f>
        <v>(LU006641.001); Default - Remember</v>
      </c>
      <c r="L11" s="1" t="str">
        <f t="shared" si="1"/>
        <v>LU006641.002</v>
      </c>
      <c r="M11" s="1" t="str">
        <f ca="1">IFERROR(__xludf.dummyfunction("VLOOKUP(L11, IMPORTRANGE(""https://docs.google.com/spreadsheets/d/1yDAaXNsi4Mr5FtRQL4tbmSdIzhx6_m4wkOD7IG-k_eo/edit#gid=1336395716"", ""Science!M:N""), 2, FALSE)"),"(LU006641.002); Default - Understand")</f>
        <v>(LU006641.002); Default - Understand</v>
      </c>
      <c r="N11" s="1" t="str">
        <f t="shared" si="2"/>
        <v>LU006641.003</v>
      </c>
      <c r="O11" s="1" t="str">
        <f ca="1">IFERROR(__xludf.dummyfunction("VLOOKUP(N11, IMPORTRANGE(""https://docs.google.com/spreadsheets/d/1yDAaXNsi4Mr5FtRQL4tbmSdIzhx6_m4wkOD7IG-k_eo/edit#gid=1336395716"", ""Science!M:N""), 2, FALSE)"),"(LU006641.003); Default - Apply")</f>
        <v>(LU006641.003); Default - Apply</v>
      </c>
      <c r="P11" s="1" t="str">
        <f t="shared" si="3"/>
        <v>LU006641.004</v>
      </c>
      <c r="Q11" s="15" t="str">
        <f ca="1">IFERROR(__xludf.dummyfunction("VLOOKUP(P11, IMPORTRANGE(""https://docs.google.com/spreadsheets/d/1yDAaXNsi4Mr5FtRQL4tbmSdIzhx6_m4wkOD7IG-k_eo/edit#gid=1336395716"", ""Science!M:N""), 2, FALSE)"),"(LU006641.004); Default - Analyse")</f>
        <v>(LU006641.004); Default - Analyse</v>
      </c>
      <c r="R11" s="1" t="str">
        <f t="shared" si="4"/>
        <v>LU006641.005</v>
      </c>
      <c r="S11" s="15" t="str">
        <f ca="1">IFERROR(__xludf.dummyfunction("VLOOKUP(R11, IMPORTRANGE(""https://docs.google.com/spreadsheets/d/1yDAaXNsi4Mr5FtRQL4tbmSdIzhx6_m4wkOD7IG-k_eo/edit#gid=1336395716"", ""Science!M:N""), 2, FALSE)"),"(LU006641.005); Default - Evaluate")</f>
        <v>(LU006641.005); Default - Evaluate</v>
      </c>
      <c r="T11" s="1" t="str">
        <f t="shared" si="5"/>
        <v>LU006641.006</v>
      </c>
      <c r="U11" s="15" t="str">
        <f ca="1">IFERROR(__xludf.dummyfunction("VLOOKUP(T11, IMPORTRANGE(""https://docs.google.com/spreadsheets/d/1yDAaXNsi4Mr5FtRQL4tbmSdIzhx6_m4wkOD7IG-k_eo/edit#gid=1336395716"", ""Science!M:N""), 2, FALSE)"),"(LU006641.006); Default - Create")</f>
        <v>(LU006641.006); Default - Create</v>
      </c>
      <c r="V11" s="16" t="str">
        <f ca="1">IFERROR(__xludf.dummyfunction("ArrayFormula(VLOOKUP(G11, IMPORTRANGE(""https://docs.google.com/spreadsheets/d/1p7R4vtkWt5VOBim4ltsDG9KTzSjrtKXsMtQGXPHyND0/edit#gid=795171502"", ""'Filter 30_05_2024'!A1:M2000""), {2, 3, 4, 5,6,7,8,9,10,11,12,13}, 0))"),"#N/A")</f>
        <v>#N/A</v>
      </c>
      <c r="W11" s="16" t="str">
        <f ca="1">IFERROR(__xludf.dummyfunction("""COMPUTED_VALUE"""),"#N/A")</f>
        <v>#N/A</v>
      </c>
      <c r="X11" s="16" t="str">
        <f ca="1">IFERROR(__xludf.dummyfunction("""COMPUTED_VALUE"""),"#N/A")</f>
        <v>#N/A</v>
      </c>
      <c r="Y11" s="16" t="str">
        <f ca="1">IFERROR(__xludf.dummyfunction("""COMPUTED_VALUE"""),"#N/A")</f>
        <v>#N/A</v>
      </c>
      <c r="Z11" s="16" t="str">
        <f ca="1">IFERROR(__xludf.dummyfunction("""COMPUTED_VALUE"""),"#N/A")</f>
        <v>#N/A</v>
      </c>
      <c r="AA11" s="17" t="str">
        <f ca="1">IFERROR(__xludf.dummyfunction("""COMPUTED_VALUE"""),"#N/A")</f>
        <v>#N/A</v>
      </c>
      <c r="AB11" s="17" t="str">
        <f ca="1">IFERROR(__xludf.dummyfunction("""COMPUTED_VALUE"""),"#N/A")</f>
        <v>#N/A</v>
      </c>
      <c r="AC11" s="17" t="str">
        <f ca="1">IFERROR(__xludf.dummyfunction("""COMPUTED_VALUE"""),"#N/A")</f>
        <v>#N/A</v>
      </c>
      <c r="AD11" s="2" t="str">
        <f ca="1">IFERROR(__xludf.dummyfunction("""COMPUTED_VALUE"""),"#N/A")</f>
        <v>#N/A</v>
      </c>
      <c r="AE11" s="2" t="str">
        <f ca="1">IFERROR(__xludf.dummyfunction("""COMPUTED_VALUE"""),"#N/A")</f>
        <v>#N/A</v>
      </c>
      <c r="AF11" s="2" t="str">
        <f ca="1">IFERROR(__xludf.dummyfunction("""COMPUTED_VALUE"""),"#N/A")</f>
        <v>#N/A</v>
      </c>
      <c r="AG11" s="2" t="str">
        <f ca="1">IFERROR(__xludf.dummyfunction("""COMPUTED_VALUE"""),"#N/A")</f>
        <v>#N/A</v>
      </c>
    </row>
    <row r="12" spans="1:33" ht="27.6">
      <c r="A12" s="1"/>
      <c r="B12" s="1" t="s">
        <v>29</v>
      </c>
      <c r="C12" s="13">
        <v>8</v>
      </c>
      <c r="D12" s="2" t="s">
        <v>1492</v>
      </c>
      <c r="E12" s="1" t="s">
        <v>1283</v>
      </c>
      <c r="F12" s="1" t="s">
        <v>1297</v>
      </c>
      <c r="G12" s="107" t="s">
        <v>1298</v>
      </c>
      <c r="H12" s="18" t="str">
        <f ca="1">IFERROR(__xludf.dummyfunction("IFERROR(
  VLOOKUP(G12, IMPORTRANGE(""https://docs.google.com/spreadsheets/d/14deopnvwcrKtEGCKuYXdUHJbeLDZlkiSSWWT0g7x2pM/edit#gid=849066331"", ""LU List Maths (Filter)!A:B""), 2, FALSE),
  IFERROR(
    VLOOKUP(G12, IMPORTRANGE(""https://docs.google.com/s"&amp;"preadsheets/d/14deopnvwcrKtEGCKuYXdUHJbeLDZlkiSSWWT0g7x2pM/edit#gid=849066331"", ""LU List Science (Filter)!A:B""), 2, FALSE),
    ""Not Found""
  )
)
"),"Structure and function of each whorl of flower")</f>
        <v>Structure and function of each whorl of flower</v>
      </c>
      <c r="I12" s="108" t="s">
        <v>1501</v>
      </c>
      <c r="J12" s="1" t="str">
        <f t="shared" si="0"/>
        <v>LU006590.001</v>
      </c>
      <c r="K12" s="1" t="str">
        <f ca="1">IFERROR(__xludf.dummyfunction("VLOOKUP(J12, IMPORTRANGE(""https://docs.google.com/spreadsheets/d/1yDAaXNsi4Mr5FtRQL4tbmSdIzhx6_m4wkOD7IG-k_eo/edit#gid=1336395716"", ""Science!M:N""), 2, FALSE)"),"(LU006590.001); Default - Remember")</f>
        <v>(LU006590.001); Default - Remember</v>
      </c>
      <c r="L12" s="1" t="str">
        <f t="shared" si="1"/>
        <v>LU006590.002</v>
      </c>
      <c r="M12" s="1" t="str">
        <f ca="1">IFERROR(__xludf.dummyfunction("VLOOKUP(L12, IMPORTRANGE(""https://docs.google.com/spreadsheets/d/1yDAaXNsi4Mr5FtRQL4tbmSdIzhx6_m4wkOD7IG-k_eo/edit#gid=1336395716"", ""Science!M:N""), 2, FALSE)"),"(LU006590.002); Default - Understand")</f>
        <v>(LU006590.002); Default - Understand</v>
      </c>
      <c r="N12" s="1" t="str">
        <f t="shared" si="2"/>
        <v>LU006590.003</v>
      </c>
      <c r="O12" s="1" t="str">
        <f ca="1">IFERROR(__xludf.dummyfunction("VLOOKUP(N12, IMPORTRANGE(""https://docs.google.com/spreadsheets/d/1yDAaXNsi4Mr5FtRQL4tbmSdIzhx6_m4wkOD7IG-k_eo/edit#gid=1336395716"", ""Science!M:N""), 2, FALSE)"),"(LU006590.003); Default - Apply")</f>
        <v>(LU006590.003); Default - Apply</v>
      </c>
      <c r="P12" s="1" t="str">
        <f t="shared" si="3"/>
        <v>LU006590.004</v>
      </c>
      <c r="Q12" s="15" t="str">
        <f ca="1">IFERROR(__xludf.dummyfunction("VLOOKUP(P12, IMPORTRANGE(""https://docs.google.com/spreadsheets/d/1yDAaXNsi4Mr5FtRQL4tbmSdIzhx6_m4wkOD7IG-k_eo/edit#gid=1336395716"", ""Science!M:N""), 2, FALSE)"),"(LU006590.004); Default - Analyse")</f>
        <v>(LU006590.004); Default - Analyse</v>
      </c>
      <c r="R12" s="1" t="str">
        <f t="shared" si="4"/>
        <v>LU006590.005</v>
      </c>
      <c r="S12" s="15" t="str">
        <f ca="1">IFERROR(__xludf.dummyfunction("VLOOKUP(R12, IMPORTRANGE(""https://docs.google.com/spreadsheets/d/1yDAaXNsi4Mr5FtRQL4tbmSdIzhx6_m4wkOD7IG-k_eo/edit#gid=1336395716"", ""Science!M:N""), 2, FALSE)"),"(LU006590.005); Default - Evaluate")</f>
        <v>(LU006590.005); Default - Evaluate</v>
      </c>
      <c r="T12" s="1" t="str">
        <f t="shared" si="5"/>
        <v>LU006590.006</v>
      </c>
      <c r="U12" s="15" t="str">
        <f ca="1">IFERROR(__xludf.dummyfunction("VLOOKUP(T12, IMPORTRANGE(""https://docs.google.com/spreadsheets/d/1yDAaXNsi4Mr5FtRQL4tbmSdIzhx6_m4wkOD7IG-k_eo/edit#gid=1336395716"", ""Science!M:N""), 2, FALSE)"),"(LU006590.006); Default - Create")</f>
        <v>(LU006590.006); Default - Create</v>
      </c>
      <c r="V12" s="16" t="str">
        <f ca="1">IFERROR(__xludf.dummyfunction("ArrayFormula(VLOOKUP(G12, IMPORTRANGE(""https://docs.google.com/spreadsheets/d/1p7R4vtkWt5VOBim4ltsDG9KTzSjrtKXsMtQGXPHyND0/edit#gid=795171502"", ""'Filter 30_05_2024'!A1:M2000""), {2, 3, 4, 5,6,7,8,9,10,11,12,13}, 0))"),"#N/A")</f>
        <v>#N/A</v>
      </c>
      <c r="W12" s="16" t="str">
        <f ca="1">IFERROR(__xludf.dummyfunction("""COMPUTED_VALUE"""),"#N/A")</f>
        <v>#N/A</v>
      </c>
      <c r="X12" s="16" t="str">
        <f ca="1">IFERROR(__xludf.dummyfunction("""COMPUTED_VALUE"""),"#N/A")</f>
        <v>#N/A</v>
      </c>
      <c r="Y12" s="16" t="str">
        <f ca="1">IFERROR(__xludf.dummyfunction("""COMPUTED_VALUE"""),"#N/A")</f>
        <v>#N/A</v>
      </c>
      <c r="Z12" s="16" t="str">
        <f ca="1">IFERROR(__xludf.dummyfunction("""COMPUTED_VALUE"""),"#N/A")</f>
        <v>#N/A</v>
      </c>
      <c r="AA12" s="17" t="str">
        <f ca="1">IFERROR(__xludf.dummyfunction("""COMPUTED_VALUE"""),"#N/A")</f>
        <v>#N/A</v>
      </c>
      <c r="AB12" s="17" t="str">
        <f ca="1">IFERROR(__xludf.dummyfunction("""COMPUTED_VALUE"""),"#N/A")</f>
        <v>#N/A</v>
      </c>
      <c r="AC12" s="17" t="str">
        <f ca="1">IFERROR(__xludf.dummyfunction("""COMPUTED_VALUE"""),"#N/A")</f>
        <v>#N/A</v>
      </c>
      <c r="AD12" s="2" t="str">
        <f ca="1">IFERROR(__xludf.dummyfunction("""COMPUTED_VALUE"""),"#N/A")</f>
        <v>#N/A</v>
      </c>
      <c r="AE12" s="2" t="str">
        <f ca="1">IFERROR(__xludf.dummyfunction("""COMPUTED_VALUE"""),"#N/A")</f>
        <v>#N/A</v>
      </c>
      <c r="AF12" s="2" t="str">
        <f ca="1">IFERROR(__xludf.dummyfunction("""COMPUTED_VALUE"""),"#N/A")</f>
        <v>#N/A</v>
      </c>
      <c r="AG12" s="2" t="str">
        <f ca="1">IFERROR(__xludf.dummyfunction("""COMPUTED_VALUE"""),"#N/A")</f>
        <v>#N/A</v>
      </c>
    </row>
    <row r="13" spans="1:33" ht="27.6">
      <c r="A13" s="1"/>
      <c r="B13" s="1" t="s">
        <v>29</v>
      </c>
      <c r="C13" s="13">
        <v>8</v>
      </c>
      <c r="D13" s="2" t="s">
        <v>1492</v>
      </c>
      <c r="E13" s="1" t="s">
        <v>1283</v>
      </c>
      <c r="F13" s="1" t="s">
        <v>1300</v>
      </c>
      <c r="G13" s="107" t="s">
        <v>1301</v>
      </c>
      <c r="H13" s="18" t="str">
        <f ca="1">IFERROR(__xludf.dummyfunction("IFERROR(
  VLOOKUP(G13, IMPORTRANGE(""https://docs.google.com/spreadsheets/d/14deopnvwcrKtEGCKuYXdUHJbeLDZlkiSSWWT0g7x2pM/edit#gid=849066331"", ""LU List Maths (Filter)!A:B""), 2, FALSE),
  IFERROR(
    VLOOKUP(G13, IMPORTRANGE(""https://docs.google.com/s"&amp;"preadsheets/d/14deopnvwcrKtEGCKuYXdUHJbeLDZlkiSSWWT0g7x2pM/edit#gid=849066331"", ""LU List Science (Filter)!A:B""), 2, FALSE),
    ""Not Found""
  )
)
"),"Self and cross-pollination in flowers")</f>
        <v>Self and cross-pollination in flowers</v>
      </c>
      <c r="I13" s="108" t="s">
        <v>1501</v>
      </c>
      <c r="J13" s="1" t="str">
        <f t="shared" si="0"/>
        <v>LU006591.001</v>
      </c>
      <c r="K13" s="1" t="str">
        <f ca="1">IFERROR(__xludf.dummyfunction("VLOOKUP(J13, IMPORTRANGE(""https://docs.google.com/spreadsheets/d/1yDAaXNsi4Mr5FtRQL4tbmSdIzhx6_m4wkOD7IG-k_eo/edit#gid=1336395716"", ""Science!M:N""), 2, FALSE)"),"(LU006591.001); Default - Remember")</f>
        <v>(LU006591.001); Default - Remember</v>
      </c>
      <c r="L13" s="1" t="str">
        <f t="shared" si="1"/>
        <v>LU006591.002</v>
      </c>
      <c r="M13" s="1" t="str">
        <f ca="1">IFERROR(__xludf.dummyfunction("VLOOKUP(L13, IMPORTRANGE(""https://docs.google.com/spreadsheets/d/1yDAaXNsi4Mr5FtRQL4tbmSdIzhx6_m4wkOD7IG-k_eo/edit#gid=1336395716"", ""Science!M:N""), 2, FALSE)"),"(LU006591.002); Default - Understand")</f>
        <v>(LU006591.002); Default - Understand</v>
      </c>
      <c r="N13" s="1" t="str">
        <f t="shared" si="2"/>
        <v>LU006591.003</v>
      </c>
      <c r="O13" s="1" t="str">
        <f ca="1">IFERROR(__xludf.dummyfunction("VLOOKUP(N13, IMPORTRANGE(""https://docs.google.com/spreadsheets/d/1yDAaXNsi4Mr5FtRQL4tbmSdIzhx6_m4wkOD7IG-k_eo/edit#gid=1336395716"", ""Science!M:N""), 2, FALSE)"),"(LU006591.003); Default - Apply")</f>
        <v>(LU006591.003); Default - Apply</v>
      </c>
      <c r="P13" s="1" t="str">
        <f t="shared" si="3"/>
        <v>LU006591.004</v>
      </c>
      <c r="Q13" s="15" t="str">
        <f ca="1">IFERROR(__xludf.dummyfunction("VLOOKUP(P13, IMPORTRANGE(""https://docs.google.com/spreadsheets/d/1yDAaXNsi4Mr5FtRQL4tbmSdIzhx6_m4wkOD7IG-k_eo/edit#gid=1336395716"", ""Science!M:N""), 2, FALSE)"),"(LU006591.004); Default - Analyse")</f>
        <v>(LU006591.004); Default - Analyse</v>
      </c>
      <c r="R13" s="1" t="str">
        <f t="shared" si="4"/>
        <v>LU006591.005</v>
      </c>
      <c r="S13" s="15" t="str">
        <f ca="1">IFERROR(__xludf.dummyfunction("VLOOKUP(R13, IMPORTRANGE(""https://docs.google.com/spreadsheets/d/1yDAaXNsi4Mr5FtRQL4tbmSdIzhx6_m4wkOD7IG-k_eo/edit#gid=1336395716"", ""Science!M:N""), 2, FALSE)"),"(LU006591.005); Default - Evaluate")</f>
        <v>(LU006591.005); Default - Evaluate</v>
      </c>
      <c r="T13" s="1" t="str">
        <f t="shared" si="5"/>
        <v>LU006591.006</v>
      </c>
      <c r="U13" s="15" t="str">
        <f ca="1">IFERROR(__xludf.dummyfunction("VLOOKUP(T13, IMPORTRANGE(""https://docs.google.com/spreadsheets/d/1yDAaXNsi4Mr5FtRQL4tbmSdIzhx6_m4wkOD7IG-k_eo/edit#gid=1336395716"", ""Science!M:N""), 2, FALSE)"),"(LU006591.006); Default - Create")</f>
        <v>(LU006591.006); Default - Create</v>
      </c>
      <c r="V13" s="16" t="str">
        <f ca="1">IFERROR(__xludf.dummyfunction("ArrayFormula(VLOOKUP(G13, IMPORTRANGE(""https://docs.google.com/spreadsheets/d/1p7R4vtkWt5VOBim4ltsDG9KTzSjrtKXsMtQGXPHyND0/edit#gid=795171502"", ""'Filter 30_05_2024'!A1:M2000""), {2, 3, 4, 5,6,7,8,9,10,11,12,13}, 0))"),"#N/A")</f>
        <v>#N/A</v>
      </c>
      <c r="W13" s="16" t="str">
        <f ca="1">IFERROR(__xludf.dummyfunction("""COMPUTED_VALUE"""),"#N/A")</f>
        <v>#N/A</v>
      </c>
      <c r="X13" s="16" t="str">
        <f ca="1">IFERROR(__xludf.dummyfunction("""COMPUTED_VALUE"""),"#N/A")</f>
        <v>#N/A</v>
      </c>
      <c r="Y13" s="16" t="str">
        <f ca="1">IFERROR(__xludf.dummyfunction("""COMPUTED_VALUE"""),"#N/A")</f>
        <v>#N/A</v>
      </c>
      <c r="Z13" s="16" t="str">
        <f ca="1">IFERROR(__xludf.dummyfunction("""COMPUTED_VALUE"""),"#N/A")</f>
        <v>#N/A</v>
      </c>
      <c r="AA13" s="17" t="str">
        <f ca="1">IFERROR(__xludf.dummyfunction("""COMPUTED_VALUE"""),"#N/A")</f>
        <v>#N/A</v>
      </c>
      <c r="AB13" s="17" t="str">
        <f ca="1">IFERROR(__xludf.dummyfunction("""COMPUTED_VALUE"""),"#N/A")</f>
        <v>#N/A</v>
      </c>
      <c r="AC13" s="17" t="str">
        <f ca="1">IFERROR(__xludf.dummyfunction("""COMPUTED_VALUE"""),"#N/A")</f>
        <v>#N/A</v>
      </c>
      <c r="AD13" s="2" t="str">
        <f ca="1">IFERROR(__xludf.dummyfunction("""COMPUTED_VALUE"""),"#N/A")</f>
        <v>#N/A</v>
      </c>
      <c r="AE13" s="2" t="str">
        <f ca="1">IFERROR(__xludf.dummyfunction("""COMPUTED_VALUE"""),"#N/A")</f>
        <v>#N/A</v>
      </c>
      <c r="AF13" s="2" t="str">
        <f ca="1">IFERROR(__xludf.dummyfunction("""COMPUTED_VALUE"""),"#N/A")</f>
        <v>#N/A</v>
      </c>
      <c r="AG13" s="2" t="str">
        <f ca="1">IFERROR(__xludf.dummyfunction("""COMPUTED_VALUE"""),"#N/A")</f>
        <v>#N/A</v>
      </c>
    </row>
    <row r="14" spans="1:33" ht="27.6">
      <c r="A14" s="1"/>
      <c r="B14" s="1" t="s">
        <v>29</v>
      </c>
      <c r="C14" s="13">
        <v>8</v>
      </c>
      <c r="D14" s="2" t="s">
        <v>1492</v>
      </c>
      <c r="E14" s="1" t="s">
        <v>1283</v>
      </c>
      <c r="F14" s="1" t="s">
        <v>1300</v>
      </c>
      <c r="G14" s="107" t="s">
        <v>1302</v>
      </c>
      <c r="H14" s="18" t="str">
        <f ca="1">IFERROR(__xludf.dummyfunction("IFERROR(
  VLOOKUP(G14, IMPORTRANGE(""https://docs.google.com/spreadsheets/d/14deopnvwcrKtEGCKuYXdUHJbeLDZlkiSSWWT0g7x2pM/edit#gid=849066331"", ""LU List Maths (Filter)!A:B""), 2, FALSE),
  IFERROR(
    VLOOKUP(G14, IMPORTRANGE(""https://docs.google.com/s"&amp;"preadsheets/d/14deopnvwcrKtEGCKuYXdUHJbeLDZlkiSSWWT0g7x2pM/edit#gid=849066331"", ""LU List Science (Filter)!A:B""), 2, FALSE),
    ""Not Found""
  )
)
"),"Agents of cross pollination(wind, water and insects)")</f>
        <v>Agents of cross pollination(wind, water and insects)</v>
      </c>
      <c r="I14" s="108" t="s">
        <v>1501</v>
      </c>
      <c r="J14" s="1" t="str">
        <f t="shared" si="0"/>
        <v>LU006592.001</v>
      </c>
      <c r="K14" s="1" t="str">
        <f ca="1">IFERROR(__xludf.dummyfunction("VLOOKUP(J14, IMPORTRANGE(""https://docs.google.com/spreadsheets/d/1yDAaXNsi4Mr5FtRQL4tbmSdIzhx6_m4wkOD7IG-k_eo/edit#gid=1336395716"", ""Science!M:N""), 2, FALSE)"),"(LU006592.001); Default - Remember")</f>
        <v>(LU006592.001); Default - Remember</v>
      </c>
      <c r="L14" s="1" t="str">
        <f t="shared" si="1"/>
        <v>LU006592.002</v>
      </c>
      <c r="M14" s="1" t="str">
        <f ca="1">IFERROR(__xludf.dummyfunction("VLOOKUP(L14, IMPORTRANGE(""https://docs.google.com/spreadsheets/d/1yDAaXNsi4Mr5FtRQL4tbmSdIzhx6_m4wkOD7IG-k_eo/edit#gid=1336395716"", ""Science!M:N""), 2, FALSE)"),"(LU006592.002); Default - Understand")</f>
        <v>(LU006592.002); Default - Understand</v>
      </c>
      <c r="N14" s="1" t="str">
        <f t="shared" si="2"/>
        <v>LU006592.003</v>
      </c>
      <c r="O14" s="1" t="str">
        <f ca="1">IFERROR(__xludf.dummyfunction("VLOOKUP(N14, IMPORTRANGE(""https://docs.google.com/spreadsheets/d/1yDAaXNsi4Mr5FtRQL4tbmSdIzhx6_m4wkOD7IG-k_eo/edit#gid=1336395716"", ""Science!M:N""), 2, FALSE)"),"(LU006592.003); Default - Apply")</f>
        <v>(LU006592.003); Default - Apply</v>
      </c>
      <c r="P14" s="1" t="str">
        <f t="shared" si="3"/>
        <v>LU006592.004</v>
      </c>
      <c r="Q14" s="15" t="str">
        <f ca="1">IFERROR(__xludf.dummyfunction("VLOOKUP(P14, IMPORTRANGE(""https://docs.google.com/spreadsheets/d/1yDAaXNsi4Mr5FtRQL4tbmSdIzhx6_m4wkOD7IG-k_eo/edit#gid=1336395716"", ""Science!M:N""), 2, FALSE)"),"(LU006592.004); Default - Analyse")</f>
        <v>(LU006592.004); Default - Analyse</v>
      </c>
      <c r="R14" s="1" t="str">
        <f t="shared" si="4"/>
        <v>LU006592.005</v>
      </c>
      <c r="S14" s="15" t="str">
        <f ca="1">IFERROR(__xludf.dummyfunction("VLOOKUP(R14, IMPORTRANGE(""https://docs.google.com/spreadsheets/d/1yDAaXNsi4Mr5FtRQL4tbmSdIzhx6_m4wkOD7IG-k_eo/edit#gid=1336395716"", ""Science!M:N""), 2, FALSE)"),"(LU006592.005); Default - Evaluate")</f>
        <v>(LU006592.005); Default - Evaluate</v>
      </c>
      <c r="T14" s="1" t="str">
        <f t="shared" si="5"/>
        <v>LU006592.006</v>
      </c>
      <c r="U14" s="15" t="str">
        <f ca="1">IFERROR(__xludf.dummyfunction("VLOOKUP(T14, IMPORTRANGE(""https://docs.google.com/spreadsheets/d/1yDAaXNsi4Mr5FtRQL4tbmSdIzhx6_m4wkOD7IG-k_eo/edit#gid=1336395716"", ""Science!M:N""), 2, FALSE)"),"(LU006592.006); Default - Create")</f>
        <v>(LU006592.006); Default - Create</v>
      </c>
      <c r="V14" s="16" t="str">
        <f ca="1">IFERROR(__xludf.dummyfunction("ArrayFormula(VLOOKUP(G14, IMPORTRANGE(""https://docs.google.com/spreadsheets/d/1p7R4vtkWt5VOBim4ltsDG9KTzSjrtKXsMtQGXPHyND0/edit#gid=795171502"", ""'Filter 30_05_2024'!A1:M2000""), {2, 3, 4, 5,6,7,8,9,10,11,12,13}, 0))"),"#N/A")</f>
        <v>#N/A</v>
      </c>
      <c r="W14" s="16" t="str">
        <f ca="1">IFERROR(__xludf.dummyfunction("""COMPUTED_VALUE"""),"#N/A")</f>
        <v>#N/A</v>
      </c>
      <c r="X14" s="16" t="str">
        <f ca="1">IFERROR(__xludf.dummyfunction("""COMPUTED_VALUE"""),"#N/A")</f>
        <v>#N/A</v>
      </c>
      <c r="Y14" s="16" t="str">
        <f ca="1">IFERROR(__xludf.dummyfunction("""COMPUTED_VALUE"""),"#N/A")</f>
        <v>#N/A</v>
      </c>
      <c r="Z14" s="16" t="str">
        <f ca="1">IFERROR(__xludf.dummyfunction("""COMPUTED_VALUE"""),"#N/A")</f>
        <v>#N/A</v>
      </c>
      <c r="AA14" s="17" t="str">
        <f ca="1">IFERROR(__xludf.dummyfunction("""COMPUTED_VALUE"""),"#N/A")</f>
        <v>#N/A</v>
      </c>
      <c r="AB14" s="17" t="str">
        <f ca="1">IFERROR(__xludf.dummyfunction("""COMPUTED_VALUE"""),"#N/A")</f>
        <v>#N/A</v>
      </c>
      <c r="AC14" s="17" t="str">
        <f ca="1">IFERROR(__xludf.dummyfunction("""COMPUTED_VALUE"""),"#N/A")</f>
        <v>#N/A</v>
      </c>
      <c r="AD14" s="2" t="str">
        <f ca="1">IFERROR(__xludf.dummyfunction("""COMPUTED_VALUE"""),"#N/A")</f>
        <v>#N/A</v>
      </c>
      <c r="AE14" s="2" t="str">
        <f ca="1">IFERROR(__xludf.dummyfunction("""COMPUTED_VALUE"""),"#N/A")</f>
        <v>#N/A</v>
      </c>
      <c r="AF14" s="2" t="str">
        <f ca="1">IFERROR(__xludf.dummyfunction("""COMPUTED_VALUE"""),"#N/A")</f>
        <v>#N/A</v>
      </c>
      <c r="AG14" s="2" t="str">
        <f ca="1">IFERROR(__xludf.dummyfunction("""COMPUTED_VALUE"""),"#N/A")</f>
        <v>#N/A</v>
      </c>
    </row>
    <row r="15" spans="1:33" ht="41.4">
      <c r="A15" s="1"/>
      <c r="B15" s="1" t="s">
        <v>29</v>
      </c>
      <c r="C15" s="13">
        <v>8</v>
      </c>
      <c r="D15" s="2" t="s">
        <v>1492</v>
      </c>
      <c r="E15" s="1" t="s">
        <v>1283</v>
      </c>
      <c r="F15" s="2" t="s">
        <v>1304</v>
      </c>
      <c r="G15" s="1" t="s">
        <v>1305</v>
      </c>
      <c r="H15" s="18" t="str">
        <f ca="1">IFERROR(__xludf.dummyfunction("IFERROR(
  VLOOKUP(G15, IMPORTRANGE(""https://docs.google.com/spreadsheets/d/14deopnvwcrKtEGCKuYXdUHJbeLDZlkiSSWWT0g7x2pM/edit#gid=849066331"", ""LU List Maths (Filter)!A:B""), 2, FALSE),
  IFERROR(
    VLOOKUP(G15, IMPORTRANGE(""https://docs.google.com/s"&amp;"preadsheets/d/14deopnvwcrKtEGCKuYXdUHJbeLDZlkiSSWWT0g7x2pM/edit#gid=849066331"", ""LU List Science (Filter)!A:B""), 2, FALSE),
    ""Not Found""
  )
)
"),"Fertilization and post-fertilisation events in a flowering plant")</f>
        <v>Fertilization and post-fertilisation events in a flowering plant</v>
      </c>
      <c r="I15" s="2"/>
      <c r="J15" s="1" t="str">
        <f t="shared" si="0"/>
        <v>LU005962.001</v>
      </c>
      <c r="K15" s="1" t="str">
        <f ca="1">IFERROR(__xludf.dummyfunction("VLOOKUP(J15, IMPORTRANGE(""https://docs.google.com/spreadsheets/d/1yDAaXNsi4Mr5FtRQL4tbmSdIzhx6_m4wkOD7IG-k_eo/edit#gid=1336395716"", ""Science!M:N""), 2, FALSE)"),"Define fertilization and identify its role in the sexual reproduction of flowering plants.")</f>
        <v>Define fertilization and identify its role in the sexual reproduction of flowering plants.</v>
      </c>
      <c r="L15" s="1" t="str">
        <f t="shared" si="1"/>
        <v>LU005962.002</v>
      </c>
      <c r="M15" s="1" t="str">
        <f ca="1">IFERROR(__xludf.dummyfunction("VLOOKUP(L15, IMPORTRANGE(""https://docs.google.com/spreadsheets/d/1yDAaXNsi4Mr5FtRQL4tbmSdIzhx6_m4wkOD7IG-k_eo/edit#gid=1336395716"", ""Science!M:N""), 2, FALSE)"),"Summarize the stages of fertilization and  post-fertilization events in a flowering plant.")</f>
        <v>Summarize the stages of fertilization and  post-fertilization events in a flowering plant.</v>
      </c>
      <c r="N15" s="1" t="str">
        <f t="shared" si="2"/>
        <v>LU005962.003</v>
      </c>
      <c r="O15" s="1" t="str">
        <f ca="1">IFERROR(__xludf.dummyfunction("VLOOKUP(N15, IMPORTRANGE(""https://docs.google.com/spreadsheets/d/1yDAaXNsi4Mr5FtRQL4tbmSdIzhx6_m4wkOD7IG-k_eo/edit#gid=1336395716"", ""Science!M:N""), 2, FALSE)"),"Apply knowledge of fertilization to predict changes in a plant after the fertilization event.")</f>
        <v>Apply knowledge of fertilization to predict changes in a plant after the fertilization event.</v>
      </c>
      <c r="P15" s="1" t="str">
        <f t="shared" si="3"/>
        <v>LU005962.004</v>
      </c>
      <c r="Q15" s="15" t="str">
        <f ca="1">IFERROR(__xludf.dummyfunction("VLOOKUP(P15, IMPORTRANGE(""https://docs.google.com/spreadsheets/d/1yDAaXNsi4Mr5FtRQL4tbmSdIzhx6_m4wkOD7IG-k_eo/edit#gid=1336395716"", ""Science!M:N""), 2, FALSE)"),"Differentiate between the processes of fertilization and post-fertilization in the context of plant development.")</f>
        <v>Differentiate between the processes of fertilization and post-fertilization in the context of plant development.</v>
      </c>
      <c r="R15" s="1" t="str">
        <f t="shared" si="4"/>
        <v>LU005962.005</v>
      </c>
      <c r="S15" s="15" t="str">
        <f ca="1">IFERROR(__xludf.dummyfunction("VLOOKUP(R15, IMPORTRANGE(""https://docs.google.com/spreadsheets/d/1yDAaXNsi4Mr5FtRQL4tbmSdIzhx6_m4wkOD7IG-k_eo/edit#gid=1336395716"", ""Science!M:N""), 2, FALSE)"),"Evaluate the significance of post-fertilization events in the life cycle of flowering plants.")</f>
        <v>Evaluate the significance of post-fertilization events in the life cycle of flowering plants.</v>
      </c>
      <c r="T15" s="1" t="str">
        <f t="shared" si="5"/>
        <v>LU005962.006</v>
      </c>
      <c r="U15" s="15" t="str">
        <f ca="1">IFERROR(__xludf.dummyfunction("VLOOKUP(T15, IMPORTRANGE(""https://docs.google.com/spreadsheets/d/1yDAaXNsi4Mr5FtRQL4tbmSdIzhx6_m4wkOD7IG-k_eo/edit#gid=1336395716"", ""Science!M:N""), 2, FALSE)"),"#N/A")</f>
        <v>#N/A</v>
      </c>
      <c r="V15" s="16">
        <f ca="1">IFERROR(__xludf.dummyfunction("ArrayFormula(VLOOKUP(G15, IMPORTRANGE(""https://docs.google.com/spreadsheets/d/1p7R4vtkWt5VOBim4ltsDG9KTzSjrtKXsMtQGXPHyND0/edit#gid=795171502"", ""'Filter 30_05_2024'!A1:M2000""), {2, 3, 4, 5,6,7,8,9,10,11,12,13}, 0))"),15)</f>
        <v>15</v>
      </c>
      <c r="W15" s="16">
        <f ca="1">IFERROR(__xludf.dummyfunction("""COMPUTED_VALUE"""),8)</f>
        <v>8</v>
      </c>
      <c r="X15" s="16">
        <f ca="1">IFERROR(__xludf.dummyfunction("""COMPUTED_VALUE"""),2)</f>
        <v>2</v>
      </c>
      <c r="Y15" s="16">
        <f ca="1">IFERROR(__xludf.dummyfunction("""COMPUTED_VALUE"""),25)</f>
        <v>25</v>
      </c>
      <c r="Z15" s="16">
        <f ca="1">IFERROR(__xludf.dummyfunction("""COMPUTED_VALUE"""),5)</f>
        <v>5</v>
      </c>
      <c r="AA15" s="17">
        <f ca="1">IFERROR(__xludf.dummyfunction("""COMPUTED_VALUE"""),2)</f>
        <v>2</v>
      </c>
      <c r="AB15" s="17">
        <f ca="1">IFERROR(__xludf.dummyfunction("""COMPUTED_VALUE"""),1)</f>
        <v>1</v>
      </c>
      <c r="AC15" s="17">
        <f ca="1">IFERROR(__xludf.dummyfunction("""COMPUTED_VALUE"""),8)</f>
        <v>8</v>
      </c>
      <c r="AD15" s="2"/>
      <c r="AE15" s="2"/>
      <c r="AF15" s="2"/>
      <c r="AG15" s="2"/>
    </row>
    <row r="16" spans="1:33" ht="27.6">
      <c r="A16" s="1"/>
      <c r="B16" s="1" t="s">
        <v>29</v>
      </c>
      <c r="C16" s="13">
        <v>8</v>
      </c>
      <c r="D16" s="2" t="s">
        <v>1492</v>
      </c>
      <c r="E16" s="1" t="s">
        <v>1283</v>
      </c>
      <c r="F16" s="1" t="s">
        <v>1502</v>
      </c>
      <c r="G16" s="14" t="s">
        <v>1503</v>
      </c>
      <c r="H16" s="18" t="str">
        <f ca="1">IFERROR(__xludf.dummyfunction("IFERROR(
  VLOOKUP(G16, IMPORTRANGE(""https://docs.google.com/spreadsheets/d/14deopnvwcrKtEGCKuYXdUHJbeLDZlkiSSWWT0g7x2pM/edit#gid=849066331"", ""LU List Maths (Filter)!A:B""), 2, FALSE),
  IFERROR(
    VLOOKUP(G16, IMPORTRANGE(""https://docs.google.com/s"&amp;"preadsheets/d/14deopnvwcrKtEGCKuYXdUHJbeLDZlkiSSWWT0g7x2pM/edit#gid=849066331"", ""LU List Science (Filter)!A:B""), 2, FALSE),
    ""Not Found""
  )
)
"),"Concept of Artificial pollination")</f>
        <v>Concept of Artificial pollination</v>
      </c>
      <c r="I16" s="2"/>
      <c r="J16" s="1" t="str">
        <f t="shared" si="0"/>
        <v>LU006642.001</v>
      </c>
      <c r="K16" s="1" t="str">
        <f ca="1">IFERROR(__xludf.dummyfunction("VLOOKUP(J16, IMPORTRANGE(""https://docs.google.com/spreadsheets/d/1yDAaXNsi4Mr5FtRQL4tbmSdIzhx6_m4wkOD7IG-k_eo/edit#gid=1336395716"", ""Science!M:N""), 2, FALSE)"),"(LU006642.001); Default - Remember")</f>
        <v>(LU006642.001); Default - Remember</v>
      </c>
      <c r="L16" s="1" t="str">
        <f t="shared" si="1"/>
        <v>LU006642.002</v>
      </c>
      <c r="M16" s="1" t="str">
        <f ca="1">IFERROR(__xludf.dummyfunction("VLOOKUP(L16, IMPORTRANGE(""https://docs.google.com/spreadsheets/d/1yDAaXNsi4Mr5FtRQL4tbmSdIzhx6_m4wkOD7IG-k_eo/edit#gid=1336395716"", ""Science!M:N""), 2, FALSE)"),"(LU006642.002); Default - Understand")</f>
        <v>(LU006642.002); Default - Understand</v>
      </c>
      <c r="N16" s="1" t="str">
        <f t="shared" si="2"/>
        <v>LU006642.003</v>
      </c>
      <c r="O16" s="1" t="str">
        <f ca="1">IFERROR(__xludf.dummyfunction("VLOOKUP(N16, IMPORTRANGE(""https://docs.google.com/spreadsheets/d/1yDAaXNsi4Mr5FtRQL4tbmSdIzhx6_m4wkOD7IG-k_eo/edit#gid=1336395716"", ""Science!M:N""), 2, FALSE)"),"(LU006642.003); Default - Apply")</f>
        <v>(LU006642.003); Default - Apply</v>
      </c>
      <c r="P16" s="1" t="str">
        <f t="shared" si="3"/>
        <v>LU006642.004</v>
      </c>
      <c r="Q16" s="15" t="str">
        <f ca="1">IFERROR(__xludf.dummyfunction("VLOOKUP(P16, IMPORTRANGE(""https://docs.google.com/spreadsheets/d/1yDAaXNsi4Mr5FtRQL4tbmSdIzhx6_m4wkOD7IG-k_eo/edit#gid=1336395716"", ""Science!M:N""), 2, FALSE)"),"(LU006642.004); Default - Analyse")</f>
        <v>(LU006642.004); Default - Analyse</v>
      </c>
      <c r="R16" s="1" t="str">
        <f t="shared" si="4"/>
        <v>LU006642.005</v>
      </c>
      <c r="S16" s="15" t="str">
        <f ca="1">IFERROR(__xludf.dummyfunction("VLOOKUP(R16, IMPORTRANGE(""https://docs.google.com/spreadsheets/d/1yDAaXNsi4Mr5FtRQL4tbmSdIzhx6_m4wkOD7IG-k_eo/edit#gid=1336395716"", ""Science!M:N""), 2, FALSE)"),"(LU006642.005); Default - Evaluate")</f>
        <v>(LU006642.005); Default - Evaluate</v>
      </c>
      <c r="T16" s="1" t="str">
        <f t="shared" si="5"/>
        <v>LU006642.006</v>
      </c>
      <c r="U16" s="15" t="str">
        <f ca="1">IFERROR(__xludf.dummyfunction("VLOOKUP(T16, IMPORTRANGE(""https://docs.google.com/spreadsheets/d/1yDAaXNsi4Mr5FtRQL4tbmSdIzhx6_m4wkOD7IG-k_eo/edit#gid=1336395716"", ""Science!M:N""), 2, FALSE)"),"(LU006642.006); Default - Create")</f>
        <v>(LU006642.006); Default - Create</v>
      </c>
      <c r="V16" s="16" t="str">
        <f ca="1">IFERROR(__xludf.dummyfunction("ArrayFormula(VLOOKUP(G16, IMPORTRANGE(""https://docs.google.com/spreadsheets/d/1p7R4vtkWt5VOBim4ltsDG9KTzSjrtKXsMtQGXPHyND0/edit#gid=795171502"", ""'Filter 30_05_2024'!A1:M2000""), {2, 3, 4, 5,6,7,8,9,10,11,12,13}, 0))"),"#N/A")</f>
        <v>#N/A</v>
      </c>
      <c r="W16" s="16" t="str">
        <f ca="1">IFERROR(__xludf.dummyfunction("""COMPUTED_VALUE"""),"#N/A")</f>
        <v>#N/A</v>
      </c>
      <c r="X16" s="16" t="str">
        <f ca="1">IFERROR(__xludf.dummyfunction("""COMPUTED_VALUE"""),"#N/A")</f>
        <v>#N/A</v>
      </c>
      <c r="Y16" s="16" t="str">
        <f ca="1">IFERROR(__xludf.dummyfunction("""COMPUTED_VALUE"""),"#N/A")</f>
        <v>#N/A</v>
      </c>
      <c r="Z16" s="16" t="str">
        <f ca="1">IFERROR(__xludf.dummyfunction("""COMPUTED_VALUE"""),"#N/A")</f>
        <v>#N/A</v>
      </c>
      <c r="AA16" s="17" t="str">
        <f ca="1">IFERROR(__xludf.dummyfunction("""COMPUTED_VALUE"""),"#N/A")</f>
        <v>#N/A</v>
      </c>
      <c r="AB16" s="17" t="str">
        <f ca="1">IFERROR(__xludf.dummyfunction("""COMPUTED_VALUE"""),"#N/A")</f>
        <v>#N/A</v>
      </c>
      <c r="AC16" s="17" t="str">
        <f ca="1">IFERROR(__xludf.dummyfunction("""COMPUTED_VALUE"""),"#N/A")</f>
        <v>#N/A</v>
      </c>
      <c r="AD16" s="2" t="str">
        <f ca="1">IFERROR(__xludf.dummyfunction("""COMPUTED_VALUE"""),"#N/A")</f>
        <v>#N/A</v>
      </c>
      <c r="AE16" s="2" t="str">
        <f ca="1">IFERROR(__xludf.dummyfunction("""COMPUTED_VALUE"""),"#N/A")</f>
        <v>#N/A</v>
      </c>
      <c r="AF16" s="2" t="str">
        <f ca="1">IFERROR(__xludf.dummyfunction("""COMPUTED_VALUE"""),"#N/A")</f>
        <v>#N/A</v>
      </c>
      <c r="AG16" s="2" t="str">
        <f ca="1">IFERROR(__xludf.dummyfunction("""COMPUTED_VALUE"""),"#N/A")</f>
        <v>#N/A</v>
      </c>
    </row>
    <row r="17" spans="1:33" ht="69">
      <c r="A17" s="1"/>
      <c r="B17" s="1" t="s">
        <v>29</v>
      </c>
      <c r="C17" s="13">
        <v>8</v>
      </c>
      <c r="D17" s="2" t="s">
        <v>1492</v>
      </c>
      <c r="E17" s="1" t="s">
        <v>1283</v>
      </c>
      <c r="F17" s="1" t="s">
        <v>1504</v>
      </c>
      <c r="G17" s="1" t="s">
        <v>1505</v>
      </c>
      <c r="H17" s="18" t="str">
        <f ca="1">IFERROR(__xludf.dummyfunction("IFERROR(
  VLOOKUP(G17, IMPORTRANGE(""https://docs.google.com/spreadsheets/d/14deopnvwcrKtEGCKuYXdUHJbeLDZlkiSSWWT0g7x2pM/edit#gid=849066331"", ""LU List Maths (Filter)!A:B""), 2, FALSE),
  IFERROR(
    VLOOKUP(G17, IMPORTRANGE(""https://docs.google.com/s"&amp;"preadsheets/d/14deopnvwcrKtEGCKuYXdUHJbeLDZlkiSSWWT0g7x2pM/edit#gid=849066331"", ""LU List Science (Filter)!A:B""), 2, FALSE),
    ""Not Found""
  )
)
"),"Female reproductive system in humans")</f>
        <v>Female reproductive system in humans</v>
      </c>
      <c r="I17" s="2"/>
      <c r="J17" s="1" t="str">
        <f t="shared" si="0"/>
        <v>LU005658.001</v>
      </c>
      <c r="K17" s="1" t="str">
        <f ca="1">IFERROR(__xludf.dummyfunction("VLOOKUP(J17, IMPORTRANGE(""https://docs.google.com/spreadsheets/d/1yDAaXNsi4Mr5FtRQL4tbmSdIzhx6_m4wkOD7IG-k_eo/edit#gid=1336395716"", ""Science!M:N""), 2, FALSE)"),"Recall the names and locations of the major female reproductive organs in humans, including the ovaries, fallopian tubes, uterus, and vagina.")</f>
        <v>Recall the names and locations of the major female reproductive organs in humans, including the ovaries, fallopian tubes, uterus, and vagina.</v>
      </c>
      <c r="L17" s="1" t="str">
        <f t="shared" si="1"/>
        <v>LU005658.002</v>
      </c>
      <c r="M17" s="1" t="str">
        <f ca="1">IFERROR(__xludf.dummyfunction("VLOOKUP(L17, IMPORTRANGE(""https://docs.google.com/spreadsheets/d/1yDAaXNsi4Mr5FtRQL4tbmSdIzhx6_m4wkOD7IG-k_eo/edit#gid=1336395716"", ""Science!M:N""), 2, FALSE)"),"Explain the primary functions of the major female reproductive organs, emphasizing their roles in producing and releasing eggs, facilitating fertilization, and supporting reproductive processes.")</f>
        <v>Explain the primary functions of the major female reproductive organs, emphasizing their roles in producing and releasing eggs, facilitating fertilization, and supporting reproductive processes.</v>
      </c>
      <c r="N17" s="1" t="str">
        <f t="shared" si="2"/>
        <v>LU005658.003</v>
      </c>
      <c r="O17" s="1" t="str">
        <f ca="1">IFERROR(__xludf.dummyfunction("VLOOKUP(N17, IMPORTRANGE(""https://docs.google.com/spreadsheets/d/1yDAaXNsi4Mr5FtRQL4tbmSdIzhx6_m4wkOD7IG-k_eo/edit#gid=1336395716"", ""Science!M:N""), 2, FALSE)"),"Apply knowledge of the female reproductive system to describe how the various organs work together to ensure the readiness and transport of eggs for potential fertilization.")</f>
        <v>Apply knowledge of the female reproductive system to describe how the various organs work together to ensure the readiness and transport of eggs for potential fertilization.</v>
      </c>
      <c r="P17" s="1" t="str">
        <f t="shared" si="3"/>
        <v>LU005658.004</v>
      </c>
      <c r="Q17" s="15" t="str">
        <f ca="1">IFERROR(__xludf.dummyfunction("VLOOKUP(P17, IMPORTRANGE(""https://docs.google.com/spreadsheets/d/1yDAaXNsi4Mr5FtRQL4tbmSdIzhx6_m4wkOD7IG-k_eo/edit#gid=1336395716"", ""Science!M:N""), 2, FALSE)"),"Analyze the structural adaptations of female reproductive organs that enable their functions, such as the role of the uterus in providing a suitable environment for potential embryo development.")</f>
        <v>Analyze the structural adaptations of female reproductive organs that enable their functions, such as the role of the uterus in providing a suitable environment for potential embryo development.</v>
      </c>
      <c r="R17" s="1" t="str">
        <f t="shared" si="4"/>
        <v>LU005658.005</v>
      </c>
      <c r="S17" s="15" t="str">
        <f ca="1">IFERROR(__xludf.dummyfunction("VLOOKUP(R17, IMPORTRANGE(""https://docs.google.com/spreadsheets/d/1yDAaXNsi4Mr5FtRQL4tbmSdIzhx6_m4wkOD7IG-k_eo/edit#gid=1336395716"", ""Science!M:N""), 2, FALSE)"),"#N/A")</f>
        <v>#N/A</v>
      </c>
      <c r="T17" s="1" t="str">
        <f t="shared" si="5"/>
        <v>LU005658.006</v>
      </c>
      <c r="U17" s="15" t="str">
        <f ca="1">IFERROR(__xludf.dummyfunction("VLOOKUP(T17, IMPORTRANGE(""https://docs.google.com/spreadsheets/d/1yDAaXNsi4Mr5FtRQL4tbmSdIzhx6_m4wkOD7IG-k_eo/edit#gid=1336395716"", ""Science!M:N""), 2, FALSE)"),"#N/A")</f>
        <v>#N/A</v>
      </c>
      <c r="V17" s="16">
        <f ca="1">IFERROR(__xludf.dummyfunction("ArrayFormula(VLOOKUP(G17, IMPORTRANGE(""https://docs.google.com/spreadsheets/d/1p7R4vtkWt5VOBim4ltsDG9KTzSjrtKXsMtQGXPHyND0/edit#gid=795171502"", ""'Filter 30_05_2024'!A1:M2000""), {2, 3, 4, 5,6,7,8,9,10,11,12,13}, 0))"),4)</f>
        <v>4</v>
      </c>
      <c r="W17" s="16">
        <f ca="1">IFERROR(__xludf.dummyfunction("""COMPUTED_VALUE"""),6)</f>
        <v>6</v>
      </c>
      <c r="X17" s="16">
        <f ca="1">IFERROR(__xludf.dummyfunction("""COMPUTED_VALUE"""),2)</f>
        <v>2</v>
      </c>
      <c r="Y17" s="16">
        <f ca="1">IFERROR(__xludf.dummyfunction("""COMPUTED_VALUE"""),12)</f>
        <v>12</v>
      </c>
      <c r="Z17" s="16">
        <f ca="1">IFERROR(__xludf.dummyfunction("""COMPUTED_VALUE"""),4)</f>
        <v>4</v>
      </c>
      <c r="AA17" s="17">
        <f ca="1">IFERROR(__xludf.dummyfunction("""COMPUTED_VALUE"""),3)</f>
        <v>3</v>
      </c>
      <c r="AB17" s="17">
        <f ca="1">IFERROR(__xludf.dummyfunction("""COMPUTED_VALUE"""),1)</f>
        <v>1</v>
      </c>
      <c r="AC17" s="17">
        <f ca="1">IFERROR(__xludf.dummyfunction("""COMPUTED_VALUE"""),8)</f>
        <v>8</v>
      </c>
      <c r="AD17" s="2"/>
      <c r="AE17" s="2"/>
      <c r="AF17" s="2"/>
      <c r="AG17" s="2"/>
    </row>
    <row r="18" spans="1:33" ht="55.2">
      <c r="A18" s="1"/>
      <c r="B18" s="1" t="s">
        <v>29</v>
      </c>
      <c r="C18" s="13">
        <v>8</v>
      </c>
      <c r="D18" s="2" t="s">
        <v>1492</v>
      </c>
      <c r="E18" s="1" t="s">
        <v>1283</v>
      </c>
      <c r="F18" s="1" t="s">
        <v>1504</v>
      </c>
      <c r="G18" s="1" t="s">
        <v>1506</v>
      </c>
      <c r="H18" s="18" t="str">
        <f ca="1">IFERROR(__xludf.dummyfunction("IFERROR(
  VLOOKUP(G18, IMPORTRANGE(""https://docs.google.com/spreadsheets/d/14deopnvwcrKtEGCKuYXdUHJbeLDZlkiSSWWT0g7x2pM/edit#gid=849066331"", ""LU List Maths (Filter)!A:B""), 2, FALSE),
  IFERROR(
    VLOOKUP(G18, IMPORTRANGE(""https://docs.google.com/s"&amp;"preadsheets/d/14deopnvwcrKtEGCKuYXdUHJbeLDZlkiSSWWT0g7x2pM/edit#gid=849066331"", ""LU List Science (Filter)!A:B""), 2, FALSE),
    ""Not Found""
  )
)
"),"Male reproductive system in humans")</f>
        <v>Male reproductive system in humans</v>
      </c>
      <c r="I18" s="2"/>
      <c r="J18" s="1" t="str">
        <f t="shared" si="0"/>
        <v>LU005659.001</v>
      </c>
      <c r="K18" s="1" t="str">
        <f ca="1">IFERROR(__xludf.dummyfunction("VLOOKUP(J18, IMPORTRANGE(""https://docs.google.com/spreadsheets/d/1yDAaXNsi4Mr5FtRQL4tbmSdIzhx6_m4wkOD7IG-k_eo/edit#gid=1336395716"", ""Science!M:N""), 2, FALSE)"),"Recall the names and locations of the major male reproductive organs in humans, including the testes, epididymis, vas deferens, and penis.")</f>
        <v>Recall the names and locations of the major male reproductive organs in humans, including the testes, epididymis, vas deferens, and penis.</v>
      </c>
      <c r="L18" s="1" t="str">
        <f t="shared" si="1"/>
        <v>LU005659.002</v>
      </c>
      <c r="M18" s="1" t="str">
        <f ca="1">IFERROR(__xludf.dummyfunction("VLOOKUP(L18, IMPORTRANGE(""https://docs.google.com/spreadsheets/d/1yDAaXNsi4Mr5FtRQL4tbmSdIzhx6_m4wkOD7IG-k_eo/edit#gid=1336395716"", ""Science!M:N""), 2, FALSE)"),"Explain the primary functions of the major male reproductive organs, emphasizing their roles in producing and transporting sperm for fertilization.")</f>
        <v>Explain the primary functions of the major male reproductive organs, emphasizing their roles in producing and transporting sperm for fertilization.</v>
      </c>
      <c r="N18" s="1" t="str">
        <f t="shared" si="2"/>
        <v>LU005659.003</v>
      </c>
      <c r="O18" s="1" t="str">
        <f ca="1">IFERROR(__xludf.dummyfunction("VLOOKUP(N18, IMPORTRANGE(""https://docs.google.com/spreadsheets/d/1yDAaXNsi4Mr5FtRQL4tbmSdIzhx6_m4wkOD7IG-k_eo/edit#gid=1336395716"", ""Science!M:N""), 2, FALSE)"),"Apply knowledge of the male reproductive system to describe how the various organs work together to facilitate the passage of sperm from the testes to the outside of the body.")</f>
        <v>Apply knowledge of the male reproductive system to describe how the various organs work together to facilitate the passage of sperm from the testes to the outside of the body.</v>
      </c>
      <c r="P18" s="1" t="str">
        <f t="shared" si="3"/>
        <v>LU005659.004</v>
      </c>
      <c r="Q18" s="15" t="str">
        <f ca="1">IFERROR(__xludf.dummyfunction("VLOOKUP(P18, IMPORTRANGE(""https://docs.google.com/spreadsheets/d/1yDAaXNsi4Mr5FtRQL4tbmSdIzhx6_m4wkOD7IG-k_eo/edit#gid=1336395716"", ""Science!M:N""), 2, FALSE)"),"Analyze the structural adaptations of male reproductive organs that aid in their functions, such as the role of the scrotum in temperature regulation for sperm production.")</f>
        <v>Analyze the structural adaptations of male reproductive organs that aid in their functions, such as the role of the scrotum in temperature regulation for sperm production.</v>
      </c>
      <c r="R18" s="1" t="str">
        <f t="shared" si="4"/>
        <v>LU005659.005</v>
      </c>
      <c r="S18" s="15" t="str">
        <f ca="1">IFERROR(__xludf.dummyfunction("VLOOKUP(R18, IMPORTRANGE(""https://docs.google.com/spreadsheets/d/1yDAaXNsi4Mr5FtRQL4tbmSdIzhx6_m4wkOD7IG-k_eo/edit#gid=1336395716"", ""Science!M:N""), 2, FALSE)"),"#N/A")</f>
        <v>#N/A</v>
      </c>
      <c r="T18" s="1" t="str">
        <f t="shared" si="5"/>
        <v>LU005659.006</v>
      </c>
      <c r="U18" s="15" t="str">
        <f ca="1">IFERROR(__xludf.dummyfunction("VLOOKUP(T18, IMPORTRANGE(""https://docs.google.com/spreadsheets/d/1yDAaXNsi4Mr5FtRQL4tbmSdIzhx6_m4wkOD7IG-k_eo/edit#gid=1336395716"", ""Science!M:N""), 2, FALSE)"),"#N/A")</f>
        <v>#N/A</v>
      </c>
      <c r="V18" s="16">
        <f ca="1">IFERROR(__xludf.dummyfunction("ArrayFormula(VLOOKUP(G18, IMPORTRANGE(""https://docs.google.com/spreadsheets/d/1p7R4vtkWt5VOBim4ltsDG9KTzSjrtKXsMtQGXPHyND0/edit#gid=795171502"", ""'Filter 30_05_2024'!A1:M2000""), {2, 3, 4, 5,6,7,8,9,10,11,12,13}, 0))"),4)</f>
        <v>4</v>
      </c>
      <c r="W18" s="16">
        <f ca="1">IFERROR(__xludf.dummyfunction("""COMPUTED_VALUE"""),6)</f>
        <v>6</v>
      </c>
      <c r="X18" s="16">
        <f ca="1">IFERROR(__xludf.dummyfunction("""COMPUTED_VALUE"""),2)</f>
        <v>2</v>
      </c>
      <c r="Y18" s="16">
        <f ca="1">IFERROR(__xludf.dummyfunction("""COMPUTED_VALUE"""),12)</f>
        <v>12</v>
      </c>
      <c r="Z18" s="16">
        <f ca="1">IFERROR(__xludf.dummyfunction("""COMPUTED_VALUE"""),4)</f>
        <v>4</v>
      </c>
      <c r="AA18" s="17">
        <f ca="1">IFERROR(__xludf.dummyfunction("""COMPUTED_VALUE"""),3)</f>
        <v>3</v>
      </c>
      <c r="AB18" s="17">
        <f ca="1">IFERROR(__xludf.dummyfunction("""COMPUTED_VALUE"""),1)</f>
        <v>1</v>
      </c>
      <c r="AC18" s="17">
        <f ca="1">IFERROR(__xludf.dummyfunction("""COMPUTED_VALUE"""),8)</f>
        <v>8</v>
      </c>
      <c r="AD18" s="2"/>
      <c r="AE18" s="2"/>
      <c r="AF18" s="2"/>
      <c r="AG18" s="2"/>
    </row>
    <row r="19" spans="1:33" ht="41.4">
      <c r="A19" s="1"/>
      <c r="B19" s="1" t="s">
        <v>29</v>
      </c>
      <c r="C19" s="13">
        <v>8</v>
      </c>
      <c r="D19" s="2" t="s">
        <v>1492</v>
      </c>
      <c r="E19" s="1" t="s">
        <v>1283</v>
      </c>
      <c r="F19" s="1" t="s">
        <v>1507</v>
      </c>
      <c r="G19" s="1" t="s">
        <v>1508</v>
      </c>
      <c r="H19" s="18" t="str">
        <f ca="1">IFERROR(__xludf.dummyfunction("IFERROR(
  VLOOKUP(G19, IMPORTRANGE(""https://docs.google.com/spreadsheets/d/14deopnvwcrKtEGCKuYXdUHJbeLDZlkiSSWWT0g7x2pM/edit#gid=849066331"", ""LU List Maths (Filter)!A:B""), 2, FALSE),
  IFERROR(
    VLOOKUP(G19, IMPORTRANGE(""https://docs.google.com/s"&amp;"preadsheets/d/14deopnvwcrKtEGCKuYXdUHJbeLDZlkiSSWWT0g7x2pM/edit#gid=849066331"", ""LU List Science (Filter)!A:B""), 2, FALSE),
    ""Not Found""
  )
)
"),"Basics of fertilisation and post-fertilisation events in humans")</f>
        <v>Basics of fertilisation and post-fertilisation events in humans</v>
      </c>
      <c r="I19" s="2"/>
      <c r="J19" s="1" t="str">
        <f t="shared" si="0"/>
        <v>LU005660.001</v>
      </c>
      <c r="K19" s="1" t="str">
        <f ca="1">IFERROR(__xludf.dummyfunction("VLOOKUP(J19, IMPORTRANGE(""https://docs.google.com/spreadsheets/d/1yDAaXNsi4Mr5FtRQL4tbmSdIzhx6_m4wkOD7IG-k_eo/edit#gid=1336395716"", ""Science!M:N""), 2, FALSE)"),"Students will define fertilization and post-fertilization events in human reproduction.")</f>
        <v>Students will define fertilization and post-fertilization events in human reproduction.</v>
      </c>
      <c r="L19" s="1" t="str">
        <f t="shared" si="1"/>
        <v>LU005660.002</v>
      </c>
      <c r="M19" s="1" t="str">
        <f ca="1">IFERROR(__xludf.dummyfunction("VLOOKUP(L19, IMPORTRANGE(""https://docs.google.com/spreadsheets/d/1yDAaXNsi4Mr5FtRQL4tbmSdIzhx6_m4wkOD7IG-k_eo/edit#gid=1336395716"", ""Science!M:N""), 2, FALSE)"),"Students will describe the process of fertilization and the sequence of post-fertilization events in humans.")</f>
        <v>Students will describe the process of fertilization and the sequence of post-fertilization events in humans.</v>
      </c>
      <c r="N19" s="1" t="str">
        <f t="shared" si="2"/>
        <v>LU005660.003</v>
      </c>
      <c r="O19" s="1" t="str">
        <f ca="1">IFERROR(__xludf.dummyfunction("VLOOKUP(N19, IMPORTRANGE(""https://docs.google.com/spreadsheets/d/1yDAaXNsi4Mr5FtRQL4tbmSdIzhx6_m4wkOD7IG-k_eo/edit#gid=1336395716"", ""Science!M:N""), 2, FALSE)"),"Students will illustrate the stages of human development from fertilization to birth.")</f>
        <v>Students will illustrate the stages of human development from fertilization to birth.</v>
      </c>
      <c r="P19" s="1" t="str">
        <f t="shared" si="3"/>
        <v>LU005660.004</v>
      </c>
      <c r="Q19" s="15" t="str">
        <f ca="1">IFERROR(__xludf.dummyfunction("VLOOKUP(P19, IMPORTRANGE(""https://docs.google.com/spreadsheets/d/1yDAaXNsi4Mr5FtRQL4tbmSdIzhx6_m4wkOD7IG-k_eo/edit#gid=1336395716"", ""Science!M:N""), 2, FALSE)"),"Students will compare and contrast human fertilization with that of another mammal, analyzing similarities and differences.")</f>
        <v>Students will compare and contrast human fertilization with that of another mammal, analyzing similarities and differences.</v>
      </c>
      <c r="R19" s="1" t="str">
        <f t="shared" si="4"/>
        <v>LU005660.005</v>
      </c>
      <c r="S19" s="15" t="str">
        <f ca="1">IFERROR(__xludf.dummyfunction("VLOOKUP(R19, IMPORTRANGE(""https://docs.google.com/spreadsheets/d/1yDAaXNsi4Mr5FtRQL4tbmSdIzhx6_m4wkOD7IG-k_eo/edit#gid=1336395716"", ""Science!M:N""), 2, FALSE)"),"Students will assess the impact of environmental and genetic factors on the post-fertilization development in humans.")</f>
        <v>Students will assess the impact of environmental and genetic factors on the post-fertilization development in humans.</v>
      </c>
      <c r="T19" s="1" t="str">
        <f t="shared" si="5"/>
        <v>LU005660.006</v>
      </c>
      <c r="U19" s="15" t="str">
        <f ca="1">IFERROR(__xludf.dummyfunction("VLOOKUP(T19, IMPORTRANGE(""https://docs.google.com/spreadsheets/d/1yDAaXNsi4Mr5FtRQL4tbmSdIzhx6_m4wkOD7IG-k_eo/edit#gid=1336395716"", ""Science!M:N""), 2, FALSE)"),"#N/A")</f>
        <v>#N/A</v>
      </c>
      <c r="V19" s="16">
        <f ca="1">IFERROR(__xludf.dummyfunction("ArrayFormula(VLOOKUP(G19, IMPORTRANGE(""https://docs.google.com/spreadsheets/d/1p7R4vtkWt5VOBim4ltsDG9KTzSjrtKXsMtQGXPHyND0/edit#gid=795171502"", ""'Filter 30_05_2024'!A1:M2000""), {2, 3, 4, 5,6,7,8,9,10,11,12,13}, 0))"),4)</f>
        <v>4</v>
      </c>
      <c r="W19" s="16">
        <f ca="1">IFERROR(__xludf.dummyfunction("""COMPUTED_VALUE"""),6)</f>
        <v>6</v>
      </c>
      <c r="X19" s="16">
        <f ca="1">IFERROR(__xludf.dummyfunction("""COMPUTED_VALUE"""),2)</f>
        <v>2</v>
      </c>
      <c r="Y19" s="16">
        <f ca="1">IFERROR(__xludf.dummyfunction("""COMPUTED_VALUE"""),12)</f>
        <v>12</v>
      </c>
      <c r="Z19" s="16">
        <f ca="1">IFERROR(__xludf.dummyfunction("""COMPUTED_VALUE"""),4)</f>
        <v>4</v>
      </c>
      <c r="AA19" s="17">
        <f ca="1">IFERROR(__xludf.dummyfunction("""COMPUTED_VALUE"""),3)</f>
        <v>3</v>
      </c>
      <c r="AB19" s="17">
        <f ca="1">IFERROR(__xludf.dummyfunction("""COMPUTED_VALUE"""),1)</f>
        <v>1</v>
      </c>
      <c r="AC19" s="17">
        <f ca="1">IFERROR(__xludf.dummyfunction("""COMPUTED_VALUE"""),8)</f>
        <v>8</v>
      </c>
      <c r="AD19" s="2"/>
      <c r="AE19" s="2"/>
      <c r="AF19" s="2"/>
      <c r="AG19" s="2"/>
    </row>
    <row r="20" spans="1:33" ht="55.2">
      <c r="A20" s="1"/>
      <c r="B20" s="1" t="s">
        <v>29</v>
      </c>
      <c r="C20" s="13">
        <v>8</v>
      </c>
      <c r="D20" s="2" t="s">
        <v>1509</v>
      </c>
      <c r="E20" s="1" t="s">
        <v>1283</v>
      </c>
      <c r="F20" s="1" t="s">
        <v>1510</v>
      </c>
      <c r="G20" s="1" t="s">
        <v>1511</v>
      </c>
      <c r="H20" s="18" t="str">
        <f ca="1">IFERROR(__xludf.dummyfunction("IFERROR(
  VLOOKUP(G20, IMPORTRANGE(""https://docs.google.com/spreadsheets/d/14deopnvwcrKtEGCKuYXdUHJbeLDZlkiSSWWT0g7x2pM/edit#gid=849066331"", ""LU List Maths (Filter)!A:B""), 2, FALSE),
  IFERROR(
    VLOOKUP(G20, IMPORTRANGE(""https://docs.google.com/s"&amp;"preadsheets/d/14deopnvwcrKtEGCKuYXdUHJbeLDZlkiSSWWT0g7x2pM/edit#gid=849066331"", ""LU List Science (Filter)!A:B""), 2, FALSE),
    ""Not Found""
  )
)
"),"Definition of Ecosystem")</f>
        <v>Definition of Ecosystem</v>
      </c>
      <c r="I20" s="2"/>
      <c r="J20" s="1" t="str">
        <f t="shared" si="0"/>
        <v>LU005605.001</v>
      </c>
      <c r="K20" s="1" t="str">
        <f ca="1">IFERROR(__xludf.dummyfunction("VLOOKUP(J20, IMPORTRANGE(""https://docs.google.com/spreadsheets/d/1yDAaXNsi4Mr5FtRQL4tbmSdIzhx6_m4wkOD7IG-k_eo/edit#gid=1336395716"", ""Science!M:N""), 2, FALSE)"),"Students will memorize the definition of an ecosystem.")</f>
        <v>Students will memorize the definition of an ecosystem.</v>
      </c>
      <c r="L20" s="1" t="str">
        <f t="shared" si="1"/>
        <v>LU005605.002</v>
      </c>
      <c r="M20" s="1" t="str">
        <f ca="1">IFERROR(__xludf.dummyfunction("VLOOKUP(L20, IMPORTRANGE(""https://docs.google.com/spreadsheets/d/1yDAaXNsi4Mr5FtRQL4tbmSdIzhx6_m4wkOD7IG-k_eo/edit#gid=1336395716"", ""Science!M:N""), 2, FALSE)"),"Students will explain the components and functions of an ecosystem.")</f>
        <v>Students will explain the components and functions of an ecosystem.</v>
      </c>
      <c r="N20" s="1" t="str">
        <f t="shared" si="2"/>
        <v>LU005605.003</v>
      </c>
      <c r="O20" s="1" t="str">
        <f ca="1">IFERROR(__xludf.dummyfunction("VLOOKUP(N20, IMPORTRANGE(""https://docs.google.com/spreadsheets/d/1yDAaXNsi4Mr5FtRQL4tbmSdIzhx6_m4wkOD7IG-k_eo/edit#gid=1336395716"", ""Science!M:N""), 2, FALSE)"),"Students will apply the concept of an ecosystem to differentiate between various examples like forests, ponds, and grasslands.")</f>
        <v>Students will apply the concept of an ecosystem to differentiate between various examples like forests, ponds, and grasslands.</v>
      </c>
      <c r="P20" s="1" t="str">
        <f t="shared" si="3"/>
        <v>LU005605.004</v>
      </c>
      <c r="Q20" s="15" t="str">
        <f ca="1">IFERROR(__xludf.dummyfunction("VLOOKUP(P20, IMPORTRANGE(""https://docs.google.com/spreadsheets/d/1yDAaXNsi4Mr5FtRQL4tbmSdIzhx6_m4wkOD7IG-k_eo/edit#gid=1336395716"", ""Science!M:N""), 2, FALSE)"),"Students will analyze the interdependent relationships within an ecosystem, such as those between predators and prey or plants and pollinators.")</f>
        <v>Students will analyze the interdependent relationships within an ecosystem, such as those between predators and prey or plants and pollinators.</v>
      </c>
      <c r="R20" s="1" t="str">
        <f t="shared" si="4"/>
        <v>LU005605.005</v>
      </c>
      <c r="S20" s="15" t="str">
        <f ca="1">IFERROR(__xludf.dummyfunction("VLOOKUP(R20, IMPORTRANGE(""https://docs.google.com/spreadsheets/d/1yDAaXNsi4Mr5FtRQL4tbmSdIzhx6_m4wkOD7IG-k_eo/edit#gid=1336395716"", ""Science!M:N""), 2, FALSE)"),"Students will evaluate the impact of human activities on local ecosystems.")</f>
        <v>Students will evaluate the impact of human activities on local ecosystems.</v>
      </c>
      <c r="T20" s="1" t="str">
        <f t="shared" si="5"/>
        <v>LU005605.006</v>
      </c>
      <c r="U20" s="15" t="str">
        <f ca="1">IFERROR(__xludf.dummyfunction("VLOOKUP(T20, IMPORTRANGE(""https://docs.google.com/spreadsheets/d/1yDAaXNsi4Mr5FtRQL4tbmSdIzhx6_m4wkOD7IG-k_eo/edit#gid=1336395716"", ""Science!M:N""), 2, FALSE)"),"#N/A")</f>
        <v>#N/A</v>
      </c>
      <c r="V20" s="16">
        <f ca="1">IFERROR(__xludf.dummyfunction("ArrayFormula(VLOOKUP(G20, IMPORTRANGE(""https://docs.google.com/spreadsheets/d/1p7R4vtkWt5VOBim4ltsDG9KTzSjrtKXsMtQGXPHyND0/edit#gid=795171502"", ""'Filter 30_05_2024'!A1:M2000""), {2, 3, 4, 5,6,7,8,9,10,11,12,13}, 0))"),4)</f>
        <v>4</v>
      </c>
      <c r="W20" s="16">
        <f ca="1">IFERROR(__xludf.dummyfunction("""COMPUTED_VALUE"""),6)</f>
        <v>6</v>
      </c>
      <c r="X20" s="16">
        <f ca="1">IFERROR(__xludf.dummyfunction("""COMPUTED_VALUE"""),2)</f>
        <v>2</v>
      </c>
      <c r="Y20" s="16">
        <f ca="1">IFERROR(__xludf.dummyfunction("""COMPUTED_VALUE"""),12)</f>
        <v>12</v>
      </c>
      <c r="Z20" s="16">
        <f ca="1">IFERROR(__xludf.dummyfunction("""COMPUTED_VALUE"""),4)</f>
        <v>4</v>
      </c>
      <c r="AA20" s="17">
        <f ca="1">IFERROR(__xludf.dummyfunction("""COMPUTED_VALUE"""),3)</f>
        <v>3</v>
      </c>
      <c r="AB20" s="17">
        <f ca="1">IFERROR(__xludf.dummyfunction("""COMPUTED_VALUE"""),1)</f>
        <v>1</v>
      </c>
      <c r="AC20" s="17">
        <f ca="1">IFERROR(__xludf.dummyfunction("""COMPUTED_VALUE"""),8)</f>
        <v>8</v>
      </c>
      <c r="AD20" s="2"/>
      <c r="AE20" s="2"/>
      <c r="AF20" s="2"/>
      <c r="AG20" s="2"/>
    </row>
    <row r="21" spans="1:33" ht="27.6">
      <c r="A21" s="1"/>
      <c r="B21" s="1" t="s">
        <v>29</v>
      </c>
      <c r="C21" s="13">
        <v>8</v>
      </c>
      <c r="D21" s="2" t="s">
        <v>1509</v>
      </c>
      <c r="E21" s="1" t="s">
        <v>1283</v>
      </c>
      <c r="F21" s="1" t="s">
        <v>1512</v>
      </c>
      <c r="G21" s="14" t="s">
        <v>1513</v>
      </c>
      <c r="H21" s="18" t="str">
        <f ca="1">IFERROR(__xludf.dummyfunction("IFERROR(
  VLOOKUP(G21, IMPORTRANGE(""https://docs.google.com/spreadsheets/d/14deopnvwcrKtEGCKuYXdUHJbeLDZlkiSSWWT0g7x2pM/edit#gid=849066331"", ""LU List Maths (Filter)!A:B""), 2, FALSE),
  IFERROR(
    VLOOKUP(G21, IMPORTRANGE(""https://docs.google.com/s"&amp;"preadsheets/d/14deopnvwcrKtEGCKuYXdUHJbeLDZlkiSSWWT0g7x2pM/edit#gid=849066331"", ""LU List Science (Filter)!A:B""), 2, FALSE),
    ""Not Found""
  )
)
"),"Biotic components in an ecosystem")</f>
        <v>Biotic components in an ecosystem</v>
      </c>
      <c r="I21" s="2" t="s">
        <v>1514</v>
      </c>
      <c r="J21" s="1" t="str">
        <f t="shared" si="0"/>
        <v>LU006643.001</v>
      </c>
      <c r="K21" s="1" t="str">
        <f ca="1">IFERROR(__xludf.dummyfunction("VLOOKUP(J21, IMPORTRANGE(""https://docs.google.com/spreadsheets/d/1yDAaXNsi4Mr5FtRQL4tbmSdIzhx6_m4wkOD7IG-k_eo/edit#gid=1336395716"", ""Science!M:N""), 2, FALSE)"),"(LU006643.001); Default - Remember")</f>
        <v>(LU006643.001); Default - Remember</v>
      </c>
      <c r="L21" s="1" t="str">
        <f t="shared" si="1"/>
        <v>LU006643.002</v>
      </c>
      <c r="M21" s="1" t="str">
        <f ca="1">IFERROR(__xludf.dummyfunction("VLOOKUP(L21, IMPORTRANGE(""https://docs.google.com/spreadsheets/d/1yDAaXNsi4Mr5FtRQL4tbmSdIzhx6_m4wkOD7IG-k_eo/edit#gid=1336395716"", ""Science!M:N""), 2, FALSE)"),"(LU006643.002); Default - Understand")</f>
        <v>(LU006643.002); Default - Understand</v>
      </c>
      <c r="N21" s="1" t="str">
        <f t="shared" si="2"/>
        <v>LU006643.003</v>
      </c>
      <c r="O21" s="1" t="str">
        <f ca="1">IFERROR(__xludf.dummyfunction("VLOOKUP(N21, IMPORTRANGE(""https://docs.google.com/spreadsheets/d/1yDAaXNsi4Mr5FtRQL4tbmSdIzhx6_m4wkOD7IG-k_eo/edit#gid=1336395716"", ""Science!M:N""), 2, FALSE)"),"(LU006643.003); Default - Apply")</f>
        <v>(LU006643.003); Default - Apply</v>
      </c>
      <c r="P21" s="1" t="str">
        <f t="shared" si="3"/>
        <v>LU006643.004</v>
      </c>
      <c r="Q21" s="15" t="str">
        <f ca="1">IFERROR(__xludf.dummyfunction("VLOOKUP(P21, IMPORTRANGE(""https://docs.google.com/spreadsheets/d/1yDAaXNsi4Mr5FtRQL4tbmSdIzhx6_m4wkOD7IG-k_eo/edit#gid=1336395716"", ""Science!M:N""), 2, FALSE)"),"(LU006643.004); Default - Analyse")</f>
        <v>(LU006643.004); Default - Analyse</v>
      </c>
      <c r="R21" s="1" t="str">
        <f t="shared" si="4"/>
        <v>LU006643.005</v>
      </c>
      <c r="S21" s="15" t="str">
        <f ca="1">IFERROR(__xludf.dummyfunction("VLOOKUP(R21, IMPORTRANGE(""https://docs.google.com/spreadsheets/d/1yDAaXNsi4Mr5FtRQL4tbmSdIzhx6_m4wkOD7IG-k_eo/edit#gid=1336395716"", ""Science!M:N""), 2, FALSE)"),"(LU006643.005); Default - Evaluate")</f>
        <v>(LU006643.005); Default - Evaluate</v>
      </c>
      <c r="T21" s="1" t="str">
        <f t="shared" si="5"/>
        <v>LU006643.006</v>
      </c>
      <c r="U21" s="15" t="str">
        <f ca="1">IFERROR(__xludf.dummyfunction("VLOOKUP(T21, IMPORTRANGE(""https://docs.google.com/spreadsheets/d/1yDAaXNsi4Mr5FtRQL4tbmSdIzhx6_m4wkOD7IG-k_eo/edit#gid=1336395716"", ""Science!M:N""), 2, FALSE)"),"(LU006643.006); Default - Create")</f>
        <v>(LU006643.006); Default - Create</v>
      </c>
      <c r="V21" s="16" t="str">
        <f ca="1">IFERROR(__xludf.dummyfunction("ArrayFormula(VLOOKUP(G21, IMPORTRANGE(""https://docs.google.com/spreadsheets/d/1p7R4vtkWt5VOBim4ltsDG9KTzSjrtKXsMtQGXPHyND0/edit#gid=795171502"", ""'Filter 30_05_2024'!A1:M2000""), {2, 3, 4, 5,6,7,8,9,10,11,12,13}, 0))"),"#N/A")</f>
        <v>#N/A</v>
      </c>
      <c r="W21" s="16" t="str">
        <f ca="1">IFERROR(__xludf.dummyfunction("""COMPUTED_VALUE"""),"#N/A")</f>
        <v>#N/A</v>
      </c>
      <c r="X21" s="16" t="str">
        <f ca="1">IFERROR(__xludf.dummyfunction("""COMPUTED_VALUE"""),"#N/A")</f>
        <v>#N/A</v>
      </c>
      <c r="Y21" s="16" t="str">
        <f ca="1">IFERROR(__xludf.dummyfunction("""COMPUTED_VALUE"""),"#N/A")</f>
        <v>#N/A</v>
      </c>
      <c r="Z21" s="16" t="str">
        <f ca="1">IFERROR(__xludf.dummyfunction("""COMPUTED_VALUE"""),"#N/A")</f>
        <v>#N/A</v>
      </c>
      <c r="AA21" s="17" t="str">
        <f ca="1">IFERROR(__xludf.dummyfunction("""COMPUTED_VALUE"""),"#N/A")</f>
        <v>#N/A</v>
      </c>
      <c r="AB21" s="17" t="str">
        <f ca="1">IFERROR(__xludf.dummyfunction("""COMPUTED_VALUE"""),"#N/A")</f>
        <v>#N/A</v>
      </c>
      <c r="AC21" s="17" t="str">
        <f ca="1">IFERROR(__xludf.dummyfunction("""COMPUTED_VALUE"""),"#N/A")</f>
        <v>#N/A</v>
      </c>
      <c r="AD21" s="2" t="str">
        <f ca="1">IFERROR(__xludf.dummyfunction("""COMPUTED_VALUE"""),"#N/A")</f>
        <v>#N/A</v>
      </c>
      <c r="AE21" s="2" t="str">
        <f ca="1">IFERROR(__xludf.dummyfunction("""COMPUTED_VALUE"""),"#N/A")</f>
        <v>#N/A</v>
      </c>
      <c r="AF21" s="2" t="str">
        <f ca="1">IFERROR(__xludf.dummyfunction("""COMPUTED_VALUE"""),"#N/A")</f>
        <v>#N/A</v>
      </c>
      <c r="AG21" s="2" t="str">
        <f ca="1">IFERROR(__xludf.dummyfunction("""COMPUTED_VALUE"""),"#N/A")</f>
        <v>#N/A</v>
      </c>
    </row>
    <row r="22" spans="1:33" ht="27.6">
      <c r="A22" s="1"/>
      <c r="B22" s="1" t="s">
        <v>29</v>
      </c>
      <c r="C22" s="13">
        <v>8</v>
      </c>
      <c r="D22" s="2" t="s">
        <v>1509</v>
      </c>
      <c r="E22" s="1" t="s">
        <v>1283</v>
      </c>
      <c r="F22" s="1" t="s">
        <v>1515</v>
      </c>
      <c r="G22" s="14" t="s">
        <v>1516</v>
      </c>
      <c r="H22" s="18" t="str">
        <f ca="1">IFERROR(__xludf.dummyfunction("IFERROR(
  VLOOKUP(G22, IMPORTRANGE(""https://docs.google.com/spreadsheets/d/14deopnvwcrKtEGCKuYXdUHJbeLDZlkiSSWWT0g7x2pM/edit#gid=849066331"", ""LU List Maths (Filter)!A:B""), 2, FALSE),
  IFERROR(
    VLOOKUP(G22, IMPORTRANGE(""https://docs.google.com/s"&amp;"preadsheets/d/14deopnvwcrKtEGCKuYXdUHJbeLDZlkiSSWWT0g7x2pM/edit#gid=849066331"", ""LU List Science (Filter)!A:B""), 2, FALSE),
    ""Not Found""
  )
)
"),"Abiotic components in an ecosystem")</f>
        <v>Abiotic components in an ecosystem</v>
      </c>
      <c r="I22" s="2" t="s">
        <v>1517</v>
      </c>
      <c r="J22" s="1" t="str">
        <f t="shared" si="0"/>
        <v>LU006644.001</v>
      </c>
      <c r="K22" s="1" t="str">
        <f ca="1">IFERROR(__xludf.dummyfunction("VLOOKUP(J22, IMPORTRANGE(""https://docs.google.com/spreadsheets/d/1yDAaXNsi4Mr5FtRQL4tbmSdIzhx6_m4wkOD7IG-k_eo/edit#gid=1336395716"", ""Science!M:N""), 2, FALSE)"),"(LU006644.001); Default - Remember")</f>
        <v>(LU006644.001); Default - Remember</v>
      </c>
      <c r="L22" s="1" t="str">
        <f t="shared" si="1"/>
        <v>LU006644.002</v>
      </c>
      <c r="M22" s="1" t="str">
        <f ca="1">IFERROR(__xludf.dummyfunction("VLOOKUP(L22, IMPORTRANGE(""https://docs.google.com/spreadsheets/d/1yDAaXNsi4Mr5FtRQL4tbmSdIzhx6_m4wkOD7IG-k_eo/edit#gid=1336395716"", ""Science!M:N""), 2, FALSE)"),"(LU006644.002); Default - Understand")</f>
        <v>(LU006644.002); Default - Understand</v>
      </c>
      <c r="N22" s="1" t="str">
        <f t="shared" si="2"/>
        <v>LU006644.003</v>
      </c>
      <c r="O22" s="1" t="str">
        <f ca="1">IFERROR(__xludf.dummyfunction("VLOOKUP(N22, IMPORTRANGE(""https://docs.google.com/spreadsheets/d/1yDAaXNsi4Mr5FtRQL4tbmSdIzhx6_m4wkOD7IG-k_eo/edit#gid=1336395716"", ""Science!M:N""), 2, FALSE)"),"(LU006644.003); Default - Apply")</f>
        <v>(LU006644.003); Default - Apply</v>
      </c>
      <c r="P22" s="1" t="str">
        <f t="shared" si="3"/>
        <v>LU006644.004</v>
      </c>
      <c r="Q22" s="15" t="str">
        <f ca="1">IFERROR(__xludf.dummyfunction("VLOOKUP(P22, IMPORTRANGE(""https://docs.google.com/spreadsheets/d/1yDAaXNsi4Mr5FtRQL4tbmSdIzhx6_m4wkOD7IG-k_eo/edit#gid=1336395716"", ""Science!M:N""), 2, FALSE)"),"(LU006644.004); Default - Analyse")</f>
        <v>(LU006644.004); Default - Analyse</v>
      </c>
      <c r="R22" s="1" t="str">
        <f t="shared" si="4"/>
        <v>LU006644.005</v>
      </c>
      <c r="S22" s="15" t="str">
        <f ca="1">IFERROR(__xludf.dummyfunction("VLOOKUP(R22, IMPORTRANGE(""https://docs.google.com/spreadsheets/d/1yDAaXNsi4Mr5FtRQL4tbmSdIzhx6_m4wkOD7IG-k_eo/edit#gid=1336395716"", ""Science!M:N""), 2, FALSE)"),"(LU006644.005); Default - Evaluate")</f>
        <v>(LU006644.005); Default - Evaluate</v>
      </c>
      <c r="T22" s="1" t="str">
        <f t="shared" si="5"/>
        <v>LU006644.006</v>
      </c>
      <c r="U22" s="15" t="str">
        <f ca="1">IFERROR(__xludf.dummyfunction("VLOOKUP(T22, IMPORTRANGE(""https://docs.google.com/spreadsheets/d/1yDAaXNsi4Mr5FtRQL4tbmSdIzhx6_m4wkOD7IG-k_eo/edit#gid=1336395716"", ""Science!M:N""), 2, FALSE)"),"(LU006644.006); Default - Create")</f>
        <v>(LU006644.006); Default - Create</v>
      </c>
      <c r="V22" s="16" t="str">
        <f ca="1">IFERROR(__xludf.dummyfunction("ArrayFormula(VLOOKUP(G22, IMPORTRANGE(""https://docs.google.com/spreadsheets/d/1p7R4vtkWt5VOBim4ltsDG9KTzSjrtKXsMtQGXPHyND0/edit#gid=795171502"", ""'Filter 30_05_2024'!A1:M2000""), {2, 3, 4, 5,6,7,8,9,10,11,12,13}, 0))"),"#N/A")</f>
        <v>#N/A</v>
      </c>
      <c r="W22" s="16" t="str">
        <f ca="1">IFERROR(__xludf.dummyfunction("""COMPUTED_VALUE"""),"#N/A")</f>
        <v>#N/A</v>
      </c>
      <c r="X22" s="16" t="str">
        <f ca="1">IFERROR(__xludf.dummyfunction("""COMPUTED_VALUE"""),"#N/A")</f>
        <v>#N/A</v>
      </c>
      <c r="Y22" s="16" t="str">
        <f ca="1">IFERROR(__xludf.dummyfunction("""COMPUTED_VALUE"""),"#N/A")</f>
        <v>#N/A</v>
      </c>
      <c r="Z22" s="16" t="str">
        <f ca="1">IFERROR(__xludf.dummyfunction("""COMPUTED_VALUE"""),"#N/A")</f>
        <v>#N/A</v>
      </c>
      <c r="AA22" s="17" t="str">
        <f ca="1">IFERROR(__xludf.dummyfunction("""COMPUTED_VALUE"""),"#N/A")</f>
        <v>#N/A</v>
      </c>
      <c r="AB22" s="17" t="str">
        <f ca="1">IFERROR(__xludf.dummyfunction("""COMPUTED_VALUE"""),"#N/A")</f>
        <v>#N/A</v>
      </c>
      <c r="AC22" s="17" t="str">
        <f ca="1">IFERROR(__xludf.dummyfunction("""COMPUTED_VALUE"""),"#N/A")</f>
        <v>#N/A</v>
      </c>
      <c r="AD22" s="2" t="str">
        <f ca="1">IFERROR(__xludf.dummyfunction("""COMPUTED_VALUE"""),"#N/A")</f>
        <v>#N/A</v>
      </c>
      <c r="AE22" s="2" t="str">
        <f ca="1">IFERROR(__xludf.dummyfunction("""COMPUTED_VALUE"""),"#N/A")</f>
        <v>#N/A</v>
      </c>
      <c r="AF22" s="2" t="str">
        <f ca="1">IFERROR(__xludf.dummyfunction("""COMPUTED_VALUE"""),"#N/A")</f>
        <v>#N/A</v>
      </c>
      <c r="AG22" s="2" t="str">
        <f ca="1">IFERROR(__xludf.dummyfunction("""COMPUTED_VALUE"""),"#N/A")</f>
        <v>#N/A</v>
      </c>
    </row>
    <row r="23" spans="1:33" ht="27.6">
      <c r="A23" s="1"/>
      <c r="B23" s="1" t="s">
        <v>29</v>
      </c>
      <c r="C23" s="13">
        <v>8</v>
      </c>
      <c r="D23" s="2" t="s">
        <v>1509</v>
      </c>
      <c r="E23" s="1" t="s">
        <v>1283</v>
      </c>
      <c r="F23" s="1" t="s">
        <v>1518</v>
      </c>
      <c r="G23" s="14" t="s">
        <v>1519</v>
      </c>
      <c r="H23" s="18" t="str">
        <f ca="1">IFERROR(__xludf.dummyfunction("IFERROR(
  VLOOKUP(G23, IMPORTRANGE(""https://docs.google.com/spreadsheets/d/14deopnvwcrKtEGCKuYXdUHJbeLDZlkiSSWWT0g7x2pM/edit#gid=849066331"", ""LU List Maths (Filter)!A:B""), 2, FALSE),
  IFERROR(
    VLOOKUP(G23, IMPORTRANGE(""https://docs.google.com/s"&amp;"preadsheets/d/14deopnvwcrKtEGCKuYXdUHJbeLDZlkiSSWWT0g7x2pM/edit#gid=849066331"", ""LU List Science (Filter)!A:B""), 2, FALSE),
    ""Not Found""
  )
)
"),"Interaction between biotic and abiotic factors in ecosystems")</f>
        <v>Interaction between biotic and abiotic factors in ecosystems</v>
      </c>
      <c r="I23" s="2" t="s">
        <v>1520</v>
      </c>
      <c r="J23" s="1" t="str">
        <f t="shared" si="0"/>
        <v>LU006645.001</v>
      </c>
      <c r="K23" s="1" t="str">
        <f ca="1">IFERROR(__xludf.dummyfunction("VLOOKUP(J23, IMPORTRANGE(""https://docs.google.com/spreadsheets/d/1yDAaXNsi4Mr5FtRQL4tbmSdIzhx6_m4wkOD7IG-k_eo/edit#gid=1336395716"", ""Science!M:N""), 2, FALSE)"),"(LU006645.001); Default - Remember")</f>
        <v>(LU006645.001); Default - Remember</v>
      </c>
      <c r="L23" s="1" t="str">
        <f t="shared" si="1"/>
        <v>LU006645.002</v>
      </c>
      <c r="M23" s="1" t="str">
        <f ca="1">IFERROR(__xludf.dummyfunction("VLOOKUP(L23, IMPORTRANGE(""https://docs.google.com/spreadsheets/d/1yDAaXNsi4Mr5FtRQL4tbmSdIzhx6_m4wkOD7IG-k_eo/edit#gid=1336395716"", ""Science!M:N""), 2, FALSE)"),"(LU006645.002); Default - Understand")</f>
        <v>(LU006645.002); Default - Understand</v>
      </c>
      <c r="N23" s="1" t="str">
        <f t="shared" si="2"/>
        <v>LU006645.003</v>
      </c>
      <c r="O23" s="1" t="str">
        <f ca="1">IFERROR(__xludf.dummyfunction("VLOOKUP(N23, IMPORTRANGE(""https://docs.google.com/spreadsheets/d/1yDAaXNsi4Mr5FtRQL4tbmSdIzhx6_m4wkOD7IG-k_eo/edit#gid=1336395716"", ""Science!M:N""), 2, FALSE)"),"(LU006645.003); Default - Apply")</f>
        <v>(LU006645.003); Default - Apply</v>
      </c>
      <c r="P23" s="1" t="str">
        <f t="shared" si="3"/>
        <v>LU006645.004</v>
      </c>
      <c r="Q23" s="15" t="str">
        <f ca="1">IFERROR(__xludf.dummyfunction("VLOOKUP(P23, IMPORTRANGE(""https://docs.google.com/spreadsheets/d/1yDAaXNsi4Mr5FtRQL4tbmSdIzhx6_m4wkOD7IG-k_eo/edit#gid=1336395716"", ""Science!M:N""), 2, FALSE)"),"(LU006645.004); Default - Analyse")</f>
        <v>(LU006645.004); Default - Analyse</v>
      </c>
      <c r="R23" s="1" t="str">
        <f t="shared" si="4"/>
        <v>LU006645.005</v>
      </c>
      <c r="S23" s="15" t="str">
        <f ca="1">IFERROR(__xludf.dummyfunction("VLOOKUP(R23, IMPORTRANGE(""https://docs.google.com/spreadsheets/d/1yDAaXNsi4Mr5FtRQL4tbmSdIzhx6_m4wkOD7IG-k_eo/edit#gid=1336395716"", ""Science!M:N""), 2, FALSE)"),"(LU006645.005); Default - Evaluate")</f>
        <v>(LU006645.005); Default - Evaluate</v>
      </c>
      <c r="T23" s="1" t="str">
        <f t="shared" si="5"/>
        <v>LU006645.006</v>
      </c>
      <c r="U23" s="15" t="str">
        <f ca="1">IFERROR(__xludf.dummyfunction("VLOOKUP(T23, IMPORTRANGE(""https://docs.google.com/spreadsheets/d/1yDAaXNsi4Mr5FtRQL4tbmSdIzhx6_m4wkOD7IG-k_eo/edit#gid=1336395716"", ""Science!M:N""), 2, FALSE)"),"(LU006645.006); Default - Create")</f>
        <v>(LU006645.006); Default - Create</v>
      </c>
      <c r="V23" s="16" t="str">
        <f ca="1">IFERROR(__xludf.dummyfunction("ArrayFormula(VLOOKUP(G23, IMPORTRANGE(""https://docs.google.com/spreadsheets/d/1p7R4vtkWt5VOBim4ltsDG9KTzSjrtKXsMtQGXPHyND0/edit#gid=795171502"", ""'Filter 30_05_2024'!A1:M2000""), {2, 3, 4, 5,6,7,8,9,10,11,12,13}, 0))"),"#N/A")</f>
        <v>#N/A</v>
      </c>
      <c r="W23" s="16" t="str">
        <f ca="1">IFERROR(__xludf.dummyfunction("""COMPUTED_VALUE"""),"#N/A")</f>
        <v>#N/A</v>
      </c>
      <c r="X23" s="16" t="str">
        <f ca="1">IFERROR(__xludf.dummyfunction("""COMPUTED_VALUE"""),"#N/A")</f>
        <v>#N/A</v>
      </c>
      <c r="Y23" s="16" t="str">
        <f ca="1">IFERROR(__xludf.dummyfunction("""COMPUTED_VALUE"""),"#N/A")</f>
        <v>#N/A</v>
      </c>
      <c r="Z23" s="16" t="str">
        <f ca="1">IFERROR(__xludf.dummyfunction("""COMPUTED_VALUE"""),"#N/A")</f>
        <v>#N/A</v>
      </c>
      <c r="AA23" s="17" t="str">
        <f ca="1">IFERROR(__xludf.dummyfunction("""COMPUTED_VALUE"""),"#N/A")</f>
        <v>#N/A</v>
      </c>
      <c r="AB23" s="17" t="str">
        <f ca="1">IFERROR(__xludf.dummyfunction("""COMPUTED_VALUE"""),"#N/A")</f>
        <v>#N/A</v>
      </c>
      <c r="AC23" s="17" t="str">
        <f ca="1">IFERROR(__xludf.dummyfunction("""COMPUTED_VALUE"""),"#N/A")</f>
        <v>#N/A</v>
      </c>
      <c r="AD23" s="2" t="str">
        <f ca="1">IFERROR(__xludf.dummyfunction("""COMPUTED_VALUE"""),"#N/A")</f>
        <v>#N/A</v>
      </c>
      <c r="AE23" s="2" t="str">
        <f ca="1">IFERROR(__xludf.dummyfunction("""COMPUTED_VALUE"""),"#N/A")</f>
        <v>#N/A</v>
      </c>
      <c r="AF23" s="2" t="str">
        <f ca="1">IFERROR(__xludf.dummyfunction("""COMPUTED_VALUE"""),"#N/A")</f>
        <v>#N/A</v>
      </c>
      <c r="AG23" s="2" t="str">
        <f ca="1">IFERROR(__xludf.dummyfunction("""COMPUTED_VALUE"""),"#N/A")</f>
        <v>#N/A</v>
      </c>
    </row>
    <row r="24" spans="1:33" ht="27.6">
      <c r="A24" s="1"/>
      <c r="B24" s="1" t="s">
        <v>29</v>
      </c>
      <c r="C24" s="13">
        <v>8</v>
      </c>
      <c r="D24" s="2" t="s">
        <v>1509</v>
      </c>
      <c r="E24" s="1" t="s">
        <v>1283</v>
      </c>
      <c r="F24" s="1" t="s">
        <v>1518</v>
      </c>
      <c r="G24" s="14" t="s">
        <v>1521</v>
      </c>
      <c r="H24" s="18" t="str">
        <f ca="1">IFERROR(__xludf.dummyfunction("IFERROR(
  VLOOKUP(G24, IMPORTRANGE(""https://docs.google.com/spreadsheets/d/14deopnvwcrKtEGCKuYXdUHJbeLDZlkiSSWWT0g7x2pM/edit#gid=849066331"", ""LU List Maths (Filter)!A:B""), 2, FALSE),
  IFERROR(
    VLOOKUP(G24, IMPORTRANGE(""https://docs.google.com/s"&amp;"preadsheets/d/14deopnvwcrKtEGCKuYXdUHJbeLDZlkiSSWWT0g7x2pM/edit#gid=849066331"", ""LU List Science (Filter)!A:B""), 2, FALSE),
    ""Not Found""
  )
)
"),"Concept of food chain, food web, and pyramid of numbers")</f>
        <v>Concept of food chain, food web, and pyramid of numbers</v>
      </c>
      <c r="I24" s="2" t="s">
        <v>1522</v>
      </c>
      <c r="J24" s="1" t="str">
        <f t="shared" si="0"/>
        <v>LU006646.001</v>
      </c>
      <c r="K24" s="1" t="str">
        <f ca="1">IFERROR(__xludf.dummyfunction("VLOOKUP(J24, IMPORTRANGE(""https://docs.google.com/spreadsheets/d/1yDAaXNsi4Mr5FtRQL4tbmSdIzhx6_m4wkOD7IG-k_eo/edit#gid=1336395716"", ""Science!M:N""), 2, FALSE)"),"(LU006646.001); Default - Remember")</f>
        <v>(LU006646.001); Default - Remember</v>
      </c>
      <c r="L24" s="1" t="str">
        <f t="shared" si="1"/>
        <v>LU006646.002</v>
      </c>
      <c r="M24" s="1" t="str">
        <f ca="1">IFERROR(__xludf.dummyfunction("VLOOKUP(L24, IMPORTRANGE(""https://docs.google.com/spreadsheets/d/1yDAaXNsi4Mr5FtRQL4tbmSdIzhx6_m4wkOD7IG-k_eo/edit#gid=1336395716"", ""Science!M:N""), 2, FALSE)"),"(LU006646.002); Default - Understand")</f>
        <v>(LU006646.002); Default - Understand</v>
      </c>
      <c r="N24" s="1" t="str">
        <f t="shared" si="2"/>
        <v>LU006646.003</v>
      </c>
      <c r="O24" s="1" t="str">
        <f ca="1">IFERROR(__xludf.dummyfunction("VLOOKUP(N24, IMPORTRANGE(""https://docs.google.com/spreadsheets/d/1yDAaXNsi4Mr5FtRQL4tbmSdIzhx6_m4wkOD7IG-k_eo/edit#gid=1336395716"", ""Science!M:N""), 2, FALSE)"),"(LU006646.003); Default - Apply")</f>
        <v>(LU006646.003); Default - Apply</v>
      </c>
      <c r="P24" s="1" t="str">
        <f t="shared" si="3"/>
        <v>LU006646.004</v>
      </c>
      <c r="Q24" s="15" t="str">
        <f ca="1">IFERROR(__xludf.dummyfunction("VLOOKUP(P24, IMPORTRANGE(""https://docs.google.com/spreadsheets/d/1yDAaXNsi4Mr5FtRQL4tbmSdIzhx6_m4wkOD7IG-k_eo/edit#gid=1336395716"", ""Science!M:N""), 2, FALSE)"),"(LU006646.004); Default - Analyse")</f>
        <v>(LU006646.004); Default - Analyse</v>
      </c>
      <c r="R24" s="1" t="str">
        <f t="shared" si="4"/>
        <v>LU006646.005</v>
      </c>
      <c r="S24" s="15" t="str">
        <f ca="1">IFERROR(__xludf.dummyfunction("VLOOKUP(R24, IMPORTRANGE(""https://docs.google.com/spreadsheets/d/1yDAaXNsi4Mr5FtRQL4tbmSdIzhx6_m4wkOD7IG-k_eo/edit#gid=1336395716"", ""Science!M:N""), 2, FALSE)"),"(LU006646.005); Default - Evaluate")</f>
        <v>(LU006646.005); Default - Evaluate</v>
      </c>
      <c r="T24" s="1" t="str">
        <f t="shared" si="5"/>
        <v>LU006646.006</v>
      </c>
      <c r="U24" s="15" t="str">
        <f ca="1">IFERROR(__xludf.dummyfunction("VLOOKUP(T24, IMPORTRANGE(""https://docs.google.com/spreadsheets/d/1yDAaXNsi4Mr5FtRQL4tbmSdIzhx6_m4wkOD7IG-k_eo/edit#gid=1336395716"", ""Science!M:N""), 2, FALSE)"),"(LU006646.006); Default - Create")</f>
        <v>(LU006646.006); Default - Create</v>
      </c>
      <c r="V24" s="16" t="str">
        <f ca="1">IFERROR(__xludf.dummyfunction("ArrayFormula(VLOOKUP(G24, IMPORTRANGE(""https://docs.google.com/spreadsheets/d/1p7R4vtkWt5VOBim4ltsDG9KTzSjrtKXsMtQGXPHyND0/edit#gid=795171502"", ""'Filter 30_05_2024'!A1:M2000""), {2, 3, 4, 5,6,7,8,9,10,11,12,13}, 0))"),"#N/A")</f>
        <v>#N/A</v>
      </c>
      <c r="W24" s="16" t="str">
        <f ca="1">IFERROR(__xludf.dummyfunction("""COMPUTED_VALUE"""),"#N/A")</f>
        <v>#N/A</v>
      </c>
      <c r="X24" s="16" t="str">
        <f ca="1">IFERROR(__xludf.dummyfunction("""COMPUTED_VALUE"""),"#N/A")</f>
        <v>#N/A</v>
      </c>
      <c r="Y24" s="16" t="str">
        <f ca="1">IFERROR(__xludf.dummyfunction("""COMPUTED_VALUE"""),"#N/A")</f>
        <v>#N/A</v>
      </c>
      <c r="Z24" s="16" t="str">
        <f ca="1">IFERROR(__xludf.dummyfunction("""COMPUTED_VALUE"""),"#N/A")</f>
        <v>#N/A</v>
      </c>
      <c r="AA24" s="17" t="str">
        <f ca="1">IFERROR(__xludf.dummyfunction("""COMPUTED_VALUE"""),"#N/A")</f>
        <v>#N/A</v>
      </c>
      <c r="AB24" s="17" t="str">
        <f ca="1">IFERROR(__xludf.dummyfunction("""COMPUTED_VALUE"""),"#N/A")</f>
        <v>#N/A</v>
      </c>
      <c r="AC24" s="17" t="str">
        <f ca="1">IFERROR(__xludf.dummyfunction("""COMPUTED_VALUE"""),"#N/A")</f>
        <v>#N/A</v>
      </c>
      <c r="AD24" s="2" t="str">
        <f ca="1">IFERROR(__xludf.dummyfunction("""COMPUTED_VALUE"""),"#N/A")</f>
        <v>#N/A</v>
      </c>
      <c r="AE24" s="2" t="str">
        <f ca="1">IFERROR(__xludf.dummyfunction("""COMPUTED_VALUE"""),"#N/A")</f>
        <v>#N/A</v>
      </c>
      <c r="AF24" s="2" t="str">
        <f ca="1">IFERROR(__xludf.dummyfunction("""COMPUTED_VALUE"""),"#N/A")</f>
        <v>#N/A</v>
      </c>
      <c r="AG24" s="2" t="str">
        <f ca="1">IFERROR(__xludf.dummyfunction("""COMPUTED_VALUE"""),"#N/A")</f>
        <v>#N/A</v>
      </c>
    </row>
    <row r="25" spans="1:33" ht="27.6">
      <c r="A25" s="1"/>
      <c r="B25" s="1" t="s">
        <v>29</v>
      </c>
      <c r="C25" s="13">
        <v>8</v>
      </c>
      <c r="D25" s="2" t="s">
        <v>1509</v>
      </c>
      <c r="E25" s="1" t="s">
        <v>1283</v>
      </c>
      <c r="F25" s="1" t="s">
        <v>1523</v>
      </c>
      <c r="G25" s="14" t="s">
        <v>1524</v>
      </c>
      <c r="H25" s="18" t="str">
        <f ca="1">IFERROR(__xludf.dummyfunction("IFERROR(
  VLOOKUP(G25, IMPORTRANGE(""https://docs.google.com/spreadsheets/d/14deopnvwcrKtEGCKuYXdUHJbeLDZlkiSSWWT0g7x2pM/edit#gid=849066331"", ""LU List Maths (Filter)!A:B""), 2, FALSE),
  IFERROR(
    VLOOKUP(G25, IMPORTRANGE(""https://docs.google.com/s"&amp;"preadsheets/d/14deopnvwcrKtEGCKuYXdUHJbeLDZlkiSSWWT0g7x2pM/edit#gid=849066331"", ""LU List Science (Filter)!A:B""), 2, FALSE),
    ""Not Found""
  )
)
"),"Symbiosis, parasitism and predation")</f>
        <v>Symbiosis, parasitism and predation</v>
      </c>
      <c r="I25" s="2" t="s">
        <v>1525</v>
      </c>
      <c r="J25" s="1" t="str">
        <f t="shared" si="0"/>
        <v>LU006647.001</v>
      </c>
      <c r="K25" s="1" t="str">
        <f ca="1">IFERROR(__xludf.dummyfunction("VLOOKUP(J25, IMPORTRANGE(""https://docs.google.com/spreadsheets/d/1yDAaXNsi4Mr5FtRQL4tbmSdIzhx6_m4wkOD7IG-k_eo/edit#gid=1336395716"", ""Science!M:N""), 2, FALSE)"),"(LU006647.001); Default - Remember")</f>
        <v>(LU006647.001); Default - Remember</v>
      </c>
      <c r="L25" s="1" t="str">
        <f t="shared" si="1"/>
        <v>LU006647.002</v>
      </c>
      <c r="M25" s="1" t="str">
        <f ca="1">IFERROR(__xludf.dummyfunction("VLOOKUP(L25, IMPORTRANGE(""https://docs.google.com/spreadsheets/d/1yDAaXNsi4Mr5FtRQL4tbmSdIzhx6_m4wkOD7IG-k_eo/edit#gid=1336395716"", ""Science!M:N""), 2, FALSE)"),"(LU006647.002); Default - Understand")</f>
        <v>(LU006647.002); Default - Understand</v>
      </c>
      <c r="N25" s="1" t="str">
        <f t="shared" si="2"/>
        <v>LU006647.003</v>
      </c>
      <c r="O25" s="1" t="str">
        <f ca="1">IFERROR(__xludf.dummyfunction("VLOOKUP(N25, IMPORTRANGE(""https://docs.google.com/spreadsheets/d/1yDAaXNsi4Mr5FtRQL4tbmSdIzhx6_m4wkOD7IG-k_eo/edit#gid=1336395716"", ""Science!M:N""), 2, FALSE)"),"(LU006647.003); Default - Apply")</f>
        <v>(LU006647.003); Default - Apply</v>
      </c>
      <c r="P25" s="1" t="str">
        <f t="shared" si="3"/>
        <v>LU006647.004</v>
      </c>
      <c r="Q25" s="15" t="str">
        <f ca="1">IFERROR(__xludf.dummyfunction("VLOOKUP(P25, IMPORTRANGE(""https://docs.google.com/spreadsheets/d/1yDAaXNsi4Mr5FtRQL4tbmSdIzhx6_m4wkOD7IG-k_eo/edit#gid=1336395716"", ""Science!M:N""), 2, FALSE)"),"(LU006647.004); Default - Analyse")</f>
        <v>(LU006647.004); Default - Analyse</v>
      </c>
      <c r="R25" s="1" t="str">
        <f t="shared" si="4"/>
        <v>LU006647.005</v>
      </c>
      <c r="S25" s="15" t="str">
        <f ca="1">IFERROR(__xludf.dummyfunction("VLOOKUP(R25, IMPORTRANGE(""https://docs.google.com/spreadsheets/d/1yDAaXNsi4Mr5FtRQL4tbmSdIzhx6_m4wkOD7IG-k_eo/edit#gid=1336395716"", ""Science!M:N""), 2, FALSE)"),"(LU006647.005); Default - Evaluate")</f>
        <v>(LU006647.005); Default - Evaluate</v>
      </c>
      <c r="T25" s="1" t="str">
        <f t="shared" si="5"/>
        <v>LU006647.006</v>
      </c>
      <c r="U25" s="15" t="str">
        <f ca="1">IFERROR(__xludf.dummyfunction("VLOOKUP(T25, IMPORTRANGE(""https://docs.google.com/spreadsheets/d/1yDAaXNsi4Mr5FtRQL4tbmSdIzhx6_m4wkOD7IG-k_eo/edit#gid=1336395716"", ""Science!M:N""), 2, FALSE)"),"(LU006647.006); Default - Create")</f>
        <v>(LU006647.006); Default - Create</v>
      </c>
      <c r="V25" s="16" t="str">
        <f ca="1">IFERROR(__xludf.dummyfunction("ArrayFormula(VLOOKUP(G25, IMPORTRANGE(""https://docs.google.com/spreadsheets/d/1p7R4vtkWt5VOBim4ltsDG9KTzSjrtKXsMtQGXPHyND0/edit#gid=795171502"", ""'Filter 30_05_2024'!A1:M2000""), {2, 3, 4, 5,6,7,8,9,10,11,12,13}, 0))"),"#N/A")</f>
        <v>#N/A</v>
      </c>
      <c r="W25" s="16" t="str">
        <f ca="1">IFERROR(__xludf.dummyfunction("""COMPUTED_VALUE"""),"#N/A")</f>
        <v>#N/A</v>
      </c>
      <c r="X25" s="16" t="str">
        <f ca="1">IFERROR(__xludf.dummyfunction("""COMPUTED_VALUE"""),"#N/A")</f>
        <v>#N/A</v>
      </c>
      <c r="Y25" s="16" t="str">
        <f ca="1">IFERROR(__xludf.dummyfunction("""COMPUTED_VALUE"""),"#N/A")</f>
        <v>#N/A</v>
      </c>
      <c r="Z25" s="16" t="str">
        <f ca="1">IFERROR(__xludf.dummyfunction("""COMPUTED_VALUE"""),"#N/A")</f>
        <v>#N/A</v>
      </c>
      <c r="AA25" s="17" t="str">
        <f ca="1">IFERROR(__xludf.dummyfunction("""COMPUTED_VALUE"""),"#N/A")</f>
        <v>#N/A</v>
      </c>
      <c r="AB25" s="17" t="str">
        <f ca="1">IFERROR(__xludf.dummyfunction("""COMPUTED_VALUE"""),"#N/A")</f>
        <v>#N/A</v>
      </c>
      <c r="AC25" s="17" t="str">
        <f ca="1">IFERROR(__xludf.dummyfunction("""COMPUTED_VALUE"""),"#N/A")</f>
        <v>#N/A</v>
      </c>
      <c r="AD25" s="2" t="str">
        <f ca="1">IFERROR(__xludf.dummyfunction("""COMPUTED_VALUE"""),"#N/A")</f>
        <v>#N/A</v>
      </c>
      <c r="AE25" s="2" t="str">
        <f ca="1">IFERROR(__xludf.dummyfunction("""COMPUTED_VALUE"""),"#N/A")</f>
        <v>#N/A</v>
      </c>
      <c r="AF25" s="2" t="str">
        <f ca="1">IFERROR(__xludf.dummyfunction("""COMPUTED_VALUE"""),"#N/A")</f>
        <v>#N/A</v>
      </c>
      <c r="AG25" s="2" t="str">
        <f ca="1">IFERROR(__xludf.dummyfunction("""COMPUTED_VALUE"""),"#N/A")</f>
        <v>#N/A</v>
      </c>
    </row>
    <row r="26" spans="1:33" ht="27.6">
      <c r="A26" s="1"/>
      <c r="B26" s="1" t="s">
        <v>29</v>
      </c>
      <c r="C26" s="13">
        <v>8</v>
      </c>
      <c r="D26" s="2" t="s">
        <v>1509</v>
      </c>
      <c r="E26" s="1" t="s">
        <v>1283</v>
      </c>
      <c r="F26" s="1" t="s">
        <v>1526</v>
      </c>
      <c r="G26" s="14" t="s">
        <v>1527</v>
      </c>
      <c r="H26" s="18" t="str">
        <f ca="1">IFERROR(__xludf.dummyfunction("IFERROR(
  VLOOKUP(G26, IMPORTRANGE(""https://docs.google.com/spreadsheets/d/14deopnvwcrKtEGCKuYXdUHJbeLDZlkiSSWWT0g7x2pM/edit#gid=849066331"", ""LU List Maths (Filter)!A:B""), 2, FALSE),
  IFERROR(
    VLOOKUP(G26, IMPORTRANGE(""https://docs.google.com/s"&amp;"preadsheets/d/14deopnvwcrKtEGCKuYXdUHJbeLDZlkiSSWWT0g7x2pM/edit#gid=849066331"", ""LU List Science (Filter)!A:B""), 2, FALSE),
    ""Not Found""
  )
)
"),"Forest ecosystem with its flora and fauna")</f>
        <v>Forest ecosystem with its flora and fauna</v>
      </c>
      <c r="I26" s="2" t="s">
        <v>1528</v>
      </c>
      <c r="J26" s="1" t="str">
        <f t="shared" si="0"/>
        <v>LU006648.001</v>
      </c>
      <c r="K26" s="1" t="str">
        <f ca="1">IFERROR(__xludf.dummyfunction("VLOOKUP(J26, IMPORTRANGE(""https://docs.google.com/spreadsheets/d/1yDAaXNsi4Mr5FtRQL4tbmSdIzhx6_m4wkOD7IG-k_eo/edit#gid=1336395716"", ""Science!M:N""), 2, FALSE)"),"(LU006648.001); Default - Remember")</f>
        <v>(LU006648.001); Default - Remember</v>
      </c>
      <c r="L26" s="1" t="str">
        <f t="shared" si="1"/>
        <v>LU006648.002</v>
      </c>
      <c r="M26" s="1" t="str">
        <f ca="1">IFERROR(__xludf.dummyfunction("VLOOKUP(L26, IMPORTRANGE(""https://docs.google.com/spreadsheets/d/1yDAaXNsi4Mr5FtRQL4tbmSdIzhx6_m4wkOD7IG-k_eo/edit#gid=1336395716"", ""Science!M:N""), 2, FALSE)"),"(LU006648.002); Default - Understand")</f>
        <v>(LU006648.002); Default - Understand</v>
      </c>
      <c r="N26" s="1" t="str">
        <f t="shared" si="2"/>
        <v>LU006648.003</v>
      </c>
      <c r="O26" s="1" t="str">
        <f ca="1">IFERROR(__xludf.dummyfunction("VLOOKUP(N26, IMPORTRANGE(""https://docs.google.com/spreadsheets/d/1yDAaXNsi4Mr5FtRQL4tbmSdIzhx6_m4wkOD7IG-k_eo/edit#gid=1336395716"", ""Science!M:N""), 2, FALSE)"),"(LU006648.003); Default - Apply")</f>
        <v>(LU006648.003); Default - Apply</v>
      </c>
      <c r="P26" s="1" t="str">
        <f t="shared" si="3"/>
        <v>LU006648.004</v>
      </c>
      <c r="Q26" s="15" t="str">
        <f ca="1">IFERROR(__xludf.dummyfunction("VLOOKUP(P26, IMPORTRANGE(""https://docs.google.com/spreadsheets/d/1yDAaXNsi4Mr5FtRQL4tbmSdIzhx6_m4wkOD7IG-k_eo/edit#gid=1336395716"", ""Science!M:N""), 2, FALSE)"),"(LU006648.004); Default - Analyse")</f>
        <v>(LU006648.004); Default - Analyse</v>
      </c>
      <c r="R26" s="1" t="str">
        <f t="shared" si="4"/>
        <v>LU006648.005</v>
      </c>
      <c r="S26" s="15" t="str">
        <f ca="1">IFERROR(__xludf.dummyfunction("VLOOKUP(R26, IMPORTRANGE(""https://docs.google.com/spreadsheets/d/1yDAaXNsi4Mr5FtRQL4tbmSdIzhx6_m4wkOD7IG-k_eo/edit#gid=1336395716"", ""Science!M:N""), 2, FALSE)"),"(LU006648.005); Default - Evaluate")</f>
        <v>(LU006648.005); Default - Evaluate</v>
      </c>
      <c r="T26" s="1" t="str">
        <f t="shared" si="5"/>
        <v>LU006648.006</v>
      </c>
      <c r="U26" s="15" t="str">
        <f ca="1">IFERROR(__xludf.dummyfunction("VLOOKUP(T26, IMPORTRANGE(""https://docs.google.com/spreadsheets/d/1yDAaXNsi4Mr5FtRQL4tbmSdIzhx6_m4wkOD7IG-k_eo/edit#gid=1336395716"", ""Science!M:N""), 2, FALSE)"),"(LU006648.006); Default - Create")</f>
        <v>(LU006648.006); Default - Create</v>
      </c>
      <c r="V26" s="16" t="str">
        <f ca="1">IFERROR(__xludf.dummyfunction("ArrayFormula(VLOOKUP(G26, IMPORTRANGE(""https://docs.google.com/spreadsheets/d/1p7R4vtkWt5VOBim4ltsDG9KTzSjrtKXsMtQGXPHyND0/edit#gid=795171502"", ""'Filter 30_05_2024'!A1:M2000""), {2, 3, 4, 5,6,7,8,9,10,11,12,13}, 0))"),"#N/A")</f>
        <v>#N/A</v>
      </c>
      <c r="W26" s="16" t="str">
        <f ca="1">IFERROR(__xludf.dummyfunction("""COMPUTED_VALUE"""),"#N/A")</f>
        <v>#N/A</v>
      </c>
      <c r="X26" s="16" t="str">
        <f ca="1">IFERROR(__xludf.dummyfunction("""COMPUTED_VALUE"""),"#N/A")</f>
        <v>#N/A</v>
      </c>
      <c r="Y26" s="16" t="str">
        <f ca="1">IFERROR(__xludf.dummyfunction("""COMPUTED_VALUE"""),"#N/A")</f>
        <v>#N/A</v>
      </c>
      <c r="Z26" s="16" t="str">
        <f ca="1">IFERROR(__xludf.dummyfunction("""COMPUTED_VALUE"""),"#N/A")</f>
        <v>#N/A</v>
      </c>
      <c r="AA26" s="17" t="str">
        <f ca="1">IFERROR(__xludf.dummyfunction("""COMPUTED_VALUE"""),"#N/A")</f>
        <v>#N/A</v>
      </c>
      <c r="AB26" s="17" t="str">
        <f ca="1">IFERROR(__xludf.dummyfunction("""COMPUTED_VALUE"""),"#N/A")</f>
        <v>#N/A</v>
      </c>
      <c r="AC26" s="17" t="str">
        <f ca="1">IFERROR(__xludf.dummyfunction("""COMPUTED_VALUE"""),"#N/A")</f>
        <v>#N/A</v>
      </c>
      <c r="AD26" s="2" t="str">
        <f ca="1">IFERROR(__xludf.dummyfunction("""COMPUTED_VALUE"""),"#N/A")</f>
        <v>#N/A</v>
      </c>
      <c r="AE26" s="2" t="str">
        <f ca="1">IFERROR(__xludf.dummyfunction("""COMPUTED_VALUE"""),"#N/A")</f>
        <v>#N/A</v>
      </c>
      <c r="AF26" s="2" t="str">
        <f ca="1">IFERROR(__xludf.dummyfunction("""COMPUTED_VALUE"""),"#N/A")</f>
        <v>#N/A</v>
      </c>
      <c r="AG26" s="2" t="str">
        <f ca="1">IFERROR(__xludf.dummyfunction("""COMPUTED_VALUE"""),"#N/A")</f>
        <v>#N/A</v>
      </c>
    </row>
    <row r="27" spans="1:33" ht="27.6">
      <c r="A27" s="1"/>
      <c r="B27" s="1" t="s">
        <v>29</v>
      </c>
      <c r="C27" s="13">
        <v>8</v>
      </c>
      <c r="D27" s="2" t="s">
        <v>1529</v>
      </c>
      <c r="E27" s="1" t="s">
        <v>1283</v>
      </c>
      <c r="F27" s="1" t="s">
        <v>1530</v>
      </c>
      <c r="G27" s="14" t="s">
        <v>1531</v>
      </c>
      <c r="H27" s="18" t="str">
        <f ca="1">IFERROR(__xludf.dummyfunction("IFERROR(
  VLOOKUP(G27, IMPORTRANGE(""https://docs.google.com/spreadsheets/d/14deopnvwcrKtEGCKuYXdUHJbeLDZlkiSSWWT0g7x2pM/edit#gid=849066331"", ""LU List Maths (Filter)!A:B""), 2, FALSE),
  IFERROR(
    VLOOKUP(G27, IMPORTRANGE(""https://docs.google.com/s"&amp;"preadsheets/d/14deopnvwcrKtEGCKuYXdUHJbeLDZlkiSSWWT0g7x2pM/edit#gid=849066331"", ""LU List Science (Filter)!A:B""), 2, FALSE),
    ""Not Found""
  )
)
"),"Two types of glands- exocrine and endocrine ")</f>
        <v xml:space="preserve">Two types of glands- exocrine and endocrine </v>
      </c>
      <c r="I27" s="2" t="s">
        <v>1532</v>
      </c>
      <c r="J27" s="1" t="str">
        <f t="shared" si="0"/>
        <v>LU006649.001</v>
      </c>
      <c r="K27" s="1" t="str">
        <f ca="1">IFERROR(__xludf.dummyfunction("VLOOKUP(J27, IMPORTRANGE(""https://docs.google.com/spreadsheets/d/1yDAaXNsi4Mr5FtRQL4tbmSdIzhx6_m4wkOD7IG-k_eo/edit#gid=1336395716"", ""Science!M:N""), 2, FALSE)"),"(LU006649.001); Default - Remember")</f>
        <v>(LU006649.001); Default - Remember</v>
      </c>
      <c r="L27" s="1" t="str">
        <f t="shared" si="1"/>
        <v>LU006649.002</v>
      </c>
      <c r="M27" s="1" t="str">
        <f ca="1">IFERROR(__xludf.dummyfunction("VLOOKUP(L27, IMPORTRANGE(""https://docs.google.com/spreadsheets/d/1yDAaXNsi4Mr5FtRQL4tbmSdIzhx6_m4wkOD7IG-k_eo/edit#gid=1336395716"", ""Science!M:N""), 2, FALSE)"),"(LU006649.002); Default - Understand")</f>
        <v>(LU006649.002); Default - Understand</v>
      </c>
      <c r="N27" s="1" t="str">
        <f t="shared" si="2"/>
        <v>LU006649.003</v>
      </c>
      <c r="O27" s="1" t="str">
        <f ca="1">IFERROR(__xludf.dummyfunction("VLOOKUP(N27, IMPORTRANGE(""https://docs.google.com/spreadsheets/d/1yDAaXNsi4Mr5FtRQL4tbmSdIzhx6_m4wkOD7IG-k_eo/edit#gid=1336395716"", ""Science!M:N""), 2, FALSE)"),"(LU006649.003); Default - Apply")</f>
        <v>(LU006649.003); Default - Apply</v>
      </c>
      <c r="P27" s="1" t="str">
        <f t="shared" si="3"/>
        <v>LU006649.004</v>
      </c>
      <c r="Q27" s="15" t="str">
        <f ca="1">IFERROR(__xludf.dummyfunction("VLOOKUP(P27, IMPORTRANGE(""https://docs.google.com/spreadsheets/d/1yDAaXNsi4Mr5FtRQL4tbmSdIzhx6_m4wkOD7IG-k_eo/edit#gid=1336395716"", ""Science!M:N""), 2, FALSE)"),"(LU006649.004); Default - Analyse")</f>
        <v>(LU006649.004); Default - Analyse</v>
      </c>
      <c r="R27" s="1" t="str">
        <f t="shared" si="4"/>
        <v>LU006649.005</v>
      </c>
      <c r="S27" s="15" t="str">
        <f ca="1">IFERROR(__xludf.dummyfunction("VLOOKUP(R27, IMPORTRANGE(""https://docs.google.com/spreadsheets/d/1yDAaXNsi4Mr5FtRQL4tbmSdIzhx6_m4wkOD7IG-k_eo/edit#gid=1336395716"", ""Science!M:N""), 2, FALSE)"),"(LU006649.005); Default - Evaluate")</f>
        <v>(LU006649.005); Default - Evaluate</v>
      </c>
      <c r="T27" s="1" t="str">
        <f t="shared" si="5"/>
        <v>LU006649.006</v>
      </c>
      <c r="U27" s="15" t="str">
        <f ca="1">IFERROR(__xludf.dummyfunction("VLOOKUP(T27, IMPORTRANGE(""https://docs.google.com/spreadsheets/d/1yDAaXNsi4Mr5FtRQL4tbmSdIzhx6_m4wkOD7IG-k_eo/edit#gid=1336395716"", ""Science!M:N""), 2, FALSE)"),"(LU006649.006); Default - Create")</f>
        <v>(LU006649.006); Default - Create</v>
      </c>
      <c r="V27" s="16" t="str">
        <f ca="1">IFERROR(__xludf.dummyfunction("ArrayFormula(VLOOKUP(G27, IMPORTRANGE(""https://docs.google.com/spreadsheets/d/1p7R4vtkWt5VOBim4ltsDG9KTzSjrtKXsMtQGXPHyND0/edit#gid=795171502"", ""'Filter 30_05_2024'!A1:M2000""), {2, 3, 4, 5,6,7,8,9,10,11,12,13}, 0))"),"#N/A")</f>
        <v>#N/A</v>
      </c>
      <c r="W27" s="16" t="str">
        <f ca="1">IFERROR(__xludf.dummyfunction("""COMPUTED_VALUE"""),"#N/A")</f>
        <v>#N/A</v>
      </c>
      <c r="X27" s="16" t="str">
        <f ca="1">IFERROR(__xludf.dummyfunction("""COMPUTED_VALUE"""),"#N/A")</f>
        <v>#N/A</v>
      </c>
      <c r="Y27" s="16" t="str">
        <f ca="1">IFERROR(__xludf.dummyfunction("""COMPUTED_VALUE"""),"#N/A")</f>
        <v>#N/A</v>
      </c>
      <c r="Z27" s="16" t="str">
        <f ca="1">IFERROR(__xludf.dummyfunction("""COMPUTED_VALUE"""),"#N/A")</f>
        <v>#N/A</v>
      </c>
      <c r="AA27" s="17" t="str">
        <f ca="1">IFERROR(__xludf.dummyfunction("""COMPUTED_VALUE"""),"#N/A")</f>
        <v>#N/A</v>
      </c>
      <c r="AB27" s="17" t="str">
        <f ca="1">IFERROR(__xludf.dummyfunction("""COMPUTED_VALUE"""),"#N/A")</f>
        <v>#N/A</v>
      </c>
      <c r="AC27" s="17" t="str">
        <f ca="1">IFERROR(__xludf.dummyfunction("""COMPUTED_VALUE"""),"#N/A")</f>
        <v>#N/A</v>
      </c>
      <c r="AD27" s="2" t="str">
        <f ca="1">IFERROR(__xludf.dummyfunction("""COMPUTED_VALUE"""),"#N/A")</f>
        <v>#N/A</v>
      </c>
      <c r="AE27" s="2" t="str">
        <f ca="1">IFERROR(__xludf.dummyfunction("""COMPUTED_VALUE"""),"#N/A")</f>
        <v>#N/A</v>
      </c>
      <c r="AF27" s="2" t="str">
        <f ca="1">IFERROR(__xludf.dummyfunction("""COMPUTED_VALUE"""),"#N/A")</f>
        <v>#N/A</v>
      </c>
      <c r="AG27" s="2" t="str">
        <f ca="1">IFERROR(__xludf.dummyfunction("""COMPUTED_VALUE"""),"#N/A")</f>
        <v>#N/A</v>
      </c>
    </row>
    <row r="28" spans="1:33" ht="27.6">
      <c r="A28" s="1"/>
      <c r="B28" s="1" t="s">
        <v>29</v>
      </c>
      <c r="C28" s="13">
        <v>8</v>
      </c>
      <c r="D28" s="2" t="s">
        <v>1529</v>
      </c>
      <c r="E28" s="1" t="s">
        <v>1283</v>
      </c>
      <c r="F28" s="1" t="s">
        <v>1530</v>
      </c>
      <c r="G28" s="14" t="s">
        <v>1533</v>
      </c>
      <c r="H28" s="18" t="str">
        <f ca="1">IFERROR(__xludf.dummyfunction("IFERROR(
  VLOOKUP(G28, IMPORTRANGE(""https://docs.google.com/spreadsheets/d/14deopnvwcrKtEGCKuYXdUHJbeLDZlkiSSWWT0g7x2pM/edit#gid=849066331"", ""LU List Maths (Filter)!A:B""), 2, FALSE),
  IFERROR(
    VLOOKUP(G28, IMPORTRANGE(""https://docs.google.com/s"&amp;"preadsheets/d/14deopnvwcrKtEGCKuYXdUHJbeLDZlkiSSWWT0g7x2pM/edit#gid=849066331"", ""LU List Science (Filter)!A:B""), 2, FALSE),
    ""Not Found""
  )
)
"),"Definition of hormones and hormonal glands")</f>
        <v>Definition of hormones and hormonal glands</v>
      </c>
      <c r="I28" s="2"/>
      <c r="J28" s="1" t="str">
        <f t="shared" si="0"/>
        <v>LU006650.001</v>
      </c>
      <c r="K28" s="1" t="str">
        <f ca="1">IFERROR(__xludf.dummyfunction("VLOOKUP(J28, IMPORTRANGE(""https://docs.google.com/spreadsheets/d/1yDAaXNsi4Mr5FtRQL4tbmSdIzhx6_m4wkOD7IG-k_eo/edit#gid=1336395716"", ""Science!M:N""), 2, FALSE)"),"(LU006650.001); Default - Remember")</f>
        <v>(LU006650.001); Default - Remember</v>
      </c>
      <c r="L28" s="1" t="str">
        <f t="shared" si="1"/>
        <v>LU006650.002</v>
      </c>
      <c r="M28" s="1" t="str">
        <f ca="1">IFERROR(__xludf.dummyfunction("VLOOKUP(L28, IMPORTRANGE(""https://docs.google.com/spreadsheets/d/1yDAaXNsi4Mr5FtRQL4tbmSdIzhx6_m4wkOD7IG-k_eo/edit#gid=1336395716"", ""Science!M:N""), 2, FALSE)"),"(LU006650.002); Default - Understand")</f>
        <v>(LU006650.002); Default - Understand</v>
      </c>
      <c r="N28" s="1" t="str">
        <f t="shared" si="2"/>
        <v>LU006650.003</v>
      </c>
      <c r="O28" s="1" t="str">
        <f ca="1">IFERROR(__xludf.dummyfunction("VLOOKUP(N28, IMPORTRANGE(""https://docs.google.com/spreadsheets/d/1yDAaXNsi4Mr5FtRQL4tbmSdIzhx6_m4wkOD7IG-k_eo/edit#gid=1336395716"", ""Science!M:N""), 2, FALSE)"),"(LU006650.003); Default - Apply")</f>
        <v>(LU006650.003); Default - Apply</v>
      </c>
      <c r="P28" s="1" t="str">
        <f t="shared" si="3"/>
        <v>LU006650.004</v>
      </c>
      <c r="Q28" s="15" t="str">
        <f ca="1">IFERROR(__xludf.dummyfunction("VLOOKUP(P28, IMPORTRANGE(""https://docs.google.com/spreadsheets/d/1yDAaXNsi4Mr5FtRQL4tbmSdIzhx6_m4wkOD7IG-k_eo/edit#gid=1336395716"", ""Science!M:N""), 2, FALSE)"),"(LU006650.004); Default - Analyse")</f>
        <v>(LU006650.004); Default - Analyse</v>
      </c>
      <c r="R28" s="1" t="str">
        <f t="shared" si="4"/>
        <v>LU006650.005</v>
      </c>
      <c r="S28" s="15" t="str">
        <f ca="1">IFERROR(__xludf.dummyfunction("VLOOKUP(R28, IMPORTRANGE(""https://docs.google.com/spreadsheets/d/1yDAaXNsi4Mr5FtRQL4tbmSdIzhx6_m4wkOD7IG-k_eo/edit#gid=1336395716"", ""Science!M:N""), 2, FALSE)"),"(LU006650.005); Default - Evaluate")</f>
        <v>(LU006650.005); Default - Evaluate</v>
      </c>
      <c r="T28" s="1" t="str">
        <f t="shared" si="5"/>
        <v>LU006650.006</v>
      </c>
      <c r="U28" s="15" t="str">
        <f ca="1">IFERROR(__xludf.dummyfunction("VLOOKUP(T28, IMPORTRANGE(""https://docs.google.com/spreadsheets/d/1yDAaXNsi4Mr5FtRQL4tbmSdIzhx6_m4wkOD7IG-k_eo/edit#gid=1336395716"", ""Science!M:N""), 2, FALSE)"),"(LU006650.006); Default - Create")</f>
        <v>(LU006650.006); Default - Create</v>
      </c>
      <c r="V28" s="16" t="str">
        <f ca="1">IFERROR(__xludf.dummyfunction("ArrayFormula(VLOOKUP(G28, IMPORTRANGE(""https://docs.google.com/spreadsheets/d/1p7R4vtkWt5VOBim4ltsDG9KTzSjrtKXsMtQGXPHyND0/edit#gid=795171502"", ""'Filter 30_05_2024'!A1:M2000""), {2, 3, 4, 5,6,7,8,9,10,11,12,13}, 0))"),"#N/A")</f>
        <v>#N/A</v>
      </c>
      <c r="W28" s="16" t="str">
        <f ca="1">IFERROR(__xludf.dummyfunction("""COMPUTED_VALUE"""),"#N/A")</f>
        <v>#N/A</v>
      </c>
      <c r="X28" s="16" t="str">
        <f ca="1">IFERROR(__xludf.dummyfunction("""COMPUTED_VALUE"""),"#N/A")</f>
        <v>#N/A</v>
      </c>
      <c r="Y28" s="16" t="str">
        <f ca="1">IFERROR(__xludf.dummyfunction("""COMPUTED_VALUE"""),"#N/A")</f>
        <v>#N/A</v>
      </c>
      <c r="Z28" s="16" t="str">
        <f ca="1">IFERROR(__xludf.dummyfunction("""COMPUTED_VALUE"""),"#N/A")</f>
        <v>#N/A</v>
      </c>
      <c r="AA28" s="17" t="str">
        <f ca="1">IFERROR(__xludf.dummyfunction("""COMPUTED_VALUE"""),"#N/A")</f>
        <v>#N/A</v>
      </c>
      <c r="AB28" s="17" t="str">
        <f ca="1">IFERROR(__xludf.dummyfunction("""COMPUTED_VALUE"""),"#N/A")</f>
        <v>#N/A</v>
      </c>
      <c r="AC28" s="17" t="str">
        <f ca="1">IFERROR(__xludf.dummyfunction("""COMPUTED_VALUE"""),"#N/A")</f>
        <v>#N/A</v>
      </c>
      <c r="AD28" s="2" t="str">
        <f ca="1">IFERROR(__xludf.dummyfunction("""COMPUTED_VALUE"""),"#N/A")</f>
        <v>#N/A</v>
      </c>
      <c r="AE28" s="2" t="str">
        <f ca="1">IFERROR(__xludf.dummyfunction("""COMPUTED_VALUE"""),"#N/A")</f>
        <v>#N/A</v>
      </c>
      <c r="AF28" s="2" t="str">
        <f ca="1">IFERROR(__xludf.dummyfunction("""COMPUTED_VALUE"""),"#N/A")</f>
        <v>#N/A</v>
      </c>
      <c r="AG28" s="2" t="str">
        <f ca="1">IFERROR(__xludf.dummyfunction("""COMPUTED_VALUE"""),"#N/A")</f>
        <v>#N/A</v>
      </c>
    </row>
    <row r="29" spans="1:33" ht="27.6">
      <c r="A29" s="1"/>
      <c r="B29" s="1" t="s">
        <v>29</v>
      </c>
      <c r="C29" s="13">
        <v>8</v>
      </c>
      <c r="D29" s="2" t="s">
        <v>1529</v>
      </c>
      <c r="E29" s="1" t="s">
        <v>1283</v>
      </c>
      <c r="F29" s="1" t="s">
        <v>1534</v>
      </c>
      <c r="G29" s="14" t="s">
        <v>1535</v>
      </c>
      <c r="H29" s="18" t="str">
        <f ca="1">IFERROR(__xludf.dummyfunction("IFERROR(
  VLOOKUP(G29, IMPORTRANGE(""https://docs.google.com/spreadsheets/d/14deopnvwcrKtEGCKuYXdUHJbeLDZlkiSSWWT0g7x2pM/edit#gid=849066331"", ""LU List Maths (Filter)!A:B""), 2, FALSE),
  IFERROR(
    VLOOKUP(G29, IMPORTRANGE(""https://docs.google.com/s"&amp;"preadsheets/d/14deopnvwcrKtEGCKuYXdUHJbeLDZlkiSSWWT0g7x2pM/edit#gid=849066331"", ""LU List Science (Filter)!A:B""), 2, FALSE),
    ""Not Found""
  )
)
"),"Thyroid, adrenal, pancreas, and pituitary")</f>
        <v>Thyroid, adrenal, pancreas, and pituitary</v>
      </c>
      <c r="I29" s="2" t="s">
        <v>1536</v>
      </c>
      <c r="J29" s="1" t="str">
        <f t="shared" si="0"/>
        <v>LU006651.001</v>
      </c>
      <c r="K29" s="1" t="str">
        <f ca="1">IFERROR(__xludf.dummyfunction("VLOOKUP(J29, IMPORTRANGE(""https://docs.google.com/spreadsheets/d/1yDAaXNsi4Mr5FtRQL4tbmSdIzhx6_m4wkOD7IG-k_eo/edit#gid=1336395716"", ""Science!M:N""), 2, FALSE)"),"(LU006651.001); Default - Remember")</f>
        <v>(LU006651.001); Default - Remember</v>
      </c>
      <c r="L29" s="1" t="str">
        <f t="shared" si="1"/>
        <v>LU006651.002</v>
      </c>
      <c r="M29" s="1" t="str">
        <f ca="1">IFERROR(__xludf.dummyfunction("VLOOKUP(L29, IMPORTRANGE(""https://docs.google.com/spreadsheets/d/1yDAaXNsi4Mr5FtRQL4tbmSdIzhx6_m4wkOD7IG-k_eo/edit#gid=1336395716"", ""Science!M:N""), 2, FALSE)"),"(LU006651.002); Default - Understand")</f>
        <v>(LU006651.002); Default - Understand</v>
      </c>
      <c r="N29" s="1" t="str">
        <f t="shared" si="2"/>
        <v>LU006651.003</v>
      </c>
      <c r="O29" s="1" t="str">
        <f ca="1">IFERROR(__xludf.dummyfunction("VLOOKUP(N29, IMPORTRANGE(""https://docs.google.com/spreadsheets/d/1yDAaXNsi4Mr5FtRQL4tbmSdIzhx6_m4wkOD7IG-k_eo/edit#gid=1336395716"", ""Science!M:N""), 2, FALSE)"),"(LU006651.003); Default - Apply")</f>
        <v>(LU006651.003); Default - Apply</v>
      </c>
      <c r="P29" s="1" t="str">
        <f t="shared" si="3"/>
        <v>LU006651.004</v>
      </c>
      <c r="Q29" s="15" t="str">
        <f ca="1">IFERROR(__xludf.dummyfunction("VLOOKUP(P29, IMPORTRANGE(""https://docs.google.com/spreadsheets/d/1yDAaXNsi4Mr5FtRQL4tbmSdIzhx6_m4wkOD7IG-k_eo/edit#gid=1336395716"", ""Science!M:N""), 2, FALSE)"),"(LU006651.004); Default - Analyse")</f>
        <v>(LU006651.004); Default - Analyse</v>
      </c>
      <c r="R29" s="1" t="str">
        <f t="shared" si="4"/>
        <v>LU006651.005</v>
      </c>
      <c r="S29" s="15" t="str">
        <f ca="1">IFERROR(__xludf.dummyfunction("VLOOKUP(R29, IMPORTRANGE(""https://docs.google.com/spreadsheets/d/1yDAaXNsi4Mr5FtRQL4tbmSdIzhx6_m4wkOD7IG-k_eo/edit#gid=1336395716"", ""Science!M:N""), 2, FALSE)"),"(LU006651.005); Default - Evaluate")</f>
        <v>(LU006651.005); Default - Evaluate</v>
      </c>
      <c r="T29" s="1" t="str">
        <f t="shared" si="5"/>
        <v>LU006651.006</v>
      </c>
      <c r="U29" s="15" t="str">
        <f ca="1">IFERROR(__xludf.dummyfunction("VLOOKUP(T29, IMPORTRANGE(""https://docs.google.com/spreadsheets/d/1yDAaXNsi4Mr5FtRQL4tbmSdIzhx6_m4wkOD7IG-k_eo/edit#gid=1336395716"", ""Science!M:N""), 2, FALSE)"),"(LU006651.006); Default - Create")</f>
        <v>(LU006651.006); Default - Create</v>
      </c>
      <c r="V29" s="16" t="str">
        <f ca="1">IFERROR(__xludf.dummyfunction("ArrayFormula(VLOOKUP(G29, IMPORTRANGE(""https://docs.google.com/spreadsheets/d/1p7R4vtkWt5VOBim4ltsDG9KTzSjrtKXsMtQGXPHyND0/edit#gid=795171502"", ""'Filter 30_05_2024'!A1:M2000""), {2, 3, 4, 5,6,7,8,9,10,11,12,13}, 0))"),"#N/A")</f>
        <v>#N/A</v>
      </c>
      <c r="W29" s="16" t="str">
        <f ca="1">IFERROR(__xludf.dummyfunction("""COMPUTED_VALUE"""),"#N/A")</f>
        <v>#N/A</v>
      </c>
      <c r="X29" s="16" t="str">
        <f ca="1">IFERROR(__xludf.dummyfunction("""COMPUTED_VALUE"""),"#N/A")</f>
        <v>#N/A</v>
      </c>
      <c r="Y29" s="16" t="str">
        <f ca="1">IFERROR(__xludf.dummyfunction("""COMPUTED_VALUE"""),"#N/A")</f>
        <v>#N/A</v>
      </c>
      <c r="Z29" s="16" t="str">
        <f ca="1">IFERROR(__xludf.dummyfunction("""COMPUTED_VALUE"""),"#N/A")</f>
        <v>#N/A</v>
      </c>
      <c r="AA29" s="17" t="str">
        <f ca="1">IFERROR(__xludf.dummyfunction("""COMPUTED_VALUE"""),"#N/A")</f>
        <v>#N/A</v>
      </c>
      <c r="AB29" s="17" t="str">
        <f ca="1">IFERROR(__xludf.dummyfunction("""COMPUTED_VALUE"""),"#N/A")</f>
        <v>#N/A</v>
      </c>
      <c r="AC29" s="17" t="str">
        <f ca="1">IFERROR(__xludf.dummyfunction("""COMPUTED_VALUE"""),"#N/A")</f>
        <v>#N/A</v>
      </c>
      <c r="AD29" s="2" t="str">
        <f ca="1">IFERROR(__xludf.dummyfunction("""COMPUTED_VALUE"""),"#N/A")</f>
        <v>#N/A</v>
      </c>
      <c r="AE29" s="2" t="str">
        <f ca="1">IFERROR(__xludf.dummyfunction("""COMPUTED_VALUE"""),"#N/A")</f>
        <v>#N/A</v>
      </c>
      <c r="AF29" s="2" t="str">
        <f ca="1">IFERROR(__xludf.dummyfunction("""COMPUTED_VALUE"""),"#N/A")</f>
        <v>#N/A</v>
      </c>
      <c r="AG29" s="2" t="str">
        <f ca="1">IFERROR(__xludf.dummyfunction("""COMPUTED_VALUE"""),"#N/A")</f>
        <v>#N/A</v>
      </c>
    </row>
    <row r="30" spans="1:33" ht="55.2">
      <c r="A30" s="1"/>
      <c r="B30" s="1" t="s">
        <v>29</v>
      </c>
      <c r="C30" s="13">
        <v>8</v>
      </c>
      <c r="D30" s="2" t="s">
        <v>1529</v>
      </c>
      <c r="E30" s="1" t="s">
        <v>1283</v>
      </c>
      <c r="F30" s="1" t="s">
        <v>1537</v>
      </c>
      <c r="G30" s="1" t="s">
        <v>1538</v>
      </c>
      <c r="H30" s="18" t="str">
        <f ca="1">IFERROR(__xludf.dummyfunction("IFERROR(
  VLOOKUP(G30, IMPORTRANGE(""https://docs.google.com/spreadsheets/d/14deopnvwcrKtEGCKuYXdUHJbeLDZlkiSSWWT0g7x2pM/edit#gid=849066331"", ""LU List Maths (Filter)!A:B""), 2, FALSE),
  IFERROR(
    VLOOKUP(G30, IMPORTRANGE(""https://docs.google.com/s"&amp;"preadsheets/d/14deopnvwcrKtEGCKuYXdUHJbeLDZlkiSSWWT0g7x2pM/edit#gid=849066331"", ""LU List Science (Filter)!A:B""), 2, FALSE),
    ""Not Found""
  )
)
"),"Introduction to adolescence and puberty")</f>
        <v>Introduction to adolescence and puberty</v>
      </c>
      <c r="I30" s="2"/>
      <c r="J30" s="1" t="str">
        <f t="shared" si="0"/>
        <v>LU005654.001</v>
      </c>
      <c r="K30" s="1" t="str">
        <f ca="1">IFERROR(__xludf.dummyfunction("VLOOKUP(J30, IMPORTRANGE(""https://docs.google.com/spreadsheets/d/1yDAaXNsi4Mr5FtRQL4tbmSdIzhx6_m4wkOD7IG-k_eo/edit#gid=1336395716"", ""Science!M:N""), 2, FALSE)"),"Recall the definition of ""adolescence"" and ""puberty"" and list at least two physical changes that typically occur during puberty.")</f>
        <v>Recall the definition of "adolescence" and "puberty" and list at least two physical changes that typically occur during puberty.</v>
      </c>
      <c r="L30" s="1" t="str">
        <f t="shared" si="1"/>
        <v>LU005654.002</v>
      </c>
      <c r="M30" s="1" t="str">
        <f ca="1">IFERROR(__xludf.dummyfunction("VLOOKUP(L30, IMPORTRANGE(""https://docs.google.com/spreadsheets/d/1yDAaXNsi4Mr5FtRQL4tbmSdIzhx6_m4wkOD7IG-k_eo/edit#gid=1336395716"", ""Science!M:N""), 2, FALSE)"),"Explain the difference between adolescence and childhood, highlighting the key psychological and physical changes that mark the transition.")</f>
        <v>Explain the difference between adolescence and childhood, highlighting the key psychological and physical changes that mark the transition.</v>
      </c>
      <c r="N30" s="1" t="str">
        <f t="shared" si="2"/>
        <v>LU005654.003</v>
      </c>
      <c r="O30" s="1" t="str">
        <f ca="1">IFERROR(__xludf.dummyfunction("VLOOKUP(N30, IMPORTRANGE(""https://docs.google.com/spreadsheets/d/1yDAaXNsi4Mr5FtRQL4tbmSdIzhx6_m4wkOD7IG-k_eo/edit#gid=1336395716"", ""Science!M:N""), 2, FALSE)"),"Given a list of physical changes, categorize them as either typical characteristics of childhood or features of adolescence.")</f>
        <v>Given a list of physical changes, categorize them as either typical characteristics of childhood or features of adolescence.</v>
      </c>
      <c r="P30" s="1" t="str">
        <f t="shared" si="3"/>
        <v>LU005654.004</v>
      </c>
      <c r="Q30" s="15" t="str">
        <f ca="1">IFERROR(__xludf.dummyfunction("VLOOKUP(P30, IMPORTRANGE(""https://docs.google.com/spreadsheets/d/1yDAaXNsi4Mr5FtRQL4tbmSdIzhx6_m4wkOD7IG-k_eo/edit#gid=1336395716"", ""Science!M:N""), 2, FALSE)"),"#N/A")</f>
        <v>#N/A</v>
      </c>
      <c r="R30" s="1" t="str">
        <f t="shared" si="4"/>
        <v>LU005654.005</v>
      </c>
      <c r="S30" s="15" t="str">
        <f ca="1">IFERROR(__xludf.dummyfunction("VLOOKUP(R30, IMPORTRANGE(""https://docs.google.com/spreadsheets/d/1yDAaXNsi4Mr5FtRQL4tbmSdIzhx6_m4wkOD7IG-k_eo/edit#gid=1336395716"", ""Science!M:N""), 2, FALSE)"),"#N/A")</f>
        <v>#N/A</v>
      </c>
      <c r="T30" s="1" t="str">
        <f t="shared" si="5"/>
        <v>LU005654.006</v>
      </c>
      <c r="U30" s="15" t="str">
        <f ca="1">IFERROR(__xludf.dummyfunction("VLOOKUP(T30, IMPORTRANGE(""https://docs.google.com/spreadsheets/d/1yDAaXNsi4Mr5FtRQL4tbmSdIzhx6_m4wkOD7IG-k_eo/edit#gid=1336395716"", ""Science!M:N""), 2, FALSE)"),"#N/A")</f>
        <v>#N/A</v>
      </c>
      <c r="V30" s="16">
        <f ca="1">IFERROR(__xludf.dummyfunction("ArrayFormula(VLOOKUP(G30, IMPORTRANGE(""https://docs.google.com/spreadsheets/d/1p7R4vtkWt5VOBim4ltsDG9KTzSjrtKXsMtQGXPHyND0/edit#gid=795171502"", ""'Filter 30_05_2024'!A1:M2000""), {2, 3, 4, 5,6,7,8,9,10,11,12,13}, 0))"),4)</f>
        <v>4</v>
      </c>
      <c r="W30" s="16">
        <f ca="1">IFERROR(__xludf.dummyfunction("""COMPUTED_VALUE"""),6)</f>
        <v>6</v>
      </c>
      <c r="X30" s="16">
        <f ca="1">IFERROR(__xludf.dummyfunction("""COMPUTED_VALUE"""),2)</f>
        <v>2</v>
      </c>
      <c r="Y30" s="16">
        <f ca="1">IFERROR(__xludf.dummyfunction("""COMPUTED_VALUE"""),12)</f>
        <v>12</v>
      </c>
      <c r="Z30" s="16">
        <f ca="1">IFERROR(__xludf.dummyfunction("""COMPUTED_VALUE"""),4)</f>
        <v>4</v>
      </c>
      <c r="AA30" s="17">
        <f ca="1">IFERROR(__xludf.dummyfunction("""COMPUTED_VALUE"""),3)</f>
        <v>3</v>
      </c>
      <c r="AB30" s="17">
        <f ca="1">IFERROR(__xludf.dummyfunction("""COMPUTED_VALUE"""),1)</f>
        <v>1</v>
      </c>
      <c r="AC30" s="17">
        <f ca="1">IFERROR(__xludf.dummyfunction("""COMPUTED_VALUE"""),8)</f>
        <v>8</v>
      </c>
      <c r="AD30" s="2"/>
      <c r="AE30" s="2"/>
      <c r="AF30" s="2"/>
      <c r="AG30" s="2"/>
    </row>
    <row r="31" spans="1:33" ht="69">
      <c r="A31" s="1"/>
      <c r="B31" s="1" t="s">
        <v>29</v>
      </c>
      <c r="C31" s="13">
        <v>8</v>
      </c>
      <c r="D31" s="2" t="s">
        <v>1529</v>
      </c>
      <c r="E31" s="1" t="s">
        <v>1283</v>
      </c>
      <c r="F31" s="1" t="s">
        <v>1537</v>
      </c>
      <c r="G31" s="1" t="s">
        <v>1539</v>
      </c>
      <c r="H31" s="18" t="str">
        <f ca="1">IFERROR(__xludf.dummyfunction("IFERROR(
  VLOOKUP(G31, IMPORTRANGE(""https://docs.google.com/spreadsheets/d/14deopnvwcrKtEGCKuYXdUHJbeLDZlkiSSWWT0g7x2pM/edit#gid=849066331"", ""LU List Maths (Filter)!A:B""), 2, FALSE),
  IFERROR(
    VLOOKUP(G31, IMPORTRANGE(""https://docs.google.com/s"&amp;"preadsheets/d/14deopnvwcrKtEGCKuYXdUHJbeLDZlkiSSWWT0g7x2pM/edit#gid=849066331"", ""LU List Science (Filter)!A:B""), 2, FALSE),
    ""Not Found""
  )
)
"),"Changes at Puberty")</f>
        <v>Changes at Puberty</v>
      </c>
      <c r="I31" s="2"/>
      <c r="J31" s="1" t="str">
        <f t="shared" si="0"/>
        <v>LU005653.001</v>
      </c>
      <c r="K31" s="1" t="str">
        <f ca="1">IFERROR(__xludf.dummyfunction("VLOOKUP(J31, IMPORTRANGE(""https://docs.google.com/spreadsheets/d/1yDAaXNsi4Mr5FtRQL4tbmSdIzhx6_m4wkOD7IG-k_eo/edit#gid=1336395716"", ""Science!M:N""), 2, FALSE)"),"Recall and list the primary physical changes that typically occur during puberty.")</f>
        <v>Recall and list the primary physical changes that typically occur during puberty.</v>
      </c>
      <c r="L31" s="1" t="str">
        <f t="shared" si="1"/>
        <v>LU005653.002</v>
      </c>
      <c r="M31" s="1" t="str">
        <f ca="1">IFERROR(__xludf.dummyfunction("VLOOKUP(L31, IMPORTRANGE(""https://docs.google.com/spreadsheets/d/1yDAaXNsi4Mr5FtRQL4tbmSdIzhx6_m4wkOD7IG-k_eo/edit#gid=1336395716"", ""Science!M:N""), 2, FALSE)"),"Explain the importance of these physical changes during puberty in the transition from childhood to adolescence, without discussing the specific role of hormones.")</f>
        <v>Explain the importance of these physical changes during puberty in the transition from childhood to adolescence, without discussing the specific role of hormones.</v>
      </c>
      <c r="N31" s="1" t="str">
        <f t="shared" si="2"/>
        <v>LU005653.003</v>
      </c>
      <c r="O31" s="1" t="str">
        <f ca="1">IFERROR(__xludf.dummyfunction("VLOOKUP(N31, IMPORTRANGE(""https://docs.google.com/spreadsheets/d/1yDAaXNsi4Mr5FtRQL4tbmSdIzhx6_m4wkOD7IG-k_eo/edit#gid=1336395716"", ""Science!M:N""), 2, FALSE)"),"Given everyday situations, analyze how one or more of the physical changes during puberty may impact an individual's daily life, social interactions, or self-esteem, without delving into hormonal explanations.")</f>
        <v>Given everyday situations, analyze how one or more of the physical changes during puberty may impact an individual's daily life, social interactions, or self-esteem, without delving into hormonal explanations.</v>
      </c>
      <c r="P31" s="1" t="str">
        <f t="shared" si="3"/>
        <v>LU005653.004</v>
      </c>
      <c r="Q31" s="15" t="str">
        <f ca="1">IFERROR(__xludf.dummyfunction("VLOOKUP(P31, IMPORTRANGE(""https://docs.google.com/spreadsheets/d/1yDAaXNsi4Mr5FtRQL4tbmSdIzhx6_m4wkOD7IG-k_eo/edit#gid=1336395716"", ""Science!M:N""), 2, FALSE)"),"Compare and contrast the physical changes related to puberty in boys and girls, highlighting the similarities and differences without exploring the hormonal aspects.")</f>
        <v>Compare and contrast the physical changes related to puberty in boys and girls, highlighting the similarities and differences without exploring the hormonal aspects.</v>
      </c>
      <c r="R31" s="1" t="str">
        <f t="shared" si="4"/>
        <v>LU005653.005</v>
      </c>
      <c r="S31" s="15" t="str">
        <f ca="1">IFERROR(__xludf.dummyfunction("VLOOKUP(R31, IMPORTRANGE(""https://docs.google.com/spreadsheets/d/1yDAaXNsi4Mr5FtRQL4tbmSdIzhx6_m4wkOD7IG-k_eo/edit#gid=1336395716"", ""Science!M:N""), 2, FALSE)"),"Evaluate the importance of providing age-appropriate information about the physical changes of puberty to Grade 8 students, considering how it can positively influence their self-image and emotional well-being, without mentioning hormones.")</f>
        <v>Evaluate the importance of providing age-appropriate information about the physical changes of puberty to Grade 8 students, considering how it can positively influence their self-image and emotional well-being, without mentioning hormones.</v>
      </c>
      <c r="T31" s="1" t="str">
        <f t="shared" si="5"/>
        <v>LU005653.006</v>
      </c>
      <c r="U31" s="15" t="str">
        <f ca="1">IFERROR(__xludf.dummyfunction("VLOOKUP(T31, IMPORTRANGE(""https://docs.google.com/spreadsheets/d/1yDAaXNsi4Mr5FtRQL4tbmSdIzhx6_m4wkOD7IG-k_eo/edit#gid=1336395716"", ""Science!M:N""), 2, FALSE)"),"#N/A")</f>
        <v>#N/A</v>
      </c>
      <c r="V31" s="16">
        <f ca="1">IFERROR(__xludf.dummyfunction("ArrayFormula(VLOOKUP(G31, IMPORTRANGE(""https://docs.google.com/spreadsheets/d/1p7R4vtkWt5VOBim4ltsDG9KTzSjrtKXsMtQGXPHyND0/edit#gid=795171502"", ""'Filter 30_05_2024'!A1:M2000""), {2, 3, 4, 5,6,7,8,9,10,11,12,13}, 0))"),4)</f>
        <v>4</v>
      </c>
      <c r="W31" s="16">
        <f ca="1">IFERROR(__xludf.dummyfunction("""COMPUTED_VALUE"""),6)</f>
        <v>6</v>
      </c>
      <c r="X31" s="16">
        <f ca="1">IFERROR(__xludf.dummyfunction("""COMPUTED_VALUE"""),2)</f>
        <v>2</v>
      </c>
      <c r="Y31" s="16">
        <f ca="1">IFERROR(__xludf.dummyfunction("""COMPUTED_VALUE"""),12)</f>
        <v>12</v>
      </c>
      <c r="Z31" s="16">
        <f ca="1">IFERROR(__xludf.dummyfunction("""COMPUTED_VALUE"""),4)</f>
        <v>4</v>
      </c>
      <c r="AA31" s="17">
        <f ca="1">IFERROR(__xludf.dummyfunction("""COMPUTED_VALUE"""),4)</f>
        <v>4</v>
      </c>
      <c r="AB31" s="17">
        <f ca="1">IFERROR(__xludf.dummyfunction("""COMPUTED_VALUE"""),1)</f>
        <v>1</v>
      </c>
      <c r="AC31" s="17">
        <f ca="1">IFERROR(__xludf.dummyfunction("""COMPUTED_VALUE"""),9)</f>
        <v>9</v>
      </c>
      <c r="AD31" s="2"/>
      <c r="AE31" s="2"/>
      <c r="AF31" s="2"/>
      <c r="AG31" s="2"/>
    </row>
    <row r="32" spans="1:33" ht="69">
      <c r="A32" s="1"/>
      <c r="B32" s="1" t="s">
        <v>29</v>
      </c>
      <c r="C32" s="13">
        <v>8</v>
      </c>
      <c r="D32" s="2" t="s">
        <v>1529</v>
      </c>
      <c r="E32" s="1" t="s">
        <v>1283</v>
      </c>
      <c r="F32" s="1" t="s">
        <v>1540</v>
      </c>
      <c r="G32" s="1" t="s">
        <v>1541</v>
      </c>
      <c r="H32" s="18" t="str">
        <f ca="1">IFERROR(__xludf.dummyfunction("IFERROR(
  VLOOKUP(G32, IMPORTRANGE(""https://docs.google.com/spreadsheets/d/14deopnvwcrKtEGCKuYXdUHJbeLDZlkiSSWWT0g7x2pM/edit#gid=849066331"", ""LU List Maths (Filter)!A:B""), 2, FALSE),
  IFERROR(
    VLOOKUP(G32, IMPORTRANGE(""https://docs.google.com/s"&amp;"preadsheets/d/14deopnvwcrKtEGCKuYXdUHJbeLDZlkiSSWWT0g7x2pM/edit#gid=849066331"", ""LU List Science (Filter)!A:B""), 2, FALSE),
    ""Not Found""
  )
)
"),"Secondary Sexual Characteristics and Role of Hormones ")</f>
        <v xml:space="preserve">Secondary Sexual Characteristics and Role of Hormones </v>
      </c>
      <c r="I32" s="2"/>
      <c r="J32" s="1" t="str">
        <f t="shared" si="0"/>
        <v>LU005656.001</v>
      </c>
      <c r="K32" s="1" t="str">
        <f ca="1">IFERROR(__xludf.dummyfunction("VLOOKUP(J32, IMPORTRANGE(""https://docs.google.com/spreadsheets/d/1yDAaXNsi4Mr5FtRQL4tbmSdIzhx6_m4wkOD7IG-k_eo/edit#gid=1336395716"", ""Science!M:N""), 2, FALSE)"),"Recall and list at least two secondary sexual characteristics that develop during puberty in boys and girls, and name the hormones responsible for their development.")</f>
        <v>Recall and list at least two secondary sexual characteristics that develop during puberty in boys and girls, and name the hormones responsible for their development.</v>
      </c>
      <c r="L32" s="1" t="str">
        <f t="shared" si="1"/>
        <v>LU005656.002</v>
      </c>
      <c r="M32" s="1" t="str">
        <f ca="1">IFERROR(__xludf.dummyfunction("VLOOKUP(L32, IMPORTRANGE(""https://docs.google.com/spreadsheets/d/1yDAaXNsi4Mr5FtRQL4tbmSdIzhx6_m4wkOD7IG-k_eo/edit#gid=1336395716"", ""Science!M:N""), 2, FALSE)"),"Explain the significance of secondary sexual characteristics in the context of reproductive development and how hormones play a role in their initiation.")</f>
        <v>Explain the significance of secondary sexual characteristics in the context of reproductive development and how hormones play a role in their initiation.</v>
      </c>
      <c r="N32" s="1" t="str">
        <f t="shared" si="2"/>
        <v>LU005656.003</v>
      </c>
      <c r="O32" s="1" t="str">
        <f ca="1">IFERROR(__xludf.dummyfunction("VLOOKUP(N32, IMPORTRANGE(""https://docs.google.com/spreadsheets/d/1yDAaXNsi4Mr5FtRQL4tbmSdIzhx6_m4wkOD7IG-k_eo/edit#gid=1336395716"", ""Science!M:N""), 2, FALSE)"),"Given a case study, analyze how the development of secondary sexual characteristics might vary among individuals and how this can impact their emotional and social experiences during adolescence.")</f>
        <v>Given a case study, analyze how the development of secondary sexual characteristics might vary among individuals and how this can impact their emotional and social experiences during adolescence.</v>
      </c>
      <c r="P32" s="1" t="str">
        <f t="shared" si="3"/>
        <v>LU005656.004</v>
      </c>
      <c r="Q32" s="15" t="str">
        <f ca="1">IFERROR(__xludf.dummyfunction("VLOOKUP(P32, IMPORTRANGE(""https://docs.google.com/spreadsheets/d/1yDAaXNsi4Mr5FtRQL4tbmSdIzhx6_m4wkOD7IG-k_eo/edit#gid=1336395716"", ""Science!M:N""), 2, FALSE)"),"Break down the hormonal processes involved in the development of secondary sexual characteristics in boys and girls, highlighting the similarities and differences.")</f>
        <v>Break down the hormonal processes involved in the development of secondary sexual characteristics in boys and girls, highlighting the similarities and differences.</v>
      </c>
      <c r="R32" s="1" t="str">
        <f t="shared" si="4"/>
        <v>LU005656.005</v>
      </c>
      <c r="S32" s="15" t="str">
        <f ca="1">IFERROR(__xludf.dummyfunction("VLOOKUP(R32, IMPORTRANGE(""https://docs.google.com/spreadsheets/d/1yDAaXNsi4Mr5FtRQL4tbmSdIzhx6_m4wkOD7IG-k_eo/edit#gid=1336395716"", ""Science!M:N""), 2, FALSE)"),"Evaluate the importance of understanding the role of hormones in initiating reproductive function for early age teenagers, considering how this knowledge can empower them to make informed decisions about their health and well-being.")</f>
        <v>Evaluate the importance of understanding the role of hormones in initiating reproductive function for early age teenagers, considering how this knowledge can empower them to make informed decisions about their health and well-being.</v>
      </c>
      <c r="T32" s="1" t="str">
        <f t="shared" si="5"/>
        <v>LU005656.006</v>
      </c>
      <c r="U32" s="15" t="str">
        <f ca="1">IFERROR(__xludf.dummyfunction("VLOOKUP(T32, IMPORTRANGE(""https://docs.google.com/spreadsheets/d/1yDAaXNsi4Mr5FtRQL4tbmSdIzhx6_m4wkOD7IG-k_eo/edit#gid=1336395716"", ""Science!M:N""), 2, FALSE)"),"#N/A")</f>
        <v>#N/A</v>
      </c>
      <c r="V32" s="16">
        <f ca="1">IFERROR(__xludf.dummyfunction("ArrayFormula(VLOOKUP(G32, IMPORTRANGE(""https://docs.google.com/spreadsheets/d/1p7R4vtkWt5VOBim4ltsDG9KTzSjrtKXsMtQGXPHyND0/edit#gid=795171502"", ""'Filter 30_05_2024'!A1:M2000""), {2, 3, 4, 5,6,7,8,9,10,11,12,13}, 0))"),4)</f>
        <v>4</v>
      </c>
      <c r="W32" s="16">
        <f ca="1">IFERROR(__xludf.dummyfunction("""COMPUTED_VALUE"""),6)</f>
        <v>6</v>
      </c>
      <c r="X32" s="16">
        <f ca="1">IFERROR(__xludf.dummyfunction("""COMPUTED_VALUE"""),2)</f>
        <v>2</v>
      </c>
      <c r="Y32" s="16">
        <f ca="1">IFERROR(__xludf.dummyfunction("""COMPUTED_VALUE"""),12)</f>
        <v>12</v>
      </c>
      <c r="Z32" s="16">
        <f ca="1">IFERROR(__xludf.dummyfunction("""COMPUTED_VALUE"""),4)</f>
        <v>4</v>
      </c>
      <c r="AA32" s="17">
        <f ca="1">IFERROR(__xludf.dummyfunction("""COMPUTED_VALUE"""),4)</f>
        <v>4</v>
      </c>
      <c r="AB32" s="17">
        <f ca="1">IFERROR(__xludf.dummyfunction("""COMPUTED_VALUE"""),1)</f>
        <v>1</v>
      </c>
      <c r="AC32" s="17">
        <f ca="1">IFERROR(__xludf.dummyfunction("""COMPUTED_VALUE"""),9)</f>
        <v>9</v>
      </c>
      <c r="AD32" s="2"/>
      <c r="AE32" s="2"/>
      <c r="AF32" s="2"/>
      <c r="AG32" s="2"/>
    </row>
    <row r="33" spans="1:33" ht="82.8">
      <c r="A33" s="1"/>
      <c r="B33" s="1" t="s">
        <v>29</v>
      </c>
      <c r="C33" s="13">
        <v>8</v>
      </c>
      <c r="D33" s="2" t="s">
        <v>1529</v>
      </c>
      <c r="E33" s="1" t="s">
        <v>1283</v>
      </c>
      <c r="F33" s="1" t="s">
        <v>1540</v>
      </c>
      <c r="G33" s="1" t="s">
        <v>1542</v>
      </c>
      <c r="H33" s="18" t="str">
        <f ca="1">IFERROR(__xludf.dummyfunction("IFERROR(
  VLOOKUP(G33, IMPORTRANGE(""https://docs.google.com/spreadsheets/d/14deopnvwcrKtEGCKuYXdUHJbeLDZlkiSSWWT0g7x2pM/edit#gid=849066331"", ""LU List Maths (Filter)!A:B""), 2, FALSE),
  IFERROR(
    VLOOKUP(G33, IMPORTRANGE(""https://docs.google.com/s"&amp;"preadsheets/d/14deopnvwcrKtEGCKuYXdUHJbeLDZlkiSSWWT0g7x2pM/edit#gid=849066331"", ""LU List Science (Filter)!A:B""), 2, FALSE),
    ""Not Found""
  )
)
"),"Reproductive Phase of Life in Humans")</f>
        <v>Reproductive Phase of Life in Humans</v>
      </c>
      <c r="I33" s="2"/>
      <c r="J33" s="1" t="str">
        <f t="shared" si="0"/>
        <v>LU005655.001</v>
      </c>
      <c r="K33" s="1" t="str">
        <f ca="1">IFERROR(__xludf.dummyfunction("VLOOKUP(J33, IMPORTRANGE(""https://docs.google.com/spreadsheets/d/1yDAaXNsi4Mr5FtRQL4tbmSdIzhx6_m4wkOD7IG-k_eo/edit#gid=1336395716"", ""Science!M:N""), 2, FALSE)"),"Recall the basic features of the reproductive phase of life in humans, including the age when it typically begins in females, terms like ""menarche"" and ""menopause,"" and the menstrual cycle.")</f>
        <v>Recall the basic features of the reproductive phase of life in humans, including the age when it typically begins in females, terms like "menarche" and "menopause," and the menstrual cycle.</v>
      </c>
      <c r="L33" s="1" t="str">
        <f t="shared" si="1"/>
        <v>LU005655.002</v>
      </c>
      <c r="M33" s="1" t="str">
        <f ca="1">IFERROR(__xludf.dummyfunction("VLOOKUP(L33, IMPORTRANGE(""https://docs.google.com/spreadsheets/d/1yDAaXNsi4Mr5FtRQL4tbmSdIzhx6_m4wkOD7IG-k_eo/edit#gid=1336395716"", ""Science!M:N""), 2, FALSE)"),"Explain why the reproductive phase begins earlier in females (around puberty) compared to males and describe the general process of the menstrual cycle without going into specific hormonal details.")</f>
        <v>Explain why the reproductive phase begins earlier in females (around puberty) compared to males and describe the general process of the menstrual cycle without going into specific hormonal details.</v>
      </c>
      <c r="N33" s="1" t="str">
        <f t="shared" si="2"/>
        <v>LU005655.003</v>
      </c>
      <c r="O33" s="1" t="str">
        <f ca="1">IFERROR(__xludf.dummyfunction("VLOOKUP(N33, IMPORTRANGE(""https://docs.google.com/spreadsheets/d/1yDAaXNsi4Mr5FtRQL4tbmSdIzhx6_m4wkOD7IG-k_eo/edit#gid=1336395716"", ""Science!M:N""), 2, FALSE)"),"Given a scenario, analyze the potential physical and emotional challenges that individuals may face during the reproductive phase of life, such as irregular menstrual cycles and the onset of menopause.")</f>
        <v>Given a scenario, analyze the potential physical and emotional challenges that individuals may face during the reproductive phase of life, such as irregular menstrual cycles and the onset of menopause.</v>
      </c>
      <c r="P33" s="1" t="str">
        <f t="shared" si="3"/>
        <v>LU005655.004</v>
      </c>
      <c r="Q33" s="15" t="str">
        <f ca="1">IFERROR(__xludf.dummyfunction("VLOOKUP(P33, IMPORTRANGE(""https://docs.google.com/spreadsheets/d/1yDAaXNsi4Mr5FtRQL4tbmSdIzhx6_m4wkOD7IG-k_eo/edit#gid=1336395716"", ""Science!M:N""), 2, FALSE)"),"Break down the stages of the menstrual cycle, from egg maturation to menstruation, without delving into hormonal specifics, and discuss the importance of the thickening of the uterine wall in case of pregnancy.")</f>
        <v>Break down the stages of the menstrual cycle, from egg maturation to menstruation, without delving into hormonal specifics, and discuss the importance of the thickening of the uterine wall in case of pregnancy.</v>
      </c>
      <c r="R33" s="1" t="str">
        <f t="shared" si="4"/>
        <v>LU005655.005</v>
      </c>
      <c r="S33" s="15" t="str">
        <f ca="1">IFERROR(__xludf.dummyfunction("VLOOKUP(R33, IMPORTRANGE(""https://docs.google.com/spreadsheets/d/1yDAaXNsi4Mr5FtRQL4tbmSdIzhx6_m4wkOD7IG-k_eo/edit#gid=1336395716"", ""Science!M:N""), 2, FALSE)"),"Evaluate the importance of educating adolescents about the reproductive phase of life, emphasizing how a basic understanding of the menstrual cycle can empower them to make informed health decisions and address any concerns.")</f>
        <v>Evaluate the importance of educating adolescents about the reproductive phase of life, emphasizing how a basic understanding of the menstrual cycle can empower them to make informed health decisions and address any concerns.</v>
      </c>
      <c r="T33" s="1" t="str">
        <f t="shared" si="5"/>
        <v>LU005655.006</v>
      </c>
      <c r="U33" s="15" t="str">
        <f ca="1">IFERROR(__xludf.dummyfunction("VLOOKUP(T33, IMPORTRANGE(""https://docs.google.com/spreadsheets/d/1yDAaXNsi4Mr5FtRQL4tbmSdIzhx6_m4wkOD7IG-k_eo/edit#gid=1336395716"", ""Science!M:N""), 2, FALSE)"),"#N/A")</f>
        <v>#N/A</v>
      </c>
      <c r="V33" s="16">
        <f ca="1">IFERROR(__xludf.dummyfunction("ArrayFormula(VLOOKUP(G33, IMPORTRANGE(""https://docs.google.com/spreadsheets/d/1p7R4vtkWt5VOBim4ltsDG9KTzSjrtKXsMtQGXPHyND0/edit#gid=795171502"", ""'Filter 30_05_2024'!A1:M2000""), {2, 3, 4, 5,6,7,8,9,10,11,12,13}, 0))"),4)</f>
        <v>4</v>
      </c>
      <c r="W33" s="16">
        <f ca="1">IFERROR(__xludf.dummyfunction("""COMPUTED_VALUE"""),6)</f>
        <v>6</v>
      </c>
      <c r="X33" s="16">
        <f ca="1">IFERROR(__xludf.dummyfunction("""COMPUTED_VALUE"""),2)</f>
        <v>2</v>
      </c>
      <c r="Y33" s="16">
        <f ca="1">IFERROR(__xludf.dummyfunction("""COMPUTED_VALUE"""),12)</f>
        <v>12</v>
      </c>
      <c r="Z33" s="16">
        <f ca="1">IFERROR(__xludf.dummyfunction("""COMPUTED_VALUE"""),4)</f>
        <v>4</v>
      </c>
      <c r="AA33" s="17">
        <f ca="1">IFERROR(__xludf.dummyfunction("""COMPUTED_VALUE"""),3)</f>
        <v>3</v>
      </c>
      <c r="AB33" s="17">
        <f ca="1">IFERROR(__xludf.dummyfunction("""COMPUTED_VALUE"""),1)</f>
        <v>1</v>
      </c>
      <c r="AC33" s="17">
        <f ca="1">IFERROR(__xludf.dummyfunction("""COMPUTED_VALUE"""),8)</f>
        <v>8</v>
      </c>
      <c r="AD33" s="2"/>
      <c r="AE33" s="2"/>
      <c r="AF33" s="2"/>
      <c r="AG33" s="2"/>
    </row>
    <row r="34" spans="1:33" ht="82.8">
      <c r="A34" s="1"/>
      <c r="B34" s="1" t="s">
        <v>29</v>
      </c>
      <c r="C34" s="13">
        <v>8</v>
      </c>
      <c r="D34" s="2" t="s">
        <v>1529</v>
      </c>
      <c r="E34" s="1" t="s">
        <v>1283</v>
      </c>
      <c r="F34" s="1" t="s">
        <v>1543</v>
      </c>
      <c r="G34" s="1" t="s">
        <v>1544</v>
      </c>
      <c r="H34" s="18" t="str">
        <f ca="1">IFERROR(__xludf.dummyfunction("IFERROR(
  VLOOKUP(G34, IMPORTRANGE(""https://docs.google.com/spreadsheets/d/14deopnvwcrKtEGCKuYXdUHJbeLDZlkiSSWWT0g7x2pM/edit#gid=849066331"", ""LU List Maths (Filter)!A:B""), 2, FALSE),
  IFERROR(
    VLOOKUP(G34, IMPORTRANGE(""https://docs.google.com/s"&amp;"preadsheets/d/14deopnvwcrKtEGCKuYXdUHJbeLDZlkiSSWWT0g7x2pM/edit#gid=849066331"", ""LU List Science (Filter)!A:B""), 2, FALSE),
    ""Not Found""
  )
)
"),"Adolescent Reproductive health")</f>
        <v>Adolescent Reproductive health</v>
      </c>
      <c r="I34" s="2"/>
      <c r="J34" s="1" t="str">
        <f t="shared" ref="J34:J65" si="6">G34 &amp; ".001"</f>
        <v>LU005650.001</v>
      </c>
      <c r="K34" s="1" t="str">
        <f ca="1">IFERROR(__xludf.dummyfunction("VLOOKUP(J34, IMPORTRANGE(""https://docs.google.com/spreadsheets/d/1yDAaXNsi4Mr5FtRQL4tbmSdIzhx6_m4wkOD7IG-k_eo/edit#gid=1336395716"", ""Science!M:N""), 2, FALSE)"),"Recall the key components of adolescent reproductive health, including nutritional needs, the importance of physical exercises, and the risks associated with substance abuse.")</f>
        <v>Recall the key components of adolescent reproductive health, including nutritional needs, the importance of physical exercises, and the risks associated with substance abuse.</v>
      </c>
      <c r="L34" s="1" t="str">
        <f t="shared" ref="L34:L65" si="7">G34 &amp; ".002"</f>
        <v>LU005650.002</v>
      </c>
      <c r="M34" s="1" t="str">
        <f ca="1">IFERROR(__xludf.dummyfunction("VLOOKUP(L34, IMPORTRANGE(""https://docs.google.com/spreadsheets/d/1yDAaXNsi4Mr5FtRQL4tbmSdIzhx6_m4wkOD7IG-k_eo/edit#gid=1336395716"", ""Science!M:N""), 2, FALSE)"),"Explain why addressing nutritional needs and engaging in physical exercises are essential aspects of adolescent reproductive health, and describe the potential consequences of drug abuse during this stage.")</f>
        <v>Explain why addressing nutritional needs and engaging in physical exercises are essential aspects of adolescent reproductive health, and describe the potential consequences of drug abuse during this stage.</v>
      </c>
      <c r="N34" s="1" t="str">
        <f t="shared" ref="N34:N65" si="8">G34 &amp; ".003"</f>
        <v>LU005650.003</v>
      </c>
      <c r="O34" s="1" t="str">
        <f ca="1">IFERROR(__xludf.dummyfunction("VLOOKUP(N34, IMPORTRANGE(""https://docs.google.com/spreadsheets/d/1yDAaXNsi4Mr5FtRQL4tbmSdIzhx6_m4wkOD7IG-k_eo/edit#gid=1336395716"", ""Science!M:N""), 2, FALSE)"),"Given specific scenarios, analyze how a balanced diet and regular physical activity contribute to the overall well-being and reproductive health of adolescents, and propose strategies to discourage drug use among peers.")</f>
        <v>Given specific scenarios, analyze how a balanced diet and regular physical activity contribute to the overall well-being and reproductive health of adolescents, and propose strategies to discourage drug use among peers.</v>
      </c>
      <c r="P34" s="1" t="str">
        <f t="shared" ref="P34:P65" si="9">G34 &amp; ".004"</f>
        <v>LU005650.004</v>
      </c>
      <c r="Q34" s="15" t="str">
        <f ca="1">IFERROR(__xludf.dummyfunction("VLOOKUP(P34, IMPORTRANGE(""https://docs.google.com/spreadsheets/d/1yDAaXNsi4Mr5FtRQL4tbmSdIzhx6_m4wkOD7IG-k_eo/edit#gid=1336395716"", ""Science!M:N""), 2, FALSE)"),"Break down the factors contributing to adolescent pregnancy, including societal, educational, and economic aspects, and discuss the potential challenges and consequences faced by adolescent parents.")</f>
        <v>Break down the factors contributing to adolescent pregnancy, including societal, educational, and economic aspects, and discuss the potential challenges and consequences faced by adolescent parents.</v>
      </c>
      <c r="R34" s="1" t="str">
        <f t="shared" ref="R34:R65" si="10">G34 &amp; ".005"</f>
        <v>LU005650.005</v>
      </c>
      <c r="S34" s="15" t="str">
        <f ca="1">IFERROR(__xludf.dummyfunction("VLOOKUP(R34, IMPORTRANGE(""https://docs.google.com/spreadsheets/d/1yDAaXNsi4Mr5FtRQL4tbmSdIzhx6_m4wkOD7IG-k_eo/edit#gid=1336395716"", ""Science!M:N""), 2, FALSE)"),"Evaluate the reasons behind keeping a legal age for marriage in India and assess the implications of this legal requirement on adolescent reproductive health and social development.")</f>
        <v>Evaluate the reasons behind keeping a legal age for marriage in India and assess the implications of this legal requirement on adolescent reproductive health and social development.</v>
      </c>
      <c r="T34" s="1" t="str">
        <f t="shared" ref="T34:T65" si="11">G34 &amp; ".006"</f>
        <v>LU005650.006</v>
      </c>
      <c r="U34" s="15" t="str">
        <f ca="1">IFERROR(__xludf.dummyfunction("VLOOKUP(T34, IMPORTRANGE(""https://docs.google.com/spreadsheets/d/1yDAaXNsi4Mr5FtRQL4tbmSdIzhx6_m4wkOD7IG-k_eo/edit#gid=1336395716"", ""Science!M:N""), 2, FALSE)"),"#N/A")</f>
        <v>#N/A</v>
      </c>
      <c r="V34" s="16">
        <f ca="1">IFERROR(__xludf.dummyfunction("ArrayFormula(VLOOKUP(G34, IMPORTRANGE(""https://docs.google.com/spreadsheets/d/1p7R4vtkWt5VOBim4ltsDG9KTzSjrtKXsMtQGXPHyND0/edit#gid=795171502"", ""'Filter 30_05_2024'!A1:M2000""), {2, 3, 4, 5,6,7,8,9,10,11,12,13}, 0))"),4)</f>
        <v>4</v>
      </c>
      <c r="W34" s="16">
        <f ca="1">IFERROR(__xludf.dummyfunction("""COMPUTED_VALUE"""),6)</f>
        <v>6</v>
      </c>
      <c r="X34" s="16">
        <f ca="1">IFERROR(__xludf.dummyfunction("""COMPUTED_VALUE"""),2)</f>
        <v>2</v>
      </c>
      <c r="Y34" s="16">
        <f ca="1">IFERROR(__xludf.dummyfunction("""COMPUTED_VALUE"""),12)</f>
        <v>12</v>
      </c>
      <c r="Z34" s="16">
        <f ca="1">IFERROR(__xludf.dummyfunction("""COMPUTED_VALUE"""),4)</f>
        <v>4</v>
      </c>
      <c r="AA34" s="17">
        <f ca="1">IFERROR(__xludf.dummyfunction("""COMPUTED_VALUE"""),3)</f>
        <v>3</v>
      </c>
      <c r="AB34" s="17">
        <f ca="1">IFERROR(__xludf.dummyfunction("""COMPUTED_VALUE"""),1)</f>
        <v>1</v>
      </c>
      <c r="AC34" s="17">
        <f ca="1">IFERROR(__xludf.dummyfunction("""COMPUTED_VALUE"""),8)</f>
        <v>8</v>
      </c>
      <c r="AD34" s="2"/>
      <c r="AE34" s="2"/>
      <c r="AF34" s="2"/>
      <c r="AG34" s="2"/>
    </row>
    <row r="35" spans="1:33" ht="27.6">
      <c r="A35" s="1"/>
      <c r="B35" s="1" t="s">
        <v>29</v>
      </c>
      <c r="C35" s="13">
        <v>8</v>
      </c>
      <c r="D35" s="2" t="s">
        <v>1529</v>
      </c>
      <c r="E35" s="1" t="s">
        <v>1283</v>
      </c>
      <c r="F35" s="1" t="s">
        <v>1543</v>
      </c>
      <c r="G35" s="14" t="s">
        <v>1545</v>
      </c>
      <c r="H35" s="18" t="str">
        <f ca="1">IFERROR(__xludf.dummyfunction("IFERROR(
  VLOOKUP(G35, IMPORTRANGE(""https://docs.google.com/spreadsheets/d/14deopnvwcrKtEGCKuYXdUHJbeLDZlkiSSWWT0g7x2pM/edit#gid=849066331"", ""LU List Maths (Filter)!A:B""), 2, FALSE),
  IFERROR(
    VLOOKUP(G35, IMPORTRANGE(""https://docs.google.com/s"&amp;"preadsheets/d/14deopnvwcrKtEGCKuYXdUHJbeLDZlkiSSWWT0g7x2pM/edit#gid=849066331"", ""LU List Science (Filter)!A:B""), 2, FALSE),
    ""Not Found""
  )
)
"),"Stress management ")</f>
        <v xml:space="preserve">Stress management </v>
      </c>
      <c r="I35" s="2" t="s">
        <v>1546</v>
      </c>
      <c r="J35" s="1" t="str">
        <f t="shared" si="6"/>
        <v>LU006652.001</v>
      </c>
      <c r="K35" s="1" t="str">
        <f ca="1">IFERROR(__xludf.dummyfunction("VLOOKUP(J35, IMPORTRANGE(""https://docs.google.com/spreadsheets/d/1yDAaXNsi4Mr5FtRQL4tbmSdIzhx6_m4wkOD7IG-k_eo/edit#gid=1336395716"", ""Science!M:N""), 2, FALSE)"),"(LU006652.001); Default - Remember")</f>
        <v>(LU006652.001); Default - Remember</v>
      </c>
      <c r="L35" s="1" t="str">
        <f t="shared" si="7"/>
        <v>LU006652.002</v>
      </c>
      <c r="M35" s="1" t="str">
        <f ca="1">IFERROR(__xludf.dummyfunction("VLOOKUP(L35, IMPORTRANGE(""https://docs.google.com/spreadsheets/d/1yDAaXNsi4Mr5FtRQL4tbmSdIzhx6_m4wkOD7IG-k_eo/edit#gid=1336395716"", ""Science!M:N""), 2, FALSE)"),"(LU006652.002); Default - Understand")</f>
        <v>(LU006652.002); Default - Understand</v>
      </c>
      <c r="N35" s="1" t="str">
        <f t="shared" si="8"/>
        <v>LU006652.003</v>
      </c>
      <c r="O35" s="1" t="str">
        <f ca="1">IFERROR(__xludf.dummyfunction("VLOOKUP(N35, IMPORTRANGE(""https://docs.google.com/spreadsheets/d/1yDAaXNsi4Mr5FtRQL4tbmSdIzhx6_m4wkOD7IG-k_eo/edit#gid=1336395716"", ""Science!M:N""), 2, FALSE)"),"(LU006652.003); Default - Apply")</f>
        <v>(LU006652.003); Default - Apply</v>
      </c>
      <c r="P35" s="1" t="str">
        <f t="shared" si="9"/>
        <v>LU006652.004</v>
      </c>
      <c r="Q35" s="15" t="str">
        <f ca="1">IFERROR(__xludf.dummyfunction("VLOOKUP(P35, IMPORTRANGE(""https://docs.google.com/spreadsheets/d/1yDAaXNsi4Mr5FtRQL4tbmSdIzhx6_m4wkOD7IG-k_eo/edit#gid=1336395716"", ""Science!M:N""), 2, FALSE)"),"(LU006652.004); Default - Analyse")</f>
        <v>(LU006652.004); Default - Analyse</v>
      </c>
      <c r="R35" s="1" t="str">
        <f t="shared" si="10"/>
        <v>LU006652.005</v>
      </c>
      <c r="S35" s="15" t="str">
        <f ca="1">IFERROR(__xludf.dummyfunction("VLOOKUP(R35, IMPORTRANGE(""https://docs.google.com/spreadsheets/d/1yDAaXNsi4Mr5FtRQL4tbmSdIzhx6_m4wkOD7IG-k_eo/edit#gid=1336395716"", ""Science!M:N""), 2, FALSE)"),"(LU006652.005); Default - Evaluate")</f>
        <v>(LU006652.005); Default - Evaluate</v>
      </c>
      <c r="T35" s="1" t="str">
        <f t="shared" si="11"/>
        <v>LU006652.006</v>
      </c>
      <c r="U35" s="15" t="str">
        <f ca="1">IFERROR(__xludf.dummyfunction("VLOOKUP(T35, IMPORTRANGE(""https://docs.google.com/spreadsheets/d/1yDAaXNsi4Mr5FtRQL4tbmSdIzhx6_m4wkOD7IG-k_eo/edit#gid=1336395716"", ""Science!M:N""), 2, FALSE)"),"(LU006652.006); Default - Create")</f>
        <v>(LU006652.006); Default - Create</v>
      </c>
      <c r="V35" s="16" t="str">
        <f ca="1">IFERROR(__xludf.dummyfunction("ArrayFormula(VLOOKUP(G35, IMPORTRANGE(""https://docs.google.com/spreadsheets/d/1p7R4vtkWt5VOBim4ltsDG9KTzSjrtKXsMtQGXPHyND0/edit#gid=795171502"", ""'Filter 30_05_2024'!A1:M2000""), {2, 3, 4, 5,6,7,8,9,10,11,12,13}, 0))"),"#N/A")</f>
        <v>#N/A</v>
      </c>
      <c r="W35" s="16" t="str">
        <f ca="1">IFERROR(__xludf.dummyfunction("""COMPUTED_VALUE"""),"#N/A")</f>
        <v>#N/A</v>
      </c>
      <c r="X35" s="16" t="str">
        <f ca="1">IFERROR(__xludf.dummyfunction("""COMPUTED_VALUE"""),"#N/A")</f>
        <v>#N/A</v>
      </c>
      <c r="Y35" s="16" t="str">
        <f ca="1">IFERROR(__xludf.dummyfunction("""COMPUTED_VALUE"""),"#N/A")</f>
        <v>#N/A</v>
      </c>
      <c r="Z35" s="16" t="str">
        <f ca="1">IFERROR(__xludf.dummyfunction("""COMPUTED_VALUE"""),"#N/A")</f>
        <v>#N/A</v>
      </c>
      <c r="AA35" s="17" t="str">
        <f ca="1">IFERROR(__xludf.dummyfunction("""COMPUTED_VALUE"""),"#N/A")</f>
        <v>#N/A</v>
      </c>
      <c r="AB35" s="17" t="str">
        <f ca="1">IFERROR(__xludf.dummyfunction("""COMPUTED_VALUE"""),"#N/A")</f>
        <v>#N/A</v>
      </c>
      <c r="AC35" s="17" t="str">
        <f ca="1">IFERROR(__xludf.dummyfunction("""COMPUTED_VALUE"""),"#N/A")</f>
        <v>#N/A</v>
      </c>
      <c r="AD35" s="2" t="str">
        <f ca="1">IFERROR(__xludf.dummyfunction("""COMPUTED_VALUE"""),"#N/A")</f>
        <v>#N/A</v>
      </c>
      <c r="AE35" s="2" t="str">
        <f ca="1">IFERROR(__xludf.dummyfunction("""COMPUTED_VALUE"""),"#N/A")</f>
        <v>#N/A</v>
      </c>
      <c r="AF35" s="2" t="str">
        <f ca="1">IFERROR(__xludf.dummyfunction("""COMPUTED_VALUE"""),"#N/A")</f>
        <v>#N/A</v>
      </c>
      <c r="AG35" s="2" t="str">
        <f ca="1">IFERROR(__xludf.dummyfunction("""COMPUTED_VALUE"""),"#N/A")</f>
        <v>#N/A</v>
      </c>
    </row>
    <row r="36" spans="1:33" ht="27.6">
      <c r="A36" s="1"/>
      <c r="B36" s="1" t="s">
        <v>29</v>
      </c>
      <c r="C36" s="13">
        <v>8</v>
      </c>
      <c r="D36" s="2" t="s">
        <v>1547</v>
      </c>
      <c r="E36" s="1" t="s">
        <v>1283</v>
      </c>
      <c r="F36" s="1" t="s">
        <v>1548</v>
      </c>
      <c r="G36" s="14" t="s">
        <v>1549</v>
      </c>
      <c r="H36" s="18" t="str">
        <f ca="1">IFERROR(__xludf.dummyfunction("IFERROR(
  VLOOKUP(G36, IMPORTRANGE(""https://docs.google.com/spreadsheets/d/14deopnvwcrKtEGCKuYXdUHJbeLDZlkiSSWWT0g7x2pM/edit#gid=849066331"", ""LU List Maths (Filter)!A:B""), 2, FALSE),
  IFERROR(
    VLOOKUP(G36, IMPORTRANGE(""https://docs.google.com/s"&amp;"preadsheets/d/14deopnvwcrKtEGCKuYXdUHJbeLDZlkiSSWWT0g7x2pM/edit#gid=849066331"", ""LU List Science (Filter)!A:B""), 2, FALSE),
    ""Not Found""
  )
)
"),"Internal structure of heart and schematics of the heart")</f>
        <v>Internal structure of heart and schematics of the heart</v>
      </c>
      <c r="I36" s="2" t="s">
        <v>1550</v>
      </c>
      <c r="J36" s="1" t="str">
        <f t="shared" si="6"/>
        <v>LU006653.001</v>
      </c>
      <c r="K36" s="1" t="str">
        <f ca="1">IFERROR(__xludf.dummyfunction("VLOOKUP(J36, IMPORTRANGE(""https://docs.google.com/spreadsheets/d/1yDAaXNsi4Mr5FtRQL4tbmSdIzhx6_m4wkOD7IG-k_eo/edit#gid=1336395716"", ""Science!M:N""), 2, FALSE)"),"(LU006653.001); Default - Remember")</f>
        <v>(LU006653.001); Default - Remember</v>
      </c>
      <c r="L36" s="1" t="str">
        <f t="shared" si="7"/>
        <v>LU006653.002</v>
      </c>
      <c r="M36" s="1" t="str">
        <f ca="1">IFERROR(__xludf.dummyfunction("VLOOKUP(L36, IMPORTRANGE(""https://docs.google.com/spreadsheets/d/1yDAaXNsi4Mr5FtRQL4tbmSdIzhx6_m4wkOD7IG-k_eo/edit#gid=1336395716"", ""Science!M:N""), 2, FALSE)"),"(LU006653.002); Default - Understand")</f>
        <v>(LU006653.002); Default - Understand</v>
      </c>
      <c r="N36" s="1" t="str">
        <f t="shared" si="8"/>
        <v>LU006653.003</v>
      </c>
      <c r="O36" s="1" t="str">
        <f ca="1">IFERROR(__xludf.dummyfunction("VLOOKUP(N36, IMPORTRANGE(""https://docs.google.com/spreadsheets/d/1yDAaXNsi4Mr5FtRQL4tbmSdIzhx6_m4wkOD7IG-k_eo/edit#gid=1336395716"", ""Science!M:N""), 2, FALSE)"),"(LU006653.003); Default - Apply")</f>
        <v>(LU006653.003); Default - Apply</v>
      </c>
      <c r="P36" s="1" t="str">
        <f t="shared" si="9"/>
        <v>LU006653.004</v>
      </c>
      <c r="Q36" s="15" t="str">
        <f ca="1">IFERROR(__xludf.dummyfunction("VLOOKUP(P36, IMPORTRANGE(""https://docs.google.com/spreadsheets/d/1yDAaXNsi4Mr5FtRQL4tbmSdIzhx6_m4wkOD7IG-k_eo/edit#gid=1336395716"", ""Science!M:N""), 2, FALSE)"),"(LU006653.004); Default - Analyse")</f>
        <v>(LU006653.004); Default - Analyse</v>
      </c>
      <c r="R36" s="1" t="str">
        <f t="shared" si="10"/>
        <v>LU006653.005</v>
      </c>
      <c r="S36" s="15" t="str">
        <f ca="1">IFERROR(__xludf.dummyfunction("VLOOKUP(R36, IMPORTRANGE(""https://docs.google.com/spreadsheets/d/1yDAaXNsi4Mr5FtRQL4tbmSdIzhx6_m4wkOD7IG-k_eo/edit#gid=1336395716"", ""Science!M:N""), 2, FALSE)"),"(LU006653.005); Default - Evaluate")</f>
        <v>(LU006653.005); Default - Evaluate</v>
      </c>
      <c r="T36" s="1" t="str">
        <f t="shared" si="11"/>
        <v>LU006653.006</v>
      </c>
      <c r="U36" s="15" t="str">
        <f ca="1">IFERROR(__xludf.dummyfunction("VLOOKUP(T36, IMPORTRANGE(""https://docs.google.com/spreadsheets/d/1yDAaXNsi4Mr5FtRQL4tbmSdIzhx6_m4wkOD7IG-k_eo/edit#gid=1336395716"", ""Science!M:N""), 2, FALSE)"),"(LU006653.006); Default - Create")</f>
        <v>(LU006653.006); Default - Create</v>
      </c>
      <c r="V36" s="16" t="str">
        <f ca="1">IFERROR(__xludf.dummyfunction("ArrayFormula(VLOOKUP(G36, IMPORTRANGE(""https://docs.google.com/spreadsheets/d/1p7R4vtkWt5VOBim4ltsDG9KTzSjrtKXsMtQGXPHyND0/edit#gid=795171502"", ""'Filter 30_05_2024'!A1:M2000""), {2, 3, 4, 5,6,7,8,9,10,11,12,13}, 0))"),"#N/A")</f>
        <v>#N/A</v>
      </c>
      <c r="W36" s="16" t="str">
        <f ca="1">IFERROR(__xludf.dummyfunction("""COMPUTED_VALUE"""),"#N/A")</f>
        <v>#N/A</v>
      </c>
      <c r="X36" s="16" t="str">
        <f ca="1">IFERROR(__xludf.dummyfunction("""COMPUTED_VALUE"""),"#N/A")</f>
        <v>#N/A</v>
      </c>
      <c r="Y36" s="16" t="str">
        <f ca="1">IFERROR(__xludf.dummyfunction("""COMPUTED_VALUE"""),"#N/A")</f>
        <v>#N/A</v>
      </c>
      <c r="Z36" s="16" t="str">
        <f ca="1">IFERROR(__xludf.dummyfunction("""COMPUTED_VALUE"""),"#N/A")</f>
        <v>#N/A</v>
      </c>
      <c r="AA36" s="17" t="str">
        <f ca="1">IFERROR(__xludf.dummyfunction("""COMPUTED_VALUE"""),"#N/A")</f>
        <v>#N/A</v>
      </c>
      <c r="AB36" s="17" t="str">
        <f ca="1">IFERROR(__xludf.dummyfunction("""COMPUTED_VALUE"""),"#N/A")</f>
        <v>#N/A</v>
      </c>
      <c r="AC36" s="17" t="str">
        <f ca="1">IFERROR(__xludf.dummyfunction("""COMPUTED_VALUE"""),"#N/A")</f>
        <v>#N/A</v>
      </c>
      <c r="AD36" s="2" t="str">
        <f ca="1">IFERROR(__xludf.dummyfunction("""COMPUTED_VALUE"""),"#N/A")</f>
        <v>#N/A</v>
      </c>
      <c r="AE36" s="2" t="str">
        <f ca="1">IFERROR(__xludf.dummyfunction("""COMPUTED_VALUE"""),"#N/A")</f>
        <v>#N/A</v>
      </c>
      <c r="AF36" s="2" t="str">
        <f ca="1">IFERROR(__xludf.dummyfunction("""COMPUTED_VALUE"""),"#N/A")</f>
        <v>#N/A</v>
      </c>
      <c r="AG36" s="2" t="str">
        <f ca="1">IFERROR(__xludf.dummyfunction("""COMPUTED_VALUE"""),"#N/A")</f>
        <v>#N/A</v>
      </c>
    </row>
    <row r="37" spans="1:33" ht="41.4">
      <c r="A37" s="1"/>
      <c r="B37" s="1" t="s">
        <v>29</v>
      </c>
      <c r="C37" s="13">
        <v>8</v>
      </c>
      <c r="D37" s="2" t="s">
        <v>1547</v>
      </c>
      <c r="E37" s="1" t="s">
        <v>1283</v>
      </c>
      <c r="F37" s="1" t="s">
        <v>1551</v>
      </c>
      <c r="G37" s="14" t="s">
        <v>1552</v>
      </c>
      <c r="H37" s="18" t="str">
        <f ca="1">IFERROR(__xludf.dummyfunction("IFERROR(
  VLOOKUP(G37, IMPORTRANGE(""https://docs.google.com/spreadsheets/d/14deopnvwcrKtEGCKuYXdUHJbeLDZlkiSSWWT0g7x2pM/edit#gid=849066331"", ""LU List Maths (Filter)!A:B""), 2, FALSE),
  IFERROR(
    VLOOKUP(G37, IMPORTRANGE(""https://docs.google.com/s"&amp;"preadsheets/d/14deopnvwcrKtEGCKuYXdUHJbeLDZlkiSSWWT0g7x2pM/edit#gid=849066331"", ""LU List Science (Filter)!A:B""), 2, FALSE),
    ""Not Found""
  )
)
"),"Blood vessels(aorta, pulmonary trunk, coronary artery &amp; vein, vena cava)")</f>
        <v>Blood vessels(aorta, pulmonary trunk, coronary artery &amp; vein, vena cava)</v>
      </c>
      <c r="I37" s="2"/>
      <c r="J37" s="1" t="str">
        <f t="shared" si="6"/>
        <v>LU006654.001</v>
      </c>
      <c r="K37" s="1" t="str">
        <f ca="1">IFERROR(__xludf.dummyfunction("VLOOKUP(J37, IMPORTRANGE(""https://docs.google.com/spreadsheets/d/1yDAaXNsi4Mr5FtRQL4tbmSdIzhx6_m4wkOD7IG-k_eo/edit#gid=1336395716"", ""Science!M:N""), 2, FALSE)"),"(LU006654.001); Default - Remember")</f>
        <v>(LU006654.001); Default - Remember</v>
      </c>
      <c r="L37" s="1" t="str">
        <f t="shared" si="7"/>
        <v>LU006654.002</v>
      </c>
      <c r="M37" s="1" t="str">
        <f ca="1">IFERROR(__xludf.dummyfunction("VLOOKUP(L37, IMPORTRANGE(""https://docs.google.com/spreadsheets/d/1yDAaXNsi4Mr5FtRQL4tbmSdIzhx6_m4wkOD7IG-k_eo/edit#gid=1336395716"", ""Science!M:N""), 2, FALSE)"),"(LU006654.002); Default - Understand")</f>
        <v>(LU006654.002); Default - Understand</v>
      </c>
      <c r="N37" s="1" t="str">
        <f t="shared" si="8"/>
        <v>LU006654.003</v>
      </c>
      <c r="O37" s="1" t="str">
        <f ca="1">IFERROR(__xludf.dummyfunction("VLOOKUP(N37, IMPORTRANGE(""https://docs.google.com/spreadsheets/d/1yDAaXNsi4Mr5FtRQL4tbmSdIzhx6_m4wkOD7IG-k_eo/edit#gid=1336395716"", ""Science!M:N""), 2, FALSE)"),"(LU006654.003); Default - Apply")</f>
        <v>(LU006654.003); Default - Apply</v>
      </c>
      <c r="P37" s="1" t="str">
        <f t="shared" si="9"/>
        <v>LU006654.004</v>
      </c>
      <c r="Q37" s="15" t="str">
        <f ca="1">IFERROR(__xludf.dummyfunction("VLOOKUP(P37, IMPORTRANGE(""https://docs.google.com/spreadsheets/d/1yDAaXNsi4Mr5FtRQL4tbmSdIzhx6_m4wkOD7IG-k_eo/edit#gid=1336395716"", ""Science!M:N""), 2, FALSE)"),"(LU006654.004); Default - Analyse")</f>
        <v>(LU006654.004); Default - Analyse</v>
      </c>
      <c r="R37" s="1" t="str">
        <f t="shared" si="10"/>
        <v>LU006654.005</v>
      </c>
      <c r="S37" s="15" t="str">
        <f ca="1">IFERROR(__xludf.dummyfunction("VLOOKUP(R37, IMPORTRANGE(""https://docs.google.com/spreadsheets/d/1yDAaXNsi4Mr5FtRQL4tbmSdIzhx6_m4wkOD7IG-k_eo/edit#gid=1336395716"", ""Science!M:N""), 2, FALSE)"),"(LU006654.005); Default - Evaluate")</f>
        <v>(LU006654.005); Default - Evaluate</v>
      </c>
      <c r="T37" s="1" t="str">
        <f t="shared" si="11"/>
        <v>LU006654.006</v>
      </c>
      <c r="U37" s="15" t="str">
        <f ca="1">IFERROR(__xludf.dummyfunction("VLOOKUP(T37, IMPORTRANGE(""https://docs.google.com/spreadsheets/d/1yDAaXNsi4Mr5FtRQL4tbmSdIzhx6_m4wkOD7IG-k_eo/edit#gid=1336395716"", ""Science!M:N""), 2, FALSE)"),"(LU006654.006); Default - Create")</f>
        <v>(LU006654.006); Default - Create</v>
      </c>
      <c r="V37" s="16" t="str">
        <f ca="1">IFERROR(__xludf.dummyfunction("ArrayFormula(VLOOKUP(G37, IMPORTRANGE(""https://docs.google.com/spreadsheets/d/1p7R4vtkWt5VOBim4ltsDG9KTzSjrtKXsMtQGXPHyND0/edit#gid=795171502"", ""'Filter 30_05_2024'!A1:M2000""), {2, 3, 4, 5,6,7,8,9,10,11,12,13}, 0))"),"#N/A")</f>
        <v>#N/A</v>
      </c>
      <c r="W37" s="16" t="str">
        <f ca="1">IFERROR(__xludf.dummyfunction("""COMPUTED_VALUE"""),"#N/A")</f>
        <v>#N/A</v>
      </c>
      <c r="X37" s="16" t="str">
        <f ca="1">IFERROR(__xludf.dummyfunction("""COMPUTED_VALUE"""),"#N/A")</f>
        <v>#N/A</v>
      </c>
      <c r="Y37" s="16" t="str">
        <f ca="1">IFERROR(__xludf.dummyfunction("""COMPUTED_VALUE"""),"#N/A")</f>
        <v>#N/A</v>
      </c>
      <c r="Z37" s="16" t="str">
        <f ca="1">IFERROR(__xludf.dummyfunction("""COMPUTED_VALUE"""),"#N/A")</f>
        <v>#N/A</v>
      </c>
      <c r="AA37" s="17" t="str">
        <f ca="1">IFERROR(__xludf.dummyfunction("""COMPUTED_VALUE"""),"#N/A")</f>
        <v>#N/A</v>
      </c>
      <c r="AB37" s="17" t="str">
        <f ca="1">IFERROR(__xludf.dummyfunction("""COMPUTED_VALUE"""),"#N/A")</f>
        <v>#N/A</v>
      </c>
      <c r="AC37" s="17" t="str">
        <f ca="1">IFERROR(__xludf.dummyfunction("""COMPUTED_VALUE"""),"#N/A")</f>
        <v>#N/A</v>
      </c>
      <c r="AD37" s="2" t="str">
        <f ca="1">IFERROR(__xludf.dummyfunction("""COMPUTED_VALUE"""),"#N/A")</f>
        <v>#N/A</v>
      </c>
      <c r="AE37" s="2" t="str">
        <f ca="1">IFERROR(__xludf.dummyfunction("""COMPUTED_VALUE"""),"#N/A")</f>
        <v>#N/A</v>
      </c>
      <c r="AF37" s="2" t="str">
        <f ca="1">IFERROR(__xludf.dummyfunction("""COMPUTED_VALUE"""),"#N/A")</f>
        <v>#N/A</v>
      </c>
      <c r="AG37" s="2" t="str">
        <f ca="1">IFERROR(__xludf.dummyfunction("""COMPUTED_VALUE"""),"#N/A")</f>
        <v>#N/A</v>
      </c>
    </row>
    <row r="38" spans="1:33" ht="27.6">
      <c r="A38" s="1"/>
      <c r="B38" s="1" t="s">
        <v>29</v>
      </c>
      <c r="C38" s="13">
        <v>8</v>
      </c>
      <c r="D38" s="2" t="s">
        <v>1547</v>
      </c>
      <c r="E38" s="1" t="s">
        <v>1283</v>
      </c>
      <c r="F38" s="1" t="s">
        <v>1553</v>
      </c>
      <c r="G38" s="14" t="s">
        <v>1554</v>
      </c>
      <c r="H38" s="18" t="str">
        <f ca="1">IFERROR(__xludf.dummyfunction("IFERROR(
  VLOOKUP(G38, IMPORTRANGE(""https://docs.google.com/spreadsheets/d/14deopnvwcrKtEGCKuYXdUHJbeLDZlkiSSWWT0g7x2pM/edit#gid=849066331"", ""LU List Maths (Filter)!A:B""), 2, FALSE),
  IFERROR(
    VLOOKUP(G38, IMPORTRANGE(""https://docs.google.com/s"&amp;"preadsheets/d/14deopnvwcrKtEGCKuYXdUHJbeLDZlkiSSWWT0g7x2pM/edit#gid=849066331"", ""LU List Science (Filter)!A:B""), 2, FALSE),
    ""Not Found""
  )
)
"),"Circulation of blood as double circulation")</f>
        <v>Circulation of blood as double circulation</v>
      </c>
      <c r="I38" s="2"/>
      <c r="J38" s="1" t="str">
        <f t="shared" si="6"/>
        <v>LU006655.001</v>
      </c>
      <c r="K38" s="1" t="str">
        <f ca="1">IFERROR(__xludf.dummyfunction("VLOOKUP(J38, IMPORTRANGE(""https://docs.google.com/spreadsheets/d/1yDAaXNsi4Mr5FtRQL4tbmSdIzhx6_m4wkOD7IG-k_eo/edit#gid=1336395716"", ""Science!M:N""), 2, FALSE)"),"(LU006655.001); Default - Remember")</f>
        <v>(LU006655.001); Default - Remember</v>
      </c>
      <c r="L38" s="1" t="str">
        <f t="shared" si="7"/>
        <v>LU006655.002</v>
      </c>
      <c r="M38" s="1" t="str">
        <f ca="1">IFERROR(__xludf.dummyfunction("VLOOKUP(L38, IMPORTRANGE(""https://docs.google.com/spreadsheets/d/1yDAaXNsi4Mr5FtRQL4tbmSdIzhx6_m4wkOD7IG-k_eo/edit#gid=1336395716"", ""Science!M:N""), 2, FALSE)"),"(LU006655.002); Default - Understand")</f>
        <v>(LU006655.002); Default - Understand</v>
      </c>
      <c r="N38" s="1" t="str">
        <f t="shared" si="8"/>
        <v>LU006655.003</v>
      </c>
      <c r="O38" s="1" t="str">
        <f ca="1">IFERROR(__xludf.dummyfunction("VLOOKUP(N38, IMPORTRANGE(""https://docs.google.com/spreadsheets/d/1yDAaXNsi4Mr5FtRQL4tbmSdIzhx6_m4wkOD7IG-k_eo/edit#gid=1336395716"", ""Science!M:N""), 2, FALSE)"),"(LU006655.003); Default - Apply")</f>
        <v>(LU006655.003); Default - Apply</v>
      </c>
      <c r="P38" s="1" t="str">
        <f t="shared" si="9"/>
        <v>LU006655.004</v>
      </c>
      <c r="Q38" s="15" t="str">
        <f ca="1">IFERROR(__xludf.dummyfunction("VLOOKUP(P38, IMPORTRANGE(""https://docs.google.com/spreadsheets/d/1yDAaXNsi4Mr5FtRQL4tbmSdIzhx6_m4wkOD7IG-k_eo/edit#gid=1336395716"", ""Science!M:N""), 2, FALSE)"),"(LU006655.004); Default - Analyse")</f>
        <v>(LU006655.004); Default - Analyse</v>
      </c>
      <c r="R38" s="1" t="str">
        <f t="shared" si="10"/>
        <v>LU006655.005</v>
      </c>
      <c r="S38" s="15" t="str">
        <f ca="1">IFERROR(__xludf.dummyfunction("VLOOKUP(R38, IMPORTRANGE(""https://docs.google.com/spreadsheets/d/1yDAaXNsi4Mr5FtRQL4tbmSdIzhx6_m4wkOD7IG-k_eo/edit#gid=1336395716"", ""Science!M:N""), 2, FALSE)"),"(LU006655.005); Default - Evaluate")</f>
        <v>(LU006655.005); Default - Evaluate</v>
      </c>
      <c r="T38" s="1" t="str">
        <f t="shared" si="11"/>
        <v>LU006655.006</v>
      </c>
      <c r="U38" s="15" t="str">
        <f ca="1">IFERROR(__xludf.dummyfunction("VLOOKUP(T38, IMPORTRANGE(""https://docs.google.com/spreadsheets/d/1yDAaXNsi4Mr5FtRQL4tbmSdIzhx6_m4wkOD7IG-k_eo/edit#gid=1336395716"", ""Science!M:N""), 2, FALSE)"),"(LU006655.006); Default - Create")</f>
        <v>(LU006655.006); Default - Create</v>
      </c>
      <c r="V38" s="16" t="str">
        <f ca="1">IFERROR(__xludf.dummyfunction("ArrayFormula(VLOOKUP(G38, IMPORTRANGE(""https://docs.google.com/spreadsheets/d/1p7R4vtkWt5VOBim4ltsDG9KTzSjrtKXsMtQGXPHyND0/edit#gid=795171502"", ""'Filter 30_05_2024'!A1:M2000""), {2, 3, 4, 5,6,7,8,9,10,11,12,13}, 0))"),"#N/A")</f>
        <v>#N/A</v>
      </c>
      <c r="W38" s="16" t="str">
        <f ca="1">IFERROR(__xludf.dummyfunction("""COMPUTED_VALUE"""),"#N/A")</f>
        <v>#N/A</v>
      </c>
      <c r="X38" s="16" t="str">
        <f ca="1">IFERROR(__xludf.dummyfunction("""COMPUTED_VALUE"""),"#N/A")</f>
        <v>#N/A</v>
      </c>
      <c r="Y38" s="16" t="str">
        <f ca="1">IFERROR(__xludf.dummyfunction("""COMPUTED_VALUE"""),"#N/A")</f>
        <v>#N/A</v>
      </c>
      <c r="Z38" s="16" t="str">
        <f ca="1">IFERROR(__xludf.dummyfunction("""COMPUTED_VALUE"""),"#N/A")</f>
        <v>#N/A</v>
      </c>
      <c r="AA38" s="17" t="str">
        <f ca="1">IFERROR(__xludf.dummyfunction("""COMPUTED_VALUE"""),"#N/A")</f>
        <v>#N/A</v>
      </c>
      <c r="AB38" s="17" t="str">
        <f ca="1">IFERROR(__xludf.dummyfunction("""COMPUTED_VALUE"""),"#N/A")</f>
        <v>#N/A</v>
      </c>
      <c r="AC38" s="17" t="str">
        <f ca="1">IFERROR(__xludf.dummyfunction("""COMPUTED_VALUE"""),"#N/A")</f>
        <v>#N/A</v>
      </c>
      <c r="AD38" s="2" t="str">
        <f ca="1">IFERROR(__xludf.dummyfunction("""COMPUTED_VALUE"""),"#N/A")</f>
        <v>#N/A</v>
      </c>
      <c r="AE38" s="2" t="str">
        <f ca="1">IFERROR(__xludf.dummyfunction("""COMPUTED_VALUE"""),"#N/A")</f>
        <v>#N/A</v>
      </c>
      <c r="AF38" s="2" t="str">
        <f ca="1">IFERROR(__xludf.dummyfunction("""COMPUTED_VALUE"""),"#N/A")</f>
        <v>#N/A</v>
      </c>
      <c r="AG38" s="2" t="str">
        <f ca="1">IFERROR(__xludf.dummyfunction("""COMPUTED_VALUE"""),"#N/A")</f>
        <v>#N/A</v>
      </c>
    </row>
    <row r="39" spans="1:33" ht="27.6">
      <c r="A39" s="1"/>
      <c r="B39" s="1" t="s">
        <v>29</v>
      </c>
      <c r="C39" s="13">
        <v>8</v>
      </c>
      <c r="D39" s="2" t="s">
        <v>1547</v>
      </c>
      <c r="E39" s="1" t="s">
        <v>1283</v>
      </c>
      <c r="F39" s="1" t="s">
        <v>1555</v>
      </c>
      <c r="G39" s="14" t="s">
        <v>1556</v>
      </c>
      <c r="H39" s="18" t="str">
        <f ca="1">IFERROR(__xludf.dummyfunction("IFERROR(
  VLOOKUP(G39, IMPORTRANGE(""https://docs.google.com/spreadsheets/d/14deopnvwcrKtEGCKuYXdUHJbeLDZlkiSSWWT0g7x2pM/edit#gid=849066331"", ""LU List Maths (Filter)!A:B""), 2, FALSE),
  IFERROR(
    VLOOKUP(G39, IMPORTRANGE(""https://docs.google.com/s"&amp;"preadsheets/d/14deopnvwcrKtEGCKuYXdUHJbeLDZlkiSSWWT0g7x2pM/edit#gid=849066331"", ""LU List Science (Filter)!A:B""), 2, FALSE),
    ""Not Found""
  )
)
"),"Concept of universal blood donor and acceptor")</f>
        <v>Concept of universal blood donor and acceptor</v>
      </c>
      <c r="I39" s="2"/>
      <c r="J39" s="1" t="str">
        <f t="shared" si="6"/>
        <v>LU006656.001</v>
      </c>
      <c r="K39" s="1" t="str">
        <f ca="1">IFERROR(__xludf.dummyfunction("VLOOKUP(J39, IMPORTRANGE(""https://docs.google.com/spreadsheets/d/1yDAaXNsi4Mr5FtRQL4tbmSdIzhx6_m4wkOD7IG-k_eo/edit#gid=1336395716"", ""Science!M:N""), 2, FALSE)"),"(LU006656.001); Default - Remember")</f>
        <v>(LU006656.001); Default - Remember</v>
      </c>
      <c r="L39" s="1" t="str">
        <f t="shared" si="7"/>
        <v>LU006656.002</v>
      </c>
      <c r="M39" s="1" t="str">
        <f ca="1">IFERROR(__xludf.dummyfunction("VLOOKUP(L39, IMPORTRANGE(""https://docs.google.com/spreadsheets/d/1yDAaXNsi4Mr5FtRQL4tbmSdIzhx6_m4wkOD7IG-k_eo/edit#gid=1336395716"", ""Science!M:N""), 2, FALSE)"),"(LU006656.002); Default - Understand")</f>
        <v>(LU006656.002); Default - Understand</v>
      </c>
      <c r="N39" s="1" t="str">
        <f t="shared" si="8"/>
        <v>LU006656.003</v>
      </c>
      <c r="O39" s="1" t="str">
        <f ca="1">IFERROR(__xludf.dummyfunction("VLOOKUP(N39, IMPORTRANGE(""https://docs.google.com/spreadsheets/d/1yDAaXNsi4Mr5FtRQL4tbmSdIzhx6_m4wkOD7IG-k_eo/edit#gid=1336395716"", ""Science!M:N""), 2, FALSE)"),"(LU006656.003); Default - Apply")</f>
        <v>(LU006656.003); Default - Apply</v>
      </c>
      <c r="P39" s="1" t="str">
        <f t="shared" si="9"/>
        <v>LU006656.004</v>
      </c>
      <c r="Q39" s="15" t="str">
        <f ca="1">IFERROR(__xludf.dummyfunction("VLOOKUP(P39, IMPORTRANGE(""https://docs.google.com/spreadsheets/d/1yDAaXNsi4Mr5FtRQL4tbmSdIzhx6_m4wkOD7IG-k_eo/edit#gid=1336395716"", ""Science!M:N""), 2, FALSE)"),"(LU006656.004); Default - Analyse")</f>
        <v>(LU006656.004); Default - Analyse</v>
      </c>
      <c r="R39" s="1" t="str">
        <f t="shared" si="10"/>
        <v>LU006656.005</v>
      </c>
      <c r="S39" s="15" t="str">
        <f ca="1">IFERROR(__xludf.dummyfunction("VLOOKUP(R39, IMPORTRANGE(""https://docs.google.com/spreadsheets/d/1yDAaXNsi4Mr5FtRQL4tbmSdIzhx6_m4wkOD7IG-k_eo/edit#gid=1336395716"", ""Science!M:N""), 2, FALSE)"),"(LU006656.005); Default - Evaluate")</f>
        <v>(LU006656.005); Default - Evaluate</v>
      </c>
      <c r="T39" s="1" t="str">
        <f t="shared" si="11"/>
        <v>LU006656.006</v>
      </c>
      <c r="U39" s="15" t="str">
        <f ca="1">IFERROR(__xludf.dummyfunction("VLOOKUP(T39, IMPORTRANGE(""https://docs.google.com/spreadsheets/d/1yDAaXNsi4Mr5FtRQL4tbmSdIzhx6_m4wkOD7IG-k_eo/edit#gid=1336395716"", ""Science!M:N""), 2, FALSE)"),"(LU006656.006); Default - Create")</f>
        <v>(LU006656.006); Default - Create</v>
      </c>
      <c r="V39" s="16" t="str">
        <f ca="1">IFERROR(__xludf.dummyfunction("ArrayFormula(VLOOKUP(G39, IMPORTRANGE(""https://docs.google.com/spreadsheets/d/1p7R4vtkWt5VOBim4ltsDG9KTzSjrtKXsMtQGXPHyND0/edit#gid=795171502"", ""'Filter 30_05_2024'!A1:M2000""), {2, 3, 4, 5,6,7,8,9,10,11,12,13}, 0))"),"#N/A")</f>
        <v>#N/A</v>
      </c>
      <c r="W39" s="16" t="str">
        <f ca="1">IFERROR(__xludf.dummyfunction("""COMPUTED_VALUE"""),"#N/A")</f>
        <v>#N/A</v>
      </c>
      <c r="X39" s="16" t="str">
        <f ca="1">IFERROR(__xludf.dummyfunction("""COMPUTED_VALUE"""),"#N/A")</f>
        <v>#N/A</v>
      </c>
      <c r="Y39" s="16" t="str">
        <f ca="1">IFERROR(__xludf.dummyfunction("""COMPUTED_VALUE"""),"#N/A")</f>
        <v>#N/A</v>
      </c>
      <c r="Z39" s="16" t="str">
        <f ca="1">IFERROR(__xludf.dummyfunction("""COMPUTED_VALUE"""),"#N/A")</f>
        <v>#N/A</v>
      </c>
      <c r="AA39" s="17" t="str">
        <f ca="1">IFERROR(__xludf.dummyfunction("""COMPUTED_VALUE"""),"#N/A")</f>
        <v>#N/A</v>
      </c>
      <c r="AB39" s="17" t="str">
        <f ca="1">IFERROR(__xludf.dummyfunction("""COMPUTED_VALUE"""),"#N/A")</f>
        <v>#N/A</v>
      </c>
      <c r="AC39" s="17" t="str">
        <f ca="1">IFERROR(__xludf.dummyfunction("""COMPUTED_VALUE"""),"#N/A")</f>
        <v>#N/A</v>
      </c>
      <c r="AD39" s="2" t="str">
        <f ca="1">IFERROR(__xludf.dummyfunction("""COMPUTED_VALUE"""),"#N/A")</f>
        <v>#N/A</v>
      </c>
      <c r="AE39" s="2" t="str">
        <f ca="1">IFERROR(__xludf.dummyfunction("""COMPUTED_VALUE"""),"#N/A")</f>
        <v>#N/A</v>
      </c>
      <c r="AF39" s="2" t="str">
        <f ca="1">IFERROR(__xludf.dummyfunction("""COMPUTED_VALUE"""),"#N/A")</f>
        <v>#N/A</v>
      </c>
      <c r="AG39" s="2" t="str">
        <f ca="1">IFERROR(__xludf.dummyfunction("""COMPUTED_VALUE"""),"#N/A")</f>
        <v>#N/A</v>
      </c>
    </row>
    <row r="40" spans="1:33" ht="27.6">
      <c r="A40" s="1"/>
      <c r="B40" s="1"/>
      <c r="C40" s="13"/>
      <c r="D40" s="2" t="s">
        <v>1547</v>
      </c>
      <c r="E40" s="1"/>
      <c r="F40" s="1" t="s">
        <v>1557</v>
      </c>
      <c r="G40" s="107" t="s">
        <v>1558</v>
      </c>
      <c r="H40" s="18" t="str">
        <f ca="1">IFERROR(__xludf.dummyfunction("IFERROR(
  VLOOKUP(G40, IMPORTRANGE(""https://docs.google.com/spreadsheets/d/14deopnvwcrKtEGCKuYXdUHJbeLDZlkiSSWWT0g7x2pM/edit#gid=849066331"", ""LU List Maths (Filter)!A:B""), 2, FALSE),
  IFERROR(
    VLOOKUP(G40, IMPORTRANGE(""https://docs.google.com/s"&amp;"preadsheets/d/14deopnvwcrKtEGCKuYXdUHJbeLDZlkiSSWWT0g7x2pM/edit#gid=849066331"", ""LU List Science (Filter)!A:B""), 2, FALSE),
    ""Not Found""
  )
)
"),"Concept of blood pressure")</f>
        <v>Concept of blood pressure</v>
      </c>
      <c r="I40" s="108" t="s">
        <v>1559</v>
      </c>
      <c r="J40" s="1" t="str">
        <f t="shared" si="6"/>
        <v>LU006457.001</v>
      </c>
      <c r="K40" s="1" t="str">
        <f ca="1">IFERROR(__xludf.dummyfunction("VLOOKUP(J40, IMPORTRANGE(""https://docs.google.com/spreadsheets/d/1yDAaXNsi4Mr5FtRQL4tbmSdIzhx6_m4wkOD7IG-k_eo/edit#gid=1336395716"", ""Science!M:N""), 2, FALSE)"),"(LU006457.001); Default - Remember")</f>
        <v>(LU006457.001); Default - Remember</v>
      </c>
      <c r="L40" s="1" t="str">
        <f t="shared" si="7"/>
        <v>LU006457.002</v>
      </c>
      <c r="M40" s="1" t="str">
        <f ca="1">IFERROR(__xludf.dummyfunction("VLOOKUP(L40, IMPORTRANGE(""https://docs.google.com/spreadsheets/d/1yDAaXNsi4Mr5FtRQL4tbmSdIzhx6_m4wkOD7IG-k_eo/edit#gid=1336395716"", ""Science!M:N""), 2, FALSE)"),"(LU006457.002); Default - Understand")</f>
        <v>(LU006457.002); Default - Understand</v>
      </c>
      <c r="N40" s="1" t="str">
        <f t="shared" si="8"/>
        <v>LU006457.003</v>
      </c>
      <c r="O40" s="1" t="str">
        <f ca="1">IFERROR(__xludf.dummyfunction("VLOOKUP(N40, IMPORTRANGE(""https://docs.google.com/spreadsheets/d/1yDAaXNsi4Mr5FtRQL4tbmSdIzhx6_m4wkOD7IG-k_eo/edit#gid=1336395716"", ""Science!M:N""), 2, FALSE)"),"(LU006457.003); Default - Apply")</f>
        <v>(LU006457.003); Default - Apply</v>
      </c>
      <c r="P40" s="1" t="str">
        <f t="shared" si="9"/>
        <v>LU006457.004</v>
      </c>
      <c r="Q40" s="15" t="str">
        <f ca="1">IFERROR(__xludf.dummyfunction("VLOOKUP(P40, IMPORTRANGE(""https://docs.google.com/spreadsheets/d/1yDAaXNsi4Mr5FtRQL4tbmSdIzhx6_m4wkOD7IG-k_eo/edit#gid=1336395716"", ""Science!M:N""), 2, FALSE)"),"(LU006457.004); Default - Analyse")</f>
        <v>(LU006457.004); Default - Analyse</v>
      </c>
      <c r="R40" s="1" t="str">
        <f t="shared" si="10"/>
        <v>LU006457.005</v>
      </c>
      <c r="S40" s="15" t="str">
        <f ca="1">IFERROR(__xludf.dummyfunction("VLOOKUP(R40, IMPORTRANGE(""https://docs.google.com/spreadsheets/d/1yDAaXNsi4Mr5FtRQL4tbmSdIzhx6_m4wkOD7IG-k_eo/edit#gid=1336395716"", ""Science!M:N""), 2, FALSE)"),"(LU006457.005); Default - Evaluate")</f>
        <v>(LU006457.005); Default - Evaluate</v>
      </c>
      <c r="T40" s="1" t="str">
        <f t="shared" si="11"/>
        <v>LU006457.006</v>
      </c>
      <c r="U40" s="15" t="str">
        <f ca="1">IFERROR(__xludf.dummyfunction("VLOOKUP(T40, IMPORTRANGE(""https://docs.google.com/spreadsheets/d/1yDAaXNsi4Mr5FtRQL4tbmSdIzhx6_m4wkOD7IG-k_eo/edit#gid=1336395716"", ""Science!M:N""), 2, FALSE)"),"(LU006457.006); Default - Create")</f>
        <v>(LU006457.006); Default - Create</v>
      </c>
      <c r="V40" s="16" t="str">
        <f ca="1">IFERROR(__xludf.dummyfunction("ArrayFormula(VLOOKUP(G40, IMPORTRANGE(""https://docs.google.com/spreadsheets/d/1p7R4vtkWt5VOBim4ltsDG9KTzSjrtKXsMtQGXPHyND0/edit#gid=795171502"", ""'Filter 30_05_2024'!A1:M2000""), {2, 3, 4, 5,6,7,8,9,10,11,12,13}, 0))"),"#N/A")</f>
        <v>#N/A</v>
      </c>
      <c r="W40" s="16" t="str">
        <f ca="1">IFERROR(__xludf.dummyfunction("""COMPUTED_VALUE"""),"#N/A")</f>
        <v>#N/A</v>
      </c>
      <c r="X40" s="16" t="str">
        <f ca="1">IFERROR(__xludf.dummyfunction("""COMPUTED_VALUE"""),"#N/A")</f>
        <v>#N/A</v>
      </c>
      <c r="Y40" s="16" t="str">
        <f ca="1">IFERROR(__xludf.dummyfunction("""COMPUTED_VALUE"""),"#N/A")</f>
        <v>#N/A</v>
      </c>
      <c r="Z40" s="16" t="str">
        <f ca="1">IFERROR(__xludf.dummyfunction("""COMPUTED_VALUE"""),"#N/A")</f>
        <v>#N/A</v>
      </c>
      <c r="AA40" s="17" t="str">
        <f ca="1">IFERROR(__xludf.dummyfunction("""COMPUTED_VALUE"""),"#N/A")</f>
        <v>#N/A</v>
      </c>
      <c r="AB40" s="17" t="str">
        <f ca="1">IFERROR(__xludf.dummyfunction("""COMPUTED_VALUE"""),"#N/A")</f>
        <v>#N/A</v>
      </c>
      <c r="AC40" s="17" t="str">
        <f ca="1">IFERROR(__xludf.dummyfunction("""COMPUTED_VALUE"""),"#N/A")</f>
        <v>#N/A</v>
      </c>
      <c r="AD40" s="2" t="str">
        <f ca="1">IFERROR(__xludf.dummyfunction("""COMPUTED_VALUE"""),"#N/A")</f>
        <v>#N/A</v>
      </c>
      <c r="AE40" s="2" t="str">
        <f ca="1">IFERROR(__xludf.dummyfunction("""COMPUTED_VALUE"""),"#N/A")</f>
        <v>#N/A</v>
      </c>
      <c r="AF40" s="2" t="str">
        <f ca="1">IFERROR(__xludf.dummyfunction("""COMPUTED_VALUE"""),"#N/A")</f>
        <v>#N/A</v>
      </c>
      <c r="AG40" s="2" t="str">
        <f ca="1">IFERROR(__xludf.dummyfunction("""COMPUTED_VALUE"""),"#N/A")</f>
        <v>#N/A</v>
      </c>
    </row>
    <row r="41" spans="1:33" ht="16.5" customHeight="1">
      <c r="A41" s="1"/>
      <c r="B41" s="1" t="s">
        <v>29</v>
      </c>
      <c r="C41" s="13">
        <v>8</v>
      </c>
      <c r="D41" s="2" t="s">
        <v>1547</v>
      </c>
      <c r="E41" s="1" t="s">
        <v>1283</v>
      </c>
      <c r="F41" s="1" t="s">
        <v>1557</v>
      </c>
      <c r="G41" s="14" t="s">
        <v>1560</v>
      </c>
      <c r="H41" s="18" t="str">
        <f ca="1">IFERROR(__xludf.dummyfunction("IFERROR(
  VLOOKUP(G41, IMPORTRANGE(""https://docs.google.com/spreadsheets/d/14deopnvwcrKtEGCKuYXdUHJbeLDZlkiSSWWT0g7x2pM/edit#gid=849066331"", ""LU List Maths (Filter)!A:B""), 2, FALSE),
  IFERROR(
    VLOOKUP(G41, IMPORTRANGE(""https://docs.google.com/s"&amp;"preadsheets/d/14deopnvwcrKtEGCKuYXdUHJbeLDZlkiSSWWT0g7x2pM/edit#gid=849066331"", ""LU List Science (Filter)!A:B""), 2, FALSE),
    ""Not Found""
  )
)
"),"Palpitations, cardiac arrest and hypertension.")</f>
        <v>Palpitations, cardiac arrest and hypertension.</v>
      </c>
      <c r="I41" s="2"/>
      <c r="J41" s="1" t="str">
        <f t="shared" si="6"/>
        <v>LU006657.001</v>
      </c>
      <c r="K41" s="1" t="str">
        <f ca="1">IFERROR(__xludf.dummyfunction("VLOOKUP(J41, IMPORTRANGE(""https://docs.google.com/spreadsheets/d/1yDAaXNsi4Mr5FtRQL4tbmSdIzhx6_m4wkOD7IG-k_eo/edit#gid=1336395716"", ""Science!M:N""), 2, FALSE)"),"(LU006657.001); Default - Remember")</f>
        <v>(LU006657.001); Default - Remember</v>
      </c>
      <c r="L41" s="1" t="str">
        <f t="shared" si="7"/>
        <v>LU006657.002</v>
      </c>
      <c r="M41" s="1" t="str">
        <f ca="1">IFERROR(__xludf.dummyfunction("VLOOKUP(L41, IMPORTRANGE(""https://docs.google.com/spreadsheets/d/1yDAaXNsi4Mr5FtRQL4tbmSdIzhx6_m4wkOD7IG-k_eo/edit#gid=1336395716"", ""Science!M:N""), 2, FALSE)"),"(LU006657.002); Default - Understand")</f>
        <v>(LU006657.002); Default - Understand</v>
      </c>
      <c r="N41" s="1" t="str">
        <f t="shared" si="8"/>
        <v>LU006657.003</v>
      </c>
      <c r="O41" s="1" t="str">
        <f ca="1">IFERROR(__xludf.dummyfunction("VLOOKUP(N41, IMPORTRANGE(""https://docs.google.com/spreadsheets/d/1yDAaXNsi4Mr5FtRQL4tbmSdIzhx6_m4wkOD7IG-k_eo/edit#gid=1336395716"", ""Science!M:N""), 2, FALSE)"),"(LU006657.003); Default - Apply")</f>
        <v>(LU006657.003); Default - Apply</v>
      </c>
      <c r="P41" s="1" t="str">
        <f t="shared" si="9"/>
        <v>LU006657.004</v>
      </c>
      <c r="Q41" s="15" t="str">
        <f ca="1">IFERROR(__xludf.dummyfunction("VLOOKUP(P41, IMPORTRANGE(""https://docs.google.com/spreadsheets/d/1yDAaXNsi4Mr5FtRQL4tbmSdIzhx6_m4wkOD7IG-k_eo/edit#gid=1336395716"", ""Science!M:N""), 2, FALSE)"),"(LU006657.004); Default - Analyse")</f>
        <v>(LU006657.004); Default - Analyse</v>
      </c>
      <c r="R41" s="1" t="str">
        <f t="shared" si="10"/>
        <v>LU006657.005</v>
      </c>
      <c r="S41" s="15" t="str">
        <f ca="1">IFERROR(__xludf.dummyfunction("VLOOKUP(R41, IMPORTRANGE(""https://docs.google.com/spreadsheets/d/1yDAaXNsi4Mr5FtRQL4tbmSdIzhx6_m4wkOD7IG-k_eo/edit#gid=1336395716"", ""Science!M:N""), 2, FALSE)"),"(LU006657.005); Default - Evaluate")</f>
        <v>(LU006657.005); Default - Evaluate</v>
      </c>
      <c r="T41" s="1" t="str">
        <f t="shared" si="11"/>
        <v>LU006657.006</v>
      </c>
      <c r="U41" s="15" t="str">
        <f ca="1">IFERROR(__xludf.dummyfunction("VLOOKUP(T41, IMPORTRANGE(""https://docs.google.com/spreadsheets/d/1yDAaXNsi4Mr5FtRQL4tbmSdIzhx6_m4wkOD7IG-k_eo/edit#gid=1336395716"", ""Science!M:N""), 2, FALSE)"),"(LU006657.006); Default - Create")</f>
        <v>(LU006657.006); Default - Create</v>
      </c>
      <c r="V41" s="16" t="str">
        <f ca="1">IFERROR(__xludf.dummyfunction("ArrayFormula(VLOOKUP(G41, IMPORTRANGE(""https://docs.google.com/spreadsheets/d/1p7R4vtkWt5VOBim4ltsDG9KTzSjrtKXsMtQGXPHyND0/edit#gid=795171502"", ""'Filter 30_05_2024'!A1:M2000""), {2, 3, 4, 5,6,7,8,9,10,11,12,13}, 0))"),"#N/A")</f>
        <v>#N/A</v>
      </c>
      <c r="W41" s="16" t="str">
        <f ca="1">IFERROR(__xludf.dummyfunction("""COMPUTED_VALUE"""),"#N/A")</f>
        <v>#N/A</v>
      </c>
      <c r="X41" s="16" t="str">
        <f ca="1">IFERROR(__xludf.dummyfunction("""COMPUTED_VALUE"""),"#N/A")</f>
        <v>#N/A</v>
      </c>
      <c r="Y41" s="16" t="str">
        <f ca="1">IFERROR(__xludf.dummyfunction("""COMPUTED_VALUE"""),"#N/A")</f>
        <v>#N/A</v>
      </c>
      <c r="Z41" s="16" t="str">
        <f ca="1">IFERROR(__xludf.dummyfunction("""COMPUTED_VALUE"""),"#N/A")</f>
        <v>#N/A</v>
      </c>
      <c r="AA41" s="17" t="str">
        <f ca="1">IFERROR(__xludf.dummyfunction("""COMPUTED_VALUE"""),"#N/A")</f>
        <v>#N/A</v>
      </c>
      <c r="AB41" s="17" t="str">
        <f ca="1">IFERROR(__xludf.dummyfunction("""COMPUTED_VALUE"""),"#N/A")</f>
        <v>#N/A</v>
      </c>
      <c r="AC41" s="17" t="str">
        <f ca="1">IFERROR(__xludf.dummyfunction("""COMPUTED_VALUE"""),"#N/A")</f>
        <v>#N/A</v>
      </c>
      <c r="AD41" s="2" t="str">
        <f ca="1">IFERROR(__xludf.dummyfunction("""COMPUTED_VALUE"""),"#N/A")</f>
        <v>#N/A</v>
      </c>
      <c r="AE41" s="2" t="str">
        <f ca="1">IFERROR(__xludf.dummyfunction("""COMPUTED_VALUE"""),"#N/A")</f>
        <v>#N/A</v>
      </c>
      <c r="AF41" s="2" t="str">
        <f ca="1">IFERROR(__xludf.dummyfunction("""COMPUTED_VALUE"""),"#N/A")</f>
        <v>#N/A</v>
      </c>
      <c r="AG41" s="2" t="str">
        <f ca="1">IFERROR(__xludf.dummyfunction("""COMPUTED_VALUE"""),"#N/A")</f>
        <v>#N/A</v>
      </c>
    </row>
    <row r="42" spans="1:33" ht="27.6">
      <c r="A42" s="1"/>
      <c r="B42" s="1" t="s">
        <v>29</v>
      </c>
      <c r="C42" s="13">
        <v>8</v>
      </c>
      <c r="D42" s="2" t="s">
        <v>1547</v>
      </c>
      <c r="E42" s="1" t="s">
        <v>1283</v>
      </c>
      <c r="F42" s="1" t="s">
        <v>1561</v>
      </c>
      <c r="G42" s="14" t="s">
        <v>1562</v>
      </c>
      <c r="H42" s="18" t="str">
        <f ca="1">IFERROR(__xludf.dummyfunction("IFERROR(
  VLOOKUP(G42, IMPORTRANGE(""https://docs.google.com/spreadsheets/d/14deopnvwcrKtEGCKuYXdUHJbeLDZlkiSSWWT0g7x2pM/edit#gid=849066331"", ""LU List Maths (Filter)!A:B""), 2, FALSE),
  IFERROR(
    VLOOKUP(G42, IMPORTRANGE(""https://docs.google.com/s"&amp;"preadsheets/d/14deopnvwcrKtEGCKuYXdUHJbeLDZlkiSSWWT0g7x2pM/edit#gid=849066331"", ""LU List Science (Filter)!A:B""), 2, FALSE),
    ""Not Found""
  )
)
"),"Introduction of lymphatic system as a parallel circulatory system")</f>
        <v>Introduction of lymphatic system as a parallel circulatory system</v>
      </c>
      <c r="I42" s="2"/>
      <c r="J42" s="1" t="str">
        <f t="shared" si="6"/>
        <v>LU006658.001</v>
      </c>
      <c r="K42" s="1" t="str">
        <f ca="1">IFERROR(__xludf.dummyfunction("VLOOKUP(J42, IMPORTRANGE(""https://docs.google.com/spreadsheets/d/1yDAaXNsi4Mr5FtRQL4tbmSdIzhx6_m4wkOD7IG-k_eo/edit#gid=1336395716"", ""Science!M:N""), 2, FALSE)"),"(LU006658.001); Default - Remember")</f>
        <v>(LU006658.001); Default - Remember</v>
      </c>
      <c r="L42" s="1" t="str">
        <f t="shared" si="7"/>
        <v>LU006658.002</v>
      </c>
      <c r="M42" s="1" t="str">
        <f ca="1">IFERROR(__xludf.dummyfunction("VLOOKUP(L42, IMPORTRANGE(""https://docs.google.com/spreadsheets/d/1yDAaXNsi4Mr5FtRQL4tbmSdIzhx6_m4wkOD7IG-k_eo/edit#gid=1336395716"", ""Science!M:N""), 2, FALSE)"),"(LU006658.002); Default - Understand")</f>
        <v>(LU006658.002); Default - Understand</v>
      </c>
      <c r="N42" s="1" t="str">
        <f t="shared" si="8"/>
        <v>LU006658.003</v>
      </c>
      <c r="O42" s="1" t="str">
        <f ca="1">IFERROR(__xludf.dummyfunction("VLOOKUP(N42, IMPORTRANGE(""https://docs.google.com/spreadsheets/d/1yDAaXNsi4Mr5FtRQL4tbmSdIzhx6_m4wkOD7IG-k_eo/edit#gid=1336395716"", ""Science!M:N""), 2, FALSE)"),"(LU006658.003); Default - Apply")</f>
        <v>(LU006658.003); Default - Apply</v>
      </c>
      <c r="P42" s="1" t="str">
        <f t="shared" si="9"/>
        <v>LU006658.004</v>
      </c>
      <c r="Q42" s="15" t="str">
        <f ca="1">IFERROR(__xludf.dummyfunction("VLOOKUP(P42, IMPORTRANGE(""https://docs.google.com/spreadsheets/d/1yDAaXNsi4Mr5FtRQL4tbmSdIzhx6_m4wkOD7IG-k_eo/edit#gid=1336395716"", ""Science!M:N""), 2, FALSE)"),"(LU006658.004); Default - Analyse")</f>
        <v>(LU006658.004); Default - Analyse</v>
      </c>
      <c r="R42" s="1" t="str">
        <f t="shared" si="10"/>
        <v>LU006658.005</v>
      </c>
      <c r="S42" s="15" t="str">
        <f ca="1">IFERROR(__xludf.dummyfunction("VLOOKUP(R42, IMPORTRANGE(""https://docs.google.com/spreadsheets/d/1yDAaXNsi4Mr5FtRQL4tbmSdIzhx6_m4wkOD7IG-k_eo/edit#gid=1336395716"", ""Science!M:N""), 2, FALSE)"),"(LU006658.005); Default - Evaluate")</f>
        <v>(LU006658.005); Default - Evaluate</v>
      </c>
      <c r="T42" s="1" t="str">
        <f t="shared" si="11"/>
        <v>LU006658.006</v>
      </c>
      <c r="U42" s="15" t="str">
        <f ca="1">IFERROR(__xludf.dummyfunction("VLOOKUP(T42, IMPORTRANGE(""https://docs.google.com/spreadsheets/d/1yDAaXNsi4Mr5FtRQL4tbmSdIzhx6_m4wkOD7IG-k_eo/edit#gid=1336395716"", ""Science!M:N""), 2, FALSE)"),"(LU006658.006); Default - Create")</f>
        <v>(LU006658.006); Default - Create</v>
      </c>
      <c r="V42" s="16" t="str">
        <f ca="1">IFERROR(__xludf.dummyfunction("ArrayFormula(VLOOKUP(G42, IMPORTRANGE(""https://docs.google.com/spreadsheets/d/1p7R4vtkWt5VOBim4ltsDG9KTzSjrtKXsMtQGXPHyND0/edit#gid=795171502"", ""'Filter 30_05_2024'!A1:M2000""), {2, 3, 4, 5,6,7,8,9,10,11,12,13}, 0))"),"#N/A")</f>
        <v>#N/A</v>
      </c>
      <c r="W42" s="16" t="str">
        <f ca="1">IFERROR(__xludf.dummyfunction("""COMPUTED_VALUE"""),"#N/A")</f>
        <v>#N/A</v>
      </c>
      <c r="X42" s="16" t="str">
        <f ca="1">IFERROR(__xludf.dummyfunction("""COMPUTED_VALUE"""),"#N/A")</f>
        <v>#N/A</v>
      </c>
      <c r="Y42" s="16" t="str">
        <f ca="1">IFERROR(__xludf.dummyfunction("""COMPUTED_VALUE"""),"#N/A")</f>
        <v>#N/A</v>
      </c>
      <c r="Z42" s="16" t="str">
        <f ca="1">IFERROR(__xludf.dummyfunction("""COMPUTED_VALUE"""),"#N/A")</f>
        <v>#N/A</v>
      </c>
      <c r="AA42" s="17" t="str">
        <f ca="1">IFERROR(__xludf.dummyfunction("""COMPUTED_VALUE"""),"#N/A")</f>
        <v>#N/A</v>
      </c>
      <c r="AB42" s="17" t="str">
        <f ca="1">IFERROR(__xludf.dummyfunction("""COMPUTED_VALUE"""),"#N/A")</f>
        <v>#N/A</v>
      </c>
      <c r="AC42" s="17" t="str">
        <f ca="1">IFERROR(__xludf.dummyfunction("""COMPUTED_VALUE"""),"#N/A")</f>
        <v>#N/A</v>
      </c>
      <c r="AD42" s="2" t="str">
        <f ca="1">IFERROR(__xludf.dummyfunction("""COMPUTED_VALUE"""),"#N/A")</f>
        <v>#N/A</v>
      </c>
      <c r="AE42" s="2" t="str">
        <f ca="1">IFERROR(__xludf.dummyfunction("""COMPUTED_VALUE"""),"#N/A")</f>
        <v>#N/A</v>
      </c>
      <c r="AF42" s="2" t="str">
        <f ca="1">IFERROR(__xludf.dummyfunction("""COMPUTED_VALUE"""),"#N/A")</f>
        <v>#N/A</v>
      </c>
      <c r="AG42" s="2" t="str">
        <f ca="1">IFERROR(__xludf.dummyfunction("""COMPUTED_VALUE"""),"#N/A")</f>
        <v>#N/A</v>
      </c>
    </row>
    <row r="43" spans="1:33" ht="27.6">
      <c r="A43" s="1"/>
      <c r="B43" s="1" t="s">
        <v>29</v>
      </c>
      <c r="C43" s="13">
        <v>8</v>
      </c>
      <c r="D43" s="2" t="s">
        <v>1563</v>
      </c>
      <c r="E43" s="1" t="s">
        <v>1283</v>
      </c>
      <c r="F43" s="1" t="s">
        <v>1564</v>
      </c>
      <c r="G43" s="14" t="s">
        <v>1565</v>
      </c>
      <c r="H43" s="18" t="str">
        <f ca="1">IFERROR(__xludf.dummyfunction("IFERROR(
  VLOOKUP(G43, IMPORTRANGE(""https://docs.google.com/spreadsheets/d/14deopnvwcrKtEGCKuYXdUHJbeLDZlkiSSWWT0g7x2pM/edit#gid=849066331"", ""LU List Maths (Filter)!A:B""), 2, FALSE),
  IFERROR(
    VLOOKUP(G43, IMPORTRANGE(""https://docs.google.com/s"&amp;"preadsheets/d/14deopnvwcrKtEGCKuYXdUHJbeLDZlkiSSWWT0g7x2pM/edit#gid=849066331"", ""LU List Science (Filter)!A:B""), 2, FALSE),
    ""Not Found""
  )
)
"),"Sensory, motor, mixed, cranial and spinal nerves")</f>
        <v>Sensory, motor, mixed, cranial and spinal nerves</v>
      </c>
      <c r="I43" s="2" t="s">
        <v>1566</v>
      </c>
      <c r="J43" s="1" t="str">
        <f t="shared" si="6"/>
        <v>LU006659.001</v>
      </c>
      <c r="K43" s="1" t="str">
        <f ca="1">IFERROR(__xludf.dummyfunction("VLOOKUP(J43, IMPORTRANGE(""https://docs.google.com/spreadsheets/d/1yDAaXNsi4Mr5FtRQL4tbmSdIzhx6_m4wkOD7IG-k_eo/edit#gid=1336395716"", ""Science!M:N""), 2, FALSE)"),"(LU006659.001); Default - Remember")</f>
        <v>(LU006659.001); Default - Remember</v>
      </c>
      <c r="L43" s="1" t="str">
        <f t="shared" si="7"/>
        <v>LU006659.002</v>
      </c>
      <c r="M43" s="1" t="str">
        <f ca="1">IFERROR(__xludf.dummyfunction("VLOOKUP(L43, IMPORTRANGE(""https://docs.google.com/spreadsheets/d/1yDAaXNsi4Mr5FtRQL4tbmSdIzhx6_m4wkOD7IG-k_eo/edit#gid=1336395716"", ""Science!M:N""), 2, FALSE)"),"(LU006659.002); Default - Understand")</f>
        <v>(LU006659.002); Default - Understand</v>
      </c>
      <c r="N43" s="1" t="str">
        <f t="shared" si="8"/>
        <v>LU006659.003</v>
      </c>
      <c r="O43" s="1" t="str">
        <f ca="1">IFERROR(__xludf.dummyfunction("VLOOKUP(N43, IMPORTRANGE(""https://docs.google.com/spreadsheets/d/1yDAaXNsi4Mr5FtRQL4tbmSdIzhx6_m4wkOD7IG-k_eo/edit#gid=1336395716"", ""Science!M:N""), 2, FALSE)"),"(LU006659.003); Default - Apply")</f>
        <v>(LU006659.003); Default - Apply</v>
      </c>
      <c r="P43" s="1" t="str">
        <f t="shared" si="9"/>
        <v>LU006659.004</v>
      </c>
      <c r="Q43" s="15" t="str">
        <f ca="1">IFERROR(__xludf.dummyfunction("VLOOKUP(P43, IMPORTRANGE(""https://docs.google.com/spreadsheets/d/1yDAaXNsi4Mr5FtRQL4tbmSdIzhx6_m4wkOD7IG-k_eo/edit#gid=1336395716"", ""Science!M:N""), 2, FALSE)"),"(LU006659.004); Default - Analyse")</f>
        <v>(LU006659.004); Default - Analyse</v>
      </c>
      <c r="R43" s="1" t="str">
        <f t="shared" si="10"/>
        <v>LU006659.005</v>
      </c>
      <c r="S43" s="15" t="str">
        <f ca="1">IFERROR(__xludf.dummyfunction("VLOOKUP(R43, IMPORTRANGE(""https://docs.google.com/spreadsheets/d/1yDAaXNsi4Mr5FtRQL4tbmSdIzhx6_m4wkOD7IG-k_eo/edit#gid=1336395716"", ""Science!M:N""), 2, FALSE)"),"(LU006659.005); Default - Evaluate")</f>
        <v>(LU006659.005); Default - Evaluate</v>
      </c>
      <c r="T43" s="1" t="str">
        <f t="shared" si="11"/>
        <v>LU006659.006</v>
      </c>
      <c r="U43" s="15" t="str">
        <f ca="1">IFERROR(__xludf.dummyfunction("VLOOKUP(T43, IMPORTRANGE(""https://docs.google.com/spreadsheets/d/1yDAaXNsi4Mr5FtRQL4tbmSdIzhx6_m4wkOD7IG-k_eo/edit#gid=1336395716"", ""Science!M:N""), 2, FALSE)"),"(LU006659.006); Default - Create")</f>
        <v>(LU006659.006); Default - Create</v>
      </c>
      <c r="V43" s="16" t="str">
        <f ca="1">IFERROR(__xludf.dummyfunction("ArrayFormula(VLOOKUP(G43, IMPORTRANGE(""https://docs.google.com/spreadsheets/d/1p7R4vtkWt5VOBim4ltsDG9KTzSjrtKXsMtQGXPHyND0/edit#gid=795171502"", ""'Filter 30_05_2024'!A1:M2000""), {2, 3, 4, 5,6,7,8,9,10,11,12,13}, 0))"),"#N/A")</f>
        <v>#N/A</v>
      </c>
      <c r="W43" s="16" t="str">
        <f ca="1">IFERROR(__xludf.dummyfunction("""COMPUTED_VALUE"""),"#N/A")</f>
        <v>#N/A</v>
      </c>
      <c r="X43" s="16" t="str">
        <f ca="1">IFERROR(__xludf.dummyfunction("""COMPUTED_VALUE"""),"#N/A")</f>
        <v>#N/A</v>
      </c>
      <c r="Y43" s="16" t="str">
        <f ca="1">IFERROR(__xludf.dummyfunction("""COMPUTED_VALUE"""),"#N/A")</f>
        <v>#N/A</v>
      </c>
      <c r="Z43" s="16" t="str">
        <f ca="1">IFERROR(__xludf.dummyfunction("""COMPUTED_VALUE"""),"#N/A")</f>
        <v>#N/A</v>
      </c>
      <c r="AA43" s="17" t="str">
        <f ca="1">IFERROR(__xludf.dummyfunction("""COMPUTED_VALUE"""),"#N/A")</f>
        <v>#N/A</v>
      </c>
      <c r="AB43" s="17" t="str">
        <f ca="1">IFERROR(__xludf.dummyfunction("""COMPUTED_VALUE"""),"#N/A")</f>
        <v>#N/A</v>
      </c>
      <c r="AC43" s="17" t="str">
        <f ca="1">IFERROR(__xludf.dummyfunction("""COMPUTED_VALUE"""),"#N/A")</f>
        <v>#N/A</v>
      </c>
      <c r="AD43" s="2" t="str">
        <f ca="1">IFERROR(__xludf.dummyfunction("""COMPUTED_VALUE"""),"#N/A")</f>
        <v>#N/A</v>
      </c>
      <c r="AE43" s="2" t="str">
        <f ca="1">IFERROR(__xludf.dummyfunction("""COMPUTED_VALUE"""),"#N/A")</f>
        <v>#N/A</v>
      </c>
      <c r="AF43" s="2" t="str">
        <f ca="1">IFERROR(__xludf.dummyfunction("""COMPUTED_VALUE"""),"#N/A")</f>
        <v>#N/A</v>
      </c>
      <c r="AG43" s="2" t="str">
        <f ca="1">IFERROR(__xludf.dummyfunction("""COMPUTED_VALUE"""),"#N/A")</f>
        <v>#N/A</v>
      </c>
    </row>
    <row r="44" spans="1:33" ht="27.6">
      <c r="A44" s="1"/>
      <c r="B44" s="1" t="s">
        <v>29</v>
      </c>
      <c r="C44" s="13">
        <v>8</v>
      </c>
      <c r="D44" s="2" t="s">
        <v>1563</v>
      </c>
      <c r="E44" s="1" t="s">
        <v>1283</v>
      </c>
      <c r="F44" s="1" t="s">
        <v>1567</v>
      </c>
      <c r="G44" s="14" t="s">
        <v>1568</v>
      </c>
      <c r="H44" s="18" t="str">
        <f ca="1">IFERROR(__xludf.dummyfunction("IFERROR(
  VLOOKUP(G44, IMPORTRANGE(""https://docs.google.com/spreadsheets/d/14deopnvwcrKtEGCKuYXdUHJbeLDZlkiSSWWT0g7x2pM/edit#gid=849066331"", ""LU List Maths (Filter)!A:B""), 2, FALSE),
  IFERROR(
    VLOOKUP(G44, IMPORTRANGE(""https://docs.google.com/s"&amp;"preadsheets/d/14deopnvwcrKtEGCKuYXdUHJbeLDZlkiSSWWT0g7x2pM/edit#gid=849066331"", ""LU List Science (Filter)!A:B""), 2, FALSE),
    ""Not Found""
  )
)
"),"Structure of a motor neuron")</f>
        <v>Structure of a motor neuron</v>
      </c>
      <c r="I44" s="2"/>
      <c r="J44" s="1" t="str">
        <f t="shared" si="6"/>
        <v>LU006660.001</v>
      </c>
      <c r="K44" s="1" t="str">
        <f ca="1">IFERROR(__xludf.dummyfunction("VLOOKUP(J44, IMPORTRANGE(""https://docs.google.com/spreadsheets/d/1yDAaXNsi4Mr5FtRQL4tbmSdIzhx6_m4wkOD7IG-k_eo/edit#gid=1336395716"", ""Science!M:N""), 2, FALSE)"),"(LU006660.001); Default - Remember")</f>
        <v>(LU006660.001); Default - Remember</v>
      </c>
      <c r="L44" s="1" t="str">
        <f t="shared" si="7"/>
        <v>LU006660.002</v>
      </c>
      <c r="M44" s="1" t="str">
        <f ca="1">IFERROR(__xludf.dummyfunction("VLOOKUP(L44, IMPORTRANGE(""https://docs.google.com/spreadsheets/d/1yDAaXNsi4Mr5FtRQL4tbmSdIzhx6_m4wkOD7IG-k_eo/edit#gid=1336395716"", ""Science!M:N""), 2, FALSE)"),"(LU006660.002); Default - Understand")</f>
        <v>(LU006660.002); Default - Understand</v>
      </c>
      <c r="N44" s="1" t="str">
        <f t="shared" si="8"/>
        <v>LU006660.003</v>
      </c>
      <c r="O44" s="1" t="str">
        <f ca="1">IFERROR(__xludf.dummyfunction("VLOOKUP(N44, IMPORTRANGE(""https://docs.google.com/spreadsheets/d/1yDAaXNsi4Mr5FtRQL4tbmSdIzhx6_m4wkOD7IG-k_eo/edit#gid=1336395716"", ""Science!M:N""), 2, FALSE)"),"(LU006660.003); Default - Apply")</f>
        <v>(LU006660.003); Default - Apply</v>
      </c>
      <c r="P44" s="1" t="str">
        <f t="shared" si="9"/>
        <v>LU006660.004</v>
      </c>
      <c r="Q44" s="15" t="str">
        <f ca="1">IFERROR(__xludf.dummyfunction("VLOOKUP(P44, IMPORTRANGE(""https://docs.google.com/spreadsheets/d/1yDAaXNsi4Mr5FtRQL4tbmSdIzhx6_m4wkOD7IG-k_eo/edit#gid=1336395716"", ""Science!M:N""), 2, FALSE)"),"(LU006660.004); Default - Analyse")</f>
        <v>(LU006660.004); Default - Analyse</v>
      </c>
      <c r="R44" s="1" t="str">
        <f t="shared" si="10"/>
        <v>LU006660.005</v>
      </c>
      <c r="S44" s="15" t="str">
        <f ca="1">IFERROR(__xludf.dummyfunction("VLOOKUP(R44, IMPORTRANGE(""https://docs.google.com/spreadsheets/d/1yDAaXNsi4Mr5FtRQL4tbmSdIzhx6_m4wkOD7IG-k_eo/edit#gid=1336395716"", ""Science!M:N""), 2, FALSE)"),"(LU006660.005); Default - Evaluate")</f>
        <v>(LU006660.005); Default - Evaluate</v>
      </c>
      <c r="T44" s="1" t="str">
        <f t="shared" si="11"/>
        <v>LU006660.006</v>
      </c>
      <c r="U44" s="15" t="str">
        <f ca="1">IFERROR(__xludf.dummyfunction("VLOOKUP(T44, IMPORTRANGE(""https://docs.google.com/spreadsheets/d/1yDAaXNsi4Mr5FtRQL4tbmSdIzhx6_m4wkOD7IG-k_eo/edit#gid=1336395716"", ""Science!M:N""), 2, FALSE)"),"(LU006660.006); Default - Create")</f>
        <v>(LU006660.006); Default - Create</v>
      </c>
      <c r="V44" s="16" t="str">
        <f ca="1">IFERROR(__xludf.dummyfunction("ArrayFormula(VLOOKUP(G44, IMPORTRANGE(""https://docs.google.com/spreadsheets/d/1p7R4vtkWt5VOBim4ltsDG9KTzSjrtKXsMtQGXPHyND0/edit#gid=795171502"", ""'Filter 30_05_2024'!A1:M2000""), {2, 3, 4, 5,6,7,8,9,10,11,12,13}, 0))"),"#N/A")</f>
        <v>#N/A</v>
      </c>
      <c r="W44" s="16" t="str">
        <f ca="1">IFERROR(__xludf.dummyfunction("""COMPUTED_VALUE"""),"#N/A")</f>
        <v>#N/A</v>
      </c>
      <c r="X44" s="16" t="str">
        <f ca="1">IFERROR(__xludf.dummyfunction("""COMPUTED_VALUE"""),"#N/A")</f>
        <v>#N/A</v>
      </c>
      <c r="Y44" s="16" t="str">
        <f ca="1">IFERROR(__xludf.dummyfunction("""COMPUTED_VALUE"""),"#N/A")</f>
        <v>#N/A</v>
      </c>
      <c r="Z44" s="16" t="str">
        <f ca="1">IFERROR(__xludf.dummyfunction("""COMPUTED_VALUE"""),"#N/A")</f>
        <v>#N/A</v>
      </c>
      <c r="AA44" s="17" t="str">
        <f ca="1">IFERROR(__xludf.dummyfunction("""COMPUTED_VALUE"""),"#N/A")</f>
        <v>#N/A</v>
      </c>
      <c r="AB44" s="17" t="str">
        <f ca="1">IFERROR(__xludf.dummyfunction("""COMPUTED_VALUE"""),"#N/A")</f>
        <v>#N/A</v>
      </c>
      <c r="AC44" s="17" t="str">
        <f ca="1">IFERROR(__xludf.dummyfunction("""COMPUTED_VALUE"""),"#N/A")</f>
        <v>#N/A</v>
      </c>
      <c r="AD44" s="2" t="str">
        <f ca="1">IFERROR(__xludf.dummyfunction("""COMPUTED_VALUE"""),"#N/A")</f>
        <v>#N/A</v>
      </c>
      <c r="AE44" s="2" t="str">
        <f ca="1">IFERROR(__xludf.dummyfunction("""COMPUTED_VALUE"""),"#N/A")</f>
        <v>#N/A</v>
      </c>
      <c r="AF44" s="2" t="str">
        <f ca="1">IFERROR(__xludf.dummyfunction("""COMPUTED_VALUE"""),"#N/A")</f>
        <v>#N/A</v>
      </c>
      <c r="AG44" s="2" t="str">
        <f ca="1">IFERROR(__xludf.dummyfunction("""COMPUTED_VALUE"""),"#N/A")</f>
        <v>#N/A</v>
      </c>
    </row>
    <row r="45" spans="1:33" ht="27.6">
      <c r="A45" s="1"/>
      <c r="B45" s="1" t="s">
        <v>29</v>
      </c>
      <c r="C45" s="13">
        <v>8</v>
      </c>
      <c r="D45" s="2" t="s">
        <v>1563</v>
      </c>
      <c r="E45" s="1" t="s">
        <v>1283</v>
      </c>
      <c r="F45" s="1" t="s">
        <v>1569</v>
      </c>
      <c r="G45" s="14" t="s">
        <v>1570</v>
      </c>
      <c r="H45" s="18" t="str">
        <f ca="1">IFERROR(__xludf.dummyfunction("IFERROR(
  VLOOKUP(G45, IMPORTRANGE(""https://docs.google.com/spreadsheets/d/14deopnvwcrKtEGCKuYXdUHJbeLDZlkiSSWWT0g7x2pM/edit#gid=849066331"", ""LU List Maths (Filter)!A:B""), 2, FALSE),
  IFERROR(
    VLOOKUP(G45, IMPORTRANGE(""https://docs.google.com/s"&amp;"preadsheets/d/14deopnvwcrKtEGCKuYXdUHJbeLDZlkiSSWWT0g7x2pM/edit#gid=849066331"", ""LU List Science (Filter)!A:B""), 2, FALSE),
    ""Not Found""
  )
)
"),"Central nervous system")</f>
        <v>Central nervous system</v>
      </c>
      <c r="I45" s="2" t="s">
        <v>1571</v>
      </c>
      <c r="J45" s="1" t="str">
        <f t="shared" si="6"/>
        <v>LU006661.001</v>
      </c>
      <c r="K45" s="1" t="str">
        <f ca="1">IFERROR(__xludf.dummyfunction("VLOOKUP(J45, IMPORTRANGE(""https://docs.google.com/spreadsheets/d/1yDAaXNsi4Mr5FtRQL4tbmSdIzhx6_m4wkOD7IG-k_eo/edit#gid=1336395716"", ""Science!M:N""), 2, FALSE)"),"(LU006661.001); Default - Remember")</f>
        <v>(LU006661.001); Default - Remember</v>
      </c>
      <c r="L45" s="1" t="str">
        <f t="shared" si="7"/>
        <v>LU006661.002</v>
      </c>
      <c r="M45" s="1" t="str">
        <f ca="1">IFERROR(__xludf.dummyfunction("VLOOKUP(L45, IMPORTRANGE(""https://docs.google.com/spreadsheets/d/1yDAaXNsi4Mr5FtRQL4tbmSdIzhx6_m4wkOD7IG-k_eo/edit#gid=1336395716"", ""Science!M:N""), 2, FALSE)"),"(LU006661.002); Default - Understand")</f>
        <v>(LU006661.002); Default - Understand</v>
      </c>
      <c r="N45" s="1" t="str">
        <f t="shared" si="8"/>
        <v>LU006661.003</v>
      </c>
      <c r="O45" s="1" t="str">
        <f ca="1">IFERROR(__xludf.dummyfunction("VLOOKUP(N45, IMPORTRANGE(""https://docs.google.com/spreadsheets/d/1yDAaXNsi4Mr5FtRQL4tbmSdIzhx6_m4wkOD7IG-k_eo/edit#gid=1336395716"", ""Science!M:N""), 2, FALSE)"),"(LU006661.003); Default - Apply")</f>
        <v>(LU006661.003); Default - Apply</v>
      </c>
      <c r="P45" s="1" t="str">
        <f t="shared" si="9"/>
        <v>LU006661.004</v>
      </c>
      <c r="Q45" s="15" t="str">
        <f ca="1">IFERROR(__xludf.dummyfunction("VLOOKUP(P45, IMPORTRANGE(""https://docs.google.com/spreadsheets/d/1yDAaXNsi4Mr5FtRQL4tbmSdIzhx6_m4wkOD7IG-k_eo/edit#gid=1336395716"", ""Science!M:N""), 2, FALSE)"),"(LU006661.004); Default - Analyse")</f>
        <v>(LU006661.004); Default - Analyse</v>
      </c>
      <c r="R45" s="1" t="str">
        <f t="shared" si="10"/>
        <v>LU006661.005</v>
      </c>
      <c r="S45" s="15" t="str">
        <f ca="1">IFERROR(__xludf.dummyfunction("VLOOKUP(R45, IMPORTRANGE(""https://docs.google.com/spreadsheets/d/1yDAaXNsi4Mr5FtRQL4tbmSdIzhx6_m4wkOD7IG-k_eo/edit#gid=1336395716"", ""Science!M:N""), 2, FALSE)"),"(LU006661.005); Default - Evaluate")</f>
        <v>(LU006661.005); Default - Evaluate</v>
      </c>
      <c r="T45" s="1" t="str">
        <f t="shared" si="11"/>
        <v>LU006661.006</v>
      </c>
      <c r="U45" s="15" t="str">
        <f ca="1">IFERROR(__xludf.dummyfunction("VLOOKUP(T45, IMPORTRANGE(""https://docs.google.com/spreadsheets/d/1yDAaXNsi4Mr5FtRQL4tbmSdIzhx6_m4wkOD7IG-k_eo/edit#gid=1336395716"", ""Science!M:N""), 2, FALSE)"),"(LU006661.006); Default - Create")</f>
        <v>(LU006661.006); Default - Create</v>
      </c>
      <c r="V45" s="16" t="str">
        <f ca="1">IFERROR(__xludf.dummyfunction("ArrayFormula(VLOOKUP(G45, IMPORTRANGE(""https://docs.google.com/spreadsheets/d/1p7R4vtkWt5VOBim4ltsDG9KTzSjrtKXsMtQGXPHyND0/edit#gid=795171502"", ""'Filter 30_05_2024'!A1:M2000""), {2, 3, 4, 5,6,7,8,9,10,11,12,13}, 0))"),"#N/A")</f>
        <v>#N/A</v>
      </c>
      <c r="W45" s="16" t="str">
        <f ca="1">IFERROR(__xludf.dummyfunction("""COMPUTED_VALUE"""),"#N/A")</f>
        <v>#N/A</v>
      </c>
      <c r="X45" s="16" t="str">
        <f ca="1">IFERROR(__xludf.dummyfunction("""COMPUTED_VALUE"""),"#N/A")</f>
        <v>#N/A</v>
      </c>
      <c r="Y45" s="16" t="str">
        <f ca="1">IFERROR(__xludf.dummyfunction("""COMPUTED_VALUE"""),"#N/A")</f>
        <v>#N/A</v>
      </c>
      <c r="Z45" s="16" t="str">
        <f ca="1">IFERROR(__xludf.dummyfunction("""COMPUTED_VALUE"""),"#N/A")</f>
        <v>#N/A</v>
      </c>
      <c r="AA45" s="17" t="str">
        <f ca="1">IFERROR(__xludf.dummyfunction("""COMPUTED_VALUE"""),"#N/A")</f>
        <v>#N/A</v>
      </c>
      <c r="AB45" s="17" t="str">
        <f ca="1">IFERROR(__xludf.dummyfunction("""COMPUTED_VALUE"""),"#N/A")</f>
        <v>#N/A</v>
      </c>
      <c r="AC45" s="17" t="str">
        <f ca="1">IFERROR(__xludf.dummyfunction("""COMPUTED_VALUE"""),"#N/A")</f>
        <v>#N/A</v>
      </c>
      <c r="AD45" s="2" t="str">
        <f ca="1">IFERROR(__xludf.dummyfunction("""COMPUTED_VALUE"""),"#N/A")</f>
        <v>#N/A</v>
      </c>
      <c r="AE45" s="2" t="str">
        <f ca="1">IFERROR(__xludf.dummyfunction("""COMPUTED_VALUE"""),"#N/A")</f>
        <v>#N/A</v>
      </c>
      <c r="AF45" s="2" t="str">
        <f ca="1">IFERROR(__xludf.dummyfunction("""COMPUTED_VALUE"""),"#N/A")</f>
        <v>#N/A</v>
      </c>
      <c r="AG45" s="2" t="str">
        <f ca="1">IFERROR(__xludf.dummyfunction("""COMPUTED_VALUE"""),"#N/A")</f>
        <v>#N/A</v>
      </c>
    </row>
    <row r="46" spans="1:33" ht="27.6">
      <c r="A46" s="1"/>
      <c r="B46" s="1" t="s">
        <v>29</v>
      </c>
      <c r="C46" s="13">
        <v>8</v>
      </c>
      <c r="D46" s="2" t="s">
        <v>1563</v>
      </c>
      <c r="E46" s="1" t="s">
        <v>1283</v>
      </c>
      <c r="F46" s="1" t="s">
        <v>1572</v>
      </c>
      <c r="G46" s="14" t="s">
        <v>1573</v>
      </c>
      <c r="H46" s="18" t="str">
        <f ca="1">IFERROR(__xludf.dummyfunction("IFERROR(
  VLOOKUP(G46, IMPORTRANGE(""https://docs.google.com/spreadsheets/d/14deopnvwcrKtEGCKuYXdUHJbeLDZlkiSSWWT0g7x2pM/edit#gid=849066331"", ""LU List Maths (Filter)!A:B""), 2, FALSE),
  IFERROR(
    VLOOKUP(G46, IMPORTRANGE(""https://docs.google.com/s"&amp;"preadsheets/d/14deopnvwcrKtEGCKuYXdUHJbeLDZlkiSSWWT0g7x2pM/edit#gid=849066331"", ""LU List Science (Filter)!A:B""), 2, FALSE),
    ""Not Found""
  )
)
"),"Concept of reflex action")</f>
        <v>Concept of reflex action</v>
      </c>
      <c r="I46" s="2" t="s">
        <v>1574</v>
      </c>
      <c r="J46" s="1" t="str">
        <f t="shared" si="6"/>
        <v>LU006662.001</v>
      </c>
      <c r="K46" s="1" t="str">
        <f ca="1">IFERROR(__xludf.dummyfunction("VLOOKUP(J46, IMPORTRANGE(""https://docs.google.com/spreadsheets/d/1yDAaXNsi4Mr5FtRQL4tbmSdIzhx6_m4wkOD7IG-k_eo/edit#gid=1336395716"", ""Science!M:N""), 2, FALSE)"),"(LU006662.001); Default - Remember")</f>
        <v>(LU006662.001); Default - Remember</v>
      </c>
      <c r="L46" s="1" t="str">
        <f t="shared" si="7"/>
        <v>LU006662.002</v>
      </c>
      <c r="M46" s="1" t="str">
        <f ca="1">IFERROR(__xludf.dummyfunction("VLOOKUP(L46, IMPORTRANGE(""https://docs.google.com/spreadsheets/d/1yDAaXNsi4Mr5FtRQL4tbmSdIzhx6_m4wkOD7IG-k_eo/edit#gid=1336395716"", ""Science!M:N""), 2, FALSE)"),"(LU006662.002); Default - Understand")</f>
        <v>(LU006662.002); Default - Understand</v>
      </c>
      <c r="N46" s="1" t="str">
        <f t="shared" si="8"/>
        <v>LU006662.003</v>
      </c>
      <c r="O46" s="1" t="str">
        <f ca="1">IFERROR(__xludf.dummyfunction("VLOOKUP(N46, IMPORTRANGE(""https://docs.google.com/spreadsheets/d/1yDAaXNsi4Mr5FtRQL4tbmSdIzhx6_m4wkOD7IG-k_eo/edit#gid=1336395716"", ""Science!M:N""), 2, FALSE)"),"(LU006662.003); Default - Apply")</f>
        <v>(LU006662.003); Default - Apply</v>
      </c>
      <c r="P46" s="1" t="str">
        <f t="shared" si="9"/>
        <v>LU006662.004</v>
      </c>
      <c r="Q46" s="15" t="str">
        <f ca="1">IFERROR(__xludf.dummyfunction("VLOOKUP(P46, IMPORTRANGE(""https://docs.google.com/spreadsheets/d/1yDAaXNsi4Mr5FtRQL4tbmSdIzhx6_m4wkOD7IG-k_eo/edit#gid=1336395716"", ""Science!M:N""), 2, FALSE)"),"(LU006662.004); Default - Analyse")</f>
        <v>(LU006662.004); Default - Analyse</v>
      </c>
      <c r="R46" s="1" t="str">
        <f t="shared" si="10"/>
        <v>LU006662.005</v>
      </c>
      <c r="S46" s="15" t="str">
        <f ca="1">IFERROR(__xludf.dummyfunction("VLOOKUP(R46, IMPORTRANGE(""https://docs.google.com/spreadsheets/d/1yDAaXNsi4Mr5FtRQL4tbmSdIzhx6_m4wkOD7IG-k_eo/edit#gid=1336395716"", ""Science!M:N""), 2, FALSE)"),"(LU006662.005); Default - Evaluate")</f>
        <v>(LU006662.005); Default - Evaluate</v>
      </c>
      <c r="T46" s="1" t="str">
        <f t="shared" si="11"/>
        <v>LU006662.006</v>
      </c>
      <c r="U46" s="15" t="str">
        <f ca="1">IFERROR(__xludf.dummyfunction("VLOOKUP(T46, IMPORTRANGE(""https://docs.google.com/spreadsheets/d/1yDAaXNsi4Mr5FtRQL4tbmSdIzhx6_m4wkOD7IG-k_eo/edit#gid=1336395716"", ""Science!M:N""), 2, FALSE)"),"(LU006662.006); Default - Create")</f>
        <v>(LU006662.006); Default - Create</v>
      </c>
      <c r="V46" s="16" t="str">
        <f ca="1">IFERROR(__xludf.dummyfunction("ArrayFormula(VLOOKUP(G46, IMPORTRANGE(""https://docs.google.com/spreadsheets/d/1p7R4vtkWt5VOBim4ltsDG9KTzSjrtKXsMtQGXPHyND0/edit#gid=795171502"", ""'Filter 30_05_2024'!A1:M2000""), {2, 3, 4, 5,6,7,8,9,10,11,12,13}, 0))"),"#N/A")</f>
        <v>#N/A</v>
      </c>
      <c r="W46" s="16" t="str">
        <f ca="1">IFERROR(__xludf.dummyfunction("""COMPUTED_VALUE"""),"#N/A")</f>
        <v>#N/A</v>
      </c>
      <c r="X46" s="16" t="str">
        <f ca="1">IFERROR(__xludf.dummyfunction("""COMPUTED_VALUE"""),"#N/A")</f>
        <v>#N/A</v>
      </c>
      <c r="Y46" s="16" t="str">
        <f ca="1">IFERROR(__xludf.dummyfunction("""COMPUTED_VALUE"""),"#N/A")</f>
        <v>#N/A</v>
      </c>
      <c r="Z46" s="16" t="str">
        <f ca="1">IFERROR(__xludf.dummyfunction("""COMPUTED_VALUE"""),"#N/A")</f>
        <v>#N/A</v>
      </c>
      <c r="AA46" s="17" t="str">
        <f ca="1">IFERROR(__xludf.dummyfunction("""COMPUTED_VALUE"""),"#N/A")</f>
        <v>#N/A</v>
      </c>
      <c r="AB46" s="17" t="str">
        <f ca="1">IFERROR(__xludf.dummyfunction("""COMPUTED_VALUE"""),"#N/A")</f>
        <v>#N/A</v>
      </c>
      <c r="AC46" s="17" t="str">
        <f ca="1">IFERROR(__xludf.dummyfunction("""COMPUTED_VALUE"""),"#N/A")</f>
        <v>#N/A</v>
      </c>
      <c r="AD46" s="2" t="str">
        <f ca="1">IFERROR(__xludf.dummyfunction("""COMPUTED_VALUE"""),"#N/A")</f>
        <v>#N/A</v>
      </c>
      <c r="AE46" s="2" t="str">
        <f ca="1">IFERROR(__xludf.dummyfunction("""COMPUTED_VALUE"""),"#N/A")</f>
        <v>#N/A</v>
      </c>
      <c r="AF46" s="2" t="str">
        <f ca="1">IFERROR(__xludf.dummyfunction("""COMPUTED_VALUE"""),"#N/A")</f>
        <v>#N/A</v>
      </c>
      <c r="AG46" s="2" t="str">
        <f ca="1">IFERROR(__xludf.dummyfunction("""COMPUTED_VALUE"""),"#N/A")</f>
        <v>#N/A</v>
      </c>
    </row>
    <row r="47" spans="1:33" ht="27.6">
      <c r="A47" s="1"/>
      <c r="B47" s="1" t="s">
        <v>29</v>
      </c>
      <c r="C47" s="13">
        <v>8</v>
      </c>
      <c r="D47" s="2" t="s">
        <v>1362</v>
      </c>
      <c r="E47" s="1" t="s">
        <v>1283</v>
      </c>
      <c r="F47" s="1" t="s">
        <v>1575</v>
      </c>
      <c r="G47" s="14" t="s">
        <v>1576</v>
      </c>
      <c r="H47" s="18" t="str">
        <f ca="1">IFERROR(__xludf.dummyfunction("IFERROR(
  VLOOKUP(G47, IMPORTRANGE(""https://docs.google.com/spreadsheets/d/14deopnvwcrKtEGCKuYXdUHJbeLDZlkiSSWWT0g7x2pM/edit#gid=849066331"", ""LU List Maths (Filter)!A:B""), 2, FALSE),
  IFERROR(
    VLOOKUP(G47, IMPORTRANGE(""https://docs.google.com/s"&amp;"preadsheets/d/14deopnvwcrKtEGCKuYXdUHJbeLDZlkiSSWWT0g7x2pM/edit#gid=849066331"", ""LU List Science (Filter)!A:B""), 2, FALSE),
    ""Not Found""
  )
)
"),"Influenza, measles, malaria, dengue, chikungunya, and HIV")</f>
        <v>Influenza, measles, malaria, dengue, chikungunya, and HIV</v>
      </c>
      <c r="I47" s="2" t="s">
        <v>1577</v>
      </c>
      <c r="J47" s="1" t="str">
        <f t="shared" si="6"/>
        <v>LU006663.001</v>
      </c>
      <c r="K47" s="1" t="str">
        <f ca="1">IFERROR(__xludf.dummyfunction("VLOOKUP(J47, IMPORTRANGE(""https://docs.google.com/spreadsheets/d/1yDAaXNsi4Mr5FtRQL4tbmSdIzhx6_m4wkOD7IG-k_eo/edit#gid=1336395716"", ""Science!M:N""), 2, FALSE)"),"(LU006663.001); Default - Remember")</f>
        <v>(LU006663.001); Default - Remember</v>
      </c>
      <c r="L47" s="1" t="str">
        <f t="shared" si="7"/>
        <v>LU006663.002</v>
      </c>
      <c r="M47" s="1" t="str">
        <f ca="1">IFERROR(__xludf.dummyfunction("VLOOKUP(L47, IMPORTRANGE(""https://docs.google.com/spreadsheets/d/1yDAaXNsi4Mr5FtRQL4tbmSdIzhx6_m4wkOD7IG-k_eo/edit#gid=1336395716"", ""Science!M:N""), 2, FALSE)"),"(LU006663.002); Default - Understand")</f>
        <v>(LU006663.002); Default - Understand</v>
      </c>
      <c r="N47" s="1" t="str">
        <f t="shared" si="8"/>
        <v>LU006663.003</v>
      </c>
      <c r="O47" s="1" t="str">
        <f ca="1">IFERROR(__xludf.dummyfunction("VLOOKUP(N47, IMPORTRANGE(""https://docs.google.com/spreadsheets/d/1yDAaXNsi4Mr5FtRQL4tbmSdIzhx6_m4wkOD7IG-k_eo/edit#gid=1336395716"", ""Science!M:N""), 2, FALSE)"),"(LU006663.003); Default - Apply")</f>
        <v>(LU006663.003); Default - Apply</v>
      </c>
      <c r="P47" s="1" t="str">
        <f t="shared" si="9"/>
        <v>LU006663.004</v>
      </c>
      <c r="Q47" s="15" t="str">
        <f ca="1">IFERROR(__xludf.dummyfunction("VLOOKUP(P47, IMPORTRANGE(""https://docs.google.com/spreadsheets/d/1yDAaXNsi4Mr5FtRQL4tbmSdIzhx6_m4wkOD7IG-k_eo/edit#gid=1336395716"", ""Science!M:N""), 2, FALSE)"),"(LU006663.004); Default - Analyse")</f>
        <v>(LU006663.004); Default - Analyse</v>
      </c>
      <c r="R47" s="1" t="str">
        <f t="shared" si="10"/>
        <v>LU006663.005</v>
      </c>
      <c r="S47" s="15" t="str">
        <f ca="1">IFERROR(__xludf.dummyfunction("VLOOKUP(R47, IMPORTRANGE(""https://docs.google.com/spreadsheets/d/1yDAaXNsi4Mr5FtRQL4tbmSdIzhx6_m4wkOD7IG-k_eo/edit#gid=1336395716"", ""Science!M:N""), 2, FALSE)"),"(LU006663.005); Default - Evaluate")</f>
        <v>(LU006663.005); Default - Evaluate</v>
      </c>
      <c r="T47" s="1" t="str">
        <f t="shared" si="11"/>
        <v>LU006663.006</v>
      </c>
      <c r="U47" s="15" t="str">
        <f ca="1">IFERROR(__xludf.dummyfunction("VLOOKUP(T47, IMPORTRANGE(""https://docs.google.com/spreadsheets/d/1yDAaXNsi4Mr5FtRQL4tbmSdIzhx6_m4wkOD7IG-k_eo/edit#gid=1336395716"", ""Science!M:N""), 2, FALSE)"),"(LU006663.006); Default - Create")</f>
        <v>(LU006663.006); Default - Create</v>
      </c>
      <c r="V47" s="16" t="str">
        <f ca="1">IFERROR(__xludf.dummyfunction("ArrayFormula(VLOOKUP(G47, IMPORTRANGE(""https://docs.google.com/spreadsheets/d/1p7R4vtkWt5VOBim4ltsDG9KTzSjrtKXsMtQGXPHyND0/edit#gid=795171502"", ""'Filter 30_05_2024'!A1:M2000""), {2, 3, 4, 5,6,7,8,9,10,11,12,13}, 0))"),"#N/A")</f>
        <v>#N/A</v>
      </c>
      <c r="W47" s="16" t="str">
        <f ca="1">IFERROR(__xludf.dummyfunction("""COMPUTED_VALUE"""),"#N/A")</f>
        <v>#N/A</v>
      </c>
      <c r="X47" s="16" t="str">
        <f ca="1">IFERROR(__xludf.dummyfunction("""COMPUTED_VALUE"""),"#N/A")</f>
        <v>#N/A</v>
      </c>
      <c r="Y47" s="16" t="str">
        <f ca="1">IFERROR(__xludf.dummyfunction("""COMPUTED_VALUE"""),"#N/A")</f>
        <v>#N/A</v>
      </c>
      <c r="Z47" s="16" t="str">
        <f ca="1">IFERROR(__xludf.dummyfunction("""COMPUTED_VALUE"""),"#N/A")</f>
        <v>#N/A</v>
      </c>
      <c r="AA47" s="17" t="str">
        <f ca="1">IFERROR(__xludf.dummyfunction("""COMPUTED_VALUE"""),"#N/A")</f>
        <v>#N/A</v>
      </c>
      <c r="AB47" s="17" t="str">
        <f ca="1">IFERROR(__xludf.dummyfunction("""COMPUTED_VALUE"""),"#N/A")</f>
        <v>#N/A</v>
      </c>
      <c r="AC47" s="17" t="str">
        <f ca="1">IFERROR(__xludf.dummyfunction("""COMPUTED_VALUE"""),"#N/A")</f>
        <v>#N/A</v>
      </c>
      <c r="AD47" s="2" t="str">
        <f ca="1">IFERROR(__xludf.dummyfunction("""COMPUTED_VALUE"""),"#N/A")</f>
        <v>#N/A</v>
      </c>
      <c r="AE47" s="2" t="str">
        <f ca="1">IFERROR(__xludf.dummyfunction("""COMPUTED_VALUE"""),"#N/A")</f>
        <v>#N/A</v>
      </c>
      <c r="AF47" s="2" t="str">
        <f ca="1">IFERROR(__xludf.dummyfunction("""COMPUTED_VALUE"""),"#N/A")</f>
        <v>#N/A</v>
      </c>
      <c r="AG47" s="2" t="str">
        <f ca="1">IFERROR(__xludf.dummyfunction("""COMPUTED_VALUE"""),"#N/A")</f>
        <v>#N/A</v>
      </c>
    </row>
    <row r="48" spans="1:33" ht="27.6">
      <c r="A48" s="1"/>
      <c r="B48" s="1" t="s">
        <v>29</v>
      </c>
      <c r="C48" s="13">
        <v>8</v>
      </c>
      <c r="D48" s="2" t="s">
        <v>1362</v>
      </c>
      <c r="E48" s="1" t="s">
        <v>1283</v>
      </c>
      <c r="F48" s="1" t="s">
        <v>1578</v>
      </c>
      <c r="G48" s="14" t="s">
        <v>1579</v>
      </c>
      <c r="H48" s="18" t="str">
        <f ca="1">IFERROR(__xludf.dummyfunction("IFERROR(
  VLOOKUP(G48, IMPORTRANGE(""https://docs.google.com/spreadsheets/d/14deopnvwcrKtEGCKuYXdUHJbeLDZlkiSSWWT0g7x2pM/edit#gid=849066331"", ""LU List Maths (Filter)!A:B""), 2, FALSE),
  IFERROR(
    VLOOKUP(G48, IMPORTRANGE(""https://docs.google.com/s"&amp;"preadsheets/d/14deopnvwcrKtEGCKuYXdUHJbeLDZlkiSSWWT0g7x2pM/edit#gid=849066331"", ""LU List Science (Filter)!A:B""), 2, FALSE),
    ""Not Found""
  )
)
"),"Concept of vector based disease transmission")</f>
        <v>Concept of vector based disease transmission</v>
      </c>
      <c r="I48" s="2"/>
      <c r="J48" s="1" t="str">
        <f t="shared" si="6"/>
        <v>LU006664.001</v>
      </c>
      <c r="K48" s="1" t="str">
        <f ca="1">IFERROR(__xludf.dummyfunction("VLOOKUP(J48, IMPORTRANGE(""https://docs.google.com/spreadsheets/d/1yDAaXNsi4Mr5FtRQL4tbmSdIzhx6_m4wkOD7IG-k_eo/edit#gid=1336395716"", ""Science!M:N""), 2, FALSE)"),"(LU006664.001); Default - Remember")</f>
        <v>(LU006664.001); Default - Remember</v>
      </c>
      <c r="L48" s="1" t="str">
        <f t="shared" si="7"/>
        <v>LU006664.002</v>
      </c>
      <c r="M48" s="1" t="str">
        <f ca="1">IFERROR(__xludf.dummyfunction("VLOOKUP(L48, IMPORTRANGE(""https://docs.google.com/spreadsheets/d/1yDAaXNsi4Mr5FtRQL4tbmSdIzhx6_m4wkOD7IG-k_eo/edit#gid=1336395716"", ""Science!M:N""), 2, FALSE)"),"(LU006664.002); Default - Understand")</f>
        <v>(LU006664.002); Default - Understand</v>
      </c>
      <c r="N48" s="1" t="str">
        <f t="shared" si="8"/>
        <v>LU006664.003</v>
      </c>
      <c r="O48" s="1" t="str">
        <f ca="1">IFERROR(__xludf.dummyfunction("VLOOKUP(N48, IMPORTRANGE(""https://docs.google.com/spreadsheets/d/1yDAaXNsi4Mr5FtRQL4tbmSdIzhx6_m4wkOD7IG-k_eo/edit#gid=1336395716"", ""Science!M:N""), 2, FALSE)"),"(LU006664.003); Default - Apply")</f>
        <v>(LU006664.003); Default - Apply</v>
      </c>
      <c r="P48" s="1" t="str">
        <f t="shared" si="9"/>
        <v>LU006664.004</v>
      </c>
      <c r="Q48" s="15" t="str">
        <f ca="1">IFERROR(__xludf.dummyfunction("VLOOKUP(P48, IMPORTRANGE(""https://docs.google.com/spreadsheets/d/1yDAaXNsi4Mr5FtRQL4tbmSdIzhx6_m4wkOD7IG-k_eo/edit#gid=1336395716"", ""Science!M:N""), 2, FALSE)"),"(LU006664.004); Default - Analyse")</f>
        <v>(LU006664.004); Default - Analyse</v>
      </c>
      <c r="R48" s="1" t="str">
        <f t="shared" si="10"/>
        <v>LU006664.005</v>
      </c>
      <c r="S48" s="15" t="str">
        <f ca="1">IFERROR(__xludf.dummyfunction("VLOOKUP(R48, IMPORTRANGE(""https://docs.google.com/spreadsheets/d/1yDAaXNsi4Mr5FtRQL4tbmSdIzhx6_m4wkOD7IG-k_eo/edit#gid=1336395716"", ""Science!M:N""), 2, FALSE)"),"(LU006664.005); Default - Evaluate")</f>
        <v>(LU006664.005); Default - Evaluate</v>
      </c>
      <c r="T48" s="1" t="str">
        <f t="shared" si="11"/>
        <v>LU006664.006</v>
      </c>
      <c r="U48" s="15" t="str">
        <f ca="1">IFERROR(__xludf.dummyfunction("VLOOKUP(T48, IMPORTRANGE(""https://docs.google.com/spreadsheets/d/1yDAaXNsi4Mr5FtRQL4tbmSdIzhx6_m4wkOD7IG-k_eo/edit#gid=1336395716"", ""Science!M:N""), 2, FALSE)"),"(LU006664.006); Default - Create")</f>
        <v>(LU006664.006); Default - Create</v>
      </c>
      <c r="V48" s="16" t="str">
        <f ca="1">IFERROR(__xludf.dummyfunction("ArrayFormula(VLOOKUP(G48, IMPORTRANGE(""https://docs.google.com/spreadsheets/d/1p7R4vtkWt5VOBim4ltsDG9KTzSjrtKXsMtQGXPHyND0/edit#gid=795171502"", ""'Filter 30_05_2024'!A1:M2000""), {2, 3, 4, 5,6,7,8,9,10,11,12,13}, 0))"),"#N/A")</f>
        <v>#N/A</v>
      </c>
      <c r="W48" s="16" t="str">
        <f ca="1">IFERROR(__xludf.dummyfunction("""COMPUTED_VALUE"""),"#N/A")</f>
        <v>#N/A</v>
      </c>
      <c r="X48" s="16" t="str">
        <f ca="1">IFERROR(__xludf.dummyfunction("""COMPUTED_VALUE"""),"#N/A")</f>
        <v>#N/A</v>
      </c>
      <c r="Y48" s="16" t="str">
        <f ca="1">IFERROR(__xludf.dummyfunction("""COMPUTED_VALUE"""),"#N/A")</f>
        <v>#N/A</v>
      </c>
      <c r="Z48" s="16" t="str">
        <f ca="1">IFERROR(__xludf.dummyfunction("""COMPUTED_VALUE"""),"#N/A")</f>
        <v>#N/A</v>
      </c>
      <c r="AA48" s="17" t="str">
        <f ca="1">IFERROR(__xludf.dummyfunction("""COMPUTED_VALUE"""),"#N/A")</f>
        <v>#N/A</v>
      </c>
      <c r="AB48" s="17" t="str">
        <f ca="1">IFERROR(__xludf.dummyfunction("""COMPUTED_VALUE"""),"#N/A")</f>
        <v>#N/A</v>
      </c>
      <c r="AC48" s="17" t="str">
        <f ca="1">IFERROR(__xludf.dummyfunction("""COMPUTED_VALUE"""),"#N/A")</f>
        <v>#N/A</v>
      </c>
      <c r="AD48" s="2" t="str">
        <f ca="1">IFERROR(__xludf.dummyfunction("""COMPUTED_VALUE"""),"#N/A")</f>
        <v>#N/A</v>
      </c>
      <c r="AE48" s="2" t="str">
        <f ca="1">IFERROR(__xludf.dummyfunction("""COMPUTED_VALUE"""),"#N/A")</f>
        <v>#N/A</v>
      </c>
      <c r="AF48" s="2" t="str">
        <f ca="1">IFERROR(__xludf.dummyfunction("""COMPUTED_VALUE"""),"#N/A")</f>
        <v>#N/A</v>
      </c>
      <c r="AG48" s="2" t="str">
        <f ca="1">IFERROR(__xludf.dummyfunction("""COMPUTED_VALUE"""),"#N/A")</f>
        <v>#N/A</v>
      </c>
    </row>
    <row r="49" spans="1:33" ht="27.6">
      <c r="A49" s="1"/>
      <c r="B49" s="1" t="s">
        <v>29</v>
      </c>
      <c r="C49" s="13">
        <v>8</v>
      </c>
      <c r="D49" s="2" t="s">
        <v>1362</v>
      </c>
      <c r="E49" s="1" t="s">
        <v>1283</v>
      </c>
      <c r="F49" s="1" t="s">
        <v>1578</v>
      </c>
      <c r="G49" s="14" t="s">
        <v>1580</v>
      </c>
      <c r="H49" s="18" t="str">
        <f ca="1">IFERROR(__xludf.dummyfunction("IFERROR(
  VLOOKUP(G49, IMPORTRANGE(""https://docs.google.com/spreadsheets/d/14deopnvwcrKtEGCKuYXdUHJbeLDZlkiSSWWT0g7x2pM/edit#gid=849066331"", ""LU List Maths (Filter)!A:B""), 2, FALSE),
  IFERROR(
    VLOOKUP(G49, IMPORTRANGE(""https://docs.google.com/s"&amp;"preadsheets/d/14deopnvwcrKtEGCKuYXdUHJbeLDZlkiSSWWT0g7x2pM/edit#gid=849066331"", ""LU List Science (Filter)!A:B""), 2, FALSE),
    ""Not Found""
  )
)
"),"Method of preventing diseases in general")</f>
        <v>Method of preventing diseases in general</v>
      </c>
      <c r="I49" s="2"/>
      <c r="J49" s="1" t="str">
        <f t="shared" si="6"/>
        <v>LU006665.001</v>
      </c>
      <c r="K49" s="1" t="str">
        <f ca="1">IFERROR(__xludf.dummyfunction("VLOOKUP(J49, IMPORTRANGE(""https://docs.google.com/spreadsheets/d/1yDAaXNsi4Mr5FtRQL4tbmSdIzhx6_m4wkOD7IG-k_eo/edit#gid=1336395716"", ""Science!M:N""), 2, FALSE)"),"(LU006665.001); Default - Remember")</f>
        <v>(LU006665.001); Default - Remember</v>
      </c>
      <c r="L49" s="1" t="str">
        <f t="shared" si="7"/>
        <v>LU006665.002</v>
      </c>
      <c r="M49" s="1" t="str">
        <f ca="1">IFERROR(__xludf.dummyfunction("VLOOKUP(L49, IMPORTRANGE(""https://docs.google.com/spreadsheets/d/1yDAaXNsi4Mr5FtRQL4tbmSdIzhx6_m4wkOD7IG-k_eo/edit#gid=1336395716"", ""Science!M:N""), 2, FALSE)"),"(LU006665.002); Default - Understand")</f>
        <v>(LU006665.002); Default - Understand</v>
      </c>
      <c r="N49" s="1" t="str">
        <f t="shared" si="8"/>
        <v>LU006665.003</v>
      </c>
      <c r="O49" s="1" t="str">
        <f ca="1">IFERROR(__xludf.dummyfunction("VLOOKUP(N49, IMPORTRANGE(""https://docs.google.com/spreadsheets/d/1yDAaXNsi4Mr5FtRQL4tbmSdIzhx6_m4wkOD7IG-k_eo/edit#gid=1336395716"", ""Science!M:N""), 2, FALSE)"),"(LU006665.003); Default - Apply")</f>
        <v>(LU006665.003); Default - Apply</v>
      </c>
      <c r="P49" s="1" t="str">
        <f t="shared" si="9"/>
        <v>LU006665.004</v>
      </c>
      <c r="Q49" s="15" t="str">
        <f ca="1">IFERROR(__xludf.dummyfunction("VLOOKUP(P49, IMPORTRANGE(""https://docs.google.com/spreadsheets/d/1yDAaXNsi4Mr5FtRQL4tbmSdIzhx6_m4wkOD7IG-k_eo/edit#gid=1336395716"", ""Science!M:N""), 2, FALSE)"),"(LU006665.004); Default - Analyse")</f>
        <v>(LU006665.004); Default - Analyse</v>
      </c>
      <c r="R49" s="1" t="str">
        <f t="shared" si="10"/>
        <v>LU006665.005</v>
      </c>
      <c r="S49" s="15" t="str">
        <f ca="1">IFERROR(__xludf.dummyfunction("VLOOKUP(R49, IMPORTRANGE(""https://docs.google.com/spreadsheets/d/1yDAaXNsi4Mr5FtRQL4tbmSdIzhx6_m4wkOD7IG-k_eo/edit#gid=1336395716"", ""Science!M:N""), 2, FALSE)"),"(LU006665.005); Default - Evaluate")</f>
        <v>(LU006665.005); Default - Evaluate</v>
      </c>
      <c r="T49" s="1" t="str">
        <f t="shared" si="11"/>
        <v>LU006665.006</v>
      </c>
      <c r="U49" s="15" t="str">
        <f ca="1">IFERROR(__xludf.dummyfunction("VLOOKUP(T49, IMPORTRANGE(""https://docs.google.com/spreadsheets/d/1yDAaXNsi4Mr5FtRQL4tbmSdIzhx6_m4wkOD7IG-k_eo/edit#gid=1336395716"", ""Science!M:N""), 2, FALSE)"),"(LU006665.006); Default - Create")</f>
        <v>(LU006665.006); Default - Create</v>
      </c>
      <c r="V49" s="16" t="str">
        <f ca="1">IFERROR(__xludf.dummyfunction("ArrayFormula(VLOOKUP(G49, IMPORTRANGE(""https://docs.google.com/spreadsheets/d/1p7R4vtkWt5VOBim4ltsDG9KTzSjrtKXsMtQGXPHyND0/edit#gid=795171502"", ""'Filter 30_05_2024'!A1:M2000""), {2, 3, 4, 5,6,7,8,9,10,11,12,13}, 0))"),"#N/A")</f>
        <v>#N/A</v>
      </c>
      <c r="W49" s="16" t="str">
        <f ca="1">IFERROR(__xludf.dummyfunction("""COMPUTED_VALUE"""),"#N/A")</f>
        <v>#N/A</v>
      </c>
      <c r="X49" s="16" t="str">
        <f ca="1">IFERROR(__xludf.dummyfunction("""COMPUTED_VALUE"""),"#N/A")</f>
        <v>#N/A</v>
      </c>
      <c r="Y49" s="16" t="str">
        <f ca="1">IFERROR(__xludf.dummyfunction("""COMPUTED_VALUE"""),"#N/A")</f>
        <v>#N/A</v>
      </c>
      <c r="Z49" s="16" t="str">
        <f ca="1">IFERROR(__xludf.dummyfunction("""COMPUTED_VALUE"""),"#N/A")</f>
        <v>#N/A</v>
      </c>
      <c r="AA49" s="17" t="str">
        <f ca="1">IFERROR(__xludf.dummyfunction("""COMPUTED_VALUE"""),"#N/A")</f>
        <v>#N/A</v>
      </c>
      <c r="AB49" s="17" t="str">
        <f ca="1">IFERROR(__xludf.dummyfunction("""COMPUTED_VALUE"""),"#N/A")</f>
        <v>#N/A</v>
      </c>
      <c r="AC49" s="17" t="str">
        <f ca="1">IFERROR(__xludf.dummyfunction("""COMPUTED_VALUE"""),"#N/A")</f>
        <v>#N/A</v>
      </c>
      <c r="AD49" s="2" t="str">
        <f ca="1">IFERROR(__xludf.dummyfunction("""COMPUTED_VALUE"""),"#N/A")</f>
        <v>#N/A</v>
      </c>
      <c r="AE49" s="2" t="str">
        <f ca="1">IFERROR(__xludf.dummyfunction("""COMPUTED_VALUE"""),"#N/A")</f>
        <v>#N/A</v>
      </c>
      <c r="AF49" s="2" t="str">
        <f ca="1">IFERROR(__xludf.dummyfunction("""COMPUTED_VALUE"""),"#N/A")</f>
        <v>#N/A</v>
      </c>
      <c r="AG49" s="2" t="str">
        <f ca="1">IFERROR(__xludf.dummyfunction("""COMPUTED_VALUE"""),"#N/A")</f>
        <v>#N/A</v>
      </c>
    </row>
    <row r="50" spans="1:33" ht="27.6">
      <c r="A50" s="1"/>
      <c r="B50" s="1" t="s">
        <v>29</v>
      </c>
      <c r="C50" s="13">
        <v>8</v>
      </c>
      <c r="D50" s="2" t="s">
        <v>1362</v>
      </c>
      <c r="E50" s="1" t="s">
        <v>1283</v>
      </c>
      <c r="F50" s="1" t="s">
        <v>1581</v>
      </c>
      <c r="G50" s="14" t="s">
        <v>1582</v>
      </c>
      <c r="H50" s="18" t="str">
        <f ca="1">IFERROR(__xludf.dummyfunction("IFERROR(
  VLOOKUP(G50, IMPORTRANGE(""https://docs.google.com/spreadsheets/d/14deopnvwcrKtEGCKuYXdUHJbeLDZlkiSSWWT0g7x2pM/edit#gid=849066331"", ""LU List Maths (Filter)!A:B""), 2, FALSE),
  IFERROR(
    VLOOKUP(G50, IMPORTRANGE(""https://docs.google.com/s"&amp;"preadsheets/d/14deopnvwcrKtEGCKuYXdUHJbeLDZlkiSSWWT0g7x2pM/edit#gid=849066331"", ""LU List Science (Filter)!A:B""), 2, FALSE),
    ""Not Found""
  )
)
"),"Vaccination and immunization")</f>
        <v>Vaccination and immunization</v>
      </c>
      <c r="I50" s="2" t="s">
        <v>1583</v>
      </c>
      <c r="J50" s="1" t="str">
        <f t="shared" si="6"/>
        <v>LU006666.001</v>
      </c>
      <c r="K50" s="1" t="str">
        <f ca="1">IFERROR(__xludf.dummyfunction("VLOOKUP(J50, IMPORTRANGE(""https://docs.google.com/spreadsheets/d/1yDAaXNsi4Mr5FtRQL4tbmSdIzhx6_m4wkOD7IG-k_eo/edit#gid=1336395716"", ""Science!M:N""), 2, FALSE)"),"(LU006666.001); Default - Remember")</f>
        <v>(LU006666.001); Default - Remember</v>
      </c>
      <c r="L50" s="1" t="str">
        <f t="shared" si="7"/>
        <v>LU006666.002</v>
      </c>
      <c r="M50" s="1" t="str">
        <f ca="1">IFERROR(__xludf.dummyfunction("VLOOKUP(L50, IMPORTRANGE(""https://docs.google.com/spreadsheets/d/1yDAaXNsi4Mr5FtRQL4tbmSdIzhx6_m4wkOD7IG-k_eo/edit#gid=1336395716"", ""Science!M:N""), 2, FALSE)"),"(LU006666.002); Default - Understand")</f>
        <v>(LU006666.002); Default - Understand</v>
      </c>
      <c r="N50" s="1" t="str">
        <f t="shared" si="8"/>
        <v>LU006666.003</v>
      </c>
      <c r="O50" s="1" t="str">
        <f ca="1">IFERROR(__xludf.dummyfunction("VLOOKUP(N50, IMPORTRANGE(""https://docs.google.com/spreadsheets/d/1yDAaXNsi4Mr5FtRQL4tbmSdIzhx6_m4wkOD7IG-k_eo/edit#gid=1336395716"", ""Science!M:N""), 2, FALSE)"),"(LU006666.003); Default - Apply")</f>
        <v>(LU006666.003); Default - Apply</v>
      </c>
      <c r="P50" s="1" t="str">
        <f t="shared" si="9"/>
        <v>LU006666.004</v>
      </c>
      <c r="Q50" s="15" t="str">
        <f ca="1">IFERROR(__xludf.dummyfunction("VLOOKUP(P50, IMPORTRANGE(""https://docs.google.com/spreadsheets/d/1yDAaXNsi4Mr5FtRQL4tbmSdIzhx6_m4wkOD7IG-k_eo/edit#gid=1336395716"", ""Science!M:N""), 2, FALSE)"),"(LU006666.004); Default - Analyse")</f>
        <v>(LU006666.004); Default - Analyse</v>
      </c>
      <c r="R50" s="1" t="str">
        <f t="shared" si="10"/>
        <v>LU006666.005</v>
      </c>
      <c r="S50" s="15" t="str">
        <f ca="1">IFERROR(__xludf.dummyfunction("VLOOKUP(R50, IMPORTRANGE(""https://docs.google.com/spreadsheets/d/1yDAaXNsi4Mr5FtRQL4tbmSdIzhx6_m4wkOD7IG-k_eo/edit#gid=1336395716"", ""Science!M:N""), 2, FALSE)"),"(LU006666.005); Default - Evaluate")</f>
        <v>(LU006666.005); Default - Evaluate</v>
      </c>
      <c r="T50" s="1" t="str">
        <f t="shared" si="11"/>
        <v>LU006666.006</v>
      </c>
      <c r="U50" s="15" t="str">
        <f ca="1">IFERROR(__xludf.dummyfunction("VLOOKUP(T50, IMPORTRANGE(""https://docs.google.com/spreadsheets/d/1yDAaXNsi4Mr5FtRQL4tbmSdIzhx6_m4wkOD7IG-k_eo/edit#gid=1336395716"", ""Science!M:N""), 2, FALSE)"),"(LU006666.006); Default - Create")</f>
        <v>(LU006666.006); Default - Create</v>
      </c>
      <c r="V50" s="16" t="str">
        <f ca="1">IFERROR(__xludf.dummyfunction("ArrayFormula(VLOOKUP(G50, IMPORTRANGE(""https://docs.google.com/spreadsheets/d/1p7R4vtkWt5VOBim4ltsDG9KTzSjrtKXsMtQGXPHyND0/edit#gid=795171502"", ""'Filter 30_05_2024'!A1:M2000""), {2, 3, 4, 5,6,7,8,9,10,11,12,13}, 0))"),"#N/A")</f>
        <v>#N/A</v>
      </c>
      <c r="W50" s="16" t="str">
        <f ca="1">IFERROR(__xludf.dummyfunction("""COMPUTED_VALUE"""),"#N/A")</f>
        <v>#N/A</v>
      </c>
      <c r="X50" s="16" t="str">
        <f ca="1">IFERROR(__xludf.dummyfunction("""COMPUTED_VALUE"""),"#N/A")</f>
        <v>#N/A</v>
      </c>
      <c r="Y50" s="16" t="str">
        <f ca="1">IFERROR(__xludf.dummyfunction("""COMPUTED_VALUE"""),"#N/A")</f>
        <v>#N/A</v>
      </c>
      <c r="Z50" s="16" t="str">
        <f ca="1">IFERROR(__xludf.dummyfunction("""COMPUTED_VALUE"""),"#N/A")</f>
        <v>#N/A</v>
      </c>
      <c r="AA50" s="17" t="str">
        <f ca="1">IFERROR(__xludf.dummyfunction("""COMPUTED_VALUE"""),"#N/A")</f>
        <v>#N/A</v>
      </c>
      <c r="AB50" s="17" t="str">
        <f ca="1">IFERROR(__xludf.dummyfunction("""COMPUTED_VALUE"""),"#N/A")</f>
        <v>#N/A</v>
      </c>
      <c r="AC50" s="17" t="str">
        <f ca="1">IFERROR(__xludf.dummyfunction("""COMPUTED_VALUE"""),"#N/A")</f>
        <v>#N/A</v>
      </c>
      <c r="AD50" s="2" t="str">
        <f ca="1">IFERROR(__xludf.dummyfunction("""COMPUTED_VALUE"""),"#N/A")</f>
        <v>#N/A</v>
      </c>
      <c r="AE50" s="2" t="str">
        <f ca="1">IFERROR(__xludf.dummyfunction("""COMPUTED_VALUE"""),"#N/A")</f>
        <v>#N/A</v>
      </c>
      <c r="AF50" s="2" t="str">
        <f ca="1">IFERROR(__xludf.dummyfunction("""COMPUTED_VALUE"""),"#N/A")</f>
        <v>#N/A</v>
      </c>
      <c r="AG50" s="2" t="str">
        <f ca="1">IFERROR(__xludf.dummyfunction("""COMPUTED_VALUE"""),"#N/A")</f>
        <v>#N/A</v>
      </c>
    </row>
    <row r="51" spans="1:33" ht="41.4">
      <c r="A51" s="1"/>
      <c r="B51" s="1" t="s">
        <v>29</v>
      </c>
      <c r="C51" s="13">
        <v>8</v>
      </c>
      <c r="D51" s="2" t="s">
        <v>1362</v>
      </c>
      <c r="E51" s="1" t="s">
        <v>1283</v>
      </c>
      <c r="F51" s="1" t="s">
        <v>1584</v>
      </c>
      <c r="G51" s="14" t="s">
        <v>1585</v>
      </c>
      <c r="H51" s="18" t="str">
        <f ca="1">IFERROR(__xludf.dummyfunction("IFERROR(
  VLOOKUP(G51, IMPORTRANGE(""https://docs.google.com/spreadsheets/d/14deopnvwcrKtEGCKuYXdUHJbeLDZlkiSSWWT0g7x2pM/edit#gid=849066331"", ""LU List Maths (Filter)!A:B""), 2, FALSE),
  IFERROR(
    VLOOKUP(G51, IMPORTRANGE(""https://docs.google.com/s"&amp;"preadsheets/d/14deopnvwcrKtEGCKuYXdUHJbeLDZlkiSSWWT0g7x2pM/edit#gid=849066331"", ""LU List Science (Filter)!A:B""), 2, FALSE),
    ""Not Found""
  )
)
"),"Harmful effects of consuming tobacco, drinking alcohol, taking drugs")</f>
        <v>Harmful effects of consuming tobacco, drinking alcohol, taking drugs</v>
      </c>
      <c r="I51" s="2"/>
      <c r="J51" s="1" t="str">
        <f t="shared" si="6"/>
        <v>LU006667.001</v>
      </c>
      <c r="K51" s="1" t="str">
        <f ca="1">IFERROR(__xludf.dummyfunction("VLOOKUP(J51, IMPORTRANGE(""https://docs.google.com/spreadsheets/d/1yDAaXNsi4Mr5FtRQL4tbmSdIzhx6_m4wkOD7IG-k_eo/edit#gid=1336395716"", ""Science!M:N""), 2, FALSE)"),"(LU006667.001); Default - Remember")</f>
        <v>(LU006667.001); Default - Remember</v>
      </c>
      <c r="L51" s="1" t="str">
        <f t="shared" si="7"/>
        <v>LU006667.002</v>
      </c>
      <c r="M51" s="1" t="str">
        <f ca="1">IFERROR(__xludf.dummyfunction("VLOOKUP(L51, IMPORTRANGE(""https://docs.google.com/spreadsheets/d/1yDAaXNsi4Mr5FtRQL4tbmSdIzhx6_m4wkOD7IG-k_eo/edit#gid=1336395716"", ""Science!M:N""), 2, FALSE)"),"(LU006667.002); Default - Understand")</f>
        <v>(LU006667.002); Default - Understand</v>
      </c>
      <c r="N51" s="1" t="str">
        <f t="shared" si="8"/>
        <v>LU006667.003</v>
      </c>
      <c r="O51" s="1" t="str">
        <f ca="1">IFERROR(__xludf.dummyfunction("VLOOKUP(N51, IMPORTRANGE(""https://docs.google.com/spreadsheets/d/1yDAaXNsi4Mr5FtRQL4tbmSdIzhx6_m4wkOD7IG-k_eo/edit#gid=1336395716"", ""Science!M:N""), 2, FALSE)"),"(LU006667.003); Default - Apply")</f>
        <v>(LU006667.003); Default - Apply</v>
      </c>
      <c r="P51" s="1" t="str">
        <f t="shared" si="9"/>
        <v>LU006667.004</v>
      </c>
      <c r="Q51" s="15" t="str">
        <f ca="1">IFERROR(__xludf.dummyfunction("VLOOKUP(P51, IMPORTRANGE(""https://docs.google.com/spreadsheets/d/1yDAaXNsi4Mr5FtRQL4tbmSdIzhx6_m4wkOD7IG-k_eo/edit#gid=1336395716"", ""Science!M:N""), 2, FALSE)"),"(LU006667.004); Default - Analyse")</f>
        <v>(LU006667.004); Default - Analyse</v>
      </c>
      <c r="R51" s="1" t="str">
        <f t="shared" si="10"/>
        <v>LU006667.005</v>
      </c>
      <c r="S51" s="15" t="str">
        <f ca="1">IFERROR(__xludf.dummyfunction("VLOOKUP(R51, IMPORTRANGE(""https://docs.google.com/spreadsheets/d/1yDAaXNsi4Mr5FtRQL4tbmSdIzhx6_m4wkOD7IG-k_eo/edit#gid=1336395716"", ""Science!M:N""), 2, FALSE)"),"(LU006667.005); Default - Evaluate")</f>
        <v>(LU006667.005); Default - Evaluate</v>
      </c>
      <c r="T51" s="1" t="str">
        <f t="shared" si="11"/>
        <v>LU006667.006</v>
      </c>
      <c r="U51" s="15" t="str">
        <f ca="1">IFERROR(__xludf.dummyfunction("VLOOKUP(T51, IMPORTRANGE(""https://docs.google.com/spreadsheets/d/1yDAaXNsi4Mr5FtRQL4tbmSdIzhx6_m4wkOD7IG-k_eo/edit#gid=1336395716"", ""Science!M:N""), 2, FALSE)"),"(LU006667.006); Default - Create")</f>
        <v>(LU006667.006); Default - Create</v>
      </c>
      <c r="V51" s="16" t="str">
        <f ca="1">IFERROR(__xludf.dummyfunction("ArrayFormula(VLOOKUP(G51, IMPORTRANGE(""https://docs.google.com/spreadsheets/d/1p7R4vtkWt5VOBim4ltsDG9KTzSjrtKXsMtQGXPHyND0/edit#gid=795171502"", ""'Filter 30_05_2024'!A1:M2000""), {2, 3, 4, 5,6,7,8,9,10,11,12,13}, 0))"),"#N/A")</f>
        <v>#N/A</v>
      </c>
      <c r="W51" s="16" t="str">
        <f ca="1">IFERROR(__xludf.dummyfunction("""COMPUTED_VALUE"""),"#N/A")</f>
        <v>#N/A</v>
      </c>
      <c r="X51" s="16" t="str">
        <f ca="1">IFERROR(__xludf.dummyfunction("""COMPUTED_VALUE"""),"#N/A")</f>
        <v>#N/A</v>
      </c>
      <c r="Y51" s="16" t="str">
        <f ca="1">IFERROR(__xludf.dummyfunction("""COMPUTED_VALUE"""),"#N/A")</f>
        <v>#N/A</v>
      </c>
      <c r="Z51" s="16" t="str">
        <f ca="1">IFERROR(__xludf.dummyfunction("""COMPUTED_VALUE"""),"#N/A")</f>
        <v>#N/A</v>
      </c>
      <c r="AA51" s="17" t="str">
        <f ca="1">IFERROR(__xludf.dummyfunction("""COMPUTED_VALUE"""),"#N/A")</f>
        <v>#N/A</v>
      </c>
      <c r="AB51" s="17" t="str">
        <f ca="1">IFERROR(__xludf.dummyfunction("""COMPUTED_VALUE"""),"#N/A")</f>
        <v>#N/A</v>
      </c>
      <c r="AC51" s="17" t="str">
        <f ca="1">IFERROR(__xludf.dummyfunction("""COMPUTED_VALUE"""),"#N/A")</f>
        <v>#N/A</v>
      </c>
      <c r="AD51" s="2" t="str">
        <f ca="1">IFERROR(__xludf.dummyfunction("""COMPUTED_VALUE"""),"#N/A")</f>
        <v>#N/A</v>
      </c>
      <c r="AE51" s="2" t="str">
        <f ca="1">IFERROR(__xludf.dummyfunction("""COMPUTED_VALUE"""),"#N/A")</f>
        <v>#N/A</v>
      </c>
      <c r="AF51" s="2" t="str">
        <f ca="1">IFERROR(__xludf.dummyfunction("""COMPUTED_VALUE"""),"#N/A")</f>
        <v>#N/A</v>
      </c>
      <c r="AG51" s="2" t="str">
        <f ca="1">IFERROR(__xludf.dummyfunction("""COMPUTED_VALUE"""),"#N/A")</f>
        <v>#N/A</v>
      </c>
    </row>
    <row r="52" spans="1:33" ht="27.6">
      <c r="A52" s="1"/>
      <c r="B52" s="1" t="s">
        <v>29</v>
      </c>
      <c r="C52" s="13">
        <v>8</v>
      </c>
      <c r="D52" s="2" t="s">
        <v>1362</v>
      </c>
      <c r="E52" s="1" t="s">
        <v>1283</v>
      </c>
      <c r="F52" s="1" t="s">
        <v>1586</v>
      </c>
      <c r="G52" s="14" t="s">
        <v>1587</v>
      </c>
      <c r="H52" s="18" t="str">
        <f ca="1">IFERROR(__xludf.dummyfunction("IFERROR(
  VLOOKUP(G52, IMPORTRANGE(""https://docs.google.com/spreadsheets/d/14deopnvwcrKtEGCKuYXdUHJbeLDZlkiSSWWT0g7x2pM/edit#gid=849066331"", ""LU List Maths (Filter)!A:B""), 2, FALSE),
  IFERROR(
    VLOOKUP(G52, IMPORTRANGE(""https://docs.google.com/s"&amp;"preadsheets/d/14deopnvwcrKtEGCKuYXdUHJbeLDZlkiSSWWT0g7x2pM/edit#gid=849066331"", ""LU List Science (Filter)!A:B""), 2, FALSE),
    ""Not Found""
  )
)
"),"Concept of first aid and first aid for burns, bleeding, fracture")</f>
        <v>Concept of first aid and first aid for burns, bleeding, fracture</v>
      </c>
      <c r="I52" s="2"/>
      <c r="J52" s="1" t="str">
        <f t="shared" si="6"/>
        <v>LU006668.001</v>
      </c>
      <c r="K52" s="1" t="str">
        <f ca="1">IFERROR(__xludf.dummyfunction("VLOOKUP(J52, IMPORTRANGE(""https://docs.google.com/spreadsheets/d/1yDAaXNsi4Mr5FtRQL4tbmSdIzhx6_m4wkOD7IG-k_eo/edit#gid=1336395716"", ""Science!M:N""), 2, FALSE)"),"(LU006668.001); Default - Remember")</f>
        <v>(LU006668.001); Default - Remember</v>
      </c>
      <c r="L52" s="1" t="str">
        <f t="shared" si="7"/>
        <v>LU006668.002</v>
      </c>
      <c r="M52" s="1" t="str">
        <f ca="1">IFERROR(__xludf.dummyfunction("VLOOKUP(L52, IMPORTRANGE(""https://docs.google.com/spreadsheets/d/1yDAaXNsi4Mr5FtRQL4tbmSdIzhx6_m4wkOD7IG-k_eo/edit#gid=1336395716"", ""Science!M:N""), 2, FALSE)"),"(LU006668.002); Default - Understand")</f>
        <v>(LU006668.002); Default - Understand</v>
      </c>
      <c r="N52" s="1" t="str">
        <f t="shared" si="8"/>
        <v>LU006668.003</v>
      </c>
      <c r="O52" s="1" t="str">
        <f ca="1">IFERROR(__xludf.dummyfunction("VLOOKUP(N52, IMPORTRANGE(""https://docs.google.com/spreadsheets/d/1yDAaXNsi4Mr5FtRQL4tbmSdIzhx6_m4wkOD7IG-k_eo/edit#gid=1336395716"", ""Science!M:N""), 2, FALSE)"),"(LU006668.003); Default - Apply")</f>
        <v>(LU006668.003); Default - Apply</v>
      </c>
      <c r="P52" s="1" t="str">
        <f t="shared" si="9"/>
        <v>LU006668.004</v>
      </c>
      <c r="Q52" s="15" t="str">
        <f ca="1">IFERROR(__xludf.dummyfunction("VLOOKUP(P52, IMPORTRANGE(""https://docs.google.com/spreadsheets/d/1yDAaXNsi4Mr5FtRQL4tbmSdIzhx6_m4wkOD7IG-k_eo/edit#gid=1336395716"", ""Science!M:N""), 2, FALSE)"),"(LU006668.004); Default - Analyse")</f>
        <v>(LU006668.004); Default - Analyse</v>
      </c>
      <c r="R52" s="1" t="str">
        <f t="shared" si="10"/>
        <v>LU006668.005</v>
      </c>
      <c r="S52" s="15" t="str">
        <f ca="1">IFERROR(__xludf.dummyfunction("VLOOKUP(R52, IMPORTRANGE(""https://docs.google.com/spreadsheets/d/1yDAaXNsi4Mr5FtRQL4tbmSdIzhx6_m4wkOD7IG-k_eo/edit#gid=1336395716"", ""Science!M:N""), 2, FALSE)"),"(LU006668.005); Default - Evaluate")</f>
        <v>(LU006668.005); Default - Evaluate</v>
      </c>
      <c r="T52" s="1" t="str">
        <f t="shared" si="11"/>
        <v>LU006668.006</v>
      </c>
      <c r="U52" s="15" t="str">
        <f ca="1">IFERROR(__xludf.dummyfunction("VLOOKUP(T52, IMPORTRANGE(""https://docs.google.com/spreadsheets/d/1yDAaXNsi4Mr5FtRQL4tbmSdIzhx6_m4wkOD7IG-k_eo/edit#gid=1336395716"", ""Science!M:N""), 2, FALSE)"),"(LU006668.006); Default - Create")</f>
        <v>(LU006668.006); Default - Create</v>
      </c>
      <c r="V52" s="16" t="str">
        <f ca="1">IFERROR(__xludf.dummyfunction("ArrayFormula(VLOOKUP(G52, IMPORTRANGE(""https://docs.google.com/spreadsheets/d/1p7R4vtkWt5VOBim4ltsDG9KTzSjrtKXsMtQGXPHyND0/edit#gid=795171502"", ""'Filter 30_05_2024'!A1:M2000""), {2, 3, 4, 5,6,7,8,9,10,11,12,13}, 0))"),"#N/A")</f>
        <v>#N/A</v>
      </c>
      <c r="W52" s="16" t="str">
        <f ca="1">IFERROR(__xludf.dummyfunction("""COMPUTED_VALUE"""),"#N/A")</f>
        <v>#N/A</v>
      </c>
      <c r="X52" s="16" t="str">
        <f ca="1">IFERROR(__xludf.dummyfunction("""COMPUTED_VALUE"""),"#N/A")</f>
        <v>#N/A</v>
      </c>
      <c r="Y52" s="16" t="str">
        <f ca="1">IFERROR(__xludf.dummyfunction("""COMPUTED_VALUE"""),"#N/A")</f>
        <v>#N/A</v>
      </c>
      <c r="Z52" s="16" t="str">
        <f ca="1">IFERROR(__xludf.dummyfunction("""COMPUTED_VALUE"""),"#N/A")</f>
        <v>#N/A</v>
      </c>
      <c r="AA52" s="17" t="str">
        <f ca="1">IFERROR(__xludf.dummyfunction("""COMPUTED_VALUE"""),"#N/A")</f>
        <v>#N/A</v>
      </c>
      <c r="AB52" s="17" t="str">
        <f ca="1">IFERROR(__xludf.dummyfunction("""COMPUTED_VALUE"""),"#N/A")</f>
        <v>#N/A</v>
      </c>
      <c r="AC52" s="17" t="str">
        <f ca="1">IFERROR(__xludf.dummyfunction("""COMPUTED_VALUE"""),"#N/A")</f>
        <v>#N/A</v>
      </c>
      <c r="AD52" s="2" t="str">
        <f ca="1">IFERROR(__xludf.dummyfunction("""COMPUTED_VALUE"""),"#N/A")</f>
        <v>#N/A</v>
      </c>
      <c r="AE52" s="2" t="str">
        <f ca="1">IFERROR(__xludf.dummyfunction("""COMPUTED_VALUE"""),"#N/A")</f>
        <v>#N/A</v>
      </c>
      <c r="AF52" s="2" t="str">
        <f ca="1">IFERROR(__xludf.dummyfunction("""COMPUTED_VALUE"""),"#N/A")</f>
        <v>#N/A</v>
      </c>
      <c r="AG52" s="2" t="str">
        <f ca="1">IFERROR(__xludf.dummyfunction("""COMPUTED_VALUE"""),"#N/A")</f>
        <v>#N/A</v>
      </c>
    </row>
    <row r="53" spans="1:33" ht="27.6">
      <c r="A53" s="1"/>
      <c r="B53" s="1" t="s">
        <v>29</v>
      </c>
      <c r="C53" s="13">
        <v>8</v>
      </c>
      <c r="D53" s="2" t="s">
        <v>1362</v>
      </c>
      <c r="E53" s="1" t="s">
        <v>1283</v>
      </c>
      <c r="F53" s="1" t="s">
        <v>1586</v>
      </c>
      <c r="G53" s="14" t="s">
        <v>1588</v>
      </c>
      <c r="H53" s="18" t="str">
        <f ca="1">IFERROR(__xludf.dummyfunction("IFERROR(
  VLOOKUP(G53, IMPORTRANGE(""https://docs.google.com/spreadsheets/d/14deopnvwcrKtEGCKuYXdUHJbeLDZlkiSSWWT0g7x2pM/edit#gid=849066331"", ""LU List Maths (Filter)!A:B""), 2, FALSE),
  IFERROR(
    VLOOKUP(G53, IMPORTRANGE(""https://docs.google.com/s"&amp;"preadsheets/d/14deopnvwcrKtEGCKuYXdUHJbeLDZlkiSSWWT0g7x2pM/edit#gid=849066331"", ""LU List Science (Filter)!A:B""), 2, FALSE),
    ""Not Found""
  )
)
"),"First aid for object in the eye, unconsciousness, swallowing")</f>
        <v>First aid for object in the eye, unconsciousness, swallowing</v>
      </c>
      <c r="I53" s="2"/>
      <c r="J53" s="1" t="str">
        <f t="shared" si="6"/>
        <v>LU006669.001</v>
      </c>
      <c r="K53" s="1" t="str">
        <f ca="1">IFERROR(__xludf.dummyfunction("VLOOKUP(J53, IMPORTRANGE(""https://docs.google.com/spreadsheets/d/1yDAaXNsi4Mr5FtRQL4tbmSdIzhx6_m4wkOD7IG-k_eo/edit#gid=1336395716"", ""Science!M:N""), 2, FALSE)"),"(LU006669.001); Default - Remember")</f>
        <v>(LU006669.001); Default - Remember</v>
      </c>
      <c r="L53" s="1" t="str">
        <f t="shared" si="7"/>
        <v>LU006669.002</v>
      </c>
      <c r="M53" s="1" t="str">
        <f ca="1">IFERROR(__xludf.dummyfunction("VLOOKUP(L53, IMPORTRANGE(""https://docs.google.com/spreadsheets/d/1yDAaXNsi4Mr5FtRQL4tbmSdIzhx6_m4wkOD7IG-k_eo/edit#gid=1336395716"", ""Science!M:N""), 2, FALSE)"),"(LU006669.002); Default - Understand")</f>
        <v>(LU006669.002); Default - Understand</v>
      </c>
      <c r="N53" s="1" t="str">
        <f t="shared" si="8"/>
        <v>LU006669.003</v>
      </c>
      <c r="O53" s="1" t="str">
        <f ca="1">IFERROR(__xludf.dummyfunction("VLOOKUP(N53, IMPORTRANGE(""https://docs.google.com/spreadsheets/d/1yDAaXNsi4Mr5FtRQL4tbmSdIzhx6_m4wkOD7IG-k_eo/edit#gid=1336395716"", ""Science!M:N""), 2, FALSE)"),"(LU006669.003); Default - Apply")</f>
        <v>(LU006669.003); Default - Apply</v>
      </c>
      <c r="P53" s="1" t="str">
        <f t="shared" si="9"/>
        <v>LU006669.004</v>
      </c>
      <c r="Q53" s="15" t="str">
        <f ca="1">IFERROR(__xludf.dummyfunction("VLOOKUP(P53, IMPORTRANGE(""https://docs.google.com/spreadsheets/d/1yDAaXNsi4Mr5FtRQL4tbmSdIzhx6_m4wkOD7IG-k_eo/edit#gid=1336395716"", ""Science!M:N""), 2, FALSE)"),"(LU006669.004); Default - Analyse")</f>
        <v>(LU006669.004); Default - Analyse</v>
      </c>
      <c r="R53" s="1" t="str">
        <f t="shared" si="10"/>
        <v>LU006669.005</v>
      </c>
      <c r="S53" s="15" t="str">
        <f ca="1">IFERROR(__xludf.dummyfunction("VLOOKUP(R53, IMPORTRANGE(""https://docs.google.com/spreadsheets/d/1yDAaXNsi4Mr5FtRQL4tbmSdIzhx6_m4wkOD7IG-k_eo/edit#gid=1336395716"", ""Science!M:N""), 2, FALSE)"),"(LU006669.005); Default - Evaluate")</f>
        <v>(LU006669.005); Default - Evaluate</v>
      </c>
      <c r="T53" s="1" t="str">
        <f t="shared" si="11"/>
        <v>LU006669.006</v>
      </c>
      <c r="U53" s="15" t="str">
        <f ca="1">IFERROR(__xludf.dummyfunction("VLOOKUP(T53, IMPORTRANGE(""https://docs.google.com/spreadsheets/d/1yDAaXNsi4Mr5FtRQL4tbmSdIzhx6_m4wkOD7IG-k_eo/edit#gid=1336395716"", ""Science!M:N""), 2, FALSE)"),"(LU006669.006); Default - Create")</f>
        <v>(LU006669.006); Default - Create</v>
      </c>
      <c r="V53" s="16" t="str">
        <f ca="1">IFERROR(__xludf.dummyfunction("ArrayFormula(VLOOKUP(G53, IMPORTRANGE(""https://docs.google.com/spreadsheets/d/1p7R4vtkWt5VOBim4ltsDG9KTzSjrtKXsMtQGXPHyND0/edit#gid=795171502"", ""'Filter 30_05_2024'!A1:M2000""), {2, 3, 4, 5,6,7,8,9,10,11,12,13}, 0))"),"#N/A")</f>
        <v>#N/A</v>
      </c>
      <c r="W53" s="16" t="str">
        <f ca="1">IFERROR(__xludf.dummyfunction("""COMPUTED_VALUE"""),"#N/A")</f>
        <v>#N/A</v>
      </c>
      <c r="X53" s="16" t="str">
        <f ca="1">IFERROR(__xludf.dummyfunction("""COMPUTED_VALUE"""),"#N/A")</f>
        <v>#N/A</v>
      </c>
      <c r="Y53" s="16" t="str">
        <f ca="1">IFERROR(__xludf.dummyfunction("""COMPUTED_VALUE"""),"#N/A")</f>
        <v>#N/A</v>
      </c>
      <c r="Z53" s="16" t="str">
        <f ca="1">IFERROR(__xludf.dummyfunction("""COMPUTED_VALUE"""),"#N/A")</f>
        <v>#N/A</v>
      </c>
      <c r="AA53" s="17" t="str">
        <f ca="1">IFERROR(__xludf.dummyfunction("""COMPUTED_VALUE"""),"#N/A")</f>
        <v>#N/A</v>
      </c>
      <c r="AB53" s="17" t="str">
        <f ca="1">IFERROR(__xludf.dummyfunction("""COMPUTED_VALUE"""),"#N/A")</f>
        <v>#N/A</v>
      </c>
      <c r="AC53" s="17" t="str">
        <f ca="1">IFERROR(__xludf.dummyfunction("""COMPUTED_VALUE"""),"#N/A")</f>
        <v>#N/A</v>
      </c>
      <c r="AD53" s="2" t="str">
        <f ca="1">IFERROR(__xludf.dummyfunction("""COMPUTED_VALUE"""),"#N/A")</f>
        <v>#N/A</v>
      </c>
      <c r="AE53" s="2" t="str">
        <f ca="1">IFERROR(__xludf.dummyfunction("""COMPUTED_VALUE"""),"#N/A")</f>
        <v>#N/A</v>
      </c>
      <c r="AF53" s="2" t="str">
        <f ca="1">IFERROR(__xludf.dummyfunction("""COMPUTED_VALUE"""),"#N/A")</f>
        <v>#N/A</v>
      </c>
      <c r="AG53" s="2" t="str">
        <f ca="1">IFERROR(__xludf.dummyfunction("""COMPUTED_VALUE"""),"#N/A")</f>
        <v>#N/A</v>
      </c>
    </row>
    <row r="54" spans="1:33" ht="27.6">
      <c r="A54" s="1"/>
      <c r="B54" s="1" t="s">
        <v>29</v>
      </c>
      <c r="C54" s="13">
        <v>8</v>
      </c>
      <c r="D54" s="2" t="s">
        <v>1362</v>
      </c>
      <c r="E54" s="1" t="s">
        <v>1283</v>
      </c>
      <c r="F54" s="1" t="s">
        <v>1586</v>
      </c>
      <c r="G54" s="14" t="s">
        <v>1589</v>
      </c>
      <c r="H54" s="18" t="str">
        <f ca="1">IFERROR(__xludf.dummyfunction("IFERROR(
  VLOOKUP(G54, IMPORTRANGE(""https://docs.google.com/spreadsheets/d/14deopnvwcrKtEGCKuYXdUHJbeLDZlkiSSWWT0g7x2pM/edit#gid=849066331"", ""LU List Maths (Filter)!A:B""), 2, FALSE),
  IFERROR(
    VLOOKUP(G54, IMPORTRANGE(""https://docs.google.com/s"&amp;"preadsheets/d/14deopnvwcrKtEGCKuYXdUHJbeLDZlkiSSWWT0g7x2pM/edit#gid=849066331"", ""LU List Science (Filter)!A:B""), 2, FALSE),
    ""Not Found""
  )
)
"),"First aid for poison, snake bite, stings")</f>
        <v>First aid for poison, snake bite, stings</v>
      </c>
      <c r="I54" s="2"/>
      <c r="J54" s="1" t="str">
        <f t="shared" si="6"/>
        <v>LU006670.001</v>
      </c>
      <c r="K54" s="1" t="str">
        <f ca="1">IFERROR(__xludf.dummyfunction("VLOOKUP(J54, IMPORTRANGE(""https://docs.google.com/spreadsheets/d/1yDAaXNsi4Mr5FtRQL4tbmSdIzhx6_m4wkOD7IG-k_eo/edit#gid=1336395716"", ""Science!M:N""), 2, FALSE)"),"(LU006670.001); Default - Remember")</f>
        <v>(LU006670.001); Default - Remember</v>
      </c>
      <c r="L54" s="1" t="str">
        <f t="shared" si="7"/>
        <v>LU006670.002</v>
      </c>
      <c r="M54" s="1" t="str">
        <f ca="1">IFERROR(__xludf.dummyfunction("VLOOKUP(L54, IMPORTRANGE(""https://docs.google.com/spreadsheets/d/1yDAaXNsi4Mr5FtRQL4tbmSdIzhx6_m4wkOD7IG-k_eo/edit#gid=1336395716"", ""Science!M:N""), 2, FALSE)"),"(LU006670.002); Default - Understand")</f>
        <v>(LU006670.002); Default - Understand</v>
      </c>
      <c r="N54" s="1" t="str">
        <f t="shared" si="8"/>
        <v>LU006670.003</v>
      </c>
      <c r="O54" s="1" t="str">
        <f ca="1">IFERROR(__xludf.dummyfunction("VLOOKUP(N54, IMPORTRANGE(""https://docs.google.com/spreadsheets/d/1yDAaXNsi4Mr5FtRQL4tbmSdIzhx6_m4wkOD7IG-k_eo/edit#gid=1336395716"", ""Science!M:N""), 2, FALSE)"),"(LU006670.003); Default - Apply")</f>
        <v>(LU006670.003); Default - Apply</v>
      </c>
      <c r="P54" s="1" t="str">
        <f t="shared" si="9"/>
        <v>LU006670.004</v>
      </c>
      <c r="Q54" s="15" t="str">
        <f ca="1">IFERROR(__xludf.dummyfunction("VLOOKUP(P54, IMPORTRANGE(""https://docs.google.com/spreadsheets/d/1yDAaXNsi4Mr5FtRQL4tbmSdIzhx6_m4wkOD7IG-k_eo/edit#gid=1336395716"", ""Science!M:N""), 2, FALSE)"),"(LU006670.004); Default - Analyse")</f>
        <v>(LU006670.004); Default - Analyse</v>
      </c>
      <c r="R54" s="1" t="str">
        <f t="shared" si="10"/>
        <v>LU006670.005</v>
      </c>
      <c r="S54" s="15" t="str">
        <f ca="1">IFERROR(__xludf.dummyfunction("VLOOKUP(R54, IMPORTRANGE(""https://docs.google.com/spreadsheets/d/1yDAaXNsi4Mr5FtRQL4tbmSdIzhx6_m4wkOD7IG-k_eo/edit#gid=1336395716"", ""Science!M:N""), 2, FALSE)"),"(LU006670.005); Default - Evaluate")</f>
        <v>(LU006670.005); Default - Evaluate</v>
      </c>
      <c r="T54" s="1" t="str">
        <f t="shared" si="11"/>
        <v>LU006670.006</v>
      </c>
      <c r="U54" s="15" t="str">
        <f ca="1">IFERROR(__xludf.dummyfunction("VLOOKUP(T54, IMPORTRANGE(""https://docs.google.com/spreadsheets/d/1yDAaXNsi4Mr5FtRQL4tbmSdIzhx6_m4wkOD7IG-k_eo/edit#gid=1336395716"", ""Science!M:N""), 2, FALSE)"),"(LU006670.006); Default - Create")</f>
        <v>(LU006670.006); Default - Create</v>
      </c>
      <c r="V54" s="16" t="str">
        <f ca="1">IFERROR(__xludf.dummyfunction("ArrayFormula(VLOOKUP(G54, IMPORTRANGE(""https://docs.google.com/spreadsheets/d/1p7R4vtkWt5VOBim4ltsDG9KTzSjrtKXsMtQGXPHyND0/edit#gid=795171502"", ""'Filter 30_05_2024'!A1:M2000""), {2, 3, 4, 5,6,7,8,9,10,11,12,13}, 0))"),"#N/A")</f>
        <v>#N/A</v>
      </c>
      <c r="W54" s="16" t="str">
        <f ca="1">IFERROR(__xludf.dummyfunction("""COMPUTED_VALUE"""),"#N/A")</f>
        <v>#N/A</v>
      </c>
      <c r="X54" s="16" t="str">
        <f ca="1">IFERROR(__xludf.dummyfunction("""COMPUTED_VALUE"""),"#N/A")</f>
        <v>#N/A</v>
      </c>
      <c r="Y54" s="16" t="str">
        <f ca="1">IFERROR(__xludf.dummyfunction("""COMPUTED_VALUE"""),"#N/A")</f>
        <v>#N/A</v>
      </c>
      <c r="Z54" s="16" t="str">
        <f ca="1">IFERROR(__xludf.dummyfunction("""COMPUTED_VALUE"""),"#N/A")</f>
        <v>#N/A</v>
      </c>
      <c r="AA54" s="17" t="str">
        <f ca="1">IFERROR(__xludf.dummyfunction("""COMPUTED_VALUE"""),"#N/A")</f>
        <v>#N/A</v>
      </c>
      <c r="AB54" s="17" t="str">
        <f ca="1">IFERROR(__xludf.dummyfunction("""COMPUTED_VALUE"""),"#N/A")</f>
        <v>#N/A</v>
      </c>
      <c r="AC54" s="17" t="str">
        <f ca="1">IFERROR(__xludf.dummyfunction("""COMPUTED_VALUE"""),"#N/A")</f>
        <v>#N/A</v>
      </c>
      <c r="AD54" s="2" t="str">
        <f ca="1">IFERROR(__xludf.dummyfunction("""COMPUTED_VALUE"""),"#N/A")</f>
        <v>#N/A</v>
      </c>
      <c r="AE54" s="2" t="str">
        <f ca="1">IFERROR(__xludf.dummyfunction("""COMPUTED_VALUE"""),"#N/A")</f>
        <v>#N/A</v>
      </c>
      <c r="AF54" s="2" t="str">
        <f ca="1">IFERROR(__xludf.dummyfunction("""COMPUTED_VALUE"""),"#N/A")</f>
        <v>#N/A</v>
      </c>
      <c r="AG54" s="2" t="str">
        <f ca="1">IFERROR(__xludf.dummyfunction("""COMPUTED_VALUE"""),"#N/A")</f>
        <v>#N/A</v>
      </c>
    </row>
    <row r="55" spans="1:33" ht="27.6">
      <c r="A55" s="1"/>
      <c r="B55" s="1" t="s">
        <v>29</v>
      </c>
      <c r="C55" s="13">
        <v>8</v>
      </c>
      <c r="D55" s="2" t="s">
        <v>1590</v>
      </c>
      <c r="E55" s="1" t="s">
        <v>1283</v>
      </c>
      <c r="F55" s="1" t="s">
        <v>1591</v>
      </c>
      <c r="G55" s="14" t="s">
        <v>1592</v>
      </c>
      <c r="H55" s="18" t="str">
        <f ca="1">IFERROR(__xludf.dummyfunction("IFERROR(
  VLOOKUP(G55, IMPORTRANGE(""https://docs.google.com/spreadsheets/d/14deopnvwcrKtEGCKuYXdUHJbeLDZlkiSSWWT0g7x2pM/edit#gid=849066331"", ""LU List Maths (Filter)!A:B""), 2, FALSE),
  IFERROR(
    VLOOKUP(G55, IMPORTRANGE(""https://docs.google.com/s"&amp;"preadsheets/d/14deopnvwcrKtEGCKuYXdUHJbeLDZlkiSSWWT0g7x2pM/edit#gid=849066331"", ""LU List Science (Filter)!A:B""), 2, FALSE),
    ""Not Found""
  )
)
"),"Uses of bacteria in food industry")</f>
        <v>Uses of bacteria in food industry</v>
      </c>
      <c r="I55" s="2" t="s">
        <v>1593</v>
      </c>
      <c r="J55" s="1" t="str">
        <f t="shared" si="6"/>
        <v>LU006671.001</v>
      </c>
      <c r="K55" s="1" t="str">
        <f ca="1">IFERROR(__xludf.dummyfunction("VLOOKUP(J55, IMPORTRANGE(""https://docs.google.com/spreadsheets/d/1yDAaXNsi4Mr5FtRQL4tbmSdIzhx6_m4wkOD7IG-k_eo/edit#gid=1336395716"", ""Science!M:N""), 2, FALSE)"),"(LU006671.001); Default - Remember")</f>
        <v>(LU006671.001); Default - Remember</v>
      </c>
      <c r="L55" s="1" t="str">
        <f t="shared" si="7"/>
        <v>LU006671.002</v>
      </c>
      <c r="M55" s="1" t="str">
        <f ca="1">IFERROR(__xludf.dummyfunction("VLOOKUP(L55, IMPORTRANGE(""https://docs.google.com/spreadsheets/d/1yDAaXNsi4Mr5FtRQL4tbmSdIzhx6_m4wkOD7IG-k_eo/edit#gid=1336395716"", ""Science!M:N""), 2, FALSE)"),"(LU006671.002); Default - Understand")</f>
        <v>(LU006671.002); Default - Understand</v>
      </c>
      <c r="N55" s="1" t="str">
        <f t="shared" si="8"/>
        <v>LU006671.003</v>
      </c>
      <c r="O55" s="1" t="str">
        <f ca="1">IFERROR(__xludf.dummyfunction("VLOOKUP(N55, IMPORTRANGE(""https://docs.google.com/spreadsheets/d/1yDAaXNsi4Mr5FtRQL4tbmSdIzhx6_m4wkOD7IG-k_eo/edit#gid=1336395716"", ""Science!M:N""), 2, FALSE)"),"(LU006671.003); Default - Apply")</f>
        <v>(LU006671.003); Default - Apply</v>
      </c>
      <c r="P55" s="1" t="str">
        <f t="shared" si="9"/>
        <v>LU006671.004</v>
      </c>
      <c r="Q55" s="15" t="str">
        <f ca="1">IFERROR(__xludf.dummyfunction("VLOOKUP(P55, IMPORTRANGE(""https://docs.google.com/spreadsheets/d/1yDAaXNsi4Mr5FtRQL4tbmSdIzhx6_m4wkOD7IG-k_eo/edit#gid=1336395716"", ""Science!M:N""), 2, FALSE)"),"(LU006671.004); Default - Analyse")</f>
        <v>(LU006671.004); Default - Analyse</v>
      </c>
      <c r="R55" s="1" t="str">
        <f t="shared" si="10"/>
        <v>LU006671.005</v>
      </c>
      <c r="S55" s="15" t="str">
        <f ca="1">IFERROR(__xludf.dummyfunction("VLOOKUP(R55, IMPORTRANGE(""https://docs.google.com/spreadsheets/d/1yDAaXNsi4Mr5FtRQL4tbmSdIzhx6_m4wkOD7IG-k_eo/edit#gid=1336395716"", ""Science!M:N""), 2, FALSE)"),"(LU006671.005); Default - Evaluate")</f>
        <v>(LU006671.005); Default - Evaluate</v>
      </c>
      <c r="T55" s="1" t="str">
        <f t="shared" si="11"/>
        <v>LU006671.006</v>
      </c>
      <c r="U55" s="15" t="str">
        <f ca="1">IFERROR(__xludf.dummyfunction("VLOOKUP(T55, IMPORTRANGE(""https://docs.google.com/spreadsheets/d/1yDAaXNsi4Mr5FtRQL4tbmSdIzhx6_m4wkOD7IG-k_eo/edit#gid=1336395716"", ""Science!M:N""), 2, FALSE)"),"(LU006671.006); Default - Create")</f>
        <v>(LU006671.006); Default - Create</v>
      </c>
      <c r="V55" s="16" t="str">
        <f ca="1">IFERROR(__xludf.dummyfunction("ArrayFormula(VLOOKUP(G55, IMPORTRANGE(""https://docs.google.com/spreadsheets/d/1p7R4vtkWt5VOBim4ltsDG9KTzSjrtKXsMtQGXPHyND0/edit#gid=795171502"", ""'Filter 30_05_2024'!A1:M2000""), {2, 3, 4, 5,6,7,8,9,10,11,12,13}, 0))"),"#N/A")</f>
        <v>#N/A</v>
      </c>
      <c r="W55" s="16" t="str">
        <f ca="1">IFERROR(__xludf.dummyfunction("""COMPUTED_VALUE"""),"#N/A")</f>
        <v>#N/A</v>
      </c>
      <c r="X55" s="16" t="str">
        <f ca="1">IFERROR(__xludf.dummyfunction("""COMPUTED_VALUE"""),"#N/A")</f>
        <v>#N/A</v>
      </c>
      <c r="Y55" s="16" t="str">
        <f ca="1">IFERROR(__xludf.dummyfunction("""COMPUTED_VALUE"""),"#N/A")</f>
        <v>#N/A</v>
      </c>
      <c r="Z55" s="16" t="str">
        <f ca="1">IFERROR(__xludf.dummyfunction("""COMPUTED_VALUE"""),"#N/A")</f>
        <v>#N/A</v>
      </c>
      <c r="AA55" s="17" t="str">
        <f ca="1">IFERROR(__xludf.dummyfunction("""COMPUTED_VALUE"""),"#N/A")</f>
        <v>#N/A</v>
      </c>
      <c r="AB55" s="17" t="str">
        <f ca="1">IFERROR(__xludf.dummyfunction("""COMPUTED_VALUE"""),"#N/A")</f>
        <v>#N/A</v>
      </c>
      <c r="AC55" s="17" t="str">
        <f ca="1">IFERROR(__xludf.dummyfunction("""COMPUTED_VALUE"""),"#N/A")</f>
        <v>#N/A</v>
      </c>
      <c r="AD55" s="2" t="str">
        <f ca="1">IFERROR(__xludf.dummyfunction("""COMPUTED_VALUE"""),"#N/A")</f>
        <v>#N/A</v>
      </c>
      <c r="AE55" s="2" t="str">
        <f ca="1">IFERROR(__xludf.dummyfunction("""COMPUTED_VALUE"""),"#N/A")</f>
        <v>#N/A</v>
      </c>
      <c r="AF55" s="2" t="str">
        <f ca="1">IFERROR(__xludf.dummyfunction("""COMPUTED_VALUE"""),"#N/A")</f>
        <v>#N/A</v>
      </c>
      <c r="AG55" s="2" t="str">
        <f ca="1">IFERROR(__xludf.dummyfunction("""COMPUTED_VALUE"""),"#N/A")</f>
        <v>#N/A</v>
      </c>
    </row>
    <row r="56" spans="1:33" ht="27.6">
      <c r="A56" s="1"/>
      <c r="B56" s="1" t="s">
        <v>29</v>
      </c>
      <c r="C56" s="13">
        <v>8</v>
      </c>
      <c r="D56" s="2" t="s">
        <v>1590</v>
      </c>
      <c r="E56" s="1" t="s">
        <v>1283</v>
      </c>
      <c r="F56" s="1" t="s">
        <v>1591</v>
      </c>
      <c r="G56" s="14" t="s">
        <v>1594</v>
      </c>
      <c r="H56" s="18" t="str">
        <f ca="1">IFERROR(__xludf.dummyfunction("IFERROR(
  VLOOKUP(G56, IMPORTRANGE(""https://docs.google.com/spreadsheets/d/14deopnvwcrKtEGCKuYXdUHJbeLDZlkiSSWWT0g7x2pM/edit#gid=849066331"", ""LU List Maths (Filter)!A:B""), 2, FALSE),
  IFERROR(
    VLOOKUP(G56, IMPORTRANGE(""https://docs.google.com/s"&amp;"preadsheets/d/14deopnvwcrKtEGCKuYXdUHJbeLDZlkiSSWWT0g7x2pM/edit#gid=849066331"", ""LU List Science (Filter)!A:B""), 2, FALSE),
    ""Not Found""
  )
)
"),"Importance of mushrooms and yeast in food industry")</f>
        <v>Importance of mushrooms and yeast in food industry</v>
      </c>
      <c r="I56" s="2" t="s">
        <v>1595</v>
      </c>
      <c r="J56" s="1" t="str">
        <f t="shared" si="6"/>
        <v>LU006672.001</v>
      </c>
      <c r="K56" s="1" t="str">
        <f ca="1">IFERROR(__xludf.dummyfunction("VLOOKUP(J56, IMPORTRANGE(""https://docs.google.com/spreadsheets/d/1yDAaXNsi4Mr5FtRQL4tbmSdIzhx6_m4wkOD7IG-k_eo/edit#gid=1336395716"", ""Science!M:N""), 2, FALSE)"),"(LU006672.001); Default - Remember")</f>
        <v>(LU006672.001); Default - Remember</v>
      </c>
      <c r="L56" s="1" t="str">
        <f t="shared" si="7"/>
        <v>LU006672.002</v>
      </c>
      <c r="M56" s="1" t="str">
        <f ca="1">IFERROR(__xludf.dummyfunction("VLOOKUP(L56, IMPORTRANGE(""https://docs.google.com/spreadsheets/d/1yDAaXNsi4Mr5FtRQL4tbmSdIzhx6_m4wkOD7IG-k_eo/edit#gid=1336395716"", ""Science!M:N""), 2, FALSE)"),"(LU006672.002); Default - Understand")</f>
        <v>(LU006672.002); Default - Understand</v>
      </c>
      <c r="N56" s="1" t="str">
        <f t="shared" si="8"/>
        <v>LU006672.003</v>
      </c>
      <c r="O56" s="1" t="str">
        <f ca="1">IFERROR(__xludf.dummyfunction("VLOOKUP(N56, IMPORTRANGE(""https://docs.google.com/spreadsheets/d/1yDAaXNsi4Mr5FtRQL4tbmSdIzhx6_m4wkOD7IG-k_eo/edit#gid=1336395716"", ""Science!M:N""), 2, FALSE)"),"(LU006672.003); Default - Apply")</f>
        <v>(LU006672.003); Default - Apply</v>
      </c>
      <c r="P56" s="1" t="str">
        <f t="shared" si="9"/>
        <v>LU006672.004</v>
      </c>
      <c r="Q56" s="15" t="str">
        <f ca="1">IFERROR(__xludf.dummyfunction("VLOOKUP(P56, IMPORTRANGE(""https://docs.google.com/spreadsheets/d/1yDAaXNsi4Mr5FtRQL4tbmSdIzhx6_m4wkOD7IG-k_eo/edit#gid=1336395716"", ""Science!M:N""), 2, FALSE)"),"(LU006672.004); Default - Analyse")</f>
        <v>(LU006672.004); Default - Analyse</v>
      </c>
      <c r="R56" s="1" t="str">
        <f t="shared" si="10"/>
        <v>LU006672.005</v>
      </c>
      <c r="S56" s="15" t="str">
        <f ca="1">IFERROR(__xludf.dummyfunction("VLOOKUP(R56, IMPORTRANGE(""https://docs.google.com/spreadsheets/d/1yDAaXNsi4Mr5FtRQL4tbmSdIzhx6_m4wkOD7IG-k_eo/edit#gid=1336395716"", ""Science!M:N""), 2, FALSE)"),"(LU006672.005); Default - Evaluate")</f>
        <v>(LU006672.005); Default - Evaluate</v>
      </c>
      <c r="T56" s="1" t="str">
        <f t="shared" si="11"/>
        <v>LU006672.006</v>
      </c>
      <c r="U56" s="15" t="str">
        <f ca="1">IFERROR(__xludf.dummyfunction("VLOOKUP(T56, IMPORTRANGE(""https://docs.google.com/spreadsheets/d/1yDAaXNsi4Mr5FtRQL4tbmSdIzhx6_m4wkOD7IG-k_eo/edit#gid=1336395716"", ""Science!M:N""), 2, FALSE)"),"(LU006672.006); Default - Create")</f>
        <v>(LU006672.006); Default - Create</v>
      </c>
      <c r="V56" s="16" t="str">
        <f ca="1">IFERROR(__xludf.dummyfunction("ArrayFormula(VLOOKUP(G56, IMPORTRANGE(""https://docs.google.com/spreadsheets/d/1p7R4vtkWt5VOBim4ltsDG9KTzSjrtKXsMtQGXPHyND0/edit#gid=795171502"", ""'Filter 30_05_2024'!A1:M2000""), {2, 3, 4, 5,6,7,8,9,10,11,12,13}, 0))"),"#N/A")</f>
        <v>#N/A</v>
      </c>
      <c r="W56" s="16" t="str">
        <f ca="1">IFERROR(__xludf.dummyfunction("""COMPUTED_VALUE"""),"#N/A")</f>
        <v>#N/A</v>
      </c>
      <c r="X56" s="16" t="str">
        <f ca="1">IFERROR(__xludf.dummyfunction("""COMPUTED_VALUE"""),"#N/A")</f>
        <v>#N/A</v>
      </c>
      <c r="Y56" s="16" t="str">
        <f ca="1">IFERROR(__xludf.dummyfunction("""COMPUTED_VALUE"""),"#N/A")</f>
        <v>#N/A</v>
      </c>
      <c r="Z56" s="16" t="str">
        <f ca="1">IFERROR(__xludf.dummyfunction("""COMPUTED_VALUE"""),"#N/A")</f>
        <v>#N/A</v>
      </c>
      <c r="AA56" s="17" t="str">
        <f ca="1">IFERROR(__xludf.dummyfunction("""COMPUTED_VALUE"""),"#N/A")</f>
        <v>#N/A</v>
      </c>
      <c r="AB56" s="17" t="str">
        <f ca="1">IFERROR(__xludf.dummyfunction("""COMPUTED_VALUE"""),"#N/A")</f>
        <v>#N/A</v>
      </c>
      <c r="AC56" s="17" t="str">
        <f ca="1">IFERROR(__xludf.dummyfunction("""COMPUTED_VALUE"""),"#N/A")</f>
        <v>#N/A</v>
      </c>
      <c r="AD56" s="2" t="str">
        <f ca="1">IFERROR(__xludf.dummyfunction("""COMPUTED_VALUE"""),"#N/A")</f>
        <v>#N/A</v>
      </c>
      <c r="AE56" s="2" t="str">
        <f ca="1">IFERROR(__xludf.dummyfunction("""COMPUTED_VALUE"""),"#N/A")</f>
        <v>#N/A</v>
      </c>
      <c r="AF56" s="2" t="str">
        <f ca="1">IFERROR(__xludf.dummyfunction("""COMPUTED_VALUE"""),"#N/A")</f>
        <v>#N/A</v>
      </c>
      <c r="AG56" s="2" t="str">
        <f ca="1">IFERROR(__xludf.dummyfunction("""COMPUTED_VALUE"""),"#N/A")</f>
        <v>#N/A</v>
      </c>
    </row>
    <row r="57" spans="1:33" ht="41.4">
      <c r="A57" s="1"/>
      <c r="B57" s="1" t="s">
        <v>29</v>
      </c>
      <c r="C57" s="13">
        <v>8</v>
      </c>
      <c r="D57" s="2" t="s">
        <v>1590</v>
      </c>
      <c r="E57" s="1" t="s">
        <v>1283</v>
      </c>
      <c r="F57" s="1" t="s">
        <v>1596</v>
      </c>
      <c r="G57" s="14" t="s">
        <v>1597</v>
      </c>
      <c r="H57" s="18" t="str">
        <f ca="1">IFERROR(__xludf.dummyfunction("IFERROR(
  VLOOKUP(G57, IMPORTRANGE(""https://docs.google.com/spreadsheets/d/14deopnvwcrKtEGCKuYXdUHJbeLDZlkiSSWWT0g7x2pM/edit#gid=849066331"", ""LU List Maths (Filter)!A:B""), 2, FALSE),
  IFERROR(
    VLOOKUP(G57, IMPORTRANGE(""https://docs.google.com/s"&amp;"preadsheets/d/14deopnvwcrKtEGCKuYXdUHJbeLDZlkiSSWWT0g7x2pM/edit#gid=849066331"", ""LU List Science (Filter)!A:B""), 2, FALSE),
    ""Not Found""
  )
)
"),"Agriculture, cultivated crops (food-crops and cash crops) and crops grown in India")</f>
        <v>Agriculture, cultivated crops (food-crops and cash crops) and crops grown in India</v>
      </c>
      <c r="I57" s="2" t="s">
        <v>1598</v>
      </c>
      <c r="J57" s="1" t="str">
        <f t="shared" si="6"/>
        <v>LU006673.001</v>
      </c>
      <c r="K57" s="1" t="str">
        <f ca="1">IFERROR(__xludf.dummyfunction("VLOOKUP(J57, IMPORTRANGE(""https://docs.google.com/spreadsheets/d/1yDAaXNsi4Mr5FtRQL4tbmSdIzhx6_m4wkOD7IG-k_eo/edit#gid=1336395716"", ""Science!M:N""), 2, FALSE)"),"(LU006673.001); Default - Remember")</f>
        <v>(LU006673.001); Default - Remember</v>
      </c>
      <c r="L57" s="1" t="str">
        <f t="shared" si="7"/>
        <v>LU006673.002</v>
      </c>
      <c r="M57" s="1" t="str">
        <f ca="1">IFERROR(__xludf.dummyfunction("VLOOKUP(L57, IMPORTRANGE(""https://docs.google.com/spreadsheets/d/1yDAaXNsi4Mr5FtRQL4tbmSdIzhx6_m4wkOD7IG-k_eo/edit#gid=1336395716"", ""Science!M:N""), 2, FALSE)"),"(LU006673.002); Default - Understand")</f>
        <v>(LU006673.002); Default - Understand</v>
      </c>
      <c r="N57" s="1" t="str">
        <f t="shared" si="8"/>
        <v>LU006673.003</v>
      </c>
      <c r="O57" s="1" t="str">
        <f ca="1">IFERROR(__xludf.dummyfunction("VLOOKUP(N57, IMPORTRANGE(""https://docs.google.com/spreadsheets/d/1yDAaXNsi4Mr5FtRQL4tbmSdIzhx6_m4wkOD7IG-k_eo/edit#gid=1336395716"", ""Science!M:N""), 2, FALSE)"),"(LU006673.003); Default - Apply")</f>
        <v>(LU006673.003); Default - Apply</v>
      </c>
      <c r="P57" s="1" t="str">
        <f t="shared" si="9"/>
        <v>LU006673.004</v>
      </c>
      <c r="Q57" s="15" t="str">
        <f ca="1">IFERROR(__xludf.dummyfunction("VLOOKUP(P57, IMPORTRANGE(""https://docs.google.com/spreadsheets/d/1yDAaXNsi4Mr5FtRQL4tbmSdIzhx6_m4wkOD7IG-k_eo/edit#gid=1336395716"", ""Science!M:N""), 2, FALSE)"),"(LU006673.004); Default - Analyse")</f>
        <v>(LU006673.004); Default - Analyse</v>
      </c>
      <c r="R57" s="1" t="str">
        <f t="shared" si="10"/>
        <v>LU006673.005</v>
      </c>
      <c r="S57" s="15" t="str">
        <f ca="1">IFERROR(__xludf.dummyfunction("VLOOKUP(R57, IMPORTRANGE(""https://docs.google.com/spreadsheets/d/1yDAaXNsi4Mr5FtRQL4tbmSdIzhx6_m4wkOD7IG-k_eo/edit#gid=1336395716"", ""Science!M:N""), 2, FALSE)"),"(LU006673.005); Default - Evaluate")</f>
        <v>(LU006673.005); Default - Evaluate</v>
      </c>
      <c r="T57" s="1" t="str">
        <f t="shared" si="11"/>
        <v>LU006673.006</v>
      </c>
      <c r="U57" s="15" t="str">
        <f ca="1">IFERROR(__xludf.dummyfunction("VLOOKUP(T57, IMPORTRANGE(""https://docs.google.com/spreadsheets/d/1yDAaXNsi4Mr5FtRQL4tbmSdIzhx6_m4wkOD7IG-k_eo/edit#gid=1336395716"", ""Science!M:N""), 2, FALSE)"),"(LU006673.006); Default - Create")</f>
        <v>(LU006673.006); Default - Create</v>
      </c>
      <c r="V57" s="16" t="str">
        <f ca="1">IFERROR(__xludf.dummyfunction("ArrayFormula(VLOOKUP(G57, IMPORTRANGE(""https://docs.google.com/spreadsheets/d/1p7R4vtkWt5VOBim4ltsDG9KTzSjrtKXsMtQGXPHyND0/edit#gid=795171502"", ""'Filter 30_05_2024'!A1:M2000""), {2, 3, 4, 5,6,7,8,9,10,11,12,13}, 0))"),"#N/A")</f>
        <v>#N/A</v>
      </c>
      <c r="W57" s="16" t="str">
        <f ca="1">IFERROR(__xludf.dummyfunction("""COMPUTED_VALUE"""),"#N/A")</f>
        <v>#N/A</v>
      </c>
      <c r="X57" s="16" t="str">
        <f ca="1">IFERROR(__xludf.dummyfunction("""COMPUTED_VALUE"""),"#N/A")</f>
        <v>#N/A</v>
      </c>
      <c r="Y57" s="16" t="str">
        <f ca="1">IFERROR(__xludf.dummyfunction("""COMPUTED_VALUE"""),"#N/A")</f>
        <v>#N/A</v>
      </c>
      <c r="Z57" s="16" t="str">
        <f ca="1">IFERROR(__xludf.dummyfunction("""COMPUTED_VALUE"""),"#N/A")</f>
        <v>#N/A</v>
      </c>
      <c r="AA57" s="17" t="str">
        <f ca="1">IFERROR(__xludf.dummyfunction("""COMPUTED_VALUE"""),"#N/A")</f>
        <v>#N/A</v>
      </c>
      <c r="AB57" s="17" t="str">
        <f ca="1">IFERROR(__xludf.dummyfunction("""COMPUTED_VALUE"""),"#N/A")</f>
        <v>#N/A</v>
      </c>
      <c r="AC57" s="17" t="str">
        <f ca="1">IFERROR(__xludf.dummyfunction("""COMPUTED_VALUE"""),"#N/A")</f>
        <v>#N/A</v>
      </c>
      <c r="AD57" s="2" t="str">
        <f ca="1">IFERROR(__xludf.dummyfunction("""COMPUTED_VALUE"""),"#N/A")</f>
        <v>#N/A</v>
      </c>
      <c r="AE57" s="2" t="str">
        <f ca="1">IFERROR(__xludf.dummyfunction("""COMPUTED_VALUE"""),"#N/A")</f>
        <v>#N/A</v>
      </c>
      <c r="AF57" s="2" t="str">
        <f ca="1">IFERROR(__xludf.dummyfunction("""COMPUTED_VALUE"""),"#N/A")</f>
        <v>#N/A</v>
      </c>
      <c r="AG57" s="2" t="str">
        <f ca="1">IFERROR(__xludf.dummyfunction("""COMPUTED_VALUE"""),"#N/A")</f>
        <v>#N/A</v>
      </c>
    </row>
    <row r="58" spans="1:33" ht="27.6">
      <c r="A58" s="1"/>
      <c r="B58" s="1" t="s">
        <v>29</v>
      </c>
      <c r="C58" s="13">
        <v>8</v>
      </c>
      <c r="D58" s="2" t="s">
        <v>1590</v>
      </c>
      <c r="E58" s="1" t="s">
        <v>1283</v>
      </c>
      <c r="F58" s="1" t="s">
        <v>1596</v>
      </c>
      <c r="G58" s="14" t="s">
        <v>1599</v>
      </c>
      <c r="H58" s="18" t="str">
        <f ca="1">IFERROR(__xludf.dummyfunction("IFERROR(
  VLOOKUP(G58, IMPORTRANGE(""https://docs.google.com/spreadsheets/d/14deopnvwcrKtEGCKuYXdUHJbeLDZlkiSSWWT0g7x2pM/edit#gid=849066331"", ""LU List Maths (Filter)!A:B""), 2, FALSE),
  IFERROR(
    VLOOKUP(G58, IMPORTRANGE(""https://docs.google.com/s"&amp;"preadsheets/d/14deopnvwcrKtEGCKuYXdUHJbeLDZlkiSSWWT0g7x2pM/edit#gid=849066331"", ""LU List Science (Filter)!A:B""), 2, FALSE),
    ""Not Found""
  )
)
"),"Organic farming and green revolution")</f>
        <v>Organic farming and green revolution</v>
      </c>
      <c r="I58" s="2" t="s">
        <v>1600</v>
      </c>
      <c r="J58" s="1" t="str">
        <f t="shared" si="6"/>
        <v>LU006674.001</v>
      </c>
      <c r="K58" s="1" t="str">
        <f ca="1">IFERROR(__xludf.dummyfunction("VLOOKUP(J58, IMPORTRANGE(""https://docs.google.com/spreadsheets/d/1yDAaXNsi4Mr5FtRQL4tbmSdIzhx6_m4wkOD7IG-k_eo/edit#gid=1336395716"", ""Science!M:N""), 2, FALSE)"),"(LU006674.001); Default - Remember")</f>
        <v>(LU006674.001); Default - Remember</v>
      </c>
      <c r="L58" s="1" t="str">
        <f t="shared" si="7"/>
        <v>LU006674.002</v>
      </c>
      <c r="M58" s="1" t="str">
        <f ca="1">IFERROR(__xludf.dummyfunction("VLOOKUP(L58, IMPORTRANGE(""https://docs.google.com/spreadsheets/d/1yDAaXNsi4Mr5FtRQL4tbmSdIzhx6_m4wkOD7IG-k_eo/edit#gid=1336395716"", ""Science!M:N""), 2, FALSE)"),"(LU006674.002); Default - Understand")</f>
        <v>(LU006674.002); Default - Understand</v>
      </c>
      <c r="N58" s="1" t="str">
        <f t="shared" si="8"/>
        <v>LU006674.003</v>
      </c>
      <c r="O58" s="1" t="str">
        <f ca="1">IFERROR(__xludf.dummyfunction("VLOOKUP(N58, IMPORTRANGE(""https://docs.google.com/spreadsheets/d/1yDAaXNsi4Mr5FtRQL4tbmSdIzhx6_m4wkOD7IG-k_eo/edit#gid=1336395716"", ""Science!M:N""), 2, FALSE)"),"(LU006674.003); Default - Apply")</f>
        <v>(LU006674.003); Default - Apply</v>
      </c>
      <c r="P58" s="1" t="str">
        <f t="shared" si="9"/>
        <v>LU006674.004</v>
      </c>
      <c r="Q58" s="15" t="str">
        <f ca="1">IFERROR(__xludf.dummyfunction("VLOOKUP(P58, IMPORTRANGE(""https://docs.google.com/spreadsheets/d/1yDAaXNsi4Mr5FtRQL4tbmSdIzhx6_m4wkOD7IG-k_eo/edit#gid=1336395716"", ""Science!M:N""), 2, FALSE)"),"(LU006674.004); Default - Analyse")</f>
        <v>(LU006674.004); Default - Analyse</v>
      </c>
      <c r="R58" s="1" t="str">
        <f t="shared" si="10"/>
        <v>LU006674.005</v>
      </c>
      <c r="S58" s="15" t="str">
        <f ca="1">IFERROR(__xludf.dummyfunction("VLOOKUP(R58, IMPORTRANGE(""https://docs.google.com/spreadsheets/d/1yDAaXNsi4Mr5FtRQL4tbmSdIzhx6_m4wkOD7IG-k_eo/edit#gid=1336395716"", ""Science!M:N""), 2, FALSE)"),"(LU006674.005); Default - Evaluate")</f>
        <v>(LU006674.005); Default - Evaluate</v>
      </c>
      <c r="T58" s="1" t="str">
        <f t="shared" si="11"/>
        <v>LU006674.006</v>
      </c>
      <c r="U58" s="15" t="str">
        <f ca="1">IFERROR(__xludf.dummyfunction("VLOOKUP(T58, IMPORTRANGE(""https://docs.google.com/spreadsheets/d/1yDAaXNsi4Mr5FtRQL4tbmSdIzhx6_m4wkOD7IG-k_eo/edit#gid=1336395716"", ""Science!M:N""), 2, FALSE)"),"(LU006674.006); Default - Create")</f>
        <v>(LU006674.006); Default - Create</v>
      </c>
      <c r="V58" s="16" t="str">
        <f ca="1">IFERROR(__xludf.dummyfunction("ArrayFormula(VLOOKUP(G58, IMPORTRANGE(""https://docs.google.com/spreadsheets/d/1p7R4vtkWt5VOBim4ltsDG9KTzSjrtKXsMtQGXPHyND0/edit#gid=795171502"", ""'Filter 30_05_2024'!A1:M2000""), {2, 3, 4, 5,6,7,8,9,10,11,12,13}, 0))"),"#N/A")</f>
        <v>#N/A</v>
      </c>
      <c r="W58" s="16" t="str">
        <f ca="1">IFERROR(__xludf.dummyfunction("""COMPUTED_VALUE"""),"#N/A")</f>
        <v>#N/A</v>
      </c>
      <c r="X58" s="16" t="str">
        <f ca="1">IFERROR(__xludf.dummyfunction("""COMPUTED_VALUE"""),"#N/A")</f>
        <v>#N/A</v>
      </c>
      <c r="Y58" s="16" t="str">
        <f ca="1">IFERROR(__xludf.dummyfunction("""COMPUTED_VALUE"""),"#N/A")</f>
        <v>#N/A</v>
      </c>
      <c r="Z58" s="16" t="str">
        <f ca="1">IFERROR(__xludf.dummyfunction("""COMPUTED_VALUE"""),"#N/A")</f>
        <v>#N/A</v>
      </c>
      <c r="AA58" s="17" t="str">
        <f ca="1">IFERROR(__xludf.dummyfunction("""COMPUTED_VALUE"""),"#N/A")</f>
        <v>#N/A</v>
      </c>
      <c r="AB58" s="17" t="str">
        <f ca="1">IFERROR(__xludf.dummyfunction("""COMPUTED_VALUE"""),"#N/A")</f>
        <v>#N/A</v>
      </c>
      <c r="AC58" s="17" t="str">
        <f ca="1">IFERROR(__xludf.dummyfunction("""COMPUTED_VALUE"""),"#N/A")</f>
        <v>#N/A</v>
      </c>
      <c r="AD58" s="2" t="str">
        <f ca="1">IFERROR(__xludf.dummyfunction("""COMPUTED_VALUE"""),"#N/A")</f>
        <v>#N/A</v>
      </c>
      <c r="AE58" s="2" t="str">
        <f ca="1">IFERROR(__xludf.dummyfunction("""COMPUTED_VALUE"""),"#N/A")</f>
        <v>#N/A</v>
      </c>
      <c r="AF58" s="2" t="str">
        <f ca="1">IFERROR(__xludf.dummyfunction("""COMPUTED_VALUE"""),"#N/A")</f>
        <v>#N/A</v>
      </c>
      <c r="AG58" s="2" t="str">
        <f ca="1">IFERROR(__xludf.dummyfunction("""COMPUTED_VALUE"""),"#N/A")</f>
        <v>#N/A</v>
      </c>
    </row>
    <row r="59" spans="1:33" ht="41.4">
      <c r="A59" s="1"/>
      <c r="B59" s="1" t="s">
        <v>29</v>
      </c>
      <c r="C59" s="13">
        <v>8</v>
      </c>
      <c r="D59" s="2" t="s">
        <v>1590</v>
      </c>
      <c r="E59" s="1" t="s">
        <v>1283</v>
      </c>
      <c r="F59" s="1" t="s">
        <v>1601</v>
      </c>
      <c r="G59" s="14" t="s">
        <v>1602</v>
      </c>
      <c r="H59" s="18" t="str">
        <f ca="1">IFERROR(__xludf.dummyfunction("IFERROR(
  VLOOKUP(G59, IMPORTRANGE(""https://docs.google.com/spreadsheets/d/14deopnvwcrKtEGCKuYXdUHJbeLDZlkiSSWWT0g7x2pM/edit#gid=849066331"", ""LU List Maths (Filter)!A:B""), 2, FALSE),
  IFERROR(
    VLOOKUP(G59, IMPORTRANGE(""https://docs.google.com/s"&amp;"preadsheets/d/14deopnvwcrKtEGCKuYXdUHJbeLDZlkiSSWWT0g7x2pM/edit#gid=849066331"", ""LU List Science (Filter)!A:B""), 2, FALSE),
    ""Not Found""
  )
)
"),"Horticulture- vegetables,
fruits, decorative plants and
flowers")</f>
        <v>Horticulture- vegetables,
fruits, decorative plants and
flowers</v>
      </c>
      <c r="I59" s="2" t="s">
        <v>1598</v>
      </c>
      <c r="J59" s="1" t="str">
        <f t="shared" si="6"/>
        <v>LU006675.001</v>
      </c>
      <c r="K59" s="1" t="str">
        <f ca="1">IFERROR(__xludf.dummyfunction("VLOOKUP(J59, IMPORTRANGE(""https://docs.google.com/spreadsheets/d/1yDAaXNsi4Mr5FtRQL4tbmSdIzhx6_m4wkOD7IG-k_eo/edit#gid=1336395716"", ""Science!M:N""), 2, FALSE)"),"(LU006675.001); Default - Remember")</f>
        <v>(LU006675.001); Default - Remember</v>
      </c>
      <c r="L59" s="1" t="str">
        <f t="shared" si="7"/>
        <v>LU006675.002</v>
      </c>
      <c r="M59" s="1" t="str">
        <f ca="1">IFERROR(__xludf.dummyfunction("VLOOKUP(L59, IMPORTRANGE(""https://docs.google.com/spreadsheets/d/1yDAaXNsi4Mr5FtRQL4tbmSdIzhx6_m4wkOD7IG-k_eo/edit#gid=1336395716"", ""Science!M:N""), 2, FALSE)"),"(LU006675.002); Default - Understand")</f>
        <v>(LU006675.002); Default - Understand</v>
      </c>
      <c r="N59" s="1" t="str">
        <f t="shared" si="8"/>
        <v>LU006675.003</v>
      </c>
      <c r="O59" s="1" t="str">
        <f ca="1">IFERROR(__xludf.dummyfunction("VLOOKUP(N59, IMPORTRANGE(""https://docs.google.com/spreadsheets/d/1yDAaXNsi4Mr5FtRQL4tbmSdIzhx6_m4wkOD7IG-k_eo/edit#gid=1336395716"", ""Science!M:N""), 2, FALSE)"),"(LU006675.003); Default - Apply")</f>
        <v>(LU006675.003); Default - Apply</v>
      </c>
      <c r="P59" s="1" t="str">
        <f t="shared" si="9"/>
        <v>LU006675.004</v>
      </c>
      <c r="Q59" s="15" t="str">
        <f ca="1">IFERROR(__xludf.dummyfunction("VLOOKUP(P59, IMPORTRANGE(""https://docs.google.com/spreadsheets/d/1yDAaXNsi4Mr5FtRQL4tbmSdIzhx6_m4wkOD7IG-k_eo/edit#gid=1336395716"", ""Science!M:N""), 2, FALSE)"),"(LU006675.004); Default - Analyse")</f>
        <v>(LU006675.004); Default - Analyse</v>
      </c>
      <c r="R59" s="1" t="str">
        <f t="shared" si="10"/>
        <v>LU006675.005</v>
      </c>
      <c r="S59" s="15" t="str">
        <f ca="1">IFERROR(__xludf.dummyfunction("VLOOKUP(R59, IMPORTRANGE(""https://docs.google.com/spreadsheets/d/1yDAaXNsi4Mr5FtRQL4tbmSdIzhx6_m4wkOD7IG-k_eo/edit#gid=1336395716"", ""Science!M:N""), 2, FALSE)"),"(LU006675.005); Default - Evaluate")</f>
        <v>(LU006675.005); Default - Evaluate</v>
      </c>
      <c r="T59" s="1" t="str">
        <f t="shared" si="11"/>
        <v>LU006675.006</v>
      </c>
      <c r="U59" s="15" t="str">
        <f ca="1">IFERROR(__xludf.dummyfunction("VLOOKUP(T59, IMPORTRANGE(""https://docs.google.com/spreadsheets/d/1yDAaXNsi4Mr5FtRQL4tbmSdIzhx6_m4wkOD7IG-k_eo/edit#gid=1336395716"", ""Science!M:N""), 2, FALSE)"),"(LU006675.006); Default - Create")</f>
        <v>(LU006675.006); Default - Create</v>
      </c>
      <c r="V59" s="16" t="str">
        <f ca="1">IFERROR(__xludf.dummyfunction("ArrayFormula(VLOOKUP(G59, IMPORTRANGE(""https://docs.google.com/spreadsheets/d/1p7R4vtkWt5VOBim4ltsDG9KTzSjrtKXsMtQGXPHyND0/edit#gid=795171502"", ""'Filter 30_05_2024'!A1:M2000""), {2, 3, 4, 5,6,7,8,9,10,11,12,13}, 0))"),"#N/A")</f>
        <v>#N/A</v>
      </c>
      <c r="W59" s="16" t="str">
        <f ca="1">IFERROR(__xludf.dummyfunction("""COMPUTED_VALUE"""),"#N/A")</f>
        <v>#N/A</v>
      </c>
      <c r="X59" s="16" t="str">
        <f ca="1">IFERROR(__xludf.dummyfunction("""COMPUTED_VALUE"""),"#N/A")</f>
        <v>#N/A</v>
      </c>
      <c r="Y59" s="16" t="str">
        <f ca="1">IFERROR(__xludf.dummyfunction("""COMPUTED_VALUE"""),"#N/A")</f>
        <v>#N/A</v>
      </c>
      <c r="Z59" s="16" t="str">
        <f ca="1">IFERROR(__xludf.dummyfunction("""COMPUTED_VALUE"""),"#N/A")</f>
        <v>#N/A</v>
      </c>
      <c r="AA59" s="17" t="str">
        <f ca="1">IFERROR(__xludf.dummyfunction("""COMPUTED_VALUE"""),"#N/A")</f>
        <v>#N/A</v>
      </c>
      <c r="AB59" s="17" t="str">
        <f ca="1">IFERROR(__xludf.dummyfunction("""COMPUTED_VALUE"""),"#N/A")</f>
        <v>#N/A</v>
      </c>
      <c r="AC59" s="17" t="str">
        <f ca="1">IFERROR(__xludf.dummyfunction("""COMPUTED_VALUE"""),"#N/A")</f>
        <v>#N/A</v>
      </c>
      <c r="AD59" s="2" t="str">
        <f ca="1">IFERROR(__xludf.dummyfunction("""COMPUTED_VALUE"""),"#N/A")</f>
        <v>#N/A</v>
      </c>
      <c r="AE59" s="2" t="str">
        <f ca="1">IFERROR(__xludf.dummyfunction("""COMPUTED_VALUE"""),"#N/A")</f>
        <v>#N/A</v>
      </c>
      <c r="AF59" s="2" t="str">
        <f ca="1">IFERROR(__xludf.dummyfunction("""COMPUTED_VALUE"""),"#N/A")</f>
        <v>#N/A</v>
      </c>
      <c r="AG59" s="2" t="str">
        <f ca="1">IFERROR(__xludf.dummyfunction("""COMPUTED_VALUE"""),"#N/A")</f>
        <v>#N/A</v>
      </c>
    </row>
    <row r="60" spans="1:33" ht="41.4">
      <c r="A60" s="1"/>
      <c r="B60" s="1" t="s">
        <v>29</v>
      </c>
      <c r="C60" s="13">
        <v>8</v>
      </c>
      <c r="D60" s="2" t="s">
        <v>1590</v>
      </c>
      <c r="E60" s="1" t="s">
        <v>1283</v>
      </c>
      <c r="F60" s="1" t="s">
        <v>1603</v>
      </c>
      <c r="G60" s="14" t="s">
        <v>1604</v>
      </c>
      <c r="H60" s="18" t="str">
        <f ca="1">IFERROR(__xludf.dummyfunction("IFERROR(
  VLOOKUP(G60, IMPORTRANGE(""https://docs.google.com/spreadsheets/d/14deopnvwcrKtEGCKuYXdUHJbeLDZlkiSSWWT0g7x2pM/edit#gid=849066331"", ""LU List Maths (Filter)!A:B""), 2, FALSE),
  IFERROR(
    VLOOKUP(G60, IMPORTRANGE(""https://docs.google.com/s"&amp;"preadsheets/d/14deopnvwcrKtEGCKuYXdUHJbeLDZlkiSSWWT0g7x2pM/edit#gid=849066331"", ""LU List Science (Filter)!A:B""), 2, FALSE),
    ""Not Found""
  )
)
"),"Animal husbandry, milk yielding (milch)
animals, white revolution")</f>
        <v>Animal husbandry, milk yielding (milch)
animals, white revolution</v>
      </c>
      <c r="I60" s="2" t="s">
        <v>1598</v>
      </c>
      <c r="J60" s="1" t="str">
        <f t="shared" si="6"/>
        <v>LU006676.001</v>
      </c>
      <c r="K60" s="1" t="str">
        <f ca="1">IFERROR(__xludf.dummyfunction("VLOOKUP(J60, IMPORTRANGE(""https://docs.google.com/spreadsheets/d/1yDAaXNsi4Mr5FtRQL4tbmSdIzhx6_m4wkOD7IG-k_eo/edit#gid=1336395716"", ""Science!M:N""), 2, FALSE)"),"(LU006676.001); Default - Remember")</f>
        <v>(LU006676.001); Default - Remember</v>
      </c>
      <c r="L60" s="1" t="str">
        <f t="shared" si="7"/>
        <v>LU006676.002</v>
      </c>
      <c r="M60" s="1" t="str">
        <f ca="1">IFERROR(__xludf.dummyfunction("VLOOKUP(L60, IMPORTRANGE(""https://docs.google.com/spreadsheets/d/1yDAaXNsi4Mr5FtRQL4tbmSdIzhx6_m4wkOD7IG-k_eo/edit#gid=1336395716"", ""Science!M:N""), 2, FALSE)"),"(LU006676.002); Default - Understand")</f>
        <v>(LU006676.002); Default - Understand</v>
      </c>
      <c r="N60" s="1" t="str">
        <f t="shared" si="8"/>
        <v>LU006676.003</v>
      </c>
      <c r="O60" s="1" t="str">
        <f ca="1">IFERROR(__xludf.dummyfunction("VLOOKUP(N60, IMPORTRANGE(""https://docs.google.com/spreadsheets/d/1yDAaXNsi4Mr5FtRQL4tbmSdIzhx6_m4wkOD7IG-k_eo/edit#gid=1336395716"", ""Science!M:N""), 2, FALSE)"),"(LU006676.003); Default - Apply")</f>
        <v>(LU006676.003); Default - Apply</v>
      </c>
      <c r="P60" s="1" t="str">
        <f t="shared" si="9"/>
        <v>LU006676.004</v>
      </c>
      <c r="Q60" s="15" t="str">
        <f ca="1">IFERROR(__xludf.dummyfunction("VLOOKUP(P60, IMPORTRANGE(""https://docs.google.com/spreadsheets/d/1yDAaXNsi4Mr5FtRQL4tbmSdIzhx6_m4wkOD7IG-k_eo/edit#gid=1336395716"", ""Science!M:N""), 2, FALSE)"),"(LU006676.004); Default - Analyse")</f>
        <v>(LU006676.004); Default - Analyse</v>
      </c>
      <c r="R60" s="1" t="str">
        <f t="shared" si="10"/>
        <v>LU006676.005</v>
      </c>
      <c r="S60" s="15" t="str">
        <f ca="1">IFERROR(__xludf.dummyfunction("VLOOKUP(R60, IMPORTRANGE(""https://docs.google.com/spreadsheets/d/1yDAaXNsi4Mr5FtRQL4tbmSdIzhx6_m4wkOD7IG-k_eo/edit#gid=1336395716"", ""Science!M:N""), 2, FALSE)"),"(LU006676.005); Default - Evaluate")</f>
        <v>(LU006676.005); Default - Evaluate</v>
      </c>
      <c r="T60" s="1" t="str">
        <f t="shared" si="11"/>
        <v>LU006676.006</v>
      </c>
      <c r="U60" s="15" t="str">
        <f ca="1">IFERROR(__xludf.dummyfunction("VLOOKUP(T60, IMPORTRANGE(""https://docs.google.com/spreadsheets/d/1yDAaXNsi4Mr5FtRQL4tbmSdIzhx6_m4wkOD7IG-k_eo/edit#gid=1336395716"", ""Science!M:N""), 2, FALSE)"),"(LU006676.006); Default - Create")</f>
        <v>(LU006676.006); Default - Create</v>
      </c>
      <c r="V60" s="16" t="str">
        <f ca="1">IFERROR(__xludf.dummyfunction("ArrayFormula(VLOOKUP(G60, IMPORTRANGE(""https://docs.google.com/spreadsheets/d/1p7R4vtkWt5VOBim4ltsDG9KTzSjrtKXsMtQGXPHyND0/edit#gid=795171502"", ""'Filter 30_05_2024'!A1:M2000""), {2, 3, 4, 5,6,7,8,9,10,11,12,13}, 0))"),"#N/A")</f>
        <v>#N/A</v>
      </c>
      <c r="W60" s="16" t="str">
        <f ca="1">IFERROR(__xludf.dummyfunction("""COMPUTED_VALUE"""),"#N/A")</f>
        <v>#N/A</v>
      </c>
      <c r="X60" s="16" t="str">
        <f ca="1">IFERROR(__xludf.dummyfunction("""COMPUTED_VALUE"""),"#N/A")</f>
        <v>#N/A</v>
      </c>
      <c r="Y60" s="16" t="str">
        <f ca="1">IFERROR(__xludf.dummyfunction("""COMPUTED_VALUE"""),"#N/A")</f>
        <v>#N/A</v>
      </c>
      <c r="Z60" s="16" t="str">
        <f ca="1">IFERROR(__xludf.dummyfunction("""COMPUTED_VALUE"""),"#N/A")</f>
        <v>#N/A</v>
      </c>
      <c r="AA60" s="17" t="str">
        <f ca="1">IFERROR(__xludf.dummyfunction("""COMPUTED_VALUE"""),"#N/A")</f>
        <v>#N/A</v>
      </c>
      <c r="AB60" s="17" t="str">
        <f ca="1">IFERROR(__xludf.dummyfunction("""COMPUTED_VALUE"""),"#N/A")</f>
        <v>#N/A</v>
      </c>
      <c r="AC60" s="17" t="str">
        <f ca="1">IFERROR(__xludf.dummyfunction("""COMPUTED_VALUE"""),"#N/A")</f>
        <v>#N/A</v>
      </c>
      <c r="AD60" s="2" t="str">
        <f ca="1">IFERROR(__xludf.dummyfunction("""COMPUTED_VALUE"""),"#N/A")</f>
        <v>#N/A</v>
      </c>
      <c r="AE60" s="2" t="str">
        <f ca="1">IFERROR(__xludf.dummyfunction("""COMPUTED_VALUE"""),"#N/A")</f>
        <v>#N/A</v>
      </c>
      <c r="AF60" s="2" t="str">
        <f ca="1">IFERROR(__xludf.dummyfunction("""COMPUTED_VALUE"""),"#N/A")</f>
        <v>#N/A</v>
      </c>
      <c r="AG60" s="2" t="str">
        <f ca="1">IFERROR(__xludf.dummyfunction("""COMPUTED_VALUE"""),"#N/A")</f>
        <v>#N/A</v>
      </c>
    </row>
    <row r="61" spans="1:33" ht="27.6">
      <c r="A61" s="1"/>
      <c r="B61" s="1" t="s">
        <v>29</v>
      </c>
      <c r="C61" s="13">
        <v>8</v>
      </c>
      <c r="D61" s="2" t="s">
        <v>1590</v>
      </c>
      <c r="E61" s="1" t="s">
        <v>1283</v>
      </c>
      <c r="F61" s="1" t="s">
        <v>1603</v>
      </c>
      <c r="G61" s="14" t="s">
        <v>1605</v>
      </c>
      <c r="H61" s="18" t="str">
        <f ca="1">IFERROR(__xludf.dummyfunction("IFERROR(
  VLOOKUP(G61, IMPORTRANGE(""https://docs.google.com/spreadsheets/d/14deopnvwcrKtEGCKuYXdUHJbeLDZlkiSSWWT0g7x2pM/edit#gid=849066331"", ""LU List Maths (Filter)!A:B""), 2, FALSE),
  IFERROR(
    VLOOKUP(G61, IMPORTRANGE(""https://docs.google.com/s"&amp;"preadsheets/d/14deopnvwcrKtEGCKuYXdUHJbeLDZlkiSSWWT0g7x2pM/edit#gid=849066331"", ""LU List Science (Filter)!A:B""), 2, FALSE),
    ""Not Found""
  )
)
"),"Meat providing livestock; draught animals (heavy work); poultry")</f>
        <v>Meat providing livestock; draught animals (heavy work); poultry</v>
      </c>
      <c r="I61" s="2" t="s">
        <v>1598</v>
      </c>
      <c r="J61" s="1" t="str">
        <f t="shared" si="6"/>
        <v>LU006677.001</v>
      </c>
      <c r="K61" s="1" t="str">
        <f ca="1">IFERROR(__xludf.dummyfunction("VLOOKUP(J61, IMPORTRANGE(""https://docs.google.com/spreadsheets/d/1yDAaXNsi4Mr5FtRQL4tbmSdIzhx6_m4wkOD7IG-k_eo/edit#gid=1336395716"", ""Science!M:N""), 2, FALSE)"),"(LU006677.001); Default - Remember")</f>
        <v>(LU006677.001); Default - Remember</v>
      </c>
      <c r="L61" s="1" t="str">
        <f t="shared" si="7"/>
        <v>LU006677.002</v>
      </c>
      <c r="M61" s="1" t="str">
        <f ca="1">IFERROR(__xludf.dummyfunction("VLOOKUP(L61, IMPORTRANGE(""https://docs.google.com/spreadsheets/d/1yDAaXNsi4Mr5FtRQL4tbmSdIzhx6_m4wkOD7IG-k_eo/edit#gid=1336395716"", ""Science!M:N""), 2, FALSE)"),"(LU006677.002); Default - Understand")</f>
        <v>(LU006677.002); Default - Understand</v>
      </c>
      <c r="N61" s="1" t="str">
        <f t="shared" si="8"/>
        <v>LU006677.003</v>
      </c>
      <c r="O61" s="1" t="str">
        <f ca="1">IFERROR(__xludf.dummyfunction("VLOOKUP(N61, IMPORTRANGE(""https://docs.google.com/spreadsheets/d/1yDAaXNsi4Mr5FtRQL4tbmSdIzhx6_m4wkOD7IG-k_eo/edit#gid=1336395716"", ""Science!M:N""), 2, FALSE)"),"(LU006677.003); Default - Apply")</f>
        <v>(LU006677.003); Default - Apply</v>
      </c>
      <c r="P61" s="1" t="str">
        <f t="shared" si="9"/>
        <v>LU006677.004</v>
      </c>
      <c r="Q61" s="15" t="str">
        <f ca="1">IFERROR(__xludf.dummyfunction("VLOOKUP(P61, IMPORTRANGE(""https://docs.google.com/spreadsheets/d/1yDAaXNsi4Mr5FtRQL4tbmSdIzhx6_m4wkOD7IG-k_eo/edit#gid=1336395716"", ""Science!M:N""), 2, FALSE)"),"(LU006677.004); Default - Analyse")</f>
        <v>(LU006677.004); Default - Analyse</v>
      </c>
      <c r="R61" s="1" t="str">
        <f t="shared" si="10"/>
        <v>LU006677.005</v>
      </c>
      <c r="S61" s="15" t="str">
        <f ca="1">IFERROR(__xludf.dummyfunction("VLOOKUP(R61, IMPORTRANGE(""https://docs.google.com/spreadsheets/d/1yDAaXNsi4Mr5FtRQL4tbmSdIzhx6_m4wkOD7IG-k_eo/edit#gid=1336395716"", ""Science!M:N""), 2, FALSE)"),"(LU006677.005); Default - Evaluate")</f>
        <v>(LU006677.005); Default - Evaluate</v>
      </c>
      <c r="T61" s="1" t="str">
        <f t="shared" si="11"/>
        <v>LU006677.006</v>
      </c>
      <c r="U61" s="15" t="str">
        <f ca="1">IFERROR(__xludf.dummyfunction("VLOOKUP(T61, IMPORTRANGE(""https://docs.google.com/spreadsheets/d/1yDAaXNsi4Mr5FtRQL4tbmSdIzhx6_m4wkOD7IG-k_eo/edit#gid=1336395716"", ""Science!M:N""), 2, FALSE)"),"(LU006677.006); Default - Create")</f>
        <v>(LU006677.006); Default - Create</v>
      </c>
      <c r="V61" s="16" t="str">
        <f ca="1">IFERROR(__xludf.dummyfunction("ArrayFormula(VLOOKUP(G61, IMPORTRANGE(""https://docs.google.com/spreadsheets/d/1p7R4vtkWt5VOBim4ltsDG9KTzSjrtKXsMtQGXPHyND0/edit#gid=795171502"", ""'Filter 30_05_2024'!A1:M2000""), {2, 3, 4, 5,6,7,8,9,10,11,12,13}, 0))"),"#N/A")</f>
        <v>#N/A</v>
      </c>
      <c r="W61" s="16" t="str">
        <f ca="1">IFERROR(__xludf.dummyfunction("""COMPUTED_VALUE"""),"#N/A")</f>
        <v>#N/A</v>
      </c>
      <c r="X61" s="16" t="str">
        <f ca="1">IFERROR(__xludf.dummyfunction("""COMPUTED_VALUE"""),"#N/A")</f>
        <v>#N/A</v>
      </c>
      <c r="Y61" s="16" t="str">
        <f ca="1">IFERROR(__xludf.dummyfunction("""COMPUTED_VALUE"""),"#N/A")</f>
        <v>#N/A</v>
      </c>
      <c r="Z61" s="16" t="str">
        <f ca="1">IFERROR(__xludf.dummyfunction("""COMPUTED_VALUE"""),"#N/A")</f>
        <v>#N/A</v>
      </c>
      <c r="AA61" s="17" t="str">
        <f ca="1">IFERROR(__xludf.dummyfunction("""COMPUTED_VALUE"""),"#N/A")</f>
        <v>#N/A</v>
      </c>
      <c r="AB61" s="17" t="str">
        <f ca="1">IFERROR(__xludf.dummyfunction("""COMPUTED_VALUE"""),"#N/A")</f>
        <v>#N/A</v>
      </c>
      <c r="AC61" s="17" t="str">
        <f ca="1">IFERROR(__xludf.dummyfunction("""COMPUTED_VALUE"""),"#N/A")</f>
        <v>#N/A</v>
      </c>
      <c r="AD61" s="2" t="str">
        <f ca="1">IFERROR(__xludf.dummyfunction("""COMPUTED_VALUE"""),"#N/A")</f>
        <v>#N/A</v>
      </c>
      <c r="AE61" s="2" t="str">
        <f ca="1">IFERROR(__xludf.dummyfunction("""COMPUTED_VALUE"""),"#N/A")</f>
        <v>#N/A</v>
      </c>
      <c r="AF61" s="2" t="str">
        <f ca="1">IFERROR(__xludf.dummyfunction("""COMPUTED_VALUE"""),"#N/A")</f>
        <v>#N/A</v>
      </c>
      <c r="AG61" s="2" t="str">
        <f ca="1">IFERROR(__xludf.dummyfunction("""COMPUTED_VALUE"""),"#N/A")</f>
        <v>#N/A</v>
      </c>
    </row>
    <row r="62" spans="1:33" ht="41.4">
      <c r="A62" s="1"/>
      <c r="B62" s="1" t="s">
        <v>29</v>
      </c>
      <c r="C62" s="13">
        <v>8</v>
      </c>
      <c r="D62" s="2" t="s">
        <v>1590</v>
      </c>
      <c r="E62" s="1" t="s">
        <v>1283</v>
      </c>
      <c r="F62" s="1" t="s">
        <v>1606</v>
      </c>
      <c r="G62" s="1" t="s">
        <v>1607</v>
      </c>
      <c r="H62" s="18" t="str">
        <f ca="1">IFERROR(__xludf.dummyfunction("IFERROR(
  VLOOKUP(G62, IMPORTRANGE(""https://docs.google.com/spreadsheets/d/14deopnvwcrKtEGCKuYXdUHJbeLDZlkiSSWWT0g7x2pM/edit#gid=849066331"", ""LU List Maths (Filter)!A:B""), 2, FALSE),
  IFERROR(
    VLOOKUP(G62, IMPORTRANGE(""https://docs.google.com/s"&amp;"preadsheets/d/14deopnvwcrKtEGCKuYXdUHJbeLDZlkiSSWWT0g7x2pM/edit#gid=849066331"", ""LU List Science (Filter)!A:B""), 2, FALSE),
    ""Not Found""
  )
)
"),"Fish production in India")</f>
        <v>Fish production in India</v>
      </c>
      <c r="I62" s="2"/>
      <c r="J62" s="1" t="str">
        <f t="shared" si="6"/>
        <v>LU006312.001</v>
      </c>
      <c r="K62" s="1" t="str">
        <f ca="1">IFERROR(__xludf.dummyfunction("VLOOKUP(J62, IMPORTRANGE(""https://docs.google.com/spreadsheets/d/1yDAaXNsi4Mr5FtRQL4tbmSdIzhx6_m4wkOD7IG-k_eo/edit#gid=1336395716"", ""Science!M:N""), 2, FALSE)"),"List the types of fish production systems.")</f>
        <v>List the types of fish production systems.</v>
      </c>
      <c r="L62" s="1" t="str">
        <f t="shared" si="7"/>
        <v>LU006312.002</v>
      </c>
      <c r="M62" s="1" t="str">
        <f ca="1">IFERROR(__xludf.dummyfunction("VLOOKUP(L62, IMPORTRANGE(""https://docs.google.com/spreadsheets/d/1yDAaXNsi4Mr5FtRQL4tbmSdIzhx6_m4wkOD7IG-k_eo/edit#gid=1336395716"", ""Science!M:N""), 2, FALSE)"),"Explain the importance of fish production for food.")</f>
        <v>Explain the importance of fish production for food.</v>
      </c>
      <c r="N62" s="1" t="str">
        <f t="shared" si="8"/>
        <v>LU006312.003</v>
      </c>
      <c r="O62" s="1" t="str">
        <f ca="1">IFERROR(__xludf.dummyfunction("VLOOKUP(N62, IMPORTRANGE(""https://docs.google.com/spreadsheets/d/1yDAaXNsi4Mr5FtRQL4tbmSdIzhx6_m4wkOD7IG-k_eo/edit#gid=1336395716"", ""Science!M:N""), 2, FALSE)"),"Illustrate the differences between capture and culture fishery.")</f>
        <v>Illustrate the differences between capture and culture fishery.</v>
      </c>
      <c r="P62" s="1" t="str">
        <f t="shared" si="9"/>
        <v>LU006312.004</v>
      </c>
      <c r="Q62" s="15" t="str">
        <f ca="1">IFERROR(__xludf.dummyfunction("VLOOKUP(P62, IMPORTRANGE(""https://docs.google.com/spreadsheets/d/1yDAaXNsi4Mr5FtRQL4tbmSdIzhx6_m4wkOD7IG-k_eo/edit#gid=1336395716"", ""Science!M:N""), 2, FALSE)"),"Analyze the factors affecting fish production in different systems.")</f>
        <v>Analyze the factors affecting fish production in different systems.</v>
      </c>
      <c r="R62" s="1" t="str">
        <f t="shared" si="10"/>
        <v>LU006312.005</v>
      </c>
      <c r="S62" s="15" t="str">
        <f ca="1">IFERROR(__xludf.dummyfunction("VLOOKUP(R62, IMPORTRANGE(""https://docs.google.com/spreadsheets/d/1yDAaXNsi4Mr5FtRQL4tbmSdIzhx6_m4wkOD7IG-k_eo/edit#gid=1336395716"", ""Science!M:N""), 2, FALSE)"),"Evaluate the benefits and challenges of different fish production methods.")</f>
        <v>Evaluate the benefits and challenges of different fish production methods.</v>
      </c>
      <c r="T62" s="1" t="str">
        <f t="shared" si="11"/>
        <v>LU006312.006</v>
      </c>
      <c r="U62" s="15" t="str">
        <f ca="1">IFERROR(__xludf.dummyfunction("VLOOKUP(T62, IMPORTRANGE(""https://docs.google.com/spreadsheets/d/1yDAaXNsi4Mr5FtRQL4tbmSdIzhx6_m4wkOD7IG-k_eo/edit#gid=1336395716"", ""Science!M:N""), 2, FALSE)"),"Develop a fish production plan that includes best practices for sustainable yield.")</f>
        <v>Develop a fish production plan that includes best practices for sustainable yield.</v>
      </c>
      <c r="V62" s="16" t="str">
        <f ca="1">IFERROR(__xludf.dummyfunction("ArrayFormula(VLOOKUP(G62, IMPORTRANGE(""https://docs.google.com/spreadsheets/d/1p7R4vtkWt5VOBim4ltsDG9KTzSjrtKXsMtQGXPHyND0/edit#gid=795171502"", ""'Filter 30_05_2024'!A1:M2000""), {2, 3, 4, 5,6,7,8,9,10,11,12,13}, 0))"),"#N/A")</f>
        <v>#N/A</v>
      </c>
      <c r="W62" s="16" t="str">
        <f ca="1">IFERROR(__xludf.dummyfunction("""COMPUTED_VALUE"""),"#N/A")</f>
        <v>#N/A</v>
      </c>
      <c r="X62" s="16" t="str">
        <f ca="1">IFERROR(__xludf.dummyfunction("""COMPUTED_VALUE"""),"#N/A")</f>
        <v>#N/A</v>
      </c>
      <c r="Y62" s="16" t="str">
        <f ca="1">IFERROR(__xludf.dummyfunction("""COMPUTED_VALUE"""),"#N/A")</f>
        <v>#N/A</v>
      </c>
      <c r="Z62" s="16" t="str">
        <f ca="1">IFERROR(__xludf.dummyfunction("""COMPUTED_VALUE"""),"#N/A")</f>
        <v>#N/A</v>
      </c>
      <c r="AA62" s="17" t="str">
        <f ca="1">IFERROR(__xludf.dummyfunction("""COMPUTED_VALUE"""),"#N/A")</f>
        <v>#N/A</v>
      </c>
      <c r="AB62" s="17" t="str">
        <f ca="1">IFERROR(__xludf.dummyfunction("""COMPUTED_VALUE"""),"#N/A")</f>
        <v>#N/A</v>
      </c>
      <c r="AC62" s="17" t="str">
        <f ca="1">IFERROR(__xludf.dummyfunction("""COMPUTED_VALUE"""),"#N/A")</f>
        <v>#N/A</v>
      </c>
      <c r="AD62" s="2" t="str">
        <f ca="1">IFERROR(__xludf.dummyfunction("""COMPUTED_VALUE"""),"#N/A")</f>
        <v>#N/A</v>
      </c>
      <c r="AE62" s="2" t="str">
        <f ca="1">IFERROR(__xludf.dummyfunction("""COMPUTED_VALUE"""),"#N/A")</f>
        <v>#N/A</v>
      </c>
      <c r="AF62" s="2" t="str">
        <f ca="1">IFERROR(__xludf.dummyfunction("""COMPUTED_VALUE"""),"#N/A")</f>
        <v>#N/A</v>
      </c>
      <c r="AG62" s="2" t="str">
        <f ca="1">IFERROR(__xludf.dummyfunction("""COMPUTED_VALUE"""),"#N/A")</f>
        <v>#N/A</v>
      </c>
    </row>
    <row r="63" spans="1:33" ht="27.6">
      <c r="A63" s="1"/>
      <c r="B63" s="1" t="s">
        <v>29</v>
      </c>
      <c r="C63" s="13">
        <v>8</v>
      </c>
      <c r="D63" s="2" t="s">
        <v>1590</v>
      </c>
      <c r="E63" s="1" t="s">
        <v>1283</v>
      </c>
      <c r="F63" s="1" t="s">
        <v>1606</v>
      </c>
      <c r="G63" s="1" t="s">
        <v>1608</v>
      </c>
      <c r="H63" s="18" t="str">
        <f ca="1">IFERROR(__xludf.dummyfunction("IFERROR(
  VLOOKUP(G63, IMPORTRANGE(""https://docs.google.com/spreadsheets/d/14deopnvwcrKtEGCKuYXdUHJbeLDZlkiSSWWT0g7x2pM/edit#gid=849066331"", ""LU List Maths (Filter)!A:B""), 2, FALSE),
  IFERROR(
    VLOOKUP(G63, IMPORTRANGE(""https://docs.google.com/s"&amp;"preadsheets/d/14deopnvwcrKtEGCKuYXdUHJbeLDZlkiSSWWT0g7x2pM/edit#gid=849066331"", ""LU List Science (Filter)!A:B""), 2, FALSE),
    ""Not Found""
  )
)
"),"Not Found")</f>
        <v>Not Found</v>
      </c>
      <c r="I63" s="2"/>
      <c r="J63" s="1" t="str">
        <f t="shared" si="6"/>
        <v>LU006313.001</v>
      </c>
      <c r="K63" s="1" t="str">
        <f ca="1">IFERROR(__xludf.dummyfunction("VLOOKUP(J63, IMPORTRANGE(""https://docs.google.com/spreadsheets/d/1yDAaXNsi4Mr5FtRQL4tbmSdIzhx6_m4wkOD7IG-k_eo/edit#gid=1336395716"", ""Science!M:N""), 2, FALSE)"),"Identify the main marine fish species found in India.")</f>
        <v>Identify the main marine fish species found in India.</v>
      </c>
      <c r="L63" s="1" t="str">
        <f t="shared" si="7"/>
        <v>LU006313.002</v>
      </c>
      <c r="M63" s="1" t="str">
        <f ca="1">IFERROR(__xludf.dummyfunction("VLOOKUP(L63, IMPORTRANGE(""https://docs.google.com/spreadsheets/d/1yDAaXNsi4Mr5FtRQL4tbmSdIzhx6_m4wkOD7IG-k_eo/edit#gid=1336395716"", ""Science!M:N""), 2, FALSE)"),"Explain the significance of marine fisheries in India.")</f>
        <v>Explain the significance of marine fisheries in India.</v>
      </c>
      <c r="N63" s="1" t="str">
        <f t="shared" si="8"/>
        <v>LU006313.003</v>
      </c>
      <c r="O63" s="1" t="str">
        <f ca="1">IFERROR(__xludf.dummyfunction("VLOOKUP(N63, IMPORTRANGE(""https://docs.google.com/spreadsheets/d/1yDAaXNsi4Mr5FtRQL4tbmSdIzhx6_m4wkOD7IG-k_eo/edit#gid=1336395716"", ""Science!M:N""), 2, FALSE)"),"Illustrate the methods used in marine fisheries.")</f>
        <v>Illustrate the methods used in marine fisheries.</v>
      </c>
      <c r="P63" s="1" t="str">
        <f t="shared" si="9"/>
        <v>LU006313.004</v>
      </c>
      <c r="Q63" s="15" t="str">
        <f ca="1">IFERROR(__xludf.dummyfunction("VLOOKUP(P63, IMPORTRANGE(""https://docs.google.com/spreadsheets/d/1yDAaXNsi4Mr5FtRQL4tbmSdIzhx6_m4wkOD7IG-k_eo/edit#gid=1336395716"", ""Science!M:N""), 2, FALSE)"),"Analyze the challenges faced by marine fisheries in India.")</f>
        <v>Analyze the challenges faced by marine fisheries in India.</v>
      </c>
      <c r="R63" s="1" t="str">
        <f t="shared" si="10"/>
        <v>LU006313.005</v>
      </c>
      <c r="S63" s="15" t="str">
        <f ca="1">IFERROR(__xludf.dummyfunction("VLOOKUP(R63, IMPORTRANGE(""https://docs.google.com/spreadsheets/d/1yDAaXNsi4Mr5FtRQL4tbmSdIzhx6_m4wkOD7IG-k_eo/edit#gid=1336395716"", ""Science!M:N""), 2, FALSE)"),"Evaluate the impact of technological advancements on marine fish catch.")</f>
        <v>Evaluate the impact of technological advancements on marine fish catch.</v>
      </c>
      <c r="T63" s="1" t="str">
        <f t="shared" si="11"/>
        <v>LU006313.006</v>
      </c>
      <c r="U63" s="15" t="str">
        <f ca="1">IFERROR(__xludf.dummyfunction("VLOOKUP(T63, IMPORTRANGE(""https://docs.google.com/spreadsheets/d/1yDAaXNsi4Mr5FtRQL4tbmSdIzhx6_m4wkOD7IG-k_eo/edit#gid=1336395716"", ""Science!M:N""), 2, FALSE)"),"Develop a sustainable management plan for a marine fishery.")</f>
        <v>Develop a sustainable management plan for a marine fishery.</v>
      </c>
      <c r="V63" s="16" t="str">
        <f ca="1">IFERROR(__xludf.dummyfunction("ArrayFormula(VLOOKUP(G63, IMPORTRANGE(""https://docs.google.com/spreadsheets/d/1p7R4vtkWt5VOBim4ltsDG9KTzSjrtKXsMtQGXPHyND0/edit#gid=795171502"", ""'Filter 30_05_2024'!A1:M2000""), {2, 3, 4, 5,6,7,8,9,10,11,12,13}, 0))"),"#N/A")</f>
        <v>#N/A</v>
      </c>
      <c r="W63" s="16" t="str">
        <f ca="1">IFERROR(__xludf.dummyfunction("""COMPUTED_VALUE"""),"#N/A")</f>
        <v>#N/A</v>
      </c>
      <c r="X63" s="16" t="str">
        <f ca="1">IFERROR(__xludf.dummyfunction("""COMPUTED_VALUE"""),"#N/A")</f>
        <v>#N/A</v>
      </c>
      <c r="Y63" s="16" t="str">
        <f ca="1">IFERROR(__xludf.dummyfunction("""COMPUTED_VALUE"""),"#N/A")</f>
        <v>#N/A</v>
      </c>
      <c r="Z63" s="16" t="str">
        <f ca="1">IFERROR(__xludf.dummyfunction("""COMPUTED_VALUE"""),"#N/A")</f>
        <v>#N/A</v>
      </c>
      <c r="AA63" s="17" t="str">
        <f ca="1">IFERROR(__xludf.dummyfunction("""COMPUTED_VALUE"""),"#N/A")</f>
        <v>#N/A</v>
      </c>
      <c r="AB63" s="17" t="str">
        <f ca="1">IFERROR(__xludf.dummyfunction("""COMPUTED_VALUE"""),"#N/A")</f>
        <v>#N/A</v>
      </c>
      <c r="AC63" s="17" t="str">
        <f ca="1">IFERROR(__xludf.dummyfunction("""COMPUTED_VALUE"""),"#N/A")</f>
        <v>#N/A</v>
      </c>
      <c r="AD63" s="2" t="str">
        <f ca="1">IFERROR(__xludf.dummyfunction("""COMPUTED_VALUE"""),"#N/A")</f>
        <v>#N/A</v>
      </c>
      <c r="AE63" s="2" t="str">
        <f ca="1">IFERROR(__xludf.dummyfunction("""COMPUTED_VALUE"""),"#N/A")</f>
        <v>#N/A</v>
      </c>
      <c r="AF63" s="2" t="str">
        <f ca="1">IFERROR(__xludf.dummyfunction("""COMPUTED_VALUE"""),"#N/A")</f>
        <v>#N/A</v>
      </c>
      <c r="AG63" s="2" t="str">
        <f ca="1">IFERROR(__xludf.dummyfunction("""COMPUTED_VALUE"""),"#N/A")</f>
        <v>#N/A</v>
      </c>
    </row>
    <row r="64" spans="1:33" ht="41.4">
      <c r="A64" s="1"/>
      <c r="B64" s="1" t="s">
        <v>29</v>
      </c>
      <c r="C64" s="13">
        <v>8</v>
      </c>
      <c r="D64" s="2" t="s">
        <v>1590</v>
      </c>
      <c r="E64" s="1" t="s">
        <v>1283</v>
      </c>
      <c r="F64" s="1" t="s">
        <v>1606</v>
      </c>
      <c r="G64" s="1" t="s">
        <v>1609</v>
      </c>
      <c r="H64" s="18" t="str">
        <f ca="1">IFERROR(__xludf.dummyfunction("IFERROR(
  VLOOKUP(G64, IMPORTRANGE(""https://docs.google.com/spreadsheets/d/14deopnvwcrKtEGCKuYXdUHJbeLDZlkiSSWWT0g7x2pM/edit#gid=849066331"", ""LU List Maths (Filter)!A:B""), 2, FALSE),
  IFERROR(
    VLOOKUP(G64, IMPORTRANGE(""https://docs.google.com/s"&amp;"preadsheets/d/14deopnvwcrKtEGCKuYXdUHJbeLDZlkiSSWWT0g7x2pM/edit#gid=849066331"", ""LU List Science (Filter)!A:B""), 2, FALSE),
    ""Not Found""
  )
)
"),"Not Found")</f>
        <v>Not Found</v>
      </c>
      <c r="I64" s="2"/>
      <c r="J64" s="1" t="str">
        <f t="shared" si="6"/>
        <v>LU006314.001</v>
      </c>
      <c r="K64" s="1" t="str">
        <f ca="1">IFERROR(__xludf.dummyfunction("VLOOKUP(J64, IMPORTRANGE(""https://docs.google.com/spreadsheets/d/1yDAaXNsi4Mr5FtRQL4tbmSdIzhx6_m4wkOD7IG-k_eo/edit#gid=1336395716"", ""Science!M:N""), 2, FALSE)"),"List the main types of inland fish species found in India.")</f>
        <v>List the main types of inland fish species found in India.</v>
      </c>
      <c r="L64" s="1" t="str">
        <f t="shared" si="7"/>
        <v>LU006314.002</v>
      </c>
      <c r="M64" s="1" t="str">
        <f ca="1">IFERROR(__xludf.dummyfunction("VLOOKUP(L64, IMPORTRANGE(""https://docs.google.com/spreadsheets/d/1yDAaXNsi4Mr5FtRQL4tbmSdIzhx6_m4wkOD7IG-k_eo/edit#gid=1336395716"", ""Science!M:N""), 2, FALSE)"),"Explain the importance of inland fisheries in India.")</f>
        <v>Explain the importance of inland fisheries in India.</v>
      </c>
      <c r="N64" s="1" t="str">
        <f t="shared" si="8"/>
        <v>LU006314.003</v>
      </c>
      <c r="O64" s="1" t="str">
        <f ca="1">IFERROR(__xludf.dummyfunction("VLOOKUP(N64, IMPORTRANGE(""https://docs.google.com/spreadsheets/d/1yDAaXNsi4Mr5FtRQL4tbmSdIzhx6_m4wkOD7IG-k_eo/edit#gid=1336395716"", ""Science!M:N""), 2, FALSE)"),"Illustrate the methods used in inland fisheries.")</f>
        <v>Illustrate the methods used in inland fisheries.</v>
      </c>
      <c r="P64" s="1" t="str">
        <f t="shared" si="9"/>
        <v>LU006314.004</v>
      </c>
      <c r="Q64" s="15" t="str">
        <f ca="1">IFERROR(__xludf.dummyfunction("VLOOKUP(P64, IMPORTRANGE(""https://docs.google.com/spreadsheets/d/1yDAaXNsi4Mr5FtRQL4tbmSdIzhx6_m4wkOD7IG-k_eo/edit#gid=1336395716"", ""Science!M:N""), 2, FALSE)"),"Analyze the challenges faced by inland fisheries in India.")</f>
        <v>Analyze the challenges faced by inland fisheries in India.</v>
      </c>
      <c r="R64" s="1" t="str">
        <f t="shared" si="10"/>
        <v>LU006314.005</v>
      </c>
      <c r="S64" s="15" t="str">
        <f ca="1">IFERROR(__xludf.dummyfunction("VLOOKUP(R64, IMPORTRANGE(""https://docs.google.com/spreadsheets/d/1yDAaXNsi4Mr5FtRQL4tbmSdIzhx6_m4wkOD7IG-k_eo/edit#gid=1336395716"", ""Science!M:N""), 2, FALSE)"),"Evaluate the benefits of composite fish culture in inland fisheries.")</f>
        <v>Evaluate the benefits of composite fish culture in inland fisheries.</v>
      </c>
      <c r="T64" s="1" t="str">
        <f t="shared" si="11"/>
        <v>LU006314.006</v>
      </c>
      <c r="U64" s="15" t="str">
        <f ca="1">IFERROR(__xludf.dummyfunction("VLOOKUP(T64, IMPORTRANGE(""https://docs.google.com/spreadsheets/d/1yDAaXNsi4Mr5FtRQL4tbmSdIzhx6_m4wkOD7IG-k_eo/edit#gid=1336395716"", ""Science!M:N""), 2, FALSE)"),"Develop a management plan for an inland fishery that ensures sustainable production.")</f>
        <v>Develop a management plan for an inland fishery that ensures sustainable production.</v>
      </c>
      <c r="V64" s="16" t="str">
        <f ca="1">IFERROR(__xludf.dummyfunction("ArrayFormula(VLOOKUP(G64, IMPORTRANGE(""https://docs.google.com/spreadsheets/d/1p7R4vtkWt5VOBim4ltsDG9KTzSjrtKXsMtQGXPHyND0/edit#gid=795171502"", ""'Filter 30_05_2024'!A1:M2000""), {2, 3, 4, 5,6,7,8,9,10,11,12,13}, 0))"),"#N/A")</f>
        <v>#N/A</v>
      </c>
      <c r="W64" s="16" t="str">
        <f ca="1">IFERROR(__xludf.dummyfunction("""COMPUTED_VALUE"""),"#N/A")</f>
        <v>#N/A</v>
      </c>
      <c r="X64" s="16" t="str">
        <f ca="1">IFERROR(__xludf.dummyfunction("""COMPUTED_VALUE"""),"#N/A")</f>
        <v>#N/A</v>
      </c>
      <c r="Y64" s="16" t="str">
        <f ca="1">IFERROR(__xludf.dummyfunction("""COMPUTED_VALUE"""),"#N/A")</f>
        <v>#N/A</v>
      </c>
      <c r="Z64" s="16" t="str">
        <f ca="1">IFERROR(__xludf.dummyfunction("""COMPUTED_VALUE"""),"#N/A")</f>
        <v>#N/A</v>
      </c>
      <c r="AA64" s="17" t="str">
        <f ca="1">IFERROR(__xludf.dummyfunction("""COMPUTED_VALUE"""),"#N/A")</f>
        <v>#N/A</v>
      </c>
      <c r="AB64" s="17" t="str">
        <f ca="1">IFERROR(__xludf.dummyfunction("""COMPUTED_VALUE"""),"#N/A")</f>
        <v>#N/A</v>
      </c>
      <c r="AC64" s="17" t="str">
        <f ca="1">IFERROR(__xludf.dummyfunction("""COMPUTED_VALUE"""),"#N/A")</f>
        <v>#N/A</v>
      </c>
      <c r="AD64" s="2" t="str">
        <f ca="1">IFERROR(__xludf.dummyfunction("""COMPUTED_VALUE"""),"#N/A")</f>
        <v>#N/A</v>
      </c>
      <c r="AE64" s="2" t="str">
        <f ca="1">IFERROR(__xludf.dummyfunction("""COMPUTED_VALUE"""),"#N/A")</f>
        <v>#N/A</v>
      </c>
      <c r="AF64" s="2" t="str">
        <f ca="1">IFERROR(__xludf.dummyfunction("""COMPUTED_VALUE"""),"#N/A")</f>
        <v>#N/A</v>
      </c>
      <c r="AG64" s="2" t="str">
        <f ca="1">IFERROR(__xludf.dummyfunction("""COMPUTED_VALUE"""),"#N/A")</f>
        <v>#N/A</v>
      </c>
    </row>
    <row r="65" spans="1:33" ht="27.6">
      <c r="A65" s="1"/>
      <c r="B65" s="1" t="s">
        <v>29</v>
      </c>
      <c r="C65" s="13">
        <v>8</v>
      </c>
      <c r="D65" s="2" t="s">
        <v>1590</v>
      </c>
      <c r="E65" s="1" t="s">
        <v>1283</v>
      </c>
      <c r="F65" s="2" t="s">
        <v>1610</v>
      </c>
      <c r="G65" s="14" t="s">
        <v>1611</v>
      </c>
      <c r="H65" s="18" t="str">
        <f ca="1">IFERROR(__xludf.dummyfunction("IFERROR(
  VLOOKUP(G65, IMPORTRANGE(""https://docs.google.com/spreadsheets/d/14deopnvwcrKtEGCKuYXdUHJbeLDZlkiSSWWT0g7x2pM/edit#gid=849066331"", ""LU List Maths (Filter)!A:B""), 2, FALSE),
  IFERROR(
    VLOOKUP(G65, IMPORTRANGE(""https://docs.google.com/s"&amp;"preadsheets/d/14deopnvwcrKtEGCKuYXdUHJbeLDZlkiSSWWT0g7x2pM/edit#gid=849066331"", ""LU List Science (Filter)!A:B""), 2, FALSE),
    ""Not Found""
  )
)
"),"Sericulture and apiculture")</f>
        <v>Sericulture and apiculture</v>
      </c>
      <c r="I65" s="2" t="s">
        <v>1600</v>
      </c>
      <c r="J65" s="1" t="str">
        <f t="shared" si="6"/>
        <v>LU006678.001</v>
      </c>
      <c r="K65" s="1" t="str">
        <f ca="1">IFERROR(__xludf.dummyfunction("VLOOKUP(J65, IMPORTRANGE(""https://docs.google.com/spreadsheets/d/1yDAaXNsi4Mr5FtRQL4tbmSdIzhx6_m4wkOD7IG-k_eo/edit#gid=1336395716"", ""Science!M:N""), 2, FALSE)"),"(LU006678.001); Default - Remember")</f>
        <v>(LU006678.001); Default - Remember</v>
      </c>
      <c r="L65" s="1" t="str">
        <f t="shared" si="7"/>
        <v>LU006678.002</v>
      </c>
      <c r="M65" s="1" t="str">
        <f ca="1">IFERROR(__xludf.dummyfunction("VLOOKUP(L65, IMPORTRANGE(""https://docs.google.com/spreadsheets/d/1yDAaXNsi4Mr5FtRQL4tbmSdIzhx6_m4wkOD7IG-k_eo/edit#gid=1336395716"", ""Science!M:N""), 2, FALSE)"),"(LU006678.002); Default - Understand")</f>
        <v>(LU006678.002); Default - Understand</v>
      </c>
      <c r="N65" s="1" t="str">
        <f t="shared" si="8"/>
        <v>LU006678.003</v>
      </c>
      <c r="O65" s="1" t="str">
        <f ca="1">IFERROR(__xludf.dummyfunction("VLOOKUP(N65, IMPORTRANGE(""https://docs.google.com/spreadsheets/d/1yDAaXNsi4Mr5FtRQL4tbmSdIzhx6_m4wkOD7IG-k_eo/edit#gid=1336395716"", ""Science!M:N""), 2, FALSE)"),"(LU006678.003); Default - Apply")</f>
        <v>(LU006678.003); Default - Apply</v>
      </c>
      <c r="P65" s="1" t="str">
        <f t="shared" si="9"/>
        <v>LU006678.004</v>
      </c>
      <c r="Q65" s="15" t="str">
        <f ca="1">IFERROR(__xludf.dummyfunction("VLOOKUP(P65, IMPORTRANGE(""https://docs.google.com/spreadsheets/d/1yDAaXNsi4Mr5FtRQL4tbmSdIzhx6_m4wkOD7IG-k_eo/edit#gid=1336395716"", ""Science!M:N""), 2, FALSE)"),"(LU006678.004); Default - Analyse")</f>
        <v>(LU006678.004); Default - Analyse</v>
      </c>
      <c r="R65" s="1" t="str">
        <f t="shared" si="10"/>
        <v>LU006678.005</v>
      </c>
      <c r="S65" s="15" t="str">
        <f ca="1">IFERROR(__xludf.dummyfunction("VLOOKUP(R65, IMPORTRANGE(""https://docs.google.com/spreadsheets/d/1yDAaXNsi4Mr5FtRQL4tbmSdIzhx6_m4wkOD7IG-k_eo/edit#gid=1336395716"", ""Science!M:N""), 2, FALSE)"),"(LU006678.005); Default - Evaluate")</f>
        <v>(LU006678.005); Default - Evaluate</v>
      </c>
      <c r="T65" s="1" t="str">
        <f t="shared" si="11"/>
        <v>LU006678.006</v>
      </c>
      <c r="U65" s="15" t="str">
        <f ca="1">IFERROR(__xludf.dummyfunction("VLOOKUP(T65, IMPORTRANGE(""https://docs.google.com/spreadsheets/d/1yDAaXNsi4Mr5FtRQL4tbmSdIzhx6_m4wkOD7IG-k_eo/edit#gid=1336395716"", ""Science!M:N""), 2, FALSE)"),"(LU006678.006); Default - Create")</f>
        <v>(LU006678.006); Default - Create</v>
      </c>
      <c r="V65" s="16" t="str">
        <f ca="1">IFERROR(__xludf.dummyfunction("ArrayFormula(VLOOKUP(G65, IMPORTRANGE(""https://docs.google.com/spreadsheets/d/1p7R4vtkWt5VOBim4ltsDG9KTzSjrtKXsMtQGXPHyND0/edit#gid=795171502"", ""'Filter 30_05_2024'!A1:M2000""), {2, 3, 4, 5,6,7,8,9,10,11,12,13}, 0))"),"#N/A")</f>
        <v>#N/A</v>
      </c>
      <c r="W65" s="16" t="str">
        <f ca="1">IFERROR(__xludf.dummyfunction("""COMPUTED_VALUE"""),"#N/A")</f>
        <v>#N/A</v>
      </c>
      <c r="X65" s="16" t="str">
        <f ca="1">IFERROR(__xludf.dummyfunction("""COMPUTED_VALUE"""),"#N/A")</f>
        <v>#N/A</v>
      </c>
      <c r="Y65" s="16" t="str">
        <f ca="1">IFERROR(__xludf.dummyfunction("""COMPUTED_VALUE"""),"#N/A")</f>
        <v>#N/A</v>
      </c>
      <c r="Z65" s="16" t="str">
        <f ca="1">IFERROR(__xludf.dummyfunction("""COMPUTED_VALUE"""),"#N/A")</f>
        <v>#N/A</v>
      </c>
      <c r="AA65" s="17" t="str">
        <f ca="1">IFERROR(__xludf.dummyfunction("""COMPUTED_VALUE"""),"#N/A")</f>
        <v>#N/A</v>
      </c>
      <c r="AB65" s="17" t="str">
        <f ca="1">IFERROR(__xludf.dummyfunction("""COMPUTED_VALUE"""),"#N/A")</f>
        <v>#N/A</v>
      </c>
      <c r="AC65" s="17" t="str">
        <f ca="1">IFERROR(__xludf.dummyfunction("""COMPUTED_VALUE"""),"#N/A")</f>
        <v>#N/A</v>
      </c>
      <c r="AD65" s="2" t="str">
        <f ca="1">IFERROR(__xludf.dummyfunction("""COMPUTED_VALUE"""),"#N/A")</f>
        <v>#N/A</v>
      </c>
      <c r="AE65" s="2" t="str">
        <f ca="1">IFERROR(__xludf.dummyfunction("""COMPUTED_VALUE"""),"#N/A")</f>
        <v>#N/A</v>
      </c>
      <c r="AF65" s="2" t="str">
        <f ca="1">IFERROR(__xludf.dummyfunction("""COMPUTED_VALUE"""),"#N/A")</f>
        <v>#N/A</v>
      </c>
      <c r="AG65" s="2" t="str">
        <f ca="1">IFERROR(__xludf.dummyfunction("""COMPUTED_VALUE"""),"#N/A")</f>
        <v>#N/A</v>
      </c>
    </row>
    <row r="66" spans="1:33" ht="13.8">
      <c r="F66" s="1"/>
      <c r="H66" s="1"/>
      <c r="I66" s="2"/>
      <c r="J66" s="1" t="str">
        <f t="shared" ref="J66:J97" si="12">G66 &amp; ".001"</f>
        <v>.001</v>
      </c>
      <c r="K66" s="1" t="str">
        <f ca="1">IFERROR(__xludf.dummyfunction("VLOOKUP(J66, IMPORTRANGE(""https://docs.google.com/spreadsheets/d/1yDAaXNsi4Mr5FtRQL4tbmSdIzhx6_m4wkOD7IG-k_eo/edit#gid=1336395716"", ""Science!M:N""), 2, FALSE)"),"#N/A")</f>
        <v>#N/A</v>
      </c>
      <c r="L66" s="1" t="str">
        <f t="shared" ref="L66:L97" si="13">G66 &amp; ".002"</f>
        <v>.002</v>
      </c>
      <c r="M66" s="1" t="str">
        <f ca="1">IFERROR(__xludf.dummyfunction("VLOOKUP(L66, IMPORTRANGE(""https://docs.google.com/spreadsheets/d/1yDAaXNsi4Mr5FtRQL4tbmSdIzhx6_m4wkOD7IG-k_eo/edit#gid=1336395716"", ""Science!M:N""), 2, FALSE)"),"#N/A")</f>
        <v>#N/A</v>
      </c>
      <c r="N66" s="1" t="str">
        <f t="shared" ref="N66:N97" si="14">G66 &amp; ".003"</f>
        <v>.003</v>
      </c>
      <c r="O66" s="1" t="str">
        <f ca="1">IFERROR(__xludf.dummyfunction("VLOOKUP(N66, IMPORTRANGE(""https://docs.google.com/spreadsheets/d/1yDAaXNsi4Mr5FtRQL4tbmSdIzhx6_m4wkOD7IG-k_eo/edit#gid=1336395716"", ""Science!M:N""), 2, FALSE)"),"#N/A")</f>
        <v>#N/A</v>
      </c>
      <c r="P66" s="1" t="str">
        <f t="shared" ref="P66:P97" si="15">G66 &amp; ".004"</f>
        <v>.004</v>
      </c>
      <c r="Q66" s="15" t="str">
        <f ca="1">IFERROR(__xludf.dummyfunction("VLOOKUP(P66, IMPORTRANGE(""https://docs.google.com/spreadsheets/d/1yDAaXNsi4Mr5FtRQL4tbmSdIzhx6_m4wkOD7IG-k_eo/edit#gid=1336395716"", ""Science!M:N""), 2, FALSE)"),"#N/A")</f>
        <v>#N/A</v>
      </c>
      <c r="R66" s="1" t="str">
        <f t="shared" ref="R66:R97" si="16">G66 &amp; ".005"</f>
        <v>.005</v>
      </c>
      <c r="S66" s="15" t="str">
        <f ca="1">IFERROR(__xludf.dummyfunction("VLOOKUP(R66, IMPORTRANGE(""https://docs.google.com/spreadsheets/d/1yDAaXNsi4Mr5FtRQL4tbmSdIzhx6_m4wkOD7IG-k_eo/edit#gid=1336395716"", ""Science!M:N""), 2, FALSE)"),"#N/A")</f>
        <v>#N/A</v>
      </c>
      <c r="T66" s="1" t="str">
        <f t="shared" ref="T66:T97" si="17">G66 &amp; ".006"</f>
        <v>.006</v>
      </c>
      <c r="U66" s="15" t="str">
        <f ca="1">IFERROR(__xludf.dummyfunction("VLOOKUP(T66, IMPORTRANGE(""https://docs.google.com/spreadsheets/d/1yDAaXNsi4Mr5FtRQL4tbmSdIzhx6_m4wkOD7IG-k_eo/edit#gid=1336395716"", ""Science!M:N""), 2, FALSE)"),"#N/A")</f>
        <v>#N/A</v>
      </c>
      <c r="V66" s="16" t="str">
        <f ca="1">IFERROR(__xludf.dummyfunction("ArrayFormula(VLOOKUP(G66, IMPORTRANGE(""https://docs.google.com/spreadsheets/d/1p7R4vtkWt5VOBim4ltsDG9KTzSjrtKXsMtQGXPHyND0/edit#gid=795171502"", ""'Filter 30_05_2024'!A1:M2000""), {2, 3, 4, 5,6,7,8,9,10,11,12,13}, 0))"),"#N/A")</f>
        <v>#N/A</v>
      </c>
      <c r="W66" s="16" t="str">
        <f ca="1">IFERROR(__xludf.dummyfunction("""COMPUTED_VALUE"""),"#N/A")</f>
        <v>#N/A</v>
      </c>
      <c r="X66" s="16" t="str">
        <f ca="1">IFERROR(__xludf.dummyfunction("""COMPUTED_VALUE"""),"#N/A")</f>
        <v>#N/A</v>
      </c>
      <c r="Y66" s="16" t="str">
        <f ca="1">IFERROR(__xludf.dummyfunction("""COMPUTED_VALUE"""),"#N/A")</f>
        <v>#N/A</v>
      </c>
      <c r="Z66" s="16" t="str">
        <f ca="1">IFERROR(__xludf.dummyfunction("""COMPUTED_VALUE"""),"#N/A")</f>
        <v>#N/A</v>
      </c>
      <c r="AA66" s="17" t="str">
        <f ca="1">IFERROR(__xludf.dummyfunction("""COMPUTED_VALUE"""),"#N/A")</f>
        <v>#N/A</v>
      </c>
      <c r="AB66" s="17" t="str">
        <f ca="1">IFERROR(__xludf.dummyfunction("""COMPUTED_VALUE"""),"#N/A")</f>
        <v>#N/A</v>
      </c>
      <c r="AC66" s="17" t="str">
        <f ca="1">IFERROR(__xludf.dummyfunction("""COMPUTED_VALUE"""),"#N/A")</f>
        <v>#N/A</v>
      </c>
      <c r="AD66" s="2" t="str">
        <f ca="1">IFERROR(__xludf.dummyfunction("""COMPUTED_VALUE"""),"#N/A")</f>
        <v>#N/A</v>
      </c>
      <c r="AE66" s="2" t="str">
        <f ca="1">IFERROR(__xludf.dummyfunction("""COMPUTED_VALUE"""),"#N/A")</f>
        <v>#N/A</v>
      </c>
      <c r="AF66" s="2" t="str">
        <f ca="1">IFERROR(__xludf.dummyfunction("""COMPUTED_VALUE"""),"#N/A")</f>
        <v>#N/A</v>
      </c>
      <c r="AG66" s="2" t="str">
        <f ca="1">IFERROR(__xludf.dummyfunction("""COMPUTED_VALUE"""),"#N/A")</f>
        <v>#N/A</v>
      </c>
    </row>
    <row r="67" spans="1:33" ht="13.8">
      <c r="F67" s="1"/>
      <c r="H67" s="1">
        <v>43</v>
      </c>
      <c r="I67" s="2"/>
      <c r="J67" s="1" t="str">
        <f t="shared" si="12"/>
        <v>.001</v>
      </c>
      <c r="K67" s="1" t="str">
        <f ca="1">IFERROR(__xludf.dummyfunction("VLOOKUP(J67, IMPORTRANGE(""https://docs.google.com/spreadsheets/d/1yDAaXNsi4Mr5FtRQL4tbmSdIzhx6_m4wkOD7IG-k_eo/edit#gid=1336395716"", ""Science!M:N""), 2, FALSE)"),"#N/A")</f>
        <v>#N/A</v>
      </c>
      <c r="L67" s="1" t="str">
        <f t="shared" si="13"/>
        <v>.002</v>
      </c>
      <c r="M67" s="1" t="str">
        <f ca="1">IFERROR(__xludf.dummyfunction("VLOOKUP(L67, IMPORTRANGE(""https://docs.google.com/spreadsheets/d/1yDAaXNsi4Mr5FtRQL4tbmSdIzhx6_m4wkOD7IG-k_eo/edit#gid=1336395716"", ""Science!M:N""), 2, FALSE)"),"#N/A")</f>
        <v>#N/A</v>
      </c>
      <c r="N67" s="1" t="str">
        <f t="shared" si="14"/>
        <v>.003</v>
      </c>
      <c r="O67" s="1" t="str">
        <f ca="1">IFERROR(__xludf.dummyfunction("VLOOKUP(N67, IMPORTRANGE(""https://docs.google.com/spreadsheets/d/1yDAaXNsi4Mr5FtRQL4tbmSdIzhx6_m4wkOD7IG-k_eo/edit#gid=1336395716"", ""Science!M:N""), 2, FALSE)"),"#N/A")</f>
        <v>#N/A</v>
      </c>
      <c r="P67" s="1" t="str">
        <f t="shared" si="15"/>
        <v>.004</v>
      </c>
      <c r="Q67" s="15" t="str">
        <f ca="1">IFERROR(__xludf.dummyfunction("VLOOKUP(P67, IMPORTRANGE(""https://docs.google.com/spreadsheets/d/1yDAaXNsi4Mr5FtRQL4tbmSdIzhx6_m4wkOD7IG-k_eo/edit#gid=1336395716"", ""Science!M:N""), 2, FALSE)"),"#N/A")</f>
        <v>#N/A</v>
      </c>
      <c r="R67" s="1" t="str">
        <f t="shared" si="16"/>
        <v>.005</v>
      </c>
      <c r="S67" s="15" t="str">
        <f ca="1">IFERROR(__xludf.dummyfunction("VLOOKUP(R67, IMPORTRANGE(""https://docs.google.com/spreadsheets/d/1yDAaXNsi4Mr5FtRQL4tbmSdIzhx6_m4wkOD7IG-k_eo/edit#gid=1336395716"", ""Science!M:N""), 2, FALSE)"),"#N/A")</f>
        <v>#N/A</v>
      </c>
      <c r="T67" s="1" t="str">
        <f t="shared" si="17"/>
        <v>.006</v>
      </c>
      <c r="U67" s="15" t="str">
        <f ca="1">IFERROR(__xludf.dummyfunction("VLOOKUP(T67, IMPORTRANGE(""https://docs.google.com/spreadsheets/d/1yDAaXNsi4Mr5FtRQL4tbmSdIzhx6_m4wkOD7IG-k_eo/edit#gid=1336395716"", ""Science!M:N""), 2, FALSE)"),"#N/A")</f>
        <v>#N/A</v>
      </c>
      <c r="V67" s="16" t="str">
        <f ca="1">IFERROR(__xludf.dummyfunction("ArrayFormula(VLOOKUP(G67, IMPORTRANGE(""https://docs.google.com/spreadsheets/d/1p7R4vtkWt5VOBim4ltsDG9KTzSjrtKXsMtQGXPHyND0/edit#gid=795171502"", ""'Filter 30_05_2024'!A1:M2000""), {2, 3, 4, 5,6,7,8,9,10,11,12,13}, 0))"),"#N/A")</f>
        <v>#N/A</v>
      </c>
      <c r="W67" s="16" t="str">
        <f ca="1">IFERROR(__xludf.dummyfunction("""COMPUTED_VALUE"""),"#N/A")</f>
        <v>#N/A</v>
      </c>
      <c r="X67" s="16" t="str">
        <f ca="1">IFERROR(__xludf.dummyfunction("""COMPUTED_VALUE"""),"#N/A")</f>
        <v>#N/A</v>
      </c>
      <c r="Y67" s="16" t="str">
        <f ca="1">IFERROR(__xludf.dummyfunction("""COMPUTED_VALUE"""),"#N/A")</f>
        <v>#N/A</v>
      </c>
      <c r="Z67" s="16" t="str">
        <f ca="1">IFERROR(__xludf.dummyfunction("""COMPUTED_VALUE"""),"#N/A")</f>
        <v>#N/A</v>
      </c>
      <c r="AA67" s="17" t="str">
        <f ca="1">IFERROR(__xludf.dummyfunction("""COMPUTED_VALUE"""),"#N/A")</f>
        <v>#N/A</v>
      </c>
      <c r="AB67" s="17" t="str">
        <f ca="1">IFERROR(__xludf.dummyfunction("""COMPUTED_VALUE"""),"#N/A")</f>
        <v>#N/A</v>
      </c>
      <c r="AC67" s="17" t="str">
        <f ca="1">IFERROR(__xludf.dummyfunction("""COMPUTED_VALUE"""),"#N/A")</f>
        <v>#N/A</v>
      </c>
      <c r="AD67" s="2" t="str">
        <f ca="1">IFERROR(__xludf.dummyfunction("""COMPUTED_VALUE"""),"#N/A")</f>
        <v>#N/A</v>
      </c>
      <c r="AE67" s="2" t="str">
        <f ca="1">IFERROR(__xludf.dummyfunction("""COMPUTED_VALUE"""),"#N/A")</f>
        <v>#N/A</v>
      </c>
      <c r="AF67" s="2" t="str">
        <f ca="1">IFERROR(__xludf.dummyfunction("""COMPUTED_VALUE"""),"#N/A")</f>
        <v>#N/A</v>
      </c>
      <c r="AG67" s="2" t="str">
        <f ca="1">IFERROR(__xludf.dummyfunction("""COMPUTED_VALUE"""),"#N/A")</f>
        <v>#N/A</v>
      </c>
    </row>
    <row r="68" spans="1:33" ht="13.8">
      <c r="F68" s="1"/>
      <c r="H68" s="1"/>
      <c r="I68" s="2"/>
      <c r="J68" s="1" t="str">
        <f t="shared" si="12"/>
        <v>.001</v>
      </c>
      <c r="K68" s="1" t="str">
        <f ca="1">IFERROR(__xludf.dummyfunction("VLOOKUP(J68, IMPORTRANGE(""https://docs.google.com/spreadsheets/d/1yDAaXNsi4Mr5FtRQL4tbmSdIzhx6_m4wkOD7IG-k_eo/edit#gid=1336395716"", ""Science!M:N""), 2, FALSE)"),"#N/A")</f>
        <v>#N/A</v>
      </c>
      <c r="L68" s="1" t="str">
        <f t="shared" si="13"/>
        <v>.002</v>
      </c>
      <c r="M68" s="1" t="str">
        <f ca="1">IFERROR(__xludf.dummyfunction("VLOOKUP(L68, IMPORTRANGE(""https://docs.google.com/spreadsheets/d/1yDAaXNsi4Mr5FtRQL4tbmSdIzhx6_m4wkOD7IG-k_eo/edit#gid=1336395716"", ""Science!M:N""), 2, FALSE)"),"#N/A")</f>
        <v>#N/A</v>
      </c>
      <c r="N68" s="1" t="str">
        <f t="shared" si="14"/>
        <v>.003</v>
      </c>
      <c r="O68" s="1" t="str">
        <f ca="1">IFERROR(__xludf.dummyfunction("VLOOKUP(N68, IMPORTRANGE(""https://docs.google.com/spreadsheets/d/1yDAaXNsi4Mr5FtRQL4tbmSdIzhx6_m4wkOD7IG-k_eo/edit#gid=1336395716"", ""Science!M:N""), 2, FALSE)"),"#N/A")</f>
        <v>#N/A</v>
      </c>
      <c r="P68" s="1" t="str">
        <f t="shared" si="15"/>
        <v>.004</v>
      </c>
      <c r="Q68" s="15" t="str">
        <f ca="1">IFERROR(__xludf.dummyfunction("VLOOKUP(P68, IMPORTRANGE(""https://docs.google.com/spreadsheets/d/1yDAaXNsi4Mr5FtRQL4tbmSdIzhx6_m4wkOD7IG-k_eo/edit#gid=1336395716"", ""Science!M:N""), 2, FALSE)"),"#N/A")</f>
        <v>#N/A</v>
      </c>
      <c r="R68" s="1" t="str">
        <f t="shared" si="16"/>
        <v>.005</v>
      </c>
      <c r="S68" s="15" t="str">
        <f ca="1">IFERROR(__xludf.dummyfunction("VLOOKUP(R68, IMPORTRANGE(""https://docs.google.com/spreadsheets/d/1yDAaXNsi4Mr5FtRQL4tbmSdIzhx6_m4wkOD7IG-k_eo/edit#gid=1336395716"", ""Science!M:N""), 2, FALSE)"),"#N/A")</f>
        <v>#N/A</v>
      </c>
      <c r="T68" s="1" t="str">
        <f t="shared" si="17"/>
        <v>.006</v>
      </c>
      <c r="U68" s="15" t="str">
        <f ca="1">IFERROR(__xludf.dummyfunction("VLOOKUP(T68, IMPORTRANGE(""https://docs.google.com/spreadsheets/d/1yDAaXNsi4Mr5FtRQL4tbmSdIzhx6_m4wkOD7IG-k_eo/edit#gid=1336395716"", ""Science!M:N""), 2, FALSE)"),"#N/A")</f>
        <v>#N/A</v>
      </c>
      <c r="V68" s="16" t="str">
        <f ca="1">IFERROR(__xludf.dummyfunction("ArrayFormula(VLOOKUP(G68, IMPORTRANGE(""https://docs.google.com/spreadsheets/d/1p7R4vtkWt5VOBim4ltsDG9KTzSjrtKXsMtQGXPHyND0/edit#gid=795171502"", ""'Filter 30_05_2024'!A1:M2000""), {2, 3, 4, 5,6,7,8,9,10,11,12,13}, 0))"),"#N/A")</f>
        <v>#N/A</v>
      </c>
      <c r="W68" s="16" t="str">
        <f ca="1">IFERROR(__xludf.dummyfunction("""COMPUTED_VALUE"""),"#N/A")</f>
        <v>#N/A</v>
      </c>
      <c r="X68" s="16" t="str">
        <f ca="1">IFERROR(__xludf.dummyfunction("""COMPUTED_VALUE"""),"#N/A")</f>
        <v>#N/A</v>
      </c>
      <c r="Y68" s="16" t="str">
        <f ca="1">IFERROR(__xludf.dummyfunction("""COMPUTED_VALUE"""),"#N/A")</f>
        <v>#N/A</v>
      </c>
      <c r="Z68" s="16" t="str">
        <f ca="1">IFERROR(__xludf.dummyfunction("""COMPUTED_VALUE"""),"#N/A")</f>
        <v>#N/A</v>
      </c>
      <c r="AA68" s="17" t="str">
        <f ca="1">IFERROR(__xludf.dummyfunction("""COMPUTED_VALUE"""),"#N/A")</f>
        <v>#N/A</v>
      </c>
      <c r="AB68" s="17" t="str">
        <f ca="1">IFERROR(__xludf.dummyfunction("""COMPUTED_VALUE"""),"#N/A")</f>
        <v>#N/A</v>
      </c>
      <c r="AC68" s="17" t="str">
        <f ca="1">IFERROR(__xludf.dummyfunction("""COMPUTED_VALUE"""),"#N/A")</f>
        <v>#N/A</v>
      </c>
      <c r="AD68" s="2" t="str">
        <f ca="1">IFERROR(__xludf.dummyfunction("""COMPUTED_VALUE"""),"#N/A")</f>
        <v>#N/A</v>
      </c>
      <c r="AE68" s="2" t="str">
        <f ca="1">IFERROR(__xludf.dummyfunction("""COMPUTED_VALUE"""),"#N/A")</f>
        <v>#N/A</v>
      </c>
      <c r="AF68" s="2" t="str">
        <f ca="1">IFERROR(__xludf.dummyfunction("""COMPUTED_VALUE"""),"#N/A")</f>
        <v>#N/A</v>
      </c>
      <c r="AG68" s="2" t="str">
        <f ca="1">IFERROR(__xludf.dummyfunction("""COMPUTED_VALUE"""),"#N/A")</f>
        <v>#N/A</v>
      </c>
    </row>
    <row r="69" spans="1:33" ht="13.8">
      <c r="F69" s="1"/>
      <c r="H69" s="1"/>
      <c r="I69" s="2"/>
      <c r="J69" s="1" t="str">
        <f t="shared" si="12"/>
        <v>.001</v>
      </c>
      <c r="K69" s="1" t="str">
        <f ca="1">IFERROR(__xludf.dummyfunction("VLOOKUP(J69, IMPORTRANGE(""https://docs.google.com/spreadsheets/d/1yDAaXNsi4Mr5FtRQL4tbmSdIzhx6_m4wkOD7IG-k_eo/edit#gid=1336395716"", ""Science!M:N""), 2, FALSE)"),"#N/A")</f>
        <v>#N/A</v>
      </c>
      <c r="L69" s="1" t="str">
        <f t="shared" si="13"/>
        <v>.002</v>
      </c>
      <c r="M69" s="1" t="str">
        <f ca="1">IFERROR(__xludf.dummyfunction("VLOOKUP(L69, IMPORTRANGE(""https://docs.google.com/spreadsheets/d/1yDAaXNsi4Mr5FtRQL4tbmSdIzhx6_m4wkOD7IG-k_eo/edit#gid=1336395716"", ""Science!M:N""), 2, FALSE)"),"#N/A")</f>
        <v>#N/A</v>
      </c>
      <c r="N69" s="1" t="str">
        <f t="shared" si="14"/>
        <v>.003</v>
      </c>
      <c r="O69" s="1" t="str">
        <f ca="1">IFERROR(__xludf.dummyfunction("VLOOKUP(N69, IMPORTRANGE(""https://docs.google.com/spreadsheets/d/1yDAaXNsi4Mr5FtRQL4tbmSdIzhx6_m4wkOD7IG-k_eo/edit#gid=1336395716"", ""Science!M:N""), 2, FALSE)"),"#N/A")</f>
        <v>#N/A</v>
      </c>
      <c r="P69" s="1" t="str">
        <f t="shared" si="15"/>
        <v>.004</v>
      </c>
      <c r="Q69" s="15" t="str">
        <f ca="1">IFERROR(__xludf.dummyfunction("VLOOKUP(P69, IMPORTRANGE(""https://docs.google.com/spreadsheets/d/1yDAaXNsi4Mr5FtRQL4tbmSdIzhx6_m4wkOD7IG-k_eo/edit#gid=1336395716"", ""Science!M:N""), 2, FALSE)"),"#N/A")</f>
        <v>#N/A</v>
      </c>
      <c r="R69" s="1" t="str">
        <f t="shared" si="16"/>
        <v>.005</v>
      </c>
      <c r="S69" s="15" t="str">
        <f ca="1">IFERROR(__xludf.dummyfunction("VLOOKUP(R69, IMPORTRANGE(""https://docs.google.com/spreadsheets/d/1yDAaXNsi4Mr5FtRQL4tbmSdIzhx6_m4wkOD7IG-k_eo/edit#gid=1336395716"", ""Science!M:N""), 2, FALSE)"),"#N/A")</f>
        <v>#N/A</v>
      </c>
      <c r="T69" s="1" t="str">
        <f t="shared" si="17"/>
        <v>.006</v>
      </c>
      <c r="U69" s="15" t="str">
        <f ca="1">IFERROR(__xludf.dummyfunction("VLOOKUP(T69, IMPORTRANGE(""https://docs.google.com/spreadsheets/d/1yDAaXNsi4Mr5FtRQL4tbmSdIzhx6_m4wkOD7IG-k_eo/edit#gid=1336395716"", ""Science!M:N""), 2, FALSE)"),"#N/A")</f>
        <v>#N/A</v>
      </c>
      <c r="V69" s="16" t="str">
        <f ca="1">IFERROR(__xludf.dummyfunction("ArrayFormula(VLOOKUP(G69, IMPORTRANGE(""https://docs.google.com/spreadsheets/d/1p7R4vtkWt5VOBim4ltsDG9KTzSjrtKXsMtQGXPHyND0/edit#gid=795171502"", ""'Filter 30_05_2024'!A1:M2000""), {2, 3, 4, 5,6,7,8,9,10,11,12,13}, 0))"),"#N/A")</f>
        <v>#N/A</v>
      </c>
      <c r="W69" s="16" t="str">
        <f ca="1">IFERROR(__xludf.dummyfunction("""COMPUTED_VALUE"""),"#N/A")</f>
        <v>#N/A</v>
      </c>
      <c r="X69" s="16" t="str">
        <f ca="1">IFERROR(__xludf.dummyfunction("""COMPUTED_VALUE"""),"#N/A")</f>
        <v>#N/A</v>
      </c>
      <c r="Y69" s="16" t="str">
        <f ca="1">IFERROR(__xludf.dummyfunction("""COMPUTED_VALUE"""),"#N/A")</f>
        <v>#N/A</v>
      </c>
      <c r="Z69" s="16" t="str">
        <f ca="1">IFERROR(__xludf.dummyfunction("""COMPUTED_VALUE"""),"#N/A")</f>
        <v>#N/A</v>
      </c>
      <c r="AA69" s="17" t="str">
        <f ca="1">IFERROR(__xludf.dummyfunction("""COMPUTED_VALUE"""),"#N/A")</f>
        <v>#N/A</v>
      </c>
      <c r="AB69" s="17" t="str">
        <f ca="1">IFERROR(__xludf.dummyfunction("""COMPUTED_VALUE"""),"#N/A")</f>
        <v>#N/A</v>
      </c>
      <c r="AC69" s="17" t="str">
        <f ca="1">IFERROR(__xludf.dummyfunction("""COMPUTED_VALUE"""),"#N/A")</f>
        <v>#N/A</v>
      </c>
      <c r="AD69" s="2" t="str">
        <f ca="1">IFERROR(__xludf.dummyfunction("""COMPUTED_VALUE"""),"#N/A")</f>
        <v>#N/A</v>
      </c>
      <c r="AE69" s="2" t="str">
        <f ca="1">IFERROR(__xludf.dummyfunction("""COMPUTED_VALUE"""),"#N/A")</f>
        <v>#N/A</v>
      </c>
      <c r="AF69" s="2" t="str">
        <f ca="1">IFERROR(__xludf.dummyfunction("""COMPUTED_VALUE"""),"#N/A")</f>
        <v>#N/A</v>
      </c>
      <c r="AG69" s="2" t="str">
        <f ca="1">IFERROR(__xludf.dummyfunction("""COMPUTED_VALUE"""),"#N/A")</f>
        <v>#N/A</v>
      </c>
    </row>
    <row r="70" spans="1:33" ht="13.8">
      <c r="F70" s="1"/>
      <c r="H70" s="1"/>
      <c r="I70" s="2"/>
      <c r="J70" s="1" t="str">
        <f t="shared" si="12"/>
        <v>.001</v>
      </c>
      <c r="K70" s="1" t="str">
        <f ca="1">IFERROR(__xludf.dummyfunction("VLOOKUP(J70, IMPORTRANGE(""https://docs.google.com/spreadsheets/d/1yDAaXNsi4Mr5FtRQL4tbmSdIzhx6_m4wkOD7IG-k_eo/edit#gid=1336395716"", ""Science!M:N""), 2, FALSE)"),"#N/A")</f>
        <v>#N/A</v>
      </c>
      <c r="L70" s="1" t="str">
        <f t="shared" si="13"/>
        <v>.002</v>
      </c>
      <c r="M70" s="1" t="str">
        <f ca="1">IFERROR(__xludf.dummyfunction("VLOOKUP(L70, IMPORTRANGE(""https://docs.google.com/spreadsheets/d/1yDAaXNsi4Mr5FtRQL4tbmSdIzhx6_m4wkOD7IG-k_eo/edit#gid=1336395716"", ""Science!M:N""), 2, FALSE)"),"#N/A")</f>
        <v>#N/A</v>
      </c>
      <c r="N70" s="1" t="str">
        <f t="shared" si="14"/>
        <v>.003</v>
      </c>
      <c r="O70" s="1" t="str">
        <f ca="1">IFERROR(__xludf.dummyfunction("VLOOKUP(N70, IMPORTRANGE(""https://docs.google.com/spreadsheets/d/1yDAaXNsi4Mr5FtRQL4tbmSdIzhx6_m4wkOD7IG-k_eo/edit#gid=1336395716"", ""Science!M:N""), 2, FALSE)"),"#N/A")</f>
        <v>#N/A</v>
      </c>
      <c r="P70" s="1" t="str">
        <f t="shared" si="15"/>
        <v>.004</v>
      </c>
      <c r="Q70" s="15" t="str">
        <f ca="1">IFERROR(__xludf.dummyfunction("VLOOKUP(P70, IMPORTRANGE(""https://docs.google.com/spreadsheets/d/1yDAaXNsi4Mr5FtRQL4tbmSdIzhx6_m4wkOD7IG-k_eo/edit#gid=1336395716"", ""Science!M:N""), 2, FALSE)"),"#N/A")</f>
        <v>#N/A</v>
      </c>
      <c r="R70" s="1" t="str">
        <f t="shared" si="16"/>
        <v>.005</v>
      </c>
      <c r="S70" s="15" t="str">
        <f ca="1">IFERROR(__xludf.dummyfunction("VLOOKUP(R70, IMPORTRANGE(""https://docs.google.com/spreadsheets/d/1yDAaXNsi4Mr5FtRQL4tbmSdIzhx6_m4wkOD7IG-k_eo/edit#gid=1336395716"", ""Science!M:N""), 2, FALSE)"),"#N/A")</f>
        <v>#N/A</v>
      </c>
      <c r="T70" s="1" t="str">
        <f t="shared" si="17"/>
        <v>.006</v>
      </c>
      <c r="U70" s="15" t="str">
        <f ca="1">IFERROR(__xludf.dummyfunction("VLOOKUP(T70, IMPORTRANGE(""https://docs.google.com/spreadsheets/d/1yDAaXNsi4Mr5FtRQL4tbmSdIzhx6_m4wkOD7IG-k_eo/edit#gid=1336395716"", ""Science!M:N""), 2, FALSE)"),"#N/A")</f>
        <v>#N/A</v>
      </c>
      <c r="V70" s="16" t="str">
        <f ca="1">IFERROR(__xludf.dummyfunction("ArrayFormula(VLOOKUP(G70, IMPORTRANGE(""https://docs.google.com/spreadsheets/d/1p7R4vtkWt5VOBim4ltsDG9KTzSjrtKXsMtQGXPHyND0/edit#gid=795171502"", ""'Filter 30_05_2024'!A1:M2000""), {2, 3, 4, 5,6,7,8,9,10,11,12,13}, 0))"),"#N/A")</f>
        <v>#N/A</v>
      </c>
      <c r="W70" s="16" t="str">
        <f ca="1">IFERROR(__xludf.dummyfunction("""COMPUTED_VALUE"""),"#N/A")</f>
        <v>#N/A</v>
      </c>
      <c r="X70" s="16" t="str">
        <f ca="1">IFERROR(__xludf.dummyfunction("""COMPUTED_VALUE"""),"#N/A")</f>
        <v>#N/A</v>
      </c>
      <c r="Y70" s="16" t="str">
        <f ca="1">IFERROR(__xludf.dummyfunction("""COMPUTED_VALUE"""),"#N/A")</f>
        <v>#N/A</v>
      </c>
      <c r="Z70" s="16" t="str">
        <f ca="1">IFERROR(__xludf.dummyfunction("""COMPUTED_VALUE"""),"#N/A")</f>
        <v>#N/A</v>
      </c>
      <c r="AA70" s="17" t="str">
        <f ca="1">IFERROR(__xludf.dummyfunction("""COMPUTED_VALUE"""),"#N/A")</f>
        <v>#N/A</v>
      </c>
      <c r="AB70" s="17" t="str">
        <f ca="1">IFERROR(__xludf.dummyfunction("""COMPUTED_VALUE"""),"#N/A")</f>
        <v>#N/A</v>
      </c>
      <c r="AC70" s="17" t="str">
        <f ca="1">IFERROR(__xludf.dummyfunction("""COMPUTED_VALUE"""),"#N/A")</f>
        <v>#N/A</v>
      </c>
      <c r="AD70" s="2" t="str">
        <f ca="1">IFERROR(__xludf.dummyfunction("""COMPUTED_VALUE"""),"#N/A")</f>
        <v>#N/A</v>
      </c>
      <c r="AE70" s="2" t="str">
        <f ca="1">IFERROR(__xludf.dummyfunction("""COMPUTED_VALUE"""),"#N/A")</f>
        <v>#N/A</v>
      </c>
      <c r="AF70" s="2" t="str">
        <f ca="1">IFERROR(__xludf.dummyfunction("""COMPUTED_VALUE"""),"#N/A")</f>
        <v>#N/A</v>
      </c>
      <c r="AG70" s="2" t="str">
        <f ca="1">IFERROR(__xludf.dummyfunction("""COMPUTED_VALUE"""),"#N/A")</f>
        <v>#N/A</v>
      </c>
    </row>
    <row r="71" spans="1:33" ht="13.8">
      <c r="F71" s="1"/>
      <c r="H71" s="1"/>
      <c r="I71" s="2"/>
      <c r="J71" s="1" t="str">
        <f t="shared" si="12"/>
        <v>.001</v>
      </c>
      <c r="K71" s="1" t="str">
        <f ca="1">IFERROR(__xludf.dummyfunction("VLOOKUP(J71, IMPORTRANGE(""https://docs.google.com/spreadsheets/d/1yDAaXNsi4Mr5FtRQL4tbmSdIzhx6_m4wkOD7IG-k_eo/edit#gid=1336395716"", ""Science!M:N""), 2, FALSE)"),"#N/A")</f>
        <v>#N/A</v>
      </c>
      <c r="L71" s="1" t="str">
        <f t="shared" si="13"/>
        <v>.002</v>
      </c>
      <c r="M71" s="1" t="str">
        <f ca="1">IFERROR(__xludf.dummyfunction("VLOOKUP(L71, IMPORTRANGE(""https://docs.google.com/spreadsheets/d/1yDAaXNsi4Mr5FtRQL4tbmSdIzhx6_m4wkOD7IG-k_eo/edit#gid=1336395716"", ""Science!M:N""), 2, FALSE)"),"#N/A")</f>
        <v>#N/A</v>
      </c>
      <c r="N71" s="1" t="str">
        <f t="shared" si="14"/>
        <v>.003</v>
      </c>
      <c r="O71" s="1" t="str">
        <f ca="1">IFERROR(__xludf.dummyfunction("VLOOKUP(N71, IMPORTRANGE(""https://docs.google.com/spreadsheets/d/1yDAaXNsi4Mr5FtRQL4tbmSdIzhx6_m4wkOD7IG-k_eo/edit#gid=1336395716"", ""Science!M:N""), 2, FALSE)"),"#N/A")</f>
        <v>#N/A</v>
      </c>
      <c r="P71" s="1" t="str">
        <f t="shared" si="15"/>
        <v>.004</v>
      </c>
      <c r="Q71" s="15" t="str">
        <f ca="1">IFERROR(__xludf.dummyfunction("VLOOKUP(P71, IMPORTRANGE(""https://docs.google.com/spreadsheets/d/1yDAaXNsi4Mr5FtRQL4tbmSdIzhx6_m4wkOD7IG-k_eo/edit#gid=1336395716"", ""Science!M:N""), 2, FALSE)"),"#N/A")</f>
        <v>#N/A</v>
      </c>
      <c r="R71" s="1" t="str">
        <f t="shared" si="16"/>
        <v>.005</v>
      </c>
      <c r="S71" s="15" t="str">
        <f ca="1">IFERROR(__xludf.dummyfunction("VLOOKUP(R71, IMPORTRANGE(""https://docs.google.com/spreadsheets/d/1yDAaXNsi4Mr5FtRQL4tbmSdIzhx6_m4wkOD7IG-k_eo/edit#gid=1336395716"", ""Science!M:N""), 2, FALSE)"),"#N/A")</f>
        <v>#N/A</v>
      </c>
      <c r="T71" s="1" t="str">
        <f t="shared" si="17"/>
        <v>.006</v>
      </c>
      <c r="U71" s="15" t="str">
        <f ca="1">IFERROR(__xludf.dummyfunction("VLOOKUP(T71, IMPORTRANGE(""https://docs.google.com/spreadsheets/d/1yDAaXNsi4Mr5FtRQL4tbmSdIzhx6_m4wkOD7IG-k_eo/edit#gid=1336395716"", ""Science!M:N""), 2, FALSE)"),"#N/A")</f>
        <v>#N/A</v>
      </c>
      <c r="V71" s="16" t="str">
        <f ca="1">IFERROR(__xludf.dummyfunction("ArrayFormula(VLOOKUP(G71, IMPORTRANGE(""https://docs.google.com/spreadsheets/d/1p7R4vtkWt5VOBim4ltsDG9KTzSjrtKXsMtQGXPHyND0/edit#gid=795171502"", ""'Filter 30_05_2024'!A1:M2000""), {2, 3, 4, 5,6,7,8,9,10,11,12,13}, 0))"),"#N/A")</f>
        <v>#N/A</v>
      </c>
      <c r="W71" s="16" t="str">
        <f ca="1">IFERROR(__xludf.dummyfunction("""COMPUTED_VALUE"""),"#N/A")</f>
        <v>#N/A</v>
      </c>
      <c r="X71" s="16" t="str">
        <f ca="1">IFERROR(__xludf.dummyfunction("""COMPUTED_VALUE"""),"#N/A")</f>
        <v>#N/A</v>
      </c>
      <c r="Y71" s="16" t="str">
        <f ca="1">IFERROR(__xludf.dummyfunction("""COMPUTED_VALUE"""),"#N/A")</f>
        <v>#N/A</v>
      </c>
      <c r="Z71" s="16" t="str">
        <f ca="1">IFERROR(__xludf.dummyfunction("""COMPUTED_VALUE"""),"#N/A")</f>
        <v>#N/A</v>
      </c>
      <c r="AA71" s="17" t="str">
        <f ca="1">IFERROR(__xludf.dummyfunction("""COMPUTED_VALUE"""),"#N/A")</f>
        <v>#N/A</v>
      </c>
      <c r="AB71" s="17" t="str">
        <f ca="1">IFERROR(__xludf.dummyfunction("""COMPUTED_VALUE"""),"#N/A")</f>
        <v>#N/A</v>
      </c>
      <c r="AC71" s="17" t="str">
        <f ca="1">IFERROR(__xludf.dummyfunction("""COMPUTED_VALUE"""),"#N/A")</f>
        <v>#N/A</v>
      </c>
      <c r="AD71" s="2" t="str">
        <f ca="1">IFERROR(__xludf.dummyfunction("""COMPUTED_VALUE"""),"#N/A")</f>
        <v>#N/A</v>
      </c>
      <c r="AE71" s="2" t="str">
        <f ca="1">IFERROR(__xludf.dummyfunction("""COMPUTED_VALUE"""),"#N/A")</f>
        <v>#N/A</v>
      </c>
      <c r="AF71" s="2" t="str">
        <f ca="1">IFERROR(__xludf.dummyfunction("""COMPUTED_VALUE"""),"#N/A")</f>
        <v>#N/A</v>
      </c>
      <c r="AG71" s="2" t="str">
        <f ca="1">IFERROR(__xludf.dummyfunction("""COMPUTED_VALUE"""),"#N/A")</f>
        <v>#N/A</v>
      </c>
    </row>
    <row r="72" spans="1:33" ht="13.8">
      <c r="F72" s="1"/>
      <c r="H72" s="1"/>
      <c r="I72" s="2"/>
      <c r="J72" s="1" t="str">
        <f t="shared" si="12"/>
        <v>.001</v>
      </c>
      <c r="K72" s="1" t="str">
        <f ca="1">IFERROR(__xludf.dummyfunction("VLOOKUP(J72, IMPORTRANGE(""https://docs.google.com/spreadsheets/d/1yDAaXNsi4Mr5FtRQL4tbmSdIzhx6_m4wkOD7IG-k_eo/edit#gid=1336395716"", ""Science!M:N""), 2, FALSE)"),"#N/A")</f>
        <v>#N/A</v>
      </c>
      <c r="L72" s="1" t="str">
        <f t="shared" si="13"/>
        <v>.002</v>
      </c>
      <c r="M72" s="1" t="str">
        <f ca="1">IFERROR(__xludf.dummyfunction("VLOOKUP(L72, IMPORTRANGE(""https://docs.google.com/spreadsheets/d/1yDAaXNsi4Mr5FtRQL4tbmSdIzhx6_m4wkOD7IG-k_eo/edit#gid=1336395716"", ""Science!M:N""), 2, FALSE)"),"#N/A")</f>
        <v>#N/A</v>
      </c>
      <c r="N72" s="1" t="str">
        <f t="shared" si="14"/>
        <v>.003</v>
      </c>
      <c r="O72" s="1" t="str">
        <f ca="1">IFERROR(__xludf.dummyfunction("VLOOKUP(N72, IMPORTRANGE(""https://docs.google.com/spreadsheets/d/1yDAaXNsi4Mr5FtRQL4tbmSdIzhx6_m4wkOD7IG-k_eo/edit#gid=1336395716"", ""Science!M:N""), 2, FALSE)"),"#N/A")</f>
        <v>#N/A</v>
      </c>
      <c r="P72" s="1" t="str">
        <f t="shared" si="15"/>
        <v>.004</v>
      </c>
      <c r="Q72" s="15" t="str">
        <f ca="1">IFERROR(__xludf.dummyfunction("VLOOKUP(P72, IMPORTRANGE(""https://docs.google.com/spreadsheets/d/1yDAaXNsi4Mr5FtRQL4tbmSdIzhx6_m4wkOD7IG-k_eo/edit#gid=1336395716"", ""Science!M:N""), 2, FALSE)"),"#N/A")</f>
        <v>#N/A</v>
      </c>
      <c r="R72" s="1" t="str">
        <f t="shared" si="16"/>
        <v>.005</v>
      </c>
      <c r="S72" s="15" t="str">
        <f ca="1">IFERROR(__xludf.dummyfunction("VLOOKUP(R72, IMPORTRANGE(""https://docs.google.com/spreadsheets/d/1yDAaXNsi4Mr5FtRQL4tbmSdIzhx6_m4wkOD7IG-k_eo/edit#gid=1336395716"", ""Science!M:N""), 2, FALSE)"),"#N/A")</f>
        <v>#N/A</v>
      </c>
      <c r="T72" s="1" t="str">
        <f t="shared" si="17"/>
        <v>.006</v>
      </c>
      <c r="U72" s="15" t="str">
        <f ca="1">IFERROR(__xludf.dummyfunction("VLOOKUP(T72, IMPORTRANGE(""https://docs.google.com/spreadsheets/d/1yDAaXNsi4Mr5FtRQL4tbmSdIzhx6_m4wkOD7IG-k_eo/edit#gid=1336395716"", ""Science!M:N""), 2, FALSE)"),"#N/A")</f>
        <v>#N/A</v>
      </c>
      <c r="V72" s="16" t="str">
        <f ca="1">IFERROR(__xludf.dummyfunction("ArrayFormula(VLOOKUP(G72, IMPORTRANGE(""https://docs.google.com/spreadsheets/d/1p7R4vtkWt5VOBim4ltsDG9KTzSjrtKXsMtQGXPHyND0/edit#gid=795171502"", ""'Filter 30_05_2024'!A1:M2000""), {2, 3, 4, 5,6,7,8,9,10,11,12,13}, 0))"),"#N/A")</f>
        <v>#N/A</v>
      </c>
      <c r="W72" s="16" t="str">
        <f ca="1">IFERROR(__xludf.dummyfunction("""COMPUTED_VALUE"""),"#N/A")</f>
        <v>#N/A</v>
      </c>
      <c r="X72" s="16" t="str">
        <f ca="1">IFERROR(__xludf.dummyfunction("""COMPUTED_VALUE"""),"#N/A")</f>
        <v>#N/A</v>
      </c>
      <c r="Y72" s="16" t="str">
        <f ca="1">IFERROR(__xludf.dummyfunction("""COMPUTED_VALUE"""),"#N/A")</f>
        <v>#N/A</v>
      </c>
      <c r="Z72" s="16" t="str">
        <f ca="1">IFERROR(__xludf.dummyfunction("""COMPUTED_VALUE"""),"#N/A")</f>
        <v>#N/A</v>
      </c>
      <c r="AA72" s="17" t="str">
        <f ca="1">IFERROR(__xludf.dummyfunction("""COMPUTED_VALUE"""),"#N/A")</f>
        <v>#N/A</v>
      </c>
      <c r="AB72" s="17" t="str">
        <f ca="1">IFERROR(__xludf.dummyfunction("""COMPUTED_VALUE"""),"#N/A")</f>
        <v>#N/A</v>
      </c>
      <c r="AC72" s="17" t="str">
        <f ca="1">IFERROR(__xludf.dummyfunction("""COMPUTED_VALUE"""),"#N/A")</f>
        <v>#N/A</v>
      </c>
      <c r="AD72" s="2" t="str">
        <f ca="1">IFERROR(__xludf.dummyfunction("""COMPUTED_VALUE"""),"#N/A")</f>
        <v>#N/A</v>
      </c>
      <c r="AE72" s="2" t="str">
        <f ca="1">IFERROR(__xludf.dummyfunction("""COMPUTED_VALUE"""),"#N/A")</f>
        <v>#N/A</v>
      </c>
      <c r="AF72" s="2" t="str">
        <f ca="1">IFERROR(__xludf.dummyfunction("""COMPUTED_VALUE"""),"#N/A")</f>
        <v>#N/A</v>
      </c>
      <c r="AG72" s="2" t="str">
        <f ca="1">IFERROR(__xludf.dummyfunction("""COMPUTED_VALUE"""),"#N/A")</f>
        <v>#N/A</v>
      </c>
    </row>
    <row r="73" spans="1:33" ht="13.8">
      <c r="F73" s="1"/>
      <c r="H73" s="1"/>
      <c r="I73" s="2"/>
      <c r="J73" s="1" t="str">
        <f t="shared" si="12"/>
        <v>.001</v>
      </c>
      <c r="K73" s="1" t="str">
        <f ca="1">IFERROR(__xludf.dummyfunction("VLOOKUP(J73, IMPORTRANGE(""https://docs.google.com/spreadsheets/d/1yDAaXNsi4Mr5FtRQL4tbmSdIzhx6_m4wkOD7IG-k_eo/edit#gid=1336395716"", ""Science!M:N""), 2, FALSE)"),"#N/A")</f>
        <v>#N/A</v>
      </c>
      <c r="L73" s="1" t="str">
        <f t="shared" si="13"/>
        <v>.002</v>
      </c>
      <c r="M73" s="1" t="str">
        <f ca="1">IFERROR(__xludf.dummyfunction("VLOOKUP(L73, IMPORTRANGE(""https://docs.google.com/spreadsheets/d/1yDAaXNsi4Mr5FtRQL4tbmSdIzhx6_m4wkOD7IG-k_eo/edit#gid=1336395716"", ""Science!M:N""), 2, FALSE)"),"#N/A")</f>
        <v>#N/A</v>
      </c>
      <c r="N73" s="1" t="str">
        <f t="shared" si="14"/>
        <v>.003</v>
      </c>
      <c r="O73" s="1" t="str">
        <f ca="1">IFERROR(__xludf.dummyfunction("VLOOKUP(N73, IMPORTRANGE(""https://docs.google.com/spreadsheets/d/1yDAaXNsi4Mr5FtRQL4tbmSdIzhx6_m4wkOD7IG-k_eo/edit#gid=1336395716"", ""Science!M:N""), 2, FALSE)"),"#N/A")</f>
        <v>#N/A</v>
      </c>
      <c r="P73" s="1" t="str">
        <f t="shared" si="15"/>
        <v>.004</v>
      </c>
      <c r="Q73" s="15" t="str">
        <f ca="1">IFERROR(__xludf.dummyfunction("VLOOKUP(P73, IMPORTRANGE(""https://docs.google.com/spreadsheets/d/1yDAaXNsi4Mr5FtRQL4tbmSdIzhx6_m4wkOD7IG-k_eo/edit#gid=1336395716"", ""Science!M:N""), 2, FALSE)"),"#N/A")</f>
        <v>#N/A</v>
      </c>
      <c r="R73" s="1" t="str">
        <f t="shared" si="16"/>
        <v>.005</v>
      </c>
      <c r="S73" s="15" t="str">
        <f ca="1">IFERROR(__xludf.dummyfunction("VLOOKUP(R73, IMPORTRANGE(""https://docs.google.com/spreadsheets/d/1yDAaXNsi4Mr5FtRQL4tbmSdIzhx6_m4wkOD7IG-k_eo/edit#gid=1336395716"", ""Science!M:N""), 2, FALSE)"),"#N/A")</f>
        <v>#N/A</v>
      </c>
      <c r="T73" s="1" t="str">
        <f t="shared" si="17"/>
        <v>.006</v>
      </c>
      <c r="U73" s="15" t="str">
        <f ca="1">IFERROR(__xludf.dummyfunction("VLOOKUP(T73, IMPORTRANGE(""https://docs.google.com/spreadsheets/d/1yDAaXNsi4Mr5FtRQL4tbmSdIzhx6_m4wkOD7IG-k_eo/edit#gid=1336395716"", ""Science!M:N""), 2, FALSE)"),"#N/A")</f>
        <v>#N/A</v>
      </c>
      <c r="V73" s="16" t="str">
        <f ca="1">IFERROR(__xludf.dummyfunction("ArrayFormula(VLOOKUP(G73, IMPORTRANGE(""https://docs.google.com/spreadsheets/d/1p7R4vtkWt5VOBim4ltsDG9KTzSjrtKXsMtQGXPHyND0/edit#gid=795171502"", ""'Filter 30_05_2024'!A1:M2000""), {2, 3, 4, 5,6,7,8,9,10,11,12,13}, 0))"),"#N/A")</f>
        <v>#N/A</v>
      </c>
      <c r="W73" s="16" t="str">
        <f ca="1">IFERROR(__xludf.dummyfunction("""COMPUTED_VALUE"""),"#N/A")</f>
        <v>#N/A</v>
      </c>
      <c r="X73" s="16" t="str">
        <f ca="1">IFERROR(__xludf.dummyfunction("""COMPUTED_VALUE"""),"#N/A")</f>
        <v>#N/A</v>
      </c>
      <c r="Y73" s="16" t="str">
        <f ca="1">IFERROR(__xludf.dummyfunction("""COMPUTED_VALUE"""),"#N/A")</f>
        <v>#N/A</v>
      </c>
      <c r="Z73" s="16" t="str">
        <f ca="1">IFERROR(__xludf.dummyfunction("""COMPUTED_VALUE"""),"#N/A")</f>
        <v>#N/A</v>
      </c>
      <c r="AA73" s="17" t="str">
        <f ca="1">IFERROR(__xludf.dummyfunction("""COMPUTED_VALUE"""),"#N/A")</f>
        <v>#N/A</v>
      </c>
      <c r="AB73" s="17" t="str">
        <f ca="1">IFERROR(__xludf.dummyfunction("""COMPUTED_VALUE"""),"#N/A")</f>
        <v>#N/A</v>
      </c>
      <c r="AC73" s="17" t="str">
        <f ca="1">IFERROR(__xludf.dummyfunction("""COMPUTED_VALUE"""),"#N/A")</f>
        <v>#N/A</v>
      </c>
      <c r="AD73" s="2" t="str">
        <f ca="1">IFERROR(__xludf.dummyfunction("""COMPUTED_VALUE"""),"#N/A")</f>
        <v>#N/A</v>
      </c>
      <c r="AE73" s="2" t="str">
        <f ca="1">IFERROR(__xludf.dummyfunction("""COMPUTED_VALUE"""),"#N/A")</f>
        <v>#N/A</v>
      </c>
      <c r="AF73" s="2" t="str">
        <f ca="1">IFERROR(__xludf.dummyfunction("""COMPUTED_VALUE"""),"#N/A")</f>
        <v>#N/A</v>
      </c>
      <c r="AG73" s="2" t="str">
        <f ca="1">IFERROR(__xludf.dummyfunction("""COMPUTED_VALUE"""),"#N/A")</f>
        <v>#N/A</v>
      </c>
    </row>
    <row r="74" spans="1:33" ht="13.8">
      <c r="F74" s="1"/>
      <c r="H74" s="1"/>
      <c r="I74" s="2"/>
      <c r="J74" s="1" t="str">
        <f t="shared" si="12"/>
        <v>.001</v>
      </c>
      <c r="K74" s="1" t="str">
        <f ca="1">IFERROR(__xludf.dummyfunction("VLOOKUP(J74, IMPORTRANGE(""https://docs.google.com/spreadsheets/d/1yDAaXNsi4Mr5FtRQL4tbmSdIzhx6_m4wkOD7IG-k_eo/edit#gid=1336395716"", ""Science!M:N""), 2, FALSE)"),"#N/A")</f>
        <v>#N/A</v>
      </c>
      <c r="L74" s="1" t="str">
        <f t="shared" si="13"/>
        <v>.002</v>
      </c>
      <c r="M74" s="1" t="str">
        <f ca="1">IFERROR(__xludf.dummyfunction("VLOOKUP(L74, IMPORTRANGE(""https://docs.google.com/spreadsheets/d/1yDAaXNsi4Mr5FtRQL4tbmSdIzhx6_m4wkOD7IG-k_eo/edit#gid=1336395716"", ""Science!M:N""), 2, FALSE)"),"#N/A")</f>
        <v>#N/A</v>
      </c>
      <c r="N74" s="1" t="str">
        <f t="shared" si="14"/>
        <v>.003</v>
      </c>
      <c r="O74" s="1" t="str">
        <f ca="1">IFERROR(__xludf.dummyfunction("VLOOKUP(N74, IMPORTRANGE(""https://docs.google.com/spreadsheets/d/1yDAaXNsi4Mr5FtRQL4tbmSdIzhx6_m4wkOD7IG-k_eo/edit#gid=1336395716"", ""Science!M:N""), 2, FALSE)"),"#N/A")</f>
        <v>#N/A</v>
      </c>
      <c r="P74" s="1" t="str">
        <f t="shared" si="15"/>
        <v>.004</v>
      </c>
      <c r="Q74" s="15" t="str">
        <f ca="1">IFERROR(__xludf.dummyfunction("VLOOKUP(P74, IMPORTRANGE(""https://docs.google.com/spreadsheets/d/1yDAaXNsi4Mr5FtRQL4tbmSdIzhx6_m4wkOD7IG-k_eo/edit#gid=1336395716"", ""Science!M:N""), 2, FALSE)"),"#N/A")</f>
        <v>#N/A</v>
      </c>
      <c r="R74" s="1" t="str">
        <f t="shared" si="16"/>
        <v>.005</v>
      </c>
      <c r="S74" s="15" t="str">
        <f ca="1">IFERROR(__xludf.dummyfunction("VLOOKUP(R74, IMPORTRANGE(""https://docs.google.com/spreadsheets/d/1yDAaXNsi4Mr5FtRQL4tbmSdIzhx6_m4wkOD7IG-k_eo/edit#gid=1336395716"", ""Science!M:N""), 2, FALSE)"),"#N/A")</f>
        <v>#N/A</v>
      </c>
      <c r="T74" s="1" t="str">
        <f t="shared" si="17"/>
        <v>.006</v>
      </c>
      <c r="U74" s="15" t="str">
        <f ca="1">IFERROR(__xludf.dummyfunction("VLOOKUP(T74, IMPORTRANGE(""https://docs.google.com/spreadsheets/d/1yDAaXNsi4Mr5FtRQL4tbmSdIzhx6_m4wkOD7IG-k_eo/edit#gid=1336395716"", ""Science!M:N""), 2, FALSE)"),"#N/A")</f>
        <v>#N/A</v>
      </c>
      <c r="V74" s="16" t="str">
        <f ca="1">IFERROR(__xludf.dummyfunction("ArrayFormula(VLOOKUP(G74, IMPORTRANGE(""https://docs.google.com/spreadsheets/d/1p7R4vtkWt5VOBim4ltsDG9KTzSjrtKXsMtQGXPHyND0/edit#gid=795171502"", ""'Filter 30_05_2024'!A1:M2000""), {2, 3, 4, 5,6,7,8,9,10,11,12,13}, 0))"),"#N/A")</f>
        <v>#N/A</v>
      </c>
      <c r="W74" s="16" t="str">
        <f ca="1">IFERROR(__xludf.dummyfunction("""COMPUTED_VALUE"""),"#N/A")</f>
        <v>#N/A</v>
      </c>
      <c r="X74" s="16" t="str">
        <f ca="1">IFERROR(__xludf.dummyfunction("""COMPUTED_VALUE"""),"#N/A")</f>
        <v>#N/A</v>
      </c>
      <c r="Y74" s="16" t="str">
        <f ca="1">IFERROR(__xludf.dummyfunction("""COMPUTED_VALUE"""),"#N/A")</f>
        <v>#N/A</v>
      </c>
      <c r="Z74" s="16" t="str">
        <f ca="1">IFERROR(__xludf.dummyfunction("""COMPUTED_VALUE"""),"#N/A")</f>
        <v>#N/A</v>
      </c>
      <c r="AA74" s="17" t="str">
        <f ca="1">IFERROR(__xludf.dummyfunction("""COMPUTED_VALUE"""),"#N/A")</f>
        <v>#N/A</v>
      </c>
      <c r="AB74" s="17" t="str">
        <f ca="1">IFERROR(__xludf.dummyfunction("""COMPUTED_VALUE"""),"#N/A")</f>
        <v>#N/A</v>
      </c>
      <c r="AC74" s="17" t="str">
        <f ca="1">IFERROR(__xludf.dummyfunction("""COMPUTED_VALUE"""),"#N/A")</f>
        <v>#N/A</v>
      </c>
      <c r="AD74" s="2" t="str">
        <f ca="1">IFERROR(__xludf.dummyfunction("""COMPUTED_VALUE"""),"#N/A")</f>
        <v>#N/A</v>
      </c>
      <c r="AE74" s="2" t="str">
        <f ca="1">IFERROR(__xludf.dummyfunction("""COMPUTED_VALUE"""),"#N/A")</f>
        <v>#N/A</v>
      </c>
      <c r="AF74" s="2" t="str">
        <f ca="1">IFERROR(__xludf.dummyfunction("""COMPUTED_VALUE"""),"#N/A")</f>
        <v>#N/A</v>
      </c>
      <c r="AG74" s="2" t="str">
        <f ca="1">IFERROR(__xludf.dummyfunction("""COMPUTED_VALUE"""),"#N/A")</f>
        <v>#N/A</v>
      </c>
    </row>
    <row r="75" spans="1:33" ht="13.8">
      <c r="F75" s="1"/>
      <c r="H75" s="1"/>
      <c r="I75" s="2"/>
      <c r="J75" s="1" t="str">
        <f t="shared" si="12"/>
        <v>.001</v>
      </c>
      <c r="K75" s="1" t="str">
        <f ca="1">IFERROR(__xludf.dummyfunction("VLOOKUP(J75, IMPORTRANGE(""https://docs.google.com/spreadsheets/d/1yDAaXNsi4Mr5FtRQL4tbmSdIzhx6_m4wkOD7IG-k_eo/edit#gid=1336395716"", ""Science!M:N""), 2, FALSE)"),"#N/A")</f>
        <v>#N/A</v>
      </c>
      <c r="L75" s="1" t="str">
        <f t="shared" si="13"/>
        <v>.002</v>
      </c>
      <c r="M75" s="1" t="str">
        <f ca="1">IFERROR(__xludf.dummyfunction("VLOOKUP(L75, IMPORTRANGE(""https://docs.google.com/spreadsheets/d/1yDAaXNsi4Mr5FtRQL4tbmSdIzhx6_m4wkOD7IG-k_eo/edit#gid=1336395716"", ""Science!M:N""), 2, FALSE)"),"#N/A")</f>
        <v>#N/A</v>
      </c>
      <c r="N75" s="1" t="str">
        <f t="shared" si="14"/>
        <v>.003</v>
      </c>
      <c r="O75" s="1" t="str">
        <f ca="1">IFERROR(__xludf.dummyfunction("VLOOKUP(N75, IMPORTRANGE(""https://docs.google.com/spreadsheets/d/1yDAaXNsi4Mr5FtRQL4tbmSdIzhx6_m4wkOD7IG-k_eo/edit#gid=1336395716"", ""Science!M:N""), 2, FALSE)"),"#N/A")</f>
        <v>#N/A</v>
      </c>
      <c r="P75" s="1" t="str">
        <f t="shared" si="15"/>
        <v>.004</v>
      </c>
      <c r="Q75" s="15" t="str">
        <f ca="1">IFERROR(__xludf.dummyfunction("VLOOKUP(P75, IMPORTRANGE(""https://docs.google.com/spreadsheets/d/1yDAaXNsi4Mr5FtRQL4tbmSdIzhx6_m4wkOD7IG-k_eo/edit#gid=1336395716"", ""Science!M:N""), 2, FALSE)"),"#N/A")</f>
        <v>#N/A</v>
      </c>
      <c r="R75" s="1" t="str">
        <f t="shared" si="16"/>
        <v>.005</v>
      </c>
      <c r="S75" s="15" t="str">
        <f ca="1">IFERROR(__xludf.dummyfunction("VLOOKUP(R75, IMPORTRANGE(""https://docs.google.com/spreadsheets/d/1yDAaXNsi4Mr5FtRQL4tbmSdIzhx6_m4wkOD7IG-k_eo/edit#gid=1336395716"", ""Science!M:N""), 2, FALSE)"),"#N/A")</f>
        <v>#N/A</v>
      </c>
      <c r="T75" s="1" t="str">
        <f t="shared" si="17"/>
        <v>.006</v>
      </c>
      <c r="U75" s="15" t="str">
        <f ca="1">IFERROR(__xludf.dummyfunction("VLOOKUP(T75, IMPORTRANGE(""https://docs.google.com/spreadsheets/d/1yDAaXNsi4Mr5FtRQL4tbmSdIzhx6_m4wkOD7IG-k_eo/edit#gid=1336395716"", ""Science!M:N""), 2, FALSE)"),"#N/A")</f>
        <v>#N/A</v>
      </c>
      <c r="V75" s="16" t="str">
        <f ca="1">IFERROR(__xludf.dummyfunction("ArrayFormula(VLOOKUP(G75, IMPORTRANGE(""https://docs.google.com/spreadsheets/d/1p7R4vtkWt5VOBim4ltsDG9KTzSjrtKXsMtQGXPHyND0/edit#gid=795171502"", ""'Filter 30_05_2024'!A1:M2000""), {2, 3, 4, 5,6,7,8,9,10,11,12,13}, 0))"),"#N/A")</f>
        <v>#N/A</v>
      </c>
      <c r="W75" s="16" t="str">
        <f ca="1">IFERROR(__xludf.dummyfunction("""COMPUTED_VALUE"""),"#N/A")</f>
        <v>#N/A</v>
      </c>
      <c r="X75" s="16" t="str">
        <f ca="1">IFERROR(__xludf.dummyfunction("""COMPUTED_VALUE"""),"#N/A")</f>
        <v>#N/A</v>
      </c>
      <c r="Y75" s="16" t="str">
        <f ca="1">IFERROR(__xludf.dummyfunction("""COMPUTED_VALUE"""),"#N/A")</f>
        <v>#N/A</v>
      </c>
      <c r="Z75" s="16" t="str">
        <f ca="1">IFERROR(__xludf.dummyfunction("""COMPUTED_VALUE"""),"#N/A")</f>
        <v>#N/A</v>
      </c>
      <c r="AA75" s="17" t="str">
        <f ca="1">IFERROR(__xludf.dummyfunction("""COMPUTED_VALUE"""),"#N/A")</f>
        <v>#N/A</v>
      </c>
      <c r="AB75" s="17" t="str">
        <f ca="1">IFERROR(__xludf.dummyfunction("""COMPUTED_VALUE"""),"#N/A")</f>
        <v>#N/A</v>
      </c>
      <c r="AC75" s="17" t="str">
        <f ca="1">IFERROR(__xludf.dummyfunction("""COMPUTED_VALUE"""),"#N/A")</f>
        <v>#N/A</v>
      </c>
      <c r="AD75" s="2" t="str">
        <f ca="1">IFERROR(__xludf.dummyfunction("""COMPUTED_VALUE"""),"#N/A")</f>
        <v>#N/A</v>
      </c>
      <c r="AE75" s="2" t="str">
        <f ca="1">IFERROR(__xludf.dummyfunction("""COMPUTED_VALUE"""),"#N/A")</f>
        <v>#N/A</v>
      </c>
      <c r="AF75" s="2" t="str">
        <f ca="1">IFERROR(__xludf.dummyfunction("""COMPUTED_VALUE"""),"#N/A")</f>
        <v>#N/A</v>
      </c>
      <c r="AG75" s="2" t="str">
        <f ca="1">IFERROR(__xludf.dummyfunction("""COMPUTED_VALUE"""),"#N/A")</f>
        <v>#N/A</v>
      </c>
    </row>
    <row r="76" spans="1:33" ht="13.8">
      <c r="F76" s="1"/>
      <c r="H76" s="1"/>
      <c r="I76" s="2"/>
      <c r="J76" s="1" t="str">
        <f t="shared" si="12"/>
        <v>.001</v>
      </c>
      <c r="K76" s="1" t="str">
        <f ca="1">IFERROR(__xludf.dummyfunction("VLOOKUP(J76, IMPORTRANGE(""https://docs.google.com/spreadsheets/d/1yDAaXNsi4Mr5FtRQL4tbmSdIzhx6_m4wkOD7IG-k_eo/edit#gid=1336395716"", ""Science!M:N""), 2, FALSE)"),"#N/A")</f>
        <v>#N/A</v>
      </c>
      <c r="L76" s="1" t="str">
        <f t="shared" si="13"/>
        <v>.002</v>
      </c>
      <c r="M76" s="1" t="str">
        <f ca="1">IFERROR(__xludf.dummyfunction("VLOOKUP(L76, IMPORTRANGE(""https://docs.google.com/spreadsheets/d/1yDAaXNsi4Mr5FtRQL4tbmSdIzhx6_m4wkOD7IG-k_eo/edit#gid=1336395716"", ""Science!M:N""), 2, FALSE)"),"#N/A")</f>
        <v>#N/A</v>
      </c>
      <c r="N76" s="1" t="str">
        <f t="shared" si="14"/>
        <v>.003</v>
      </c>
      <c r="O76" s="1" t="str">
        <f ca="1">IFERROR(__xludf.dummyfunction("VLOOKUP(N76, IMPORTRANGE(""https://docs.google.com/spreadsheets/d/1yDAaXNsi4Mr5FtRQL4tbmSdIzhx6_m4wkOD7IG-k_eo/edit#gid=1336395716"", ""Science!M:N""), 2, FALSE)"),"#N/A")</f>
        <v>#N/A</v>
      </c>
      <c r="P76" s="1" t="str">
        <f t="shared" si="15"/>
        <v>.004</v>
      </c>
      <c r="Q76" s="15" t="str">
        <f ca="1">IFERROR(__xludf.dummyfunction("VLOOKUP(P76, IMPORTRANGE(""https://docs.google.com/spreadsheets/d/1yDAaXNsi4Mr5FtRQL4tbmSdIzhx6_m4wkOD7IG-k_eo/edit#gid=1336395716"", ""Science!M:N""), 2, FALSE)"),"#N/A")</f>
        <v>#N/A</v>
      </c>
      <c r="R76" s="1" t="str">
        <f t="shared" si="16"/>
        <v>.005</v>
      </c>
      <c r="S76" s="15" t="str">
        <f ca="1">IFERROR(__xludf.dummyfunction("VLOOKUP(R76, IMPORTRANGE(""https://docs.google.com/spreadsheets/d/1yDAaXNsi4Mr5FtRQL4tbmSdIzhx6_m4wkOD7IG-k_eo/edit#gid=1336395716"", ""Science!M:N""), 2, FALSE)"),"#N/A")</f>
        <v>#N/A</v>
      </c>
      <c r="T76" s="1" t="str">
        <f t="shared" si="17"/>
        <v>.006</v>
      </c>
      <c r="U76" s="15" t="str">
        <f ca="1">IFERROR(__xludf.dummyfunction("VLOOKUP(T76, IMPORTRANGE(""https://docs.google.com/spreadsheets/d/1yDAaXNsi4Mr5FtRQL4tbmSdIzhx6_m4wkOD7IG-k_eo/edit#gid=1336395716"", ""Science!M:N""), 2, FALSE)"),"#N/A")</f>
        <v>#N/A</v>
      </c>
      <c r="V76" s="16" t="str">
        <f ca="1">IFERROR(__xludf.dummyfunction("ArrayFormula(VLOOKUP(G76, IMPORTRANGE(""https://docs.google.com/spreadsheets/d/1p7R4vtkWt5VOBim4ltsDG9KTzSjrtKXsMtQGXPHyND0/edit#gid=795171502"", ""'Filter 30_05_2024'!A1:M2000""), {2, 3, 4, 5,6,7,8,9,10,11,12,13}, 0))"),"#N/A")</f>
        <v>#N/A</v>
      </c>
      <c r="W76" s="16" t="str">
        <f ca="1">IFERROR(__xludf.dummyfunction("""COMPUTED_VALUE"""),"#N/A")</f>
        <v>#N/A</v>
      </c>
      <c r="X76" s="16" t="str">
        <f ca="1">IFERROR(__xludf.dummyfunction("""COMPUTED_VALUE"""),"#N/A")</f>
        <v>#N/A</v>
      </c>
      <c r="Y76" s="16" t="str">
        <f ca="1">IFERROR(__xludf.dummyfunction("""COMPUTED_VALUE"""),"#N/A")</f>
        <v>#N/A</v>
      </c>
      <c r="Z76" s="16" t="str">
        <f ca="1">IFERROR(__xludf.dummyfunction("""COMPUTED_VALUE"""),"#N/A")</f>
        <v>#N/A</v>
      </c>
      <c r="AA76" s="17" t="str">
        <f ca="1">IFERROR(__xludf.dummyfunction("""COMPUTED_VALUE"""),"#N/A")</f>
        <v>#N/A</v>
      </c>
      <c r="AB76" s="17" t="str">
        <f ca="1">IFERROR(__xludf.dummyfunction("""COMPUTED_VALUE"""),"#N/A")</f>
        <v>#N/A</v>
      </c>
      <c r="AC76" s="17" t="str">
        <f ca="1">IFERROR(__xludf.dummyfunction("""COMPUTED_VALUE"""),"#N/A")</f>
        <v>#N/A</v>
      </c>
      <c r="AD76" s="2" t="str">
        <f ca="1">IFERROR(__xludf.dummyfunction("""COMPUTED_VALUE"""),"#N/A")</f>
        <v>#N/A</v>
      </c>
      <c r="AE76" s="2" t="str">
        <f ca="1">IFERROR(__xludf.dummyfunction("""COMPUTED_VALUE"""),"#N/A")</f>
        <v>#N/A</v>
      </c>
      <c r="AF76" s="2" t="str">
        <f ca="1">IFERROR(__xludf.dummyfunction("""COMPUTED_VALUE"""),"#N/A")</f>
        <v>#N/A</v>
      </c>
      <c r="AG76" s="2" t="str">
        <f ca="1">IFERROR(__xludf.dummyfunction("""COMPUTED_VALUE"""),"#N/A")</f>
        <v>#N/A</v>
      </c>
    </row>
    <row r="77" spans="1:33" ht="13.8">
      <c r="F77" s="1"/>
      <c r="H77" s="1"/>
      <c r="I77" s="2"/>
      <c r="J77" s="1" t="str">
        <f t="shared" si="12"/>
        <v>.001</v>
      </c>
      <c r="K77" s="1" t="str">
        <f ca="1">IFERROR(__xludf.dummyfunction("VLOOKUP(J77, IMPORTRANGE(""https://docs.google.com/spreadsheets/d/1yDAaXNsi4Mr5FtRQL4tbmSdIzhx6_m4wkOD7IG-k_eo/edit#gid=1336395716"", ""Science!M:N""), 2, FALSE)"),"#N/A")</f>
        <v>#N/A</v>
      </c>
      <c r="L77" s="1" t="str">
        <f t="shared" si="13"/>
        <v>.002</v>
      </c>
      <c r="M77" s="1" t="str">
        <f ca="1">IFERROR(__xludf.dummyfunction("VLOOKUP(L77, IMPORTRANGE(""https://docs.google.com/spreadsheets/d/1yDAaXNsi4Mr5FtRQL4tbmSdIzhx6_m4wkOD7IG-k_eo/edit#gid=1336395716"", ""Science!M:N""), 2, FALSE)"),"#N/A")</f>
        <v>#N/A</v>
      </c>
      <c r="N77" s="1" t="str">
        <f t="shared" si="14"/>
        <v>.003</v>
      </c>
      <c r="O77" s="1" t="str">
        <f ca="1">IFERROR(__xludf.dummyfunction("VLOOKUP(N77, IMPORTRANGE(""https://docs.google.com/spreadsheets/d/1yDAaXNsi4Mr5FtRQL4tbmSdIzhx6_m4wkOD7IG-k_eo/edit#gid=1336395716"", ""Science!M:N""), 2, FALSE)"),"#N/A")</f>
        <v>#N/A</v>
      </c>
      <c r="P77" s="1" t="str">
        <f t="shared" si="15"/>
        <v>.004</v>
      </c>
      <c r="Q77" s="15" t="str">
        <f ca="1">IFERROR(__xludf.dummyfunction("VLOOKUP(P77, IMPORTRANGE(""https://docs.google.com/spreadsheets/d/1yDAaXNsi4Mr5FtRQL4tbmSdIzhx6_m4wkOD7IG-k_eo/edit#gid=1336395716"", ""Science!M:N""), 2, FALSE)"),"#N/A")</f>
        <v>#N/A</v>
      </c>
      <c r="R77" s="1" t="str">
        <f t="shared" si="16"/>
        <v>.005</v>
      </c>
      <c r="S77" s="15" t="str">
        <f ca="1">IFERROR(__xludf.dummyfunction("VLOOKUP(R77, IMPORTRANGE(""https://docs.google.com/spreadsheets/d/1yDAaXNsi4Mr5FtRQL4tbmSdIzhx6_m4wkOD7IG-k_eo/edit#gid=1336395716"", ""Science!M:N""), 2, FALSE)"),"#N/A")</f>
        <v>#N/A</v>
      </c>
      <c r="T77" s="1" t="str">
        <f t="shared" si="17"/>
        <v>.006</v>
      </c>
      <c r="U77" s="15" t="str">
        <f ca="1">IFERROR(__xludf.dummyfunction("VLOOKUP(T77, IMPORTRANGE(""https://docs.google.com/spreadsheets/d/1yDAaXNsi4Mr5FtRQL4tbmSdIzhx6_m4wkOD7IG-k_eo/edit#gid=1336395716"", ""Science!M:N""), 2, FALSE)"),"#N/A")</f>
        <v>#N/A</v>
      </c>
      <c r="V77" s="16" t="str">
        <f ca="1">IFERROR(__xludf.dummyfunction("ArrayFormula(VLOOKUP(G77, IMPORTRANGE(""https://docs.google.com/spreadsheets/d/1p7R4vtkWt5VOBim4ltsDG9KTzSjrtKXsMtQGXPHyND0/edit#gid=795171502"", ""'Filter 30_05_2024'!A1:M2000""), {2, 3, 4, 5,6,7,8,9,10,11,12,13}, 0))"),"#N/A")</f>
        <v>#N/A</v>
      </c>
      <c r="W77" s="16" t="str">
        <f ca="1">IFERROR(__xludf.dummyfunction("""COMPUTED_VALUE"""),"#N/A")</f>
        <v>#N/A</v>
      </c>
      <c r="X77" s="16" t="str">
        <f ca="1">IFERROR(__xludf.dummyfunction("""COMPUTED_VALUE"""),"#N/A")</f>
        <v>#N/A</v>
      </c>
      <c r="Y77" s="16" t="str">
        <f ca="1">IFERROR(__xludf.dummyfunction("""COMPUTED_VALUE"""),"#N/A")</f>
        <v>#N/A</v>
      </c>
      <c r="Z77" s="16" t="str">
        <f ca="1">IFERROR(__xludf.dummyfunction("""COMPUTED_VALUE"""),"#N/A")</f>
        <v>#N/A</v>
      </c>
      <c r="AA77" s="17" t="str">
        <f ca="1">IFERROR(__xludf.dummyfunction("""COMPUTED_VALUE"""),"#N/A")</f>
        <v>#N/A</v>
      </c>
      <c r="AB77" s="17" t="str">
        <f ca="1">IFERROR(__xludf.dummyfunction("""COMPUTED_VALUE"""),"#N/A")</f>
        <v>#N/A</v>
      </c>
      <c r="AC77" s="17" t="str">
        <f ca="1">IFERROR(__xludf.dummyfunction("""COMPUTED_VALUE"""),"#N/A")</f>
        <v>#N/A</v>
      </c>
      <c r="AD77" s="2" t="str">
        <f ca="1">IFERROR(__xludf.dummyfunction("""COMPUTED_VALUE"""),"#N/A")</f>
        <v>#N/A</v>
      </c>
      <c r="AE77" s="2" t="str">
        <f ca="1">IFERROR(__xludf.dummyfunction("""COMPUTED_VALUE"""),"#N/A")</f>
        <v>#N/A</v>
      </c>
      <c r="AF77" s="2" t="str">
        <f ca="1">IFERROR(__xludf.dummyfunction("""COMPUTED_VALUE"""),"#N/A")</f>
        <v>#N/A</v>
      </c>
      <c r="AG77" s="2" t="str">
        <f ca="1">IFERROR(__xludf.dummyfunction("""COMPUTED_VALUE"""),"#N/A")</f>
        <v>#N/A</v>
      </c>
    </row>
    <row r="78" spans="1:33" ht="13.8">
      <c r="F78" s="1"/>
      <c r="H78" s="1"/>
      <c r="I78" s="2"/>
      <c r="J78" s="1" t="str">
        <f t="shared" si="12"/>
        <v>.001</v>
      </c>
      <c r="K78" s="1" t="str">
        <f ca="1">IFERROR(__xludf.dummyfunction("VLOOKUP(J78, IMPORTRANGE(""https://docs.google.com/spreadsheets/d/1yDAaXNsi4Mr5FtRQL4tbmSdIzhx6_m4wkOD7IG-k_eo/edit#gid=1336395716"", ""Science!M:N""), 2, FALSE)"),"#N/A")</f>
        <v>#N/A</v>
      </c>
      <c r="L78" s="1" t="str">
        <f t="shared" si="13"/>
        <v>.002</v>
      </c>
      <c r="M78" s="1" t="str">
        <f ca="1">IFERROR(__xludf.dummyfunction("VLOOKUP(L78, IMPORTRANGE(""https://docs.google.com/spreadsheets/d/1yDAaXNsi4Mr5FtRQL4tbmSdIzhx6_m4wkOD7IG-k_eo/edit#gid=1336395716"", ""Science!M:N""), 2, FALSE)"),"#N/A")</f>
        <v>#N/A</v>
      </c>
      <c r="N78" s="1" t="str">
        <f t="shared" si="14"/>
        <v>.003</v>
      </c>
      <c r="O78" s="1" t="str">
        <f ca="1">IFERROR(__xludf.dummyfunction("VLOOKUP(N78, IMPORTRANGE(""https://docs.google.com/spreadsheets/d/1yDAaXNsi4Mr5FtRQL4tbmSdIzhx6_m4wkOD7IG-k_eo/edit#gid=1336395716"", ""Science!M:N""), 2, FALSE)"),"#N/A")</f>
        <v>#N/A</v>
      </c>
      <c r="P78" s="1" t="str">
        <f t="shared" si="15"/>
        <v>.004</v>
      </c>
      <c r="Q78" s="15" t="str">
        <f ca="1">IFERROR(__xludf.dummyfunction("VLOOKUP(P78, IMPORTRANGE(""https://docs.google.com/spreadsheets/d/1yDAaXNsi4Mr5FtRQL4tbmSdIzhx6_m4wkOD7IG-k_eo/edit#gid=1336395716"", ""Science!M:N""), 2, FALSE)"),"#N/A")</f>
        <v>#N/A</v>
      </c>
      <c r="R78" s="1" t="str">
        <f t="shared" si="16"/>
        <v>.005</v>
      </c>
      <c r="S78" s="15" t="str">
        <f ca="1">IFERROR(__xludf.dummyfunction("VLOOKUP(R78, IMPORTRANGE(""https://docs.google.com/spreadsheets/d/1yDAaXNsi4Mr5FtRQL4tbmSdIzhx6_m4wkOD7IG-k_eo/edit#gid=1336395716"", ""Science!M:N""), 2, FALSE)"),"#N/A")</f>
        <v>#N/A</v>
      </c>
      <c r="T78" s="1" t="str">
        <f t="shared" si="17"/>
        <v>.006</v>
      </c>
      <c r="U78" s="15" t="str">
        <f ca="1">IFERROR(__xludf.dummyfunction("VLOOKUP(T78, IMPORTRANGE(""https://docs.google.com/spreadsheets/d/1yDAaXNsi4Mr5FtRQL4tbmSdIzhx6_m4wkOD7IG-k_eo/edit#gid=1336395716"", ""Science!M:N""), 2, FALSE)"),"#N/A")</f>
        <v>#N/A</v>
      </c>
      <c r="V78" s="16" t="str">
        <f ca="1">IFERROR(__xludf.dummyfunction("ArrayFormula(VLOOKUP(G78, IMPORTRANGE(""https://docs.google.com/spreadsheets/d/1p7R4vtkWt5VOBim4ltsDG9KTzSjrtKXsMtQGXPHyND0/edit#gid=795171502"", ""'Filter 30_05_2024'!A1:M2000""), {2, 3, 4, 5,6,7,8,9,10,11,12,13}, 0))"),"#N/A")</f>
        <v>#N/A</v>
      </c>
      <c r="W78" s="16" t="str">
        <f ca="1">IFERROR(__xludf.dummyfunction("""COMPUTED_VALUE"""),"#N/A")</f>
        <v>#N/A</v>
      </c>
      <c r="X78" s="16" t="str">
        <f ca="1">IFERROR(__xludf.dummyfunction("""COMPUTED_VALUE"""),"#N/A")</f>
        <v>#N/A</v>
      </c>
      <c r="Y78" s="16" t="str">
        <f ca="1">IFERROR(__xludf.dummyfunction("""COMPUTED_VALUE"""),"#N/A")</f>
        <v>#N/A</v>
      </c>
      <c r="Z78" s="16" t="str">
        <f ca="1">IFERROR(__xludf.dummyfunction("""COMPUTED_VALUE"""),"#N/A")</f>
        <v>#N/A</v>
      </c>
      <c r="AA78" s="17" t="str">
        <f ca="1">IFERROR(__xludf.dummyfunction("""COMPUTED_VALUE"""),"#N/A")</f>
        <v>#N/A</v>
      </c>
      <c r="AB78" s="17" t="str">
        <f ca="1">IFERROR(__xludf.dummyfunction("""COMPUTED_VALUE"""),"#N/A")</f>
        <v>#N/A</v>
      </c>
      <c r="AC78" s="17" t="str">
        <f ca="1">IFERROR(__xludf.dummyfunction("""COMPUTED_VALUE"""),"#N/A")</f>
        <v>#N/A</v>
      </c>
      <c r="AD78" s="2" t="str">
        <f ca="1">IFERROR(__xludf.dummyfunction("""COMPUTED_VALUE"""),"#N/A")</f>
        <v>#N/A</v>
      </c>
      <c r="AE78" s="2" t="str">
        <f ca="1">IFERROR(__xludf.dummyfunction("""COMPUTED_VALUE"""),"#N/A")</f>
        <v>#N/A</v>
      </c>
      <c r="AF78" s="2" t="str">
        <f ca="1">IFERROR(__xludf.dummyfunction("""COMPUTED_VALUE"""),"#N/A")</f>
        <v>#N/A</v>
      </c>
      <c r="AG78" s="2" t="str">
        <f ca="1">IFERROR(__xludf.dummyfunction("""COMPUTED_VALUE"""),"#N/A")</f>
        <v>#N/A</v>
      </c>
    </row>
    <row r="79" spans="1:33" ht="13.8">
      <c r="F79" s="1"/>
      <c r="H79" s="1"/>
      <c r="I79" s="2"/>
      <c r="J79" s="1" t="str">
        <f t="shared" si="12"/>
        <v>.001</v>
      </c>
      <c r="K79" s="1" t="str">
        <f ca="1">IFERROR(__xludf.dummyfunction("VLOOKUP(J79, IMPORTRANGE(""https://docs.google.com/spreadsheets/d/1yDAaXNsi4Mr5FtRQL4tbmSdIzhx6_m4wkOD7IG-k_eo/edit#gid=1336395716"", ""Science!M:N""), 2, FALSE)"),"#N/A")</f>
        <v>#N/A</v>
      </c>
      <c r="L79" s="1" t="str">
        <f t="shared" si="13"/>
        <v>.002</v>
      </c>
      <c r="M79" s="1" t="str">
        <f ca="1">IFERROR(__xludf.dummyfunction("VLOOKUP(L79, IMPORTRANGE(""https://docs.google.com/spreadsheets/d/1yDAaXNsi4Mr5FtRQL4tbmSdIzhx6_m4wkOD7IG-k_eo/edit#gid=1336395716"", ""Science!M:N""), 2, FALSE)"),"#N/A")</f>
        <v>#N/A</v>
      </c>
      <c r="N79" s="1" t="str">
        <f t="shared" si="14"/>
        <v>.003</v>
      </c>
      <c r="O79" s="1" t="str">
        <f ca="1">IFERROR(__xludf.dummyfunction("VLOOKUP(N79, IMPORTRANGE(""https://docs.google.com/spreadsheets/d/1yDAaXNsi4Mr5FtRQL4tbmSdIzhx6_m4wkOD7IG-k_eo/edit#gid=1336395716"", ""Science!M:N""), 2, FALSE)"),"#N/A")</f>
        <v>#N/A</v>
      </c>
      <c r="P79" s="1" t="str">
        <f t="shared" si="15"/>
        <v>.004</v>
      </c>
      <c r="Q79" s="15" t="str">
        <f ca="1">IFERROR(__xludf.dummyfunction("VLOOKUP(P79, IMPORTRANGE(""https://docs.google.com/spreadsheets/d/1yDAaXNsi4Mr5FtRQL4tbmSdIzhx6_m4wkOD7IG-k_eo/edit#gid=1336395716"", ""Science!M:N""), 2, FALSE)"),"#N/A")</f>
        <v>#N/A</v>
      </c>
      <c r="R79" s="1" t="str">
        <f t="shared" si="16"/>
        <v>.005</v>
      </c>
      <c r="S79" s="15" t="str">
        <f ca="1">IFERROR(__xludf.dummyfunction("VLOOKUP(R79, IMPORTRANGE(""https://docs.google.com/spreadsheets/d/1yDAaXNsi4Mr5FtRQL4tbmSdIzhx6_m4wkOD7IG-k_eo/edit#gid=1336395716"", ""Science!M:N""), 2, FALSE)"),"#N/A")</f>
        <v>#N/A</v>
      </c>
      <c r="T79" s="1" t="str">
        <f t="shared" si="17"/>
        <v>.006</v>
      </c>
      <c r="U79" s="15" t="str">
        <f ca="1">IFERROR(__xludf.dummyfunction("VLOOKUP(T79, IMPORTRANGE(""https://docs.google.com/spreadsheets/d/1yDAaXNsi4Mr5FtRQL4tbmSdIzhx6_m4wkOD7IG-k_eo/edit#gid=1336395716"", ""Science!M:N""), 2, FALSE)"),"#N/A")</f>
        <v>#N/A</v>
      </c>
      <c r="V79" s="16" t="str">
        <f ca="1">IFERROR(__xludf.dummyfunction("ArrayFormula(VLOOKUP(G79, IMPORTRANGE(""https://docs.google.com/spreadsheets/d/1p7R4vtkWt5VOBim4ltsDG9KTzSjrtKXsMtQGXPHyND0/edit#gid=795171502"", ""'Filter 30_05_2024'!A1:M2000""), {2, 3, 4, 5,6,7,8,9,10,11,12,13}, 0))"),"#N/A")</f>
        <v>#N/A</v>
      </c>
      <c r="W79" s="16" t="str">
        <f ca="1">IFERROR(__xludf.dummyfunction("""COMPUTED_VALUE"""),"#N/A")</f>
        <v>#N/A</v>
      </c>
      <c r="X79" s="16" t="str">
        <f ca="1">IFERROR(__xludf.dummyfunction("""COMPUTED_VALUE"""),"#N/A")</f>
        <v>#N/A</v>
      </c>
      <c r="Y79" s="16" t="str">
        <f ca="1">IFERROR(__xludf.dummyfunction("""COMPUTED_VALUE"""),"#N/A")</f>
        <v>#N/A</v>
      </c>
      <c r="Z79" s="16" t="str">
        <f ca="1">IFERROR(__xludf.dummyfunction("""COMPUTED_VALUE"""),"#N/A")</f>
        <v>#N/A</v>
      </c>
      <c r="AA79" s="17" t="str">
        <f ca="1">IFERROR(__xludf.dummyfunction("""COMPUTED_VALUE"""),"#N/A")</f>
        <v>#N/A</v>
      </c>
      <c r="AB79" s="17" t="str">
        <f ca="1">IFERROR(__xludf.dummyfunction("""COMPUTED_VALUE"""),"#N/A")</f>
        <v>#N/A</v>
      </c>
      <c r="AC79" s="17" t="str">
        <f ca="1">IFERROR(__xludf.dummyfunction("""COMPUTED_VALUE"""),"#N/A")</f>
        <v>#N/A</v>
      </c>
      <c r="AD79" s="2" t="str">
        <f ca="1">IFERROR(__xludf.dummyfunction("""COMPUTED_VALUE"""),"#N/A")</f>
        <v>#N/A</v>
      </c>
      <c r="AE79" s="2" t="str">
        <f ca="1">IFERROR(__xludf.dummyfunction("""COMPUTED_VALUE"""),"#N/A")</f>
        <v>#N/A</v>
      </c>
      <c r="AF79" s="2" t="str">
        <f ca="1">IFERROR(__xludf.dummyfunction("""COMPUTED_VALUE"""),"#N/A")</f>
        <v>#N/A</v>
      </c>
      <c r="AG79" s="2" t="str">
        <f ca="1">IFERROR(__xludf.dummyfunction("""COMPUTED_VALUE"""),"#N/A")</f>
        <v>#N/A</v>
      </c>
    </row>
    <row r="80" spans="1:33" ht="13.8">
      <c r="F80" s="1"/>
      <c r="H80" s="1"/>
      <c r="I80" s="2"/>
      <c r="J80" s="1" t="str">
        <f t="shared" si="12"/>
        <v>.001</v>
      </c>
      <c r="K80" s="1" t="str">
        <f ca="1">IFERROR(__xludf.dummyfunction("VLOOKUP(J80, IMPORTRANGE(""https://docs.google.com/spreadsheets/d/1yDAaXNsi4Mr5FtRQL4tbmSdIzhx6_m4wkOD7IG-k_eo/edit#gid=1336395716"", ""Science!M:N""), 2, FALSE)"),"#N/A")</f>
        <v>#N/A</v>
      </c>
      <c r="L80" s="1" t="str">
        <f t="shared" si="13"/>
        <v>.002</v>
      </c>
      <c r="M80" s="1" t="str">
        <f ca="1">IFERROR(__xludf.dummyfunction("VLOOKUP(L80, IMPORTRANGE(""https://docs.google.com/spreadsheets/d/1yDAaXNsi4Mr5FtRQL4tbmSdIzhx6_m4wkOD7IG-k_eo/edit#gid=1336395716"", ""Science!M:N""), 2, FALSE)"),"#N/A")</f>
        <v>#N/A</v>
      </c>
      <c r="N80" s="1" t="str">
        <f t="shared" si="14"/>
        <v>.003</v>
      </c>
      <c r="O80" s="1" t="str">
        <f ca="1">IFERROR(__xludf.dummyfunction("VLOOKUP(N80, IMPORTRANGE(""https://docs.google.com/spreadsheets/d/1yDAaXNsi4Mr5FtRQL4tbmSdIzhx6_m4wkOD7IG-k_eo/edit#gid=1336395716"", ""Science!M:N""), 2, FALSE)"),"#N/A")</f>
        <v>#N/A</v>
      </c>
      <c r="P80" s="1" t="str">
        <f t="shared" si="15"/>
        <v>.004</v>
      </c>
      <c r="Q80" s="15" t="str">
        <f ca="1">IFERROR(__xludf.dummyfunction("VLOOKUP(P80, IMPORTRANGE(""https://docs.google.com/spreadsheets/d/1yDAaXNsi4Mr5FtRQL4tbmSdIzhx6_m4wkOD7IG-k_eo/edit#gid=1336395716"", ""Science!M:N""), 2, FALSE)"),"#N/A")</f>
        <v>#N/A</v>
      </c>
      <c r="R80" s="1" t="str">
        <f t="shared" si="16"/>
        <v>.005</v>
      </c>
      <c r="S80" s="15" t="str">
        <f ca="1">IFERROR(__xludf.dummyfunction("VLOOKUP(R80, IMPORTRANGE(""https://docs.google.com/spreadsheets/d/1yDAaXNsi4Mr5FtRQL4tbmSdIzhx6_m4wkOD7IG-k_eo/edit#gid=1336395716"", ""Science!M:N""), 2, FALSE)"),"#N/A")</f>
        <v>#N/A</v>
      </c>
      <c r="T80" s="1" t="str">
        <f t="shared" si="17"/>
        <v>.006</v>
      </c>
      <c r="U80" s="15" t="str">
        <f ca="1">IFERROR(__xludf.dummyfunction("VLOOKUP(T80, IMPORTRANGE(""https://docs.google.com/spreadsheets/d/1yDAaXNsi4Mr5FtRQL4tbmSdIzhx6_m4wkOD7IG-k_eo/edit#gid=1336395716"", ""Science!M:N""), 2, FALSE)"),"#N/A")</f>
        <v>#N/A</v>
      </c>
      <c r="V80" s="16" t="str">
        <f ca="1">IFERROR(__xludf.dummyfunction("ArrayFormula(VLOOKUP(G80, IMPORTRANGE(""https://docs.google.com/spreadsheets/d/1p7R4vtkWt5VOBim4ltsDG9KTzSjrtKXsMtQGXPHyND0/edit#gid=795171502"", ""'Filter 30_05_2024'!A1:M2000""), {2, 3, 4, 5,6,7,8,9,10,11,12,13}, 0))"),"#N/A")</f>
        <v>#N/A</v>
      </c>
      <c r="W80" s="16" t="str">
        <f ca="1">IFERROR(__xludf.dummyfunction("""COMPUTED_VALUE"""),"#N/A")</f>
        <v>#N/A</v>
      </c>
      <c r="X80" s="16" t="str">
        <f ca="1">IFERROR(__xludf.dummyfunction("""COMPUTED_VALUE"""),"#N/A")</f>
        <v>#N/A</v>
      </c>
      <c r="Y80" s="16" t="str">
        <f ca="1">IFERROR(__xludf.dummyfunction("""COMPUTED_VALUE"""),"#N/A")</f>
        <v>#N/A</v>
      </c>
      <c r="Z80" s="16" t="str">
        <f ca="1">IFERROR(__xludf.dummyfunction("""COMPUTED_VALUE"""),"#N/A")</f>
        <v>#N/A</v>
      </c>
      <c r="AA80" s="17" t="str">
        <f ca="1">IFERROR(__xludf.dummyfunction("""COMPUTED_VALUE"""),"#N/A")</f>
        <v>#N/A</v>
      </c>
      <c r="AB80" s="17" t="str">
        <f ca="1">IFERROR(__xludf.dummyfunction("""COMPUTED_VALUE"""),"#N/A")</f>
        <v>#N/A</v>
      </c>
      <c r="AC80" s="17" t="str">
        <f ca="1">IFERROR(__xludf.dummyfunction("""COMPUTED_VALUE"""),"#N/A")</f>
        <v>#N/A</v>
      </c>
      <c r="AD80" s="2" t="str">
        <f ca="1">IFERROR(__xludf.dummyfunction("""COMPUTED_VALUE"""),"#N/A")</f>
        <v>#N/A</v>
      </c>
      <c r="AE80" s="2" t="str">
        <f ca="1">IFERROR(__xludf.dummyfunction("""COMPUTED_VALUE"""),"#N/A")</f>
        <v>#N/A</v>
      </c>
      <c r="AF80" s="2" t="str">
        <f ca="1">IFERROR(__xludf.dummyfunction("""COMPUTED_VALUE"""),"#N/A")</f>
        <v>#N/A</v>
      </c>
      <c r="AG80" s="2" t="str">
        <f ca="1">IFERROR(__xludf.dummyfunction("""COMPUTED_VALUE"""),"#N/A")</f>
        <v>#N/A</v>
      </c>
    </row>
    <row r="81" spans="6:33" ht="13.8">
      <c r="F81" s="1"/>
      <c r="H81" s="1"/>
      <c r="I81" s="2"/>
      <c r="J81" s="1" t="str">
        <f t="shared" si="12"/>
        <v>.001</v>
      </c>
      <c r="K81" s="1" t="str">
        <f ca="1">IFERROR(__xludf.dummyfunction("VLOOKUP(J81, IMPORTRANGE(""https://docs.google.com/spreadsheets/d/1yDAaXNsi4Mr5FtRQL4tbmSdIzhx6_m4wkOD7IG-k_eo/edit#gid=1336395716"", ""Science!M:N""), 2, FALSE)"),"#N/A")</f>
        <v>#N/A</v>
      </c>
      <c r="L81" s="1" t="str">
        <f t="shared" si="13"/>
        <v>.002</v>
      </c>
      <c r="M81" s="1" t="str">
        <f ca="1">IFERROR(__xludf.dummyfunction("VLOOKUP(L81, IMPORTRANGE(""https://docs.google.com/spreadsheets/d/1yDAaXNsi4Mr5FtRQL4tbmSdIzhx6_m4wkOD7IG-k_eo/edit#gid=1336395716"", ""Science!M:N""), 2, FALSE)"),"#N/A")</f>
        <v>#N/A</v>
      </c>
      <c r="N81" s="1" t="str">
        <f t="shared" si="14"/>
        <v>.003</v>
      </c>
      <c r="O81" s="1" t="str">
        <f ca="1">IFERROR(__xludf.dummyfunction("VLOOKUP(N81, IMPORTRANGE(""https://docs.google.com/spreadsheets/d/1yDAaXNsi4Mr5FtRQL4tbmSdIzhx6_m4wkOD7IG-k_eo/edit#gid=1336395716"", ""Science!M:N""), 2, FALSE)"),"#N/A")</f>
        <v>#N/A</v>
      </c>
      <c r="P81" s="1" t="str">
        <f t="shared" si="15"/>
        <v>.004</v>
      </c>
      <c r="Q81" s="15" t="str">
        <f ca="1">IFERROR(__xludf.dummyfunction("VLOOKUP(P81, IMPORTRANGE(""https://docs.google.com/spreadsheets/d/1yDAaXNsi4Mr5FtRQL4tbmSdIzhx6_m4wkOD7IG-k_eo/edit#gid=1336395716"", ""Science!M:N""), 2, FALSE)"),"#N/A")</f>
        <v>#N/A</v>
      </c>
      <c r="R81" s="1" t="str">
        <f t="shared" si="16"/>
        <v>.005</v>
      </c>
      <c r="S81" s="15" t="str">
        <f ca="1">IFERROR(__xludf.dummyfunction("VLOOKUP(R81, IMPORTRANGE(""https://docs.google.com/spreadsheets/d/1yDAaXNsi4Mr5FtRQL4tbmSdIzhx6_m4wkOD7IG-k_eo/edit#gid=1336395716"", ""Science!M:N""), 2, FALSE)"),"#N/A")</f>
        <v>#N/A</v>
      </c>
      <c r="T81" s="1" t="str">
        <f t="shared" si="17"/>
        <v>.006</v>
      </c>
      <c r="U81" s="15" t="str">
        <f ca="1">IFERROR(__xludf.dummyfunction("VLOOKUP(T81, IMPORTRANGE(""https://docs.google.com/spreadsheets/d/1yDAaXNsi4Mr5FtRQL4tbmSdIzhx6_m4wkOD7IG-k_eo/edit#gid=1336395716"", ""Science!M:N""), 2, FALSE)"),"#N/A")</f>
        <v>#N/A</v>
      </c>
      <c r="V81" s="16" t="str">
        <f ca="1">IFERROR(__xludf.dummyfunction("ArrayFormula(VLOOKUP(G81, IMPORTRANGE(""https://docs.google.com/spreadsheets/d/1p7R4vtkWt5VOBim4ltsDG9KTzSjrtKXsMtQGXPHyND0/edit#gid=795171502"", ""'Filter 30_05_2024'!A1:M2000""), {2, 3, 4, 5,6,7,8,9,10,11,12,13}, 0))"),"#N/A")</f>
        <v>#N/A</v>
      </c>
      <c r="W81" s="16" t="str">
        <f ca="1">IFERROR(__xludf.dummyfunction("""COMPUTED_VALUE"""),"#N/A")</f>
        <v>#N/A</v>
      </c>
      <c r="X81" s="16" t="str">
        <f ca="1">IFERROR(__xludf.dummyfunction("""COMPUTED_VALUE"""),"#N/A")</f>
        <v>#N/A</v>
      </c>
      <c r="Y81" s="16" t="str">
        <f ca="1">IFERROR(__xludf.dummyfunction("""COMPUTED_VALUE"""),"#N/A")</f>
        <v>#N/A</v>
      </c>
      <c r="Z81" s="16" t="str">
        <f ca="1">IFERROR(__xludf.dummyfunction("""COMPUTED_VALUE"""),"#N/A")</f>
        <v>#N/A</v>
      </c>
      <c r="AA81" s="17" t="str">
        <f ca="1">IFERROR(__xludf.dummyfunction("""COMPUTED_VALUE"""),"#N/A")</f>
        <v>#N/A</v>
      </c>
      <c r="AB81" s="17" t="str">
        <f ca="1">IFERROR(__xludf.dummyfunction("""COMPUTED_VALUE"""),"#N/A")</f>
        <v>#N/A</v>
      </c>
      <c r="AC81" s="17" t="str">
        <f ca="1">IFERROR(__xludf.dummyfunction("""COMPUTED_VALUE"""),"#N/A")</f>
        <v>#N/A</v>
      </c>
      <c r="AD81" s="2" t="str">
        <f ca="1">IFERROR(__xludf.dummyfunction("""COMPUTED_VALUE"""),"#N/A")</f>
        <v>#N/A</v>
      </c>
      <c r="AE81" s="2" t="str">
        <f ca="1">IFERROR(__xludf.dummyfunction("""COMPUTED_VALUE"""),"#N/A")</f>
        <v>#N/A</v>
      </c>
      <c r="AF81" s="2" t="str">
        <f ca="1">IFERROR(__xludf.dummyfunction("""COMPUTED_VALUE"""),"#N/A")</f>
        <v>#N/A</v>
      </c>
      <c r="AG81" s="2" t="str">
        <f ca="1">IFERROR(__xludf.dummyfunction("""COMPUTED_VALUE"""),"#N/A")</f>
        <v>#N/A</v>
      </c>
    </row>
    <row r="82" spans="6:33" ht="13.8">
      <c r="F82" s="1"/>
      <c r="H82" s="1"/>
      <c r="I82" s="2"/>
      <c r="J82" s="1" t="str">
        <f t="shared" si="12"/>
        <v>.001</v>
      </c>
      <c r="K82" s="1" t="str">
        <f ca="1">IFERROR(__xludf.dummyfunction("VLOOKUP(J82, IMPORTRANGE(""https://docs.google.com/spreadsheets/d/1yDAaXNsi4Mr5FtRQL4tbmSdIzhx6_m4wkOD7IG-k_eo/edit#gid=1336395716"", ""Science!M:N""), 2, FALSE)"),"#N/A")</f>
        <v>#N/A</v>
      </c>
      <c r="L82" s="1" t="str">
        <f t="shared" si="13"/>
        <v>.002</v>
      </c>
      <c r="M82" s="1" t="str">
        <f ca="1">IFERROR(__xludf.dummyfunction("VLOOKUP(L82, IMPORTRANGE(""https://docs.google.com/spreadsheets/d/1yDAaXNsi4Mr5FtRQL4tbmSdIzhx6_m4wkOD7IG-k_eo/edit#gid=1336395716"", ""Science!M:N""), 2, FALSE)"),"#N/A")</f>
        <v>#N/A</v>
      </c>
      <c r="N82" s="1" t="str">
        <f t="shared" si="14"/>
        <v>.003</v>
      </c>
      <c r="O82" s="1" t="str">
        <f ca="1">IFERROR(__xludf.dummyfunction("VLOOKUP(N82, IMPORTRANGE(""https://docs.google.com/spreadsheets/d/1yDAaXNsi4Mr5FtRQL4tbmSdIzhx6_m4wkOD7IG-k_eo/edit#gid=1336395716"", ""Science!M:N""), 2, FALSE)"),"#N/A")</f>
        <v>#N/A</v>
      </c>
      <c r="P82" s="1" t="str">
        <f t="shared" si="15"/>
        <v>.004</v>
      </c>
      <c r="Q82" s="15" t="str">
        <f ca="1">IFERROR(__xludf.dummyfunction("VLOOKUP(P82, IMPORTRANGE(""https://docs.google.com/spreadsheets/d/1yDAaXNsi4Mr5FtRQL4tbmSdIzhx6_m4wkOD7IG-k_eo/edit#gid=1336395716"", ""Science!M:N""), 2, FALSE)"),"#N/A")</f>
        <v>#N/A</v>
      </c>
      <c r="R82" s="1" t="str">
        <f t="shared" si="16"/>
        <v>.005</v>
      </c>
      <c r="S82" s="15" t="str">
        <f ca="1">IFERROR(__xludf.dummyfunction("VLOOKUP(R82, IMPORTRANGE(""https://docs.google.com/spreadsheets/d/1yDAaXNsi4Mr5FtRQL4tbmSdIzhx6_m4wkOD7IG-k_eo/edit#gid=1336395716"", ""Science!M:N""), 2, FALSE)"),"#N/A")</f>
        <v>#N/A</v>
      </c>
      <c r="T82" s="1" t="str">
        <f t="shared" si="17"/>
        <v>.006</v>
      </c>
      <c r="U82" s="15" t="str">
        <f ca="1">IFERROR(__xludf.dummyfunction("VLOOKUP(T82, IMPORTRANGE(""https://docs.google.com/spreadsheets/d/1yDAaXNsi4Mr5FtRQL4tbmSdIzhx6_m4wkOD7IG-k_eo/edit#gid=1336395716"", ""Science!M:N""), 2, FALSE)"),"#N/A")</f>
        <v>#N/A</v>
      </c>
      <c r="V82" s="16" t="str">
        <f ca="1">IFERROR(__xludf.dummyfunction("ArrayFormula(VLOOKUP(G82, IMPORTRANGE(""https://docs.google.com/spreadsheets/d/1p7R4vtkWt5VOBim4ltsDG9KTzSjrtKXsMtQGXPHyND0/edit#gid=795171502"", ""'Filter 30_05_2024'!A1:M2000""), {2, 3, 4, 5,6,7,8,9,10,11,12,13}, 0))"),"#N/A")</f>
        <v>#N/A</v>
      </c>
      <c r="W82" s="16" t="str">
        <f ca="1">IFERROR(__xludf.dummyfunction("""COMPUTED_VALUE"""),"#N/A")</f>
        <v>#N/A</v>
      </c>
      <c r="X82" s="16" t="str">
        <f ca="1">IFERROR(__xludf.dummyfunction("""COMPUTED_VALUE"""),"#N/A")</f>
        <v>#N/A</v>
      </c>
      <c r="Y82" s="16" t="str">
        <f ca="1">IFERROR(__xludf.dummyfunction("""COMPUTED_VALUE"""),"#N/A")</f>
        <v>#N/A</v>
      </c>
      <c r="Z82" s="16" t="str">
        <f ca="1">IFERROR(__xludf.dummyfunction("""COMPUTED_VALUE"""),"#N/A")</f>
        <v>#N/A</v>
      </c>
      <c r="AA82" s="17" t="str">
        <f ca="1">IFERROR(__xludf.dummyfunction("""COMPUTED_VALUE"""),"#N/A")</f>
        <v>#N/A</v>
      </c>
      <c r="AB82" s="17" t="str">
        <f ca="1">IFERROR(__xludf.dummyfunction("""COMPUTED_VALUE"""),"#N/A")</f>
        <v>#N/A</v>
      </c>
      <c r="AC82" s="17" t="str">
        <f ca="1">IFERROR(__xludf.dummyfunction("""COMPUTED_VALUE"""),"#N/A")</f>
        <v>#N/A</v>
      </c>
      <c r="AD82" s="2" t="str">
        <f ca="1">IFERROR(__xludf.dummyfunction("""COMPUTED_VALUE"""),"#N/A")</f>
        <v>#N/A</v>
      </c>
      <c r="AE82" s="2" t="str">
        <f ca="1">IFERROR(__xludf.dummyfunction("""COMPUTED_VALUE"""),"#N/A")</f>
        <v>#N/A</v>
      </c>
      <c r="AF82" s="2" t="str">
        <f ca="1">IFERROR(__xludf.dummyfunction("""COMPUTED_VALUE"""),"#N/A")</f>
        <v>#N/A</v>
      </c>
      <c r="AG82" s="2" t="str">
        <f ca="1">IFERROR(__xludf.dummyfunction("""COMPUTED_VALUE"""),"#N/A")</f>
        <v>#N/A</v>
      </c>
    </row>
    <row r="83" spans="6:33" ht="13.8">
      <c r="F83" s="1"/>
      <c r="H83" s="1"/>
      <c r="I83" s="2"/>
      <c r="J83" s="1" t="str">
        <f t="shared" si="12"/>
        <v>.001</v>
      </c>
      <c r="K83" s="1" t="str">
        <f ca="1">IFERROR(__xludf.dummyfunction("VLOOKUP(J83, IMPORTRANGE(""https://docs.google.com/spreadsheets/d/1yDAaXNsi4Mr5FtRQL4tbmSdIzhx6_m4wkOD7IG-k_eo/edit#gid=1336395716"", ""Science!M:N""), 2, FALSE)"),"#N/A")</f>
        <v>#N/A</v>
      </c>
      <c r="L83" s="1" t="str">
        <f t="shared" si="13"/>
        <v>.002</v>
      </c>
      <c r="M83" s="1" t="str">
        <f ca="1">IFERROR(__xludf.dummyfunction("VLOOKUP(L83, IMPORTRANGE(""https://docs.google.com/spreadsheets/d/1yDAaXNsi4Mr5FtRQL4tbmSdIzhx6_m4wkOD7IG-k_eo/edit#gid=1336395716"", ""Science!M:N""), 2, FALSE)"),"#N/A")</f>
        <v>#N/A</v>
      </c>
      <c r="N83" s="1" t="str">
        <f t="shared" si="14"/>
        <v>.003</v>
      </c>
      <c r="O83" s="1" t="str">
        <f ca="1">IFERROR(__xludf.dummyfunction("VLOOKUP(N83, IMPORTRANGE(""https://docs.google.com/spreadsheets/d/1yDAaXNsi4Mr5FtRQL4tbmSdIzhx6_m4wkOD7IG-k_eo/edit#gid=1336395716"", ""Science!M:N""), 2, FALSE)"),"#N/A")</f>
        <v>#N/A</v>
      </c>
      <c r="P83" s="1" t="str">
        <f t="shared" si="15"/>
        <v>.004</v>
      </c>
      <c r="Q83" s="15" t="str">
        <f ca="1">IFERROR(__xludf.dummyfunction("VLOOKUP(P83, IMPORTRANGE(""https://docs.google.com/spreadsheets/d/1yDAaXNsi4Mr5FtRQL4tbmSdIzhx6_m4wkOD7IG-k_eo/edit#gid=1336395716"", ""Science!M:N""), 2, FALSE)"),"#N/A")</f>
        <v>#N/A</v>
      </c>
      <c r="R83" s="1" t="str">
        <f t="shared" si="16"/>
        <v>.005</v>
      </c>
      <c r="S83" s="15" t="str">
        <f ca="1">IFERROR(__xludf.dummyfunction("VLOOKUP(R83, IMPORTRANGE(""https://docs.google.com/spreadsheets/d/1yDAaXNsi4Mr5FtRQL4tbmSdIzhx6_m4wkOD7IG-k_eo/edit#gid=1336395716"", ""Science!M:N""), 2, FALSE)"),"#N/A")</f>
        <v>#N/A</v>
      </c>
      <c r="T83" s="1" t="str">
        <f t="shared" si="17"/>
        <v>.006</v>
      </c>
      <c r="U83" s="15" t="str">
        <f ca="1">IFERROR(__xludf.dummyfunction("VLOOKUP(T83, IMPORTRANGE(""https://docs.google.com/spreadsheets/d/1yDAaXNsi4Mr5FtRQL4tbmSdIzhx6_m4wkOD7IG-k_eo/edit#gid=1336395716"", ""Science!M:N""), 2, FALSE)"),"#N/A")</f>
        <v>#N/A</v>
      </c>
      <c r="V83" s="16" t="str">
        <f ca="1">IFERROR(__xludf.dummyfunction("ArrayFormula(VLOOKUP(G83, IMPORTRANGE(""https://docs.google.com/spreadsheets/d/1p7R4vtkWt5VOBim4ltsDG9KTzSjrtKXsMtQGXPHyND0/edit#gid=795171502"", ""'Filter 30_05_2024'!A1:M2000""), {2, 3, 4, 5,6,7,8,9,10,11,12,13}, 0))"),"#N/A")</f>
        <v>#N/A</v>
      </c>
      <c r="W83" s="16" t="str">
        <f ca="1">IFERROR(__xludf.dummyfunction("""COMPUTED_VALUE"""),"#N/A")</f>
        <v>#N/A</v>
      </c>
      <c r="X83" s="16" t="str">
        <f ca="1">IFERROR(__xludf.dummyfunction("""COMPUTED_VALUE"""),"#N/A")</f>
        <v>#N/A</v>
      </c>
      <c r="Y83" s="16" t="str">
        <f ca="1">IFERROR(__xludf.dummyfunction("""COMPUTED_VALUE"""),"#N/A")</f>
        <v>#N/A</v>
      </c>
      <c r="Z83" s="16" t="str">
        <f ca="1">IFERROR(__xludf.dummyfunction("""COMPUTED_VALUE"""),"#N/A")</f>
        <v>#N/A</v>
      </c>
      <c r="AA83" s="17" t="str">
        <f ca="1">IFERROR(__xludf.dummyfunction("""COMPUTED_VALUE"""),"#N/A")</f>
        <v>#N/A</v>
      </c>
      <c r="AB83" s="17" t="str">
        <f ca="1">IFERROR(__xludf.dummyfunction("""COMPUTED_VALUE"""),"#N/A")</f>
        <v>#N/A</v>
      </c>
      <c r="AC83" s="17" t="str">
        <f ca="1">IFERROR(__xludf.dummyfunction("""COMPUTED_VALUE"""),"#N/A")</f>
        <v>#N/A</v>
      </c>
      <c r="AD83" s="2" t="str">
        <f ca="1">IFERROR(__xludf.dummyfunction("""COMPUTED_VALUE"""),"#N/A")</f>
        <v>#N/A</v>
      </c>
      <c r="AE83" s="2" t="str">
        <f ca="1">IFERROR(__xludf.dummyfunction("""COMPUTED_VALUE"""),"#N/A")</f>
        <v>#N/A</v>
      </c>
      <c r="AF83" s="2" t="str">
        <f ca="1">IFERROR(__xludf.dummyfunction("""COMPUTED_VALUE"""),"#N/A")</f>
        <v>#N/A</v>
      </c>
      <c r="AG83" s="2" t="str">
        <f ca="1">IFERROR(__xludf.dummyfunction("""COMPUTED_VALUE"""),"#N/A")</f>
        <v>#N/A</v>
      </c>
    </row>
    <row r="84" spans="6:33" ht="13.8">
      <c r="F84" s="1"/>
      <c r="H84" s="1"/>
      <c r="I84" s="2"/>
      <c r="J84" s="1" t="str">
        <f t="shared" si="12"/>
        <v>.001</v>
      </c>
      <c r="K84" s="1" t="str">
        <f ca="1">IFERROR(__xludf.dummyfunction("VLOOKUP(J84, IMPORTRANGE(""https://docs.google.com/spreadsheets/d/1yDAaXNsi4Mr5FtRQL4tbmSdIzhx6_m4wkOD7IG-k_eo/edit#gid=1336395716"", ""Science!M:N""), 2, FALSE)"),"#N/A")</f>
        <v>#N/A</v>
      </c>
      <c r="L84" s="1" t="str">
        <f t="shared" si="13"/>
        <v>.002</v>
      </c>
      <c r="M84" s="1" t="str">
        <f ca="1">IFERROR(__xludf.dummyfunction("VLOOKUP(L84, IMPORTRANGE(""https://docs.google.com/spreadsheets/d/1yDAaXNsi4Mr5FtRQL4tbmSdIzhx6_m4wkOD7IG-k_eo/edit#gid=1336395716"", ""Science!M:N""), 2, FALSE)"),"#N/A")</f>
        <v>#N/A</v>
      </c>
      <c r="N84" s="1" t="str">
        <f t="shared" si="14"/>
        <v>.003</v>
      </c>
      <c r="O84" s="1" t="str">
        <f ca="1">IFERROR(__xludf.dummyfunction("VLOOKUP(N84, IMPORTRANGE(""https://docs.google.com/spreadsheets/d/1yDAaXNsi4Mr5FtRQL4tbmSdIzhx6_m4wkOD7IG-k_eo/edit#gid=1336395716"", ""Science!M:N""), 2, FALSE)"),"#N/A")</f>
        <v>#N/A</v>
      </c>
      <c r="P84" s="1" t="str">
        <f t="shared" si="15"/>
        <v>.004</v>
      </c>
      <c r="Q84" s="15" t="str">
        <f ca="1">IFERROR(__xludf.dummyfunction("VLOOKUP(P84, IMPORTRANGE(""https://docs.google.com/spreadsheets/d/1yDAaXNsi4Mr5FtRQL4tbmSdIzhx6_m4wkOD7IG-k_eo/edit#gid=1336395716"", ""Science!M:N""), 2, FALSE)"),"#N/A")</f>
        <v>#N/A</v>
      </c>
      <c r="R84" s="1" t="str">
        <f t="shared" si="16"/>
        <v>.005</v>
      </c>
      <c r="S84" s="15" t="str">
        <f ca="1">IFERROR(__xludf.dummyfunction("VLOOKUP(R84, IMPORTRANGE(""https://docs.google.com/spreadsheets/d/1yDAaXNsi4Mr5FtRQL4tbmSdIzhx6_m4wkOD7IG-k_eo/edit#gid=1336395716"", ""Science!M:N""), 2, FALSE)"),"#N/A")</f>
        <v>#N/A</v>
      </c>
      <c r="T84" s="1" t="str">
        <f t="shared" si="17"/>
        <v>.006</v>
      </c>
      <c r="U84" s="15" t="str">
        <f ca="1">IFERROR(__xludf.dummyfunction("VLOOKUP(T84, IMPORTRANGE(""https://docs.google.com/spreadsheets/d/1yDAaXNsi4Mr5FtRQL4tbmSdIzhx6_m4wkOD7IG-k_eo/edit#gid=1336395716"", ""Science!M:N""), 2, FALSE)"),"#N/A")</f>
        <v>#N/A</v>
      </c>
      <c r="V84" s="16" t="str">
        <f ca="1">IFERROR(__xludf.dummyfunction("ArrayFormula(VLOOKUP(G84, IMPORTRANGE(""https://docs.google.com/spreadsheets/d/1p7R4vtkWt5VOBim4ltsDG9KTzSjrtKXsMtQGXPHyND0/edit#gid=795171502"", ""'Filter 30_05_2024'!A1:M2000""), {2, 3, 4, 5,6,7,8,9,10,11,12,13}, 0))"),"#N/A")</f>
        <v>#N/A</v>
      </c>
      <c r="W84" s="16" t="str">
        <f ca="1">IFERROR(__xludf.dummyfunction("""COMPUTED_VALUE"""),"#N/A")</f>
        <v>#N/A</v>
      </c>
      <c r="X84" s="16" t="str">
        <f ca="1">IFERROR(__xludf.dummyfunction("""COMPUTED_VALUE"""),"#N/A")</f>
        <v>#N/A</v>
      </c>
      <c r="Y84" s="16" t="str">
        <f ca="1">IFERROR(__xludf.dummyfunction("""COMPUTED_VALUE"""),"#N/A")</f>
        <v>#N/A</v>
      </c>
      <c r="Z84" s="16" t="str">
        <f ca="1">IFERROR(__xludf.dummyfunction("""COMPUTED_VALUE"""),"#N/A")</f>
        <v>#N/A</v>
      </c>
      <c r="AA84" s="17" t="str">
        <f ca="1">IFERROR(__xludf.dummyfunction("""COMPUTED_VALUE"""),"#N/A")</f>
        <v>#N/A</v>
      </c>
      <c r="AB84" s="17" t="str">
        <f ca="1">IFERROR(__xludf.dummyfunction("""COMPUTED_VALUE"""),"#N/A")</f>
        <v>#N/A</v>
      </c>
      <c r="AC84" s="17" t="str">
        <f ca="1">IFERROR(__xludf.dummyfunction("""COMPUTED_VALUE"""),"#N/A")</f>
        <v>#N/A</v>
      </c>
      <c r="AD84" s="2" t="str">
        <f ca="1">IFERROR(__xludf.dummyfunction("""COMPUTED_VALUE"""),"#N/A")</f>
        <v>#N/A</v>
      </c>
      <c r="AE84" s="2" t="str">
        <f ca="1">IFERROR(__xludf.dummyfunction("""COMPUTED_VALUE"""),"#N/A")</f>
        <v>#N/A</v>
      </c>
      <c r="AF84" s="2" t="str">
        <f ca="1">IFERROR(__xludf.dummyfunction("""COMPUTED_VALUE"""),"#N/A")</f>
        <v>#N/A</v>
      </c>
      <c r="AG84" s="2" t="str">
        <f ca="1">IFERROR(__xludf.dummyfunction("""COMPUTED_VALUE"""),"#N/A")</f>
        <v>#N/A</v>
      </c>
    </row>
    <row r="85" spans="6:33" ht="13.8">
      <c r="F85" s="1"/>
      <c r="H85" s="1"/>
      <c r="I85" s="2"/>
      <c r="J85" s="1" t="str">
        <f t="shared" si="12"/>
        <v>.001</v>
      </c>
      <c r="K85" s="1" t="str">
        <f ca="1">IFERROR(__xludf.dummyfunction("VLOOKUP(J85, IMPORTRANGE(""https://docs.google.com/spreadsheets/d/1yDAaXNsi4Mr5FtRQL4tbmSdIzhx6_m4wkOD7IG-k_eo/edit#gid=1336395716"", ""Science!M:N""), 2, FALSE)"),"#N/A")</f>
        <v>#N/A</v>
      </c>
      <c r="L85" s="1" t="str">
        <f t="shared" si="13"/>
        <v>.002</v>
      </c>
      <c r="M85" s="1" t="str">
        <f ca="1">IFERROR(__xludf.dummyfunction("VLOOKUP(L85, IMPORTRANGE(""https://docs.google.com/spreadsheets/d/1yDAaXNsi4Mr5FtRQL4tbmSdIzhx6_m4wkOD7IG-k_eo/edit#gid=1336395716"", ""Science!M:N""), 2, FALSE)"),"#N/A")</f>
        <v>#N/A</v>
      </c>
      <c r="N85" s="1" t="str">
        <f t="shared" si="14"/>
        <v>.003</v>
      </c>
      <c r="O85" s="1" t="str">
        <f ca="1">IFERROR(__xludf.dummyfunction("VLOOKUP(N85, IMPORTRANGE(""https://docs.google.com/spreadsheets/d/1yDAaXNsi4Mr5FtRQL4tbmSdIzhx6_m4wkOD7IG-k_eo/edit#gid=1336395716"", ""Science!M:N""), 2, FALSE)"),"#N/A")</f>
        <v>#N/A</v>
      </c>
      <c r="P85" s="1" t="str">
        <f t="shared" si="15"/>
        <v>.004</v>
      </c>
      <c r="Q85" s="15" t="str">
        <f ca="1">IFERROR(__xludf.dummyfunction("VLOOKUP(P85, IMPORTRANGE(""https://docs.google.com/spreadsheets/d/1yDAaXNsi4Mr5FtRQL4tbmSdIzhx6_m4wkOD7IG-k_eo/edit#gid=1336395716"", ""Science!M:N""), 2, FALSE)"),"#N/A")</f>
        <v>#N/A</v>
      </c>
      <c r="R85" s="1" t="str">
        <f t="shared" si="16"/>
        <v>.005</v>
      </c>
      <c r="S85" s="15" t="str">
        <f ca="1">IFERROR(__xludf.dummyfunction("VLOOKUP(R85, IMPORTRANGE(""https://docs.google.com/spreadsheets/d/1yDAaXNsi4Mr5FtRQL4tbmSdIzhx6_m4wkOD7IG-k_eo/edit#gid=1336395716"", ""Science!M:N""), 2, FALSE)"),"#N/A")</f>
        <v>#N/A</v>
      </c>
      <c r="T85" s="1" t="str">
        <f t="shared" si="17"/>
        <v>.006</v>
      </c>
      <c r="U85" s="15" t="str">
        <f ca="1">IFERROR(__xludf.dummyfunction("VLOOKUP(T85, IMPORTRANGE(""https://docs.google.com/spreadsheets/d/1yDAaXNsi4Mr5FtRQL4tbmSdIzhx6_m4wkOD7IG-k_eo/edit#gid=1336395716"", ""Science!M:N""), 2, FALSE)"),"#N/A")</f>
        <v>#N/A</v>
      </c>
      <c r="V85" s="16" t="str">
        <f ca="1">IFERROR(__xludf.dummyfunction("ArrayFormula(VLOOKUP(G85, IMPORTRANGE(""https://docs.google.com/spreadsheets/d/1p7R4vtkWt5VOBim4ltsDG9KTzSjrtKXsMtQGXPHyND0/edit#gid=795171502"", ""'Filter 30_05_2024'!A1:M2000""), {2, 3, 4, 5,6,7,8,9,10,11,12,13}, 0))"),"#N/A")</f>
        <v>#N/A</v>
      </c>
      <c r="W85" s="16" t="str">
        <f ca="1">IFERROR(__xludf.dummyfunction("""COMPUTED_VALUE"""),"#N/A")</f>
        <v>#N/A</v>
      </c>
      <c r="X85" s="16" t="str">
        <f ca="1">IFERROR(__xludf.dummyfunction("""COMPUTED_VALUE"""),"#N/A")</f>
        <v>#N/A</v>
      </c>
      <c r="Y85" s="16" t="str">
        <f ca="1">IFERROR(__xludf.dummyfunction("""COMPUTED_VALUE"""),"#N/A")</f>
        <v>#N/A</v>
      </c>
      <c r="Z85" s="16" t="str">
        <f ca="1">IFERROR(__xludf.dummyfunction("""COMPUTED_VALUE"""),"#N/A")</f>
        <v>#N/A</v>
      </c>
      <c r="AA85" s="17" t="str">
        <f ca="1">IFERROR(__xludf.dummyfunction("""COMPUTED_VALUE"""),"#N/A")</f>
        <v>#N/A</v>
      </c>
      <c r="AB85" s="17" t="str">
        <f ca="1">IFERROR(__xludf.dummyfunction("""COMPUTED_VALUE"""),"#N/A")</f>
        <v>#N/A</v>
      </c>
      <c r="AC85" s="17" t="str">
        <f ca="1">IFERROR(__xludf.dummyfunction("""COMPUTED_VALUE"""),"#N/A")</f>
        <v>#N/A</v>
      </c>
      <c r="AD85" s="2" t="str">
        <f ca="1">IFERROR(__xludf.dummyfunction("""COMPUTED_VALUE"""),"#N/A")</f>
        <v>#N/A</v>
      </c>
      <c r="AE85" s="2" t="str">
        <f ca="1">IFERROR(__xludf.dummyfunction("""COMPUTED_VALUE"""),"#N/A")</f>
        <v>#N/A</v>
      </c>
      <c r="AF85" s="2" t="str">
        <f ca="1">IFERROR(__xludf.dummyfunction("""COMPUTED_VALUE"""),"#N/A")</f>
        <v>#N/A</v>
      </c>
      <c r="AG85" s="2" t="str">
        <f ca="1">IFERROR(__xludf.dummyfunction("""COMPUTED_VALUE"""),"#N/A")</f>
        <v>#N/A</v>
      </c>
    </row>
    <row r="86" spans="6:33" ht="13.8">
      <c r="F86" s="1"/>
      <c r="H86" s="1"/>
      <c r="I86" s="2"/>
      <c r="J86" s="1" t="str">
        <f t="shared" si="12"/>
        <v>.001</v>
      </c>
      <c r="K86" s="1" t="str">
        <f ca="1">IFERROR(__xludf.dummyfunction("VLOOKUP(J86, IMPORTRANGE(""https://docs.google.com/spreadsheets/d/1yDAaXNsi4Mr5FtRQL4tbmSdIzhx6_m4wkOD7IG-k_eo/edit#gid=1336395716"", ""Science!M:N""), 2, FALSE)"),"#N/A")</f>
        <v>#N/A</v>
      </c>
      <c r="L86" s="1" t="str">
        <f t="shared" si="13"/>
        <v>.002</v>
      </c>
      <c r="M86" s="1" t="str">
        <f ca="1">IFERROR(__xludf.dummyfunction("VLOOKUP(L86, IMPORTRANGE(""https://docs.google.com/spreadsheets/d/1yDAaXNsi4Mr5FtRQL4tbmSdIzhx6_m4wkOD7IG-k_eo/edit#gid=1336395716"", ""Science!M:N""), 2, FALSE)"),"#N/A")</f>
        <v>#N/A</v>
      </c>
      <c r="N86" s="1" t="str">
        <f t="shared" si="14"/>
        <v>.003</v>
      </c>
      <c r="O86" s="1" t="str">
        <f ca="1">IFERROR(__xludf.dummyfunction("VLOOKUP(N86, IMPORTRANGE(""https://docs.google.com/spreadsheets/d/1yDAaXNsi4Mr5FtRQL4tbmSdIzhx6_m4wkOD7IG-k_eo/edit#gid=1336395716"", ""Science!M:N""), 2, FALSE)"),"#N/A")</f>
        <v>#N/A</v>
      </c>
      <c r="P86" s="1" t="str">
        <f t="shared" si="15"/>
        <v>.004</v>
      </c>
      <c r="Q86" s="15" t="str">
        <f ca="1">IFERROR(__xludf.dummyfunction("VLOOKUP(P86, IMPORTRANGE(""https://docs.google.com/spreadsheets/d/1yDAaXNsi4Mr5FtRQL4tbmSdIzhx6_m4wkOD7IG-k_eo/edit#gid=1336395716"", ""Science!M:N""), 2, FALSE)"),"#N/A")</f>
        <v>#N/A</v>
      </c>
      <c r="R86" s="1" t="str">
        <f t="shared" si="16"/>
        <v>.005</v>
      </c>
      <c r="S86" s="15" t="str">
        <f ca="1">IFERROR(__xludf.dummyfunction("VLOOKUP(R86, IMPORTRANGE(""https://docs.google.com/spreadsheets/d/1yDAaXNsi4Mr5FtRQL4tbmSdIzhx6_m4wkOD7IG-k_eo/edit#gid=1336395716"", ""Science!M:N""), 2, FALSE)"),"#N/A")</f>
        <v>#N/A</v>
      </c>
      <c r="T86" s="1" t="str">
        <f t="shared" si="17"/>
        <v>.006</v>
      </c>
      <c r="U86" s="15" t="str">
        <f ca="1">IFERROR(__xludf.dummyfunction("VLOOKUP(T86, IMPORTRANGE(""https://docs.google.com/spreadsheets/d/1yDAaXNsi4Mr5FtRQL4tbmSdIzhx6_m4wkOD7IG-k_eo/edit#gid=1336395716"", ""Science!M:N""), 2, FALSE)"),"#N/A")</f>
        <v>#N/A</v>
      </c>
      <c r="V86" s="16" t="str">
        <f ca="1">IFERROR(__xludf.dummyfunction("ArrayFormula(VLOOKUP(G86, IMPORTRANGE(""https://docs.google.com/spreadsheets/d/1p7R4vtkWt5VOBim4ltsDG9KTzSjrtKXsMtQGXPHyND0/edit#gid=795171502"", ""'Filter 30_05_2024'!A1:M2000""), {2, 3, 4, 5,6,7,8,9,10,11,12,13}, 0))"),"#N/A")</f>
        <v>#N/A</v>
      </c>
      <c r="W86" s="16" t="str">
        <f ca="1">IFERROR(__xludf.dummyfunction("""COMPUTED_VALUE"""),"#N/A")</f>
        <v>#N/A</v>
      </c>
      <c r="X86" s="16" t="str">
        <f ca="1">IFERROR(__xludf.dummyfunction("""COMPUTED_VALUE"""),"#N/A")</f>
        <v>#N/A</v>
      </c>
      <c r="Y86" s="16" t="str">
        <f ca="1">IFERROR(__xludf.dummyfunction("""COMPUTED_VALUE"""),"#N/A")</f>
        <v>#N/A</v>
      </c>
      <c r="Z86" s="16" t="str">
        <f ca="1">IFERROR(__xludf.dummyfunction("""COMPUTED_VALUE"""),"#N/A")</f>
        <v>#N/A</v>
      </c>
      <c r="AA86" s="17" t="str">
        <f ca="1">IFERROR(__xludf.dummyfunction("""COMPUTED_VALUE"""),"#N/A")</f>
        <v>#N/A</v>
      </c>
      <c r="AB86" s="17" t="str">
        <f ca="1">IFERROR(__xludf.dummyfunction("""COMPUTED_VALUE"""),"#N/A")</f>
        <v>#N/A</v>
      </c>
      <c r="AC86" s="17" t="str">
        <f ca="1">IFERROR(__xludf.dummyfunction("""COMPUTED_VALUE"""),"#N/A")</f>
        <v>#N/A</v>
      </c>
      <c r="AD86" s="2" t="str">
        <f ca="1">IFERROR(__xludf.dummyfunction("""COMPUTED_VALUE"""),"#N/A")</f>
        <v>#N/A</v>
      </c>
      <c r="AE86" s="2" t="str">
        <f ca="1">IFERROR(__xludf.dummyfunction("""COMPUTED_VALUE"""),"#N/A")</f>
        <v>#N/A</v>
      </c>
      <c r="AF86" s="2" t="str">
        <f ca="1">IFERROR(__xludf.dummyfunction("""COMPUTED_VALUE"""),"#N/A")</f>
        <v>#N/A</v>
      </c>
      <c r="AG86" s="2" t="str">
        <f ca="1">IFERROR(__xludf.dummyfunction("""COMPUTED_VALUE"""),"#N/A")</f>
        <v>#N/A</v>
      </c>
    </row>
    <row r="87" spans="6:33" ht="13.8">
      <c r="F87" s="1"/>
      <c r="H87" s="1"/>
      <c r="I87" s="2"/>
      <c r="J87" s="1" t="str">
        <f t="shared" si="12"/>
        <v>.001</v>
      </c>
      <c r="K87" s="1" t="str">
        <f ca="1">IFERROR(__xludf.dummyfunction("VLOOKUP(J87, IMPORTRANGE(""https://docs.google.com/spreadsheets/d/1yDAaXNsi4Mr5FtRQL4tbmSdIzhx6_m4wkOD7IG-k_eo/edit#gid=1336395716"", ""Science!M:N""), 2, FALSE)"),"#N/A")</f>
        <v>#N/A</v>
      </c>
      <c r="L87" s="1" t="str">
        <f t="shared" si="13"/>
        <v>.002</v>
      </c>
      <c r="M87" s="1" t="str">
        <f ca="1">IFERROR(__xludf.dummyfunction("VLOOKUP(L87, IMPORTRANGE(""https://docs.google.com/spreadsheets/d/1yDAaXNsi4Mr5FtRQL4tbmSdIzhx6_m4wkOD7IG-k_eo/edit#gid=1336395716"", ""Science!M:N""), 2, FALSE)"),"#N/A")</f>
        <v>#N/A</v>
      </c>
      <c r="N87" s="1" t="str">
        <f t="shared" si="14"/>
        <v>.003</v>
      </c>
      <c r="O87" s="1" t="str">
        <f ca="1">IFERROR(__xludf.dummyfunction("VLOOKUP(N87, IMPORTRANGE(""https://docs.google.com/spreadsheets/d/1yDAaXNsi4Mr5FtRQL4tbmSdIzhx6_m4wkOD7IG-k_eo/edit#gid=1336395716"", ""Science!M:N""), 2, FALSE)"),"#N/A")</f>
        <v>#N/A</v>
      </c>
      <c r="P87" s="1" t="str">
        <f t="shared" si="15"/>
        <v>.004</v>
      </c>
      <c r="Q87" s="15" t="str">
        <f ca="1">IFERROR(__xludf.dummyfunction("VLOOKUP(P87, IMPORTRANGE(""https://docs.google.com/spreadsheets/d/1yDAaXNsi4Mr5FtRQL4tbmSdIzhx6_m4wkOD7IG-k_eo/edit#gid=1336395716"", ""Science!M:N""), 2, FALSE)"),"#N/A")</f>
        <v>#N/A</v>
      </c>
      <c r="R87" s="1" t="str">
        <f t="shared" si="16"/>
        <v>.005</v>
      </c>
      <c r="S87" s="15" t="str">
        <f ca="1">IFERROR(__xludf.dummyfunction("VLOOKUP(R87, IMPORTRANGE(""https://docs.google.com/spreadsheets/d/1yDAaXNsi4Mr5FtRQL4tbmSdIzhx6_m4wkOD7IG-k_eo/edit#gid=1336395716"", ""Science!M:N""), 2, FALSE)"),"#N/A")</f>
        <v>#N/A</v>
      </c>
      <c r="T87" s="1" t="str">
        <f t="shared" si="17"/>
        <v>.006</v>
      </c>
      <c r="U87" s="15" t="str">
        <f ca="1">IFERROR(__xludf.dummyfunction("VLOOKUP(T87, IMPORTRANGE(""https://docs.google.com/spreadsheets/d/1yDAaXNsi4Mr5FtRQL4tbmSdIzhx6_m4wkOD7IG-k_eo/edit#gid=1336395716"", ""Science!M:N""), 2, FALSE)"),"#N/A")</f>
        <v>#N/A</v>
      </c>
      <c r="V87" s="16" t="str">
        <f ca="1">IFERROR(__xludf.dummyfunction("ArrayFormula(VLOOKUP(G87, IMPORTRANGE(""https://docs.google.com/spreadsheets/d/1p7R4vtkWt5VOBim4ltsDG9KTzSjrtKXsMtQGXPHyND0/edit#gid=795171502"", ""'Filter 30_05_2024'!A1:M2000""), {2, 3, 4, 5,6,7,8,9,10,11,12,13}, 0))"),"#N/A")</f>
        <v>#N/A</v>
      </c>
      <c r="W87" s="16" t="str">
        <f ca="1">IFERROR(__xludf.dummyfunction("""COMPUTED_VALUE"""),"#N/A")</f>
        <v>#N/A</v>
      </c>
      <c r="X87" s="16" t="str">
        <f ca="1">IFERROR(__xludf.dummyfunction("""COMPUTED_VALUE"""),"#N/A")</f>
        <v>#N/A</v>
      </c>
      <c r="Y87" s="16" t="str">
        <f ca="1">IFERROR(__xludf.dummyfunction("""COMPUTED_VALUE"""),"#N/A")</f>
        <v>#N/A</v>
      </c>
      <c r="Z87" s="16" t="str">
        <f ca="1">IFERROR(__xludf.dummyfunction("""COMPUTED_VALUE"""),"#N/A")</f>
        <v>#N/A</v>
      </c>
      <c r="AA87" s="17" t="str">
        <f ca="1">IFERROR(__xludf.dummyfunction("""COMPUTED_VALUE"""),"#N/A")</f>
        <v>#N/A</v>
      </c>
      <c r="AB87" s="17" t="str">
        <f ca="1">IFERROR(__xludf.dummyfunction("""COMPUTED_VALUE"""),"#N/A")</f>
        <v>#N/A</v>
      </c>
      <c r="AC87" s="17" t="str">
        <f ca="1">IFERROR(__xludf.dummyfunction("""COMPUTED_VALUE"""),"#N/A")</f>
        <v>#N/A</v>
      </c>
      <c r="AD87" s="2" t="str">
        <f ca="1">IFERROR(__xludf.dummyfunction("""COMPUTED_VALUE"""),"#N/A")</f>
        <v>#N/A</v>
      </c>
      <c r="AE87" s="2" t="str">
        <f ca="1">IFERROR(__xludf.dummyfunction("""COMPUTED_VALUE"""),"#N/A")</f>
        <v>#N/A</v>
      </c>
      <c r="AF87" s="2" t="str">
        <f ca="1">IFERROR(__xludf.dummyfunction("""COMPUTED_VALUE"""),"#N/A")</f>
        <v>#N/A</v>
      </c>
      <c r="AG87" s="2" t="str">
        <f ca="1">IFERROR(__xludf.dummyfunction("""COMPUTED_VALUE"""),"#N/A")</f>
        <v>#N/A</v>
      </c>
    </row>
    <row r="88" spans="6:33" ht="13.8">
      <c r="F88" s="1"/>
      <c r="H88" s="1"/>
      <c r="I88" s="2"/>
      <c r="J88" s="1" t="str">
        <f t="shared" si="12"/>
        <v>.001</v>
      </c>
      <c r="K88" s="1" t="str">
        <f ca="1">IFERROR(__xludf.dummyfunction("VLOOKUP(J88, IMPORTRANGE(""https://docs.google.com/spreadsheets/d/1yDAaXNsi4Mr5FtRQL4tbmSdIzhx6_m4wkOD7IG-k_eo/edit#gid=1336395716"", ""Science!M:N""), 2, FALSE)"),"#N/A")</f>
        <v>#N/A</v>
      </c>
      <c r="L88" s="1" t="str">
        <f t="shared" si="13"/>
        <v>.002</v>
      </c>
      <c r="M88" s="1" t="str">
        <f ca="1">IFERROR(__xludf.dummyfunction("VLOOKUP(L88, IMPORTRANGE(""https://docs.google.com/spreadsheets/d/1yDAaXNsi4Mr5FtRQL4tbmSdIzhx6_m4wkOD7IG-k_eo/edit#gid=1336395716"", ""Science!M:N""), 2, FALSE)"),"#N/A")</f>
        <v>#N/A</v>
      </c>
      <c r="N88" s="1" t="str">
        <f t="shared" si="14"/>
        <v>.003</v>
      </c>
      <c r="O88" s="1" t="str">
        <f ca="1">IFERROR(__xludf.dummyfunction("VLOOKUP(N88, IMPORTRANGE(""https://docs.google.com/spreadsheets/d/1yDAaXNsi4Mr5FtRQL4tbmSdIzhx6_m4wkOD7IG-k_eo/edit#gid=1336395716"", ""Science!M:N""), 2, FALSE)"),"#N/A")</f>
        <v>#N/A</v>
      </c>
      <c r="P88" s="1" t="str">
        <f t="shared" si="15"/>
        <v>.004</v>
      </c>
      <c r="Q88" s="15" t="str">
        <f ca="1">IFERROR(__xludf.dummyfunction("VLOOKUP(P88, IMPORTRANGE(""https://docs.google.com/spreadsheets/d/1yDAaXNsi4Mr5FtRQL4tbmSdIzhx6_m4wkOD7IG-k_eo/edit#gid=1336395716"", ""Science!M:N""), 2, FALSE)"),"#N/A")</f>
        <v>#N/A</v>
      </c>
      <c r="R88" s="1" t="str">
        <f t="shared" si="16"/>
        <v>.005</v>
      </c>
      <c r="S88" s="15" t="str">
        <f ca="1">IFERROR(__xludf.dummyfunction("VLOOKUP(R88, IMPORTRANGE(""https://docs.google.com/spreadsheets/d/1yDAaXNsi4Mr5FtRQL4tbmSdIzhx6_m4wkOD7IG-k_eo/edit#gid=1336395716"", ""Science!M:N""), 2, FALSE)"),"#N/A")</f>
        <v>#N/A</v>
      </c>
      <c r="T88" s="1" t="str">
        <f t="shared" si="17"/>
        <v>.006</v>
      </c>
      <c r="U88" s="15" t="str">
        <f ca="1">IFERROR(__xludf.dummyfunction("VLOOKUP(T88, IMPORTRANGE(""https://docs.google.com/spreadsheets/d/1yDAaXNsi4Mr5FtRQL4tbmSdIzhx6_m4wkOD7IG-k_eo/edit#gid=1336395716"", ""Science!M:N""), 2, FALSE)"),"#N/A")</f>
        <v>#N/A</v>
      </c>
      <c r="V88" s="16" t="str">
        <f ca="1">IFERROR(__xludf.dummyfunction("ArrayFormula(VLOOKUP(G88, IMPORTRANGE(""https://docs.google.com/spreadsheets/d/1p7R4vtkWt5VOBim4ltsDG9KTzSjrtKXsMtQGXPHyND0/edit#gid=795171502"", ""'Filter 30_05_2024'!A1:M2000""), {2, 3, 4, 5,6,7,8,9,10,11,12,13}, 0))"),"#N/A")</f>
        <v>#N/A</v>
      </c>
      <c r="W88" s="16" t="str">
        <f ca="1">IFERROR(__xludf.dummyfunction("""COMPUTED_VALUE"""),"#N/A")</f>
        <v>#N/A</v>
      </c>
      <c r="X88" s="16" t="str">
        <f ca="1">IFERROR(__xludf.dummyfunction("""COMPUTED_VALUE"""),"#N/A")</f>
        <v>#N/A</v>
      </c>
      <c r="Y88" s="16" t="str">
        <f ca="1">IFERROR(__xludf.dummyfunction("""COMPUTED_VALUE"""),"#N/A")</f>
        <v>#N/A</v>
      </c>
      <c r="Z88" s="16" t="str">
        <f ca="1">IFERROR(__xludf.dummyfunction("""COMPUTED_VALUE"""),"#N/A")</f>
        <v>#N/A</v>
      </c>
      <c r="AA88" s="17" t="str">
        <f ca="1">IFERROR(__xludf.dummyfunction("""COMPUTED_VALUE"""),"#N/A")</f>
        <v>#N/A</v>
      </c>
      <c r="AB88" s="17" t="str">
        <f ca="1">IFERROR(__xludf.dummyfunction("""COMPUTED_VALUE"""),"#N/A")</f>
        <v>#N/A</v>
      </c>
      <c r="AC88" s="17" t="str">
        <f ca="1">IFERROR(__xludf.dummyfunction("""COMPUTED_VALUE"""),"#N/A")</f>
        <v>#N/A</v>
      </c>
      <c r="AD88" s="2" t="str">
        <f ca="1">IFERROR(__xludf.dummyfunction("""COMPUTED_VALUE"""),"#N/A")</f>
        <v>#N/A</v>
      </c>
      <c r="AE88" s="2" t="str">
        <f ca="1">IFERROR(__xludf.dummyfunction("""COMPUTED_VALUE"""),"#N/A")</f>
        <v>#N/A</v>
      </c>
      <c r="AF88" s="2" t="str">
        <f ca="1">IFERROR(__xludf.dummyfunction("""COMPUTED_VALUE"""),"#N/A")</f>
        <v>#N/A</v>
      </c>
      <c r="AG88" s="2" t="str">
        <f ca="1">IFERROR(__xludf.dummyfunction("""COMPUTED_VALUE"""),"#N/A")</f>
        <v>#N/A</v>
      </c>
    </row>
    <row r="89" spans="6:33" ht="13.8">
      <c r="F89" s="1"/>
      <c r="H89" s="1"/>
      <c r="I89" s="2"/>
      <c r="J89" s="1" t="str">
        <f t="shared" si="12"/>
        <v>.001</v>
      </c>
      <c r="K89" s="1" t="str">
        <f ca="1">IFERROR(__xludf.dummyfunction("VLOOKUP(J89, IMPORTRANGE(""https://docs.google.com/spreadsheets/d/1yDAaXNsi4Mr5FtRQL4tbmSdIzhx6_m4wkOD7IG-k_eo/edit#gid=1336395716"", ""Science!M:N""), 2, FALSE)"),"#N/A")</f>
        <v>#N/A</v>
      </c>
      <c r="L89" s="1" t="str">
        <f t="shared" si="13"/>
        <v>.002</v>
      </c>
      <c r="M89" s="1" t="str">
        <f ca="1">IFERROR(__xludf.dummyfunction("VLOOKUP(L89, IMPORTRANGE(""https://docs.google.com/spreadsheets/d/1yDAaXNsi4Mr5FtRQL4tbmSdIzhx6_m4wkOD7IG-k_eo/edit#gid=1336395716"", ""Science!M:N""), 2, FALSE)"),"#N/A")</f>
        <v>#N/A</v>
      </c>
      <c r="N89" s="1" t="str">
        <f t="shared" si="14"/>
        <v>.003</v>
      </c>
      <c r="O89" s="1" t="str">
        <f ca="1">IFERROR(__xludf.dummyfunction("VLOOKUP(N89, IMPORTRANGE(""https://docs.google.com/spreadsheets/d/1yDAaXNsi4Mr5FtRQL4tbmSdIzhx6_m4wkOD7IG-k_eo/edit#gid=1336395716"", ""Science!M:N""), 2, FALSE)"),"#N/A")</f>
        <v>#N/A</v>
      </c>
      <c r="P89" s="1" t="str">
        <f t="shared" si="15"/>
        <v>.004</v>
      </c>
      <c r="Q89" s="15" t="str">
        <f ca="1">IFERROR(__xludf.dummyfunction("VLOOKUP(P89, IMPORTRANGE(""https://docs.google.com/spreadsheets/d/1yDAaXNsi4Mr5FtRQL4tbmSdIzhx6_m4wkOD7IG-k_eo/edit#gid=1336395716"", ""Science!M:N""), 2, FALSE)"),"#N/A")</f>
        <v>#N/A</v>
      </c>
      <c r="R89" s="1" t="str">
        <f t="shared" si="16"/>
        <v>.005</v>
      </c>
      <c r="S89" s="15" t="str">
        <f ca="1">IFERROR(__xludf.dummyfunction("VLOOKUP(R89, IMPORTRANGE(""https://docs.google.com/spreadsheets/d/1yDAaXNsi4Mr5FtRQL4tbmSdIzhx6_m4wkOD7IG-k_eo/edit#gid=1336395716"", ""Science!M:N""), 2, FALSE)"),"#N/A")</f>
        <v>#N/A</v>
      </c>
      <c r="T89" s="1" t="str">
        <f t="shared" si="17"/>
        <v>.006</v>
      </c>
      <c r="U89" s="15" t="str">
        <f ca="1">IFERROR(__xludf.dummyfunction("VLOOKUP(T89, IMPORTRANGE(""https://docs.google.com/spreadsheets/d/1yDAaXNsi4Mr5FtRQL4tbmSdIzhx6_m4wkOD7IG-k_eo/edit#gid=1336395716"", ""Science!M:N""), 2, FALSE)"),"#N/A")</f>
        <v>#N/A</v>
      </c>
      <c r="V89" s="16" t="str">
        <f ca="1">IFERROR(__xludf.dummyfunction("ArrayFormula(VLOOKUP(G89, IMPORTRANGE(""https://docs.google.com/spreadsheets/d/1p7R4vtkWt5VOBim4ltsDG9KTzSjrtKXsMtQGXPHyND0/edit#gid=795171502"", ""'Filter 30_05_2024'!A1:M2000""), {2, 3, 4, 5,6,7,8,9,10,11,12,13}, 0))"),"#N/A")</f>
        <v>#N/A</v>
      </c>
      <c r="W89" s="16" t="str">
        <f ca="1">IFERROR(__xludf.dummyfunction("""COMPUTED_VALUE"""),"#N/A")</f>
        <v>#N/A</v>
      </c>
      <c r="X89" s="16" t="str">
        <f ca="1">IFERROR(__xludf.dummyfunction("""COMPUTED_VALUE"""),"#N/A")</f>
        <v>#N/A</v>
      </c>
      <c r="Y89" s="16" t="str">
        <f ca="1">IFERROR(__xludf.dummyfunction("""COMPUTED_VALUE"""),"#N/A")</f>
        <v>#N/A</v>
      </c>
      <c r="Z89" s="16" t="str">
        <f ca="1">IFERROR(__xludf.dummyfunction("""COMPUTED_VALUE"""),"#N/A")</f>
        <v>#N/A</v>
      </c>
      <c r="AA89" s="17" t="str">
        <f ca="1">IFERROR(__xludf.dummyfunction("""COMPUTED_VALUE"""),"#N/A")</f>
        <v>#N/A</v>
      </c>
      <c r="AB89" s="17" t="str">
        <f ca="1">IFERROR(__xludf.dummyfunction("""COMPUTED_VALUE"""),"#N/A")</f>
        <v>#N/A</v>
      </c>
      <c r="AC89" s="17" t="str">
        <f ca="1">IFERROR(__xludf.dummyfunction("""COMPUTED_VALUE"""),"#N/A")</f>
        <v>#N/A</v>
      </c>
      <c r="AD89" s="2" t="str">
        <f ca="1">IFERROR(__xludf.dummyfunction("""COMPUTED_VALUE"""),"#N/A")</f>
        <v>#N/A</v>
      </c>
      <c r="AE89" s="2" t="str">
        <f ca="1">IFERROR(__xludf.dummyfunction("""COMPUTED_VALUE"""),"#N/A")</f>
        <v>#N/A</v>
      </c>
      <c r="AF89" s="2" t="str">
        <f ca="1">IFERROR(__xludf.dummyfunction("""COMPUTED_VALUE"""),"#N/A")</f>
        <v>#N/A</v>
      </c>
      <c r="AG89" s="2" t="str">
        <f ca="1">IFERROR(__xludf.dummyfunction("""COMPUTED_VALUE"""),"#N/A")</f>
        <v>#N/A</v>
      </c>
    </row>
    <row r="90" spans="6:33" ht="13.8">
      <c r="F90" s="1"/>
      <c r="H90" s="1"/>
      <c r="I90" s="2"/>
      <c r="J90" s="1" t="str">
        <f t="shared" si="12"/>
        <v>.001</v>
      </c>
      <c r="K90" s="1" t="str">
        <f ca="1">IFERROR(__xludf.dummyfunction("VLOOKUP(J90, IMPORTRANGE(""https://docs.google.com/spreadsheets/d/1yDAaXNsi4Mr5FtRQL4tbmSdIzhx6_m4wkOD7IG-k_eo/edit#gid=1336395716"", ""Science!M:N""), 2, FALSE)"),"#N/A")</f>
        <v>#N/A</v>
      </c>
      <c r="L90" s="1" t="str">
        <f t="shared" si="13"/>
        <v>.002</v>
      </c>
      <c r="M90" s="1" t="str">
        <f ca="1">IFERROR(__xludf.dummyfunction("VLOOKUP(L90, IMPORTRANGE(""https://docs.google.com/spreadsheets/d/1yDAaXNsi4Mr5FtRQL4tbmSdIzhx6_m4wkOD7IG-k_eo/edit#gid=1336395716"", ""Science!M:N""), 2, FALSE)"),"#N/A")</f>
        <v>#N/A</v>
      </c>
      <c r="N90" s="1" t="str">
        <f t="shared" si="14"/>
        <v>.003</v>
      </c>
      <c r="O90" s="1" t="str">
        <f ca="1">IFERROR(__xludf.dummyfunction("VLOOKUP(N90, IMPORTRANGE(""https://docs.google.com/spreadsheets/d/1yDAaXNsi4Mr5FtRQL4tbmSdIzhx6_m4wkOD7IG-k_eo/edit#gid=1336395716"", ""Science!M:N""), 2, FALSE)"),"#N/A")</f>
        <v>#N/A</v>
      </c>
      <c r="P90" s="1" t="str">
        <f t="shared" si="15"/>
        <v>.004</v>
      </c>
      <c r="Q90" s="15" t="str">
        <f ca="1">IFERROR(__xludf.dummyfunction("VLOOKUP(P90, IMPORTRANGE(""https://docs.google.com/spreadsheets/d/1yDAaXNsi4Mr5FtRQL4tbmSdIzhx6_m4wkOD7IG-k_eo/edit#gid=1336395716"", ""Science!M:N""), 2, FALSE)"),"#N/A")</f>
        <v>#N/A</v>
      </c>
      <c r="R90" s="1" t="str">
        <f t="shared" si="16"/>
        <v>.005</v>
      </c>
      <c r="S90" s="15" t="str">
        <f ca="1">IFERROR(__xludf.dummyfunction("VLOOKUP(R90, IMPORTRANGE(""https://docs.google.com/spreadsheets/d/1yDAaXNsi4Mr5FtRQL4tbmSdIzhx6_m4wkOD7IG-k_eo/edit#gid=1336395716"", ""Science!M:N""), 2, FALSE)"),"#N/A")</f>
        <v>#N/A</v>
      </c>
      <c r="T90" s="1" t="str">
        <f t="shared" si="17"/>
        <v>.006</v>
      </c>
      <c r="U90" s="15" t="str">
        <f ca="1">IFERROR(__xludf.dummyfunction("VLOOKUP(T90, IMPORTRANGE(""https://docs.google.com/spreadsheets/d/1yDAaXNsi4Mr5FtRQL4tbmSdIzhx6_m4wkOD7IG-k_eo/edit#gid=1336395716"", ""Science!M:N""), 2, FALSE)"),"#N/A")</f>
        <v>#N/A</v>
      </c>
      <c r="V90" s="16" t="str">
        <f ca="1">IFERROR(__xludf.dummyfunction("ArrayFormula(VLOOKUP(G90, IMPORTRANGE(""https://docs.google.com/spreadsheets/d/1p7R4vtkWt5VOBim4ltsDG9KTzSjrtKXsMtQGXPHyND0/edit#gid=795171502"", ""'Filter 30_05_2024'!A1:M2000""), {2, 3, 4, 5,6,7,8,9,10,11,12,13}, 0))"),"#N/A")</f>
        <v>#N/A</v>
      </c>
      <c r="W90" s="16" t="str">
        <f ca="1">IFERROR(__xludf.dummyfunction("""COMPUTED_VALUE"""),"#N/A")</f>
        <v>#N/A</v>
      </c>
      <c r="X90" s="16" t="str">
        <f ca="1">IFERROR(__xludf.dummyfunction("""COMPUTED_VALUE"""),"#N/A")</f>
        <v>#N/A</v>
      </c>
      <c r="Y90" s="16" t="str">
        <f ca="1">IFERROR(__xludf.dummyfunction("""COMPUTED_VALUE"""),"#N/A")</f>
        <v>#N/A</v>
      </c>
      <c r="Z90" s="16" t="str">
        <f ca="1">IFERROR(__xludf.dummyfunction("""COMPUTED_VALUE"""),"#N/A")</f>
        <v>#N/A</v>
      </c>
      <c r="AA90" s="17" t="str">
        <f ca="1">IFERROR(__xludf.dummyfunction("""COMPUTED_VALUE"""),"#N/A")</f>
        <v>#N/A</v>
      </c>
      <c r="AB90" s="17" t="str">
        <f ca="1">IFERROR(__xludf.dummyfunction("""COMPUTED_VALUE"""),"#N/A")</f>
        <v>#N/A</v>
      </c>
      <c r="AC90" s="17" t="str">
        <f ca="1">IFERROR(__xludf.dummyfunction("""COMPUTED_VALUE"""),"#N/A")</f>
        <v>#N/A</v>
      </c>
      <c r="AD90" s="2" t="str">
        <f ca="1">IFERROR(__xludf.dummyfunction("""COMPUTED_VALUE"""),"#N/A")</f>
        <v>#N/A</v>
      </c>
      <c r="AE90" s="2" t="str">
        <f ca="1">IFERROR(__xludf.dummyfunction("""COMPUTED_VALUE"""),"#N/A")</f>
        <v>#N/A</v>
      </c>
      <c r="AF90" s="2" t="str">
        <f ca="1">IFERROR(__xludf.dummyfunction("""COMPUTED_VALUE"""),"#N/A")</f>
        <v>#N/A</v>
      </c>
      <c r="AG90" s="2" t="str">
        <f ca="1">IFERROR(__xludf.dummyfunction("""COMPUTED_VALUE"""),"#N/A")</f>
        <v>#N/A</v>
      </c>
    </row>
    <row r="91" spans="6:33" ht="13.8">
      <c r="F91" s="1"/>
      <c r="H91" s="1"/>
      <c r="I91" s="2"/>
      <c r="J91" s="1" t="str">
        <f t="shared" si="12"/>
        <v>.001</v>
      </c>
      <c r="K91" s="1" t="str">
        <f ca="1">IFERROR(__xludf.dummyfunction("VLOOKUP(J91, IMPORTRANGE(""https://docs.google.com/spreadsheets/d/1yDAaXNsi4Mr5FtRQL4tbmSdIzhx6_m4wkOD7IG-k_eo/edit#gid=1336395716"", ""Science!M:N""), 2, FALSE)"),"#N/A")</f>
        <v>#N/A</v>
      </c>
      <c r="L91" s="1" t="str">
        <f t="shared" si="13"/>
        <v>.002</v>
      </c>
      <c r="M91" s="1" t="str">
        <f ca="1">IFERROR(__xludf.dummyfunction("VLOOKUP(L91, IMPORTRANGE(""https://docs.google.com/spreadsheets/d/1yDAaXNsi4Mr5FtRQL4tbmSdIzhx6_m4wkOD7IG-k_eo/edit#gid=1336395716"", ""Science!M:N""), 2, FALSE)"),"#N/A")</f>
        <v>#N/A</v>
      </c>
      <c r="N91" s="1" t="str">
        <f t="shared" si="14"/>
        <v>.003</v>
      </c>
      <c r="O91" s="1" t="str">
        <f ca="1">IFERROR(__xludf.dummyfunction("VLOOKUP(N91, IMPORTRANGE(""https://docs.google.com/spreadsheets/d/1yDAaXNsi4Mr5FtRQL4tbmSdIzhx6_m4wkOD7IG-k_eo/edit#gid=1336395716"", ""Science!M:N""), 2, FALSE)"),"#N/A")</f>
        <v>#N/A</v>
      </c>
      <c r="P91" s="1" t="str">
        <f t="shared" si="15"/>
        <v>.004</v>
      </c>
      <c r="Q91" s="15" t="str">
        <f ca="1">IFERROR(__xludf.dummyfunction("VLOOKUP(P91, IMPORTRANGE(""https://docs.google.com/spreadsheets/d/1yDAaXNsi4Mr5FtRQL4tbmSdIzhx6_m4wkOD7IG-k_eo/edit#gid=1336395716"", ""Science!M:N""), 2, FALSE)"),"#N/A")</f>
        <v>#N/A</v>
      </c>
      <c r="R91" s="1" t="str">
        <f t="shared" si="16"/>
        <v>.005</v>
      </c>
      <c r="S91" s="15" t="str">
        <f ca="1">IFERROR(__xludf.dummyfunction("VLOOKUP(R91, IMPORTRANGE(""https://docs.google.com/spreadsheets/d/1yDAaXNsi4Mr5FtRQL4tbmSdIzhx6_m4wkOD7IG-k_eo/edit#gid=1336395716"", ""Science!M:N""), 2, FALSE)"),"#N/A")</f>
        <v>#N/A</v>
      </c>
      <c r="T91" s="1" t="str">
        <f t="shared" si="17"/>
        <v>.006</v>
      </c>
      <c r="U91" s="15" t="str">
        <f ca="1">IFERROR(__xludf.dummyfunction("VLOOKUP(T91, IMPORTRANGE(""https://docs.google.com/spreadsheets/d/1yDAaXNsi4Mr5FtRQL4tbmSdIzhx6_m4wkOD7IG-k_eo/edit#gid=1336395716"", ""Science!M:N""), 2, FALSE)"),"#N/A")</f>
        <v>#N/A</v>
      </c>
      <c r="V91" s="16" t="str">
        <f ca="1">IFERROR(__xludf.dummyfunction("ArrayFormula(VLOOKUP(G91, IMPORTRANGE(""https://docs.google.com/spreadsheets/d/1p7R4vtkWt5VOBim4ltsDG9KTzSjrtKXsMtQGXPHyND0/edit#gid=795171502"", ""'Filter 30_05_2024'!A1:M2000""), {2, 3, 4, 5,6,7,8,9,10,11,12,13}, 0))"),"#N/A")</f>
        <v>#N/A</v>
      </c>
      <c r="W91" s="16" t="str">
        <f ca="1">IFERROR(__xludf.dummyfunction("""COMPUTED_VALUE"""),"#N/A")</f>
        <v>#N/A</v>
      </c>
      <c r="X91" s="16" t="str">
        <f ca="1">IFERROR(__xludf.dummyfunction("""COMPUTED_VALUE"""),"#N/A")</f>
        <v>#N/A</v>
      </c>
      <c r="Y91" s="16" t="str">
        <f ca="1">IFERROR(__xludf.dummyfunction("""COMPUTED_VALUE"""),"#N/A")</f>
        <v>#N/A</v>
      </c>
      <c r="Z91" s="16" t="str">
        <f ca="1">IFERROR(__xludf.dummyfunction("""COMPUTED_VALUE"""),"#N/A")</f>
        <v>#N/A</v>
      </c>
      <c r="AA91" s="17" t="str">
        <f ca="1">IFERROR(__xludf.dummyfunction("""COMPUTED_VALUE"""),"#N/A")</f>
        <v>#N/A</v>
      </c>
      <c r="AB91" s="17" t="str">
        <f ca="1">IFERROR(__xludf.dummyfunction("""COMPUTED_VALUE"""),"#N/A")</f>
        <v>#N/A</v>
      </c>
      <c r="AC91" s="17" t="str">
        <f ca="1">IFERROR(__xludf.dummyfunction("""COMPUTED_VALUE"""),"#N/A")</f>
        <v>#N/A</v>
      </c>
      <c r="AD91" s="2" t="str">
        <f ca="1">IFERROR(__xludf.dummyfunction("""COMPUTED_VALUE"""),"#N/A")</f>
        <v>#N/A</v>
      </c>
      <c r="AE91" s="2" t="str">
        <f ca="1">IFERROR(__xludf.dummyfunction("""COMPUTED_VALUE"""),"#N/A")</f>
        <v>#N/A</v>
      </c>
      <c r="AF91" s="2" t="str">
        <f ca="1">IFERROR(__xludf.dummyfunction("""COMPUTED_VALUE"""),"#N/A")</f>
        <v>#N/A</v>
      </c>
      <c r="AG91" s="2" t="str">
        <f ca="1">IFERROR(__xludf.dummyfunction("""COMPUTED_VALUE"""),"#N/A")</f>
        <v>#N/A</v>
      </c>
    </row>
    <row r="92" spans="6:33" ht="13.8">
      <c r="F92" s="1"/>
      <c r="H92" s="1"/>
      <c r="I92" s="2"/>
      <c r="J92" s="1" t="str">
        <f t="shared" si="12"/>
        <v>.001</v>
      </c>
      <c r="K92" s="1" t="str">
        <f ca="1">IFERROR(__xludf.dummyfunction("VLOOKUP(J92, IMPORTRANGE(""https://docs.google.com/spreadsheets/d/1yDAaXNsi4Mr5FtRQL4tbmSdIzhx6_m4wkOD7IG-k_eo/edit#gid=1336395716"", ""Science!M:N""), 2, FALSE)"),"#N/A")</f>
        <v>#N/A</v>
      </c>
      <c r="L92" s="1" t="str">
        <f t="shared" si="13"/>
        <v>.002</v>
      </c>
      <c r="M92" s="1" t="str">
        <f ca="1">IFERROR(__xludf.dummyfunction("VLOOKUP(L92, IMPORTRANGE(""https://docs.google.com/spreadsheets/d/1yDAaXNsi4Mr5FtRQL4tbmSdIzhx6_m4wkOD7IG-k_eo/edit#gid=1336395716"", ""Science!M:N""), 2, FALSE)"),"#N/A")</f>
        <v>#N/A</v>
      </c>
      <c r="N92" s="1" t="str">
        <f t="shared" si="14"/>
        <v>.003</v>
      </c>
      <c r="O92" s="1" t="str">
        <f ca="1">IFERROR(__xludf.dummyfunction("VLOOKUP(N92, IMPORTRANGE(""https://docs.google.com/spreadsheets/d/1yDAaXNsi4Mr5FtRQL4tbmSdIzhx6_m4wkOD7IG-k_eo/edit#gid=1336395716"", ""Science!M:N""), 2, FALSE)"),"#N/A")</f>
        <v>#N/A</v>
      </c>
      <c r="P92" s="1" t="str">
        <f t="shared" si="15"/>
        <v>.004</v>
      </c>
      <c r="Q92" s="15" t="str">
        <f ca="1">IFERROR(__xludf.dummyfunction("VLOOKUP(P92, IMPORTRANGE(""https://docs.google.com/spreadsheets/d/1yDAaXNsi4Mr5FtRQL4tbmSdIzhx6_m4wkOD7IG-k_eo/edit#gid=1336395716"", ""Science!M:N""), 2, FALSE)"),"#N/A")</f>
        <v>#N/A</v>
      </c>
      <c r="R92" s="1" t="str">
        <f t="shared" si="16"/>
        <v>.005</v>
      </c>
      <c r="S92" s="15" t="str">
        <f ca="1">IFERROR(__xludf.dummyfunction("VLOOKUP(R92, IMPORTRANGE(""https://docs.google.com/spreadsheets/d/1yDAaXNsi4Mr5FtRQL4tbmSdIzhx6_m4wkOD7IG-k_eo/edit#gid=1336395716"", ""Science!M:N""), 2, FALSE)"),"#N/A")</f>
        <v>#N/A</v>
      </c>
      <c r="T92" s="1" t="str">
        <f t="shared" si="17"/>
        <v>.006</v>
      </c>
      <c r="U92" s="15" t="str">
        <f ca="1">IFERROR(__xludf.dummyfunction("VLOOKUP(T92, IMPORTRANGE(""https://docs.google.com/spreadsheets/d/1yDAaXNsi4Mr5FtRQL4tbmSdIzhx6_m4wkOD7IG-k_eo/edit#gid=1336395716"", ""Science!M:N""), 2, FALSE)"),"#N/A")</f>
        <v>#N/A</v>
      </c>
      <c r="V92" s="16" t="str">
        <f ca="1">IFERROR(__xludf.dummyfunction("ArrayFormula(VLOOKUP(G92, IMPORTRANGE(""https://docs.google.com/spreadsheets/d/1p7R4vtkWt5VOBim4ltsDG9KTzSjrtKXsMtQGXPHyND0/edit#gid=795171502"", ""'Filter 30_05_2024'!A1:M2000""), {2, 3, 4, 5,6,7,8,9,10,11,12,13}, 0))"),"#N/A")</f>
        <v>#N/A</v>
      </c>
      <c r="W92" s="16" t="str">
        <f ca="1">IFERROR(__xludf.dummyfunction("""COMPUTED_VALUE"""),"#N/A")</f>
        <v>#N/A</v>
      </c>
      <c r="X92" s="16" t="str">
        <f ca="1">IFERROR(__xludf.dummyfunction("""COMPUTED_VALUE"""),"#N/A")</f>
        <v>#N/A</v>
      </c>
      <c r="Y92" s="16" t="str">
        <f ca="1">IFERROR(__xludf.dummyfunction("""COMPUTED_VALUE"""),"#N/A")</f>
        <v>#N/A</v>
      </c>
      <c r="Z92" s="16" t="str">
        <f ca="1">IFERROR(__xludf.dummyfunction("""COMPUTED_VALUE"""),"#N/A")</f>
        <v>#N/A</v>
      </c>
      <c r="AA92" s="17" t="str">
        <f ca="1">IFERROR(__xludf.dummyfunction("""COMPUTED_VALUE"""),"#N/A")</f>
        <v>#N/A</v>
      </c>
      <c r="AB92" s="17" t="str">
        <f ca="1">IFERROR(__xludf.dummyfunction("""COMPUTED_VALUE"""),"#N/A")</f>
        <v>#N/A</v>
      </c>
      <c r="AC92" s="17" t="str">
        <f ca="1">IFERROR(__xludf.dummyfunction("""COMPUTED_VALUE"""),"#N/A")</f>
        <v>#N/A</v>
      </c>
      <c r="AD92" s="2" t="str">
        <f ca="1">IFERROR(__xludf.dummyfunction("""COMPUTED_VALUE"""),"#N/A")</f>
        <v>#N/A</v>
      </c>
      <c r="AE92" s="2" t="str">
        <f ca="1">IFERROR(__xludf.dummyfunction("""COMPUTED_VALUE"""),"#N/A")</f>
        <v>#N/A</v>
      </c>
      <c r="AF92" s="2" t="str">
        <f ca="1">IFERROR(__xludf.dummyfunction("""COMPUTED_VALUE"""),"#N/A")</f>
        <v>#N/A</v>
      </c>
      <c r="AG92" s="2" t="str">
        <f ca="1">IFERROR(__xludf.dummyfunction("""COMPUTED_VALUE"""),"#N/A")</f>
        <v>#N/A</v>
      </c>
    </row>
    <row r="93" spans="6:33" ht="13.8">
      <c r="F93" s="1"/>
      <c r="H93" s="1"/>
      <c r="I93" s="2"/>
      <c r="J93" s="1" t="str">
        <f t="shared" si="12"/>
        <v>.001</v>
      </c>
      <c r="K93" s="1" t="str">
        <f ca="1">IFERROR(__xludf.dummyfunction("VLOOKUP(J93, IMPORTRANGE(""https://docs.google.com/spreadsheets/d/1yDAaXNsi4Mr5FtRQL4tbmSdIzhx6_m4wkOD7IG-k_eo/edit#gid=1336395716"", ""Science!M:N""), 2, FALSE)"),"#N/A")</f>
        <v>#N/A</v>
      </c>
      <c r="L93" s="1" t="str">
        <f t="shared" si="13"/>
        <v>.002</v>
      </c>
      <c r="M93" s="1" t="str">
        <f ca="1">IFERROR(__xludf.dummyfunction("VLOOKUP(L93, IMPORTRANGE(""https://docs.google.com/spreadsheets/d/1yDAaXNsi4Mr5FtRQL4tbmSdIzhx6_m4wkOD7IG-k_eo/edit#gid=1336395716"", ""Science!M:N""), 2, FALSE)"),"#N/A")</f>
        <v>#N/A</v>
      </c>
      <c r="N93" s="1" t="str">
        <f t="shared" si="14"/>
        <v>.003</v>
      </c>
      <c r="O93" s="1" t="str">
        <f ca="1">IFERROR(__xludf.dummyfunction("VLOOKUP(N93, IMPORTRANGE(""https://docs.google.com/spreadsheets/d/1yDAaXNsi4Mr5FtRQL4tbmSdIzhx6_m4wkOD7IG-k_eo/edit#gid=1336395716"", ""Science!M:N""), 2, FALSE)"),"#N/A")</f>
        <v>#N/A</v>
      </c>
      <c r="P93" s="1" t="str">
        <f t="shared" si="15"/>
        <v>.004</v>
      </c>
      <c r="Q93" s="15" t="str">
        <f ca="1">IFERROR(__xludf.dummyfunction("VLOOKUP(P93, IMPORTRANGE(""https://docs.google.com/spreadsheets/d/1yDAaXNsi4Mr5FtRQL4tbmSdIzhx6_m4wkOD7IG-k_eo/edit#gid=1336395716"", ""Science!M:N""), 2, FALSE)"),"#N/A")</f>
        <v>#N/A</v>
      </c>
      <c r="R93" s="1" t="str">
        <f t="shared" si="16"/>
        <v>.005</v>
      </c>
      <c r="S93" s="15" t="str">
        <f ca="1">IFERROR(__xludf.dummyfunction("VLOOKUP(R93, IMPORTRANGE(""https://docs.google.com/spreadsheets/d/1yDAaXNsi4Mr5FtRQL4tbmSdIzhx6_m4wkOD7IG-k_eo/edit#gid=1336395716"", ""Science!M:N""), 2, FALSE)"),"#N/A")</f>
        <v>#N/A</v>
      </c>
      <c r="T93" s="1" t="str">
        <f t="shared" si="17"/>
        <v>.006</v>
      </c>
      <c r="U93" s="15" t="str">
        <f ca="1">IFERROR(__xludf.dummyfunction("VLOOKUP(T93, IMPORTRANGE(""https://docs.google.com/spreadsheets/d/1yDAaXNsi4Mr5FtRQL4tbmSdIzhx6_m4wkOD7IG-k_eo/edit#gid=1336395716"", ""Science!M:N""), 2, FALSE)"),"#N/A")</f>
        <v>#N/A</v>
      </c>
      <c r="V93" s="16" t="str">
        <f ca="1">IFERROR(__xludf.dummyfunction("ArrayFormula(VLOOKUP(G93, IMPORTRANGE(""https://docs.google.com/spreadsheets/d/1p7R4vtkWt5VOBim4ltsDG9KTzSjrtKXsMtQGXPHyND0/edit#gid=795171502"", ""'Filter 30_05_2024'!A1:M2000""), {2, 3, 4, 5,6,7,8,9,10,11,12,13}, 0))"),"#N/A")</f>
        <v>#N/A</v>
      </c>
      <c r="W93" s="16" t="str">
        <f ca="1">IFERROR(__xludf.dummyfunction("""COMPUTED_VALUE"""),"#N/A")</f>
        <v>#N/A</v>
      </c>
      <c r="X93" s="16" t="str">
        <f ca="1">IFERROR(__xludf.dummyfunction("""COMPUTED_VALUE"""),"#N/A")</f>
        <v>#N/A</v>
      </c>
      <c r="Y93" s="16" t="str">
        <f ca="1">IFERROR(__xludf.dummyfunction("""COMPUTED_VALUE"""),"#N/A")</f>
        <v>#N/A</v>
      </c>
      <c r="Z93" s="16" t="str">
        <f ca="1">IFERROR(__xludf.dummyfunction("""COMPUTED_VALUE"""),"#N/A")</f>
        <v>#N/A</v>
      </c>
      <c r="AA93" s="17" t="str">
        <f ca="1">IFERROR(__xludf.dummyfunction("""COMPUTED_VALUE"""),"#N/A")</f>
        <v>#N/A</v>
      </c>
      <c r="AB93" s="17" t="str">
        <f ca="1">IFERROR(__xludf.dummyfunction("""COMPUTED_VALUE"""),"#N/A")</f>
        <v>#N/A</v>
      </c>
      <c r="AC93" s="17" t="str">
        <f ca="1">IFERROR(__xludf.dummyfunction("""COMPUTED_VALUE"""),"#N/A")</f>
        <v>#N/A</v>
      </c>
      <c r="AD93" s="2" t="str">
        <f ca="1">IFERROR(__xludf.dummyfunction("""COMPUTED_VALUE"""),"#N/A")</f>
        <v>#N/A</v>
      </c>
      <c r="AE93" s="2" t="str">
        <f ca="1">IFERROR(__xludf.dummyfunction("""COMPUTED_VALUE"""),"#N/A")</f>
        <v>#N/A</v>
      </c>
      <c r="AF93" s="2" t="str">
        <f ca="1">IFERROR(__xludf.dummyfunction("""COMPUTED_VALUE"""),"#N/A")</f>
        <v>#N/A</v>
      </c>
      <c r="AG93" s="2" t="str">
        <f ca="1">IFERROR(__xludf.dummyfunction("""COMPUTED_VALUE"""),"#N/A")</f>
        <v>#N/A</v>
      </c>
    </row>
    <row r="94" spans="6:33" ht="13.8">
      <c r="F94" s="1"/>
      <c r="H94" s="1"/>
      <c r="I94" s="2"/>
      <c r="J94" s="1" t="str">
        <f t="shared" si="12"/>
        <v>.001</v>
      </c>
      <c r="K94" s="1" t="str">
        <f ca="1">IFERROR(__xludf.dummyfunction("VLOOKUP(J94, IMPORTRANGE(""https://docs.google.com/spreadsheets/d/1yDAaXNsi4Mr5FtRQL4tbmSdIzhx6_m4wkOD7IG-k_eo/edit#gid=1336395716"", ""Science!M:N""), 2, FALSE)"),"#N/A")</f>
        <v>#N/A</v>
      </c>
      <c r="L94" s="1" t="str">
        <f t="shared" si="13"/>
        <v>.002</v>
      </c>
      <c r="M94" s="1" t="str">
        <f ca="1">IFERROR(__xludf.dummyfunction("VLOOKUP(L94, IMPORTRANGE(""https://docs.google.com/spreadsheets/d/1yDAaXNsi4Mr5FtRQL4tbmSdIzhx6_m4wkOD7IG-k_eo/edit#gid=1336395716"", ""Science!M:N""), 2, FALSE)"),"#N/A")</f>
        <v>#N/A</v>
      </c>
      <c r="N94" s="1" t="str">
        <f t="shared" si="14"/>
        <v>.003</v>
      </c>
      <c r="O94" s="1" t="str">
        <f ca="1">IFERROR(__xludf.dummyfunction("VLOOKUP(N94, IMPORTRANGE(""https://docs.google.com/spreadsheets/d/1yDAaXNsi4Mr5FtRQL4tbmSdIzhx6_m4wkOD7IG-k_eo/edit#gid=1336395716"", ""Science!M:N""), 2, FALSE)"),"#N/A")</f>
        <v>#N/A</v>
      </c>
      <c r="P94" s="1" t="str">
        <f t="shared" si="15"/>
        <v>.004</v>
      </c>
      <c r="Q94" s="15" t="str">
        <f ca="1">IFERROR(__xludf.dummyfunction("VLOOKUP(P94, IMPORTRANGE(""https://docs.google.com/spreadsheets/d/1yDAaXNsi4Mr5FtRQL4tbmSdIzhx6_m4wkOD7IG-k_eo/edit#gid=1336395716"", ""Science!M:N""), 2, FALSE)"),"#N/A")</f>
        <v>#N/A</v>
      </c>
      <c r="R94" s="1" t="str">
        <f t="shared" si="16"/>
        <v>.005</v>
      </c>
      <c r="S94" s="15" t="str">
        <f ca="1">IFERROR(__xludf.dummyfunction("VLOOKUP(R94, IMPORTRANGE(""https://docs.google.com/spreadsheets/d/1yDAaXNsi4Mr5FtRQL4tbmSdIzhx6_m4wkOD7IG-k_eo/edit#gid=1336395716"", ""Science!M:N""), 2, FALSE)"),"#N/A")</f>
        <v>#N/A</v>
      </c>
      <c r="T94" s="1" t="str">
        <f t="shared" si="17"/>
        <v>.006</v>
      </c>
      <c r="U94" s="15" t="str">
        <f ca="1">IFERROR(__xludf.dummyfunction("VLOOKUP(T94, IMPORTRANGE(""https://docs.google.com/spreadsheets/d/1yDAaXNsi4Mr5FtRQL4tbmSdIzhx6_m4wkOD7IG-k_eo/edit#gid=1336395716"", ""Science!M:N""), 2, FALSE)"),"#N/A")</f>
        <v>#N/A</v>
      </c>
      <c r="V94" s="16" t="str">
        <f ca="1">IFERROR(__xludf.dummyfunction("ArrayFormula(VLOOKUP(G94, IMPORTRANGE(""https://docs.google.com/spreadsheets/d/1p7R4vtkWt5VOBim4ltsDG9KTzSjrtKXsMtQGXPHyND0/edit#gid=795171502"", ""'Filter 30_05_2024'!A1:M2000""), {2, 3, 4, 5,6,7,8,9,10,11,12,13}, 0))"),"#N/A")</f>
        <v>#N/A</v>
      </c>
      <c r="W94" s="16" t="str">
        <f ca="1">IFERROR(__xludf.dummyfunction("""COMPUTED_VALUE"""),"#N/A")</f>
        <v>#N/A</v>
      </c>
      <c r="X94" s="16" t="str">
        <f ca="1">IFERROR(__xludf.dummyfunction("""COMPUTED_VALUE"""),"#N/A")</f>
        <v>#N/A</v>
      </c>
      <c r="Y94" s="16" t="str">
        <f ca="1">IFERROR(__xludf.dummyfunction("""COMPUTED_VALUE"""),"#N/A")</f>
        <v>#N/A</v>
      </c>
      <c r="Z94" s="16" t="str">
        <f ca="1">IFERROR(__xludf.dummyfunction("""COMPUTED_VALUE"""),"#N/A")</f>
        <v>#N/A</v>
      </c>
      <c r="AA94" s="17" t="str">
        <f ca="1">IFERROR(__xludf.dummyfunction("""COMPUTED_VALUE"""),"#N/A")</f>
        <v>#N/A</v>
      </c>
      <c r="AB94" s="17" t="str">
        <f ca="1">IFERROR(__xludf.dummyfunction("""COMPUTED_VALUE"""),"#N/A")</f>
        <v>#N/A</v>
      </c>
      <c r="AC94" s="17" t="str">
        <f ca="1">IFERROR(__xludf.dummyfunction("""COMPUTED_VALUE"""),"#N/A")</f>
        <v>#N/A</v>
      </c>
      <c r="AD94" s="2" t="str">
        <f ca="1">IFERROR(__xludf.dummyfunction("""COMPUTED_VALUE"""),"#N/A")</f>
        <v>#N/A</v>
      </c>
      <c r="AE94" s="2" t="str">
        <f ca="1">IFERROR(__xludf.dummyfunction("""COMPUTED_VALUE"""),"#N/A")</f>
        <v>#N/A</v>
      </c>
      <c r="AF94" s="2" t="str">
        <f ca="1">IFERROR(__xludf.dummyfunction("""COMPUTED_VALUE"""),"#N/A")</f>
        <v>#N/A</v>
      </c>
      <c r="AG94" s="2" t="str">
        <f ca="1">IFERROR(__xludf.dummyfunction("""COMPUTED_VALUE"""),"#N/A")</f>
        <v>#N/A</v>
      </c>
    </row>
    <row r="95" spans="6:33" ht="13.8">
      <c r="F95" s="1"/>
      <c r="H95" s="1"/>
      <c r="I95" s="2"/>
      <c r="J95" s="1" t="str">
        <f t="shared" si="12"/>
        <v>.001</v>
      </c>
      <c r="K95" s="1" t="str">
        <f ca="1">IFERROR(__xludf.dummyfunction("VLOOKUP(J95, IMPORTRANGE(""https://docs.google.com/spreadsheets/d/1yDAaXNsi4Mr5FtRQL4tbmSdIzhx6_m4wkOD7IG-k_eo/edit#gid=1336395716"", ""Science!M:N""), 2, FALSE)"),"#N/A")</f>
        <v>#N/A</v>
      </c>
      <c r="L95" s="1" t="str">
        <f t="shared" si="13"/>
        <v>.002</v>
      </c>
      <c r="M95" s="1" t="str">
        <f ca="1">IFERROR(__xludf.dummyfunction("VLOOKUP(L95, IMPORTRANGE(""https://docs.google.com/spreadsheets/d/1yDAaXNsi4Mr5FtRQL4tbmSdIzhx6_m4wkOD7IG-k_eo/edit#gid=1336395716"", ""Science!M:N""), 2, FALSE)"),"#N/A")</f>
        <v>#N/A</v>
      </c>
      <c r="N95" s="1" t="str">
        <f t="shared" si="14"/>
        <v>.003</v>
      </c>
      <c r="O95" s="1" t="str">
        <f ca="1">IFERROR(__xludf.dummyfunction("VLOOKUP(N95, IMPORTRANGE(""https://docs.google.com/spreadsheets/d/1yDAaXNsi4Mr5FtRQL4tbmSdIzhx6_m4wkOD7IG-k_eo/edit#gid=1336395716"", ""Science!M:N""), 2, FALSE)"),"#N/A")</f>
        <v>#N/A</v>
      </c>
      <c r="P95" s="1" t="str">
        <f t="shared" si="15"/>
        <v>.004</v>
      </c>
      <c r="Q95" s="15" t="str">
        <f ca="1">IFERROR(__xludf.dummyfunction("VLOOKUP(P95, IMPORTRANGE(""https://docs.google.com/spreadsheets/d/1yDAaXNsi4Mr5FtRQL4tbmSdIzhx6_m4wkOD7IG-k_eo/edit#gid=1336395716"", ""Science!M:N""), 2, FALSE)"),"#N/A")</f>
        <v>#N/A</v>
      </c>
      <c r="R95" s="1" t="str">
        <f t="shared" si="16"/>
        <v>.005</v>
      </c>
      <c r="S95" s="15" t="str">
        <f ca="1">IFERROR(__xludf.dummyfunction("VLOOKUP(R95, IMPORTRANGE(""https://docs.google.com/spreadsheets/d/1yDAaXNsi4Mr5FtRQL4tbmSdIzhx6_m4wkOD7IG-k_eo/edit#gid=1336395716"", ""Science!M:N""), 2, FALSE)"),"#N/A")</f>
        <v>#N/A</v>
      </c>
      <c r="T95" s="1" t="str">
        <f t="shared" si="17"/>
        <v>.006</v>
      </c>
      <c r="U95" s="15" t="str">
        <f ca="1">IFERROR(__xludf.dummyfunction("VLOOKUP(T95, IMPORTRANGE(""https://docs.google.com/spreadsheets/d/1yDAaXNsi4Mr5FtRQL4tbmSdIzhx6_m4wkOD7IG-k_eo/edit#gid=1336395716"", ""Science!M:N""), 2, FALSE)"),"#N/A")</f>
        <v>#N/A</v>
      </c>
      <c r="V95" s="16" t="str">
        <f ca="1">IFERROR(__xludf.dummyfunction("ArrayFormula(VLOOKUP(G95, IMPORTRANGE(""https://docs.google.com/spreadsheets/d/1p7R4vtkWt5VOBim4ltsDG9KTzSjrtKXsMtQGXPHyND0/edit#gid=795171502"", ""'Filter 30_05_2024'!A1:M2000""), {2, 3, 4, 5,6,7,8,9,10,11,12,13}, 0))"),"#N/A")</f>
        <v>#N/A</v>
      </c>
      <c r="W95" s="16" t="str">
        <f ca="1">IFERROR(__xludf.dummyfunction("""COMPUTED_VALUE"""),"#N/A")</f>
        <v>#N/A</v>
      </c>
      <c r="X95" s="16" t="str">
        <f ca="1">IFERROR(__xludf.dummyfunction("""COMPUTED_VALUE"""),"#N/A")</f>
        <v>#N/A</v>
      </c>
      <c r="Y95" s="16" t="str">
        <f ca="1">IFERROR(__xludf.dummyfunction("""COMPUTED_VALUE"""),"#N/A")</f>
        <v>#N/A</v>
      </c>
      <c r="Z95" s="16" t="str">
        <f ca="1">IFERROR(__xludf.dummyfunction("""COMPUTED_VALUE"""),"#N/A")</f>
        <v>#N/A</v>
      </c>
      <c r="AA95" s="17" t="str">
        <f ca="1">IFERROR(__xludf.dummyfunction("""COMPUTED_VALUE"""),"#N/A")</f>
        <v>#N/A</v>
      </c>
      <c r="AB95" s="17" t="str">
        <f ca="1">IFERROR(__xludf.dummyfunction("""COMPUTED_VALUE"""),"#N/A")</f>
        <v>#N/A</v>
      </c>
      <c r="AC95" s="17" t="str">
        <f ca="1">IFERROR(__xludf.dummyfunction("""COMPUTED_VALUE"""),"#N/A")</f>
        <v>#N/A</v>
      </c>
      <c r="AD95" s="2" t="str">
        <f ca="1">IFERROR(__xludf.dummyfunction("""COMPUTED_VALUE"""),"#N/A")</f>
        <v>#N/A</v>
      </c>
      <c r="AE95" s="2" t="str">
        <f ca="1">IFERROR(__xludf.dummyfunction("""COMPUTED_VALUE"""),"#N/A")</f>
        <v>#N/A</v>
      </c>
      <c r="AF95" s="2" t="str">
        <f ca="1">IFERROR(__xludf.dummyfunction("""COMPUTED_VALUE"""),"#N/A")</f>
        <v>#N/A</v>
      </c>
      <c r="AG95" s="2" t="str">
        <f ca="1">IFERROR(__xludf.dummyfunction("""COMPUTED_VALUE"""),"#N/A")</f>
        <v>#N/A</v>
      </c>
    </row>
    <row r="96" spans="6:33" ht="13.8">
      <c r="F96" s="1"/>
      <c r="H96" s="1"/>
      <c r="I96" s="2"/>
      <c r="J96" s="1" t="str">
        <f t="shared" si="12"/>
        <v>.001</v>
      </c>
      <c r="K96" s="1" t="str">
        <f ca="1">IFERROR(__xludf.dummyfunction("VLOOKUP(J96, IMPORTRANGE(""https://docs.google.com/spreadsheets/d/1yDAaXNsi4Mr5FtRQL4tbmSdIzhx6_m4wkOD7IG-k_eo/edit#gid=1336395716"", ""Science!M:N""), 2, FALSE)"),"#N/A")</f>
        <v>#N/A</v>
      </c>
      <c r="L96" s="1" t="str">
        <f t="shared" si="13"/>
        <v>.002</v>
      </c>
      <c r="M96" s="1" t="str">
        <f ca="1">IFERROR(__xludf.dummyfunction("VLOOKUP(L96, IMPORTRANGE(""https://docs.google.com/spreadsheets/d/1yDAaXNsi4Mr5FtRQL4tbmSdIzhx6_m4wkOD7IG-k_eo/edit#gid=1336395716"", ""Science!M:N""), 2, FALSE)"),"#N/A")</f>
        <v>#N/A</v>
      </c>
      <c r="N96" s="1" t="str">
        <f t="shared" si="14"/>
        <v>.003</v>
      </c>
      <c r="O96" s="1" t="str">
        <f ca="1">IFERROR(__xludf.dummyfunction("VLOOKUP(N96, IMPORTRANGE(""https://docs.google.com/spreadsheets/d/1yDAaXNsi4Mr5FtRQL4tbmSdIzhx6_m4wkOD7IG-k_eo/edit#gid=1336395716"", ""Science!M:N""), 2, FALSE)"),"#N/A")</f>
        <v>#N/A</v>
      </c>
      <c r="P96" s="1" t="str">
        <f t="shared" si="15"/>
        <v>.004</v>
      </c>
      <c r="Q96" s="15" t="str">
        <f ca="1">IFERROR(__xludf.dummyfunction("VLOOKUP(P96, IMPORTRANGE(""https://docs.google.com/spreadsheets/d/1yDAaXNsi4Mr5FtRQL4tbmSdIzhx6_m4wkOD7IG-k_eo/edit#gid=1336395716"", ""Science!M:N""), 2, FALSE)"),"#N/A")</f>
        <v>#N/A</v>
      </c>
      <c r="R96" s="1" t="str">
        <f t="shared" si="16"/>
        <v>.005</v>
      </c>
      <c r="S96" s="15" t="str">
        <f ca="1">IFERROR(__xludf.dummyfunction("VLOOKUP(R96, IMPORTRANGE(""https://docs.google.com/spreadsheets/d/1yDAaXNsi4Mr5FtRQL4tbmSdIzhx6_m4wkOD7IG-k_eo/edit#gid=1336395716"", ""Science!M:N""), 2, FALSE)"),"#N/A")</f>
        <v>#N/A</v>
      </c>
      <c r="T96" s="1" t="str">
        <f t="shared" si="17"/>
        <v>.006</v>
      </c>
      <c r="U96" s="15" t="str">
        <f ca="1">IFERROR(__xludf.dummyfunction("VLOOKUP(T96, IMPORTRANGE(""https://docs.google.com/spreadsheets/d/1yDAaXNsi4Mr5FtRQL4tbmSdIzhx6_m4wkOD7IG-k_eo/edit#gid=1336395716"", ""Science!M:N""), 2, FALSE)"),"#N/A")</f>
        <v>#N/A</v>
      </c>
      <c r="V96" s="16" t="str">
        <f ca="1">IFERROR(__xludf.dummyfunction("ArrayFormula(VLOOKUP(G96, IMPORTRANGE(""https://docs.google.com/spreadsheets/d/1p7R4vtkWt5VOBim4ltsDG9KTzSjrtKXsMtQGXPHyND0/edit#gid=795171502"", ""'Filter 30_05_2024'!A1:M2000""), {2, 3, 4, 5,6,7,8,9,10,11,12,13}, 0))"),"#N/A")</f>
        <v>#N/A</v>
      </c>
      <c r="W96" s="16" t="str">
        <f ca="1">IFERROR(__xludf.dummyfunction("""COMPUTED_VALUE"""),"#N/A")</f>
        <v>#N/A</v>
      </c>
      <c r="X96" s="16" t="str">
        <f ca="1">IFERROR(__xludf.dummyfunction("""COMPUTED_VALUE"""),"#N/A")</f>
        <v>#N/A</v>
      </c>
      <c r="Y96" s="16" t="str">
        <f ca="1">IFERROR(__xludf.dummyfunction("""COMPUTED_VALUE"""),"#N/A")</f>
        <v>#N/A</v>
      </c>
      <c r="Z96" s="16" t="str">
        <f ca="1">IFERROR(__xludf.dummyfunction("""COMPUTED_VALUE"""),"#N/A")</f>
        <v>#N/A</v>
      </c>
      <c r="AA96" s="17" t="str">
        <f ca="1">IFERROR(__xludf.dummyfunction("""COMPUTED_VALUE"""),"#N/A")</f>
        <v>#N/A</v>
      </c>
      <c r="AB96" s="17" t="str">
        <f ca="1">IFERROR(__xludf.dummyfunction("""COMPUTED_VALUE"""),"#N/A")</f>
        <v>#N/A</v>
      </c>
      <c r="AC96" s="17" t="str">
        <f ca="1">IFERROR(__xludf.dummyfunction("""COMPUTED_VALUE"""),"#N/A")</f>
        <v>#N/A</v>
      </c>
      <c r="AD96" s="2" t="str">
        <f ca="1">IFERROR(__xludf.dummyfunction("""COMPUTED_VALUE"""),"#N/A")</f>
        <v>#N/A</v>
      </c>
      <c r="AE96" s="2" t="str">
        <f ca="1">IFERROR(__xludf.dummyfunction("""COMPUTED_VALUE"""),"#N/A")</f>
        <v>#N/A</v>
      </c>
      <c r="AF96" s="2" t="str">
        <f ca="1">IFERROR(__xludf.dummyfunction("""COMPUTED_VALUE"""),"#N/A")</f>
        <v>#N/A</v>
      </c>
      <c r="AG96" s="2" t="str">
        <f ca="1">IFERROR(__xludf.dummyfunction("""COMPUTED_VALUE"""),"#N/A")</f>
        <v>#N/A</v>
      </c>
    </row>
    <row r="97" spans="6:33" ht="13.8">
      <c r="F97" s="1"/>
      <c r="H97" s="1"/>
      <c r="I97" s="2"/>
      <c r="J97" s="1" t="str">
        <f t="shared" si="12"/>
        <v>.001</v>
      </c>
      <c r="K97" s="1" t="str">
        <f ca="1">IFERROR(__xludf.dummyfunction("VLOOKUP(J97, IMPORTRANGE(""https://docs.google.com/spreadsheets/d/1yDAaXNsi4Mr5FtRQL4tbmSdIzhx6_m4wkOD7IG-k_eo/edit#gid=1336395716"", ""Science!M:N""), 2, FALSE)"),"#N/A")</f>
        <v>#N/A</v>
      </c>
      <c r="L97" s="1" t="str">
        <f t="shared" si="13"/>
        <v>.002</v>
      </c>
      <c r="M97" s="1" t="str">
        <f ca="1">IFERROR(__xludf.dummyfunction("VLOOKUP(L97, IMPORTRANGE(""https://docs.google.com/spreadsheets/d/1yDAaXNsi4Mr5FtRQL4tbmSdIzhx6_m4wkOD7IG-k_eo/edit#gid=1336395716"", ""Science!M:N""), 2, FALSE)"),"#N/A")</f>
        <v>#N/A</v>
      </c>
      <c r="N97" s="1" t="str">
        <f t="shared" si="14"/>
        <v>.003</v>
      </c>
      <c r="O97" s="1" t="str">
        <f ca="1">IFERROR(__xludf.dummyfunction("VLOOKUP(N97, IMPORTRANGE(""https://docs.google.com/spreadsheets/d/1yDAaXNsi4Mr5FtRQL4tbmSdIzhx6_m4wkOD7IG-k_eo/edit#gid=1336395716"", ""Science!M:N""), 2, FALSE)"),"#N/A")</f>
        <v>#N/A</v>
      </c>
      <c r="P97" s="1" t="str">
        <f t="shared" si="15"/>
        <v>.004</v>
      </c>
      <c r="Q97" s="15" t="str">
        <f ca="1">IFERROR(__xludf.dummyfunction("VLOOKUP(P97, IMPORTRANGE(""https://docs.google.com/spreadsheets/d/1yDAaXNsi4Mr5FtRQL4tbmSdIzhx6_m4wkOD7IG-k_eo/edit#gid=1336395716"", ""Science!M:N""), 2, FALSE)"),"#N/A")</f>
        <v>#N/A</v>
      </c>
      <c r="R97" s="1" t="str">
        <f t="shared" si="16"/>
        <v>.005</v>
      </c>
      <c r="S97" s="15" t="str">
        <f ca="1">IFERROR(__xludf.dummyfunction("VLOOKUP(R97, IMPORTRANGE(""https://docs.google.com/spreadsheets/d/1yDAaXNsi4Mr5FtRQL4tbmSdIzhx6_m4wkOD7IG-k_eo/edit#gid=1336395716"", ""Science!M:N""), 2, FALSE)"),"#N/A")</f>
        <v>#N/A</v>
      </c>
      <c r="T97" s="1" t="str">
        <f t="shared" si="17"/>
        <v>.006</v>
      </c>
      <c r="U97" s="15" t="str">
        <f ca="1">IFERROR(__xludf.dummyfunction("VLOOKUP(T97, IMPORTRANGE(""https://docs.google.com/spreadsheets/d/1yDAaXNsi4Mr5FtRQL4tbmSdIzhx6_m4wkOD7IG-k_eo/edit#gid=1336395716"", ""Science!M:N""), 2, FALSE)"),"#N/A")</f>
        <v>#N/A</v>
      </c>
      <c r="V97" s="16" t="str">
        <f ca="1">IFERROR(__xludf.dummyfunction("ArrayFormula(VLOOKUP(G97, IMPORTRANGE(""https://docs.google.com/spreadsheets/d/1p7R4vtkWt5VOBim4ltsDG9KTzSjrtKXsMtQGXPHyND0/edit#gid=795171502"", ""'Filter 30_05_2024'!A1:M2000""), {2, 3, 4, 5,6,7,8,9,10,11,12,13}, 0))"),"#N/A")</f>
        <v>#N/A</v>
      </c>
      <c r="W97" s="16" t="str">
        <f ca="1">IFERROR(__xludf.dummyfunction("""COMPUTED_VALUE"""),"#N/A")</f>
        <v>#N/A</v>
      </c>
      <c r="X97" s="16" t="str">
        <f ca="1">IFERROR(__xludf.dummyfunction("""COMPUTED_VALUE"""),"#N/A")</f>
        <v>#N/A</v>
      </c>
      <c r="Y97" s="16" t="str">
        <f ca="1">IFERROR(__xludf.dummyfunction("""COMPUTED_VALUE"""),"#N/A")</f>
        <v>#N/A</v>
      </c>
      <c r="Z97" s="16" t="str">
        <f ca="1">IFERROR(__xludf.dummyfunction("""COMPUTED_VALUE"""),"#N/A")</f>
        <v>#N/A</v>
      </c>
      <c r="AA97" s="17" t="str">
        <f ca="1">IFERROR(__xludf.dummyfunction("""COMPUTED_VALUE"""),"#N/A")</f>
        <v>#N/A</v>
      </c>
      <c r="AB97" s="17" t="str">
        <f ca="1">IFERROR(__xludf.dummyfunction("""COMPUTED_VALUE"""),"#N/A")</f>
        <v>#N/A</v>
      </c>
      <c r="AC97" s="17" t="str">
        <f ca="1">IFERROR(__xludf.dummyfunction("""COMPUTED_VALUE"""),"#N/A")</f>
        <v>#N/A</v>
      </c>
      <c r="AD97" s="2" t="str">
        <f ca="1">IFERROR(__xludf.dummyfunction("""COMPUTED_VALUE"""),"#N/A")</f>
        <v>#N/A</v>
      </c>
      <c r="AE97" s="2" t="str">
        <f ca="1">IFERROR(__xludf.dummyfunction("""COMPUTED_VALUE"""),"#N/A")</f>
        <v>#N/A</v>
      </c>
      <c r="AF97" s="2" t="str">
        <f ca="1">IFERROR(__xludf.dummyfunction("""COMPUTED_VALUE"""),"#N/A")</f>
        <v>#N/A</v>
      </c>
      <c r="AG97" s="2" t="str">
        <f ca="1">IFERROR(__xludf.dummyfunction("""COMPUTED_VALUE"""),"#N/A")</f>
        <v>#N/A</v>
      </c>
    </row>
    <row r="98" spans="6:33" ht="13.8">
      <c r="F98" s="1"/>
      <c r="H98" s="1"/>
      <c r="I98" s="2"/>
      <c r="J98" s="1" t="str">
        <f t="shared" ref="J98:J107" si="18">G98 &amp; ".001"</f>
        <v>.001</v>
      </c>
      <c r="K98" s="1" t="str">
        <f ca="1">IFERROR(__xludf.dummyfunction("VLOOKUP(J98, IMPORTRANGE(""https://docs.google.com/spreadsheets/d/1yDAaXNsi4Mr5FtRQL4tbmSdIzhx6_m4wkOD7IG-k_eo/edit#gid=1336395716"", ""Science!M:N""), 2, FALSE)"),"#N/A")</f>
        <v>#N/A</v>
      </c>
      <c r="L98" s="1" t="str">
        <f t="shared" ref="L98:L107" si="19">G98 &amp; ".002"</f>
        <v>.002</v>
      </c>
      <c r="M98" s="1" t="str">
        <f ca="1">IFERROR(__xludf.dummyfunction("VLOOKUP(L98, IMPORTRANGE(""https://docs.google.com/spreadsheets/d/1yDAaXNsi4Mr5FtRQL4tbmSdIzhx6_m4wkOD7IG-k_eo/edit#gid=1336395716"", ""Science!M:N""), 2, FALSE)"),"#N/A")</f>
        <v>#N/A</v>
      </c>
      <c r="N98" s="1" t="str">
        <f t="shared" ref="N98:N107" si="20">G98 &amp; ".003"</f>
        <v>.003</v>
      </c>
      <c r="O98" s="1" t="str">
        <f ca="1">IFERROR(__xludf.dummyfunction("VLOOKUP(N98, IMPORTRANGE(""https://docs.google.com/spreadsheets/d/1yDAaXNsi4Mr5FtRQL4tbmSdIzhx6_m4wkOD7IG-k_eo/edit#gid=1336395716"", ""Science!M:N""), 2, FALSE)"),"#N/A")</f>
        <v>#N/A</v>
      </c>
      <c r="P98" s="1" t="str">
        <f t="shared" ref="P98:P107" si="21">G98 &amp; ".004"</f>
        <v>.004</v>
      </c>
      <c r="Q98" s="15" t="str">
        <f ca="1">IFERROR(__xludf.dummyfunction("VLOOKUP(P98, IMPORTRANGE(""https://docs.google.com/spreadsheets/d/1yDAaXNsi4Mr5FtRQL4tbmSdIzhx6_m4wkOD7IG-k_eo/edit#gid=1336395716"", ""Science!M:N""), 2, FALSE)"),"#N/A")</f>
        <v>#N/A</v>
      </c>
      <c r="R98" s="1" t="str">
        <f t="shared" ref="R98:R107" si="22">G98 &amp; ".005"</f>
        <v>.005</v>
      </c>
      <c r="S98" s="15" t="str">
        <f ca="1">IFERROR(__xludf.dummyfunction("VLOOKUP(R98, IMPORTRANGE(""https://docs.google.com/spreadsheets/d/1yDAaXNsi4Mr5FtRQL4tbmSdIzhx6_m4wkOD7IG-k_eo/edit#gid=1336395716"", ""Science!M:N""), 2, FALSE)"),"#N/A")</f>
        <v>#N/A</v>
      </c>
      <c r="T98" s="1" t="str">
        <f t="shared" ref="T98:T107" si="23">G98 &amp; ".006"</f>
        <v>.006</v>
      </c>
      <c r="U98" s="15" t="str">
        <f ca="1">IFERROR(__xludf.dummyfunction("VLOOKUP(T98, IMPORTRANGE(""https://docs.google.com/spreadsheets/d/1yDAaXNsi4Mr5FtRQL4tbmSdIzhx6_m4wkOD7IG-k_eo/edit#gid=1336395716"", ""Science!M:N""), 2, FALSE)"),"#N/A")</f>
        <v>#N/A</v>
      </c>
      <c r="V98" s="16" t="str">
        <f ca="1">IFERROR(__xludf.dummyfunction("ArrayFormula(VLOOKUP(G98, IMPORTRANGE(""https://docs.google.com/spreadsheets/d/1p7R4vtkWt5VOBim4ltsDG9KTzSjrtKXsMtQGXPHyND0/edit#gid=795171502"", ""'Filter 30_05_2024'!A1:M2000""), {2, 3, 4, 5,6,7,8,9,10,11,12,13}, 0))"),"#N/A")</f>
        <v>#N/A</v>
      </c>
      <c r="W98" s="16" t="str">
        <f ca="1">IFERROR(__xludf.dummyfunction("""COMPUTED_VALUE"""),"#N/A")</f>
        <v>#N/A</v>
      </c>
      <c r="X98" s="16" t="str">
        <f ca="1">IFERROR(__xludf.dummyfunction("""COMPUTED_VALUE"""),"#N/A")</f>
        <v>#N/A</v>
      </c>
      <c r="Y98" s="16" t="str">
        <f ca="1">IFERROR(__xludf.dummyfunction("""COMPUTED_VALUE"""),"#N/A")</f>
        <v>#N/A</v>
      </c>
      <c r="Z98" s="16" t="str">
        <f ca="1">IFERROR(__xludf.dummyfunction("""COMPUTED_VALUE"""),"#N/A")</f>
        <v>#N/A</v>
      </c>
      <c r="AA98" s="17" t="str">
        <f ca="1">IFERROR(__xludf.dummyfunction("""COMPUTED_VALUE"""),"#N/A")</f>
        <v>#N/A</v>
      </c>
      <c r="AB98" s="17" t="str">
        <f ca="1">IFERROR(__xludf.dummyfunction("""COMPUTED_VALUE"""),"#N/A")</f>
        <v>#N/A</v>
      </c>
      <c r="AC98" s="17" t="str">
        <f ca="1">IFERROR(__xludf.dummyfunction("""COMPUTED_VALUE"""),"#N/A")</f>
        <v>#N/A</v>
      </c>
      <c r="AD98" s="2" t="str">
        <f ca="1">IFERROR(__xludf.dummyfunction("""COMPUTED_VALUE"""),"#N/A")</f>
        <v>#N/A</v>
      </c>
      <c r="AE98" s="2" t="str">
        <f ca="1">IFERROR(__xludf.dummyfunction("""COMPUTED_VALUE"""),"#N/A")</f>
        <v>#N/A</v>
      </c>
      <c r="AF98" s="2" t="str">
        <f ca="1">IFERROR(__xludf.dummyfunction("""COMPUTED_VALUE"""),"#N/A")</f>
        <v>#N/A</v>
      </c>
      <c r="AG98" s="2" t="str">
        <f ca="1">IFERROR(__xludf.dummyfunction("""COMPUTED_VALUE"""),"#N/A")</f>
        <v>#N/A</v>
      </c>
    </row>
    <row r="99" spans="6:33" ht="13.8">
      <c r="F99" s="1"/>
      <c r="H99" s="1"/>
      <c r="I99" s="2"/>
      <c r="J99" s="1" t="str">
        <f t="shared" si="18"/>
        <v>.001</v>
      </c>
      <c r="K99" s="1" t="str">
        <f ca="1">IFERROR(__xludf.dummyfunction("VLOOKUP(J99, IMPORTRANGE(""https://docs.google.com/spreadsheets/d/1yDAaXNsi4Mr5FtRQL4tbmSdIzhx6_m4wkOD7IG-k_eo/edit#gid=1336395716"", ""Science!M:N""), 2, FALSE)"),"#N/A")</f>
        <v>#N/A</v>
      </c>
      <c r="L99" s="1" t="str">
        <f t="shared" si="19"/>
        <v>.002</v>
      </c>
      <c r="M99" s="1" t="str">
        <f ca="1">IFERROR(__xludf.dummyfunction("VLOOKUP(L99, IMPORTRANGE(""https://docs.google.com/spreadsheets/d/1yDAaXNsi4Mr5FtRQL4tbmSdIzhx6_m4wkOD7IG-k_eo/edit#gid=1336395716"", ""Science!M:N""), 2, FALSE)"),"#N/A")</f>
        <v>#N/A</v>
      </c>
      <c r="N99" s="1" t="str">
        <f t="shared" si="20"/>
        <v>.003</v>
      </c>
      <c r="O99" s="1" t="str">
        <f ca="1">IFERROR(__xludf.dummyfunction("VLOOKUP(N99, IMPORTRANGE(""https://docs.google.com/spreadsheets/d/1yDAaXNsi4Mr5FtRQL4tbmSdIzhx6_m4wkOD7IG-k_eo/edit#gid=1336395716"", ""Science!M:N""), 2, FALSE)"),"#N/A")</f>
        <v>#N/A</v>
      </c>
      <c r="P99" s="1" t="str">
        <f t="shared" si="21"/>
        <v>.004</v>
      </c>
      <c r="Q99" s="15" t="str">
        <f ca="1">IFERROR(__xludf.dummyfunction("VLOOKUP(P99, IMPORTRANGE(""https://docs.google.com/spreadsheets/d/1yDAaXNsi4Mr5FtRQL4tbmSdIzhx6_m4wkOD7IG-k_eo/edit#gid=1336395716"", ""Science!M:N""), 2, FALSE)"),"#N/A")</f>
        <v>#N/A</v>
      </c>
      <c r="R99" s="1" t="str">
        <f t="shared" si="22"/>
        <v>.005</v>
      </c>
      <c r="S99" s="15" t="str">
        <f ca="1">IFERROR(__xludf.dummyfunction("VLOOKUP(R99, IMPORTRANGE(""https://docs.google.com/spreadsheets/d/1yDAaXNsi4Mr5FtRQL4tbmSdIzhx6_m4wkOD7IG-k_eo/edit#gid=1336395716"", ""Science!M:N""), 2, FALSE)"),"#N/A")</f>
        <v>#N/A</v>
      </c>
      <c r="T99" s="1" t="str">
        <f t="shared" si="23"/>
        <v>.006</v>
      </c>
      <c r="U99" s="15" t="str">
        <f ca="1">IFERROR(__xludf.dummyfunction("VLOOKUP(T99, IMPORTRANGE(""https://docs.google.com/spreadsheets/d/1yDAaXNsi4Mr5FtRQL4tbmSdIzhx6_m4wkOD7IG-k_eo/edit#gid=1336395716"", ""Science!M:N""), 2, FALSE)"),"#N/A")</f>
        <v>#N/A</v>
      </c>
      <c r="V99" s="16" t="str">
        <f ca="1">IFERROR(__xludf.dummyfunction("ArrayFormula(VLOOKUP(G99, IMPORTRANGE(""https://docs.google.com/spreadsheets/d/1p7R4vtkWt5VOBim4ltsDG9KTzSjrtKXsMtQGXPHyND0/edit#gid=795171502"", ""'Filter 30_05_2024'!A1:M2000""), {2, 3, 4, 5,6,7,8,9,10,11,12,13}, 0))"),"#N/A")</f>
        <v>#N/A</v>
      </c>
      <c r="W99" s="16" t="str">
        <f ca="1">IFERROR(__xludf.dummyfunction("""COMPUTED_VALUE"""),"#N/A")</f>
        <v>#N/A</v>
      </c>
      <c r="X99" s="16" t="str">
        <f ca="1">IFERROR(__xludf.dummyfunction("""COMPUTED_VALUE"""),"#N/A")</f>
        <v>#N/A</v>
      </c>
      <c r="Y99" s="16" t="str">
        <f ca="1">IFERROR(__xludf.dummyfunction("""COMPUTED_VALUE"""),"#N/A")</f>
        <v>#N/A</v>
      </c>
      <c r="Z99" s="16" t="str">
        <f ca="1">IFERROR(__xludf.dummyfunction("""COMPUTED_VALUE"""),"#N/A")</f>
        <v>#N/A</v>
      </c>
      <c r="AA99" s="17" t="str">
        <f ca="1">IFERROR(__xludf.dummyfunction("""COMPUTED_VALUE"""),"#N/A")</f>
        <v>#N/A</v>
      </c>
      <c r="AB99" s="17" t="str">
        <f ca="1">IFERROR(__xludf.dummyfunction("""COMPUTED_VALUE"""),"#N/A")</f>
        <v>#N/A</v>
      </c>
      <c r="AC99" s="17" t="str">
        <f ca="1">IFERROR(__xludf.dummyfunction("""COMPUTED_VALUE"""),"#N/A")</f>
        <v>#N/A</v>
      </c>
      <c r="AD99" s="2" t="str">
        <f ca="1">IFERROR(__xludf.dummyfunction("""COMPUTED_VALUE"""),"#N/A")</f>
        <v>#N/A</v>
      </c>
      <c r="AE99" s="2" t="str">
        <f ca="1">IFERROR(__xludf.dummyfunction("""COMPUTED_VALUE"""),"#N/A")</f>
        <v>#N/A</v>
      </c>
      <c r="AF99" s="2" t="str">
        <f ca="1">IFERROR(__xludf.dummyfunction("""COMPUTED_VALUE"""),"#N/A")</f>
        <v>#N/A</v>
      </c>
      <c r="AG99" s="2" t="str">
        <f ca="1">IFERROR(__xludf.dummyfunction("""COMPUTED_VALUE"""),"#N/A")</f>
        <v>#N/A</v>
      </c>
    </row>
    <row r="100" spans="6:33" ht="13.8">
      <c r="F100" s="1"/>
      <c r="H100" s="1"/>
      <c r="I100" s="2"/>
      <c r="J100" s="1" t="str">
        <f t="shared" si="18"/>
        <v>.001</v>
      </c>
      <c r="K100" s="1" t="str">
        <f ca="1">IFERROR(__xludf.dummyfunction("VLOOKUP(J100, IMPORTRANGE(""https://docs.google.com/spreadsheets/d/1yDAaXNsi4Mr5FtRQL4tbmSdIzhx6_m4wkOD7IG-k_eo/edit#gid=1336395716"", ""Science!M:N""), 2, FALSE)"),"#N/A")</f>
        <v>#N/A</v>
      </c>
      <c r="L100" s="1" t="str">
        <f t="shared" si="19"/>
        <v>.002</v>
      </c>
      <c r="M100" s="1" t="str">
        <f ca="1">IFERROR(__xludf.dummyfunction("VLOOKUP(L100, IMPORTRANGE(""https://docs.google.com/spreadsheets/d/1yDAaXNsi4Mr5FtRQL4tbmSdIzhx6_m4wkOD7IG-k_eo/edit#gid=1336395716"", ""Science!M:N""), 2, FALSE)"),"#N/A")</f>
        <v>#N/A</v>
      </c>
      <c r="N100" s="1" t="str">
        <f t="shared" si="20"/>
        <v>.003</v>
      </c>
      <c r="O100" s="1" t="str">
        <f ca="1">IFERROR(__xludf.dummyfunction("VLOOKUP(N100, IMPORTRANGE(""https://docs.google.com/spreadsheets/d/1yDAaXNsi4Mr5FtRQL4tbmSdIzhx6_m4wkOD7IG-k_eo/edit#gid=1336395716"", ""Science!M:N""), 2, FALSE)"),"#N/A")</f>
        <v>#N/A</v>
      </c>
      <c r="P100" s="1" t="str">
        <f t="shared" si="21"/>
        <v>.004</v>
      </c>
      <c r="Q100" s="15" t="str">
        <f ca="1">IFERROR(__xludf.dummyfunction("VLOOKUP(P100, IMPORTRANGE(""https://docs.google.com/spreadsheets/d/1yDAaXNsi4Mr5FtRQL4tbmSdIzhx6_m4wkOD7IG-k_eo/edit#gid=1336395716"", ""Science!M:N""), 2, FALSE)"),"#N/A")</f>
        <v>#N/A</v>
      </c>
      <c r="R100" s="1" t="str">
        <f t="shared" si="22"/>
        <v>.005</v>
      </c>
      <c r="S100" s="15" t="str">
        <f ca="1">IFERROR(__xludf.dummyfunction("VLOOKUP(R100, IMPORTRANGE(""https://docs.google.com/spreadsheets/d/1yDAaXNsi4Mr5FtRQL4tbmSdIzhx6_m4wkOD7IG-k_eo/edit#gid=1336395716"", ""Science!M:N""), 2, FALSE)"),"#N/A")</f>
        <v>#N/A</v>
      </c>
      <c r="T100" s="1" t="str">
        <f t="shared" si="23"/>
        <v>.006</v>
      </c>
      <c r="U100" s="15" t="str">
        <f ca="1">IFERROR(__xludf.dummyfunction("VLOOKUP(T100, IMPORTRANGE(""https://docs.google.com/spreadsheets/d/1yDAaXNsi4Mr5FtRQL4tbmSdIzhx6_m4wkOD7IG-k_eo/edit#gid=1336395716"", ""Science!M:N""), 2, FALSE)"),"#N/A")</f>
        <v>#N/A</v>
      </c>
      <c r="V100" s="16" t="str">
        <f ca="1">IFERROR(__xludf.dummyfunction("ArrayFormula(VLOOKUP(G100, IMPORTRANGE(""https://docs.google.com/spreadsheets/d/1p7R4vtkWt5VOBim4ltsDG9KTzSjrtKXsMtQGXPHyND0/edit#gid=795171502"", ""'Filter 30_05_2024'!A1:M2000""), {2, 3, 4, 5,6,7,8,9,10,11,12,13}, 0))"),"#N/A")</f>
        <v>#N/A</v>
      </c>
      <c r="W100" s="16" t="str">
        <f ca="1">IFERROR(__xludf.dummyfunction("""COMPUTED_VALUE"""),"#N/A")</f>
        <v>#N/A</v>
      </c>
      <c r="X100" s="16" t="str">
        <f ca="1">IFERROR(__xludf.dummyfunction("""COMPUTED_VALUE"""),"#N/A")</f>
        <v>#N/A</v>
      </c>
      <c r="Y100" s="16" t="str">
        <f ca="1">IFERROR(__xludf.dummyfunction("""COMPUTED_VALUE"""),"#N/A")</f>
        <v>#N/A</v>
      </c>
      <c r="Z100" s="16" t="str">
        <f ca="1">IFERROR(__xludf.dummyfunction("""COMPUTED_VALUE"""),"#N/A")</f>
        <v>#N/A</v>
      </c>
      <c r="AA100" s="17" t="str">
        <f ca="1">IFERROR(__xludf.dummyfunction("""COMPUTED_VALUE"""),"#N/A")</f>
        <v>#N/A</v>
      </c>
      <c r="AB100" s="17" t="str">
        <f ca="1">IFERROR(__xludf.dummyfunction("""COMPUTED_VALUE"""),"#N/A")</f>
        <v>#N/A</v>
      </c>
      <c r="AC100" s="17" t="str">
        <f ca="1">IFERROR(__xludf.dummyfunction("""COMPUTED_VALUE"""),"#N/A")</f>
        <v>#N/A</v>
      </c>
      <c r="AD100" s="2" t="str">
        <f ca="1">IFERROR(__xludf.dummyfunction("""COMPUTED_VALUE"""),"#N/A")</f>
        <v>#N/A</v>
      </c>
      <c r="AE100" s="2" t="str">
        <f ca="1">IFERROR(__xludf.dummyfunction("""COMPUTED_VALUE"""),"#N/A")</f>
        <v>#N/A</v>
      </c>
      <c r="AF100" s="2" t="str">
        <f ca="1">IFERROR(__xludf.dummyfunction("""COMPUTED_VALUE"""),"#N/A")</f>
        <v>#N/A</v>
      </c>
      <c r="AG100" s="2" t="str">
        <f ca="1">IFERROR(__xludf.dummyfunction("""COMPUTED_VALUE"""),"#N/A")</f>
        <v>#N/A</v>
      </c>
    </row>
    <row r="101" spans="6:33" ht="13.8">
      <c r="F101" s="1"/>
      <c r="H101" s="1"/>
      <c r="I101" s="2"/>
      <c r="J101" s="1" t="str">
        <f t="shared" si="18"/>
        <v>.001</v>
      </c>
      <c r="K101" s="1" t="str">
        <f ca="1">IFERROR(__xludf.dummyfunction("VLOOKUP(J101, IMPORTRANGE(""https://docs.google.com/spreadsheets/d/1yDAaXNsi4Mr5FtRQL4tbmSdIzhx6_m4wkOD7IG-k_eo/edit#gid=1336395716"", ""Science!M:N""), 2, FALSE)"),"#N/A")</f>
        <v>#N/A</v>
      </c>
      <c r="L101" s="1" t="str">
        <f t="shared" si="19"/>
        <v>.002</v>
      </c>
      <c r="M101" s="1" t="str">
        <f ca="1">IFERROR(__xludf.dummyfunction("VLOOKUP(L101, IMPORTRANGE(""https://docs.google.com/spreadsheets/d/1yDAaXNsi4Mr5FtRQL4tbmSdIzhx6_m4wkOD7IG-k_eo/edit#gid=1336395716"", ""Science!M:N""), 2, FALSE)"),"#N/A")</f>
        <v>#N/A</v>
      </c>
      <c r="N101" s="1" t="str">
        <f t="shared" si="20"/>
        <v>.003</v>
      </c>
      <c r="O101" s="1" t="str">
        <f ca="1">IFERROR(__xludf.dummyfunction("VLOOKUP(N101, IMPORTRANGE(""https://docs.google.com/spreadsheets/d/1yDAaXNsi4Mr5FtRQL4tbmSdIzhx6_m4wkOD7IG-k_eo/edit#gid=1336395716"", ""Science!M:N""), 2, FALSE)"),"#N/A")</f>
        <v>#N/A</v>
      </c>
      <c r="P101" s="1" t="str">
        <f t="shared" si="21"/>
        <v>.004</v>
      </c>
      <c r="Q101" s="15" t="str">
        <f ca="1">IFERROR(__xludf.dummyfunction("VLOOKUP(P101, IMPORTRANGE(""https://docs.google.com/spreadsheets/d/1yDAaXNsi4Mr5FtRQL4tbmSdIzhx6_m4wkOD7IG-k_eo/edit#gid=1336395716"", ""Science!M:N""), 2, FALSE)"),"#N/A")</f>
        <v>#N/A</v>
      </c>
      <c r="R101" s="1" t="str">
        <f t="shared" si="22"/>
        <v>.005</v>
      </c>
      <c r="S101" s="15" t="str">
        <f ca="1">IFERROR(__xludf.dummyfunction("VLOOKUP(R101, IMPORTRANGE(""https://docs.google.com/spreadsheets/d/1yDAaXNsi4Mr5FtRQL4tbmSdIzhx6_m4wkOD7IG-k_eo/edit#gid=1336395716"", ""Science!M:N""), 2, FALSE)"),"#N/A")</f>
        <v>#N/A</v>
      </c>
      <c r="T101" s="1" t="str">
        <f t="shared" si="23"/>
        <v>.006</v>
      </c>
      <c r="U101" s="15" t="str">
        <f ca="1">IFERROR(__xludf.dummyfunction("VLOOKUP(T101, IMPORTRANGE(""https://docs.google.com/spreadsheets/d/1yDAaXNsi4Mr5FtRQL4tbmSdIzhx6_m4wkOD7IG-k_eo/edit#gid=1336395716"", ""Science!M:N""), 2, FALSE)"),"#N/A")</f>
        <v>#N/A</v>
      </c>
      <c r="V101" s="16" t="str">
        <f ca="1">IFERROR(__xludf.dummyfunction("ArrayFormula(VLOOKUP(G101, IMPORTRANGE(""https://docs.google.com/spreadsheets/d/1p7R4vtkWt5VOBim4ltsDG9KTzSjrtKXsMtQGXPHyND0/edit#gid=795171502"", ""'Filter 30_05_2024'!A1:M2000""), {2, 3, 4, 5,6,7,8,9,10,11,12,13}, 0))"),"#N/A")</f>
        <v>#N/A</v>
      </c>
      <c r="W101" s="16" t="str">
        <f ca="1">IFERROR(__xludf.dummyfunction("""COMPUTED_VALUE"""),"#N/A")</f>
        <v>#N/A</v>
      </c>
      <c r="X101" s="16" t="str">
        <f ca="1">IFERROR(__xludf.dummyfunction("""COMPUTED_VALUE"""),"#N/A")</f>
        <v>#N/A</v>
      </c>
      <c r="Y101" s="16" t="str">
        <f ca="1">IFERROR(__xludf.dummyfunction("""COMPUTED_VALUE"""),"#N/A")</f>
        <v>#N/A</v>
      </c>
      <c r="Z101" s="16" t="str">
        <f ca="1">IFERROR(__xludf.dummyfunction("""COMPUTED_VALUE"""),"#N/A")</f>
        <v>#N/A</v>
      </c>
      <c r="AA101" s="17" t="str">
        <f ca="1">IFERROR(__xludf.dummyfunction("""COMPUTED_VALUE"""),"#N/A")</f>
        <v>#N/A</v>
      </c>
      <c r="AB101" s="17" t="str">
        <f ca="1">IFERROR(__xludf.dummyfunction("""COMPUTED_VALUE"""),"#N/A")</f>
        <v>#N/A</v>
      </c>
      <c r="AC101" s="17" t="str">
        <f ca="1">IFERROR(__xludf.dummyfunction("""COMPUTED_VALUE"""),"#N/A")</f>
        <v>#N/A</v>
      </c>
      <c r="AD101" s="2" t="str">
        <f ca="1">IFERROR(__xludf.dummyfunction("""COMPUTED_VALUE"""),"#N/A")</f>
        <v>#N/A</v>
      </c>
      <c r="AE101" s="2" t="str">
        <f ca="1">IFERROR(__xludf.dummyfunction("""COMPUTED_VALUE"""),"#N/A")</f>
        <v>#N/A</v>
      </c>
      <c r="AF101" s="2" t="str">
        <f ca="1">IFERROR(__xludf.dummyfunction("""COMPUTED_VALUE"""),"#N/A")</f>
        <v>#N/A</v>
      </c>
      <c r="AG101" s="2" t="str">
        <f ca="1">IFERROR(__xludf.dummyfunction("""COMPUTED_VALUE"""),"#N/A")</f>
        <v>#N/A</v>
      </c>
    </row>
    <row r="102" spans="6:33" ht="13.8">
      <c r="F102" s="1"/>
      <c r="H102" s="1"/>
      <c r="I102" s="2"/>
      <c r="J102" s="1" t="str">
        <f t="shared" si="18"/>
        <v>.001</v>
      </c>
      <c r="K102" s="1" t="str">
        <f ca="1">IFERROR(__xludf.dummyfunction("VLOOKUP(J102, IMPORTRANGE(""https://docs.google.com/spreadsheets/d/1yDAaXNsi4Mr5FtRQL4tbmSdIzhx6_m4wkOD7IG-k_eo/edit#gid=1336395716"", ""Science!M:N""), 2, FALSE)"),"#N/A")</f>
        <v>#N/A</v>
      </c>
      <c r="L102" s="1" t="str">
        <f t="shared" si="19"/>
        <v>.002</v>
      </c>
      <c r="M102" s="1" t="str">
        <f ca="1">IFERROR(__xludf.dummyfunction("VLOOKUP(L102, IMPORTRANGE(""https://docs.google.com/spreadsheets/d/1yDAaXNsi4Mr5FtRQL4tbmSdIzhx6_m4wkOD7IG-k_eo/edit#gid=1336395716"", ""Science!M:N""), 2, FALSE)"),"#N/A")</f>
        <v>#N/A</v>
      </c>
      <c r="N102" s="1" t="str">
        <f t="shared" si="20"/>
        <v>.003</v>
      </c>
      <c r="O102" s="1" t="str">
        <f ca="1">IFERROR(__xludf.dummyfunction("VLOOKUP(N102, IMPORTRANGE(""https://docs.google.com/spreadsheets/d/1yDAaXNsi4Mr5FtRQL4tbmSdIzhx6_m4wkOD7IG-k_eo/edit#gid=1336395716"", ""Science!M:N""), 2, FALSE)"),"#N/A")</f>
        <v>#N/A</v>
      </c>
      <c r="P102" s="1" t="str">
        <f t="shared" si="21"/>
        <v>.004</v>
      </c>
      <c r="Q102" s="15" t="str">
        <f ca="1">IFERROR(__xludf.dummyfunction("VLOOKUP(P102, IMPORTRANGE(""https://docs.google.com/spreadsheets/d/1yDAaXNsi4Mr5FtRQL4tbmSdIzhx6_m4wkOD7IG-k_eo/edit#gid=1336395716"", ""Science!M:N""), 2, FALSE)"),"#N/A")</f>
        <v>#N/A</v>
      </c>
      <c r="R102" s="1" t="str">
        <f t="shared" si="22"/>
        <v>.005</v>
      </c>
      <c r="S102" s="15" t="str">
        <f ca="1">IFERROR(__xludf.dummyfunction("VLOOKUP(R102, IMPORTRANGE(""https://docs.google.com/spreadsheets/d/1yDAaXNsi4Mr5FtRQL4tbmSdIzhx6_m4wkOD7IG-k_eo/edit#gid=1336395716"", ""Science!M:N""), 2, FALSE)"),"#N/A")</f>
        <v>#N/A</v>
      </c>
      <c r="T102" s="1" t="str">
        <f t="shared" si="23"/>
        <v>.006</v>
      </c>
      <c r="U102" s="15" t="str">
        <f ca="1">IFERROR(__xludf.dummyfunction("VLOOKUP(T102, IMPORTRANGE(""https://docs.google.com/spreadsheets/d/1yDAaXNsi4Mr5FtRQL4tbmSdIzhx6_m4wkOD7IG-k_eo/edit#gid=1336395716"", ""Science!M:N""), 2, FALSE)"),"#N/A")</f>
        <v>#N/A</v>
      </c>
      <c r="V102" s="16" t="str">
        <f ca="1">IFERROR(__xludf.dummyfunction("ArrayFormula(VLOOKUP(G102, IMPORTRANGE(""https://docs.google.com/spreadsheets/d/1p7R4vtkWt5VOBim4ltsDG9KTzSjrtKXsMtQGXPHyND0/edit#gid=795171502"", ""'Filter 30_05_2024'!A1:M2000""), {2, 3, 4, 5,6,7,8,9,10,11,12,13}, 0))"),"#N/A")</f>
        <v>#N/A</v>
      </c>
      <c r="W102" s="16" t="str">
        <f ca="1">IFERROR(__xludf.dummyfunction("""COMPUTED_VALUE"""),"#N/A")</f>
        <v>#N/A</v>
      </c>
      <c r="X102" s="16" t="str">
        <f ca="1">IFERROR(__xludf.dummyfunction("""COMPUTED_VALUE"""),"#N/A")</f>
        <v>#N/A</v>
      </c>
      <c r="Y102" s="16" t="str">
        <f ca="1">IFERROR(__xludf.dummyfunction("""COMPUTED_VALUE"""),"#N/A")</f>
        <v>#N/A</v>
      </c>
      <c r="Z102" s="16" t="str">
        <f ca="1">IFERROR(__xludf.dummyfunction("""COMPUTED_VALUE"""),"#N/A")</f>
        <v>#N/A</v>
      </c>
      <c r="AA102" s="17" t="str">
        <f ca="1">IFERROR(__xludf.dummyfunction("""COMPUTED_VALUE"""),"#N/A")</f>
        <v>#N/A</v>
      </c>
      <c r="AB102" s="17" t="str">
        <f ca="1">IFERROR(__xludf.dummyfunction("""COMPUTED_VALUE"""),"#N/A")</f>
        <v>#N/A</v>
      </c>
      <c r="AC102" s="17" t="str">
        <f ca="1">IFERROR(__xludf.dummyfunction("""COMPUTED_VALUE"""),"#N/A")</f>
        <v>#N/A</v>
      </c>
      <c r="AD102" s="2" t="str">
        <f ca="1">IFERROR(__xludf.dummyfunction("""COMPUTED_VALUE"""),"#N/A")</f>
        <v>#N/A</v>
      </c>
      <c r="AE102" s="2" t="str">
        <f ca="1">IFERROR(__xludf.dummyfunction("""COMPUTED_VALUE"""),"#N/A")</f>
        <v>#N/A</v>
      </c>
      <c r="AF102" s="2" t="str">
        <f ca="1">IFERROR(__xludf.dummyfunction("""COMPUTED_VALUE"""),"#N/A")</f>
        <v>#N/A</v>
      </c>
      <c r="AG102" s="2" t="str">
        <f ca="1">IFERROR(__xludf.dummyfunction("""COMPUTED_VALUE"""),"#N/A")</f>
        <v>#N/A</v>
      </c>
    </row>
    <row r="103" spans="6:33" ht="13.8">
      <c r="F103" s="1"/>
      <c r="H103" s="1"/>
      <c r="I103" s="2"/>
      <c r="J103" s="1" t="str">
        <f t="shared" si="18"/>
        <v>.001</v>
      </c>
      <c r="K103" s="1" t="str">
        <f ca="1">IFERROR(__xludf.dummyfunction("VLOOKUP(J103, IMPORTRANGE(""https://docs.google.com/spreadsheets/d/1yDAaXNsi4Mr5FtRQL4tbmSdIzhx6_m4wkOD7IG-k_eo/edit#gid=1336395716"", ""Science!M:N""), 2, FALSE)"),"#N/A")</f>
        <v>#N/A</v>
      </c>
      <c r="L103" s="1" t="str">
        <f t="shared" si="19"/>
        <v>.002</v>
      </c>
      <c r="M103" s="1" t="str">
        <f ca="1">IFERROR(__xludf.dummyfunction("VLOOKUP(L103, IMPORTRANGE(""https://docs.google.com/spreadsheets/d/1yDAaXNsi4Mr5FtRQL4tbmSdIzhx6_m4wkOD7IG-k_eo/edit#gid=1336395716"", ""Science!M:N""), 2, FALSE)"),"#N/A")</f>
        <v>#N/A</v>
      </c>
      <c r="N103" s="1" t="str">
        <f t="shared" si="20"/>
        <v>.003</v>
      </c>
      <c r="O103" s="1" t="str">
        <f ca="1">IFERROR(__xludf.dummyfunction("VLOOKUP(N103, IMPORTRANGE(""https://docs.google.com/spreadsheets/d/1yDAaXNsi4Mr5FtRQL4tbmSdIzhx6_m4wkOD7IG-k_eo/edit#gid=1336395716"", ""Science!M:N""), 2, FALSE)"),"#N/A")</f>
        <v>#N/A</v>
      </c>
      <c r="P103" s="1" t="str">
        <f t="shared" si="21"/>
        <v>.004</v>
      </c>
      <c r="Q103" s="15" t="str">
        <f ca="1">IFERROR(__xludf.dummyfunction("VLOOKUP(P103, IMPORTRANGE(""https://docs.google.com/spreadsheets/d/1yDAaXNsi4Mr5FtRQL4tbmSdIzhx6_m4wkOD7IG-k_eo/edit#gid=1336395716"", ""Science!M:N""), 2, FALSE)"),"#N/A")</f>
        <v>#N/A</v>
      </c>
      <c r="R103" s="1" t="str">
        <f t="shared" si="22"/>
        <v>.005</v>
      </c>
      <c r="S103" s="15" t="str">
        <f ca="1">IFERROR(__xludf.dummyfunction("VLOOKUP(R103, IMPORTRANGE(""https://docs.google.com/spreadsheets/d/1yDAaXNsi4Mr5FtRQL4tbmSdIzhx6_m4wkOD7IG-k_eo/edit#gid=1336395716"", ""Science!M:N""), 2, FALSE)"),"#N/A")</f>
        <v>#N/A</v>
      </c>
      <c r="T103" s="1" t="str">
        <f t="shared" si="23"/>
        <v>.006</v>
      </c>
      <c r="U103" s="15" t="str">
        <f ca="1">IFERROR(__xludf.dummyfunction("VLOOKUP(T103, IMPORTRANGE(""https://docs.google.com/spreadsheets/d/1yDAaXNsi4Mr5FtRQL4tbmSdIzhx6_m4wkOD7IG-k_eo/edit#gid=1336395716"", ""Science!M:N""), 2, FALSE)"),"#N/A")</f>
        <v>#N/A</v>
      </c>
      <c r="V103" s="16" t="str">
        <f ca="1">IFERROR(__xludf.dummyfunction("ArrayFormula(VLOOKUP(G103, IMPORTRANGE(""https://docs.google.com/spreadsheets/d/1p7R4vtkWt5VOBim4ltsDG9KTzSjrtKXsMtQGXPHyND0/edit#gid=795171502"", ""'Filter 30_05_2024'!A1:M2000""), {2, 3, 4, 5,6,7,8,9,10,11,12,13}, 0))"),"#N/A")</f>
        <v>#N/A</v>
      </c>
      <c r="W103" s="16" t="str">
        <f ca="1">IFERROR(__xludf.dummyfunction("""COMPUTED_VALUE"""),"#N/A")</f>
        <v>#N/A</v>
      </c>
      <c r="X103" s="16" t="str">
        <f ca="1">IFERROR(__xludf.dummyfunction("""COMPUTED_VALUE"""),"#N/A")</f>
        <v>#N/A</v>
      </c>
      <c r="Y103" s="16" t="str">
        <f ca="1">IFERROR(__xludf.dummyfunction("""COMPUTED_VALUE"""),"#N/A")</f>
        <v>#N/A</v>
      </c>
      <c r="Z103" s="16" t="str">
        <f ca="1">IFERROR(__xludf.dummyfunction("""COMPUTED_VALUE"""),"#N/A")</f>
        <v>#N/A</v>
      </c>
      <c r="AA103" s="17" t="str">
        <f ca="1">IFERROR(__xludf.dummyfunction("""COMPUTED_VALUE"""),"#N/A")</f>
        <v>#N/A</v>
      </c>
      <c r="AB103" s="17" t="str">
        <f ca="1">IFERROR(__xludf.dummyfunction("""COMPUTED_VALUE"""),"#N/A")</f>
        <v>#N/A</v>
      </c>
      <c r="AC103" s="17" t="str">
        <f ca="1">IFERROR(__xludf.dummyfunction("""COMPUTED_VALUE"""),"#N/A")</f>
        <v>#N/A</v>
      </c>
      <c r="AD103" s="2" t="str">
        <f ca="1">IFERROR(__xludf.dummyfunction("""COMPUTED_VALUE"""),"#N/A")</f>
        <v>#N/A</v>
      </c>
      <c r="AE103" s="2" t="str">
        <f ca="1">IFERROR(__xludf.dummyfunction("""COMPUTED_VALUE"""),"#N/A")</f>
        <v>#N/A</v>
      </c>
      <c r="AF103" s="2" t="str">
        <f ca="1">IFERROR(__xludf.dummyfunction("""COMPUTED_VALUE"""),"#N/A")</f>
        <v>#N/A</v>
      </c>
      <c r="AG103" s="2" t="str">
        <f ca="1">IFERROR(__xludf.dummyfunction("""COMPUTED_VALUE"""),"#N/A")</f>
        <v>#N/A</v>
      </c>
    </row>
    <row r="104" spans="6:33" ht="13.8">
      <c r="F104" s="1"/>
      <c r="H104" s="1"/>
      <c r="I104" s="2"/>
      <c r="J104" s="1" t="str">
        <f t="shared" si="18"/>
        <v>.001</v>
      </c>
      <c r="K104" s="1" t="str">
        <f ca="1">IFERROR(__xludf.dummyfunction("VLOOKUP(J104, IMPORTRANGE(""https://docs.google.com/spreadsheets/d/1yDAaXNsi4Mr5FtRQL4tbmSdIzhx6_m4wkOD7IG-k_eo/edit#gid=1336395716"", ""Science!M:N""), 2, FALSE)"),"#N/A")</f>
        <v>#N/A</v>
      </c>
      <c r="L104" s="1" t="str">
        <f t="shared" si="19"/>
        <v>.002</v>
      </c>
      <c r="M104" s="1" t="str">
        <f ca="1">IFERROR(__xludf.dummyfunction("VLOOKUP(L104, IMPORTRANGE(""https://docs.google.com/spreadsheets/d/1yDAaXNsi4Mr5FtRQL4tbmSdIzhx6_m4wkOD7IG-k_eo/edit#gid=1336395716"", ""Science!M:N""), 2, FALSE)"),"#N/A")</f>
        <v>#N/A</v>
      </c>
      <c r="N104" s="1" t="str">
        <f t="shared" si="20"/>
        <v>.003</v>
      </c>
      <c r="O104" s="1" t="str">
        <f ca="1">IFERROR(__xludf.dummyfunction("VLOOKUP(N104, IMPORTRANGE(""https://docs.google.com/spreadsheets/d/1yDAaXNsi4Mr5FtRQL4tbmSdIzhx6_m4wkOD7IG-k_eo/edit#gid=1336395716"", ""Science!M:N""), 2, FALSE)"),"#N/A")</f>
        <v>#N/A</v>
      </c>
      <c r="P104" s="1" t="str">
        <f t="shared" si="21"/>
        <v>.004</v>
      </c>
      <c r="Q104" s="15" t="str">
        <f ca="1">IFERROR(__xludf.dummyfunction("VLOOKUP(P104, IMPORTRANGE(""https://docs.google.com/spreadsheets/d/1yDAaXNsi4Mr5FtRQL4tbmSdIzhx6_m4wkOD7IG-k_eo/edit#gid=1336395716"", ""Science!M:N""), 2, FALSE)"),"#N/A")</f>
        <v>#N/A</v>
      </c>
      <c r="R104" s="1" t="str">
        <f t="shared" si="22"/>
        <v>.005</v>
      </c>
      <c r="S104" s="15" t="str">
        <f ca="1">IFERROR(__xludf.dummyfunction("VLOOKUP(R104, IMPORTRANGE(""https://docs.google.com/spreadsheets/d/1yDAaXNsi4Mr5FtRQL4tbmSdIzhx6_m4wkOD7IG-k_eo/edit#gid=1336395716"", ""Science!M:N""), 2, FALSE)"),"#N/A")</f>
        <v>#N/A</v>
      </c>
      <c r="T104" s="1" t="str">
        <f t="shared" si="23"/>
        <v>.006</v>
      </c>
      <c r="U104" s="15" t="str">
        <f ca="1">IFERROR(__xludf.dummyfunction("VLOOKUP(T104, IMPORTRANGE(""https://docs.google.com/spreadsheets/d/1yDAaXNsi4Mr5FtRQL4tbmSdIzhx6_m4wkOD7IG-k_eo/edit#gid=1336395716"", ""Science!M:N""), 2, FALSE)"),"#N/A")</f>
        <v>#N/A</v>
      </c>
      <c r="V104" s="16" t="str">
        <f ca="1">IFERROR(__xludf.dummyfunction("ArrayFormula(VLOOKUP(G104, IMPORTRANGE(""https://docs.google.com/spreadsheets/d/1p7R4vtkWt5VOBim4ltsDG9KTzSjrtKXsMtQGXPHyND0/edit#gid=795171502"", ""'Filter 30_05_2024'!A1:M2000""), {2, 3, 4, 5,6,7,8,9,10,11,12,13}, 0))"),"#N/A")</f>
        <v>#N/A</v>
      </c>
      <c r="W104" s="16" t="str">
        <f ca="1">IFERROR(__xludf.dummyfunction("""COMPUTED_VALUE"""),"#N/A")</f>
        <v>#N/A</v>
      </c>
      <c r="X104" s="16" t="str">
        <f ca="1">IFERROR(__xludf.dummyfunction("""COMPUTED_VALUE"""),"#N/A")</f>
        <v>#N/A</v>
      </c>
      <c r="Y104" s="16" t="str">
        <f ca="1">IFERROR(__xludf.dummyfunction("""COMPUTED_VALUE"""),"#N/A")</f>
        <v>#N/A</v>
      </c>
      <c r="Z104" s="16" t="str">
        <f ca="1">IFERROR(__xludf.dummyfunction("""COMPUTED_VALUE"""),"#N/A")</f>
        <v>#N/A</v>
      </c>
      <c r="AA104" s="17" t="str">
        <f ca="1">IFERROR(__xludf.dummyfunction("""COMPUTED_VALUE"""),"#N/A")</f>
        <v>#N/A</v>
      </c>
      <c r="AB104" s="17" t="str">
        <f ca="1">IFERROR(__xludf.dummyfunction("""COMPUTED_VALUE"""),"#N/A")</f>
        <v>#N/A</v>
      </c>
      <c r="AC104" s="17" t="str">
        <f ca="1">IFERROR(__xludf.dummyfunction("""COMPUTED_VALUE"""),"#N/A")</f>
        <v>#N/A</v>
      </c>
      <c r="AD104" s="2" t="str">
        <f ca="1">IFERROR(__xludf.dummyfunction("""COMPUTED_VALUE"""),"#N/A")</f>
        <v>#N/A</v>
      </c>
      <c r="AE104" s="2" t="str">
        <f ca="1">IFERROR(__xludf.dummyfunction("""COMPUTED_VALUE"""),"#N/A")</f>
        <v>#N/A</v>
      </c>
      <c r="AF104" s="2" t="str">
        <f ca="1">IFERROR(__xludf.dummyfunction("""COMPUTED_VALUE"""),"#N/A")</f>
        <v>#N/A</v>
      </c>
      <c r="AG104" s="2" t="str">
        <f ca="1">IFERROR(__xludf.dummyfunction("""COMPUTED_VALUE"""),"#N/A")</f>
        <v>#N/A</v>
      </c>
    </row>
    <row r="105" spans="6:33" ht="13.8">
      <c r="F105" s="1"/>
      <c r="H105" s="1"/>
      <c r="I105" s="2"/>
      <c r="J105" s="1" t="str">
        <f t="shared" si="18"/>
        <v>.001</v>
      </c>
      <c r="K105" s="1" t="str">
        <f ca="1">IFERROR(__xludf.dummyfunction("VLOOKUP(J105, IMPORTRANGE(""https://docs.google.com/spreadsheets/d/1yDAaXNsi4Mr5FtRQL4tbmSdIzhx6_m4wkOD7IG-k_eo/edit#gid=1336395716"", ""Science!M:N""), 2, FALSE)"),"#N/A")</f>
        <v>#N/A</v>
      </c>
      <c r="L105" s="1" t="str">
        <f t="shared" si="19"/>
        <v>.002</v>
      </c>
      <c r="M105" s="1" t="str">
        <f ca="1">IFERROR(__xludf.dummyfunction("VLOOKUP(L105, IMPORTRANGE(""https://docs.google.com/spreadsheets/d/1yDAaXNsi4Mr5FtRQL4tbmSdIzhx6_m4wkOD7IG-k_eo/edit#gid=1336395716"", ""Science!M:N""), 2, FALSE)"),"#N/A")</f>
        <v>#N/A</v>
      </c>
      <c r="N105" s="1" t="str">
        <f t="shared" si="20"/>
        <v>.003</v>
      </c>
      <c r="O105" s="1" t="str">
        <f ca="1">IFERROR(__xludf.dummyfunction("VLOOKUP(N105, IMPORTRANGE(""https://docs.google.com/spreadsheets/d/1yDAaXNsi4Mr5FtRQL4tbmSdIzhx6_m4wkOD7IG-k_eo/edit#gid=1336395716"", ""Science!M:N""), 2, FALSE)"),"#N/A")</f>
        <v>#N/A</v>
      </c>
      <c r="P105" s="1" t="str">
        <f t="shared" si="21"/>
        <v>.004</v>
      </c>
      <c r="Q105" s="15" t="str">
        <f ca="1">IFERROR(__xludf.dummyfunction("VLOOKUP(P105, IMPORTRANGE(""https://docs.google.com/spreadsheets/d/1yDAaXNsi4Mr5FtRQL4tbmSdIzhx6_m4wkOD7IG-k_eo/edit#gid=1336395716"", ""Science!M:N""), 2, FALSE)"),"#N/A")</f>
        <v>#N/A</v>
      </c>
      <c r="R105" s="1" t="str">
        <f t="shared" si="22"/>
        <v>.005</v>
      </c>
      <c r="S105" s="15" t="str">
        <f ca="1">IFERROR(__xludf.dummyfunction("VLOOKUP(R105, IMPORTRANGE(""https://docs.google.com/spreadsheets/d/1yDAaXNsi4Mr5FtRQL4tbmSdIzhx6_m4wkOD7IG-k_eo/edit#gid=1336395716"", ""Science!M:N""), 2, FALSE)"),"#N/A")</f>
        <v>#N/A</v>
      </c>
      <c r="T105" s="1" t="str">
        <f t="shared" si="23"/>
        <v>.006</v>
      </c>
      <c r="U105" s="15" t="str">
        <f ca="1">IFERROR(__xludf.dummyfunction("VLOOKUP(T105, IMPORTRANGE(""https://docs.google.com/spreadsheets/d/1yDAaXNsi4Mr5FtRQL4tbmSdIzhx6_m4wkOD7IG-k_eo/edit#gid=1336395716"", ""Science!M:N""), 2, FALSE)"),"#N/A")</f>
        <v>#N/A</v>
      </c>
      <c r="V105" s="16" t="str">
        <f ca="1">IFERROR(__xludf.dummyfunction("ArrayFormula(VLOOKUP(G105, IMPORTRANGE(""https://docs.google.com/spreadsheets/d/1p7R4vtkWt5VOBim4ltsDG9KTzSjrtKXsMtQGXPHyND0/edit#gid=795171502"", ""'Filter 30_05_2024'!A1:M2000""), {2, 3, 4, 5,6,7,8,9,10,11,12,13}, 0))"),"#N/A")</f>
        <v>#N/A</v>
      </c>
      <c r="W105" s="16" t="str">
        <f ca="1">IFERROR(__xludf.dummyfunction("""COMPUTED_VALUE"""),"#N/A")</f>
        <v>#N/A</v>
      </c>
      <c r="X105" s="16" t="str">
        <f ca="1">IFERROR(__xludf.dummyfunction("""COMPUTED_VALUE"""),"#N/A")</f>
        <v>#N/A</v>
      </c>
      <c r="Y105" s="16" t="str">
        <f ca="1">IFERROR(__xludf.dummyfunction("""COMPUTED_VALUE"""),"#N/A")</f>
        <v>#N/A</v>
      </c>
      <c r="Z105" s="16" t="str">
        <f ca="1">IFERROR(__xludf.dummyfunction("""COMPUTED_VALUE"""),"#N/A")</f>
        <v>#N/A</v>
      </c>
      <c r="AA105" s="17" t="str">
        <f ca="1">IFERROR(__xludf.dummyfunction("""COMPUTED_VALUE"""),"#N/A")</f>
        <v>#N/A</v>
      </c>
      <c r="AB105" s="17" t="str">
        <f ca="1">IFERROR(__xludf.dummyfunction("""COMPUTED_VALUE"""),"#N/A")</f>
        <v>#N/A</v>
      </c>
      <c r="AC105" s="17" t="str">
        <f ca="1">IFERROR(__xludf.dummyfunction("""COMPUTED_VALUE"""),"#N/A")</f>
        <v>#N/A</v>
      </c>
      <c r="AD105" s="2" t="str">
        <f ca="1">IFERROR(__xludf.dummyfunction("""COMPUTED_VALUE"""),"#N/A")</f>
        <v>#N/A</v>
      </c>
      <c r="AE105" s="2" t="str">
        <f ca="1">IFERROR(__xludf.dummyfunction("""COMPUTED_VALUE"""),"#N/A")</f>
        <v>#N/A</v>
      </c>
      <c r="AF105" s="2" t="str">
        <f ca="1">IFERROR(__xludf.dummyfunction("""COMPUTED_VALUE"""),"#N/A")</f>
        <v>#N/A</v>
      </c>
      <c r="AG105" s="2" t="str">
        <f ca="1">IFERROR(__xludf.dummyfunction("""COMPUTED_VALUE"""),"#N/A")</f>
        <v>#N/A</v>
      </c>
    </row>
    <row r="106" spans="6:33" ht="13.8">
      <c r="F106" s="1"/>
      <c r="H106" s="1"/>
      <c r="I106" s="2"/>
      <c r="J106" s="1" t="str">
        <f t="shared" si="18"/>
        <v>.001</v>
      </c>
      <c r="K106" s="1" t="str">
        <f ca="1">IFERROR(__xludf.dummyfunction("VLOOKUP(J106, IMPORTRANGE(""https://docs.google.com/spreadsheets/d/1yDAaXNsi4Mr5FtRQL4tbmSdIzhx6_m4wkOD7IG-k_eo/edit#gid=1336395716"", ""Science!M:N""), 2, FALSE)"),"#N/A")</f>
        <v>#N/A</v>
      </c>
      <c r="L106" s="1" t="str">
        <f t="shared" si="19"/>
        <v>.002</v>
      </c>
      <c r="M106" s="1" t="str">
        <f ca="1">IFERROR(__xludf.dummyfunction("VLOOKUP(L106, IMPORTRANGE(""https://docs.google.com/spreadsheets/d/1yDAaXNsi4Mr5FtRQL4tbmSdIzhx6_m4wkOD7IG-k_eo/edit#gid=1336395716"", ""Science!M:N""), 2, FALSE)"),"#N/A")</f>
        <v>#N/A</v>
      </c>
      <c r="N106" s="1" t="str">
        <f t="shared" si="20"/>
        <v>.003</v>
      </c>
      <c r="O106" s="1" t="str">
        <f ca="1">IFERROR(__xludf.dummyfunction("VLOOKUP(N106, IMPORTRANGE(""https://docs.google.com/spreadsheets/d/1yDAaXNsi4Mr5FtRQL4tbmSdIzhx6_m4wkOD7IG-k_eo/edit#gid=1336395716"", ""Science!M:N""), 2, FALSE)"),"#N/A")</f>
        <v>#N/A</v>
      </c>
      <c r="P106" s="1" t="str">
        <f t="shared" si="21"/>
        <v>.004</v>
      </c>
      <c r="Q106" s="15" t="str">
        <f ca="1">IFERROR(__xludf.dummyfunction("VLOOKUP(P106, IMPORTRANGE(""https://docs.google.com/spreadsheets/d/1yDAaXNsi4Mr5FtRQL4tbmSdIzhx6_m4wkOD7IG-k_eo/edit#gid=1336395716"", ""Science!M:N""), 2, FALSE)"),"#N/A")</f>
        <v>#N/A</v>
      </c>
      <c r="R106" s="1" t="str">
        <f t="shared" si="22"/>
        <v>.005</v>
      </c>
      <c r="S106" s="15" t="str">
        <f ca="1">IFERROR(__xludf.dummyfunction("VLOOKUP(R106, IMPORTRANGE(""https://docs.google.com/spreadsheets/d/1yDAaXNsi4Mr5FtRQL4tbmSdIzhx6_m4wkOD7IG-k_eo/edit#gid=1336395716"", ""Science!M:N""), 2, FALSE)"),"#N/A")</f>
        <v>#N/A</v>
      </c>
      <c r="T106" s="1" t="str">
        <f t="shared" si="23"/>
        <v>.006</v>
      </c>
      <c r="U106" s="15" t="str">
        <f ca="1">IFERROR(__xludf.dummyfunction("VLOOKUP(T106, IMPORTRANGE(""https://docs.google.com/spreadsheets/d/1yDAaXNsi4Mr5FtRQL4tbmSdIzhx6_m4wkOD7IG-k_eo/edit#gid=1336395716"", ""Science!M:N""), 2, FALSE)"),"#N/A")</f>
        <v>#N/A</v>
      </c>
      <c r="V106" s="16" t="str">
        <f ca="1">IFERROR(__xludf.dummyfunction("ArrayFormula(VLOOKUP(G106, IMPORTRANGE(""https://docs.google.com/spreadsheets/d/1p7R4vtkWt5VOBim4ltsDG9KTzSjrtKXsMtQGXPHyND0/edit#gid=795171502"", ""'Filter 30_05_2024'!A1:M2000""), {2, 3, 4, 5,6,7,8,9,10,11,12,13}, 0))"),"#N/A")</f>
        <v>#N/A</v>
      </c>
      <c r="W106" s="16" t="str">
        <f ca="1">IFERROR(__xludf.dummyfunction("""COMPUTED_VALUE"""),"#N/A")</f>
        <v>#N/A</v>
      </c>
      <c r="X106" s="16" t="str">
        <f ca="1">IFERROR(__xludf.dummyfunction("""COMPUTED_VALUE"""),"#N/A")</f>
        <v>#N/A</v>
      </c>
      <c r="Y106" s="16" t="str">
        <f ca="1">IFERROR(__xludf.dummyfunction("""COMPUTED_VALUE"""),"#N/A")</f>
        <v>#N/A</v>
      </c>
      <c r="Z106" s="16" t="str">
        <f ca="1">IFERROR(__xludf.dummyfunction("""COMPUTED_VALUE"""),"#N/A")</f>
        <v>#N/A</v>
      </c>
      <c r="AA106" s="17" t="str">
        <f ca="1">IFERROR(__xludf.dummyfunction("""COMPUTED_VALUE"""),"#N/A")</f>
        <v>#N/A</v>
      </c>
      <c r="AB106" s="17" t="str">
        <f ca="1">IFERROR(__xludf.dummyfunction("""COMPUTED_VALUE"""),"#N/A")</f>
        <v>#N/A</v>
      </c>
      <c r="AC106" s="17" t="str">
        <f ca="1">IFERROR(__xludf.dummyfunction("""COMPUTED_VALUE"""),"#N/A")</f>
        <v>#N/A</v>
      </c>
      <c r="AD106" s="2" t="str">
        <f ca="1">IFERROR(__xludf.dummyfunction("""COMPUTED_VALUE"""),"#N/A")</f>
        <v>#N/A</v>
      </c>
      <c r="AE106" s="2" t="str">
        <f ca="1">IFERROR(__xludf.dummyfunction("""COMPUTED_VALUE"""),"#N/A")</f>
        <v>#N/A</v>
      </c>
      <c r="AF106" s="2" t="str">
        <f ca="1">IFERROR(__xludf.dummyfunction("""COMPUTED_VALUE"""),"#N/A")</f>
        <v>#N/A</v>
      </c>
      <c r="AG106" s="2" t="str">
        <f ca="1">IFERROR(__xludf.dummyfunction("""COMPUTED_VALUE"""),"#N/A")</f>
        <v>#N/A</v>
      </c>
    </row>
    <row r="107" spans="6:33" ht="13.8">
      <c r="F107" s="1"/>
      <c r="H107" s="1"/>
      <c r="I107" s="2"/>
      <c r="J107" s="1" t="str">
        <f t="shared" si="18"/>
        <v>.001</v>
      </c>
      <c r="K107" s="1" t="str">
        <f ca="1">IFERROR(__xludf.dummyfunction("VLOOKUP(J107, IMPORTRANGE(""https://docs.google.com/spreadsheets/d/1yDAaXNsi4Mr5FtRQL4tbmSdIzhx6_m4wkOD7IG-k_eo/edit#gid=1336395716"", ""Science!M:N""), 2, FALSE)"),"#N/A")</f>
        <v>#N/A</v>
      </c>
      <c r="L107" s="1" t="str">
        <f t="shared" si="19"/>
        <v>.002</v>
      </c>
      <c r="M107" s="1" t="str">
        <f ca="1">IFERROR(__xludf.dummyfunction("VLOOKUP(L107, IMPORTRANGE(""https://docs.google.com/spreadsheets/d/1yDAaXNsi4Mr5FtRQL4tbmSdIzhx6_m4wkOD7IG-k_eo/edit#gid=1336395716"", ""Science!M:N""), 2, FALSE)"),"#N/A")</f>
        <v>#N/A</v>
      </c>
      <c r="N107" s="1" t="str">
        <f t="shared" si="20"/>
        <v>.003</v>
      </c>
      <c r="O107" s="1" t="str">
        <f ca="1">IFERROR(__xludf.dummyfunction("VLOOKUP(N107, IMPORTRANGE(""https://docs.google.com/spreadsheets/d/1yDAaXNsi4Mr5FtRQL4tbmSdIzhx6_m4wkOD7IG-k_eo/edit#gid=1336395716"", ""Science!M:N""), 2, FALSE)"),"#N/A")</f>
        <v>#N/A</v>
      </c>
      <c r="P107" s="1" t="str">
        <f t="shared" si="21"/>
        <v>.004</v>
      </c>
      <c r="Q107" s="15" t="str">
        <f ca="1">IFERROR(__xludf.dummyfunction("VLOOKUP(P107, IMPORTRANGE(""https://docs.google.com/spreadsheets/d/1yDAaXNsi4Mr5FtRQL4tbmSdIzhx6_m4wkOD7IG-k_eo/edit#gid=1336395716"", ""Science!M:N""), 2, FALSE)"),"#N/A")</f>
        <v>#N/A</v>
      </c>
      <c r="R107" s="1" t="str">
        <f t="shared" si="22"/>
        <v>.005</v>
      </c>
      <c r="S107" s="15" t="str">
        <f ca="1">IFERROR(__xludf.dummyfunction("VLOOKUP(R107, IMPORTRANGE(""https://docs.google.com/spreadsheets/d/1yDAaXNsi4Mr5FtRQL4tbmSdIzhx6_m4wkOD7IG-k_eo/edit#gid=1336395716"", ""Science!M:N""), 2, FALSE)"),"#N/A")</f>
        <v>#N/A</v>
      </c>
      <c r="T107" s="1" t="str">
        <f t="shared" si="23"/>
        <v>.006</v>
      </c>
      <c r="U107" s="15" t="str">
        <f ca="1">IFERROR(__xludf.dummyfunction("VLOOKUP(T107, IMPORTRANGE(""https://docs.google.com/spreadsheets/d/1yDAaXNsi4Mr5FtRQL4tbmSdIzhx6_m4wkOD7IG-k_eo/edit#gid=1336395716"", ""Science!M:N""), 2, FALSE)"),"#N/A")</f>
        <v>#N/A</v>
      </c>
      <c r="V107" s="16" t="str">
        <f ca="1">IFERROR(__xludf.dummyfunction("ArrayFormula(VLOOKUP(G107, IMPORTRANGE(""https://docs.google.com/spreadsheets/d/1p7R4vtkWt5VOBim4ltsDG9KTzSjrtKXsMtQGXPHyND0/edit#gid=795171502"", ""'Filter 30_05_2024'!A1:M2000""), {2, 3, 4, 5,6,7,8,9,10,11,12,13}, 0))"),"#N/A")</f>
        <v>#N/A</v>
      </c>
      <c r="W107" s="16" t="str">
        <f ca="1">IFERROR(__xludf.dummyfunction("""COMPUTED_VALUE"""),"#N/A")</f>
        <v>#N/A</v>
      </c>
      <c r="X107" s="16" t="str">
        <f ca="1">IFERROR(__xludf.dummyfunction("""COMPUTED_VALUE"""),"#N/A")</f>
        <v>#N/A</v>
      </c>
      <c r="Y107" s="16" t="str">
        <f ca="1">IFERROR(__xludf.dummyfunction("""COMPUTED_VALUE"""),"#N/A")</f>
        <v>#N/A</v>
      </c>
      <c r="Z107" s="16" t="str">
        <f ca="1">IFERROR(__xludf.dummyfunction("""COMPUTED_VALUE"""),"#N/A")</f>
        <v>#N/A</v>
      </c>
      <c r="AA107" s="17" t="str">
        <f ca="1">IFERROR(__xludf.dummyfunction("""COMPUTED_VALUE"""),"#N/A")</f>
        <v>#N/A</v>
      </c>
      <c r="AB107" s="17" t="str">
        <f ca="1">IFERROR(__xludf.dummyfunction("""COMPUTED_VALUE"""),"#N/A")</f>
        <v>#N/A</v>
      </c>
      <c r="AC107" s="17" t="str">
        <f ca="1">IFERROR(__xludf.dummyfunction("""COMPUTED_VALUE"""),"#N/A")</f>
        <v>#N/A</v>
      </c>
      <c r="AD107" s="2" t="str">
        <f ca="1">IFERROR(__xludf.dummyfunction("""COMPUTED_VALUE"""),"#N/A")</f>
        <v>#N/A</v>
      </c>
      <c r="AE107" s="2" t="str">
        <f ca="1">IFERROR(__xludf.dummyfunction("""COMPUTED_VALUE"""),"#N/A")</f>
        <v>#N/A</v>
      </c>
      <c r="AF107" s="2" t="str">
        <f ca="1">IFERROR(__xludf.dummyfunction("""COMPUTED_VALUE"""),"#N/A")</f>
        <v>#N/A</v>
      </c>
      <c r="AG107" s="2" t="str">
        <f ca="1">IFERROR(__xludf.dummyfunction("""COMPUTED_VALUE"""),"#N/A")</f>
        <v>#N/A</v>
      </c>
    </row>
    <row r="108" spans="6:33" ht="13.8">
      <c r="F108" s="1"/>
      <c r="H108" s="1"/>
      <c r="I108" s="2"/>
    </row>
    <row r="109" spans="6:33" ht="13.8">
      <c r="F109" s="1"/>
      <c r="H109" s="1"/>
      <c r="I109" s="2"/>
    </row>
    <row r="110" spans="6:33" ht="13.8">
      <c r="F110" s="1"/>
      <c r="H110" s="1"/>
      <c r="I110" s="2"/>
    </row>
    <row r="111" spans="6:33" ht="13.8">
      <c r="F111" s="1"/>
      <c r="H111" s="1"/>
      <c r="I111" s="2"/>
    </row>
    <row r="112" spans="6:33" ht="13.8">
      <c r="F112" s="1"/>
      <c r="H112" s="1"/>
      <c r="I112" s="2"/>
    </row>
    <row r="113" spans="6:9" ht="13.8">
      <c r="F113" s="1"/>
      <c r="H113" s="1"/>
      <c r="I113" s="2"/>
    </row>
    <row r="114" spans="6:9" ht="13.8">
      <c r="F114" s="1"/>
      <c r="H114" s="1"/>
      <c r="I114" s="2"/>
    </row>
    <row r="115" spans="6:9" ht="13.8">
      <c r="F115" s="1"/>
      <c r="H115" s="1"/>
      <c r="I115" s="2"/>
    </row>
    <row r="116" spans="6:9" ht="13.8">
      <c r="F116" s="1"/>
      <c r="H116" s="1"/>
      <c r="I116" s="2"/>
    </row>
    <row r="117" spans="6:9" ht="13.8">
      <c r="F117" s="1"/>
      <c r="H117" s="1"/>
      <c r="I117" s="2"/>
    </row>
    <row r="118" spans="6:9" ht="13.8">
      <c r="F118" s="1"/>
      <c r="H118" s="1"/>
      <c r="I118" s="2"/>
    </row>
    <row r="119" spans="6:9" ht="13.8">
      <c r="F119" s="1"/>
      <c r="H119" s="1"/>
      <c r="I119" s="2"/>
    </row>
    <row r="120" spans="6:9" ht="13.8">
      <c r="F120" s="1"/>
      <c r="H120" s="1"/>
      <c r="I120" s="2"/>
    </row>
    <row r="121" spans="6:9" ht="13.8">
      <c r="F121" s="1"/>
      <c r="H121" s="1"/>
      <c r="I121" s="2"/>
    </row>
    <row r="122" spans="6:9" ht="13.8">
      <c r="F122" s="1"/>
      <c r="H122" s="1"/>
      <c r="I122" s="2"/>
    </row>
    <row r="123" spans="6:9" ht="13.8">
      <c r="F123" s="1"/>
      <c r="H123" s="1"/>
      <c r="I123" s="2"/>
    </row>
    <row r="124" spans="6:9" ht="13.8">
      <c r="F124" s="1"/>
      <c r="H124" s="1"/>
      <c r="I124" s="2"/>
    </row>
    <row r="125" spans="6:9" ht="13.8">
      <c r="F125" s="1"/>
      <c r="H125" s="1"/>
      <c r="I125" s="2"/>
    </row>
    <row r="126" spans="6:9" ht="13.8">
      <c r="F126" s="1"/>
      <c r="H126" s="1"/>
      <c r="I126" s="2"/>
    </row>
    <row r="127" spans="6:9" ht="13.8">
      <c r="F127" s="1"/>
      <c r="H127" s="1"/>
      <c r="I127" s="2"/>
    </row>
    <row r="128" spans="6:9" ht="13.8">
      <c r="F128" s="1"/>
      <c r="H128" s="1"/>
      <c r="I128" s="2"/>
    </row>
    <row r="129" spans="6:9" ht="13.8">
      <c r="F129" s="1"/>
      <c r="H129" s="1"/>
      <c r="I129" s="2"/>
    </row>
    <row r="130" spans="6:9" ht="13.8">
      <c r="F130" s="1"/>
      <c r="H130" s="1"/>
      <c r="I130" s="2"/>
    </row>
    <row r="131" spans="6:9" ht="13.8">
      <c r="F131" s="1"/>
      <c r="H131" s="1"/>
      <c r="I131" s="2"/>
    </row>
    <row r="132" spans="6:9" ht="13.8">
      <c r="F132" s="1"/>
      <c r="H132" s="1"/>
      <c r="I132" s="2"/>
    </row>
    <row r="133" spans="6:9" ht="13.8">
      <c r="F133" s="1"/>
      <c r="H133" s="1"/>
      <c r="I133" s="2"/>
    </row>
    <row r="134" spans="6:9" ht="13.8">
      <c r="F134" s="1"/>
      <c r="H134" s="1"/>
      <c r="I134" s="2"/>
    </row>
    <row r="135" spans="6:9" ht="13.8">
      <c r="F135" s="1"/>
      <c r="H135" s="1"/>
      <c r="I135" s="2"/>
    </row>
    <row r="136" spans="6:9" ht="13.8">
      <c r="F136" s="1"/>
      <c r="H136" s="1"/>
      <c r="I136" s="2"/>
    </row>
    <row r="137" spans="6:9" ht="13.8">
      <c r="F137" s="1"/>
      <c r="H137" s="1"/>
      <c r="I137" s="2"/>
    </row>
    <row r="138" spans="6:9" ht="13.8">
      <c r="F138" s="1"/>
      <c r="H138" s="1"/>
      <c r="I138" s="2"/>
    </row>
    <row r="139" spans="6:9" ht="13.8">
      <c r="F139" s="1"/>
      <c r="H139" s="1"/>
      <c r="I139" s="2"/>
    </row>
    <row r="140" spans="6:9" ht="13.8">
      <c r="F140" s="1"/>
      <c r="H140" s="1"/>
      <c r="I140" s="2"/>
    </row>
    <row r="141" spans="6:9" ht="13.8">
      <c r="F141" s="1"/>
      <c r="H141" s="1"/>
      <c r="I141" s="2"/>
    </row>
    <row r="142" spans="6:9" ht="13.8">
      <c r="F142" s="1"/>
      <c r="H142" s="1"/>
      <c r="I142" s="2"/>
    </row>
    <row r="143" spans="6:9" ht="13.8">
      <c r="F143" s="1"/>
      <c r="H143" s="1"/>
      <c r="I143" s="2"/>
    </row>
    <row r="144" spans="6:9" ht="13.8">
      <c r="F144" s="1"/>
      <c r="H144" s="1"/>
      <c r="I144" s="2"/>
    </row>
    <row r="145" spans="6:9" ht="13.8">
      <c r="F145" s="1"/>
      <c r="H145" s="1"/>
      <c r="I145" s="2"/>
    </row>
    <row r="146" spans="6:9" ht="13.8">
      <c r="F146" s="1"/>
      <c r="H146" s="1"/>
      <c r="I146" s="2"/>
    </row>
    <row r="147" spans="6:9" ht="13.8">
      <c r="F147" s="1"/>
      <c r="H147" s="1"/>
      <c r="I147" s="2"/>
    </row>
    <row r="148" spans="6:9" ht="13.8">
      <c r="F148" s="1"/>
      <c r="H148" s="1"/>
      <c r="I148" s="2"/>
    </row>
    <row r="149" spans="6:9" ht="13.8">
      <c r="F149" s="1"/>
      <c r="H149" s="1"/>
      <c r="I149" s="2"/>
    </row>
    <row r="150" spans="6:9" ht="13.8">
      <c r="F150" s="1"/>
      <c r="H150" s="1"/>
      <c r="I150" s="2"/>
    </row>
    <row r="151" spans="6:9" ht="13.8">
      <c r="F151" s="1"/>
      <c r="H151" s="1"/>
      <c r="I151" s="2"/>
    </row>
    <row r="152" spans="6:9" ht="13.8">
      <c r="F152" s="1"/>
      <c r="H152" s="1"/>
      <c r="I152" s="2"/>
    </row>
    <row r="153" spans="6:9" ht="13.8">
      <c r="F153" s="1"/>
      <c r="H153" s="1"/>
      <c r="I153" s="2"/>
    </row>
    <row r="154" spans="6:9" ht="13.8">
      <c r="F154" s="1"/>
      <c r="H154" s="1"/>
      <c r="I154" s="2"/>
    </row>
    <row r="155" spans="6:9" ht="13.8">
      <c r="F155" s="1"/>
      <c r="H155" s="1"/>
      <c r="I155" s="2"/>
    </row>
    <row r="156" spans="6:9" ht="13.8">
      <c r="F156" s="1"/>
      <c r="H156" s="1"/>
      <c r="I156" s="2"/>
    </row>
    <row r="157" spans="6:9" ht="13.8">
      <c r="F157" s="1"/>
      <c r="H157" s="1"/>
      <c r="I157" s="2"/>
    </row>
    <row r="158" spans="6:9" ht="13.8">
      <c r="F158" s="1"/>
      <c r="H158" s="1"/>
      <c r="I158" s="2"/>
    </row>
    <row r="159" spans="6:9" ht="13.8">
      <c r="F159" s="1"/>
      <c r="H159" s="1"/>
      <c r="I159" s="2"/>
    </row>
    <row r="160" spans="6:9" ht="13.8">
      <c r="F160" s="1"/>
      <c r="H160" s="1"/>
      <c r="I160" s="2"/>
    </row>
    <row r="161" spans="6:9" ht="13.8">
      <c r="F161" s="1"/>
      <c r="H161" s="1"/>
      <c r="I161" s="2"/>
    </row>
    <row r="162" spans="6:9" ht="13.8">
      <c r="F162" s="1"/>
      <c r="H162" s="1"/>
      <c r="I162" s="2"/>
    </row>
    <row r="163" spans="6:9" ht="13.8">
      <c r="F163" s="1"/>
      <c r="H163" s="1"/>
      <c r="I163" s="2"/>
    </row>
    <row r="164" spans="6:9" ht="13.8">
      <c r="F164" s="1"/>
      <c r="H164" s="1"/>
      <c r="I164" s="2"/>
    </row>
    <row r="165" spans="6:9" ht="13.8">
      <c r="F165" s="1"/>
      <c r="H165" s="1"/>
      <c r="I165" s="2"/>
    </row>
    <row r="166" spans="6:9" ht="13.8">
      <c r="F166" s="1"/>
      <c r="H166" s="1"/>
      <c r="I166" s="2"/>
    </row>
    <row r="167" spans="6:9" ht="13.8">
      <c r="F167" s="1"/>
      <c r="H167" s="1"/>
      <c r="I167" s="2"/>
    </row>
    <row r="168" spans="6:9" ht="13.8">
      <c r="F168" s="1"/>
      <c r="H168" s="1"/>
      <c r="I168" s="2"/>
    </row>
    <row r="169" spans="6:9" ht="13.8">
      <c r="F169" s="1"/>
      <c r="H169" s="1"/>
      <c r="I169" s="2"/>
    </row>
    <row r="170" spans="6:9" ht="13.8">
      <c r="F170" s="1"/>
      <c r="H170" s="1"/>
      <c r="I170" s="2"/>
    </row>
    <row r="171" spans="6:9" ht="13.8">
      <c r="F171" s="1"/>
      <c r="H171" s="1"/>
      <c r="I171" s="2"/>
    </row>
    <row r="172" spans="6:9" ht="13.8">
      <c r="F172" s="1"/>
      <c r="H172" s="1"/>
      <c r="I172" s="2"/>
    </row>
    <row r="173" spans="6:9" ht="13.8">
      <c r="F173" s="1"/>
      <c r="H173" s="1"/>
      <c r="I173" s="2"/>
    </row>
    <row r="174" spans="6:9" ht="13.8">
      <c r="F174" s="1"/>
      <c r="H174" s="1"/>
      <c r="I174" s="2"/>
    </row>
    <row r="175" spans="6:9" ht="13.8">
      <c r="F175" s="1"/>
      <c r="H175" s="1"/>
      <c r="I175" s="2"/>
    </row>
    <row r="176" spans="6:9" ht="13.8">
      <c r="F176" s="1"/>
      <c r="H176" s="1"/>
      <c r="I176" s="2"/>
    </row>
    <row r="177" spans="6:9" ht="13.8">
      <c r="F177" s="1"/>
      <c r="H177" s="1"/>
      <c r="I177" s="2"/>
    </row>
    <row r="178" spans="6:9" ht="13.8">
      <c r="F178" s="1"/>
      <c r="H178" s="1"/>
      <c r="I178" s="2"/>
    </row>
    <row r="179" spans="6:9" ht="13.8">
      <c r="F179" s="1"/>
      <c r="H179" s="1"/>
      <c r="I179" s="2"/>
    </row>
    <row r="180" spans="6:9" ht="13.8">
      <c r="F180" s="1"/>
      <c r="H180" s="1"/>
      <c r="I180" s="2"/>
    </row>
    <row r="181" spans="6:9" ht="13.8">
      <c r="F181" s="1"/>
      <c r="H181" s="1"/>
      <c r="I181" s="2"/>
    </row>
    <row r="182" spans="6:9" ht="13.8">
      <c r="F182" s="1"/>
      <c r="H182" s="1"/>
      <c r="I182" s="2"/>
    </row>
    <row r="183" spans="6:9" ht="13.8">
      <c r="F183" s="1"/>
      <c r="H183" s="1"/>
      <c r="I183" s="2"/>
    </row>
    <row r="184" spans="6:9" ht="13.8">
      <c r="F184" s="1"/>
      <c r="H184" s="1"/>
      <c r="I184" s="2"/>
    </row>
    <row r="185" spans="6:9" ht="13.8">
      <c r="F185" s="1"/>
      <c r="H185" s="1"/>
      <c r="I185" s="2"/>
    </row>
    <row r="186" spans="6:9" ht="13.8">
      <c r="F186" s="1"/>
      <c r="H186" s="1"/>
      <c r="I186" s="2"/>
    </row>
    <row r="187" spans="6:9" ht="13.8">
      <c r="F187" s="1"/>
      <c r="H187" s="1"/>
      <c r="I187" s="2"/>
    </row>
    <row r="188" spans="6:9" ht="13.8">
      <c r="F188" s="1"/>
      <c r="H188" s="1"/>
      <c r="I188" s="2"/>
    </row>
    <row r="189" spans="6:9" ht="13.8">
      <c r="F189" s="1"/>
      <c r="H189" s="1"/>
      <c r="I189" s="2"/>
    </row>
    <row r="190" spans="6:9" ht="13.8">
      <c r="F190" s="1"/>
      <c r="H190" s="1"/>
      <c r="I190" s="2"/>
    </row>
    <row r="191" spans="6:9" ht="13.8">
      <c r="F191" s="1"/>
      <c r="H191" s="1"/>
      <c r="I191" s="2"/>
    </row>
    <row r="192" spans="6:9" ht="13.8">
      <c r="F192" s="1"/>
      <c r="H192" s="1"/>
      <c r="I192" s="2"/>
    </row>
    <row r="193" spans="6:9" ht="13.8">
      <c r="F193" s="1"/>
      <c r="H193" s="1"/>
      <c r="I193" s="2"/>
    </row>
    <row r="194" spans="6:9" ht="13.8">
      <c r="F194" s="1"/>
      <c r="H194" s="1"/>
      <c r="I194" s="2"/>
    </row>
    <row r="195" spans="6:9" ht="13.8">
      <c r="F195" s="1"/>
      <c r="H195" s="1"/>
      <c r="I195" s="2"/>
    </row>
    <row r="196" spans="6:9" ht="13.8">
      <c r="F196" s="1"/>
      <c r="H196" s="1"/>
      <c r="I196" s="2"/>
    </row>
    <row r="197" spans="6:9" ht="13.8">
      <c r="F197" s="1"/>
      <c r="H197" s="1"/>
      <c r="I197" s="2"/>
    </row>
    <row r="198" spans="6:9" ht="13.8">
      <c r="F198" s="1"/>
      <c r="H198" s="1"/>
      <c r="I198" s="2"/>
    </row>
    <row r="199" spans="6:9" ht="13.8">
      <c r="F199" s="1"/>
      <c r="H199" s="1"/>
      <c r="I199" s="2"/>
    </row>
    <row r="200" spans="6:9" ht="13.8">
      <c r="F200" s="1"/>
      <c r="H200" s="1"/>
      <c r="I200" s="2"/>
    </row>
    <row r="201" spans="6:9" ht="13.8">
      <c r="F201" s="1"/>
      <c r="H201" s="1"/>
      <c r="I201" s="2"/>
    </row>
    <row r="202" spans="6:9" ht="13.8">
      <c r="F202" s="1"/>
      <c r="H202" s="1"/>
      <c r="I202" s="2"/>
    </row>
    <row r="203" spans="6:9" ht="13.8">
      <c r="F203" s="1"/>
      <c r="H203" s="1"/>
      <c r="I203" s="2"/>
    </row>
    <row r="204" spans="6:9" ht="13.8">
      <c r="F204" s="1"/>
      <c r="H204" s="1"/>
      <c r="I204" s="2"/>
    </row>
    <row r="205" spans="6:9" ht="13.8">
      <c r="F205" s="1"/>
      <c r="H205" s="1"/>
      <c r="I205" s="2"/>
    </row>
    <row r="206" spans="6:9" ht="13.8">
      <c r="F206" s="1"/>
      <c r="H206" s="1"/>
      <c r="I206" s="2"/>
    </row>
    <row r="207" spans="6:9" ht="13.8">
      <c r="F207" s="1"/>
      <c r="H207" s="1"/>
      <c r="I207" s="2"/>
    </row>
    <row r="208" spans="6:9" ht="13.8">
      <c r="F208" s="1"/>
      <c r="H208" s="1"/>
      <c r="I208" s="2"/>
    </row>
    <row r="209" spans="6:9" ht="13.8">
      <c r="F209" s="1"/>
      <c r="H209" s="1"/>
      <c r="I209" s="2"/>
    </row>
    <row r="210" spans="6:9" ht="13.8">
      <c r="F210" s="1"/>
      <c r="H210" s="1"/>
      <c r="I210" s="2"/>
    </row>
    <row r="211" spans="6:9" ht="13.8">
      <c r="F211" s="1"/>
      <c r="H211" s="1"/>
      <c r="I211" s="2"/>
    </row>
    <row r="212" spans="6:9" ht="13.8">
      <c r="F212" s="1"/>
      <c r="H212" s="1"/>
      <c r="I212" s="2"/>
    </row>
    <row r="213" spans="6:9" ht="13.8">
      <c r="F213" s="1"/>
      <c r="H213" s="1"/>
      <c r="I213" s="2"/>
    </row>
    <row r="214" spans="6:9" ht="13.8">
      <c r="F214" s="1"/>
      <c r="H214" s="1"/>
      <c r="I214" s="2"/>
    </row>
    <row r="215" spans="6:9" ht="13.8">
      <c r="F215" s="1"/>
      <c r="H215" s="1"/>
      <c r="I215" s="2"/>
    </row>
    <row r="216" spans="6:9" ht="13.8">
      <c r="F216" s="1"/>
      <c r="H216" s="1"/>
      <c r="I216" s="2"/>
    </row>
    <row r="217" spans="6:9" ht="13.8">
      <c r="F217" s="1"/>
      <c r="H217" s="1"/>
      <c r="I217" s="2"/>
    </row>
    <row r="218" spans="6:9" ht="13.8">
      <c r="F218" s="1"/>
      <c r="H218" s="1"/>
      <c r="I218" s="2"/>
    </row>
    <row r="219" spans="6:9" ht="13.8">
      <c r="F219" s="1"/>
      <c r="H219" s="1"/>
      <c r="I219" s="2"/>
    </row>
    <row r="220" spans="6:9" ht="13.8">
      <c r="F220" s="1"/>
      <c r="H220" s="1"/>
      <c r="I220" s="2"/>
    </row>
    <row r="221" spans="6:9" ht="13.8">
      <c r="F221" s="1"/>
      <c r="H221" s="1"/>
      <c r="I221" s="2"/>
    </row>
    <row r="222" spans="6:9" ht="13.8">
      <c r="F222" s="1"/>
      <c r="H222" s="1"/>
      <c r="I222" s="2"/>
    </row>
    <row r="223" spans="6:9" ht="13.8">
      <c r="F223" s="1"/>
      <c r="H223" s="1"/>
      <c r="I223" s="2"/>
    </row>
    <row r="224" spans="6:9" ht="13.8">
      <c r="F224" s="1"/>
      <c r="H224" s="1"/>
      <c r="I224" s="2"/>
    </row>
    <row r="225" spans="6:9" ht="13.8">
      <c r="F225" s="1"/>
      <c r="H225" s="1"/>
      <c r="I225" s="2"/>
    </row>
    <row r="226" spans="6:9" ht="13.8">
      <c r="F226" s="1"/>
      <c r="H226" s="1"/>
      <c r="I226" s="2"/>
    </row>
    <row r="227" spans="6:9" ht="13.8">
      <c r="F227" s="1"/>
      <c r="H227" s="1"/>
      <c r="I227" s="2"/>
    </row>
    <row r="228" spans="6:9" ht="13.8">
      <c r="F228" s="1"/>
      <c r="H228" s="1"/>
      <c r="I228" s="2"/>
    </row>
    <row r="229" spans="6:9" ht="13.8">
      <c r="F229" s="1"/>
      <c r="H229" s="1"/>
      <c r="I229" s="2"/>
    </row>
    <row r="230" spans="6:9" ht="13.8">
      <c r="F230" s="1"/>
      <c r="H230" s="1"/>
      <c r="I230" s="2"/>
    </row>
    <row r="231" spans="6:9" ht="13.8">
      <c r="F231" s="1"/>
      <c r="H231" s="1"/>
      <c r="I231" s="2"/>
    </row>
    <row r="232" spans="6:9" ht="13.8">
      <c r="F232" s="1"/>
      <c r="H232" s="1"/>
      <c r="I232" s="2"/>
    </row>
    <row r="233" spans="6:9" ht="13.8">
      <c r="F233" s="1"/>
      <c r="H233" s="1"/>
      <c r="I233" s="2"/>
    </row>
    <row r="234" spans="6:9" ht="13.8">
      <c r="F234" s="1"/>
      <c r="H234" s="1"/>
      <c r="I234" s="2"/>
    </row>
    <row r="235" spans="6:9" ht="13.8">
      <c r="F235" s="1"/>
      <c r="H235" s="1"/>
      <c r="I235" s="2"/>
    </row>
    <row r="236" spans="6:9" ht="13.8">
      <c r="F236" s="1"/>
      <c r="H236" s="1"/>
      <c r="I236" s="2"/>
    </row>
    <row r="237" spans="6:9" ht="13.8">
      <c r="F237" s="1"/>
      <c r="H237" s="1"/>
      <c r="I237" s="2"/>
    </row>
    <row r="238" spans="6:9" ht="13.8">
      <c r="F238" s="1"/>
      <c r="H238" s="1"/>
      <c r="I238" s="2"/>
    </row>
    <row r="239" spans="6:9" ht="13.8">
      <c r="F239" s="1"/>
      <c r="H239" s="1"/>
      <c r="I239" s="2"/>
    </row>
    <row r="240" spans="6:9" ht="13.8">
      <c r="F240" s="1"/>
      <c r="H240" s="1"/>
      <c r="I240" s="2"/>
    </row>
    <row r="241" spans="6:9" ht="13.8">
      <c r="F241" s="1"/>
      <c r="H241" s="1"/>
      <c r="I241" s="2"/>
    </row>
    <row r="242" spans="6:9" ht="13.8">
      <c r="F242" s="1"/>
      <c r="H242" s="1"/>
      <c r="I242" s="2"/>
    </row>
    <row r="243" spans="6:9" ht="13.8">
      <c r="F243" s="1"/>
      <c r="H243" s="1"/>
      <c r="I243" s="2"/>
    </row>
    <row r="244" spans="6:9" ht="13.8">
      <c r="F244" s="1"/>
      <c r="H244" s="1"/>
      <c r="I244" s="2"/>
    </row>
    <row r="245" spans="6:9" ht="13.8">
      <c r="F245" s="1"/>
      <c r="H245" s="1"/>
      <c r="I245" s="2"/>
    </row>
    <row r="246" spans="6:9" ht="13.8">
      <c r="F246" s="1"/>
      <c r="H246" s="1"/>
      <c r="I246" s="2"/>
    </row>
    <row r="247" spans="6:9" ht="13.8">
      <c r="F247" s="1"/>
      <c r="H247" s="1"/>
      <c r="I247" s="2"/>
    </row>
    <row r="248" spans="6:9" ht="13.8">
      <c r="F248" s="1"/>
      <c r="H248" s="1"/>
      <c r="I248" s="2"/>
    </row>
    <row r="249" spans="6:9" ht="13.8">
      <c r="F249" s="1"/>
      <c r="H249" s="1"/>
      <c r="I249" s="2"/>
    </row>
    <row r="250" spans="6:9" ht="13.8">
      <c r="F250" s="1"/>
      <c r="H250" s="1"/>
      <c r="I250" s="2"/>
    </row>
    <row r="251" spans="6:9" ht="13.8">
      <c r="F251" s="1"/>
      <c r="H251" s="1"/>
      <c r="I251" s="2"/>
    </row>
    <row r="252" spans="6:9" ht="13.8">
      <c r="F252" s="1"/>
      <c r="H252" s="1"/>
      <c r="I252" s="2"/>
    </row>
    <row r="253" spans="6:9" ht="13.8">
      <c r="F253" s="1"/>
      <c r="H253" s="1"/>
      <c r="I253" s="2"/>
    </row>
    <row r="254" spans="6:9" ht="13.8">
      <c r="F254" s="1"/>
      <c r="H254" s="1"/>
      <c r="I254" s="2"/>
    </row>
    <row r="255" spans="6:9" ht="13.8">
      <c r="F255" s="1"/>
      <c r="H255" s="1"/>
      <c r="I255" s="2"/>
    </row>
    <row r="256" spans="6:9" ht="13.8">
      <c r="F256" s="1"/>
      <c r="H256" s="1"/>
      <c r="I256" s="2"/>
    </row>
    <row r="257" spans="6:9" ht="13.8">
      <c r="F257" s="1"/>
      <c r="H257" s="1"/>
      <c r="I257" s="2"/>
    </row>
    <row r="258" spans="6:9" ht="13.8">
      <c r="F258" s="1"/>
      <c r="H258" s="1"/>
      <c r="I258" s="2"/>
    </row>
    <row r="259" spans="6:9" ht="13.8">
      <c r="F259" s="1"/>
      <c r="H259" s="1"/>
      <c r="I259" s="2"/>
    </row>
    <row r="260" spans="6:9" ht="13.8">
      <c r="F260" s="1"/>
      <c r="H260" s="1"/>
      <c r="I260" s="2"/>
    </row>
    <row r="261" spans="6:9" ht="13.8">
      <c r="F261" s="1"/>
      <c r="H261" s="1"/>
      <c r="I261" s="2"/>
    </row>
    <row r="262" spans="6:9" ht="13.8">
      <c r="F262" s="1"/>
      <c r="H262" s="1"/>
      <c r="I262" s="2"/>
    </row>
    <row r="263" spans="6:9" ht="13.8">
      <c r="F263" s="1"/>
      <c r="H263" s="1"/>
      <c r="I263" s="2"/>
    </row>
    <row r="264" spans="6:9" ht="13.8">
      <c r="F264" s="1"/>
      <c r="H264" s="1"/>
      <c r="I264" s="2"/>
    </row>
    <row r="265" spans="6:9" ht="13.8">
      <c r="F265" s="1"/>
      <c r="H265" s="1"/>
      <c r="I265" s="2"/>
    </row>
    <row r="266" spans="6:9" ht="13.8">
      <c r="F266" s="1"/>
      <c r="H266" s="1"/>
      <c r="I266" s="2"/>
    </row>
    <row r="267" spans="6:9" ht="13.8">
      <c r="F267" s="1"/>
      <c r="H267" s="1"/>
      <c r="I267" s="2"/>
    </row>
    <row r="268" spans="6:9" ht="13.8">
      <c r="F268" s="1"/>
      <c r="H268" s="1"/>
      <c r="I268" s="2"/>
    </row>
    <row r="269" spans="6:9" ht="13.8">
      <c r="F269" s="1"/>
      <c r="H269" s="1"/>
      <c r="I269" s="2"/>
    </row>
    <row r="270" spans="6:9" ht="13.8">
      <c r="F270" s="1"/>
      <c r="H270" s="1"/>
      <c r="I270" s="2"/>
    </row>
    <row r="271" spans="6:9" ht="13.8">
      <c r="F271" s="1"/>
      <c r="H271" s="1"/>
      <c r="I271" s="2"/>
    </row>
    <row r="272" spans="6:9" ht="13.8">
      <c r="F272" s="1"/>
      <c r="H272" s="1"/>
      <c r="I272" s="2"/>
    </row>
    <row r="273" spans="6:9" ht="13.8">
      <c r="F273" s="1"/>
      <c r="H273" s="1"/>
      <c r="I273" s="2"/>
    </row>
    <row r="274" spans="6:9" ht="13.8">
      <c r="F274" s="1"/>
      <c r="H274" s="1"/>
      <c r="I274" s="2"/>
    </row>
    <row r="275" spans="6:9" ht="13.8">
      <c r="F275" s="1"/>
      <c r="H275" s="1"/>
      <c r="I275" s="2"/>
    </row>
    <row r="276" spans="6:9" ht="13.8">
      <c r="F276" s="1"/>
      <c r="H276" s="1"/>
      <c r="I276" s="2"/>
    </row>
    <row r="277" spans="6:9" ht="13.8">
      <c r="F277" s="1"/>
      <c r="H277" s="1"/>
      <c r="I277" s="2"/>
    </row>
    <row r="278" spans="6:9" ht="13.8">
      <c r="F278" s="1"/>
      <c r="H278" s="1"/>
      <c r="I278" s="2"/>
    </row>
    <row r="279" spans="6:9" ht="13.8">
      <c r="F279" s="1"/>
      <c r="H279" s="1"/>
      <c r="I279" s="2"/>
    </row>
    <row r="280" spans="6:9" ht="13.8">
      <c r="F280" s="1"/>
      <c r="H280" s="1"/>
      <c r="I280" s="2"/>
    </row>
    <row r="281" spans="6:9" ht="13.8">
      <c r="F281" s="1"/>
      <c r="H281" s="1"/>
      <c r="I281" s="2"/>
    </row>
    <row r="282" spans="6:9" ht="13.8">
      <c r="F282" s="1"/>
      <c r="H282" s="1"/>
      <c r="I282" s="2"/>
    </row>
    <row r="283" spans="6:9" ht="13.8">
      <c r="F283" s="1"/>
      <c r="H283" s="1"/>
      <c r="I283" s="2"/>
    </row>
    <row r="284" spans="6:9" ht="13.8">
      <c r="F284" s="1"/>
      <c r="H284" s="1"/>
      <c r="I284" s="2"/>
    </row>
    <row r="285" spans="6:9" ht="13.8">
      <c r="F285" s="1"/>
      <c r="H285" s="1"/>
      <c r="I285" s="2"/>
    </row>
    <row r="286" spans="6:9" ht="13.8">
      <c r="F286" s="1"/>
      <c r="H286" s="1"/>
      <c r="I286" s="2"/>
    </row>
    <row r="287" spans="6:9" ht="13.8">
      <c r="F287" s="1"/>
      <c r="H287" s="1"/>
      <c r="I287" s="2"/>
    </row>
    <row r="288" spans="6:9" ht="13.8">
      <c r="F288" s="1"/>
      <c r="H288" s="1"/>
      <c r="I288" s="2"/>
    </row>
    <row r="289" spans="6:9" ht="13.8">
      <c r="F289" s="1"/>
      <c r="H289" s="1"/>
      <c r="I289" s="2"/>
    </row>
    <row r="290" spans="6:9" ht="13.8">
      <c r="F290" s="1"/>
      <c r="H290" s="1"/>
      <c r="I290" s="2"/>
    </row>
    <row r="291" spans="6:9" ht="13.8">
      <c r="F291" s="1"/>
      <c r="H291" s="1"/>
      <c r="I291" s="2"/>
    </row>
    <row r="292" spans="6:9" ht="13.8">
      <c r="F292" s="1"/>
      <c r="H292" s="1"/>
      <c r="I292" s="2"/>
    </row>
    <row r="293" spans="6:9" ht="13.8">
      <c r="F293" s="1"/>
      <c r="H293" s="1"/>
      <c r="I293" s="2"/>
    </row>
    <row r="294" spans="6:9" ht="13.8">
      <c r="F294" s="1"/>
      <c r="H294" s="1"/>
      <c r="I294" s="2"/>
    </row>
    <row r="295" spans="6:9" ht="13.8">
      <c r="F295" s="1"/>
      <c r="H295" s="1"/>
      <c r="I295" s="2"/>
    </row>
    <row r="296" spans="6:9" ht="13.8">
      <c r="F296" s="1"/>
      <c r="H296" s="1"/>
      <c r="I296" s="2"/>
    </row>
    <row r="297" spans="6:9" ht="13.8">
      <c r="F297" s="1"/>
      <c r="H297" s="1"/>
      <c r="I297" s="2"/>
    </row>
    <row r="298" spans="6:9" ht="13.8">
      <c r="F298" s="1"/>
      <c r="H298" s="1"/>
      <c r="I298" s="2"/>
    </row>
    <row r="299" spans="6:9" ht="13.8">
      <c r="F299" s="1"/>
      <c r="H299" s="1"/>
      <c r="I299" s="2"/>
    </row>
    <row r="300" spans="6:9" ht="13.8">
      <c r="F300" s="1"/>
      <c r="H300" s="1"/>
      <c r="I300" s="2"/>
    </row>
    <row r="301" spans="6:9" ht="13.8">
      <c r="F301" s="1"/>
      <c r="H301" s="1"/>
      <c r="I301" s="2"/>
    </row>
    <row r="302" spans="6:9" ht="13.8">
      <c r="F302" s="1"/>
      <c r="H302" s="1"/>
      <c r="I302" s="2"/>
    </row>
    <row r="303" spans="6:9" ht="13.8">
      <c r="F303" s="1"/>
      <c r="H303" s="1"/>
      <c r="I303" s="2"/>
    </row>
    <row r="304" spans="6:9" ht="13.8">
      <c r="F304" s="1"/>
      <c r="H304" s="1"/>
      <c r="I304" s="2"/>
    </row>
    <row r="305" spans="6:9" ht="13.8">
      <c r="F305" s="1"/>
      <c r="H305" s="1"/>
      <c r="I305" s="2"/>
    </row>
    <row r="306" spans="6:9" ht="13.8">
      <c r="F306" s="1"/>
      <c r="H306" s="1"/>
      <c r="I306" s="2"/>
    </row>
    <row r="307" spans="6:9" ht="13.8">
      <c r="F307" s="1"/>
      <c r="H307" s="1"/>
      <c r="I307" s="2"/>
    </row>
    <row r="308" spans="6:9" ht="13.8">
      <c r="F308" s="1"/>
      <c r="H308" s="1"/>
      <c r="I308" s="2"/>
    </row>
    <row r="309" spans="6:9" ht="13.8">
      <c r="F309" s="1"/>
      <c r="H309" s="1"/>
      <c r="I309" s="2"/>
    </row>
    <row r="310" spans="6:9" ht="13.8">
      <c r="F310" s="1"/>
      <c r="H310" s="1"/>
      <c r="I310" s="2"/>
    </row>
    <row r="311" spans="6:9" ht="13.8">
      <c r="F311" s="1"/>
      <c r="H311" s="1"/>
      <c r="I311" s="2"/>
    </row>
    <row r="312" spans="6:9" ht="13.8">
      <c r="F312" s="1"/>
      <c r="H312" s="1"/>
      <c r="I312" s="2"/>
    </row>
    <row r="313" spans="6:9" ht="13.8">
      <c r="F313" s="1"/>
      <c r="H313" s="1"/>
      <c r="I313" s="2"/>
    </row>
    <row r="314" spans="6:9" ht="13.8">
      <c r="F314" s="1"/>
      <c r="H314" s="1"/>
      <c r="I314" s="2"/>
    </row>
    <row r="315" spans="6:9" ht="13.8">
      <c r="F315" s="1"/>
      <c r="H315" s="1"/>
      <c r="I315" s="2"/>
    </row>
    <row r="316" spans="6:9" ht="13.8">
      <c r="F316" s="1"/>
      <c r="H316" s="1"/>
      <c r="I316" s="2"/>
    </row>
    <row r="317" spans="6:9" ht="13.8">
      <c r="F317" s="1"/>
      <c r="H317" s="1"/>
      <c r="I317" s="2"/>
    </row>
    <row r="318" spans="6:9" ht="13.8">
      <c r="F318" s="1"/>
      <c r="H318" s="1"/>
      <c r="I318" s="2"/>
    </row>
    <row r="319" spans="6:9" ht="13.8">
      <c r="F319" s="1"/>
      <c r="H319" s="1"/>
      <c r="I319" s="2"/>
    </row>
    <row r="320" spans="6:9" ht="13.8">
      <c r="F320" s="1"/>
      <c r="H320" s="1"/>
      <c r="I320" s="2"/>
    </row>
    <row r="321" spans="6:9" ht="13.8">
      <c r="F321" s="1"/>
      <c r="H321" s="1"/>
      <c r="I321" s="2"/>
    </row>
    <row r="322" spans="6:9" ht="13.8">
      <c r="F322" s="1"/>
      <c r="H322" s="1"/>
      <c r="I322" s="2"/>
    </row>
    <row r="323" spans="6:9" ht="13.8">
      <c r="F323" s="1"/>
      <c r="H323" s="1"/>
      <c r="I323" s="2"/>
    </row>
    <row r="324" spans="6:9" ht="13.8">
      <c r="F324" s="1"/>
      <c r="H324" s="1"/>
      <c r="I324" s="2"/>
    </row>
    <row r="325" spans="6:9" ht="13.8">
      <c r="F325" s="1"/>
      <c r="H325" s="1"/>
      <c r="I325" s="2"/>
    </row>
    <row r="326" spans="6:9" ht="13.8">
      <c r="F326" s="1"/>
      <c r="H326" s="1"/>
      <c r="I326" s="2"/>
    </row>
    <row r="327" spans="6:9" ht="13.8">
      <c r="F327" s="1"/>
      <c r="H327" s="1"/>
      <c r="I327" s="2"/>
    </row>
    <row r="328" spans="6:9" ht="13.8">
      <c r="F328" s="1"/>
      <c r="H328" s="1"/>
      <c r="I328" s="2"/>
    </row>
    <row r="329" spans="6:9" ht="13.8">
      <c r="F329" s="1"/>
      <c r="H329" s="1"/>
      <c r="I329" s="2"/>
    </row>
    <row r="330" spans="6:9" ht="13.8">
      <c r="F330" s="1"/>
      <c r="H330" s="1"/>
      <c r="I330" s="2"/>
    </row>
    <row r="331" spans="6:9" ht="13.8">
      <c r="F331" s="1"/>
      <c r="H331" s="1"/>
      <c r="I331" s="2"/>
    </row>
    <row r="332" spans="6:9" ht="13.8">
      <c r="F332" s="1"/>
      <c r="H332" s="1"/>
      <c r="I332" s="2"/>
    </row>
    <row r="333" spans="6:9" ht="13.8">
      <c r="F333" s="1"/>
      <c r="H333" s="1"/>
      <c r="I333" s="2"/>
    </row>
    <row r="334" spans="6:9" ht="13.8">
      <c r="F334" s="1"/>
      <c r="H334" s="1"/>
      <c r="I334" s="2"/>
    </row>
    <row r="335" spans="6:9" ht="13.8">
      <c r="F335" s="1"/>
      <c r="H335" s="1"/>
      <c r="I335" s="2"/>
    </row>
    <row r="336" spans="6:9" ht="13.8">
      <c r="F336" s="1"/>
      <c r="H336" s="1"/>
      <c r="I336" s="2"/>
    </row>
    <row r="337" spans="6:9" ht="13.8">
      <c r="F337" s="1"/>
      <c r="H337" s="1"/>
      <c r="I337" s="2"/>
    </row>
    <row r="338" spans="6:9" ht="13.8">
      <c r="F338" s="1"/>
      <c r="H338" s="1"/>
      <c r="I338" s="2"/>
    </row>
    <row r="339" spans="6:9" ht="13.8">
      <c r="F339" s="1"/>
      <c r="H339" s="1"/>
      <c r="I339" s="2"/>
    </row>
    <row r="340" spans="6:9" ht="13.8">
      <c r="F340" s="1"/>
      <c r="H340" s="1"/>
      <c r="I340" s="2"/>
    </row>
    <row r="341" spans="6:9" ht="13.8">
      <c r="F341" s="1"/>
      <c r="H341" s="1"/>
      <c r="I341" s="2"/>
    </row>
    <row r="342" spans="6:9" ht="13.8">
      <c r="F342" s="1"/>
      <c r="H342" s="1"/>
      <c r="I342" s="2"/>
    </row>
    <row r="343" spans="6:9" ht="13.8">
      <c r="F343" s="1"/>
      <c r="H343" s="1"/>
      <c r="I343" s="2"/>
    </row>
    <row r="344" spans="6:9" ht="13.8">
      <c r="F344" s="1"/>
      <c r="H344" s="1"/>
      <c r="I344" s="2"/>
    </row>
    <row r="345" spans="6:9" ht="13.8">
      <c r="F345" s="1"/>
      <c r="H345" s="1"/>
      <c r="I345" s="2"/>
    </row>
    <row r="346" spans="6:9" ht="13.8">
      <c r="F346" s="1"/>
      <c r="H346" s="1"/>
      <c r="I346" s="2"/>
    </row>
    <row r="347" spans="6:9" ht="13.8">
      <c r="F347" s="1"/>
      <c r="H347" s="1"/>
      <c r="I347" s="2"/>
    </row>
    <row r="348" spans="6:9" ht="13.8">
      <c r="F348" s="1"/>
      <c r="H348" s="1"/>
      <c r="I348" s="2"/>
    </row>
    <row r="349" spans="6:9" ht="13.8">
      <c r="F349" s="1"/>
      <c r="H349" s="1"/>
      <c r="I349" s="2"/>
    </row>
    <row r="350" spans="6:9" ht="13.8">
      <c r="F350" s="1"/>
      <c r="H350" s="1"/>
      <c r="I350" s="2"/>
    </row>
    <row r="351" spans="6:9" ht="13.8">
      <c r="F351" s="1"/>
      <c r="H351" s="1"/>
      <c r="I351" s="2"/>
    </row>
    <row r="352" spans="6:9" ht="13.8">
      <c r="F352" s="1"/>
      <c r="H352" s="1"/>
      <c r="I352" s="2"/>
    </row>
    <row r="353" spans="6:9" ht="13.8">
      <c r="F353" s="1"/>
      <c r="H353" s="1"/>
      <c r="I353" s="2"/>
    </row>
    <row r="354" spans="6:9" ht="13.8">
      <c r="F354" s="1"/>
      <c r="H354" s="1"/>
      <c r="I354" s="2"/>
    </row>
    <row r="355" spans="6:9" ht="13.8">
      <c r="F355" s="1"/>
      <c r="H355" s="1"/>
      <c r="I355" s="2"/>
    </row>
    <row r="356" spans="6:9" ht="13.8">
      <c r="F356" s="1"/>
      <c r="H356" s="1"/>
      <c r="I356" s="2"/>
    </row>
    <row r="357" spans="6:9" ht="13.8">
      <c r="F357" s="1"/>
      <c r="H357" s="1"/>
      <c r="I357" s="2"/>
    </row>
    <row r="358" spans="6:9" ht="13.8">
      <c r="F358" s="1"/>
      <c r="H358" s="1"/>
      <c r="I358" s="2"/>
    </row>
    <row r="359" spans="6:9" ht="13.8">
      <c r="F359" s="1"/>
      <c r="H359" s="1"/>
      <c r="I359" s="2"/>
    </row>
    <row r="360" spans="6:9" ht="13.8">
      <c r="F360" s="1"/>
      <c r="H360" s="1"/>
      <c r="I360" s="2"/>
    </row>
    <row r="361" spans="6:9" ht="13.8">
      <c r="F361" s="1"/>
      <c r="H361" s="1"/>
      <c r="I361" s="2"/>
    </row>
    <row r="362" spans="6:9" ht="13.8">
      <c r="F362" s="1"/>
      <c r="H362" s="1"/>
      <c r="I362" s="2"/>
    </row>
    <row r="363" spans="6:9" ht="13.8">
      <c r="F363" s="1"/>
      <c r="H363" s="1"/>
      <c r="I363" s="2"/>
    </row>
    <row r="364" spans="6:9" ht="13.8">
      <c r="F364" s="1"/>
      <c r="H364" s="1"/>
      <c r="I364" s="2"/>
    </row>
    <row r="365" spans="6:9" ht="13.8">
      <c r="F365" s="1"/>
      <c r="H365" s="1"/>
      <c r="I365" s="2"/>
    </row>
    <row r="366" spans="6:9" ht="13.8">
      <c r="F366" s="1"/>
      <c r="H366" s="1"/>
      <c r="I366" s="2"/>
    </row>
    <row r="367" spans="6:9" ht="13.8">
      <c r="F367" s="1"/>
      <c r="H367" s="1"/>
      <c r="I367" s="2"/>
    </row>
    <row r="368" spans="6:9" ht="13.8">
      <c r="F368" s="1"/>
      <c r="H368" s="1"/>
      <c r="I368" s="2"/>
    </row>
    <row r="369" spans="6:9" ht="13.8">
      <c r="F369" s="1"/>
      <c r="H369" s="1"/>
      <c r="I369" s="2"/>
    </row>
    <row r="370" spans="6:9" ht="13.8">
      <c r="F370" s="1"/>
      <c r="H370" s="1"/>
      <c r="I370" s="2"/>
    </row>
    <row r="371" spans="6:9" ht="13.8">
      <c r="F371" s="1"/>
      <c r="H371" s="1"/>
      <c r="I371" s="2"/>
    </row>
    <row r="372" spans="6:9" ht="13.8">
      <c r="F372" s="1"/>
      <c r="H372" s="1"/>
      <c r="I372" s="2"/>
    </row>
    <row r="373" spans="6:9" ht="13.8">
      <c r="F373" s="1"/>
      <c r="H373" s="1"/>
      <c r="I373" s="2"/>
    </row>
    <row r="374" spans="6:9" ht="13.8">
      <c r="F374" s="1"/>
      <c r="H374" s="1"/>
      <c r="I374" s="2"/>
    </row>
    <row r="375" spans="6:9" ht="13.8">
      <c r="F375" s="1"/>
      <c r="H375" s="1"/>
      <c r="I375" s="2"/>
    </row>
    <row r="376" spans="6:9" ht="13.8">
      <c r="F376" s="1"/>
      <c r="H376" s="1"/>
      <c r="I376" s="2"/>
    </row>
    <row r="377" spans="6:9" ht="13.8">
      <c r="F377" s="1"/>
      <c r="H377" s="1"/>
      <c r="I377" s="2"/>
    </row>
    <row r="378" spans="6:9" ht="13.8">
      <c r="F378" s="1"/>
      <c r="H378" s="1"/>
      <c r="I378" s="2"/>
    </row>
    <row r="379" spans="6:9" ht="13.8">
      <c r="F379" s="1"/>
      <c r="H379" s="1"/>
      <c r="I379" s="2"/>
    </row>
    <row r="380" spans="6:9" ht="13.8">
      <c r="F380" s="1"/>
      <c r="H380" s="1"/>
      <c r="I380" s="2"/>
    </row>
    <row r="381" spans="6:9" ht="13.8">
      <c r="F381" s="1"/>
      <c r="H381" s="1"/>
      <c r="I381" s="2"/>
    </row>
    <row r="382" spans="6:9" ht="13.8">
      <c r="F382" s="1"/>
      <c r="H382" s="1"/>
      <c r="I382" s="2"/>
    </row>
    <row r="383" spans="6:9" ht="13.8">
      <c r="F383" s="1"/>
      <c r="H383" s="1"/>
      <c r="I383" s="2"/>
    </row>
    <row r="384" spans="6:9" ht="13.8">
      <c r="F384" s="1"/>
      <c r="H384" s="1"/>
      <c r="I384" s="2"/>
    </row>
    <row r="385" spans="6:9" ht="13.8">
      <c r="F385" s="1"/>
      <c r="H385" s="1"/>
      <c r="I385" s="2"/>
    </row>
    <row r="386" spans="6:9" ht="13.8">
      <c r="F386" s="1"/>
      <c r="H386" s="1"/>
      <c r="I386" s="2"/>
    </row>
    <row r="387" spans="6:9" ht="13.8">
      <c r="F387" s="1"/>
      <c r="H387" s="1"/>
      <c r="I387" s="2"/>
    </row>
    <row r="388" spans="6:9" ht="13.8">
      <c r="F388" s="1"/>
      <c r="H388" s="1"/>
      <c r="I388" s="2"/>
    </row>
    <row r="389" spans="6:9" ht="13.8">
      <c r="F389" s="1"/>
      <c r="H389" s="1"/>
      <c r="I389" s="2"/>
    </row>
    <row r="390" spans="6:9" ht="13.8">
      <c r="F390" s="1"/>
      <c r="H390" s="1"/>
      <c r="I390" s="2"/>
    </row>
    <row r="391" spans="6:9" ht="13.8">
      <c r="F391" s="1"/>
      <c r="H391" s="1"/>
      <c r="I391" s="2"/>
    </row>
    <row r="392" spans="6:9" ht="13.8">
      <c r="F392" s="1"/>
      <c r="H392" s="1"/>
      <c r="I392" s="2"/>
    </row>
    <row r="393" spans="6:9" ht="13.8">
      <c r="F393" s="1"/>
      <c r="H393" s="1"/>
      <c r="I393" s="2"/>
    </row>
    <row r="394" spans="6:9" ht="13.8">
      <c r="F394" s="1"/>
      <c r="H394" s="1"/>
      <c r="I394" s="2"/>
    </row>
    <row r="395" spans="6:9" ht="13.8">
      <c r="F395" s="1"/>
      <c r="H395" s="1"/>
      <c r="I395" s="2"/>
    </row>
    <row r="396" spans="6:9" ht="13.8">
      <c r="F396" s="1"/>
      <c r="H396" s="1"/>
      <c r="I396" s="2"/>
    </row>
    <row r="397" spans="6:9" ht="13.8">
      <c r="F397" s="1"/>
      <c r="H397" s="1"/>
      <c r="I397" s="2"/>
    </row>
    <row r="398" spans="6:9" ht="13.8">
      <c r="F398" s="1"/>
      <c r="H398" s="1"/>
      <c r="I398" s="2"/>
    </row>
    <row r="399" spans="6:9" ht="13.8">
      <c r="F399" s="1"/>
      <c r="H399" s="1"/>
      <c r="I399" s="2"/>
    </row>
    <row r="400" spans="6:9" ht="13.8">
      <c r="F400" s="1"/>
      <c r="H400" s="1"/>
      <c r="I400" s="2"/>
    </row>
    <row r="401" spans="6:9" ht="13.8">
      <c r="F401" s="1"/>
      <c r="H401" s="1"/>
      <c r="I401" s="2"/>
    </row>
    <row r="402" spans="6:9" ht="13.8">
      <c r="F402" s="1"/>
      <c r="H402" s="1"/>
      <c r="I402" s="2"/>
    </row>
    <row r="403" spans="6:9" ht="13.8">
      <c r="F403" s="1"/>
      <c r="H403" s="1"/>
      <c r="I403" s="2"/>
    </row>
    <row r="404" spans="6:9" ht="13.8">
      <c r="F404" s="1"/>
      <c r="H404" s="1"/>
      <c r="I404" s="2"/>
    </row>
    <row r="405" spans="6:9" ht="13.8">
      <c r="F405" s="1"/>
      <c r="H405" s="1"/>
      <c r="I405" s="2"/>
    </row>
    <row r="406" spans="6:9" ht="13.8">
      <c r="F406" s="1"/>
      <c r="H406" s="1"/>
      <c r="I406" s="2"/>
    </row>
    <row r="407" spans="6:9" ht="13.8">
      <c r="F407" s="1"/>
      <c r="H407" s="1"/>
      <c r="I407" s="2"/>
    </row>
    <row r="408" spans="6:9" ht="13.8">
      <c r="F408" s="1"/>
      <c r="H408" s="1"/>
      <c r="I408" s="2"/>
    </row>
    <row r="409" spans="6:9" ht="13.8">
      <c r="F409" s="1"/>
      <c r="H409" s="1"/>
      <c r="I409" s="2"/>
    </row>
    <row r="410" spans="6:9" ht="13.8">
      <c r="F410" s="1"/>
      <c r="H410" s="1"/>
      <c r="I410" s="2"/>
    </row>
    <row r="411" spans="6:9" ht="13.8">
      <c r="F411" s="1"/>
      <c r="H411" s="1"/>
      <c r="I411" s="2"/>
    </row>
    <row r="412" spans="6:9" ht="13.8">
      <c r="F412" s="1"/>
      <c r="H412" s="1"/>
      <c r="I412" s="2"/>
    </row>
    <row r="413" spans="6:9" ht="13.8">
      <c r="F413" s="1"/>
      <c r="H413" s="1"/>
      <c r="I413" s="2"/>
    </row>
    <row r="414" spans="6:9" ht="13.8">
      <c r="F414" s="1"/>
      <c r="H414" s="1"/>
      <c r="I414" s="2"/>
    </row>
    <row r="415" spans="6:9" ht="13.8">
      <c r="F415" s="1"/>
      <c r="H415" s="1"/>
      <c r="I415" s="2"/>
    </row>
    <row r="416" spans="6:9" ht="13.8">
      <c r="F416" s="1"/>
      <c r="H416" s="1"/>
      <c r="I416" s="2"/>
    </row>
    <row r="417" spans="6:9" ht="13.8">
      <c r="F417" s="1"/>
      <c r="H417" s="1"/>
      <c r="I417" s="2"/>
    </row>
    <row r="418" spans="6:9" ht="13.8">
      <c r="F418" s="1"/>
      <c r="H418" s="1"/>
      <c r="I418" s="2"/>
    </row>
    <row r="419" spans="6:9" ht="13.8">
      <c r="F419" s="1"/>
      <c r="H419" s="1"/>
      <c r="I419" s="2"/>
    </row>
    <row r="420" spans="6:9" ht="13.8">
      <c r="F420" s="1"/>
      <c r="H420" s="1"/>
      <c r="I420" s="2"/>
    </row>
    <row r="421" spans="6:9" ht="13.8">
      <c r="F421" s="1"/>
      <c r="H421" s="1"/>
      <c r="I421" s="2"/>
    </row>
    <row r="422" spans="6:9" ht="13.8">
      <c r="F422" s="1"/>
      <c r="H422" s="1"/>
      <c r="I422" s="2"/>
    </row>
    <row r="423" spans="6:9" ht="13.8">
      <c r="F423" s="1"/>
      <c r="H423" s="1"/>
      <c r="I423" s="2"/>
    </row>
    <row r="424" spans="6:9" ht="13.8">
      <c r="F424" s="1"/>
      <c r="H424" s="1"/>
      <c r="I424" s="2"/>
    </row>
    <row r="425" spans="6:9" ht="13.8">
      <c r="F425" s="1"/>
      <c r="H425" s="1"/>
      <c r="I425" s="2"/>
    </row>
    <row r="426" spans="6:9" ht="13.8">
      <c r="F426" s="1"/>
      <c r="H426" s="1"/>
      <c r="I426" s="2"/>
    </row>
    <row r="427" spans="6:9" ht="13.8">
      <c r="F427" s="1"/>
      <c r="H427" s="1"/>
      <c r="I427" s="2"/>
    </row>
    <row r="428" spans="6:9" ht="13.8">
      <c r="F428" s="1"/>
      <c r="H428" s="1"/>
      <c r="I428" s="2"/>
    </row>
    <row r="429" spans="6:9" ht="13.8">
      <c r="F429" s="1"/>
      <c r="H429" s="1"/>
      <c r="I429" s="2"/>
    </row>
    <row r="430" spans="6:9" ht="13.8">
      <c r="F430" s="1"/>
      <c r="H430" s="1"/>
      <c r="I430" s="2"/>
    </row>
    <row r="431" spans="6:9" ht="13.8">
      <c r="F431" s="1"/>
      <c r="H431" s="1"/>
      <c r="I431" s="2"/>
    </row>
    <row r="432" spans="6:9" ht="13.8">
      <c r="F432" s="1"/>
      <c r="H432" s="1"/>
      <c r="I432" s="2"/>
    </row>
    <row r="433" spans="6:9" ht="13.8">
      <c r="F433" s="1"/>
      <c r="H433" s="1"/>
      <c r="I433" s="2"/>
    </row>
    <row r="434" spans="6:9" ht="13.8">
      <c r="F434" s="1"/>
      <c r="H434" s="1"/>
      <c r="I434" s="2"/>
    </row>
    <row r="435" spans="6:9" ht="13.8">
      <c r="F435" s="1"/>
      <c r="H435" s="1"/>
      <c r="I435" s="2"/>
    </row>
    <row r="436" spans="6:9" ht="13.8">
      <c r="F436" s="1"/>
      <c r="H436" s="1"/>
      <c r="I436" s="2"/>
    </row>
    <row r="437" spans="6:9" ht="13.8">
      <c r="F437" s="1"/>
      <c r="H437" s="1"/>
      <c r="I437" s="2"/>
    </row>
    <row r="438" spans="6:9" ht="13.8">
      <c r="F438" s="1"/>
      <c r="H438" s="1"/>
      <c r="I438" s="2"/>
    </row>
    <row r="439" spans="6:9" ht="13.8">
      <c r="F439" s="1"/>
      <c r="H439" s="1"/>
      <c r="I439" s="2"/>
    </row>
    <row r="440" spans="6:9" ht="13.8">
      <c r="F440" s="1"/>
      <c r="H440" s="1"/>
      <c r="I440" s="2"/>
    </row>
    <row r="441" spans="6:9" ht="13.8">
      <c r="F441" s="1"/>
      <c r="H441" s="1"/>
      <c r="I441" s="2"/>
    </row>
    <row r="442" spans="6:9" ht="13.8">
      <c r="F442" s="1"/>
      <c r="H442" s="1"/>
      <c r="I442" s="2"/>
    </row>
    <row r="443" spans="6:9" ht="13.8">
      <c r="F443" s="1"/>
      <c r="H443" s="1"/>
      <c r="I443" s="2"/>
    </row>
    <row r="444" spans="6:9" ht="13.8">
      <c r="F444" s="1"/>
      <c r="H444" s="1"/>
      <c r="I444" s="2"/>
    </row>
    <row r="445" spans="6:9" ht="13.8">
      <c r="F445" s="1"/>
      <c r="H445" s="1"/>
      <c r="I445" s="2"/>
    </row>
    <row r="446" spans="6:9" ht="13.8">
      <c r="F446" s="1"/>
      <c r="H446" s="1"/>
      <c r="I446" s="2"/>
    </row>
    <row r="447" spans="6:9" ht="13.8">
      <c r="F447" s="1"/>
      <c r="H447" s="1"/>
      <c r="I447" s="2"/>
    </row>
    <row r="448" spans="6:9" ht="13.8">
      <c r="F448" s="1"/>
      <c r="H448" s="1"/>
      <c r="I448" s="2"/>
    </row>
    <row r="449" spans="6:9" ht="13.8">
      <c r="F449" s="1"/>
      <c r="H449" s="1"/>
      <c r="I449" s="2"/>
    </row>
    <row r="450" spans="6:9" ht="13.8">
      <c r="F450" s="1"/>
      <c r="H450" s="1"/>
      <c r="I450" s="2"/>
    </row>
    <row r="451" spans="6:9" ht="13.8">
      <c r="F451" s="1"/>
      <c r="H451" s="1"/>
      <c r="I451" s="2"/>
    </row>
    <row r="452" spans="6:9" ht="13.8">
      <c r="F452" s="1"/>
      <c r="H452" s="1"/>
      <c r="I452" s="2"/>
    </row>
    <row r="453" spans="6:9" ht="13.8">
      <c r="F453" s="1"/>
      <c r="H453" s="1"/>
      <c r="I453" s="2"/>
    </row>
    <row r="454" spans="6:9" ht="13.8">
      <c r="F454" s="1"/>
      <c r="H454" s="1"/>
      <c r="I454" s="2"/>
    </row>
    <row r="455" spans="6:9" ht="13.8">
      <c r="F455" s="1"/>
      <c r="H455" s="1"/>
      <c r="I455" s="2"/>
    </row>
    <row r="456" spans="6:9" ht="13.8">
      <c r="F456" s="1"/>
      <c r="H456" s="1"/>
      <c r="I456" s="2"/>
    </row>
    <row r="457" spans="6:9" ht="13.8">
      <c r="F457" s="1"/>
      <c r="H457" s="1"/>
      <c r="I457" s="2"/>
    </row>
    <row r="458" spans="6:9" ht="13.8">
      <c r="F458" s="1"/>
      <c r="H458" s="1"/>
      <c r="I458" s="2"/>
    </row>
    <row r="459" spans="6:9" ht="13.8">
      <c r="F459" s="1"/>
      <c r="H459" s="1"/>
      <c r="I459" s="2"/>
    </row>
    <row r="460" spans="6:9" ht="13.8">
      <c r="F460" s="1"/>
      <c r="H460" s="1"/>
      <c r="I460" s="2"/>
    </row>
    <row r="461" spans="6:9" ht="13.8">
      <c r="F461" s="1"/>
      <c r="H461" s="1"/>
      <c r="I461" s="2"/>
    </row>
    <row r="462" spans="6:9" ht="13.8">
      <c r="F462" s="1"/>
      <c r="H462" s="1"/>
      <c r="I462" s="2"/>
    </row>
    <row r="463" spans="6:9" ht="13.8">
      <c r="F463" s="1"/>
      <c r="H463" s="1"/>
      <c r="I463" s="2"/>
    </row>
    <row r="464" spans="6:9" ht="13.8">
      <c r="F464" s="1"/>
      <c r="H464" s="1"/>
      <c r="I464" s="2"/>
    </row>
    <row r="465" spans="6:9" ht="13.8">
      <c r="F465" s="1"/>
      <c r="H465" s="1"/>
      <c r="I465" s="2"/>
    </row>
    <row r="466" spans="6:9" ht="13.8">
      <c r="F466" s="1"/>
      <c r="H466" s="1"/>
      <c r="I466" s="2"/>
    </row>
    <row r="467" spans="6:9" ht="13.8">
      <c r="F467" s="1"/>
      <c r="H467" s="1"/>
      <c r="I467" s="2"/>
    </row>
    <row r="468" spans="6:9" ht="13.8">
      <c r="F468" s="1"/>
      <c r="H468" s="1"/>
      <c r="I468" s="2"/>
    </row>
    <row r="469" spans="6:9" ht="13.8">
      <c r="F469" s="1"/>
      <c r="H469" s="1"/>
      <c r="I469" s="2"/>
    </row>
    <row r="470" spans="6:9" ht="13.8">
      <c r="F470" s="1"/>
      <c r="H470" s="1"/>
      <c r="I470" s="2"/>
    </row>
    <row r="471" spans="6:9" ht="13.8">
      <c r="F471" s="1"/>
      <c r="H471" s="1"/>
      <c r="I471" s="2"/>
    </row>
    <row r="472" spans="6:9" ht="13.8">
      <c r="F472" s="1"/>
      <c r="H472" s="1"/>
      <c r="I472" s="2"/>
    </row>
    <row r="473" spans="6:9" ht="13.8">
      <c r="F473" s="1"/>
      <c r="H473" s="1"/>
      <c r="I473" s="2"/>
    </row>
    <row r="474" spans="6:9" ht="13.8">
      <c r="F474" s="1"/>
      <c r="H474" s="1"/>
      <c r="I474" s="2"/>
    </row>
    <row r="475" spans="6:9" ht="13.8">
      <c r="F475" s="1"/>
      <c r="H475" s="1"/>
      <c r="I475" s="2"/>
    </row>
    <row r="476" spans="6:9" ht="13.8">
      <c r="F476" s="1"/>
      <c r="H476" s="1"/>
      <c r="I476" s="2"/>
    </row>
    <row r="477" spans="6:9" ht="13.8">
      <c r="F477" s="1"/>
      <c r="H477" s="1"/>
      <c r="I477" s="2"/>
    </row>
    <row r="478" spans="6:9" ht="13.8">
      <c r="F478" s="1"/>
      <c r="H478" s="1"/>
      <c r="I478" s="2"/>
    </row>
    <row r="479" spans="6:9" ht="13.8">
      <c r="F479" s="1"/>
      <c r="H479" s="1"/>
      <c r="I479" s="2"/>
    </row>
    <row r="480" spans="6:9" ht="13.8">
      <c r="F480" s="1"/>
      <c r="H480" s="1"/>
      <c r="I480" s="2"/>
    </row>
    <row r="481" spans="6:9" ht="13.8">
      <c r="F481" s="1"/>
      <c r="H481" s="1"/>
      <c r="I481" s="2"/>
    </row>
    <row r="482" spans="6:9" ht="13.8">
      <c r="F482" s="1"/>
      <c r="H482" s="1"/>
      <c r="I482" s="2"/>
    </row>
    <row r="483" spans="6:9" ht="13.8">
      <c r="F483" s="1"/>
      <c r="H483" s="1"/>
      <c r="I483" s="2"/>
    </row>
    <row r="484" spans="6:9" ht="13.8">
      <c r="F484" s="1"/>
      <c r="H484" s="1"/>
      <c r="I484" s="2"/>
    </row>
    <row r="485" spans="6:9" ht="13.8">
      <c r="F485" s="1"/>
      <c r="H485" s="1"/>
      <c r="I485" s="2"/>
    </row>
    <row r="486" spans="6:9" ht="13.8">
      <c r="F486" s="1"/>
      <c r="H486" s="1"/>
      <c r="I486" s="2"/>
    </row>
    <row r="487" spans="6:9" ht="13.8">
      <c r="F487" s="1"/>
      <c r="H487" s="1"/>
      <c r="I487" s="2"/>
    </row>
    <row r="488" spans="6:9" ht="13.8">
      <c r="F488" s="1"/>
      <c r="H488" s="1"/>
      <c r="I488" s="2"/>
    </row>
    <row r="489" spans="6:9" ht="13.8">
      <c r="F489" s="1"/>
      <c r="H489" s="1"/>
      <c r="I489" s="2"/>
    </row>
    <row r="490" spans="6:9" ht="13.8">
      <c r="F490" s="1"/>
      <c r="H490" s="1"/>
      <c r="I490" s="2"/>
    </row>
    <row r="491" spans="6:9" ht="13.8">
      <c r="F491" s="1"/>
      <c r="H491" s="1"/>
      <c r="I491" s="2"/>
    </row>
    <row r="492" spans="6:9" ht="13.8">
      <c r="F492" s="1"/>
      <c r="H492" s="1"/>
      <c r="I492" s="2"/>
    </row>
    <row r="493" spans="6:9" ht="13.8">
      <c r="F493" s="1"/>
      <c r="H493" s="1"/>
      <c r="I493" s="2"/>
    </row>
    <row r="494" spans="6:9" ht="13.8">
      <c r="F494" s="1"/>
      <c r="H494" s="1"/>
      <c r="I494" s="2"/>
    </row>
    <row r="495" spans="6:9" ht="13.8">
      <c r="F495" s="1"/>
      <c r="H495" s="1"/>
      <c r="I495" s="2"/>
    </row>
    <row r="496" spans="6:9" ht="13.8">
      <c r="F496" s="1"/>
      <c r="H496" s="1"/>
      <c r="I496" s="2"/>
    </row>
    <row r="497" spans="6:9" ht="13.8">
      <c r="F497" s="1"/>
      <c r="H497" s="1"/>
      <c r="I497" s="2"/>
    </row>
    <row r="498" spans="6:9" ht="13.8">
      <c r="F498" s="1"/>
      <c r="H498" s="1"/>
      <c r="I498" s="2"/>
    </row>
    <row r="499" spans="6:9" ht="13.8">
      <c r="F499" s="1"/>
      <c r="H499" s="1"/>
      <c r="I499" s="2"/>
    </row>
    <row r="500" spans="6:9" ht="13.8">
      <c r="F500" s="1"/>
      <c r="H500" s="1"/>
      <c r="I500" s="2"/>
    </row>
    <row r="501" spans="6:9" ht="13.8">
      <c r="F501" s="1"/>
      <c r="H501" s="1"/>
      <c r="I501" s="2"/>
    </row>
    <row r="502" spans="6:9" ht="13.8">
      <c r="F502" s="1"/>
      <c r="H502" s="1"/>
      <c r="I502" s="2"/>
    </row>
    <row r="503" spans="6:9" ht="13.8">
      <c r="F503" s="1"/>
      <c r="H503" s="1"/>
      <c r="I503" s="2"/>
    </row>
    <row r="504" spans="6:9" ht="13.8">
      <c r="F504" s="1"/>
      <c r="H504" s="1"/>
      <c r="I504" s="2"/>
    </row>
    <row r="505" spans="6:9" ht="13.8">
      <c r="F505" s="1"/>
      <c r="H505" s="1"/>
      <c r="I505" s="2"/>
    </row>
    <row r="506" spans="6:9" ht="13.8">
      <c r="F506" s="1"/>
      <c r="H506" s="1"/>
      <c r="I506" s="2"/>
    </row>
    <row r="507" spans="6:9" ht="13.8">
      <c r="F507" s="1"/>
      <c r="H507" s="1"/>
      <c r="I507" s="2"/>
    </row>
    <row r="508" spans="6:9" ht="13.8">
      <c r="F508" s="1"/>
      <c r="H508" s="1"/>
      <c r="I508" s="2"/>
    </row>
    <row r="509" spans="6:9" ht="13.8">
      <c r="F509" s="1"/>
      <c r="H509" s="1"/>
      <c r="I509" s="2"/>
    </row>
    <row r="510" spans="6:9" ht="13.8">
      <c r="F510" s="1"/>
      <c r="H510" s="1"/>
      <c r="I510" s="2"/>
    </row>
    <row r="511" spans="6:9" ht="13.8">
      <c r="F511" s="1"/>
      <c r="H511" s="1"/>
      <c r="I511" s="2"/>
    </row>
    <row r="512" spans="6:9" ht="13.8">
      <c r="F512" s="1"/>
      <c r="H512" s="1"/>
      <c r="I512" s="2"/>
    </row>
    <row r="513" spans="6:9" ht="13.8">
      <c r="F513" s="1"/>
      <c r="H513" s="1"/>
      <c r="I513" s="2"/>
    </row>
    <row r="514" spans="6:9" ht="13.8">
      <c r="F514" s="1"/>
      <c r="H514" s="1"/>
      <c r="I514" s="2"/>
    </row>
    <row r="515" spans="6:9" ht="13.8">
      <c r="F515" s="1"/>
      <c r="H515" s="1"/>
      <c r="I515" s="2"/>
    </row>
    <row r="516" spans="6:9" ht="13.8">
      <c r="F516" s="1"/>
      <c r="H516" s="1"/>
      <c r="I516" s="2"/>
    </row>
    <row r="517" spans="6:9" ht="13.8">
      <c r="F517" s="1"/>
      <c r="H517" s="1"/>
      <c r="I517" s="2"/>
    </row>
    <row r="518" spans="6:9" ht="13.8">
      <c r="F518" s="1"/>
      <c r="H518" s="1"/>
      <c r="I518" s="2"/>
    </row>
    <row r="519" spans="6:9" ht="13.8">
      <c r="F519" s="1"/>
      <c r="H519" s="1"/>
      <c r="I519" s="2"/>
    </row>
    <row r="520" spans="6:9" ht="13.8">
      <c r="F520" s="1"/>
      <c r="H520" s="1"/>
      <c r="I520" s="2"/>
    </row>
    <row r="521" spans="6:9" ht="13.8">
      <c r="F521" s="1"/>
      <c r="H521" s="1"/>
      <c r="I521" s="2"/>
    </row>
    <row r="522" spans="6:9" ht="13.8">
      <c r="F522" s="1"/>
      <c r="H522" s="1"/>
      <c r="I522" s="2"/>
    </row>
    <row r="523" spans="6:9" ht="13.8">
      <c r="F523" s="1"/>
      <c r="H523" s="1"/>
      <c r="I523" s="2"/>
    </row>
    <row r="524" spans="6:9" ht="13.8">
      <c r="F524" s="1"/>
      <c r="H524" s="1"/>
      <c r="I524" s="2"/>
    </row>
    <row r="525" spans="6:9" ht="13.8">
      <c r="F525" s="1"/>
      <c r="H525" s="1"/>
      <c r="I525" s="2"/>
    </row>
    <row r="526" spans="6:9" ht="13.8">
      <c r="F526" s="1"/>
      <c r="H526" s="1"/>
      <c r="I526" s="2"/>
    </row>
    <row r="527" spans="6:9" ht="13.8">
      <c r="F527" s="1"/>
      <c r="H527" s="1"/>
      <c r="I527" s="2"/>
    </row>
    <row r="528" spans="6:9" ht="13.8">
      <c r="F528" s="1"/>
      <c r="H528" s="1"/>
      <c r="I528" s="2"/>
    </row>
    <row r="529" spans="6:9" ht="13.8">
      <c r="F529" s="1"/>
      <c r="H529" s="1"/>
      <c r="I529" s="2"/>
    </row>
    <row r="530" spans="6:9" ht="13.8">
      <c r="F530" s="1"/>
      <c r="H530" s="1"/>
      <c r="I530" s="2"/>
    </row>
    <row r="531" spans="6:9" ht="13.8">
      <c r="F531" s="1"/>
      <c r="H531" s="1"/>
      <c r="I531" s="2"/>
    </row>
    <row r="532" spans="6:9" ht="13.8">
      <c r="F532" s="1"/>
      <c r="H532" s="1"/>
      <c r="I532" s="2"/>
    </row>
    <row r="533" spans="6:9" ht="13.8">
      <c r="F533" s="1"/>
      <c r="H533" s="1"/>
      <c r="I533" s="2"/>
    </row>
    <row r="534" spans="6:9" ht="13.8">
      <c r="F534" s="1"/>
      <c r="H534" s="1"/>
      <c r="I534" s="2"/>
    </row>
    <row r="535" spans="6:9" ht="13.8">
      <c r="F535" s="1"/>
      <c r="H535" s="1"/>
      <c r="I535" s="2"/>
    </row>
    <row r="536" spans="6:9" ht="13.8">
      <c r="F536" s="1"/>
      <c r="H536" s="1"/>
      <c r="I536" s="2"/>
    </row>
    <row r="537" spans="6:9" ht="13.8">
      <c r="F537" s="1"/>
      <c r="H537" s="1"/>
      <c r="I537" s="2"/>
    </row>
    <row r="538" spans="6:9" ht="13.8">
      <c r="F538" s="1"/>
      <c r="H538" s="1"/>
      <c r="I538" s="2"/>
    </row>
    <row r="539" spans="6:9" ht="13.8">
      <c r="F539" s="1"/>
      <c r="H539" s="1"/>
      <c r="I539" s="2"/>
    </row>
    <row r="540" spans="6:9" ht="13.8">
      <c r="F540" s="1"/>
      <c r="H540" s="1"/>
      <c r="I540" s="2"/>
    </row>
    <row r="541" spans="6:9" ht="13.8">
      <c r="F541" s="1"/>
      <c r="H541" s="1"/>
      <c r="I541" s="2"/>
    </row>
    <row r="542" spans="6:9" ht="13.8">
      <c r="F542" s="1"/>
      <c r="H542" s="1"/>
      <c r="I542" s="2"/>
    </row>
    <row r="543" spans="6:9" ht="13.8">
      <c r="F543" s="1"/>
      <c r="H543" s="1"/>
      <c r="I543" s="2"/>
    </row>
    <row r="544" spans="6:9" ht="13.8">
      <c r="F544" s="1"/>
      <c r="H544" s="1"/>
      <c r="I544" s="2"/>
    </row>
    <row r="545" spans="6:9" ht="13.8">
      <c r="F545" s="1"/>
      <c r="H545" s="1"/>
      <c r="I545" s="2"/>
    </row>
    <row r="546" spans="6:9" ht="13.8">
      <c r="F546" s="1"/>
      <c r="H546" s="1"/>
      <c r="I546" s="2"/>
    </row>
    <row r="547" spans="6:9" ht="13.8">
      <c r="F547" s="1"/>
      <c r="H547" s="1"/>
      <c r="I547" s="2"/>
    </row>
    <row r="548" spans="6:9" ht="13.8">
      <c r="F548" s="1"/>
      <c r="H548" s="1"/>
      <c r="I548" s="2"/>
    </row>
    <row r="549" spans="6:9" ht="13.8">
      <c r="F549" s="1"/>
      <c r="H549" s="1"/>
      <c r="I549" s="2"/>
    </row>
    <row r="550" spans="6:9" ht="13.8">
      <c r="F550" s="1"/>
      <c r="H550" s="1"/>
      <c r="I550" s="2"/>
    </row>
    <row r="551" spans="6:9" ht="13.8">
      <c r="F551" s="1"/>
      <c r="H551" s="1"/>
      <c r="I551" s="2"/>
    </row>
    <row r="552" spans="6:9" ht="13.8">
      <c r="F552" s="1"/>
      <c r="H552" s="1"/>
      <c r="I552" s="2"/>
    </row>
    <row r="553" spans="6:9" ht="13.8">
      <c r="F553" s="1"/>
      <c r="H553" s="1"/>
      <c r="I553" s="2"/>
    </row>
    <row r="554" spans="6:9" ht="13.8">
      <c r="F554" s="1"/>
      <c r="H554" s="1"/>
      <c r="I554" s="2"/>
    </row>
    <row r="555" spans="6:9" ht="13.8">
      <c r="F555" s="1"/>
      <c r="H555" s="1"/>
      <c r="I555" s="2"/>
    </row>
    <row r="556" spans="6:9" ht="13.8">
      <c r="F556" s="1"/>
      <c r="H556" s="1"/>
      <c r="I556" s="2"/>
    </row>
    <row r="557" spans="6:9" ht="13.8">
      <c r="F557" s="1"/>
      <c r="H557" s="1"/>
      <c r="I557" s="2"/>
    </row>
    <row r="558" spans="6:9" ht="13.8">
      <c r="F558" s="1"/>
      <c r="H558" s="1"/>
      <c r="I558" s="2"/>
    </row>
    <row r="559" spans="6:9" ht="13.8">
      <c r="F559" s="1"/>
      <c r="H559" s="1"/>
      <c r="I559" s="2"/>
    </row>
    <row r="560" spans="6:9" ht="13.8">
      <c r="F560" s="1"/>
      <c r="H560" s="1"/>
      <c r="I560" s="2"/>
    </row>
    <row r="561" spans="6:9" ht="13.8">
      <c r="F561" s="1"/>
      <c r="H561" s="1"/>
      <c r="I561" s="2"/>
    </row>
    <row r="562" spans="6:9" ht="13.8">
      <c r="F562" s="1"/>
      <c r="H562" s="1"/>
      <c r="I562" s="2"/>
    </row>
    <row r="563" spans="6:9" ht="13.8">
      <c r="F563" s="1"/>
      <c r="H563" s="1"/>
      <c r="I563" s="2"/>
    </row>
    <row r="564" spans="6:9" ht="13.8">
      <c r="F564" s="1"/>
      <c r="H564" s="1"/>
      <c r="I564" s="2"/>
    </row>
    <row r="565" spans="6:9" ht="13.8">
      <c r="F565" s="1"/>
      <c r="H565" s="1"/>
      <c r="I565" s="2"/>
    </row>
    <row r="566" spans="6:9" ht="13.8">
      <c r="F566" s="1"/>
      <c r="H566" s="1"/>
      <c r="I566" s="2"/>
    </row>
    <row r="567" spans="6:9" ht="13.8">
      <c r="F567" s="1"/>
      <c r="H567" s="1"/>
      <c r="I567" s="2"/>
    </row>
    <row r="568" spans="6:9" ht="13.8">
      <c r="F568" s="1"/>
      <c r="H568" s="1"/>
      <c r="I568" s="2"/>
    </row>
    <row r="569" spans="6:9" ht="13.8">
      <c r="F569" s="1"/>
      <c r="H569" s="1"/>
      <c r="I569" s="2"/>
    </row>
    <row r="570" spans="6:9" ht="13.8">
      <c r="F570" s="1"/>
      <c r="H570" s="1"/>
      <c r="I570" s="2"/>
    </row>
    <row r="571" spans="6:9" ht="13.8">
      <c r="F571" s="1"/>
      <c r="H571" s="1"/>
      <c r="I571" s="2"/>
    </row>
    <row r="572" spans="6:9" ht="13.8">
      <c r="F572" s="1"/>
      <c r="H572" s="1"/>
      <c r="I572" s="2"/>
    </row>
    <row r="573" spans="6:9" ht="13.8">
      <c r="F573" s="1"/>
      <c r="H573" s="1"/>
      <c r="I573" s="2"/>
    </row>
    <row r="574" spans="6:9" ht="13.8">
      <c r="F574" s="1"/>
      <c r="H574" s="1"/>
      <c r="I574" s="2"/>
    </row>
    <row r="575" spans="6:9" ht="13.8">
      <c r="F575" s="1"/>
      <c r="H575" s="1"/>
      <c r="I575" s="2"/>
    </row>
    <row r="576" spans="6:9" ht="13.8">
      <c r="F576" s="1"/>
      <c r="H576" s="1"/>
      <c r="I576" s="2"/>
    </row>
    <row r="577" spans="6:9" ht="13.8">
      <c r="F577" s="1"/>
      <c r="H577" s="1"/>
      <c r="I577" s="2"/>
    </row>
    <row r="578" spans="6:9" ht="13.8">
      <c r="F578" s="1"/>
      <c r="H578" s="1"/>
      <c r="I578" s="2"/>
    </row>
    <row r="579" spans="6:9" ht="13.8">
      <c r="F579" s="1"/>
      <c r="H579" s="1"/>
      <c r="I579" s="2"/>
    </row>
    <row r="580" spans="6:9" ht="13.8">
      <c r="F580" s="1"/>
      <c r="H580" s="1"/>
      <c r="I580" s="2"/>
    </row>
    <row r="581" spans="6:9" ht="13.8">
      <c r="F581" s="1"/>
      <c r="H581" s="1"/>
      <c r="I581" s="2"/>
    </row>
    <row r="582" spans="6:9" ht="13.8">
      <c r="F582" s="1"/>
      <c r="H582" s="1"/>
      <c r="I582" s="2"/>
    </row>
    <row r="583" spans="6:9" ht="13.8">
      <c r="F583" s="1"/>
      <c r="H583" s="1"/>
      <c r="I583" s="2"/>
    </row>
    <row r="584" spans="6:9" ht="13.8">
      <c r="F584" s="1"/>
      <c r="H584" s="1"/>
      <c r="I584" s="2"/>
    </row>
    <row r="585" spans="6:9" ht="13.8">
      <c r="F585" s="1"/>
      <c r="H585" s="1"/>
      <c r="I585" s="2"/>
    </row>
    <row r="586" spans="6:9" ht="13.8">
      <c r="F586" s="1"/>
      <c r="H586" s="1"/>
      <c r="I586" s="2"/>
    </row>
    <row r="587" spans="6:9" ht="13.8">
      <c r="F587" s="1"/>
      <c r="H587" s="1"/>
      <c r="I587" s="2"/>
    </row>
    <row r="588" spans="6:9" ht="13.8">
      <c r="F588" s="1"/>
      <c r="H588" s="1"/>
      <c r="I588" s="2"/>
    </row>
    <row r="589" spans="6:9" ht="13.8">
      <c r="F589" s="1"/>
      <c r="H589" s="1"/>
      <c r="I589" s="2"/>
    </row>
    <row r="590" spans="6:9" ht="13.8">
      <c r="F590" s="1"/>
      <c r="H590" s="1"/>
      <c r="I590" s="2"/>
    </row>
    <row r="591" spans="6:9" ht="13.8">
      <c r="F591" s="1"/>
      <c r="H591" s="1"/>
      <c r="I591" s="2"/>
    </row>
    <row r="592" spans="6:9" ht="13.8">
      <c r="F592" s="1"/>
      <c r="H592" s="1"/>
      <c r="I592" s="2"/>
    </row>
    <row r="593" spans="6:9" ht="13.8">
      <c r="F593" s="1"/>
      <c r="H593" s="1"/>
      <c r="I593" s="2"/>
    </row>
    <row r="594" spans="6:9" ht="13.8">
      <c r="F594" s="1"/>
      <c r="H594" s="1"/>
      <c r="I594" s="2"/>
    </row>
    <row r="595" spans="6:9" ht="13.8">
      <c r="F595" s="1"/>
      <c r="H595" s="1"/>
      <c r="I595" s="2"/>
    </row>
    <row r="596" spans="6:9" ht="13.8">
      <c r="F596" s="1"/>
      <c r="H596" s="1"/>
      <c r="I596" s="2"/>
    </row>
    <row r="597" spans="6:9" ht="13.8">
      <c r="F597" s="1"/>
      <c r="H597" s="1"/>
      <c r="I597" s="2"/>
    </row>
    <row r="598" spans="6:9" ht="13.8">
      <c r="F598" s="1"/>
      <c r="H598" s="1"/>
      <c r="I598" s="2"/>
    </row>
    <row r="599" spans="6:9" ht="13.8">
      <c r="F599" s="1"/>
      <c r="H599" s="1"/>
      <c r="I599" s="2"/>
    </row>
    <row r="600" spans="6:9" ht="13.8">
      <c r="F600" s="1"/>
      <c r="H600" s="1"/>
      <c r="I600" s="2"/>
    </row>
    <row r="601" spans="6:9" ht="13.8">
      <c r="F601" s="1"/>
      <c r="H601" s="1"/>
      <c r="I601" s="2"/>
    </row>
    <row r="602" spans="6:9" ht="13.8">
      <c r="F602" s="1"/>
      <c r="H602" s="1"/>
      <c r="I602" s="2"/>
    </row>
    <row r="603" spans="6:9" ht="13.8">
      <c r="F603" s="1"/>
      <c r="H603" s="1"/>
      <c r="I603" s="2"/>
    </row>
    <row r="604" spans="6:9" ht="13.8">
      <c r="F604" s="1"/>
      <c r="H604" s="1"/>
      <c r="I604" s="2"/>
    </row>
    <row r="605" spans="6:9" ht="13.8">
      <c r="F605" s="1"/>
      <c r="H605" s="1"/>
      <c r="I605" s="2"/>
    </row>
    <row r="606" spans="6:9" ht="13.8">
      <c r="F606" s="1"/>
      <c r="H606" s="1"/>
      <c r="I606" s="2"/>
    </row>
    <row r="607" spans="6:9" ht="13.8">
      <c r="F607" s="1"/>
      <c r="H607" s="1"/>
      <c r="I607" s="2"/>
    </row>
    <row r="608" spans="6:9" ht="13.8">
      <c r="F608" s="1"/>
      <c r="H608" s="1"/>
      <c r="I608" s="2"/>
    </row>
    <row r="609" spans="6:9" ht="13.8">
      <c r="F609" s="1"/>
      <c r="H609" s="1"/>
      <c r="I609" s="2"/>
    </row>
    <row r="610" spans="6:9" ht="13.8">
      <c r="F610" s="1"/>
      <c r="H610" s="1"/>
      <c r="I610" s="2"/>
    </row>
    <row r="611" spans="6:9" ht="13.8">
      <c r="F611" s="1"/>
      <c r="H611" s="1"/>
      <c r="I611" s="2"/>
    </row>
    <row r="612" spans="6:9" ht="13.8">
      <c r="F612" s="1"/>
      <c r="H612" s="1"/>
      <c r="I612" s="2"/>
    </row>
    <row r="613" spans="6:9" ht="13.8">
      <c r="F613" s="1"/>
      <c r="H613" s="1"/>
      <c r="I613" s="2"/>
    </row>
    <row r="614" spans="6:9" ht="13.8">
      <c r="F614" s="1"/>
      <c r="H614" s="1"/>
      <c r="I614" s="2"/>
    </row>
    <row r="615" spans="6:9" ht="13.8">
      <c r="F615" s="1"/>
      <c r="H615" s="1"/>
      <c r="I615" s="2"/>
    </row>
    <row r="616" spans="6:9" ht="13.8">
      <c r="F616" s="1"/>
      <c r="H616" s="1"/>
      <c r="I616" s="2"/>
    </row>
    <row r="617" spans="6:9" ht="13.8">
      <c r="F617" s="1"/>
      <c r="H617" s="1"/>
      <c r="I617" s="2"/>
    </row>
    <row r="618" spans="6:9" ht="13.8">
      <c r="F618" s="1"/>
      <c r="H618" s="1"/>
      <c r="I618" s="2"/>
    </row>
    <row r="619" spans="6:9" ht="13.8">
      <c r="F619" s="1"/>
      <c r="H619" s="1"/>
      <c r="I619" s="2"/>
    </row>
    <row r="620" spans="6:9" ht="13.8">
      <c r="F620" s="1"/>
      <c r="H620" s="1"/>
      <c r="I620" s="2"/>
    </row>
    <row r="621" spans="6:9" ht="13.8">
      <c r="F621" s="1"/>
      <c r="H621" s="1"/>
      <c r="I621" s="2"/>
    </row>
    <row r="622" spans="6:9" ht="13.8">
      <c r="F622" s="1"/>
      <c r="H622" s="1"/>
      <c r="I622" s="2"/>
    </row>
    <row r="623" spans="6:9" ht="13.8">
      <c r="F623" s="1"/>
      <c r="H623" s="1"/>
      <c r="I623" s="2"/>
    </row>
    <row r="624" spans="6:9" ht="13.8">
      <c r="F624" s="1"/>
      <c r="H624" s="1"/>
      <c r="I624" s="2"/>
    </row>
    <row r="625" spans="6:9" ht="13.8">
      <c r="F625" s="1"/>
      <c r="H625" s="1"/>
      <c r="I625" s="2"/>
    </row>
    <row r="626" spans="6:9" ht="13.8">
      <c r="F626" s="1"/>
      <c r="H626" s="1"/>
      <c r="I626" s="2"/>
    </row>
    <row r="627" spans="6:9" ht="13.8">
      <c r="F627" s="1"/>
      <c r="H627" s="1"/>
      <c r="I627" s="2"/>
    </row>
    <row r="628" spans="6:9" ht="13.8">
      <c r="F628" s="1"/>
      <c r="H628" s="1"/>
      <c r="I628" s="2"/>
    </row>
    <row r="629" spans="6:9" ht="13.8">
      <c r="F629" s="1"/>
      <c r="H629" s="1"/>
      <c r="I629" s="2"/>
    </row>
    <row r="630" spans="6:9" ht="13.8">
      <c r="F630" s="1"/>
      <c r="H630" s="1"/>
      <c r="I630" s="2"/>
    </row>
    <row r="631" spans="6:9" ht="13.8">
      <c r="F631" s="1"/>
      <c r="H631" s="1"/>
      <c r="I631" s="2"/>
    </row>
    <row r="632" spans="6:9" ht="13.8">
      <c r="F632" s="1"/>
      <c r="H632" s="1"/>
      <c r="I632" s="2"/>
    </row>
    <row r="633" spans="6:9" ht="13.8">
      <c r="F633" s="1"/>
      <c r="H633" s="1"/>
      <c r="I633" s="2"/>
    </row>
    <row r="634" spans="6:9" ht="13.8">
      <c r="F634" s="1"/>
      <c r="H634" s="1"/>
      <c r="I634" s="2"/>
    </row>
    <row r="635" spans="6:9" ht="13.8">
      <c r="F635" s="1"/>
      <c r="H635" s="1"/>
      <c r="I635" s="2"/>
    </row>
    <row r="636" spans="6:9" ht="13.8">
      <c r="F636" s="1"/>
      <c r="H636" s="1"/>
      <c r="I636" s="2"/>
    </row>
    <row r="637" spans="6:9" ht="13.8">
      <c r="F637" s="1"/>
      <c r="H637" s="1"/>
      <c r="I637" s="2"/>
    </row>
    <row r="638" spans="6:9" ht="13.8">
      <c r="F638" s="1"/>
      <c r="H638" s="1"/>
      <c r="I638" s="2"/>
    </row>
    <row r="639" spans="6:9" ht="13.8">
      <c r="F639" s="1"/>
      <c r="H639" s="1"/>
      <c r="I639" s="2"/>
    </row>
    <row r="640" spans="6:9" ht="13.8">
      <c r="F640" s="1"/>
      <c r="H640" s="1"/>
      <c r="I640" s="2"/>
    </row>
    <row r="641" spans="6:9" ht="13.8">
      <c r="F641" s="1"/>
      <c r="H641" s="1"/>
      <c r="I641" s="2"/>
    </row>
    <row r="642" spans="6:9" ht="13.8">
      <c r="F642" s="1"/>
      <c r="H642" s="1"/>
      <c r="I642" s="2"/>
    </row>
    <row r="643" spans="6:9" ht="13.8">
      <c r="F643" s="1"/>
      <c r="H643" s="1"/>
      <c r="I643" s="2"/>
    </row>
    <row r="644" spans="6:9" ht="13.8">
      <c r="F644" s="1"/>
      <c r="H644" s="1"/>
      <c r="I644" s="2"/>
    </row>
    <row r="645" spans="6:9" ht="13.8">
      <c r="F645" s="1"/>
      <c r="H645" s="1"/>
      <c r="I645" s="2"/>
    </row>
    <row r="646" spans="6:9" ht="13.8">
      <c r="F646" s="1"/>
      <c r="H646" s="1"/>
      <c r="I646" s="2"/>
    </row>
    <row r="647" spans="6:9" ht="13.8">
      <c r="F647" s="1"/>
      <c r="H647" s="1"/>
      <c r="I647" s="2"/>
    </row>
    <row r="648" spans="6:9" ht="13.8">
      <c r="F648" s="1"/>
      <c r="H648" s="1"/>
      <c r="I648" s="2"/>
    </row>
    <row r="649" spans="6:9" ht="13.8">
      <c r="F649" s="1"/>
      <c r="H649" s="1"/>
      <c r="I649" s="2"/>
    </row>
    <row r="650" spans="6:9" ht="13.8">
      <c r="F650" s="1"/>
      <c r="H650" s="1"/>
      <c r="I650" s="2"/>
    </row>
    <row r="651" spans="6:9" ht="13.8">
      <c r="F651" s="1"/>
      <c r="H651" s="1"/>
      <c r="I651" s="2"/>
    </row>
    <row r="652" spans="6:9" ht="13.8">
      <c r="F652" s="1"/>
      <c r="H652" s="1"/>
      <c r="I652" s="2"/>
    </row>
    <row r="653" spans="6:9" ht="13.8">
      <c r="F653" s="1"/>
      <c r="H653" s="1"/>
      <c r="I653" s="2"/>
    </row>
    <row r="654" spans="6:9" ht="13.8">
      <c r="F654" s="1"/>
      <c r="H654" s="1"/>
      <c r="I654" s="2"/>
    </row>
    <row r="655" spans="6:9" ht="13.8">
      <c r="F655" s="1"/>
      <c r="H655" s="1"/>
      <c r="I655" s="2"/>
    </row>
    <row r="656" spans="6:9" ht="13.8">
      <c r="F656" s="1"/>
      <c r="H656" s="1"/>
      <c r="I656" s="2"/>
    </row>
    <row r="657" spans="6:9" ht="13.8">
      <c r="F657" s="1"/>
      <c r="H657" s="1"/>
      <c r="I657" s="2"/>
    </row>
    <row r="658" spans="6:9" ht="13.8">
      <c r="F658" s="1"/>
      <c r="H658" s="1"/>
      <c r="I658" s="2"/>
    </row>
    <row r="659" spans="6:9" ht="13.8">
      <c r="F659" s="1"/>
      <c r="H659" s="1"/>
      <c r="I659" s="2"/>
    </row>
    <row r="660" spans="6:9" ht="13.8">
      <c r="F660" s="1"/>
      <c r="H660" s="1"/>
      <c r="I660" s="2"/>
    </row>
    <row r="661" spans="6:9" ht="13.8">
      <c r="F661" s="1"/>
      <c r="H661" s="1"/>
      <c r="I661" s="2"/>
    </row>
    <row r="662" spans="6:9" ht="13.8">
      <c r="F662" s="1"/>
      <c r="H662" s="1"/>
      <c r="I662" s="2"/>
    </row>
    <row r="663" spans="6:9" ht="13.8">
      <c r="F663" s="1"/>
      <c r="H663" s="1"/>
      <c r="I663" s="2"/>
    </row>
    <row r="664" spans="6:9" ht="13.8">
      <c r="F664" s="1"/>
      <c r="H664" s="1"/>
      <c r="I664" s="2"/>
    </row>
    <row r="665" spans="6:9" ht="13.8">
      <c r="F665" s="1"/>
      <c r="H665" s="1"/>
      <c r="I665" s="2"/>
    </row>
    <row r="666" spans="6:9" ht="13.8">
      <c r="F666" s="1"/>
      <c r="H666" s="1"/>
      <c r="I666" s="2"/>
    </row>
    <row r="667" spans="6:9" ht="13.8">
      <c r="F667" s="1"/>
      <c r="H667" s="1"/>
      <c r="I667" s="2"/>
    </row>
    <row r="668" spans="6:9" ht="13.8">
      <c r="F668" s="1"/>
      <c r="H668" s="1"/>
      <c r="I668" s="2"/>
    </row>
    <row r="669" spans="6:9" ht="13.8">
      <c r="F669" s="1"/>
      <c r="H669" s="1"/>
      <c r="I669" s="2"/>
    </row>
    <row r="670" spans="6:9" ht="13.8">
      <c r="F670" s="1"/>
      <c r="H670" s="1"/>
      <c r="I670" s="2"/>
    </row>
    <row r="671" spans="6:9" ht="13.8">
      <c r="F671" s="1"/>
      <c r="H671" s="1"/>
      <c r="I671" s="2"/>
    </row>
    <row r="672" spans="6:9" ht="13.8">
      <c r="F672" s="1"/>
      <c r="H672" s="1"/>
      <c r="I672" s="2"/>
    </row>
    <row r="673" spans="6:9" ht="13.8">
      <c r="F673" s="1"/>
      <c r="H673" s="1"/>
      <c r="I673" s="2"/>
    </row>
    <row r="674" spans="6:9" ht="13.8">
      <c r="F674" s="1"/>
      <c r="H674" s="1"/>
      <c r="I674" s="2"/>
    </row>
    <row r="675" spans="6:9" ht="13.8">
      <c r="F675" s="1"/>
      <c r="H675" s="1"/>
      <c r="I675" s="2"/>
    </row>
    <row r="676" spans="6:9" ht="13.8">
      <c r="F676" s="1"/>
      <c r="H676" s="1"/>
      <c r="I676" s="2"/>
    </row>
    <row r="677" spans="6:9" ht="13.8">
      <c r="F677" s="1"/>
      <c r="H677" s="1"/>
      <c r="I677" s="2"/>
    </row>
    <row r="678" spans="6:9" ht="13.8">
      <c r="F678" s="1"/>
      <c r="H678" s="1"/>
      <c r="I678" s="2"/>
    </row>
    <row r="679" spans="6:9" ht="13.8">
      <c r="F679" s="1"/>
      <c r="H679" s="1"/>
      <c r="I679" s="2"/>
    </row>
    <row r="680" spans="6:9" ht="13.8">
      <c r="F680" s="1"/>
      <c r="H680" s="1"/>
      <c r="I680" s="2"/>
    </row>
    <row r="681" spans="6:9" ht="13.8">
      <c r="F681" s="1"/>
      <c r="H681" s="1"/>
      <c r="I681" s="2"/>
    </row>
    <row r="682" spans="6:9" ht="13.8">
      <c r="F682" s="1"/>
      <c r="H682" s="1"/>
      <c r="I682" s="2"/>
    </row>
    <row r="683" spans="6:9" ht="13.8">
      <c r="F683" s="1"/>
      <c r="H683" s="1"/>
      <c r="I683" s="2"/>
    </row>
    <row r="684" spans="6:9" ht="13.8">
      <c r="F684" s="1"/>
      <c r="H684" s="1"/>
      <c r="I684" s="2"/>
    </row>
    <row r="685" spans="6:9" ht="13.8">
      <c r="F685" s="1"/>
      <c r="H685" s="1"/>
      <c r="I685" s="2"/>
    </row>
    <row r="686" spans="6:9" ht="13.8">
      <c r="F686" s="1"/>
      <c r="H686" s="1"/>
      <c r="I686" s="2"/>
    </row>
    <row r="687" spans="6:9" ht="13.8">
      <c r="F687" s="1"/>
      <c r="H687" s="1"/>
      <c r="I687" s="2"/>
    </row>
    <row r="688" spans="6:9" ht="13.8">
      <c r="F688" s="1"/>
      <c r="H688" s="1"/>
      <c r="I688" s="2"/>
    </row>
    <row r="689" spans="6:9" ht="13.8">
      <c r="F689" s="1"/>
      <c r="H689" s="1"/>
      <c r="I689" s="2"/>
    </row>
    <row r="690" spans="6:9" ht="13.8">
      <c r="F690" s="1"/>
      <c r="H690" s="1"/>
      <c r="I690" s="2"/>
    </row>
    <row r="691" spans="6:9" ht="13.8">
      <c r="F691" s="1"/>
      <c r="H691" s="1"/>
      <c r="I691" s="2"/>
    </row>
    <row r="692" spans="6:9" ht="13.8">
      <c r="F692" s="1"/>
      <c r="H692" s="1"/>
      <c r="I692" s="2"/>
    </row>
    <row r="693" spans="6:9" ht="13.8">
      <c r="F693" s="1"/>
      <c r="H693" s="1"/>
      <c r="I693" s="2"/>
    </row>
    <row r="694" spans="6:9" ht="13.8">
      <c r="F694" s="1"/>
      <c r="H694" s="1"/>
      <c r="I694" s="2"/>
    </row>
    <row r="695" spans="6:9" ht="13.8">
      <c r="F695" s="1"/>
      <c r="H695" s="1"/>
      <c r="I695" s="2"/>
    </row>
    <row r="696" spans="6:9" ht="13.8">
      <c r="F696" s="1"/>
      <c r="H696" s="1"/>
      <c r="I696" s="2"/>
    </row>
    <row r="697" spans="6:9" ht="13.8">
      <c r="F697" s="1"/>
      <c r="H697" s="1"/>
      <c r="I697" s="2"/>
    </row>
    <row r="698" spans="6:9" ht="13.8">
      <c r="F698" s="1"/>
      <c r="H698" s="1"/>
      <c r="I698" s="2"/>
    </row>
    <row r="699" spans="6:9" ht="13.8">
      <c r="F699" s="1"/>
      <c r="H699" s="1"/>
      <c r="I699" s="2"/>
    </row>
    <row r="700" spans="6:9" ht="13.8">
      <c r="F700" s="1"/>
      <c r="H700" s="1"/>
      <c r="I700" s="2"/>
    </row>
    <row r="701" spans="6:9" ht="13.8">
      <c r="F701" s="1"/>
      <c r="H701" s="1"/>
      <c r="I701" s="2"/>
    </row>
    <row r="702" spans="6:9" ht="13.8">
      <c r="F702" s="1"/>
      <c r="H702" s="1"/>
      <c r="I702" s="2"/>
    </row>
    <row r="703" spans="6:9" ht="13.8">
      <c r="F703" s="1"/>
      <c r="H703" s="1"/>
      <c r="I703" s="2"/>
    </row>
    <row r="704" spans="6:9" ht="13.8">
      <c r="F704" s="1"/>
      <c r="H704" s="1"/>
      <c r="I704" s="2"/>
    </row>
    <row r="705" spans="6:9" ht="13.8">
      <c r="F705" s="1"/>
      <c r="H705" s="1"/>
      <c r="I705" s="2"/>
    </row>
    <row r="706" spans="6:9" ht="13.8">
      <c r="F706" s="1"/>
      <c r="H706" s="1"/>
      <c r="I706" s="2"/>
    </row>
    <row r="707" spans="6:9" ht="13.8">
      <c r="F707" s="1"/>
      <c r="H707" s="1"/>
      <c r="I707" s="2"/>
    </row>
    <row r="708" spans="6:9" ht="13.8">
      <c r="F708" s="1"/>
      <c r="H708" s="1"/>
      <c r="I708" s="2"/>
    </row>
    <row r="709" spans="6:9" ht="13.8">
      <c r="F709" s="1"/>
      <c r="H709" s="1"/>
      <c r="I709" s="2"/>
    </row>
    <row r="710" spans="6:9" ht="13.8">
      <c r="F710" s="1"/>
      <c r="H710" s="1"/>
      <c r="I710" s="2"/>
    </row>
    <row r="711" spans="6:9" ht="13.8">
      <c r="F711" s="1"/>
      <c r="H711" s="1"/>
      <c r="I711" s="2"/>
    </row>
    <row r="712" spans="6:9" ht="13.8">
      <c r="F712" s="1"/>
      <c r="H712" s="1"/>
      <c r="I712" s="2"/>
    </row>
    <row r="713" spans="6:9" ht="13.8">
      <c r="F713" s="1"/>
      <c r="H713" s="1"/>
      <c r="I713" s="2"/>
    </row>
    <row r="714" spans="6:9" ht="13.8">
      <c r="F714" s="1"/>
      <c r="H714" s="1"/>
      <c r="I714" s="2"/>
    </row>
    <row r="715" spans="6:9" ht="13.8">
      <c r="F715" s="1"/>
      <c r="H715" s="1"/>
      <c r="I715" s="2"/>
    </row>
    <row r="716" spans="6:9" ht="13.8">
      <c r="F716" s="1"/>
      <c r="H716" s="1"/>
      <c r="I716" s="2"/>
    </row>
    <row r="717" spans="6:9" ht="13.8">
      <c r="F717" s="1"/>
      <c r="H717" s="1"/>
      <c r="I717" s="2"/>
    </row>
    <row r="718" spans="6:9" ht="13.8">
      <c r="F718" s="1"/>
      <c r="H718" s="1"/>
      <c r="I718" s="2"/>
    </row>
    <row r="719" spans="6:9" ht="13.8">
      <c r="F719" s="1"/>
      <c r="H719" s="1"/>
      <c r="I719" s="2"/>
    </row>
    <row r="720" spans="6:9" ht="13.8">
      <c r="F720" s="1"/>
      <c r="H720" s="1"/>
      <c r="I720" s="2"/>
    </row>
    <row r="721" spans="6:9" ht="13.8">
      <c r="F721" s="1"/>
      <c r="H721" s="1"/>
      <c r="I721" s="2"/>
    </row>
    <row r="722" spans="6:9" ht="13.8">
      <c r="F722" s="1"/>
      <c r="H722" s="1"/>
      <c r="I722" s="2"/>
    </row>
    <row r="723" spans="6:9" ht="13.8">
      <c r="F723" s="1"/>
      <c r="H723" s="1"/>
      <c r="I723" s="2"/>
    </row>
    <row r="724" spans="6:9" ht="13.8">
      <c r="F724" s="1"/>
      <c r="H724" s="1"/>
      <c r="I724" s="2"/>
    </row>
    <row r="725" spans="6:9" ht="13.8">
      <c r="F725" s="1"/>
      <c r="H725" s="1"/>
      <c r="I725" s="2"/>
    </row>
    <row r="726" spans="6:9" ht="13.8">
      <c r="F726" s="1"/>
      <c r="H726" s="1"/>
      <c r="I726" s="2"/>
    </row>
    <row r="727" spans="6:9" ht="13.8">
      <c r="F727" s="1"/>
      <c r="H727" s="1"/>
      <c r="I727" s="2"/>
    </row>
    <row r="728" spans="6:9" ht="13.8">
      <c r="F728" s="1"/>
      <c r="H728" s="1"/>
      <c r="I728" s="2"/>
    </row>
    <row r="729" spans="6:9" ht="13.8">
      <c r="F729" s="1"/>
      <c r="H729" s="1"/>
      <c r="I729" s="2"/>
    </row>
    <row r="730" spans="6:9" ht="13.8">
      <c r="F730" s="1"/>
      <c r="H730" s="1"/>
      <c r="I730" s="2"/>
    </row>
    <row r="731" spans="6:9" ht="13.8">
      <c r="F731" s="1"/>
      <c r="H731" s="1"/>
      <c r="I731" s="2"/>
    </row>
    <row r="732" spans="6:9" ht="13.8">
      <c r="F732" s="1"/>
      <c r="H732" s="1"/>
      <c r="I732" s="2"/>
    </row>
    <row r="733" spans="6:9" ht="13.8">
      <c r="F733" s="1"/>
      <c r="H733" s="1"/>
      <c r="I733" s="2"/>
    </row>
    <row r="734" spans="6:9" ht="13.8">
      <c r="F734" s="1"/>
      <c r="H734" s="1"/>
      <c r="I734" s="2"/>
    </row>
    <row r="735" spans="6:9" ht="13.8">
      <c r="F735" s="1"/>
      <c r="H735" s="1"/>
      <c r="I735" s="2"/>
    </row>
    <row r="736" spans="6:9" ht="13.8">
      <c r="F736" s="1"/>
      <c r="H736" s="1"/>
      <c r="I736" s="2"/>
    </row>
    <row r="737" spans="6:9" ht="13.8">
      <c r="F737" s="1"/>
      <c r="H737" s="1"/>
      <c r="I737" s="2"/>
    </row>
    <row r="738" spans="6:9" ht="13.8">
      <c r="F738" s="1"/>
      <c r="H738" s="1"/>
      <c r="I738" s="2"/>
    </row>
    <row r="739" spans="6:9" ht="13.8">
      <c r="F739" s="1"/>
      <c r="H739" s="1"/>
      <c r="I739" s="2"/>
    </row>
    <row r="740" spans="6:9" ht="13.8">
      <c r="F740" s="1"/>
      <c r="H740" s="1"/>
      <c r="I740" s="2"/>
    </row>
    <row r="741" spans="6:9" ht="13.8">
      <c r="F741" s="1"/>
      <c r="H741" s="1"/>
      <c r="I741" s="2"/>
    </row>
    <row r="742" spans="6:9" ht="13.8">
      <c r="F742" s="1"/>
      <c r="H742" s="1"/>
      <c r="I742" s="2"/>
    </row>
    <row r="743" spans="6:9" ht="13.8">
      <c r="F743" s="1"/>
      <c r="H743" s="1"/>
      <c r="I743" s="2"/>
    </row>
    <row r="744" spans="6:9" ht="13.8">
      <c r="F744" s="1"/>
      <c r="H744" s="1"/>
      <c r="I744" s="2"/>
    </row>
    <row r="745" spans="6:9" ht="13.8">
      <c r="F745" s="1"/>
      <c r="H745" s="1"/>
      <c r="I745" s="2"/>
    </row>
    <row r="746" spans="6:9" ht="13.8">
      <c r="F746" s="1"/>
      <c r="H746" s="1"/>
      <c r="I746" s="2"/>
    </row>
    <row r="747" spans="6:9" ht="13.8">
      <c r="F747" s="1"/>
      <c r="H747" s="1"/>
      <c r="I747" s="2"/>
    </row>
    <row r="748" spans="6:9" ht="13.8">
      <c r="F748" s="1"/>
      <c r="H748" s="1"/>
      <c r="I748" s="2"/>
    </row>
    <row r="749" spans="6:9" ht="13.8">
      <c r="F749" s="1"/>
      <c r="H749" s="1"/>
      <c r="I749" s="2"/>
    </row>
    <row r="750" spans="6:9" ht="13.8">
      <c r="F750" s="1"/>
      <c r="H750" s="1"/>
      <c r="I750" s="2"/>
    </row>
    <row r="751" spans="6:9" ht="13.8">
      <c r="F751" s="1"/>
      <c r="H751" s="1"/>
      <c r="I751" s="2"/>
    </row>
    <row r="752" spans="6:9" ht="13.8">
      <c r="F752" s="1"/>
      <c r="H752" s="1"/>
      <c r="I752" s="2"/>
    </row>
    <row r="753" spans="6:9" ht="13.8">
      <c r="F753" s="1"/>
      <c r="H753" s="1"/>
      <c r="I753" s="2"/>
    </row>
    <row r="754" spans="6:9" ht="13.8">
      <c r="F754" s="1"/>
      <c r="H754" s="1"/>
      <c r="I754" s="2"/>
    </row>
    <row r="755" spans="6:9" ht="13.8">
      <c r="F755" s="1"/>
      <c r="H755" s="1"/>
      <c r="I755" s="2"/>
    </row>
    <row r="756" spans="6:9" ht="13.8">
      <c r="F756" s="1"/>
      <c r="H756" s="1"/>
      <c r="I756" s="2"/>
    </row>
    <row r="757" spans="6:9" ht="13.8">
      <c r="F757" s="1"/>
      <c r="H757" s="1"/>
      <c r="I757" s="2"/>
    </row>
    <row r="758" spans="6:9" ht="13.8">
      <c r="F758" s="1"/>
      <c r="H758" s="1"/>
      <c r="I758" s="2"/>
    </row>
    <row r="759" spans="6:9" ht="13.8">
      <c r="F759" s="1"/>
      <c r="H759" s="1"/>
      <c r="I759" s="2"/>
    </row>
    <row r="760" spans="6:9" ht="13.8">
      <c r="F760" s="1"/>
      <c r="H760" s="1"/>
      <c r="I760" s="2"/>
    </row>
    <row r="761" spans="6:9" ht="13.8">
      <c r="F761" s="1"/>
      <c r="H761" s="1"/>
      <c r="I761" s="2"/>
    </row>
    <row r="762" spans="6:9" ht="13.8">
      <c r="F762" s="1"/>
      <c r="H762" s="1"/>
      <c r="I762" s="2"/>
    </row>
    <row r="763" spans="6:9" ht="13.8">
      <c r="F763" s="1"/>
      <c r="H763" s="1"/>
      <c r="I763" s="2"/>
    </row>
    <row r="764" spans="6:9" ht="13.8">
      <c r="F764" s="1"/>
      <c r="H764" s="1"/>
      <c r="I764" s="2"/>
    </row>
    <row r="765" spans="6:9" ht="13.8">
      <c r="F765" s="1"/>
      <c r="H765" s="1"/>
      <c r="I765" s="2"/>
    </row>
    <row r="766" spans="6:9" ht="13.8">
      <c r="F766" s="1"/>
      <c r="H766" s="1"/>
      <c r="I766" s="2"/>
    </row>
    <row r="767" spans="6:9" ht="13.8">
      <c r="F767" s="1"/>
      <c r="H767" s="1"/>
      <c r="I767" s="2"/>
    </row>
    <row r="768" spans="6:9" ht="13.8">
      <c r="F768" s="1"/>
      <c r="H768" s="1"/>
      <c r="I768" s="2"/>
    </row>
    <row r="769" spans="6:9" ht="13.8">
      <c r="F769" s="1"/>
      <c r="H769" s="1"/>
      <c r="I769" s="2"/>
    </row>
    <row r="770" spans="6:9" ht="13.8">
      <c r="F770" s="1"/>
      <c r="H770" s="1"/>
      <c r="I770" s="2"/>
    </row>
    <row r="771" spans="6:9" ht="13.8">
      <c r="F771" s="1"/>
      <c r="H771" s="1"/>
      <c r="I771" s="2"/>
    </row>
    <row r="772" spans="6:9" ht="13.8">
      <c r="F772" s="1"/>
      <c r="H772" s="1"/>
      <c r="I772" s="2"/>
    </row>
    <row r="773" spans="6:9" ht="13.8">
      <c r="F773" s="1"/>
      <c r="H773" s="1"/>
      <c r="I773" s="2"/>
    </row>
    <row r="774" spans="6:9" ht="13.8">
      <c r="F774" s="1"/>
      <c r="H774" s="1"/>
      <c r="I774" s="2"/>
    </row>
    <row r="775" spans="6:9" ht="13.8">
      <c r="F775" s="1"/>
      <c r="H775" s="1"/>
      <c r="I775" s="2"/>
    </row>
    <row r="776" spans="6:9" ht="13.8">
      <c r="F776" s="1"/>
      <c r="H776" s="1"/>
      <c r="I776" s="2"/>
    </row>
    <row r="777" spans="6:9" ht="13.8">
      <c r="F777" s="1"/>
      <c r="H777" s="1"/>
      <c r="I777" s="2"/>
    </row>
    <row r="778" spans="6:9" ht="13.8">
      <c r="F778" s="1"/>
      <c r="H778" s="1"/>
      <c r="I778" s="2"/>
    </row>
    <row r="779" spans="6:9" ht="13.8">
      <c r="F779" s="1"/>
      <c r="H779" s="1"/>
      <c r="I779" s="2"/>
    </row>
    <row r="780" spans="6:9" ht="13.8">
      <c r="F780" s="1"/>
      <c r="H780" s="1"/>
      <c r="I780" s="2"/>
    </row>
    <row r="781" spans="6:9" ht="13.8">
      <c r="F781" s="1"/>
      <c r="H781" s="1"/>
      <c r="I781" s="2"/>
    </row>
    <row r="782" spans="6:9" ht="13.8">
      <c r="F782" s="1"/>
      <c r="H782" s="1"/>
      <c r="I782" s="2"/>
    </row>
    <row r="783" spans="6:9" ht="13.8">
      <c r="F783" s="1"/>
      <c r="H783" s="1"/>
      <c r="I783" s="2"/>
    </row>
    <row r="784" spans="6:9" ht="13.8">
      <c r="F784" s="1"/>
      <c r="H784" s="1"/>
      <c r="I784" s="2"/>
    </row>
    <row r="785" spans="6:9" ht="13.8">
      <c r="F785" s="1"/>
      <c r="H785" s="1"/>
      <c r="I785" s="2"/>
    </row>
    <row r="786" spans="6:9" ht="13.8">
      <c r="F786" s="1"/>
      <c r="H786" s="1"/>
      <c r="I786" s="2"/>
    </row>
    <row r="787" spans="6:9" ht="13.8">
      <c r="F787" s="1"/>
      <c r="H787" s="1"/>
      <c r="I787" s="2"/>
    </row>
    <row r="788" spans="6:9" ht="13.8">
      <c r="F788" s="1"/>
      <c r="H788" s="1"/>
      <c r="I788" s="2"/>
    </row>
    <row r="789" spans="6:9" ht="13.8">
      <c r="F789" s="1"/>
      <c r="H789" s="1"/>
      <c r="I789" s="2"/>
    </row>
    <row r="790" spans="6:9" ht="13.8">
      <c r="F790" s="1"/>
      <c r="H790" s="1"/>
      <c r="I790" s="2"/>
    </row>
    <row r="791" spans="6:9" ht="13.8">
      <c r="F791" s="1"/>
      <c r="H791" s="1"/>
      <c r="I791" s="2"/>
    </row>
    <row r="792" spans="6:9" ht="13.8">
      <c r="F792" s="1"/>
      <c r="H792" s="1"/>
      <c r="I792" s="2"/>
    </row>
    <row r="793" spans="6:9" ht="13.8">
      <c r="F793" s="1"/>
      <c r="H793" s="1"/>
      <c r="I793" s="2"/>
    </row>
    <row r="794" spans="6:9" ht="13.8">
      <c r="F794" s="1"/>
      <c r="H794" s="1"/>
      <c r="I794" s="2"/>
    </row>
    <row r="795" spans="6:9" ht="13.8">
      <c r="F795" s="1"/>
      <c r="H795" s="1"/>
      <c r="I795" s="2"/>
    </row>
    <row r="796" spans="6:9" ht="13.8">
      <c r="F796" s="1"/>
      <c r="H796" s="1"/>
      <c r="I796" s="2"/>
    </row>
    <row r="797" spans="6:9" ht="13.8">
      <c r="F797" s="1"/>
      <c r="H797" s="1"/>
      <c r="I797" s="2"/>
    </row>
    <row r="798" spans="6:9" ht="13.8">
      <c r="F798" s="1"/>
      <c r="H798" s="1"/>
      <c r="I798" s="2"/>
    </row>
    <row r="799" spans="6:9" ht="13.8">
      <c r="F799" s="1"/>
      <c r="H799" s="1"/>
      <c r="I799" s="2"/>
    </row>
    <row r="800" spans="6:9" ht="13.8">
      <c r="F800" s="1"/>
      <c r="H800" s="1"/>
      <c r="I800" s="2"/>
    </row>
    <row r="801" spans="6:9" ht="13.8">
      <c r="F801" s="1"/>
      <c r="H801" s="1"/>
      <c r="I801" s="2"/>
    </row>
    <row r="802" spans="6:9" ht="13.8">
      <c r="F802" s="1"/>
      <c r="H802" s="1"/>
      <c r="I802" s="2"/>
    </row>
    <row r="803" spans="6:9" ht="13.8">
      <c r="F803" s="1"/>
      <c r="H803" s="1"/>
      <c r="I803" s="2"/>
    </row>
    <row r="804" spans="6:9" ht="13.8">
      <c r="F804" s="1"/>
      <c r="H804" s="1"/>
      <c r="I804" s="2"/>
    </row>
    <row r="805" spans="6:9" ht="13.8">
      <c r="F805" s="1"/>
      <c r="H805" s="1"/>
      <c r="I805" s="2"/>
    </row>
    <row r="806" spans="6:9" ht="13.8">
      <c r="F806" s="1"/>
      <c r="H806" s="1"/>
      <c r="I806" s="2"/>
    </row>
    <row r="807" spans="6:9" ht="13.8">
      <c r="F807" s="1"/>
      <c r="H807" s="1"/>
      <c r="I807" s="2"/>
    </row>
    <row r="808" spans="6:9" ht="13.8">
      <c r="F808" s="1"/>
      <c r="H808" s="1"/>
      <c r="I808" s="2"/>
    </row>
    <row r="809" spans="6:9" ht="13.8">
      <c r="F809" s="1"/>
      <c r="H809" s="1"/>
      <c r="I809" s="2"/>
    </row>
    <row r="810" spans="6:9" ht="13.8">
      <c r="F810" s="1"/>
      <c r="H810" s="1"/>
      <c r="I810" s="2"/>
    </row>
    <row r="811" spans="6:9" ht="13.8">
      <c r="F811" s="1"/>
      <c r="H811" s="1"/>
      <c r="I811" s="2"/>
    </row>
    <row r="812" spans="6:9" ht="13.8">
      <c r="F812" s="1"/>
      <c r="H812" s="1"/>
      <c r="I812" s="2"/>
    </row>
    <row r="813" spans="6:9" ht="13.8">
      <c r="F813" s="1"/>
      <c r="H813" s="1"/>
      <c r="I813" s="2"/>
    </row>
    <row r="814" spans="6:9" ht="13.8">
      <c r="F814" s="1"/>
      <c r="H814" s="1"/>
      <c r="I814" s="2"/>
    </row>
    <row r="815" spans="6:9" ht="13.8">
      <c r="F815" s="1"/>
      <c r="H815" s="1"/>
      <c r="I815" s="2"/>
    </row>
    <row r="816" spans="6:9" ht="13.8">
      <c r="F816" s="1"/>
      <c r="H816" s="1"/>
      <c r="I816" s="2"/>
    </row>
    <row r="817" spans="6:9" ht="13.8">
      <c r="F817" s="1"/>
      <c r="H817" s="1"/>
      <c r="I817" s="2"/>
    </row>
    <row r="818" spans="6:9" ht="13.8">
      <c r="F818" s="1"/>
      <c r="H818" s="1"/>
      <c r="I818" s="2"/>
    </row>
    <row r="819" spans="6:9" ht="13.8">
      <c r="F819" s="1"/>
      <c r="H819" s="1"/>
      <c r="I819" s="2"/>
    </row>
    <row r="820" spans="6:9" ht="13.8">
      <c r="F820" s="1"/>
      <c r="H820" s="1"/>
      <c r="I820" s="2"/>
    </row>
    <row r="821" spans="6:9" ht="13.8">
      <c r="F821" s="1"/>
      <c r="H821" s="1"/>
      <c r="I821" s="2"/>
    </row>
    <row r="822" spans="6:9" ht="13.8">
      <c r="F822" s="1"/>
      <c r="H822" s="1"/>
      <c r="I822" s="2"/>
    </row>
    <row r="823" spans="6:9" ht="13.8">
      <c r="F823" s="1"/>
      <c r="H823" s="1"/>
      <c r="I823" s="2"/>
    </row>
    <row r="824" spans="6:9" ht="13.8">
      <c r="F824" s="1"/>
      <c r="H824" s="1"/>
      <c r="I824" s="2"/>
    </row>
    <row r="825" spans="6:9" ht="13.8">
      <c r="F825" s="1"/>
      <c r="H825" s="1"/>
      <c r="I825" s="2"/>
    </row>
    <row r="826" spans="6:9" ht="13.8">
      <c r="F826" s="1"/>
      <c r="H826" s="1"/>
      <c r="I826" s="2"/>
    </row>
    <row r="827" spans="6:9" ht="13.8">
      <c r="F827" s="1"/>
      <c r="H827" s="1"/>
      <c r="I827" s="2"/>
    </row>
    <row r="828" spans="6:9" ht="13.8">
      <c r="F828" s="1"/>
      <c r="H828" s="1"/>
      <c r="I828" s="2"/>
    </row>
    <row r="829" spans="6:9" ht="13.8">
      <c r="F829" s="1"/>
      <c r="H829" s="1"/>
      <c r="I829" s="2"/>
    </row>
    <row r="830" spans="6:9" ht="13.8">
      <c r="F830" s="1"/>
      <c r="H830" s="1"/>
      <c r="I830" s="2"/>
    </row>
    <row r="831" spans="6:9" ht="13.8">
      <c r="F831" s="1"/>
      <c r="H831" s="1"/>
      <c r="I831" s="2"/>
    </row>
    <row r="832" spans="6:9" ht="13.8">
      <c r="F832" s="1"/>
      <c r="H832" s="1"/>
      <c r="I832" s="2"/>
    </row>
    <row r="833" spans="6:9" ht="13.8">
      <c r="F833" s="1"/>
      <c r="H833" s="1"/>
      <c r="I833" s="2"/>
    </row>
    <row r="834" spans="6:9" ht="13.8">
      <c r="F834" s="1"/>
      <c r="H834" s="1"/>
      <c r="I834" s="2"/>
    </row>
    <row r="835" spans="6:9" ht="13.8">
      <c r="F835" s="1"/>
      <c r="H835" s="1"/>
      <c r="I835" s="2"/>
    </row>
    <row r="836" spans="6:9" ht="13.8">
      <c r="F836" s="1"/>
      <c r="H836" s="1"/>
      <c r="I836" s="2"/>
    </row>
    <row r="837" spans="6:9" ht="13.8">
      <c r="F837" s="1"/>
      <c r="H837" s="1"/>
      <c r="I837" s="2"/>
    </row>
    <row r="838" spans="6:9" ht="13.8">
      <c r="F838" s="1"/>
      <c r="H838" s="1"/>
      <c r="I838" s="2"/>
    </row>
    <row r="839" spans="6:9" ht="13.8">
      <c r="F839" s="1"/>
      <c r="H839" s="1"/>
      <c r="I839" s="2"/>
    </row>
    <row r="840" spans="6:9" ht="13.8">
      <c r="F840" s="1"/>
      <c r="H840" s="1"/>
      <c r="I840" s="2"/>
    </row>
    <row r="841" spans="6:9" ht="13.8">
      <c r="F841" s="1"/>
      <c r="H841" s="1"/>
      <c r="I841" s="2"/>
    </row>
    <row r="842" spans="6:9" ht="13.8">
      <c r="F842" s="1"/>
      <c r="H842" s="1"/>
      <c r="I842" s="2"/>
    </row>
    <row r="843" spans="6:9" ht="13.8">
      <c r="F843" s="1"/>
      <c r="H843" s="1"/>
      <c r="I843" s="2"/>
    </row>
    <row r="844" spans="6:9" ht="13.8">
      <c r="F844" s="1"/>
      <c r="H844" s="1"/>
      <c r="I844" s="2"/>
    </row>
    <row r="845" spans="6:9" ht="13.8">
      <c r="F845" s="1"/>
      <c r="H845" s="1"/>
      <c r="I845" s="2"/>
    </row>
    <row r="846" spans="6:9" ht="13.8">
      <c r="F846" s="1"/>
      <c r="H846" s="1"/>
      <c r="I846" s="2"/>
    </row>
    <row r="847" spans="6:9" ht="13.8">
      <c r="F847" s="1"/>
      <c r="H847" s="1"/>
      <c r="I847" s="2"/>
    </row>
    <row r="848" spans="6:9" ht="13.8">
      <c r="F848" s="1"/>
      <c r="H848" s="1"/>
      <c r="I848" s="2"/>
    </row>
    <row r="849" spans="6:9" ht="13.8">
      <c r="F849" s="1"/>
      <c r="H849" s="1"/>
      <c r="I849" s="2"/>
    </row>
    <row r="850" spans="6:9" ht="13.8">
      <c r="F850" s="1"/>
      <c r="H850" s="1"/>
      <c r="I850" s="2"/>
    </row>
    <row r="851" spans="6:9" ht="13.8">
      <c r="F851" s="1"/>
      <c r="H851" s="1"/>
      <c r="I851" s="2"/>
    </row>
    <row r="852" spans="6:9" ht="13.8">
      <c r="F852" s="1"/>
      <c r="H852" s="1"/>
      <c r="I852" s="2"/>
    </row>
    <row r="853" spans="6:9" ht="13.8">
      <c r="F853" s="1"/>
      <c r="H853" s="1"/>
      <c r="I853" s="2"/>
    </row>
    <row r="854" spans="6:9" ht="13.8">
      <c r="F854" s="1"/>
      <c r="H854" s="1"/>
      <c r="I854" s="2"/>
    </row>
    <row r="855" spans="6:9" ht="13.8">
      <c r="F855" s="1"/>
      <c r="H855" s="1"/>
      <c r="I855" s="2"/>
    </row>
    <row r="856" spans="6:9" ht="13.8">
      <c r="F856" s="1"/>
      <c r="H856" s="1"/>
      <c r="I856" s="2"/>
    </row>
    <row r="857" spans="6:9" ht="13.8">
      <c r="F857" s="1"/>
      <c r="H857" s="1"/>
      <c r="I857" s="2"/>
    </row>
    <row r="858" spans="6:9" ht="13.8">
      <c r="F858" s="1"/>
      <c r="H858" s="1"/>
      <c r="I858" s="2"/>
    </row>
    <row r="859" spans="6:9" ht="13.8">
      <c r="F859" s="1"/>
      <c r="H859" s="1"/>
      <c r="I859" s="2"/>
    </row>
    <row r="860" spans="6:9" ht="13.8">
      <c r="F860" s="1"/>
      <c r="H860" s="1"/>
      <c r="I860" s="2"/>
    </row>
    <row r="861" spans="6:9" ht="13.8">
      <c r="F861" s="1"/>
      <c r="H861" s="1"/>
      <c r="I861" s="2"/>
    </row>
    <row r="862" spans="6:9" ht="13.8">
      <c r="F862" s="1"/>
      <c r="H862" s="1"/>
      <c r="I862" s="2"/>
    </row>
    <row r="863" spans="6:9" ht="13.8">
      <c r="F863" s="1"/>
      <c r="H863" s="1"/>
      <c r="I863" s="2"/>
    </row>
    <row r="864" spans="6:9" ht="13.8">
      <c r="F864" s="1"/>
      <c r="H864" s="1"/>
      <c r="I864" s="2"/>
    </row>
    <row r="865" spans="6:9" ht="13.8">
      <c r="F865" s="1"/>
      <c r="H865" s="1"/>
      <c r="I865" s="2"/>
    </row>
    <row r="866" spans="6:9" ht="13.8">
      <c r="F866" s="1"/>
      <c r="H866" s="1"/>
      <c r="I866" s="2"/>
    </row>
    <row r="867" spans="6:9" ht="13.8">
      <c r="F867" s="1"/>
      <c r="H867" s="1"/>
      <c r="I867" s="2"/>
    </row>
    <row r="868" spans="6:9" ht="13.8">
      <c r="F868" s="1"/>
      <c r="H868" s="1"/>
      <c r="I868" s="2"/>
    </row>
    <row r="869" spans="6:9" ht="13.8">
      <c r="F869" s="1"/>
      <c r="H869" s="1"/>
      <c r="I869" s="2"/>
    </row>
    <row r="870" spans="6:9" ht="13.8">
      <c r="F870" s="1"/>
      <c r="H870" s="1"/>
      <c r="I870" s="2"/>
    </row>
    <row r="871" spans="6:9" ht="13.8">
      <c r="F871" s="1"/>
      <c r="H871" s="1"/>
      <c r="I871" s="2"/>
    </row>
    <row r="872" spans="6:9" ht="13.8">
      <c r="F872" s="1"/>
      <c r="H872" s="1"/>
      <c r="I872" s="2"/>
    </row>
    <row r="873" spans="6:9" ht="13.8">
      <c r="F873" s="1"/>
      <c r="H873" s="1"/>
      <c r="I873" s="2"/>
    </row>
    <row r="874" spans="6:9" ht="13.8">
      <c r="F874" s="1"/>
      <c r="H874" s="1"/>
      <c r="I874" s="2"/>
    </row>
    <row r="875" spans="6:9" ht="13.8">
      <c r="F875" s="1"/>
      <c r="H875" s="1"/>
      <c r="I875" s="2"/>
    </row>
    <row r="876" spans="6:9" ht="13.8">
      <c r="F876" s="1"/>
      <c r="H876" s="1"/>
      <c r="I876" s="2"/>
    </row>
    <row r="877" spans="6:9" ht="13.8">
      <c r="F877" s="1"/>
      <c r="H877" s="1"/>
      <c r="I877" s="2"/>
    </row>
    <row r="878" spans="6:9" ht="13.8">
      <c r="F878" s="1"/>
      <c r="H878" s="1"/>
      <c r="I878" s="2"/>
    </row>
    <row r="879" spans="6:9" ht="13.8">
      <c r="F879" s="1"/>
      <c r="H879" s="1"/>
      <c r="I879" s="2"/>
    </row>
    <row r="880" spans="6:9" ht="13.8">
      <c r="F880" s="1"/>
      <c r="H880" s="1"/>
      <c r="I880" s="2"/>
    </row>
    <row r="881" spans="6:9" ht="13.8">
      <c r="F881" s="1"/>
      <c r="H881" s="1"/>
      <c r="I881" s="2"/>
    </row>
    <row r="882" spans="6:9" ht="13.8">
      <c r="F882" s="1"/>
      <c r="H882" s="1"/>
      <c r="I882" s="2"/>
    </row>
    <row r="883" spans="6:9" ht="13.8">
      <c r="F883" s="1"/>
      <c r="H883" s="1"/>
      <c r="I883" s="2"/>
    </row>
    <row r="884" spans="6:9" ht="13.8">
      <c r="F884" s="1"/>
      <c r="H884" s="1"/>
      <c r="I884" s="2"/>
    </row>
    <row r="885" spans="6:9" ht="13.8">
      <c r="F885" s="1"/>
      <c r="H885" s="1"/>
      <c r="I885" s="2"/>
    </row>
    <row r="886" spans="6:9" ht="13.8">
      <c r="F886" s="1"/>
      <c r="H886" s="1"/>
      <c r="I886" s="2"/>
    </row>
    <row r="887" spans="6:9" ht="13.8">
      <c r="F887" s="1"/>
      <c r="H887" s="1"/>
      <c r="I887" s="2"/>
    </row>
    <row r="888" spans="6:9" ht="13.8">
      <c r="F888" s="1"/>
      <c r="H888" s="1"/>
      <c r="I888" s="2"/>
    </row>
    <row r="889" spans="6:9" ht="13.8">
      <c r="F889" s="1"/>
      <c r="H889" s="1"/>
      <c r="I889" s="2"/>
    </row>
    <row r="890" spans="6:9" ht="13.8">
      <c r="F890" s="1"/>
      <c r="H890" s="1"/>
      <c r="I890" s="2"/>
    </row>
    <row r="891" spans="6:9" ht="13.8">
      <c r="F891" s="1"/>
      <c r="H891" s="1"/>
      <c r="I891" s="2"/>
    </row>
    <row r="892" spans="6:9" ht="13.8">
      <c r="F892" s="1"/>
      <c r="H892" s="1"/>
      <c r="I892" s="2"/>
    </row>
    <row r="893" spans="6:9" ht="13.8">
      <c r="F893" s="1"/>
      <c r="H893" s="1"/>
      <c r="I893" s="2"/>
    </row>
    <row r="894" spans="6:9" ht="13.8">
      <c r="F894" s="1"/>
      <c r="H894" s="1"/>
      <c r="I894" s="2"/>
    </row>
    <row r="895" spans="6:9" ht="13.8">
      <c r="F895" s="1"/>
      <c r="H895" s="1"/>
      <c r="I895" s="2"/>
    </row>
    <row r="896" spans="6:9" ht="13.8">
      <c r="F896" s="1"/>
      <c r="H896" s="1"/>
      <c r="I896" s="2"/>
    </row>
    <row r="897" spans="6:9" ht="13.8">
      <c r="F897" s="1"/>
      <c r="H897" s="1"/>
      <c r="I897" s="2"/>
    </row>
    <row r="898" spans="6:9" ht="13.8">
      <c r="F898" s="1"/>
      <c r="H898" s="1"/>
      <c r="I898" s="2"/>
    </row>
    <row r="899" spans="6:9" ht="13.8">
      <c r="F899" s="1"/>
      <c r="H899" s="1"/>
      <c r="I899" s="2"/>
    </row>
    <row r="900" spans="6:9" ht="13.8">
      <c r="F900" s="1"/>
      <c r="H900" s="1"/>
      <c r="I900" s="2"/>
    </row>
    <row r="901" spans="6:9" ht="13.8">
      <c r="F901" s="1"/>
      <c r="H901" s="1"/>
      <c r="I901" s="2"/>
    </row>
    <row r="902" spans="6:9" ht="13.8">
      <c r="F902" s="1"/>
      <c r="H902" s="1"/>
      <c r="I902" s="2"/>
    </row>
    <row r="903" spans="6:9" ht="13.8">
      <c r="F903" s="1"/>
      <c r="H903" s="1"/>
      <c r="I903" s="2"/>
    </row>
    <row r="904" spans="6:9" ht="13.8">
      <c r="F904" s="1"/>
      <c r="H904" s="1"/>
      <c r="I904" s="2"/>
    </row>
    <row r="905" spans="6:9" ht="13.8">
      <c r="F905" s="1"/>
      <c r="H905" s="1"/>
      <c r="I905" s="2"/>
    </row>
    <row r="906" spans="6:9" ht="13.8">
      <c r="F906" s="1"/>
      <c r="H906" s="1"/>
      <c r="I906" s="2"/>
    </row>
    <row r="907" spans="6:9" ht="13.8">
      <c r="F907" s="1"/>
      <c r="H907" s="1"/>
      <c r="I907" s="2"/>
    </row>
    <row r="908" spans="6:9" ht="13.8">
      <c r="F908" s="1"/>
      <c r="H908" s="1"/>
      <c r="I908" s="2"/>
    </row>
    <row r="909" spans="6:9" ht="13.8">
      <c r="F909" s="1"/>
      <c r="H909" s="1"/>
      <c r="I909" s="2"/>
    </row>
    <row r="910" spans="6:9" ht="13.8">
      <c r="F910" s="1"/>
      <c r="H910" s="1"/>
      <c r="I910" s="2"/>
    </row>
    <row r="911" spans="6:9" ht="13.8">
      <c r="F911" s="1"/>
      <c r="H911" s="1"/>
      <c r="I911" s="2"/>
    </row>
    <row r="912" spans="6:9" ht="13.8">
      <c r="F912" s="1"/>
      <c r="H912" s="1"/>
      <c r="I912" s="2"/>
    </row>
    <row r="913" spans="6:9" ht="13.8">
      <c r="F913" s="1"/>
      <c r="H913" s="1"/>
      <c r="I913" s="2"/>
    </row>
    <row r="914" spans="6:9" ht="13.8">
      <c r="F914" s="1"/>
      <c r="H914" s="1"/>
      <c r="I914" s="2"/>
    </row>
    <row r="915" spans="6:9" ht="13.8">
      <c r="F915" s="1"/>
      <c r="H915" s="1"/>
      <c r="I915" s="2"/>
    </row>
    <row r="916" spans="6:9" ht="13.8">
      <c r="F916" s="1"/>
      <c r="H916" s="1"/>
      <c r="I916" s="2"/>
    </row>
    <row r="917" spans="6:9" ht="13.8">
      <c r="F917" s="1"/>
      <c r="H917" s="1"/>
      <c r="I917" s="2"/>
    </row>
    <row r="918" spans="6:9" ht="13.8">
      <c r="F918" s="1"/>
      <c r="H918" s="1"/>
      <c r="I918" s="2"/>
    </row>
    <row r="919" spans="6:9" ht="13.8">
      <c r="F919" s="1"/>
      <c r="H919" s="1"/>
      <c r="I919" s="2"/>
    </row>
    <row r="920" spans="6:9" ht="13.8">
      <c r="F920" s="1"/>
      <c r="H920" s="1"/>
      <c r="I920" s="2"/>
    </row>
    <row r="921" spans="6:9" ht="13.8">
      <c r="F921" s="1"/>
      <c r="H921" s="1"/>
      <c r="I921" s="2"/>
    </row>
    <row r="922" spans="6:9" ht="13.8">
      <c r="F922" s="1"/>
      <c r="H922" s="1"/>
      <c r="I922" s="2"/>
    </row>
    <row r="923" spans="6:9" ht="13.8">
      <c r="F923" s="1"/>
      <c r="H923" s="1"/>
      <c r="I923" s="2"/>
    </row>
    <row r="924" spans="6:9" ht="13.8">
      <c r="F924" s="1"/>
      <c r="H924" s="1"/>
      <c r="I924" s="2"/>
    </row>
    <row r="925" spans="6:9" ht="13.8">
      <c r="F925" s="1"/>
      <c r="H925" s="1"/>
      <c r="I925" s="2"/>
    </row>
    <row r="926" spans="6:9" ht="13.8">
      <c r="F926" s="1"/>
      <c r="H926" s="1"/>
      <c r="I926" s="2"/>
    </row>
    <row r="927" spans="6:9" ht="13.8">
      <c r="F927" s="1"/>
      <c r="H927" s="1"/>
      <c r="I927" s="2"/>
    </row>
    <row r="928" spans="6:9" ht="13.8">
      <c r="F928" s="1"/>
      <c r="H928" s="1"/>
      <c r="I928" s="2"/>
    </row>
    <row r="929" spans="6:9" ht="13.8">
      <c r="F929" s="1"/>
      <c r="H929" s="1"/>
      <c r="I929" s="2"/>
    </row>
    <row r="930" spans="6:9" ht="13.8">
      <c r="F930" s="1"/>
      <c r="H930" s="1"/>
      <c r="I930" s="2"/>
    </row>
    <row r="931" spans="6:9" ht="13.8">
      <c r="F931" s="1"/>
      <c r="H931" s="1"/>
      <c r="I931" s="2"/>
    </row>
    <row r="932" spans="6:9" ht="13.8">
      <c r="F932" s="1"/>
      <c r="H932" s="1"/>
      <c r="I932" s="2"/>
    </row>
    <row r="933" spans="6:9" ht="13.8">
      <c r="F933" s="1"/>
      <c r="H933" s="1"/>
      <c r="I933" s="2"/>
    </row>
    <row r="934" spans="6:9" ht="13.8">
      <c r="F934" s="1"/>
      <c r="H934" s="1"/>
      <c r="I934" s="2"/>
    </row>
    <row r="935" spans="6:9" ht="13.8">
      <c r="F935" s="1"/>
      <c r="H935" s="1"/>
      <c r="I935" s="2"/>
    </row>
    <row r="936" spans="6:9" ht="13.8">
      <c r="F936" s="1"/>
      <c r="H936" s="1"/>
      <c r="I936" s="2"/>
    </row>
    <row r="937" spans="6:9" ht="13.8">
      <c r="F937" s="1"/>
      <c r="H937" s="1"/>
      <c r="I937" s="2"/>
    </row>
    <row r="938" spans="6:9" ht="13.8">
      <c r="F938" s="1"/>
      <c r="H938" s="1"/>
      <c r="I938" s="2"/>
    </row>
    <row r="939" spans="6:9" ht="13.8">
      <c r="F939" s="1"/>
      <c r="H939" s="1"/>
      <c r="I939" s="2"/>
    </row>
    <row r="940" spans="6:9" ht="13.8">
      <c r="F940" s="1"/>
      <c r="H940" s="1"/>
      <c r="I940" s="2"/>
    </row>
    <row r="941" spans="6:9" ht="13.8">
      <c r="F941" s="1"/>
      <c r="H941" s="1"/>
      <c r="I941" s="2"/>
    </row>
    <row r="942" spans="6:9" ht="13.8">
      <c r="F942" s="1"/>
      <c r="H942" s="1"/>
      <c r="I942" s="2"/>
    </row>
    <row r="943" spans="6:9" ht="13.8">
      <c r="F943" s="1"/>
      <c r="H943" s="1"/>
      <c r="I943" s="2"/>
    </row>
    <row r="944" spans="6:9" ht="13.8">
      <c r="F944" s="1"/>
      <c r="H944" s="1"/>
      <c r="I944" s="2"/>
    </row>
    <row r="945" spans="6:9" ht="13.8">
      <c r="F945" s="1"/>
      <c r="H945" s="1"/>
      <c r="I945" s="2"/>
    </row>
    <row r="946" spans="6:9" ht="13.8">
      <c r="F946" s="1"/>
      <c r="H946" s="1"/>
      <c r="I946" s="2"/>
    </row>
    <row r="947" spans="6:9" ht="13.8">
      <c r="F947" s="1"/>
      <c r="H947" s="1"/>
      <c r="I947" s="2"/>
    </row>
    <row r="948" spans="6:9" ht="13.8">
      <c r="F948" s="1"/>
      <c r="H948" s="1"/>
      <c r="I948" s="2"/>
    </row>
    <row r="949" spans="6:9" ht="13.8">
      <c r="F949" s="1"/>
      <c r="H949" s="1"/>
      <c r="I949" s="2"/>
    </row>
    <row r="950" spans="6:9" ht="13.8">
      <c r="F950" s="1"/>
      <c r="H950" s="1"/>
      <c r="I950" s="2"/>
    </row>
    <row r="951" spans="6:9" ht="13.8">
      <c r="F951" s="1"/>
      <c r="H951" s="1"/>
      <c r="I951" s="2"/>
    </row>
    <row r="952" spans="6:9" ht="13.8">
      <c r="F952" s="1"/>
      <c r="H952" s="1"/>
      <c r="I952" s="2"/>
    </row>
    <row r="953" spans="6:9" ht="13.8">
      <c r="F953" s="1"/>
      <c r="H953" s="1"/>
      <c r="I953" s="2"/>
    </row>
    <row r="954" spans="6:9" ht="13.8">
      <c r="F954" s="1"/>
      <c r="H954" s="1"/>
      <c r="I954" s="2"/>
    </row>
    <row r="955" spans="6:9" ht="13.8">
      <c r="F955" s="1"/>
      <c r="H955" s="1"/>
      <c r="I955" s="2"/>
    </row>
    <row r="956" spans="6:9" ht="13.8">
      <c r="F956" s="1"/>
      <c r="H956" s="1"/>
      <c r="I956" s="2"/>
    </row>
    <row r="957" spans="6:9" ht="13.8">
      <c r="F957" s="1"/>
      <c r="H957" s="1"/>
      <c r="I957" s="2"/>
    </row>
    <row r="958" spans="6:9" ht="13.8">
      <c r="F958" s="1"/>
      <c r="H958" s="1"/>
      <c r="I958" s="2"/>
    </row>
    <row r="959" spans="6:9" ht="13.8">
      <c r="F959" s="1"/>
      <c r="H959" s="1"/>
      <c r="I959" s="2"/>
    </row>
    <row r="960" spans="6:9" ht="13.8">
      <c r="F960" s="1"/>
      <c r="H960" s="1"/>
      <c r="I960" s="2"/>
    </row>
    <row r="961" spans="6:9" ht="13.8">
      <c r="F961" s="1"/>
      <c r="H961" s="1"/>
      <c r="I961" s="2"/>
    </row>
    <row r="962" spans="6:9" ht="13.8">
      <c r="F962" s="1"/>
      <c r="H962" s="1"/>
      <c r="I962" s="2"/>
    </row>
    <row r="963" spans="6:9" ht="13.8">
      <c r="F963" s="1"/>
      <c r="H963" s="1"/>
      <c r="I963" s="2"/>
    </row>
    <row r="964" spans="6:9" ht="13.8">
      <c r="F964" s="1"/>
      <c r="H964" s="1"/>
      <c r="I964" s="2"/>
    </row>
    <row r="965" spans="6:9" ht="13.8">
      <c r="F965" s="1"/>
      <c r="H965" s="1"/>
      <c r="I965" s="2"/>
    </row>
    <row r="966" spans="6:9" ht="13.8">
      <c r="F966" s="1"/>
      <c r="H966" s="1"/>
      <c r="I966" s="2"/>
    </row>
    <row r="967" spans="6:9" ht="13.8">
      <c r="F967" s="1"/>
      <c r="H967" s="1"/>
      <c r="I967" s="2"/>
    </row>
    <row r="968" spans="6:9" ht="13.8">
      <c r="F968" s="1"/>
      <c r="H968" s="1"/>
      <c r="I968" s="2"/>
    </row>
    <row r="969" spans="6:9" ht="13.8">
      <c r="F969" s="1"/>
      <c r="H969" s="1"/>
      <c r="I969" s="2"/>
    </row>
    <row r="970" spans="6:9" ht="13.8">
      <c r="F970" s="1"/>
      <c r="H970" s="1"/>
      <c r="I970" s="2"/>
    </row>
    <row r="971" spans="6:9" ht="13.8">
      <c r="F971" s="1"/>
      <c r="H971" s="1"/>
      <c r="I971" s="2"/>
    </row>
    <row r="972" spans="6:9" ht="13.8">
      <c r="F972" s="1"/>
      <c r="H972" s="1"/>
      <c r="I972" s="2"/>
    </row>
    <row r="973" spans="6:9" ht="13.8">
      <c r="F973" s="1"/>
      <c r="H973" s="1"/>
      <c r="I973" s="2"/>
    </row>
    <row r="974" spans="6:9" ht="13.8">
      <c r="F974" s="1"/>
      <c r="H974" s="1"/>
      <c r="I974" s="2"/>
    </row>
    <row r="975" spans="6:9" ht="13.8">
      <c r="F975" s="1"/>
      <c r="H975" s="1"/>
      <c r="I975" s="2"/>
    </row>
    <row r="976" spans="6:9" ht="13.8">
      <c r="F976" s="1"/>
      <c r="H976" s="1"/>
      <c r="I976" s="2"/>
    </row>
    <row r="977" spans="6:9" ht="13.8">
      <c r="F977" s="1"/>
      <c r="H977" s="1"/>
      <c r="I977" s="2"/>
    </row>
    <row r="978" spans="6:9" ht="13.8">
      <c r="F978" s="1"/>
      <c r="H978" s="1"/>
      <c r="I978" s="2"/>
    </row>
    <row r="979" spans="6:9" ht="13.8">
      <c r="F979" s="1"/>
      <c r="H979" s="1"/>
      <c r="I979" s="2"/>
    </row>
    <row r="980" spans="6:9" ht="13.8">
      <c r="F980" s="1"/>
      <c r="H980" s="1"/>
      <c r="I980" s="2"/>
    </row>
    <row r="981" spans="6:9" ht="13.8">
      <c r="F981" s="1"/>
      <c r="H981" s="1"/>
      <c r="I981" s="2"/>
    </row>
    <row r="982" spans="6:9" ht="13.8">
      <c r="F982" s="1"/>
      <c r="H982" s="1"/>
      <c r="I982" s="2"/>
    </row>
    <row r="983" spans="6:9" ht="13.8">
      <c r="F983" s="1"/>
      <c r="H983" s="1"/>
      <c r="I983" s="2"/>
    </row>
    <row r="984" spans="6:9" ht="13.8">
      <c r="F984" s="1"/>
      <c r="H984" s="1"/>
      <c r="I984" s="2"/>
    </row>
    <row r="985" spans="6:9" ht="13.8">
      <c r="F985" s="1"/>
      <c r="H985" s="1"/>
      <c r="I985" s="2"/>
    </row>
    <row r="986" spans="6:9" ht="13.8">
      <c r="F986" s="1"/>
      <c r="H986" s="1"/>
      <c r="I986" s="2"/>
    </row>
    <row r="987" spans="6:9" ht="13.8">
      <c r="F987" s="1"/>
      <c r="H987" s="1"/>
      <c r="I987" s="2"/>
    </row>
    <row r="988" spans="6:9" ht="13.8">
      <c r="F988" s="1"/>
      <c r="H988" s="1"/>
      <c r="I988" s="2"/>
    </row>
    <row r="989" spans="6:9" ht="13.8">
      <c r="F989" s="1"/>
      <c r="H989" s="1"/>
      <c r="I989" s="2"/>
    </row>
    <row r="990" spans="6:9" ht="13.8">
      <c r="F990" s="1"/>
      <c r="H990" s="1"/>
      <c r="I990" s="2"/>
    </row>
    <row r="991" spans="6:9" ht="13.8">
      <c r="F991" s="1"/>
      <c r="H991" s="1"/>
      <c r="I991" s="2"/>
    </row>
    <row r="992" spans="6:9" ht="13.8">
      <c r="F992" s="1"/>
      <c r="H992" s="1"/>
      <c r="I992" s="2"/>
    </row>
    <row r="993" spans="6:9" ht="13.8">
      <c r="F993" s="1"/>
      <c r="H993" s="1"/>
      <c r="I993" s="2"/>
    </row>
    <row r="994" spans="6:9" ht="13.8">
      <c r="F994" s="1"/>
      <c r="H994" s="1"/>
      <c r="I994" s="2"/>
    </row>
    <row r="995" spans="6:9" ht="13.8">
      <c r="F995" s="1"/>
      <c r="H995" s="1"/>
      <c r="I995" s="2"/>
    </row>
    <row r="996" spans="6:9" ht="13.8">
      <c r="F996" s="1"/>
      <c r="H996" s="1"/>
      <c r="I996" s="2"/>
    </row>
    <row r="997" spans="6:9" ht="13.8">
      <c r="F997" s="1"/>
      <c r="H997" s="1"/>
      <c r="I997" s="2"/>
    </row>
    <row r="998" spans="6:9" ht="13.8">
      <c r="F998" s="1"/>
      <c r="H998" s="1"/>
      <c r="I998" s="2"/>
    </row>
    <row r="999" spans="6:9" ht="13.8">
      <c r="F999" s="1"/>
      <c r="H999" s="1"/>
      <c r="I999" s="2"/>
    </row>
    <row r="1000" spans="6:9" ht="13.8">
      <c r="F1000" s="1"/>
      <c r="H1000" s="1"/>
      <c r="I1000" s="2"/>
    </row>
    <row r="1001" spans="6:9" ht="13.8">
      <c r="F1001" s="1"/>
      <c r="H1001" s="1"/>
      <c r="I1001" s="2"/>
    </row>
  </sheetData>
  <dataValidations count="2">
    <dataValidation type="list" allowBlank="1" showErrorMessage="1" sqref="C2:C65" xr:uid="{00000000-0002-0000-0B00-000000000000}">
      <formula1>"6,7,8"</formula1>
      <formula2>0</formula2>
    </dataValidation>
    <dataValidation type="list" allowBlank="1" showErrorMessage="1" sqref="E2:E65" xr:uid="{00000000-0002-0000-0B00-000001000000}">
      <formula1>"Physics,Biology,Chemistry"</formula1>
      <formula2>0</formula2>
    </dataValidation>
  </dataValidations>
  <pageMargins left="0.74791666666666701" right="0.74791666666666701" top="0.98402777777777795" bottom="0.98402777777777795" header="0.511811023622047" footer="0.511811023622047"/>
  <pageSetup paperSize="9" orientation="portrait" horizontalDpi="300" verticalDpi="300"/>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G964"/>
  <sheetViews>
    <sheetView tabSelected="1" zoomScaleNormal="100" workbookViewId="0">
      <pane ySplit="1" topLeftCell="A2" activePane="bottomLeft" state="frozen"/>
      <selection pane="bottomLeft" activeCell="D3" sqref="D3"/>
    </sheetView>
  </sheetViews>
  <sheetFormatPr defaultColWidth="12.6640625" defaultRowHeight="13.2"/>
  <cols>
    <col min="1" max="2" width="11.44140625" customWidth="1"/>
    <col min="4" max="4" width="20.21875" customWidth="1"/>
    <col min="5" max="5" width="15.6640625" customWidth="1"/>
    <col min="6" max="6" width="15.109375" customWidth="1"/>
    <col min="8" max="8" width="32" customWidth="1"/>
    <col min="9" max="9" width="12.6640625" hidden="1"/>
    <col min="11" max="11" width="33.6640625" customWidth="1"/>
    <col min="13" max="13" width="33.5546875" customWidth="1"/>
    <col min="15" max="15" width="27.21875" customWidth="1"/>
    <col min="17" max="17" width="26.44140625" customWidth="1"/>
    <col min="19" max="19" width="25.6640625" customWidth="1"/>
    <col min="21" max="21" width="32.33203125" customWidth="1"/>
  </cols>
  <sheetData>
    <row r="1" spans="1:33" ht="27.6">
      <c r="A1" s="3" t="s">
        <v>0</v>
      </c>
      <c r="B1" s="109" t="s">
        <v>1</v>
      </c>
      <c r="C1" s="109" t="s">
        <v>3</v>
      </c>
      <c r="D1" s="109" t="s">
        <v>1280</v>
      </c>
      <c r="E1" s="109" t="s">
        <v>2</v>
      </c>
      <c r="F1" s="110" t="s">
        <v>4</v>
      </c>
      <c r="G1" s="110" t="s">
        <v>223</v>
      </c>
      <c r="H1" s="110" t="s">
        <v>307</v>
      </c>
      <c r="I1" s="111"/>
      <c r="J1" s="20" t="s">
        <v>5</v>
      </c>
      <c r="K1" s="20" t="s">
        <v>6</v>
      </c>
      <c r="L1" s="20" t="s">
        <v>7</v>
      </c>
      <c r="M1" s="20" t="s">
        <v>8</v>
      </c>
      <c r="N1" s="20" t="s">
        <v>9</v>
      </c>
      <c r="O1" s="20" t="s">
        <v>10</v>
      </c>
      <c r="P1" s="20" t="s">
        <v>11</v>
      </c>
      <c r="Q1" s="20" t="s">
        <v>12</v>
      </c>
      <c r="R1" s="20" t="s">
        <v>13</v>
      </c>
      <c r="S1" s="20" t="s">
        <v>14</v>
      </c>
      <c r="T1" s="20" t="s">
        <v>15</v>
      </c>
      <c r="U1" s="20" t="s">
        <v>16</v>
      </c>
      <c r="V1" s="9" t="s">
        <v>17</v>
      </c>
      <c r="W1" s="9" t="s">
        <v>18</v>
      </c>
      <c r="X1" s="9" t="s">
        <v>19</v>
      </c>
      <c r="Y1" s="9" t="s">
        <v>20</v>
      </c>
      <c r="Z1" s="9" t="s">
        <v>21</v>
      </c>
      <c r="AA1" s="9" t="s">
        <v>22</v>
      </c>
      <c r="AB1" s="9" t="s">
        <v>23</v>
      </c>
      <c r="AC1" s="10" t="s">
        <v>24</v>
      </c>
      <c r="AD1" s="11" t="s">
        <v>25</v>
      </c>
      <c r="AE1" s="11" t="s">
        <v>26</v>
      </c>
      <c r="AF1" s="11" t="s">
        <v>27</v>
      </c>
      <c r="AG1" s="12" t="s">
        <v>28</v>
      </c>
    </row>
    <row r="2" spans="1:33" ht="27.6">
      <c r="A2" s="111"/>
      <c r="B2" s="111" t="s">
        <v>29</v>
      </c>
      <c r="C2" s="111">
        <v>6</v>
      </c>
      <c r="D2" s="111" t="s">
        <v>1612</v>
      </c>
      <c r="E2" s="111" t="s">
        <v>1613</v>
      </c>
      <c r="F2" s="111" t="s">
        <v>1614</v>
      </c>
      <c r="G2" s="14" t="s">
        <v>1615</v>
      </c>
      <c r="H2" s="112" t="str">
        <f ca="1">IFERROR(__xludf.dummyfunction("IFERROR(
  VLOOKUP(G2, IMPORTRANGE(""https://docs.google.com/spreadsheets/d/14deopnvwcrKtEGCKuYXdUHJbeLDZlkiSSWWT0g7x2pM/edit#gid=849066331"", ""LU List Maths (Filter)!A:B""), 2, FALSE),
  IFERROR(
    VLOOKUP(G2, IMPORTRANGE(""https://docs.google.com/spr"&amp;"eadsheets/d/14deopnvwcrKtEGCKuYXdUHJbeLDZlkiSSWWT0g7x2pM/edit#gid=849066331"", ""LU List Science (Filter)!A:B""), 2, FALSE),
    ""Not Found""
  )
)
"),"Importance of Chemistry in Daily Life")</f>
        <v>Importance of Chemistry in Daily Life</v>
      </c>
      <c r="I2" s="111"/>
      <c r="J2" s="2" t="str">
        <f t="shared" ref="J2:J46" si="0">G2 &amp; ".001"</f>
        <v>LU006679.001</v>
      </c>
      <c r="K2" s="2" t="str">
        <f ca="1">IFERROR(__xludf.dummyfunction("VLOOKUP(J2, IMPORTRANGE(""https://docs.google.com/spreadsheets/d/1yDAaXNsi4Mr5FtRQL4tbmSdIzhx6_m4wkOD7IG-k_eo/edit#gid=1336395716"", ""Science!M:N""), 2, FALSE)"),"(LU006679.001); Default - Remember")</f>
        <v>(LU006679.001); Default - Remember</v>
      </c>
      <c r="L2" s="2" t="str">
        <f t="shared" ref="L2:L46" si="1">G2 &amp; ".002"</f>
        <v>LU006679.002</v>
      </c>
      <c r="M2" s="2" t="str">
        <f ca="1">IFERROR(__xludf.dummyfunction("VLOOKUP(L2, IMPORTRANGE(""https://docs.google.com/spreadsheets/d/1yDAaXNsi4Mr5FtRQL4tbmSdIzhx6_m4wkOD7IG-k_eo/edit#gid=1336395716"", ""Science!M:N""), 2, FALSE)"),"(LU006679.002); Default - Understand")</f>
        <v>(LU006679.002); Default - Understand</v>
      </c>
      <c r="N2" s="2" t="str">
        <f t="shared" ref="N2:N46" si="2">G2 &amp; ".003"</f>
        <v>LU006679.003</v>
      </c>
      <c r="O2" s="2" t="str">
        <f ca="1">IFERROR(__xludf.dummyfunction("VLOOKUP(N2, IMPORTRANGE(""https://docs.google.com/spreadsheets/d/1yDAaXNsi4Mr5FtRQL4tbmSdIzhx6_m4wkOD7IG-k_eo/edit#gid=1336395716"", ""Science!M:N""), 2, FALSE)"),"(LU006679.003); Default - Apply")</f>
        <v>(LU006679.003); Default - Apply</v>
      </c>
      <c r="P2" s="2" t="str">
        <f t="shared" ref="P2:P46" si="3">G2 &amp; ".004"</f>
        <v>LU006679.004</v>
      </c>
      <c r="Q2" s="17" t="str">
        <f ca="1">IFERROR(__xludf.dummyfunction("VLOOKUP(P2, IMPORTRANGE(""https://docs.google.com/spreadsheets/d/1yDAaXNsi4Mr5FtRQL4tbmSdIzhx6_m4wkOD7IG-k_eo/edit#gid=1336395716"", ""Science!M:N""), 2, FALSE)"),"(LU006679.004); Default - Analyse")</f>
        <v>(LU006679.004); Default - Analyse</v>
      </c>
      <c r="R2" s="2" t="str">
        <f t="shared" ref="R2:R46" si="4">G2 &amp; ".005"</f>
        <v>LU006679.005</v>
      </c>
      <c r="S2" s="17" t="str">
        <f ca="1">IFERROR(__xludf.dummyfunction("VLOOKUP(R2, IMPORTRANGE(""https://docs.google.com/spreadsheets/d/1yDAaXNsi4Mr5FtRQL4tbmSdIzhx6_m4wkOD7IG-k_eo/edit#gid=1336395716"", ""Science!M:N""), 2, FALSE)"),"(LU006679.005); Default - Evaluate")</f>
        <v>(LU006679.005); Default - Evaluate</v>
      </c>
      <c r="T2" s="2" t="str">
        <f t="shared" ref="T2:T46" si="5">G2 &amp; ".006"</f>
        <v>LU006679.006</v>
      </c>
      <c r="U2" s="17" t="str">
        <f ca="1">IFERROR(__xludf.dummyfunction("VLOOKUP(T2, IMPORTRANGE(""https://docs.google.com/spreadsheets/d/1yDAaXNsi4Mr5FtRQL4tbmSdIzhx6_m4wkOD7IG-k_eo/edit#gid=1336395716"", ""Science!M:N""), 2, FALSE)"),"(LU006679.006); Default - Create")</f>
        <v>(LU006679.006); Default - Create</v>
      </c>
      <c r="V2" s="16" t="str">
        <f ca="1">IFERROR(__xludf.dummyfunction("ArrayFormula(VLOOKUP(G2, IMPORTRANGE(""https://docs.google.com/spreadsheets/d/1p7R4vtkWt5VOBim4ltsDG9KTzSjrtKXsMtQGXPHyND0/edit#gid=795171502"", ""'Filter 30_05_2024'!A1:M2000""), {2, 3, 4, 5,6,7,8,9,10,11,12,13}, 0))"),"#N/A")</f>
        <v>#N/A</v>
      </c>
      <c r="W2" s="16" t="str">
        <f ca="1">IFERROR(__xludf.dummyfunction("""COMPUTED_VALUE"""),"#N/A")</f>
        <v>#N/A</v>
      </c>
      <c r="X2" s="16" t="str">
        <f ca="1">IFERROR(__xludf.dummyfunction("""COMPUTED_VALUE"""),"#N/A")</f>
        <v>#N/A</v>
      </c>
      <c r="Y2" s="16" t="str">
        <f ca="1">IFERROR(__xludf.dummyfunction("""COMPUTED_VALUE"""),"#N/A")</f>
        <v>#N/A</v>
      </c>
      <c r="Z2" s="16" t="str">
        <f ca="1">IFERROR(__xludf.dummyfunction("""COMPUTED_VALUE"""),"#N/A")</f>
        <v>#N/A</v>
      </c>
      <c r="AA2" s="17" t="str">
        <f ca="1">IFERROR(__xludf.dummyfunction("""COMPUTED_VALUE"""),"#N/A")</f>
        <v>#N/A</v>
      </c>
      <c r="AB2" s="17" t="str">
        <f ca="1">IFERROR(__xludf.dummyfunction("""COMPUTED_VALUE"""),"#N/A")</f>
        <v>#N/A</v>
      </c>
      <c r="AC2" s="17" t="str">
        <f ca="1">IFERROR(__xludf.dummyfunction("""COMPUTED_VALUE"""),"#N/A")</f>
        <v>#N/A</v>
      </c>
      <c r="AD2" s="2" t="str">
        <f ca="1">IFERROR(__xludf.dummyfunction("""COMPUTED_VALUE"""),"#N/A")</f>
        <v>#N/A</v>
      </c>
      <c r="AE2" s="2" t="str">
        <f ca="1">IFERROR(__xludf.dummyfunction("""COMPUTED_VALUE"""),"#N/A")</f>
        <v>#N/A</v>
      </c>
      <c r="AF2" s="2" t="str">
        <f ca="1">IFERROR(__xludf.dummyfunction("""COMPUTED_VALUE"""),"#N/A")</f>
        <v>#N/A</v>
      </c>
      <c r="AG2" s="2" t="str">
        <f ca="1">IFERROR(__xludf.dummyfunction("""COMPUTED_VALUE"""),"#N/A")</f>
        <v>#N/A</v>
      </c>
    </row>
    <row r="3" spans="1:33" ht="27.6">
      <c r="A3" s="111"/>
      <c r="B3" s="111" t="s">
        <v>29</v>
      </c>
      <c r="C3" s="111">
        <v>6</v>
      </c>
      <c r="D3" s="111" t="s">
        <v>1612</v>
      </c>
      <c r="E3" s="111" t="s">
        <v>1613</v>
      </c>
      <c r="F3" s="111" t="s">
        <v>1614</v>
      </c>
      <c r="G3" s="14" t="s">
        <v>1616</v>
      </c>
      <c r="H3" s="112" t="str">
        <f ca="1">IFERROR(__xludf.dummyfunction("IFERROR(
  VLOOKUP(G3, IMPORTRANGE(""https://docs.google.com/spreadsheets/d/14deopnvwcrKtEGCKuYXdUHJbeLDZlkiSSWWT0g7x2pM/edit#gid=849066331"", ""LU List Maths (Filter)!A:B""), 2, FALSE),
  IFERROR(
    VLOOKUP(G3, IMPORTRANGE(""https://docs.google.com/spr"&amp;"eadsheets/d/14deopnvwcrKtEGCKuYXdUHJbeLDZlkiSSWWT0g7x2pM/edit#gid=849066331"", ""LU List Science (Filter)!A:B""), 2, FALSE),
    ""Not Found""
  )
)
"),"Development of Chemistry")</f>
        <v>Development of Chemistry</v>
      </c>
      <c r="I3" s="111"/>
      <c r="J3" s="2" t="str">
        <f t="shared" si="0"/>
        <v>LU006680.001</v>
      </c>
      <c r="K3" s="2" t="str">
        <f ca="1">IFERROR(__xludf.dummyfunction("VLOOKUP(J3, IMPORTRANGE(""https://docs.google.com/spreadsheets/d/1yDAaXNsi4Mr5FtRQL4tbmSdIzhx6_m4wkOD7IG-k_eo/edit#gid=1336395716"", ""Science!M:N""), 2, FALSE)"),"(LU006680.001); Default - Remember")</f>
        <v>(LU006680.001); Default - Remember</v>
      </c>
      <c r="L3" s="2" t="str">
        <f t="shared" si="1"/>
        <v>LU006680.002</v>
      </c>
      <c r="M3" s="2" t="str">
        <f ca="1">IFERROR(__xludf.dummyfunction("VLOOKUP(L3, IMPORTRANGE(""https://docs.google.com/spreadsheets/d/1yDAaXNsi4Mr5FtRQL4tbmSdIzhx6_m4wkOD7IG-k_eo/edit#gid=1336395716"", ""Science!M:N""), 2, FALSE)"),"(LU006680.002); Default - Understand")</f>
        <v>(LU006680.002); Default - Understand</v>
      </c>
      <c r="N3" s="2" t="str">
        <f t="shared" si="2"/>
        <v>LU006680.003</v>
      </c>
      <c r="O3" s="2" t="str">
        <f ca="1">IFERROR(__xludf.dummyfunction("VLOOKUP(N3, IMPORTRANGE(""https://docs.google.com/spreadsheets/d/1yDAaXNsi4Mr5FtRQL4tbmSdIzhx6_m4wkOD7IG-k_eo/edit#gid=1336395716"", ""Science!M:N""), 2, FALSE)"),"(LU006680.003); Default - Apply")</f>
        <v>(LU006680.003); Default - Apply</v>
      </c>
      <c r="P3" s="2" t="str">
        <f t="shared" si="3"/>
        <v>LU006680.004</v>
      </c>
      <c r="Q3" s="17" t="str">
        <f ca="1">IFERROR(__xludf.dummyfunction("VLOOKUP(P3, IMPORTRANGE(""https://docs.google.com/spreadsheets/d/1yDAaXNsi4Mr5FtRQL4tbmSdIzhx6_m4wkOD7IG-k_eo/edit#gid=1336395716"", ""Science!M:N""), 2, FALSE)"),"(LU006680.004); Default - Analyse")</f>
        <v>(LU006680.004); Default - Analyse</v>
      </c>
      <c r="R3" s="2" t="str">
        <f t="shared" si="4"/>
        <v>LU006680.005</v>
      </c>
      <c r="S3" s="17" t="str">
        <f ca="1">IFERROR(__xludf.dummyfunction("VLOOKUP(R3, IMPORTRANGE(""https://docs.google.com/spreadsheets/d/1yDAaXNsi4Mr5FtRQL4tbmSdIzhx6_m4wkOD7IG-k_eo/edit#gid=1336395716"", ""Science!M:N""), 2, FALSE)"),"(LU006680.005); Default - Evaluate")</f>
        <v>(LU006680.005); Default - Evaluate</v>
      </c>
      <c r="T3" s="2" t="str">
        <f t="shared" si="5"/>
        <v>LU006680.006</v>
      </c>
      <c r="U3" s="17" t="str">
        <f ca="1">IFERROR(__xludf.dummyfunction("VLOOKUP(T3, IMPORTRANGE(""https://docs.google.com/spreadsheets/d/1yDAaXNsi4Mr5FtRQL4tbmSdIzhx6_m4wkOD7IG-k_eo/edit#gid=1336395716"", ""Science!M:N""), 2, FALSE)"),"(LU006680.006); Default - Create")</f>
        <v>(LU006680.006); Default - Create</v>
      </c>
      <c r="V3" s="113"/>
      <c r="W3" s="113"/>
      <c r="X3" s="113"/>
      <c r="Y3" s="113"/>
      <c r="Z3" s="113"/>
      <c r="AA3" s="113"/>
      <c r="AB3" s="113"/>
      <c r="AC3" s="113"/>
      <c r="AD3" s="113"/>
      <c r="AE3" s="113"/>
      <c r="AF3" s="113"/>
      <c r="AG3" s="113"/>
    </row>
    <row r="4" spans="1:33" ht="41.4">
      <c r="A4" s="111"/>
      <c r="B4" s="111" t="s">
        <v>29</v>
      </c>
      <c r="C4" s="111">
        <v>6</v>
      </c>
      <c r="D4" s="111" t="s">
        <v>1612</v>
      </c>
      <c r="E4" s="111" t="s">
        <v>1613</v>
      </c>
      <c r="F4" s="111" t="s">
        <v>1614</v>
      </c>
      <c r="G4" s="14" t="s">
        <v>1617</v>
      </c>
      <c r="H4" s="112" t="str">
        <f ca="1">IFERROR(__xludf.dummyfunction("IFERROR(
  VLOOKUP(G4, IMPORTRANGE(""https://docs.google.com/spreadsheets/d/14deopnvwcrKtEGCKuYXdUHJbeLDZlkiSSWWT0g7x2pM/edit#gid=849066331"", ""LU List Maths (Filter)!A:B""), 2, FALSE),
  IFERROR(
    VLOOKUP(G4, IMPORTRANGE(""https://docs.google.com/spr"&amp;"eadsheets/d/14deopnvwcrKtEGCKuYXdUHJbeLDZlkiSSWWT0g7x2pM/edit#gid=849066331"", ""LU List Science (Filter)!A:B""), 2, FALSE),
    ""Not Found""
  )
)
"),"Notable chemists/scientists and their
contributions to Chemistry")</f>
        <v>Notable chemists/scientists and their
contributions to Chemistry</v>
      </c>
      <c r="I4" s="111"/>
      <c r="J4" s="2" t="str">
        <f t="shared" si="0"/>
        <v>LU006681.001</v>
      </c>
      <c r="K4" s="2" t="str">
        <f ca="1">IFERROR(__xludf.dummyfunction("VLOOKUP(J4, IMPORTRANGE(""https://docs.google.com/spreadsheets/d/1yDAaXNsi4Mr5FtRQL4tbmSdIzhx6_m4wkOD7IG-k_eo/edit#gid=1336395716"", ""Science!M:N""), 2, FALSE)"),"(LU006681.001); Default - Remember")</f>
        <v>(LU006681.001); Default - Remember</v>
      </c>
      <c r="L4" s="2" t="str">
        <f t="shared" si="1"/>
        <v>LU006681.002</v>
      </c>
      <c r="M4" s="2" t="str">
        <f ca="1">IFERROR(__xludf.dummyfunction("VLOOKUP(L4, IMPORTRANGE(""https://docs.google.com/spreadsheets/d/1yDAaXNsi4Mr5FtRQL4tbmSdIzhx6_m4wkOD7IG-k_eo/edit#gid=1336395716"", ""Science!M:N""), 2, FALSE)"),"(LU006681.002); Default - Understand")</f>
        <v>(LU006681.002); Default - Understand</v>
      </c>
      <c r="N4" s="2" t="str">
        <f t="shared" si="2"/>
        <v>LU006681.003</v>
      </c>
      <c r="O4" s="2" t="str">
        <f ca="1">IFERROR(__xludf.dummyfunction("VLOOKUP(N4, IMPORTRANGE(""https://docs.google.com/spreadsheets/d/1yDAaXNsi4Mr5FtRQL4tbmSdIzhx6_m4wkOD7IG-k_eo/edit#gid=1336395716"", ""Science!M:N""), 2, FALSE)"),"(LU006681.003); Default - Apply")</f>
        <v>(LU006681.003); Default - Apply</v>
      </c>
      <c r="P4" s="2" t="str">
        <f t="shared" si="3"/>
        <v>LU006681.004</v>
      </c>
      <c r="Q4" s="17" t="str">
        <f ca="1">IFERROR(__xludf.dummyfunction("VLOOKUP(P4, IMPORTRANGE(""https://docs.google.com/spreadsheets/d/1yDAaXNsi4Mr5FtRQL4tbmSdIzhx6_m4wkOD7IG-k_eo/edit#gid=1336395716"", ""Science!M:N""), 2, FALSE)"),"(LU006681.004); Default - Analyse")</f>
        <v>(LU006681.004); Default - Analyse</v>
      </c>
      <c r="R4" s="2" t="str">
        <f t="shared" si="4"/>
        <v>LU006681.005</v>
      </c>
      <c r="S4" s="17" t="str">
        <f ca="1">IFERROR(__xludf.dummyfunction("VLOOKUP(R4, IMPORTRANGE(""https://docs.google.com/spreadsheets/d/1yDAaXNsi4Mr5FtRQL4tbmSdIzhx6_m4wkOD7IG-k_eo/edit#gid=1336395716"", ""Science!M:N""), 2, FALSE)"),"(LU006681.005); Default - Evaluate")</f>
        <v>(LU006681.005); Default - Evaluate</v>
      </c>
      <c r="T4" s="2" t="str">
        <f t="shared" si="5"/>
        <v>LU006681.006</v>
      </c>
      <c r="U4" s="17" t="str">
        <f ca="1">IFERROR(__xludf.dummyfunction("VLOOKUP(T4, IMPORTRANGE(""https://docs.google.com/spreadsheets/d/1yDAaXNsi4Mr5FtRQL4tbmSdIzhx6_m4wkOD7IG-k_eo/edit#gid=1336395716"", ""Science!M:N""), 2, FALSE)"),"(LU006681.006); Default - Create")</f>
        <v>(LU006681.006); Default - Create</v>
      </c>
      <c r="V4" s="113"/>
      <c r="W4" s="113"/>
      <c r="X4" s="113"/>
      <c r="Y4" s="113"/>
      <c r="Z4" s="113"/>
      <c r="AA4" s="113"/>
      <c r="AB4" s="113"/>
      <c r="AC4" s="113"/>
      <c r="AD4" s="113"/>
      <c r="AE4" s="113"/>
      <c r="AF4" s="113"/>
      <c r="AG4" s="113"/>
    </row>
    <row r="5" spans="1:33" ht="27.6">
      <c r="A5" s="111"/>
      <c r="B5" s="111" t="s">
        <v>29</v>
      </c>
      <c r="C5" s="111">
        <v>6</v>
      </c>
      <c r="D5" s="111" t="s">
        <v>1612</v>
      </c>
      <c r="E5" s="111" t="s">
        <v>1613</v>
      </c>
      <c r="F5" s="111" t="s">
        <v>1618</v>
      </c>
      <c r="G5" s="14" t="s">
        <v>1619</v>
      </c>
      <c r="H5" s="112" t="str">
        <f ca="1">IFERROR(__xludf.dummyfunction("IFERROR(
  VLOOKUP(G5, IMPORTRANGE(""https://docs.google.com/spreadsheets/d/14deopnvwcrKtEGCKuYXdUHJbeLDZlkiSSWWT0g7x2pM/edit#gid=849066331"", ""LU List Maths (Filter)!A:B""), 2, FALSE),
  IFERROR(
    VLOOKUP(G5, IMPORTRANGE(""https://docs.google.com/spr"&amp;"eadsheets/d/14deopnvwcrKtEGCKuYXdUHJbeLDZlkiSSWWT0g7x2pM/edit#gid=849066331"", ""LU List Science (Filter)!A:B""), 2, FALSE),
    ""Not Found""
  )
)
"),"Role of Chemicals in Food and Cosmetics")</f>
        <v>Role of Chemicals in Food and Cosmetics</v>
      </c>
      <c r="I5" s="111"/>
      <c r="J5" s="2" t="str">
        <f t="shared" si="0"/>
        <v>LU006682.001</v>
      </c>
      <c r="K5" s="2" t="str">
        <f ca="1">IFERROR(__xludf.dummyfunction("VLOOKUP(J5, IMPORTRANGE(""https://docs.google.com/spreadsheets/d/1yDAaXNsi4Mr5FtRQL4tbmSdIzhx6_m4wkOD7IG-k_eo/edit#gid=1336395716"", ""Science!M:N""), 2, FALSE)"),"(LU006682.001); Default - Remember")</f>
        <v>(LU006682.001); Default - Remember</v>
      </c>
      <c r="L5" s="2" t="str">
        <f t="shared" si="1"/>
        <v>LU006682.002</v>
      </c>
      <c r="M5" s="2" t="str">
        <f ca="1">IFERROR(__xludf.dummyfunction("VLOOKUP(L5, IMPORTRANGE(""https://docs.google.com/spreadsheets/d/1yDAaXNsi4Mr5FtRQL4tbmSdIzhx6_m4wkOD7IG-k_eo/edit#gid=1336395716"", ""Science!M:N""), 2, FALSE)"),"(LU006682.002); Default - Understand")</f>
        <v>(LU006682.002); Default - Understand</v>
      </c>
      <c r="N5" s="2" t="str">
        <f t="shared" si="2"/>
        <v>LU006682.003</v>
      </c>
      <c r="O5" s="2" t="str">
        <f ca="1">IFERROR(__xludf.dummyfunction("VLOOKUP(N5, IMPORTRANGE(""https://docs.google.com/spreadsheets/d/1yDAaXNsi4Mr5FtRQL4tbmSdIzhx6_m4wkOD7IG-k_eo/edit#gid=1336395716"", ""Science!M:N""), 2, FALSE)"),"(LU006682.003); Default - Apply")</f>
        <v>(LU006682.003); Default - Apply</v>
      </c>
      <c r="P5" s="2" t="str">
        <f t="shared" si="3"/>
        <v>LU006682.004</v>
      </c>
      <c r="Q5" s="17" t="str">
        <f ca="1">IFERROR(__xludf.dummyfunction("VLOOKUP(P5, IMPORTRANGE(""https://docs.google.com/spreadsheets/d/1yDAaXNsi4Mr5FtRQL4tbmSdIzhx6_m4wkOD7IG-k_eo/edit#gid=1336395716"", ""Science!M:N""), 2, FALSE)"),"(LU006682.004); Default - Analyse")</f>
        <v>(LU006682.004); Default - Analyse</v>
      </c>
      <c r="R5" s="2" t="str">
        <f t="shared" si="4"/>
        <v>LU006682.005</v>
      </c>
      <c r="S5" s="17" t="str">
        <f ca="1">IFERROR(__xludf.dummyfunction("VLOOKUP(R5, IMPORTRANGE(""https://docs.google.com/spreadsheets/d/1yDAaXNsi4Mr5FtRQL4tbmSdIzhx6_m4wkOD7IG-k_eo/edit#gid=1336395716"", ""Science!M:N""), 2, FALSE)"),"(LU006682.005); Default - Evaluate")</f>
        <v>(LU006682.005); Default - Evaluate</v>
      </c>
      <c r="T5" s="2" t="str">
        <f t="shared" si="5"/>
        <v>LU006682.006</v>
      </c>
      <c r="U5" s="17" t="str">
        <f ca="1">IFERROR(__xludf.dummyfunction("VLOOKUP(T5, IMPORTRANGE(""https://docs.google.com/spreadsheets/d/1yDAaXNsi4Mr5FtRQL4tbmSdIzhx6_m4wkOD7IG-k_eo/edit#gid=1336395716"", ""Science!M:N""), 2, FALSE)"),"(LU006682.006); Default - Create")</f>
        <v>(LU006682.006); Default - Create</v>
      </c>
      <c r="V5" s="113"/>
      <c r="W5" s="113"/>
      <c r="X5" s="113"/>
      <c r="Y5" s="113"/>
      <c r="Z5" s="113"/>
      <c r="AA5" s="113"/>
      <c r="AB5" s="113"/>
      <c r="AC5" s="113"/>
      <c r="AD5" s="113"/>
      <c r="AE5" s="113"/>
      <c r="AF5" s="113"/>
      <c r="AG5" s="113"/>
    </row>
    <row r="6" spans="1:33" ht="27.6">
      <c r="A6" s="111"/>
      <c r="B6" s="111" t="s">
        <v>29</v>
      </c>
      <c r="C6" s="111">
        <v>6</v>
      </c>
      <c r="D6" s="111" t="s">
        <v>1612</v>
      </c>
      <c r="E6" s="111" t="s">
        <v>1613</v>
      </c>
      <c r="F6" s="111" t="s">
        <v>1618</v>
      </c>
      <c r="G6" s="14" t="s">
        <v>1620</v>
      </c>
      <c r="H6" s="112" t="str">
        <f ca="1">IFERROR(__xludf.dummyfunction("IFERROR(
  VLOOKUP(G6, IMPORTRANGE(""https://docs.google.com/spreadsheets/d/14deopnvwcrKtEGCKuYXdUHJbeLDZlkiSSWWT0g7x2pM/edit#gid=849066331"", ""LU List Maths (Filter)!A:B""), 2, FALSE),
  IFERROR(
    VLOOKUP(G6, IMPORTRANGE(""https://docs.google.com/spr"&amp;"eadsheets/d/14deopnvwcrKtEGCKuYXdUHJbeLDZlkiSSWWT0g7x2pM/edit#gid=849066331"", ""LU List Science (Filter)!A:B""), 2, FALSE),
    ""Not Found""
  )
)
"),"Chemicals as Medicines")</f>
        <v>Chemicals as Medicines</v>
      </c>
      <c r="I6" s="111"/>
      <c r="J6" s="2" t="str">
        <f t="shared" si="0"/>
        <v>LU006683.001</v>
      </c>
      <c r="K6" s="2" t="str">
        <f ca="1">IFERROR(__xludf.dummyfunction("VLOOKUP(J6, IMPORTRANGE(""https://docs.google.com/spreadsheets/d/1yDAaXNsi4Mr5FtRQL4tbmSdIzhx6_m4wkOD7IG-k_eo/edit#gid=1336395716"", ""Science!M:N""), 2, FALSE)"),"(LU006683.001); Default - Remember")</f>
        <v>(LU006683.001); Default - Remember</v>
      </c>
      <c r="L6" s="2" t="str">
        <f t="shared" si="1"/>
        <v>LU006683.002</v>
      </c>
      <c r="M6" s="2" t="str">
        <f ca="1">IFERROR(__xludf.dummyfunction("VLOOKUP(L6, IMPORTRANGE(""https://docs.google.com/spreadsheets/d/1yDAaXNsi4Mr5FtRQL4tbmSdIzhx6_m4wkOD7IG-k_eo/edit#gid=1336395716"", ""Science!M:N""), 2, FALSE)"),"(LU006683.002); Default - Understand")</f>
        <v>(LU006683.002); Default - Understand</v>
      </c>
      <c r="N6" s="2" t="str">
        <f t="shared" si="2"/>
        <v>LU006683.003</v>
      </c>
      <c r="O6" s="2" t="str">
        <f ca="1">IFERROR(__xludf.dummyfunction("VLOOKUP(N6, IMPORTRANGE(""https://docs.google.com/spreadsheets/d/1yDAaXNsi4Mr5FtRQL4tbmSdIzhx6_m4wkOD7IG-k_eo/edit#gid=1336395716"", ""Science!M:N""), 2, FALSE)"),"(LU006683.003); Default - Apply")</f>
        <v>(LU006683.003); Default - Apply</v>
      </c>
      <c r="P6" s="2" t="str">
        <f t="shared" si="3"/>
        <v>LU006683.004</v>
      </c>
      <c r="Q6" s="17" t="str">
        <f ca="1">IFERROR(__xludf.dummyfunction("VLOOKUP(P6, IMPORTRANGE(""https://docs.google.com/spreadsheets/d/1yDAaXNsi4Mr5FtRQL4tbmSdIzhx6_m4wkOD7IG-k_eo/edit#gid=1336395716"", ""Science!M:N""), 2, FALSE)"),"(LU006683.004); Default - Analyse")</f>
        <v>(LU006683.004); Default - Analyse</v>
      </c>
      <c r="R6" s="2" t="str">
        <f t="shared" si="4"/>
        <v>LU006683.005</v>
      </c>
      <c r="S6" s="17" t="str">
        <f ca="1">IFERROR(__xludf.dummyfunction("VLOOKUP(R6, IMPORTRANGE(""https://docs.google.com/spreadsheets/d/1yDAaXNsi4Mr5FtRQL4tbmSdIzhx6_m4wkOD7IG-k_eo/edit#gid=1336395716"", ""Science!M:N""), 2, FALSE)"),"(LU006683.005); Default - Evaluate")</f>
        <v>(LU006683.005); Default - Evaluate</v>
      </c>
      <c r="T6" s="2" t="str">
        <f t="shared" si="5"/>
        <v>LU006683.006</v>
      </c>
      <c r="U6" s="17" t="str">
        <f ca="1">IFERROR(__xludf.dummyfunction("VLOOKUP(T6, IMPORTRANGE(""https://docs.google.com/spreadsheets/d/1yDAaXNsi4Mr5FtRQL4tbmSdIzhx6_m4wkOD7IG-k_eo/edit#gid=1336395716"", ""Science!M:N""), 2, FALSE)"),"(LU006683.006); Default - Create")</f>
        <v>(LU006683.006); Default - Create</v>
      </c>
      <c r="V6" s="113"/>
      <c r="W6" s="113"/>
      <c r="X6" s="113"/>
      <c r="Y6" s="113"/>
      <c r="Z6" s="113"/>
      <c r="AA6" s="113"/>
      <c r="AB6" s="113"/>
      <c r="AC6" s="113"/>
      <c r="AD6" s="113"/>
      <c r="AE6" s="113"/>
      <c r="AF6" s="113"/>
      <c r="AG6" s="113"/>
    </row>
    <row r="7" spans="1:33" ht="27.6">
      <c r="A7" s="111"/>
      <c r="B7" s="111" t="s">
        <v>29</v>
      </c>
      <c r="C7" s="111">
        <v>6</v>
      </c>
      <c r="D7" s="111" t="s">
        <v>1612</v>
      </c>
      <c r="E7" s="111" t="s">
        <v>1613</v>
      </c>
      <c r="F7" s="111" t="s">
        <v>1618</v>
      </c>
      <c r="G7" s="14" t="s">
        <v>1621</v>
      </c>
      <c r="H7" s="112" t="str">
        <f ca="1">IFERROR(__xludf.dummyfunction("IFERROR(
  VLOOKUP(G7, IMPORTRANGE(""https://docs.google.com/spreadsheets/d/14deopnvwcrKtEGCKuYXdUHJbeLDZlkiSSWWT0g7x2pM/edit#gid=849066331"", ""LU List Maths (Filter)!A:B""), 2, FALSE),
  IFERROR(
    VLOOKUP(G7, IMPORTRANGE(""https://docs.google.com/spr"&amp;"eadsheets/d/14deopnvwcrKtEGCKuYXdUHJbeLDZlkiSSWWT0g7x2pM/edit#gid=849066331"", ""LU List Science (Filter)!A:B""), 2, FALSE),
    ""Not Found""
  )
)
"),"Role of Chemicals in Clothes and Industries")</f>
        <v>Role of Chemicals in Clothes and Industries</v>
      </c>
      <c r="I7" s="111"/>
      <c r="J7" s="2" t="str">
        <f t="shared" si="0"/>
        <v>LU006684.001</v>
      </c>
      <c r="K7" s="2" t="str">
        <f ca="1">IFERROR(__xludf.dummyfunction("VLOOKUP(J7, IMPORTRANGE(""https://docs.google.com/spreadsheets/d/1yDAaXNsi4Mr5FtRQL4tbmSdIzhx6_m4wkOD7IG-k_eo/edit#gid=1336395716"", ""Science!M:N""), 2, FALSE)"),"(LU006684.001); Default - Remember")</f>
        <v>(LU006684.001); Default - Remember</v>
      </c>
      <c r="L7" s="2" t="str">
        <f t="shared" si="1"/>
        <v>LU006684.002</v>
      </c>
      <c r="M7" s="2" t="str">
        <f ca="1">IFERROR(__xludf.dummyfunction("VLOOKUP(L7, IMPORTRANGE(""https://docs.google.com/spreadsheets/d/1yDAaXNsi4Mr5FtRQL4tbmSdIzhx6_m4wkOD7IG-k_eo/edit#gid=1336395716"", ""Science!M:N""), 2, FALSE)"),"(LU006684.002); Default - Understand")</f>
        <v>(LU006684.002); Default - Understand</v>
      </c>
      <c r="N7" s="2" t="str">
        <f t="shared" si="2"/>
        <v>LU006684.003</v>
      </c>
      <c r="O7" s="2" t="str">
        <f ca="1">IFERROR(__xludf.dummyfunction("VLOOKUP(N7, IMPORTRANGE(""https://docs.google.com/spreadsheets/d/1yDAaXNsi4Mr5FtRQL4tbmSdIzhx6_m4wkOD7IG-k_eo/edit#gid=1336395716"", ""Science!M:N""), 2, FALSE)"),"(LU006684.003); Default - Apply")</f>
        <v>(LU006684.003); Default - Apply</v>
      </c>
      <c r="P7" s="2" t="str">
        <f t="shared" si="3"/>
        <v>LU006684.004</v>
      </c>
      <c r="Q7" s="17" t="str">
        <f ca="1">IFERROR(__xludf.dummyfunction("VLOOKUP(P7, IMPORTRANGE(""https://docs.google.com/spreadsheets/d/1yDAaXNsi4Mr5FtRQL4tbmSdIzhx6_m4wkOD7IG-k_eo/edit#gid=1336395716"", ""Science!M:N""), 2, FALSE)"),"(LU006684.004); Default - Analyse")</f>
        <v>(LU006684.004); Default - Analyse</v>
      </c>
      <c r="R7" s="2" t="str">
        <f t="shared" si="4"/>
        <v>LU006684.005</v>
      </c>
      <c r="S7" s="17" t="str">
        <f ca="1">IFERROR(__xludf.dummyfunction("VLOOKUP(R7, IMPORTRANGE(""https://docs.google.com/spreadsheets/d/1yDAaXNsi4Mr5FtRQL4tbmSdIzhx6_m4wkOD7IG-k_eo/edit#gid=1336395716"", ""Science!M:N""), 2, FALSE)"),"(LU006684.005); Default - Evaluate")</f>
        <v>(LU006684.005); Default - Evaluate</v>
      </c>
      <c r="T7" s="2" t="str">
        <f t="shared" si="5"/>
        <v>LU006684.006</v>
      </c>
      <c r="U7" s="17" t="str">
        <f ca="1">IFERROR(__xludf.dummyfunction("VLOOKUP(T7, IMPORTRANGE(""https://docs.google.com/spreadsheets/d/1yDAaXNsi4Mr5FtRQL4tbmSdIzhx6_m4wkOD7IG-k_eo/edit#gid=1336395716"", ""Science!M:N""), 2, FALSE)"),"(LU006684.006); Default - Create")</f>
        <v>(LU006684.006); Default - Create</v>
      </c>
      <c r="V7" s="113"/>
      <c r="W7" s="113"/>
      <c r="X7" s="113"/>
      <c r="Y7" s="113"/>
      <c r="Z7" s="113"/>
      <c r="AA7" s="113"/>
      <c r="AB7" s="113"/>
      <c r="AC7" s="113"/>
      <c r="AD7" s="113"/>
      <c r="AE7" s="113"/>
      <c r="AF7" s="113"/>
      <c r="AG7" s="113"/>
    </row>
    <row r="8" spans="1:33" ht="41.4">
      <c r="A8" s="111"/>
      <c r="B8" s="111" t="s">
        <v>29</v>
      </c>
      <c r="C8" s="111">
        <v>6</v>
      </c>
      <c r="D8" s="111" t="s">
        <v>1622</v>
      </c>
      <c r="E8" s="111" t="s">
        <v>1613</v>
      </c>
      <c r="F8" s="111" t="s">
        <v>1623</v>
      </c>
      <c r="G8" s="14" t="s">
        <v>1624</v>
      </c>
      <c r="H8" s="112" t="str">
        <f ca="1">IFERROR(__xludf.dummyfunction("IFERROR(
  VLOOKUP(G8, IMPORTRANGE(""https://docs.google.com/spreadsheets/d/14deopnvwcrKtEGCKuYXdUHJbeLDZlkiSSWWT0g7x2pM/edit#gid=849066331"", ""LU List Maths (Filter)!A:B""), 2, FALSE),
  IFERROR(
    VLOOKUP(G8, IMPORTRANGE(""https://docs.google.com/spr"&amp;"eadsheets/d/14deopnvwcrKtEGCKuYXdUHJbeLDZlkiSSWWT0g7x2pM/edit#gid=849066331"", ""LU List Science (Filter)!A:B""), 2, FALSE),
    ""Not Found""
  )
)
"),"Elements are Made up of Identical Atoms")</f>
        <v>Elements are Made up of Identical Atoms</v>
      </c>
      <c r="I8" s="111"/>
      <c r="J8" s="2" t="str">
        <f t="shared" si="0"/>
        <v>LU006685.001</v>
      </c>
      <c r="K8" s="2" t="str">
        <f ca="1">IFERROR(__xludf.dummyfunction("VLOOKUP(J8, IMPORTRANGE(""https://docs.google.com/spreadsheets/d/1yDAaXNsi4Mr5FtRQL4tbmSdIzhx6_m4wkOD7IG-k_eo/edit#gid=1336395716"", ""Science!M:N""), 2, FALSE)"),"(LU006685.001); Default - Remember")</f>
        <v>(LU006685.001); Default - Remember</v>
      </c>
      <c r="L8" s="2" t="str">
        <f t="shared" si="1"/>
        <v>LU006685.002</v>
      </c>
      <c r="M8" s="2" t="str">
        <f ca="1">IFERROR(__xludf.dummyfunction("VLOOKUP(L8, IMPORTRANGE(""https://docs.google.com/spreadsheets/d/1yDAaXNsi4Mr5FtRQL4tbmSdIzhx6_m4wkOD7IG-k_eo/edit#gid=1336395716"", ""Science!M:N""), 2, FALSE)"),"(LU006685.002); Default - Understand")</f>
        <v>(LU006685.002); Default - Understand</v>
      </c>
      <c r="N8" s="2" t="str">
        <f t="shared" si="2"/>
        <v>LU006685.003</v>
      </c>
      <c r="O8" s="2" t="str">
        <f ca="1">IFERROR(__xludf.dummyfunction("VLOOKUP(N8, IMPORTRANGE(""https://docs.google.com/spreadsheets/d/1yDAaXNsi4Mr5FtRQL4tbmSdIzhx6_m4wkOD7IG-k_eo/edit#gid=1336395716"", ""Science!M:N""), 2, FALSE)"),"(LU006685.003); Default - Apply")</f>
        <v>(LU006685.003); Default - Apply</v>
      </c>
      <c r="P8" s="2" t="str">
        <f t="shared" si="3"/>
        <v>LU006685.004</v>
      </c>
      <c r="Q8" s="17" t="str">
        <f ca="1">IFERROR(__xludf.dummyfunction("VLOOKUP(P8, IMPORTRANGE(""https://docs.google.com/spreadsheets/d/1yDAaXNsi4Mr5FtRQL4tbmSdIzhx6_m4wkOD7IG-k_eo/edit#gid=1336395716"", ""Science!M:N""), 2, FALSE)"),"(LU006685.004); Default - Analyse")</f>
        <v>(LU006685.004); Default - Analyse</v>
      </c>
      <c r="R8" s="2" t="str">
        <f t="shared" si="4"/>
        <v>LU006685.005</v>
      </c>
      <c r="S8" s="17" t="str">
        <f ca="1">IFERROR(__xludf.dummyfunction("VLOOKUP(R8, IMPORTRANGE(""https://docs.google.com/spreadsheets/d/1yDAaXNsi4Mr5FtRQL4tbmSdIzhx6_m4wkOD7IG-k_eo/edit#gid=1336395716"", ""Science!M:N""), 2, FALSE)"),"(LU006685.005); Default - Evaluate")</f>
        <v>(LU006685.005); Default - Evaluate</v>
      </c>
      <c r="T8" s="2" t="str">
        <f t="shared" si="5"/>
        <v>LU006685.006</v>
      </c>
      <c r="U8" s="17" t="str">
        <f ca="1">IFERROR(__xludf.dummyfunction("VLOOKUP(T8, IMPORTRANGE(""https://docs.google.com/spreadsheets/d/1yDAaXNsi4Mr5FtRQL4tbmSdIzhx6_m4wkOD7IG-k_eo/edit#gid=1336395716"", ""Science!M:N""), 2, FALSE)"),"(LU006685.006); Default - Create")</f>
        <v>(LU006685.006); Default - Create</v>
      </c>
      <c r="V8" s="113"/>
      <c r="W8" s="113"/>
      <c r="X8" s="113"/>
      <c r="Y8" s="113"/>
      <c r="Z8" s="113"/>
      <c r="AA8" s="113"/>
      <c r="AB8" s="113"/>
      <c r="AC8" s="113"/>
      <c r="AD8" s="113"/>
      <c r="AE8" s="113"/>
      <c r="AF8" s="113"/>
      <c r="AG8" s="113"/>
    </row>
    <row r="9" spans="1:33" ht="41.4">
      <c r="A9" s="111"/>
      <c r="B9" s="111" t="s">
        <v>29</v>
      </c>
      <c r="C9" s="111">
        <v>6</v>
      </c>
      <c r="D9" s="111" t="s">
        <v>1622</v>
      </c>
      <c r="E9" s="111" t="s">
        <v>1613</v>
      </c>
      <c r="F9" s="111" t="s">
        <v>1623</v>
      </c>
      <c r="G9" s="14" t="s">
        <v>1625</v>
      </c>
      <c r="H9" s="112" t="str">
        <f ca="1">IFERROR(__xludf.dummyfunction("IFERROR(
  VLOOKUP(G9, IMPORTRANGE(""https://docs.google.com/spreadsheets/d/14deopnvwcrKtEGCKuYXdUHJbeLDZlkiSSWWT0g7x2pM/edit#gid=849066331"", ""LU List Maths (Filter)!A:B""), 2, FALSE),
  IFERROR(
    VLOOKUP(G9, IMPORTRANGE(""https://docs.google.com/spr"&amp;"eadsheets/d/14deopnvwcrKtEGCKuYXdUHJbeLDZlkiSSWWT0g7x2pM/edit#gid=849066331"", ""LU List Science (Filter)!A:B""), 2, FALSE),
    ""Not Found""
  )
)
"),"Origin and Use of Symbols to Represent Elements")</f>
        <v>Origin and Use of Symbols to Represent Elements</v>
      </c>
      <c r="I9" s="111"/>
      <c r="J9" s="2" t="str">
        <f t="shared" si="0"/>
        <v>LU006686.001</v>
      </c>
      <c r="K9" s="2" t="str">
        <f ca="1">IFERROR(__xludf.dummyfunction("VLOOKUP(J9, IMPORTRANGE(""https://docs.google.com/spreadsheets/d/1yDAaXNsi4Mr5FtRQL4tbmSdIzhx6_m4wkOD7IG-k_eo/edit#gid=1336395716"", ""Science!M:N""), 2, FALSE)"),"(LU006686.001); Default - Remember")</f>
        <v>(LU006686.001); Default - Remember</v>
      </c>
      <c r="L9" s="2" t="str">
        <f t="shared" si="1"/>
        <v>LU006686.002</v>
      </c>
      <c r="M9" s="2" t="str">
        <f ca="1">IFERROR(__xludf.dummyfunction("VLOOKUP(L9, IMPORTRANGE(""https://docs.google.com/spreadsheets/d/1yDAaXNsi4Mr5FtRQL4tbmSdIzhx6_m4wkOD7IG-k_eo/edit#gid=1336395716"", ""Science!M:N""), 2, FALSE)"),"(LU006686.002); Default - Understand")</f>
        <v>(LU006686.002); Default - Understand</v>
      </c>
      <c r="N9" s="2" t="str">
        <f t="shared" si="2"/>
        <v>LU006686.003</v>
      </c>
      <c r="O9" s="2" t="str">
        <f ca="1">IFERROR(__xludf.dummyfunction("VLOOKUP(N9, IMPORTRANGE(""https://docs.google.com/spreadsheets/d/1yDAaXNsi4Mr5FtRQL4tbmSdIzhx6_m4wkOD7IG-k_eo/edit#gid=1336395716"", ""Science!M:N""), 2, FALSE)"),"(LU006686.003); Default - Apply")</f>
        <v>(LU006686.003); Default - Apply</v>
      </c>
      <c r="P9" s="2" t="str">
        <f t="shared" si="3"/>
        <v>LU006686.004</v>
      </c>
      <c r="Q9" s="17" t="str">
        <f ca="1">IFERROR(__xludf.dummyfunction("VLOOKUP(P9, IMPORTRANGE(""https://docs.google.com/spreadsheets/d/1yDAaXNsi4Mr5FtRQL4tbmSdIzhx6_m4wkOD7IG-k_eo/edit#gid=1336395716"", ""Science!M:N""), 2, FALSE)"),"(LU006686.004); Default - Analyse")</f>
        <v>(LU006686.004); Default - Analyse</v>
      </c>
      <c r="R9" s="2" t="str">
        <f t="shared" si="4"/>
        <v>LU006686.005</v>
      </c>
      <c r="S9" s="17" t="str">
        <f ca="1">IFERROR(__xludf.dummyfunction("VLOOKUP(R9, IMPORTRANGE(""https://docs.google.com/spreadsheets/d/1yDAaXNsi4Mr5FtRQL4tbmSdIzhx6_m4wkOD7IG-k_eo/edit#gid=1336395716"", ""Science!M:N""), 2, FALSE)"),"(LU006686.005); Default - Evaluate")</f>
        <v>(LU006686.005); Default - Evaluate</v>
      </c>
      <c r="T9" s="2" t="str">
        <f t="shared" si="5"/>
        <v>LU006686.006</v>
      </c>
      <c r="U9" s="17" t="str">
        <f ca="1">IFERROR(__xludf.dummyfunction("VLOOKUP(T9, IMPORTRANGE(""https://docs.google.com/spreadsheets/d/1yDAaXNsi4Mr5FtRQL4tbmSdIzhx6_m4wkOD7IG-k_eo/edit#gid=1336395716"", ""Science!M:N""), 2, FALSE)"),"(LU006686.006); Default - Create")</f>
        <v>(LU006686.006); Default - Create</v>
      </c>
      <c r="V9" s="113"/>
      <c r="W9" s="113"/>
      <c r="X9" s="113"/>
      <c r="Y9" s="113"/>
      <c r="Z9" s="113"/>
      <c r="AA9" s="113"/>
      <c r="AB9" s="113"/>
      <c r="AC9" s="113"/>
      <c r="AD9" s="113"/>
      <c r="AE9" s="113"/>
      <c r="AF9" s="113"/>
      <c r="AG9" s="113"/>
    </row>
    <row r="10" spans="1:33" ht="41.4">
      <c r="A10" s="111"/>
      <c r="B10" s="111" t="s">
        <v>29</v>
      </c>
      <c r="C10" s="111">
        <v>6</v>
      </c>
      <c r="D10" s="111" t="s">
        <v>1622</v>
      </c>
      <c r="E10" s="111" t="s">
        <v>1613</v>
      </c>
      <c r="F10" s="111" t="s">
        <v>1623</v>
      </c>
      <c r="G10" s="14" t="s">
        <v>1626</v>
      </c>
      <c r="H10" s="112" t="str">
        <f ca="1">IFERROR(__xludf.dummyfunction("IFERROR(
  VLOOKUP(G10, IMPORTRANGE(""https://docs.google.com/spreadsheets/d/14deopnvwcrKtEGCKuYXdUHJbeLDZlkiSSWWT0g7x2pM/edit#gid=849066331"", ""LU List Maths (Filter)!A:B""), 2, FALSE),
  IFERROR(
    VLOOKUP(G10, IMPORTRANGE(""https://docs.google.com/s"&amp;"preadsheets/d/14deopnvwcrKtEGCKuYXdUHJbeLDZlkiSSWWT0g7x2pM/edit#gid=849066331"", ""LU List Science (Filter)!A:B""), 2, FALSE),
    ""Not Found""
  )
)
"),"Molecules of Elements")</f>
        <v>Molecules of Elements</v>
      </c>
      <c r="I10" s="111"/>
      <c r="J10" s="2" t="str">
        <f t="shared" si="0"/>
        <v>LU006687.001</v>
      </c>
      <c r="K10" s="2" t="str">
        <f ca="1">IFERROR(__xludf.dummyfunction("VLOOKUP(J10, IMPORTRANGE(""https://docs.google.com/spreadsheets/d/1yDAaXNsi4Mr5FtRQL4tbmSdIzhx6_m4wkOD7IG-k_eo/edit#gid=1336395716"", ""Science!M:N""), 2, FALSE)"),"(LU006687.001); Default - Remember")</f>
        <v>(LU006687.001); Default - Remember</v>
      </c>
      <c r="L10" s="2" t="str">
        <f t="shared" si="1"/>
        <v>LU006687.002</v>
      </c>
      <c r="M10" s="2" t="str">
        <f ca="1">IFERROR(__xludf.dummyfunction("VLOOKUP(L10, IMPORTRANGE(""https://docs.google.com/spreadsheets/d/1yDAaXNsi4Mr5FtRQL4tbmSdIzhx6_m4wkOD7IG-k_eo/edit#gid=1336395716"", ""Science!M:N""), 2, FALSE)"),"(LU006687.002); Default - Understand")</f>
        <v>(LU006687.002); Default - Understand</v>
      </c>
      <c r="N10" s="2" t="str">
        <f t="shared" si="2"/>
        <v>LU006687.003</v>
      </c>
      <c r="O10" s="2" t="str">
        <f ca="1">IFERROR(__xludf.dummyfunction("VLOOKUP(N10, IMPORTRANGE(""https://docs.google.com/spreadsheets/d/1yDAaXNsi4Mr5FtRQL4tbmSdIzhx6_m4wkOD7IG-k_eo/edit#gid=1336395716"", ""Science!M:N""), 2, FALSE)"),"(LU006687.003); Default - Apply")</f>
        <v>(LU006687.003); Default - Apply</v>
      </c>
      <c r="P10" s="2" t="str">
        <f t="shared" si="3"/>
        <v>LU006687.004</v>
      </c>
      <c r="Q10" s="17" t="str">
        <f ca="1">IFERROR(__xludf.dummyfunction("VLOOKUP(P10, IMPORTRANGE(""https://docs.google.com/spreadsheets/d/1yDAaXNsi4Mr5FtRQL4tbmSdIzhx6_m4wkOD7IG-k_eo/edit#gid=1336395716"", ""Science!M:N""), 2, FALSE)"),"(LU006687.004); Default - Analyse")</f>
        <v>(LU006687.004); Default - Analyse</v>
      </c>
      <c r="R10" s="2" t="str">
        <f t="shared" si="4"/>
        <v>LU006687.005</v>
      </c>
      <c r="S10" s="17" t="str">
        <f ca="1">IFERROR(__xludf.dummyfunction("VLOOKUP(R10, IMPORTRANGE(""https://docs.google.com/spreadsheets/d/1yDAaXNsi4Mr5FtRQL4tbmSdIzhx6_m4wkOD7IG-k_eo/edit#gid=1336395716"", ""Science!M:N""), 2, FALSE)"),"(LU006687.005); Default - Evaluate")</f>
        <v>(LU006687.005); Default - Evaluate</v>
      </c>
      <c r="T10" s="2" t="str">
        <f t="shared" si="5"/>
        <v>LU006687.006</v>
      </c>
      <c r="U10" s="17" t="str">
        <f ca="1">IFERROR(__xludf.dummyfunction("VLOOKUP(T10, IMPORTRANGE(""https://docs.google.com/spreadsheets/d/1yDAaXNsi4Mr5FtRQL4tbmSdIzhx6_m4wkOD7IG-k_eo/edit#gid=1336395716"", ""Science!M:N""), 2, FALSE)"),"(LU006687.006); Default - Create")</f>
        <v>(LU006687.006); Default - Create</v>
      </c>
      <c r="V10" s="113"/>
      <c r="W10" s="113"/>
      <c r="X10" s="113"/>
      <c r="Y10" s="113"/>
      <c r="Z10" s="113"/>
      <c r="AA10" s="113"/>
      <c r="AB10" s="113"/>
      <c r="AC10" s="113"/>
      <c r="AD10" s="113"/>
      <c r="AE10" s="113"/>
      <c r="AF10" s="113"/>
      <c r="AG10" s="113"/>
    </row>
    <row r="11" spans="1:33" ht="41.4">
      <c r="A11" s="111"/>
      <c r="B11" s="111" t="s">
        <v>29</v>
      </c>
      <c r="C11" s="111">
        <v>6</v>
      </c>
      <c r="D11" s="111" t="s">
        <v>1622</v>
      </c>
      <c r="E11" s="111" t="s">
        <v>1613</v>
      </c>
      <c r="F11" s="111" t="s">
        <v>1627</v>
      </c>
      <c r="G11" s="14" t="s">
        <v>1628</v>
      </c>
      <c r="H11" s="112" t="str">
        <f ca="1">IFERROR(__xludf.dummyfunction("IFERROR(
  VLOOKUP(G11, IMPORTRANGE(""https://docs.google.com/spreadsheets/d/14deopnvwcrKtEGCKuYXdUHJbeLDZlkiSSWWT0g7x2pM/edit#gid=849066331"", ""LU List Maths (Filter)!A:B""), 2, FALSE),
  IFERROR(
    VLOOKUP(G11, IMPORTRANGE(""https://docs.google.com/s"&amp;"preadsheets/d/14deopnvwcrKtEGCKuYXdUHJbeLDZlkiSSWWT0g7x2pM/edit#gid=849066331"", ""LU List Science (Filter)!A:B""), 2, FALSE),
    ""Not Found""
  )
)
"),"Molecules of Compounds")</f>
        <v>Molecules of Compounds</v>
      </c>
      <c r="I11" s="111"/>
      <c r="J11" s="2" t="str">
        <f t="shared" si="0"/>
        <v>LU006688.001</v>
      </c>
      <c r="K11" s="2" t="str">
        <f ca="1">IFERROR(__xludf.dummyfunction("VLOOKUP(J11, IMPORTRANGE(""https://docs.google.com/spreadsheets/d/1yDAaXNsi4Mr5FtRQL4tbmSdIzhx6_m4wkOD7IG-k_eo/edit#gid=1336395716"", ""Science!M:N""), 2, FALSE)"),"(LU006688.001); Default - Remember")</f>
        <v>(LU006688.001); Default - Remember</v>
      </c>
      <c r="L11" s="2" t="str">
        <f t="shared" si="1"/>
        <v>LU006688.002</v>
      </c>
      <c r="M11" s="2" t="str">
        <f ca="1">IFERROR(__xludf.dummyfunction("VLOOKUP(L11, IMPORTRANGE(""https://docs.google.com/spreadsheets/d/1yDAaXNsi4Mr5FtRQL4tbmSdIzhx6_m4wkOD7IG-k_eo/edit#gid=1336395716"", ""Science!M:N""), 2, FALSE)"),"(LU006688.002); Default - Understand")</f>
        <v>(LU006688.002); Default - Understand</v>
      </c>
      <c r="N11" s="2" t="str">
        <f t="shared" si="2"/>
        <v>LU006688.003</v>
      </c>
      <c r="O11" s="2" t="str">
        <f ca="1">IFERROR(__xludf.dummyfunction("VLOOKUP(N11, IMPORTRANGE(""https://docs.google.com/spreadsheets/d/1yDAaXNsi4Mr5FtRQL4tbmSdIzhx6_m4wkOD7IG-k_eo/edit#gid=1336395716"", ""Science!M:N""), 2, FALSE)"),"(LU006688.003); Default - Apply")</f>
        <v>(LU006688.003); Default - Apply</v>
      </c>
      <c r="P11" s="2" t="str">
        <f t="shared" si="3"/>
        <v>LU006688.004</v>
      </c>
      <c r="Q11" s="17" t="str">
        <f ca="1">IFERROR(__xludf.dummyfunction("VLOOKUP(P11, IMPORTRANGE(""https://docs.google.com/spreadsheets/d/1yDAaXNsi4Mr5FtRQL4tbmSdIzhx6_m4wkOD7IG-k_eo/edit#gid=1336395716"", ""Science!M:N""), 2, FALSE)"),"(LU006688.004); Default - Analyse")</f>
        <v>(LU006688.004); Default - Analyse</v>
      </c>
      <c r="R11" s="2" t="str">
        <f t="shared" si="4"/>
        <v>LU006688.005</v>
      </c>
      <c r="S11" s="17" t="str">
        <f ca="1">IFERROR(__xludf.dummyfunction("VLOOKUP(R11, IMPORTRANGE(""https://docs.google.com/spreadsheets/d/1yDAaXNsi4Mr5FtRQL4tbmSdIzhx6_m4wkOD7IG-k_eo/edit#gid=1336395716"", ""Science!M:N""), 2, FALSE)"),"(LU006688.005); Default - Evaluate")</f>
        <v>(LU006688.005); Default - Evaluate</v>
      </c>
      <c r="T11" s="2" t="str">
        <f t="shared" si="5"/>
        <v>LU006688.006</v>
      </c>
      <c r="U11" s="17" t="str">
        <f ca="1">IFERROR(__xludf.dummyfunction("VLOOKUP(T11, IMPORTRANGE(""https://docs.google.com/spreadsheets/d/1yDAaXNsi4Mr5FtRQL4tbmSdIzhx6_m4wkOD7IG-k_eo/edit#gid=1336395716"", ""Science!M:N""), 2, FALSE)"),"(LU006688.006); Default - Create")</f>
        <v>(LU006688.006); Default - Create</v>
      </c>
      <c r="V11" s="113"/>
      <c r="W11" s="113"/>
      <c r="X11" s="113"/>
      <c r="Y11" s="113"/>
      <c r="Z11" s="113"/>
      <c r="AA11" s="113"/>
      <c r="AB11" s="113"/>
      <c r="AC11" s="113"/>
      <c r="AD11" s="113"/>
      <c r="AE11" s="113"/>
      <c r="AF11" s="113"/>
      <c r="AG11" s="113"/>
    </row>
    <row r="12" spans="1:33" ht="41.4">
      <c r="A12" s="111"/>
      <c r="B12" s="111" t="s">
        <v>29</v>
      </c>
      <c r="C12" s="111">
        <v>6</v>
      </c>
      <c r="D12" s="111" t="s">
        <v>1622</v>
      </c>
      <c r="E12" s="111" t="s">
        <v>1613</v>
      </c>
      <c r="F12" s="111" t="s">
        <v>1627</v>
      </c>
      <c r="G12" s="14" t="s">
        <v>1629</v>
      </c>
      <c r="H12" s="112" t="str">
        <f ca="1">IFERROR(__xludf.dummyfunction("IFERROR(
  VLOOKUP(G12, IMPORTRANGE(""https://docs.google.com/spreadsheets/d/14deopnvwcrKtEGCKuYXdUHJbeLDZlkiSSWWT0g7x2pM/edit#gid=849066331"", ""LU List Maths (Filter)!A:B""), 2, FALSE),
  IFERROR(
    VLOOKUP(G12, IMPORTRANGE(""https://docs.google.com/s"&amp;"preadsheets/d/14deopnvwcrKtEGCKuYXdUHJbeLDZlkiSSWWT0g7x2pM/edit#gid=849066331"", ""LU List Science (Filter)!A:B""), 2, FALSE),
    ""Not Found""
  )
)
"),"Properties of Compounds")</f>
        <v>Properties of Compounds</v>
      </c>
      <c r="I12" s="111"/>
      <c r="J12" s="2" t="str">
        <f t="shared" si="0"/>
        <v>LU006689.001</v>
      </c>
      <c r="K12" s="2" t="str">
        <f ca="1">IFERROR(__xludf.dummyfunction("VLOOKUP(J12, IMPORTRANGE(""https://docs.google.com/spreadsheets/d/1yDAaXNsi4Mr5FtRQL4tbmSdIzhx6_m4wkOD7IG-k_eo/edit#gid=1336395716"", ""Science!M:N""), 2, FALSE)"),"(LU006689.001); Default - Remember")</f>
        <v>(LU006689.001); Default - Remember</v>
      </c>
      <c r="L12" s="2" t="str">
        <f t="shared" si="1"/>
        <v>LU006689.002</v>
      </c>
      <c r="M12" s="2" t="str">
        <f ca="1">IFERROR(__xludf.dummyfunction("VLOOKUP(L12, IMPORTRANGE(""https://docs.google.com/spreadsheets/d/1yDAaXNsi4Mr5FtRQL4tbmSdIzhx6_m4wkOD7IG-k_eo/edit#gid=1336395716"", ""Science!M:N""), 2, FALSE)"),"(LU006689.002); Default - Understand")</f>
        <v>(LU006689.002); Default - Understand</v>
      </c>
      <c r="N12" s="2" t="str">
        <f t="shared" si="2"/>
        <v>LU006689.003</v>
      </c>
      <c r="O12" s="2" t="str">
        <f ca="1">IFERROR(__xludf.dummyfunction("VLOOKUP(N12, IMPORTRANGE(""https://docs.google.com/spreadsheets/d/1yDAaXNsi4Mr5FtRQL4tbmSdIzhx6_m4wkOD7IG-k_eo/edit#gid=1336395716"", ""Science!M:N""), 2, FALSE)"),"(LU006689.003); Default - Apply")</f>
        <v>(LU006689.003); Default - Apply</v>
      </c>
      <c r="P12" s="2" t="str">
        <f t="shared" si="3"/>
        <v>LU006689.004</v>
      </c>
      <c r="Q12" s="17" t="str">
        <f ca="1">IFERROR(__xludf.dummyfunction("VLOOKUP(P12, IMPORTRANGE(""https://docs.google.com/spreadsheets/d/1yDAaXNsi4Mr5FtRQL4tbmSdIzhx6_m4wkOD7IG-k_eo/edit#gid=1336395716"", ""Science!M:N""), 2, FALSE)"),"(LU006689.004); Default - Analyse")</f>
        <v>(LU006689.004); Default - Analyse</v>
      </c>
      <c r="R12" s="2" t="str">
        <f t="shared" si="4"/>
        <v>LU006689.005</v>
      </c>
      <c r="S12" s="17" t="str">
        <f ca="1">IFERROR(__xludf.dummyfunction("VLOOKUP(R12, IMPORTRANGE(""https://docs.google.com/spreadsheets/d/1yDAaXNsi4Mr5FtRQL4tbmSdIzhx6_m4wkOD7IG-k_eo/edit#gid=1336395716"", ""Science!M:N""), 2, FALSE)"),"(LU006689.005); Default - Evaluate")</f>
        <v>(LU006689.005); Default - Evaluate</v>
      </c>
      <c r="T12" s="2" t="str">
        <f t="shared" si="5"/>
        <v>LU006689.006</v>
      </c>
      <c r="U12" s="17" t="str">
        <f ca="1">IFERROR(__xludf.dummyfunction("VLOOKUP(T12, IMPORTRANGE(""https://docs.google.com/spreadsheets/d/1yDAaXNsi4Mr5FtRQL4tbmSdIzhx6_m4wkOD7IG-k_eo/edit#gid=1336395716"", ""Science!M:N""), 2, FALSE)"),"(LU006689.006); Default - Create")</f>
        <v>(LU006689.006); Default - Create</v>
      </c>
      <c r="V12" s="113"/>
      <c r="W12" s="113"/>
      <c r="X12" s="113"/>
      <c r="Y12" s="113"/>
      <c r="Z12" s="113"/>
      <c r="AA12" s="113"/>
      <c r="AB12" s="113"/>
      <c r="AC12" s="113"/>
      <c r="AD12" s="113"/>
      <c r="AE12" s="113"/>
      <c r="AF12" s="113"/>
      <c r="AG12" s="113"/>
    </row>
    <row r="13" spans="1:33" ht="41.4">
      <c r="A13" s="111"/>
      <c r="B13" s="111" t="s">
        <v>29</v>
      </c>
      <c r="C13" s="111">
        <v>6</v>
      </c>
      <c r="D13" s="111" t="s">
        <v>1622</v>
      </c>
      <c r="E13" s="111" t="s">
        <v>1613</v>
      </c>
      <c r="F13" s="111" t="s">
        <v>1630</v>
      </c>
      <c r="G13" s="14" t="s">
        <v>1631</v>
      </c>
      <c r="H13" s="112" t="str">
        <f ca="1">IFERROR(__xludf.dummyfunction("IFERROR(
  VLOOKUP(G13, IMPORTRANGE(""https://docs.google.com/spreadsheets/d/14deopnvwcrKtEGCKuYXdUHJbeLDZlkiSSWWT0g7x2pM/edit#gid=849066331"", ""LU List Maths (Filter)!A:B""), 2, FALSE),
  IFERROR(
    VLOOKUP(G13, IMPORTRANGE(""https://docs.google.com/s"&amp;"preadsheets/d/14deopnvwcrKtEGCKuYXdUHJbeLDZlkiSSWWT0g7x2pM/edit#gid=849066331"", ""LU List Science (Filter)!A:B""), 2, FALSE),
    ""Not Found""
  )
)
"),"Properties of Mixtures")</f>
        <v>Properties of Mixtures</v>
      </c>
      <c r="I13" s="111"/>
      <c r="J13" s="2" t="str">
        <f t="shared" si="0"/>
        <v>LU006690.001</v>
      </c>
      <c r="K13" s="2" t="str">
        <f ca="1">IFERROR(__xludf.dummyfunction("VLOOKUP(J13, IMPORTRANGE(""https://docs.google.com/spreadsheets/d/1yDAaXNsi4Mr5FtRQL4tbmSdIzhx6_m4wkOD7IG-k_eo/edit#gid=1336395716"", ""Science!M:N""), 2, FALSE)"),"(LU006690.001); Default - Remember")</f>
        <v>(LU006690.001); Default - Remember</v>
      </c>
      <c r="L13" s="2" t="str">
        <f t="shared" si="1"/>
        <v>LU006690.002</v>
      </c>
      <c r="M13" s="2" t="str">
        <f ca="1">IFERROR(__xludf.dummyfunction("VLOOKUP(L13, IMPORTRANGE(""https://docs.google.com/spreadsheets/d/1yDAaXNsi4Mr5FtRQL4tbmSdIzhx6_m4wkOD7IG-k_eo/edit#gid=1336395716"", ""Science!M:N""), 2, FALSE)"),"(LU006690.002); Default - Understand")</f>
        <v>(LU006690.002); Default - Understand</v>
      </c>
      <c r="N13" s="2" t="str">
        <f t="shared" si="2"/>
        <v>LU006690.003</v>
      </c>
      <c r="O13" s="2" t="str">
        <f ca="1">IFERROR(__xludf.dummyfunction("VLOOKUP(N13, IMPORTRANGE(""https://docs.google.com/spreadsheets/d/1yDAaXNsi4Mr5FtRQL4tbmSdIzhx6_m4wkOD7IG-k_eo/edit#gid=1336395716"", ""Science!M:N""), 2, FALSE)"),"(LU006690.003); Default - Apply")</f>
        <v>(LU006690.003); Default - Apply</v>
      </c>
      <c r="P13" s="2" t="str">
        <f t="shared" si="3"/>
        <v>LU006690.004</v>
      </c>
      <c r="Q13" s="17" t="str">
        <f ca="1">IFERROR(__xludf.dummyfunction("VLOOKUP(P13, IMPORTRANGE(""https://docs.google.com/spreadsheets/d/1yDAaXNsi4Mr5FtRQL4tbmSdIzhx6_m4wkOD7IG-k_eo/edit#gid=1336395716"", ""Science!M:N""), 2, FALSE)"),"(LU006690.004); Default - Analyse")</f>
        <v>(LU006690.004); Default - Analyse</v>
      </c>
      <c r="R13" s="2" t="str">
        <f t="shared" si="4"/>
        <v>LU006690.005</v>
      </c>
      <c r="S13" s="17" t="str">
        <f ca="1">IFERROR(__xludf.dummyfunction("VLOOKUP(R13, IMPORTRANGE(""https://docs.google.com/spreadsheets/d/1yDAaXNsi4Mr5FtRQL4tbmSdIzhx6_m4wkOD7IG-k_eo/edit#gid=1336395716"", ""Science!M:N""), 2, FALSE)"),"(LU006690.005); Default - Evaluate")</f>
        <v>(LU006690.005); Default - Evaluate</v>
      </c>
      <c r="T13" s="2" t="str">
        <f t="shared" si="5"/>
        <v>LU006690.006</v>
      </c>
      <c r="U13" s="17" t="str">
        <f ca="1">IFERROR(__xludf.dummyfunction("VLOOKUP(T13, IMPORTRANGE(""https://docs.google.com/spreadsheets/d/1yDAaXNsi4Mr5FtRQL4tbmSdIzhx6_m4wkOD7IG-k_eo/edit#gid=1336395716"", ""Science!M:N""), 2, FALSE)"),"(LU006690.006); Default - Create")</f>
        <v>(LU006690.006); Default - Create</v>
      </c>
      <c r="V13" s="113"/>
      <c r="W13" s="113"/>
      <c r="X13" s="113"/>
      <c r="Y13" s="113"/>
      <c r="Z13" s="113"/>
      <c r="AA13" s="113"/>
      <c r="AB13" s="113"/>
      <c r="AC13" s="113"/>
      <c r="AD13" s="113"/>
      <c r="AE13" s="113"/>
      <c r="AF13" s="113"/>
      <c r="AG13" s="113"/>
    </row>
    <row r="14" spans="1:33" ht="41.4">
      <c r="A14" s="111"/>
      <c r="B14" s="111" t="s">
        <v>29</v>
      </c>
      <c r="C14" s="111">
        <v>6</v>
      </c>
      <c r="D14" s="111" t="s">
        <v>1622</v>
      </c>
      <c r="E14" s="111" t="s">
        <v>1613</v>
      </c>
      <c r="F14" s="111" t="s">
        <v>1630</v>
      </c>
      <c r="G14" s="1" t="s">
        <v>1632</v>
      </c>
      <c r="H14" s="112" t="str">
        <f ca="1">IFERROR(__xludf.dummyfunction("IFERROR(
  VLOOKUP(G14, IMPORTRANGE(""https://docs.google.com/spreadsheets/d/14deopnvwcrKtEGCKuYXdUHJbeLDZlkiSSWWT0g7x2pM/edit#gid=849066331"", ""LU List Maths (Filter)!A:B""), 2, FALSE),
  IFERROR(
    VLOOKUP(G14, IMPORTRANGE(""https://docs.google.com/s"&amp;"preadsheets/d/14deopnvwcrKtEGCKuYXdUHJbeLDZlkiSSWWT0g7x2pM/edit#gid=849066331"", ""LU List Science (Filter)!A:B""), 2, FALSE),
    ""Not Found""
  )
)
"),"Comparison of Mixtures and Pure Substances")</f>
        <v>Comparison of Mixtures and Pure Substances</v>
      </c>
      <c r="I14" s="111" t="s">
        <v>1633</v>
      </c>
      <c r="J14" s="2" t="str">
        <f t="shared" si="0"/>
        <v>LU006228.001</v>
      </c>
      <c r="K14" s="2" t="str">
        <f ca="1">IFERROR(__xludf.dummyfunction("VLOOKUP(J14, IMPORTRANGE(""https://docs.google.com/spreadsheets/d/1yDAaXNsi4Mr5FtRQL4tbmSdIzhx6_m4wkOD7IG-k_eo/edit#gid=1336395716"", ""Science!M:N""), 2, FALSE)"),"Differentiate between a compound and a mixture.")</f>
        <v>Differentiate between a compound and a mixture.</v>
      </c>
      <c r="L14" s="2" t="str">
        <f t="shared" si="1"/>
        <v>LU006228.002</v>
      </c>
      <c r="M14" s="2" t="str">
        <f ca="1">IFERROR(__xludf.dummyfunction("VLOOKUP(L14, IMPORTRANGE(""https://docs.google.com/spreadsheets/d/1yDAaXNsi4Mr5FtRQL4tbmSdIzhx6_m4wkOD7IG-k_eo/edit#gid=1336395716"", ""Science!M:N""), 2, FALSE)"),"Explain why the composition of compounds is fixed while that of mixtures is variable.")</f>
        <v>Explain why the composition of compounds is fixed while that of mixtures is variable.</v>
      </c>
      <c r="N14" s="2" t="str">
        <f t="shared" si="2"/>
        <v>LU006228.003</v>
      </c>
      <c r="O14" s="2" t="str">
        <f ca="1">IFERROR(__xludf.dummyfunction("VLOOKUP(N14, IMPORTRANGE(""https://docs.google.com/spreadsheets/d/1yDAaXNsi4Mr5FtRQL4tbmSdIzhx6_m4wkOD7IG-k_eo/edit#gid=1336395716"", ""Science!M:N""), 2, FALSE)"),"Demonstrate the separation of a mixture using physical methods and compare it with the separation of a compound using chemical methods.")</f>
        <v>Demonstrate the separation of a mixture using physical methods and compare it with the separation of a compound using chemical methods.</v>
      </c>
      <c r="P14" s="2" t="str">
        <f t="shared" si="3"/>
        <v>LU006228.004</v>
      </c>
      <c r="Q14" s="17" t="str">
        <f ca="1">IFERROR(__xludf.dummyfunction("VLOOKUP(P14, IMPORTRANGE(""https://docs.google.com/spreadsheets/d/1yDAaXNsi4Mr5FtRQL4tbmSdIzhx6_m4wkOD7IG-k_eo/edit#gid=1336395716"", ""Science!M:N""), 2, FALSE)"),"Compare the properties of a mixture and a compound, emphasizing how the properties of a mixture reflect its constituents, whereas a compound has entirely new properties.")</f>
        <v>Compare the properties of a mixture and a compound, emphasizing how the properties of a mixture reflect its constituents, whereas a compound has entirely new properties.</v>
      </c>
      <c r="R14" s="2" t="str">
        <f t="shared" si="4"/>
        <v>LU006228.005</v>
      </c>
      <c r="S14" s="17" t="str">
        <f ca="1">IFERROR(__xludf.dummyfunction("VLOOKUP(R14, IMPORTRANGE(""https://docs.google.com/spreadsheets/d/1yDAaXNsi4Mr5FtRQL4tbmSdIzhx6_m4wkOD7IG-k_eo/edit#gid=1336395716"", ""Science!M:N""), 2, FALSE)"),"Evaluate the methods used to separate constituents of mixtures and compounds, explaining why chemical or electrochemical reactions are necessary for compounds.")</f>
        <v>Evaluate the methods used to separate constituents of mixtures and compounds, explaining why chemical or electrochemical reactions are necessary for compounds.</v>
      </c>
      <c r="T14" s="2" t="str">
        <f t="shared" si="5"/>
        <v>LU006228.006</v>
      </c>
      <c r="U14" s="17" t="str">
        <f ca="1">IFERROR(__xludf.dummyfunction("VLOOKUP(T14, IMPORTRANGE(""https://docs.google.com/spreadsheets/d/1yDAaXNsi4Mr5FtRQL4tbmSdIzhx6_m4wkOD7IG-k_eo/edit#gid=1336395716"", ""Science!M:N""), 2, FALSE)"),"Design an experiment to create a mixture and a compound, and then separate their constituents using appropriate physical and chemical methods, respectively.")</f>
        <v>Design an experiment to create a mixture and a compound, and then separate their constituents using appropriate physical and chemical methods, respectively.</v>
      </c>
      <c r="V14" s="113"/>
      <c r="W14" s="113"/>
      <c r="X14" s="113"/>
      <c r="Y14" s="113"/>
      <c r="Z14" s="113"/>
      <c r="AA14" s="113"/>
      <c r="AB14" s="113"/>
      <c r="AC14" s="113"/>
      <c r="AD14" s="113"/>
      <c r="AE14" s="113"/>
      <c r="AF14" s="113"/>
      <c r="AG14" s="113"/>
    </row>
    <row r="15" spans="1:33" ht="41.4">
      <c r="A15" s="111"/>
      <c r="B15" s="111" t="s">
        <v>29</v>
      </c>
      <c r="C15" s="111">
        <v>6</v>
      </c>
      <c r="D15" s="111" t="s">
        <v>1622</v>
      </c>
      <c r="E15" s="111" t="s">
        <v>1613</v>
      </c>
      <c r="F15" s="111" t="s">
        <v>1634</v>
      </c>
      <c r="G15" s="14" t="s">
        <v>1635</v>
      </c>
      <c r="H15" s="112" t="str">
        <f ca="1">IFERROR(__xludf.dummyfunction("IFERROR(
  VLOOKUP(G15, IMPORTRANGE(""https://docs.google.com/spreadsheets/d/14deopnvwcrKtEGCKuYXdUHJbeLDZlkiSSWWT0g7x2pM/edit#gid=849066331"", ""LU List Maths (Filter)!A:B""), 2, FALSE),
  IFERROR(
    VLOOKUP(G15, IMPORTRANGE(""https://docs.google.com/s"&amp;"preadsheets/d/14deopnvwcrKtEGCKuYXdUHJbeLDZlkiSSWWT0g7x2pM/edit#gid=849066331"", ""LU List Science (Filter)!A:B""), 2, FALSE),
    ""Not Found""
  )
)
"),"Sieving and Magnetic Separation")</f>
        <v>Sieving and Magnetic Separation</v>
      </c>
      <c r="I15" s="111"/>
      <c r="J15" s="2" t="str">
        <f t="shared" si="0"/>
        <v>LU006691.001</v>
      </c>
      <c r="K15" s="2" t="str">
        <f ca="1">IFERROR(__xludf.dummyfunction("VLOOKUP(J15, IMPORTRANGE(""https://docs.google.com/spreadsheets/d/1yDAaXNsi4Mr5FtRQL4tbmSdIzhx6_m4wkOD7IG-k_eo/edit#gid=1336395716"", ""Science!M:N""), 2, FALSE)"),"(LU006691.001); Default - Remember")</f>
        <v>(LU006691.001); Default - Remember</v>
      </c>
      <c r="L15" s="2" t="str">
        <f t="shared" si="1"/>
        <v>LU006691.002</v>
      </c>
      <c r="M15" s="2" t="str">
        <f ca="1">IFERROR(__xludf.dummyfunction("VLOOKUP(L15, IMPORTRANGE(""https://docs.google.com/spreadsheets/d/1yDAaXNsi4Mr5FtRQL4tbmSdIzhx6_m4wkOD7IG-k_eo/edit#gid=1336395716"", ""Science!M:N""), 2, FALSE)"),"(LU006691.002); Default - Understand")</f>
        <v>(LU006691.002); Default - Understand</v>
      </c>
      <c r="N15" s="2" t="str">
        <f t="shared" si="2"/>
        <v>LU006691.003</v>
      </c>
      <c r="O15" s="2" t="str">
        <f ca="1">IFERROR(__xludf.dummyfunction("VLOOKUP(N15, IMPORTRANGE(""https://docs.google.com/spreadsheets/d/1yDAaXNsi4Mr5FtRQL4tbmSdIzhx6_m4wkOD7IG-k_eo/edit#gid=1336395716"", ""Science!M:N""), 2, FALSE)"),"(LU006691.003); Default - Apply")</f>
        <v>(LU006691.003); Default - Apply</v>
      </c>
      <c r="P15" s="2" t="str">
        <f t="shared" si="3"/>
        <v>LU006691.004</v>
      </c>
      <c r="Q15" s="17" t="str">
        <f ca="1">IFERROR(__xludf.dummyfunction("VLOOKUP(P15, IMPORTRANGE(""https://docs.google.com/spreadsheets/d/1yDAaXNsi4Mr5FtRQL4tbmSdIzhx6_m4wkOD7IG-k_eo/edit#gid=1336395716"", ""Science!M:N""), 2, FALSE)"),"(LU006691.004); Default - Analyse")</f>
        <v>(LU006691.004); Default - Analyse</v>
      </c>
      <c r="R15" s="2" t="str">
        <f t="shared" si="4"/>
        <v>LU006691.005</v>
      </c>
      <c r="S15" s="17" t="str">
        <f ca="1">IFERROR(__xludf.dummyfunction("VLOOKUP(R15, IMPORTRANGE(""https://docs.google.com/spreadsheets/d/1yDAaXNsi4Mr5FtRQL4tbmSdIzhx6_m4wkOD7IG-k_eo/edit#gid=1336395716"", ""Science!M:N""), 2, FALSE)"),"(LU006691.005); Default - Evaluate")</f>
        <v>(LU006691.005); Default - Evaluate</v>
      </c>
      <c r="T15" s="2" t="str">
        <f t="shared" si="5"/>
        <v>LU006691.006</v>
      </c>
      <c r="U15" s="17" t="str">
        <f ca="1">IFERROR(__xludf.dummyfunction("VLOOKUP(T15, IMPORTRANGE(""https://docs.google.com/spreadsheets/d/1yDAaXNsi4Mr5FtRQL4tbmSdIzhx6_m4wkOD7IG-k_eo/edit#gid=1336395716"", ""Science!M:N""), 2, FALSE)"),"(LU006691.006); Default - Create")</f>
        <v>(LU006691.006); Default - Create</v>
      </c>
      <c r="V15" s="113"/>
      <c r="W15" s="113"/>
      <c r="X15" s="113"/>
      <c r="Y15" s="113"/>
      <c r="Z15" s="113"/>
      <c r="AA15" s="113"/>
      <c r="AB15" s="113"/>
      <c r="AC15" s="113"/>
      <c r="AD15" s="113"/>
      <c r="AE15" s="113"/>
      <c r="AF15" s="113"/>
      <c r="AG15" s="113"/>
    </row>
    <row r="16" spans="1:33" ht="41.4">
      <c r="A16" s="111"/>
      <c r="B16" s="111" t="s">
        <v>29</v>
      </c>
      <c r="C16" s="111">
        <v>6</v>
      </c>
      <c r="D16" s="111" t="s">
        <v>1622</v>
      </c>
      <c r="E16" s="111" t="s">
        <v>1613</v>
      </c>
      <c r="F16" s="111" t="s">
        <v>1634</v>
      </c>
      <c r="G16" s="1" t="s">
        <v>1636</v>
      </c>
      <c r="H16" s="112" t="str">
        <f ca="1">IFERROR(__xludf.dummyfunction("IFERROR(
  VLOOKUP(G16, IMPORTRANGE(""https://docs.google.com/spreadsheets/d/14deopnvwcrKtEGCKuYXdUHJbeLDZlkiSSWWT0g7x2pM/edit#gid=849066331"", ""LU List Maths (Filter)!A:B""), 2, FALSE),
  IFERROR(
    VLOOKUP(G16, IMPORTRANGE(""https://docs.google.com/s"&amp;"preadsheets/d/14deopnvwcrKtEGCKuYXdUHJbeLDZlkiSSWWT0g7x2pM/edit#gid=849066331"", ""LU List Science (Filter)!A:B""), 2, FALSE),
    ""Not Found""
  )
)
"),"Sedimentation, decantation and filtration")</f>
        <v>Sedimentation, decantation and filtration</v>
      </c>
      <c r="I16" s="111"/>
      <c r="J16" s="2" t="str">
        <f t="shared" si="0"/>
        <v>LU005295.001</v>
      </c>
      <c r="K16" s="2" t="str">
        <f ca="1">IFERROR(__xludf.dummyfunction("VLOOKUP(J16, IMPORTRANGE(""https://docs.google.com/spreadsheets/d/1yDAaXNsi4Mr5FtRQL4tbmSdIzhx6_m4wkOD7IG-k_eo/edit#gid=1336395716"", ""Science!M:N""), 2, FALSE)"),"Students will define sedimentation, loading, decantation, and filtration.")</f>
        <v>Students will define sedimentation, loading, decantation, and filtration.</v>
      </c>
      <c r="L16" s="2" t="str">
        <f t="shared" si="1"/>
        <v>LU005295.002</v>
      </c>
      <c r="M16" s="2" t="str">
        <f ca="1">IFERROR(__xludf.dummyfunction("VLOOKUP(L16, IMPORTRANGE(""https://docs.google.com/spreadsheets/d/1yDAaXNsi4Mr5FtRQL4tbmSdIzhx6_m4wkOD7IG-k_eo/edit#gid=1336395716"", ""Science!M:N""), 2, FALSE)"),"Students will describe the situations where sedimentation, decantation, and filtration are used.")</f>
        <v>Students will describe the situations where sedimentation, decantation, and filtration are used.</v>
      </c>
      <c r="N16" s="2" t="str">
        <f t="shared" si="2"/>
        <v>LU005295.003</v>
      </c>
      <c r="O16" s="2" t="str">
        <f ca="1">IFERROR(__xludf.dummyfunction("VLOOKUP(N16, IMPORTRANGE(""https://docs.google.com/spreadsheets/d/1yDAaXNsi4Mr5FtRQL4tbmSdIzhx6_m4wkOD7IG-k_eo/edit#gid=1336395716"", ""Science!M:N""), 2, FALSE)"),"Students will demonstrate the methods of sedimentation, loading, decantation, and filtration using simple materials.")</f>
        <v>Students will demonstrate the methods of sedimentation, loading, decantation, and filtration using simple materials.</v>
      </c>
      <c r="P16" s="2" t="str">
        <f t="shared" si="3"/>
        <v>LU005295.004</v>
      </c>
      <c r="Q16" s="17" t="str">
        <f ca="1">IFERROR(__xludf.dummyfunction("VLOOKUP(P16, IMPORTRANGE(""https://docs.google.com/spreadsheets/d/1yDAaXNsi4Mr5FtRQL4tbmSdIzhx6_m4wkOD7IG-k_eo/edit#gid=1336395716"", ""Science!M:N""), 2, FALSE)"),"Students will differentiate between sedimentation, loading, decantation, and filtration based on their purpose and method.")</f>
        <v>Students will differentiate between sedimentation, loading, decantation, and filtration based on their purpose and method.</v>
      </c>
      <c r="R16" s="2" t="str">
        <f t="shared" si="4"/>
        <v>LU005295.005</v>
      </c>
      <c r="S16" s="17" t="str">
        <f ca="1">IFERROR(__xludf.dummyfunction("VLOOKUP(R16, IMPORTRANGE(""https://docs.google.com/spreadsheets/d/1yDAaXNsi4Mr5FtRQL4tbmSdIzhx6_m4wkOD7IG-k_eo/edit#gid=1336395716"", ""Science!M:N""), 2, FALSE)"),"Students will evaluate the effectiveness of each separation method in different scenarios.")</f>
        <v>Students will evaluate the effectiveness of each separation method in different scenarios.</v>
      </c>
      <c r="T16" s="2" t="str">
        <f t="shared" si="5"/>
        <v>LU005295.006</v>
      </c>
      <c r="U16" s="17" t="str">
        <f ca="1">IFERROR(__xludf.dummyfunction("VLOOKUP(T16, IMPORTRANGE(""https://docs.google.com/spreadsheets/d/1yDAaXNsi4Mr5FtRQL4tbmSdIzhx6_m4wkOD7IG-k_eo/edit#gid=1336395716"", ""Science!M:N""), 2, FALSE)"),"Students will design an experiment that combines these methods to separate a complex mixture.")</f>
        <v>Students will design an experiment that combines these methods to separate a complex mixture.</v>
      </c>
      <c r="V16" s="113"/>
      <c r="W16" s="113"/>
      <c r="X16" s="113"/>
      <c r="Y16" s="113"/>
      <c r="Z16" s="113"/>
      <c r="AA16" s="113"/>
      <c r="AB16" s="113"/>
      <c r="AC16" s="113"/>
      <c r="AD16" s="113"/>
      <c r="AE16" s="113"/>
      <c r="AF16" s="113"/>
      <c r="AG16" s="113"/>
    </row>
    <row r="17" spans="1:33" ht="41.4">
      <c r="A17" s="111"/>
      <c r="B17" s="111" t="s">
        <v>29</v>
      </c>
      <c r="C17" s="111">
        <v>6</v>
      </c>
      <c r="D17" s="111" t="s">
        <v>1622</v>
      </c>
      <c r="E17" s="111" t="s">
        <v>1613</v>
      </c>
      <c r="F17" s="111" t="s">
        <v>1634</v>
      </c>
      <c r="G17" s="14" t="s">
        <v>1637</v>
      </c>
      <c r="H17" s="112" t="str">
        <f ca="1">IFERROR(__xludf.dummyfunction("IFERROR(
  VLOOKUP(G17, IMPORTRANGE(""https://docs.google.com/spreadsheets/d/14deopnvwcrKtEGCKuYXdUHJbeLDZlkiSSWWT0g7x2pM/edit#gid=849066331"", ""LU List Maths (Filter)!A:B""), 2, FALSE),
  IFERROR(
    VLOOKUP(G17, IMPORTRANGE(""https://docs.google.com/s"&amp;"preadsheets/d/14deopnvwcrKtEGCKuYXdUHJbeLDZlkiSSWWT0g7x2pM/edit#gid=849066331"", ""LU List Science (Filter)!A:B""), 2, FALSE),
    ""Not Found""
  )
)
"),"Sublimation and Evaporation")</f>
        <v>Sublimation and Evaporation</v>
      </c>
      <c r="I17" s="111"/>
      <c r="J17" s="2" t="str">
        <f t="shared" si="0"/>
        <v>LU006692.001</v>
      </c>
      <c r="K17" s="2" t="str">
        <f ca="1">IFERROR(__xludf.dummyfunction("VLOOKUP(J17, IMPORTRANGE(""https://docs.google.com/spreadsheets/d/1yDAaXNsi4Mr5FtRQL4tbmSdIzhx6_m4wkOD7IG-k_eo/edit#gid=1336395716"", ""Science!M:N""), 2, FALSE)"),"(LU006692.001); Default - Remember")</f>
        <v>(LU006692.001); Default - Remember</v>
      </c>
      <c r="L17" s="2" t="str">
        <f t="shared" si="1"/>
        <v>LU006692.002</v>
      </c>
      <c r="M17" s="2" t="str">
        <f ca="1">IFERROR(__xludf.dummyfunction("VLOOKUP(L17, IMPORTRANGE(""https://docs.google.com/spreadsheets/d/1yDAaXNsi4Mr5FtRQL4tbmSdIzhx6_m4wkOD7IG-k_eo/edit#gid=1336395716"", ""Science!M:N""), 2, FALSE)"),"(LU006692.002); Default - Understand")</f>
        <v>(LU006692.002); Default - Understand</v>
      </c>
      <c r="N17" s="2" t="str">
        <f t="shared" si="2"/>
        <v>LU006692.003</v>
      </c>
      <c r="O17" s="2" t="str">
        <f ca="1">IFERROR(__xludf.dummyfunction("VLOOKUP(N17, IMPORTRANGE(""https://docs.google.com/spreadsheets/d/1yDAaXNsi4Mr5FtRQL4tbmSdIzhx6_m4wkOD7IG-k_eo/edit#gid=1336395716"", ""Science!M:N""), 2, FALSE)"),"(LU006692.003); Default - Apply")</f>
        <v>(LU006692.003); Default - Apply</v>
      </c>
      <c r="P17" s="2" t="str">
        <f t="shared" si="3"/>
        <v>LU006692.004</v>
      </c>
      <c r="Q17" s="17" t="str">
        <f ca="1">IFERROR(__xludf.dummyfunction("VLOOKUP(P17, IMPORTRANGE(""https://docs.google.com/spreadsheets/d/1yDAaXNsi4Mr5FtRQL4tbmSdIzhx6_m4wkOD7IG-k_eo/edit#gid=1336395716"", ""Science!M:N""), 2, FALSE)"),"(LU006692.004); Default - Analyse")</f>
        <v>(LU006692.004); Default - Analyse</v>
      </c>
      <c r="R17" s="2" t="str">
        <f t="shared" si="4"/>
        <v>LU006692.005</v>
      </c>
      <c r="S17" s="17" t="str">
        <f ca="1">IFERROR(__xludf.dummyfunction("VLOOKUP(R17, IMPORTRANGE(""https://docs.google.com/spreadsheets/d/1yDAaXNsi4Mr5FtRQL4tbmSdIzhx6_m4wkOD7IG-k_eo/edit#gid=1336395716"", ""Science!M:N""), 2, FALSE)"),"(LU006692.005); Default - Evaluate")</f>
        <v>(LU006692.005); Default - Evaluate</v>
      </c>
      <c r="T17" s="2" t="str">
        <f t="shared" si="5"/>
        <v>LU006692.006</v>
      </c>
      <c r="U17" s="17" t="str">
        <f ca="1">IFERROR(__xludf.dummyfunction("VLOOKUP(T17, IMPORTRANGE(""https://docs.google.com/spreadsheets/d/1yDAaXNsi4Mr5FtRQL4tbmSdIzhx6_m4wkOD7IG-k_eo/edit#gid=1336395716"", ""Science!M:N""), 2, FALSE)"),"(LU006692.006); Default - Create")</f>
        <v>(LU006692.006); Default - Create</v>
      </c>
      <c r="V17" s="113"/>
      <c r="W17" s="113"/>
      <c r="X17" s="113"/>
      <c r="Y17" s="113"/>
      <c r="Z17" s="113"/>
      <c r="AA17" s="113"/>
      <c r="AB17" s="113"/>
      <c r="AC17" s="113"/>
      <c r="AD17" s="113"/>
      <c r="AE17" s="113"/>
      <c r="AF17" s="113"/>
      <c r="AG17" s="113"/>
    </row>
    <row r="18" spans="1:33" ht="27.6">
      <c r="A18" s="111"/>
      <c r="B18" s="111" t="s">
        <v>29</v>
      </c>
      <c r="C18" s="111">
        <v>6</v>
      </c>
      <c r="D18" s="111" t="s">
        <v>31</v>
      </c>
      <c r="E18" s="111" t="s">
        <v>1613</v>
      </c>
      <c r="F18" s="111" t="s">
        <v>35</v>
      </c>
      <c r="G18" s="14" t="s">
        <v>1638</v>
      </c>
      <c r="H18" s="112" t="str">
        <f ca="1">IFERROR(__xludf.dummyfunction("IFERROR(
  VLOOKUP(G18, IMPORTRANGE(""https://docs.google.com/spreadsheets/d/14deopnvwcrKtEGCKuYXdUHJbeLDZlkiSSWWT0g7x2pM/edit#gid=849066331"", ""LU List Maths (Filter)!A:B""), 2, FALSE),
  IFERROR(
    VLOOKUP(G18, IMPORTRANGE(""https://docs.google.com/s"&amp;"preadsheets/d/14deopnvwcrKtEGCKuYXdUHJbeLDZlkiSSWWT0g7x2pM/edit#gid=849066331"", ""LU List Science (Filter)!A:B""), 2, FALSE),
    ""Not Found""
  )
)
"),"Classifciation of Matter Based on Shape and Volume")</f>
        <v>Classifciation of Matter Based on Shape and Volume</v>
      </c>
      <c r="I18" s="111"/>
      <c r="J18" s="2" t="str">
        <f t="shared" si="0"/>
        <v>LU006693.001</v>
      </c>
      <c r="K18" s="2" t="str">
        <f ca="1">IFERROR(__xludf.dummyfunction("VLOOKUP(J18, IMPORTRANGE(""https://docs.google.com/spreadsheets/d/1yDAaXNsi4Mr5FtRQL4tbmSdIzhx6_m4wkOD7IG-k_eo/edit#gid=1336395716"", ""Science!M:N""), 2, FALSE)"),"(LU006693.001); Default - Remember")</f>
        <v>(LU006693.001); Default - Remember</v>
      </c>
      <c r="L18" s="2" t="str">
        <f t="shared" si="1"/>
        <v>LU006693.002</v>
      </c>
      <c r="M18" s="2" t="str">
        <f ca="1">IFERROR(__xludf.dummyfunction("VLOOKUP(L18, IMPORTRANGE(""https://docs.google.com/spreadsheets/d/1yDAaXNsi4Mr5FtRQL4tbmSdIzhx6_m4wkOD7IG-k_eo/edit#gid=1336395716"", ""Science!M:N""), 2, FALSE)"),"(LU006693.002); Default - Understand")</f>
        <v>(LU006693.002); Default - Understand</v>
      </c>
      <c r="N18" s="2" t="str">
        <f t="shared" si="2"/>
        <v>LU006693.003</v>
      </c>
      <c r="O18" s="2" t="str">
        <f ca="1">IFERROR(__xludf.dummyfunction("VLOOKUP(N18, IMPORTRANGE(""https://docs.google.com/spreadsheets/d/1yDAaXNsi4Mr5FtRQL4tbmSdIzhx6_m4wkOD7IG-k_eo/edit#gid=1336395716"", ""Science!M:N""), 2, FALSE)"),"(LU006693.003); Default - Apply")</f>
        <v>(LU006693.003); Default - Apply</v>
      </c>
      <c r="P18" s="2" t="str">
        <f t="shared" si="3"/>
        <v>LU006693.004</v>
      </c>
      <c r="Q18" s="17" t="str">
        <f ca="1">IFERROR(__xludf.dummyfunction("VLOOKUP(P18, IMPORTRANGE(""https://docs.google.com/spreadsheets/d/1yDAaXNsi4Mr5FtRQL4tbmSdIzhx6_m4wkOD7IG-k_eo/edit#gid=1336395716"", ""Science!M:N""), 2, FALSE)"),"(LU006693.004); Default - Analyse")</f>
        <v>(LU006693.004); Default - Analyse</v>
      </c>
      <c r="R18" s="2" t="str">
        <f t="shared" si="4"/>
        <v>LU006693.005</v>
      </c>
      <c r="S18" s="17" t="str">
        <f ca="1">IFERROR(__xludf.dummyfunction("VLOOKUP(R18, IMPORTRANGE(""https://docs.google.com/spreadsheets/d/1yDAaXNsi4Mr5FtRQL4tbmSdIzhx6_m4wkOD7IG-k_eo/edit#gid=1336395716"", ""Science!M:N""), 2, FALSE)"),"(LU006693.005); Default - Evaluate")</f>
        <v>(LU006693.005); Default - Evaluate</v>
      </c>
      <c r="T18" s="2" t="str">
        <f t="shared" si="5"/>
        <v>LU006693.006</v>
      </c>
      <c r="U18" s="17" t="str">
        <f ca="1">IFERROR(__xludf.dummyfunction("VLOOKUP(T18, IMPORTRANGE(""https://docs.google.com/spreadsheets/d/1yDAaXNsi4Mr5FtRQL4tbmSdIzhx6_m4wkOD7IG-k_eo/edit#gid=1336395716"", ""Science!M:N""), 2, FALSE)"),"(LU006693.006); Default - Create")</f>
        <v>(LU006693.006); Default - Create</v>
      </c>
      <c r="V18" s="113"/>
      <c r="W18" s="113"/>
      <c r="X18" s="113"/>
      <c r="Y18" s="113"/>
      <c r="Z18" s="113"/>
      <c r="AA18" s="113"/>
      <c r="AB18" s="113"/>
      <c r="AC18" s="113"/>
      <c r="AD18" s="113"/>
      <c r="AE18" s="113"/>
      <c r="AF18" s="113"/>
      <c r="AG18" s="113"/>
    </row>
    <row r="19" spans="1:33" ht="27.6">
      <c r="A19" s="111"/>
      <c r="B19" s="111" t="s">
        <v>29</v>
      </c>
      <c r="C19" s="111">
        <v>6</v>
      </c>
      <c r="D19" s="111" t="s">
        <v>31</v>
      </c>
      <c r="E19" s="111" t="s">
        <v>1613</v>
      </c>
      <c r="F19" s="111" t="s">
        <v>35</v>
      </c>
      <c r="G19" s="14" t="s">
        <v>1639</v>
      </c>
      <c r="H19" s="112" t="str">
        <f ca="1">IFERROR(__xludf.dummyfunction("IFERROR(
  VLOOKUP(G19, IMPORTRANGE(""https://docs.google.com/spreadsheets/d/14deopnvwcrKtEGCKuYXdUHJbeLDZlkiSSWWT0g7x2pM/edit#gid=849066331"", ""LU List Maths (Filter)!A:B""), 2, FALSE),
  IFERROR(
    VLOOKUP(G19, IMPORTRANGE(""https://docs.google.com/s"&amp;"preadsheets/d/14deopnvwcrKtEGCKuYXdUHJbeLDZlkiSSWWT0g7x2pM/edit#gid=849066331"", ""LU List Science (Filter)!A:B""), 2, FALSE),
    ""Not Found""
  )
)
"),"Factors Responsible for Existence of Different States of Matter")</f>
        <v>Factors Responsible for Existence of Different States of Matter</v>
      </c>
      <c r="I19" s="111"/>
      <c r="J19" s="2" t="str">
        <f t="shared" si="0"/>
        <v>LU006694.001</v>
      </c>
      <c r="K19" s="2" t="str">
        <f ca="1">IFERROR(__xludf.dummyfunction("VLOOKUP(J19, IMPORTRANGE(""https://docs.google.com/spreadsheets/d/1yDAaXNsi4Mr5FtRQL4tbmSdIzhx6_m4wkOD7IG-k_eo/edit#gid=1336395716"", ""Science!M:N""), 2, FALSE)"),"(LU006694.001); Default - Remember")</f>
        <v>(LU006694.001); Default - Remember</v>
      </c>
      <c r="L19" s="2" t="str">
        <f t="shared" si="1"/>
        <v>LU006694.002</v>
      </c>
      <c r="M19" s="2" t="str">
        <f ca="1">IFERROR(__xludf.dummyfunction("VLOOKUP(L19, IMPORTRANGE(""https://docs.google.com/spreadsheets/d/1yDAaXNsi4Mr5FtRQL4tbmSdIzhx6_m4wkOD7IG-k_eo/edit#gid=1336395716"", ""Science!M:N""), 2, FALSE)"),"(LU006694.002); Default - Understand")</f>
        <v>(LU006694.002); Default - Understand</v>
      </c>
      <c r="N19" s="2" t="str">
        <f t="shared" si="2"/>
        <v>LU006694.003</v>
      </c>
      <c r="O19" s="2" t="str">
        <f ca="1">IFERROR(__xludf.dummyfunction("VLOOKUP(N19, IMPORTRANGE(""https://docs.google.com/spreadsheets/d/1yDAaXNsi4Mr5FtRQL4tbmSdIzhx6_m4wkOD7IG-k_eo/edit#gid=1336395716"", ""Science!M:N""), 2, FALSE)"),"(LU006694.003); Default - Apply")</f>
        <v>(LU006694.003); Default - Apply</v>
      </c>
      <c r="P19" s="2" t="str">
        <f t="shared" si="3"/>
        <v>LU006694.004</v>
      </c>
      <c r="Q19" s="17" t="str">
        <f ca="1">IFERROR(__xludf.dummyfunction("VLOOKUP(P19, IMPORTRANGE(""https://docs.google.com/spreadsheets/d/1yDAaXNsi4Mr5FtRQL4tbmSdIzhx6_m4wkOD7IG-k_eo/edit#gid=1336395716"", ""Science!M:N""), 2, FALSE)"),"(LU006694.004); Default - Analyse")</f>
        <v>(LU006694.004); Default - Analyse</v>
      </c>
      <c r="R19" s="2" t="str">
        <f t="shared" si="4"/>
        <v>LU006694.005</v>
      </c>
      <c r="S19" s="17" t="str">
        <f ca="1">IFERROR(__xludf.dummyfunction("VLOOKUP(R19, IMPORTRANGE(""https://docs.google.com/spreadsheets/d/1yDAaXNsi4Mr5FtRQL4tbmSdIzhx6_m4wkOD7IG-k_eo/edit#gid=1336395716"", ""Science!M:N""), 2, FALSE)"),"(LU006694.005); Default - Evaluate")</f>
        <v>(LU006694.005); Default - Evaluate</v>
      </c>
      <c r="T19" s="2" t="str">
        <f t="shared" si="5"/>
        <v>LU006694.006</v>
      </c>
      <c r="U19" s="17" t="str">
        <f ca="1">IFERROR(__xludf.dummyfunction("VLOOKUP(T19, IMPORTRANGE(""https://docs.google.com/spreadsheets/d/1yDAaXNsi4Mr5FtRQL4tbmSdIzhx6_m4wkOD7IG-k_eo/edit#gid=1336395716"", ""Science!M:N""), 2, FALSE)"),"(LU006694.006); Default - Create")</f>
        <v>(LU006694.006); Default - Create</v>
      </c>
      <c r="V19" s="113"/>
      <c r="W19" s="113"/>
      <c r="X19" s="113"/>
      <c r="Y19" s="113"/>
      <c r="Z19" s="113"/>
      <c r="AA19" s="113"/>
      <c r="AB19" s="113"/>
      <c r="AC19" s="113"/>
      <c r="AD19" s="113"/>
      <c r="AE19" s="113"/>
      <c r="AF19" s="113"/>
      <c r="AG19" s="113"/>
    </row>
    <row r="20" spans="1:33" ht="27.6">
      <c r="A20" s="111"/>
      <c r="B20" s="111" t="s">
        <v>29</v>
      </c>
      <c r="C20" s="111">
        <v>6</v>
      </c>
      <c r="D20" s="111" t="s">
        <v>31</v>
      </c>
      <c r="E20" s="111" t="s">
        <v>1613</v>
      </c>
      <c r="F20" s="111" t="s">
        <v>1640</v>
      </c>
      <c r="G20" s="1" t="s">
        <v>1641</v>
      </c>
      <c r="H20" s="112" t="str">
        <f ca="1">IFERROR(__xludf.dummyfunction("IFERROR(
  VLOOKUP(G20, IMPORTRANGE(""https://docs.google.com/spreadsheets/d/14deopnvwcrKtEGCKuYXdUHJbeLDZlkiSSWWT0g7x2pM/edit#gid=849066331"", ""LU List Maths (Filter)!A:B""), 2, FALSE),
  IFERROR(
    VLOOKUP(G20, IMPORTRANGE(""https://docs.google.com/s"&amp;"preadsheets/d/14deopnvwcrKtEGCKuYXdUHJbeLDZlkiSSWWT0g7x2pM/edit#gid=849066331"", ""LU List Science (Filter)!A:B""), 2, FALSE),
    ""Not Found""
  )
)
"),"Matter and Its Particles(size and space between them)")</f>
        <v>Matter and Its Particles(size and space between them)</v>
      </c>
      <c r="I20" s="111" t="s">
        <v>1633</v>
      </c>
      <c r="J20" s="2" t="str">
        <f t="shared" si="0"/>
        <v>LU006196.001</v>
      </c>
      <c r="K20" s="2" t="str">
        <f ca="1">IFERROR(__xludf.dummyfunction("VLOOKUP(J20, IMPORTRANGE(""https://docs.google.com/spreadsheets/d/1yDAaXNsi4Mr5FtRQL4tbmSdIzhx6_m4wkOD7IG-k_eo/edit#gid=1336395716"", ""Science!M:N""), 2, FALSE)"),"Identify and list examples of matter in everyday life, such as air, water, and sugar.")</f>
        <v>Identify and list examples of matter in everyday life, such as air, water, and sugar.</v>
      </c>
      <c r="L20" s="2" t="str">
        <f t="shared" si="1"/>
        <v>LU006196.002</v>
      </c>
      <c r="M20" s="2" t="str">
        <f ca="1">IFERROR(__xludf.dummyfunction("VLOOKUP(L20, IMPORTRANGE(""https://docs.google.com/spreadsheets/d/1yDAaXNsi4Mr5FtRQL4tbmSdIzhx6_m4wkOD7IG-k_eo/edit#gid=1336395716"", ""Science!M:N""), 2, FALSE)"),"Describe the concept that matter is made up of particles and explain how sugar dissolves in water.")</f>
        <v>Describe the concept that matter is made up of particles and explain how sugar dissolves in water.</v>
      </c>
      <c r="N20" s="2" t="str">
        <f t="shared" si="2"/>
        <v>LU006196.003</v>
      </c>
      <c r="O20" s="2" t="str">
        <f ca="1">IFERROR(__xludf.dummyfunction("VLOOKUP(N20, IMPORTRANGE(""https://docs.google.com/spreadsheets/d/1yDAaXNsi4Mr5FtRQL4tbmSdIzhx6_m4wkOD7IG-k_eo/edit#gid=1336395716"", ""Science!M:N""), 2, FALSE)"),"Demonstrate the process of dissolving a substance in water and explain the observation.")</f>
        <v>Demonstrate the process of dissolving a substance in water and explain the observation.</v>
      </c>
      <c r="P20" s="2" t="str">
        <f t="shared" si="3"/>
        <v>LU006196.004</v>
      </c>
      <c r="Q20" s="17" t="str">
        <f ca="1">IFERROR(__xludf.dummyfunction("VLOOKUP(P20, IMPORTRANGE(""https://docs.google.com/spreadsheets/d/1yDAaXNsi4Mr5FtRQL4tbmSdIzhx6_m4wkOD7IG-k_eo/edit#gid=1336395716"", ""Science!M:N""), 2, FALSE)"),"Analyze the results of the dissolution experiments (sugar in water and potassium permanganate in water) to determine the evidence of particles and space between them.")</f>
        <v>Analyze the results of the dissolution experiments (sugar in water and potassium permanganate in water) to determine the evidence of particles and space between them.</v>
      </c>
      <c r="R20" s="2" t="str">
        <f t="shared" si="4"/>
        <v>LU006196.005</v>
      </c>
      <c r="S20" s="17" t="str">
        <f ca="1">IFERROR(__xludf.dummyfunction("VLOOKUP(R20, IMPORTRANGE(""https://docs.google.com/spreadsheets/d/1yDAaXNsi4Mr5FtRQL4tbmSdIzhx6_m4wkOD7IG-k_eo/edit#gid=1336395716"", ""Science!M:N""), 2, FALSE)"),"Assess the effectiveness of the activities in demonstrating the particulate nature of matter and suggest improvements.")</f>
        <v>Assess the effectiveness of the activities in demonstrating the particulate nature of matter and suggest improvements.</v>
      </c>
      <c r="T20" s="2" t="str">
        <f t="shared" si="5"/>
        <v>LU006196.006</v>
      </c>
      <c r="U20" s="17" t="str">
        <f ca="1">IFERROR(__xludf.dummyfunction("VLOOKUP(T20, IMPORTRANGE(""https://docs.google.com/spreadsheets/d/1yDAaXNsi4Mr5FtRQL4tbmSdIzhx6_m4wkOD7IG-k_eo/edit#gid=1336395716"", ""Science!M:N""), 2, FALSE)"),"Design a new activity or experiment that demonstrates the small size and space between particles of matter.")</f>
        <v>Design a new activity or experiment that demonstrates the small size and space between particles of matter.</v>
      </c>
      <c r="V20" s="113"/>
      <c r="W20" s="113"/>
      <c r="X20" s="113"/>
      <c r="Y20" s="113"/>
      <c r="Z20" s="113"/>
      <c r="AA20" s="113"/>
      <c r="AB20" s="113"/>
      <c r="AC20" s="113"/>
      <c r="AD20" s="113"/>
      <c r="AE20" s="113"/>
      <c r="AF20" s="113"/>
      <c r="AG20" s="113"/>
    </row>
    <row r="21" spans="1:33" ht="27.6">
      <c r="A21" s="111"/>
      <c r="B21" s="111" t="s">
        <v>29</v>
      </c>
      <c r="C21" s="111">
        <v>6</v>
      </c>
      <c r="D21" s="111" t="s">
        <v>31</v>
      </c>
      <c r="E21" s="111" t="s">
        <v>1613</v>
      </c>
      <c r="F21" s="111" t="s">
        <v>1640</v>
      </c>
      <c r="G21" s="1" t="s">
        <v>1642</v>
      </c>
      <c r="H21" s="112" t="str">
        <f ca="1">IFERROR(__xludf.dummyfunction("IFERROR(
  VLOOKUP(G21, IMPORTRANGE(""https://docs.google.com/spreadsheets/d/14deopnvwcrKtEGCKuYXdUHJbeLDZlkiSSWWT0g7x2pM/edit#gid=849066331"", ""LU List Maths (Filter)!A:B""), 2, FALSE),
  IFERROR(
    VLOOKUP(G21, IMPORTRANGE(""https://docs.google.com/s"&amp;"preadsheets/d/14deopnvwcrKtEGCKuYXdUHJbeLDZlkiSSWWT0g7x2pM/edit#gid=849066331"", ""LU List Science (Filter)!A:B""), 2, FALSE),
    ""Not Found""
  )
)
"),"Particles of Matter Attract Each Other")</f>
        <v>Particles of Matter Attract Each Other</v>
      </c>
      <c r="I21" s="111" t="s">
        <v>1633</v>
      </c>
      <c r="J21" s="2" t="str">
        <f t="shared" si="0"/>
        <v>LU006198.001</v>
      </c>
      <c r="K21" s="2" t="str">
        <f ca="1">IFERROR(__xludf.dummyfunction("VLOOKUP(J21, IMPORTRANGE(""https://docs.google.com/spreadsheets/d/1yDAaXNsi4Mr5FtRQL4tbmSdIzhx6_m4wkOD7IG-k_eo/edit#gid=1336395716"", ""Science!M:N""), 2, FALSE)"),"Define the concept that particles of matter attract each other.")</f>
        <v>Define the concept that particles of matter attract each other.</v>
      </c>
      <c r="L21" s="2" t="str">
        <f t="shared" si="1"/>
        <v>LU006198.002</v>
      </c>
      <c r="M21" s="2" t="str">
        <f ca="1">IFERROR(__xludf.dummyfunction("VLOOKUP(L21, IMPORTRANGE(""https://docs.google.com/spreadsheets/d/1yDAaXNsi4Mr5FtRQL4tbmSdIzhx6_m4wkOD7IG-k_eo/edit#gid=1336395716"", ""Science!M:N""), 2, FALSE)"),"Describe in your own words how the attraction between particles helps in holding matter together.")</f>
        <v>Describe in your own words how the attraction between particles helps in holding matter together.</v>
      </c>
      <c r="N21" s="2" t="str">
        <f t="shared" si="2"/>
        <v>LU006198.003</v>
      </c>
      <c r="O21" s="2" t="str">
        <f ca="1">IFERROR(__xludf.dummyfunction("VLOOKUP(N21, IMPORTRANGE(""https://docs.google.com/spreadsheets/d/1yDAaXNsi4Mr5FtRQL4tbmSdIzhx6_m4wkOD7IG-k_eo/edit#gid=1336395716"", ""Science!M:N""), 2, FALSE)"),"Demonstrate the concept of particle attraction through a class activity.")</f>
        <v>Demonstrate the concept of particle attraction through a class activity.</v>
      </c>
      <c r="P21" s="2" t="str">
        <f t="shared" si="3"/>
        <v>LU006198.004</v>
      </c>
      <c r="Q21" s="17" t="str">
        <f ca="1">IFERROR(__xludf.dummyfunction("VLOOKUP(P21, IMPORTRANGE(""https://docs.google.com/spreadsheets/d/1yDAaXNsi4Mr5FtRQL4tbmSdIzhx6_m4wkOD7IG-k_eo/edit#gid=1336395716"", ""Science!M:N""), 2, FALSE)"),"Analyze the difficulty in breaking different human chains and explain the variation in terms of particle attraction.")</f>
        <v>Analyze the difficulty in breaking different human chains and explain the variation in terms of particle attraction.</v>
      </c>
      <c r="R21" s="2" t="str">
        <f t="shared" si="4"/>
        <v>LU006198.005</v>
      </c>
      <c r="S21" s="17" t="str">
        <f ca="1">IFERROR(__xludf.dummyfunction("VLOOKUP(R21, IMPORTRANGE(""https://docs.google.com/spreadsheets/d/1yDAaXNsi4Mr5FtRQL4tbmSdIzhx6_m4wkOD7IG-k_eo/edit#gid=1336395716"", ""Science!M:N""), 2, FALSE)"),"Evaluate and discuss the importance of attractive forces in everyday objects, such as how they maintain structure and form.")</f>
        <v>Evaluate and discuss the importance of attractive forces in everyday objects, such as how they maintain structure and form.</v>
      </c>
      <c r="T21" s="2" t="str">
        <f t="shared" si="5"/>
        <v>LU006198.006</v>
      </c>
      <c r="U21" s="17" t="str">
        <f ca="1">IFERROR(__xludf.dummyfunction("VLOOKUP(T21, IMPORTRANGE(""https://docs.google.com/spreadsheets/d/1yDAaXNsi4Mr5FtRQL4tbmSdIzhx6_m4wkOD7IG-k_eo/edit#gid=1336395716"", ""Science!M:N""), 2, FALSE)"),"Design a simple experiment to demonstrate the concept of attractive forces between particles.")</f>
        <v>Design a simple experiment to demonstrate the concept of attractive forces between particles.</v>
      </c>
      <c r="V21" s="113"/>
      <c r="W21" s="113"/>
      <c r="X21" s="113"/>
      <c r="Y21" s="113"/>
      <c r="Z21" s="113"/>
      <c r="AA21" s="113"/>
      <c r="AB21" s="113"/>
      <c r="AC21" s="113"/>
      <c r="AD21" s="113"/>
      <c r="AE21" s="113"/>
      <c r="AF21" s="113"/>
      <c r="AG21" s="113"/>
    </row>
    <row r="22" spans="1:33" ht="27.6">
      <c r="A22" s="111"/>
      <c r="B22" s="111" t="s">
        <v>29</v>
      </c>
      <c r="C22" s="111">
        <v>6</v>
      </c>
      <c r="D22" s="111" t="s">
        <v>31</v>
      </c>
      <c r="E22" s="111" t="s">
        <v>1613</v>
      </c>
      <c r="F22" s="111" t="s">
        <v>1640</v>
      </c>
      <c r="G22" s="1" t="s">
        <v>1643</v>
      </c>
      <c r="H22" s="112" t="str">
        <f ca="1">IFERROR(__xludf.dummyfunction("IFERROR(
  VLOOKUP(G22, IMPORTRANGE(""https://docs.google.com/spreadsheets/d/14deopnvwcrKtEGCKuYXdUHJbeLDZlkiSSWWT0g7x2pM/edit#gid=849066331"", ""LU List Maths (Filter)!A:B""), 2, FALSE),
  IFERROR(
    VLOOKUP(G22, IMPORTRANGE(""https://docs.google.com/s"&amp;"preadsheets/d/14deopnvwcrKtEGCKuYXdUHJbeLDZlkiSSWWT0g7x2pM/edit#gid=849066331"", ""LU List Science (Filter)!A:B""), 2, FALSE),
    ""Not Found""
  )
)
"),"Particles are Continuously Moving(concept of diffusion)")</f>
        <v>Particles are Continuously Moving(concept of diffusion)</v>
      </c>
      <c r="I22" s="111" t="s">
        <v>1633</v>
      </c>
      <c r="J22" s="2" t="str">
        <f t="shared" si="0"/>
        <v>LU006197.001</v>
      </c>
      <c r="K22" s="2" t="str">
        <f ca="1">IFERROR(__xludf.dummyfunction("VLOOKUP(J22, IMPORTRANGE(""https://docs.google.com/spreadsheets/d/1yDAaXNsi4Mr5FtRQL4tbmSdIzhx6_m4wkOD7IG-k_eo/edit#gid=1336395716"", ""Science!M:N""), 2, FALSE)"),"Define diffusion and kinetic energy in the context of particles of matter.")</f>
        <v>Define diffusion and kinetic energy in the context of particles of matter.</v>
      </c>
      <c r="L22" s="2" t="str">
        <f t="shared" si="1"/>
        <v>LU006197.002</v>
      </c>
      <c r="M22" s="2" t="str">
        <f ca="1">IFERROR(__xludf.dummyfunction("VLOOKUP(L22, IMPORTRANGE(""https://docs.google.com/spreadsheets/d/1yDAaXNsi4Mr5FtRQL4tbmSdIzhx6_m4wkOD7IG-k_eo/edit#gid=1336395716"", ""Science!M:N""), 2, FALSE)"),"Explain how temperature affects the movement of particles in matter.")</f>
        <v>Explain how temperature affects the movement of particles in matter.</v>
      </c>
      <c r="N22" s="2" t="str">
        <f t="shared" si="2"/>
        <v>LU006197.003</v>
      </c>
      <c r="O22" s="2" t="str">
        <f ca="1">IFERROR(__xludf.dummyfunction("VLOOKUP(N22, IMPORTRANGE(""https://docs.google.com/spreadsheets/d/1yDAaXNsi4Mr5FtRQL4tbmSdIzhx6_m4wkOD7IG-k_eo/edit#gid=1336395716"", ""Science!M:N""), 2, FALSE)"),"Demonstrate diffusion through a simple experiment using everyday materials (e.g., ink in water).")</f>
        <v>Demonstrate diffusion through a simple experiment using everyday materials (e.g., ink in water).</v>
      </c>
      <c r="P22" s="2" t="str">
        <f t="shared" si="3"/>
        <v>LU006197.004</v>
      </c>
      <c r="Q22" s="17" t="str">
        <f ca="1">IFERROR(__xludf.dummyfunction("VLOOKUP(P22, IMPORTRANGE(""https://docs.google.com/spreadsheets/d/1yDAaXNsi4Mr5FtRQL4tbmSdIzhx6_m4wkOD7IG-k_eo/edit#gid=1336395716"", ""Science!M:N""), 2, FALSE)"),"Compare the rate of diffusion in hot and cold water using experimental data.")</f>
        <v>Compare the rate of diffusion in hot and cold water using experimental data.</v>
      </c>
      <c r="R22" s="2" t="str">
        <f t="shared" si="4"/>
        <v>LU006197.005</v>
      </c>
      <c r="S22" s="17" t="str">
        <f ca="1">IFERROR(__xludf.dummyfunction("VLOOKUP(R22, IMPORTRANGE(""https://docs.google.com/spreadsheets/d/1yDAaXNsi4Mr5FtRQL4tbmSdIzhx6_m4wkOD7IG-k_eo/edit#gid=1336395716"", ""Science!M:N""), 2, FALSE)"),"Evaluate the effectiveness of different methods to observe diffusion in various states of matter (solid, liquid, gas).")</f>
        <v>Evaluate the effectiveness of different methods to observe diffusion in various states of matter (solid, liquid, gas).</v>
      </c>
      <c r="T22" s="2" t="str">
        <f t="shared" si="5"/>
        <v>LU006197.006</v>
      </c>
      <c r="U22" s="17" t="str">
        <f ca="1">IFERROR(__xludf.dummyfunction("VLOOKUP(T22, IMPORTRANGE(""https://docs.google.com/spreadsheets/d/1yDAaXNsi4Mr5FtRQL4tbmSdIzhx6_m4wkOD7IG-k_eo/edit#gid=1336395716"", ""Science!M:N""), 2, FALSE)"),"Design a new experiment to explore how different substances diffuse in water.")</f>
        <v>Design a new experiment to explore how different substances diffuse in water.</v>
      </c>
      <c r="V22" s="113"/>
      <c r="W22" s="113"/>
      <c r="X22" s="113"/>
      <c r="Y22" s="113"/>
      <c r="Z22" s="113"/>
      <c r="AA22" s="113"/>
      <c r="AB22" s="113"/>
      <c r="AC22" s="113"/>
      <c r="AD22" s="113"/>
      <c r="AE22" s="113"/>
      <c r="AF22" s="113"/>
      <c r="AG22" s="113"/>
    </row>
    <row r="23" spans="1:33" ht="27.6">
      <c r="A23" s="111"/>
      <c r="B23" s="111" t="s">
        <v>29</v>
      </c>
      <c r="C23" s="111">
        <v>6</v>
      </c>
      <c r="D23" s="111" t="s">
        <v>31</v>
      </c>
      <c r="E23" s="111" t="s">
        <v>1613</v>
      </c>
      <c r="F23" s="111" t="s">
        <v>1644</v>
      </c>
      <c r="G23" s="14" t="s">
        <v>1645</v>
      </c>
      <c r="H23" s="112" t="str">
        <f ca="1">IFERROR(__xludf.dummyfunction("IFERROR(
  VLOOKUP(G23, IMPORTRANGE(""https://docs.google.com/spreadsheets/d/14deopnvwcrKtEGCKuYXdUHJbeLDZlkiSSWWT0g7x2pM/edit#gid=849066331"", ""LU List Maths (Filter)!A:B""), 2, FALSE),
  IFERROR(
    VLOOKUP(G23, IMPORTRANGE(""https://docs.google.com/s"&amp;"preadsheets/d/14deopnvwcrKtEGCKuYXdUHJbeLDZlkiSSWWT0g7x2pM/edit#gid=849066331"", ""LU List Science (Filter)!A:B""), 2, FALSE),
    ""Not Found""
  )
)
"),"Expansion of Matter on Heating")</f>
        <v>Expansion of Matter on Heating</v>
      </c>
      <c r="I23" s="111"/>
      <c r="J23" s="2" t="str">
        <f t="shared" si="0"/>
        <v>LU006695.001</v>
      </c>
      <c r="K23" s="2" t="str">
        <f ca="1">IFERROR(__xludf.dummyfunction("VLOOKUP(J23, IMPORTRANGE(""https://docs.google.com/spreadsheets/d/1yDAaXNsi4Mr5FtRQL4tbmSdIzhx6_m4wkOD7IG-k_eo/edit#gid=1336395716"", ""Science!M:N""), 2, FALSE)"),"(LU006695.001); Default - Remember")</f>
        <v>(LU006695.001); Default - Remember</v>
      </c>
      <c r="L23" s="2" t="str">
        <f t="shared" si="1"/>
        <v>LU006695.002</v>
      </c>
      <c r="M23" s="2" t="str">
        <f ca="1">IFERROR(__xludf.dummyfunction("VLOOKUP(L23, IMPORTRANGE(""https://docs.google.com/spreadsheets/d/1yDAaXNsi4Mr5FtRQL4tbmSdIzhx6_m4wkOD7IG-k_eo/edit#gid=1336395716"", ""Science!M:N""), 2, FALSE)"),"(LU006695.002); Default - Understand")</f>
        <v>(LU006695.002); Default - Understand</v>
      </c>
      <c r="N23" s="2" t="str">
        <f t="shared" si="2"/>
        <v>LU006695.003</v>
      </c>
      <c r="O23" s="2" t="str">
        <f ca="1">IFERROR(__xludf.dummyfunction("VLOOKUP(N23, IMPORTRANGE(""https://docs.google.com/spreadsheets/d/1yDAaXNsi4Mr5FtRQL4tbmSdIzhx6_m4wkOD7IG-k_eo/edit#gid=1336395716"", ""Science!M:N""), 2, FALSE)"),"(LU006695.003); Default - Apply")</f>
        <v>(LU006695.003); Default - Apply</v>
      </c>
      <c r="P23" s="2" t="str">
        <f t="shared" si="3"/>
        <v>LU006695.004</v>
      </c>
      <c r="Q23" s="17" t="str">
        <f ca="1">IFERROR(__xludf.dummyfunction("VLOOKUP(P23, IMPORTRANGE(""https://docs.google.com/spreadsheets/d/1yDAaXNsi4Mr5FtRQL4tbmSdIzhx6_m4wkOD7IG-k_eo/edit#gid=1336395716"", ""Science!M:N""), 2, FALSE)"),"(LU006695.004); Default - Analyse")</f>
        <v>(LU006695.004); Default - Analyse</v>
      </c>
      <c r="R23" s="2" t="str">
        <f t="shared" si="4"/>
        <v>LU006695.005</v>
      </c>
      <c r="S23" s="17" t="str">
        <f ca="1">IFERROR(__xludf.dummyfunction("VLOOKUP(R23, IMPORTRANGE(""https://docs.google.com/spreadsheets/d/1yDAaXNsi4Mr5FtRQL4tbmSdIzhx6_m4wkOD7IG-k_eo/edit#gid=1336395716"", ""Science!M:N""), 2, FALSE)"),"(LU006695.005); Default - Evaluate")</f>
        <v>(LU006695.005); Default - Evaluate</v>
      </c>
      <c r="T23" s="2" t="str">
        <f t="shared" si="5"/>
        <v>LU006695.006</v>
      </c>
      <c r="U23" s="17" t="str">
        <f ca="1">IFERROR(__xludf.dummyfunction("VLOOKUP(T23, IMPORTRANGE(""https://docs.google.com/spreadsheets/d/1yDAaXNsi4Mr5FtRQL4tbmSdIzhx6_m4wkOD7IG-k_eo/edit#gid=1336395716"", ""Science!M:N""), 2, FALSE)"),"(LU006695.006); Default - Create")</f>
        <v>(LU006695.006); Default - Create</v>
      </c>
      <c r="V23" s="113"/>
      <c r="W23" s="113"/>
      <c r="X23" s="113"/>
      <c r="Y23" s="113"/>
      <c r="Z23" s="113"/>
      <c r="AA23" s="113"/>
      <c r="AB23" s="113"/>
      <c r="AC23" s="113"/>
      <c r="AD23" s="113"/>
      <c r="AE23" s="113"/>
      <c r="AF23" s="113"/>
      <c r="AG23" s="113"/>
    </row>
    <row r="24" spans="1:33" ht="27.6">
      <c r="A24" s="111"/>
      <c r="B24" s="111" t="s">
        <v>29</v>
      </c>
      <c r="C24" s="111">
        <v>6</v>
      </c>
      <c r="D24" s="111" t="s">
        <v>31</v>
      </c>
      <c r="E24" s="111" t="s">
        <v>1613</v>
      </c>
      <c r="F24" s="111" t="s">
        <v>1644</v>
      </c>
      <c r="G24" s="14" t="s">
        <v>1646</v>
      </c>
      <c r="H24" s="112" t="str">
        <f ca="1">IFERROR(__xludf.dummyfunction("IFERROR(
  VLOOKUP(G24, IMPORTRANGE(""https://docs.google.com/spreadsheets/d/14deopnvwcrKtEGCKuYXdUHJbeLDZlkiSSWWT0g7x2pM/edit#gid=849066331"", ""LU List Maths (Filter)!A:B""), 2, FALSE),
  IFERROR(
    VLOOKUP(G24, IMPORTRANGE(""https://docs.google.com/s"&amp;"preadsheets/d/14deopnvwcrKtEGCKuYXdUHJbeLDZlkiSSWWT0g7x2pM/edit#gid=849066331"", ""LU List Science (Filter)!A:B""), 2, FALSE),
    ""Not Found""
  )
)
"),"Interconversion of States of Matter due to Heat")</f>
        <v>Interconversion of States of Matter due to Heat</v>
      </c>
      <c r="I24" s="111"/>
      <c r="J24" s="2" t="str">
        <f t="shared" si="0"/>
        <v>LU006696.001</v>
      </c>
      <c r="K24" s="2" t="str">
        <f ca="1">IFERROR(__xludf.dummyfunction("VLOOKUP(J24, IMPORTRANGE(""https://docs.google.com/spreadsheets/d/1yDAaXNsi4Mr5FtRQL4tbmSdIzhx6_m4wkOD7IG-k_eo/edit#gid=1336395716"", ""Science!M:N""), 2, FALSE)"),"(LU006696.001); Default - Remember")</f>
        <v>(LU006696.001); Default - Remember</v>
      </c>
      <c r="L24" s="2" t="str">
        <f t="shared" si="1"/>
        <v>LU006696.002</v>
      </c>
      <c r="M24" s="2" t="str">
        <f ca="1">IFERROR(__xludf.dummyfunction("VLOOKUP(L24, IMPORTRANGE(""https://docs.google.com/spreadsheets/d/1yDAaXNsi4Mr5FtRQL4tbmSdIzhx6_m4wkOD7IG-k_eo/edit#gid=1336395716"", ""Science!M:N""), 2, FALSE)"),"(LU006696.002); Default - Understand")</f>
        <v>(LU006696.002); Default - Understand</v>
      </c>
      <c r="N24" s="2" t="str">
        <f t="shared" si="2"/>
        <v>LU006696.003</v>
      </c>
      <c r="O24" s="2" t="str">
        <f ca="1">IFERROR(__xludf.dummyfunction("VLOOKUP(N24, IMPORTRANGE(""https://docs.google.com/spreadsheets/d/1yDAaXNsi4Mr5FtRQL4tbmSdIzhx6_m4wkOD7IG-k_eo/edit#gid=1336395716"", ""Science!M:N""), 2, FALSE)"),"(LU006696.003); Default - Apply")</f>
        <v>(LU006696.003); Default - Apply</v>
      </c>
      <c r="P24" s="2" t="str">
        <f t="shared" si="3"/>
        <v>LU006696.004</v>
      </c>
      <c r="Q24" s="17" t="str">
        <f ca="1">IFERROR(__xludf.dummyfunction("VLOOKUP(P24, IMPORTRANGE(""https://docs.google.com/spreadsheets/d/1yDAaXNsi4Mr5FtRQL4tbmSdIzhx6_m4wkOD7IG-k_eo/edit#gid=1336395716"", ""Science!M:N""), 2, FALSE)"),"(LU006696.004); Default - Analyse")</f>
        <v>(LU006696.004); Default - Analyse</v>
      </c>
      <c r="R24" s="2" t="str">
        <f t="shared" si="4"/>
        <v>LU006696.005</v>
      </c>
      <c r="S24" s="17" t="str">
        <f ca="1">IFERROR(__xludf.dummyfunction("VLOOKUP(R24, IMPORTRANGE(""https://docs.google.com/spreadsheets/d/1yDAaXNsi4Mr5FtRQL4tbmSdIzhx6_m4wkOD7IG-k_eo/edit#gid=1336395716"", ""Science!M:N""), 2, FALSE)"),"(LU006696.005); Default - Evaluate")</f>
        <v>(LU006696.005); Default - Evaluate</v>
      </c>
      <c r="T24" s="2" t="str">
        <f t="shared" si="5"/>
        <v>LU006696.006</v>
      </c>
      <c r="U24" s="17" t="str">
        <f ca="1">IFERROR(__xludf.dummyfunction("VLOOKUP(T24, IMPORTRANGE(""https://docs.google.com/spreadsheets/d/1yDAaXNsi4Mr5FtRQL4tbmSdIzhx6_m4wkOD7IG-k_eo/edit#gid=1336395716"", ""Science!M:N""), 2, FALSE)"),"(LU006696.006); Default - Create")</f>
        <v>(LU006696.006); Default - Create</v>
      </c>
      <c r="V24" s="113"/>
      <c r="W24" s="113"/>
      <c r="X24" s="113"/>
      <c r="Y24" s="113"/>
      <c r="Z24" s="113"/>
      <c r="AA24" s="113"/>
      <c r="AB24" s="113"/>
      <c r="AC24" s="113"/>
      <c r="AD24" s="113"/>
      <c r="AE24" s="113"/>
      <c r="AF24" s="113"/>
      <c r="AG24" s="113"/>
    </row>
    <row r="25" spans="1:33" ht="27.6">
      <c r="A25" s="111"/>
      <c r="B25" s="111" t="s">
        <v>29</v>
      </c>
      <c r="C25" s="111">
        <v>6</v>
      </c>
      <c r="D25" s="111" t="s">
        <v>31</v>
      </c>
      <c r="E25" s="111" t="s">
        <v>1613</v>
      </c>
      <c r="F25" s="111" t="s">
        <v>1644</v>
      </c>
      <c r="G25" s="14" t="s">
        <v>1647</v>
      </c>
      <c r="H25" s="112" t="str">
        <f ca="1">IFERROR(__xludf.dummyfunction("IFERROR(
  VLOOKUP(G25, IMPORTRANGE(""https://docs.google.com/spreadsheets/d/14deopnvwcrKtEGCKuYXdUHJbeLDZlkiSSWWT0g7x2pM/edit#gid=849066331"", ""LU List Maths (Filter)!A:B""), 2, FALSE),
  IFERROR(
    VLOOKUP(G25, IMPORTRANGE(""https://docs.google.com/s"&amp;"preadsheets/d/14deopnvwcrKtEGCKuYXdUHJbeLDZlkiSSWWT0g7x2pM/edit#gid=849066331"", ""LU List Science (Filter)!A:B""), 2, FALSE),
    ""Not Found""
  )
)
"),"Chemical Change as Effect of Heat on Matter")</f>
        <v>Chemical Change as Effect of Heat on Matter</v>
      </c>
      <c r="I25" s="111"/>
      <c r="J25" s="2" t="str">
        <f t="shared" si="0"/>
        <v>LU006697.001</v>
      </c>
      <c r="K25" s="2" t="str">
        <f ca="1">IFERROR(__xludf.dummyfunction("VLOOKUP(J25, IMPORTRANGE(""https://docs.google.com/spreadsheets/d/1yDAaXNsi4Mr5FtRQL4tbmSdIzhx6_m4wkOD7IG-k_eo/edit#gid=1336395716"", ""Science!M:N""), 2, FALSE)"),"(LU006697.001); Default - Remember")</f>
        <v>(LU006697.001); Default - Remember</v>
      </c>
      <c r="L25" s="2" t="str">
        <f t="shared" si="1"/>
        <v>LU006697.002</v>
      </c>
      <c r="M25" s="2" t="str">
        <f ca="1">IFERROR(__xludf.dummyfunction("VLOOKUP(L25, IMPORTRANGE(""https://docs.google.com/spreadsheets/d/1yDAaXNsi4Mr5FtRQL4tbmSdIzhx6_m4wkOD7IG-k_eo/edit#gid=1336395716"", ""Science!M:N""), 2, FALSE)"),"(LU006697.002); Default - Understand")</f>
        <v>(LU006697.002); Default - Understand</v>
      </c>
      <c r="N25" s="2" t="str">
        <f t="shared" si="2"/>
        <v>LU006697.003</v>
      </c>
      <c r="O25" s="2" t="str">
        <f ca="1">IFERROR(__xludf.dummyfunction("VLOOKUP(N25, IMPORTRANGE(""https://docs.google.com/spreadsheets/d/1yDAaXNsi4Mr5FtRQL4tbmSdIzhx6_m4wkOD7IG-k_eo/edit#gid=1336395716"", ""Science!M:N""), 2, FALSE)"),"(LU006697.003); Default - Apply")</f>
        <v>(LU006697.003); Default - Apply</v>
      </c>
      <c r="P25" s="2" t="str">
        <f t="shared" si="3"/>
        <v>LU006697.004</v>
      </c>
      <c r="Q25" s="17" t="str">
        <f ca="1">IFERROR(__xludf.dummyfunction("VLOOKUP(P25, IMPORTRANGE(""https://docs.google.com/spreadsheets/d/1yDAaXNsi4Mr5FtRQL4tbmSdIzhx6_m4wkOD7IG-k_eo/edit#gid=1336395716"", ""Science!M:N""), 2, FALSE)"),"(LU006697.004); Default - Analyse")</f>
        <v>(LU006697.004); Default - Analyse</v>
      </c>
      <c r="R25" s="2" t="str">
        <f t="shared" si="4"/>
        <v>LU006697.005</v>
      </c>
      <c r="S25" s="17" t="str">
        <f ca="1">IFERROR(__xludf.dummyfunction("VLOOKUP(R25, IMPORTRANGE(""https://docs.google.com/spreadsheets/d/1yDAaXNsi4Mr5FtRQL4tbmSdIzhx6_m4wkOD7IG-k_eo/edit#gid=1336395716"", ""Science!M:N""), 2, FALSE)"),"(LU006697.005); Default - Evaluate")</f>
        <v>(LU006697.005); Default - Evaluate</v>
      </c>
      <c r="T25" s="2" t="str">
        <f t="shared" si="5"/>
        <v>LU006697.006</v>
      </c>
      <c r="U25" s="17" t="str">
        <f ca="1">IFERROR(__xludf.dummyfunction("VLOOKUP(T25, IMPORTRANGE(""https://docs.google.com/spreadsheets/d/1yDAaXNsi4Mr5FtRQL4tbmSdIzhx6_m4wkOD7IG-k_eo/edit#gid=1336395716"", ""Science!M:N""), 2, FALSE)"),"(LU006697.006); Default - Create")</f>
        <v>(LU006697.006); Default - Create</v>
      </c>
      <c r="V25" s="113"/>
      <c r="W25" s="113"/>
      <c r="X25" s="113"/>
      <c r="Y25" s="113"/>
      <c r="Z25" s="113"/>
      <c r="AA25" s="113"/>
      <c r="AB25" s="113"/>
      <c r="AC25" s="113"/>
      <c r="AD25" s="113"/>
      <c r="AE25" s="113"/>
      <c r="AF25" s="113"/>
      <c r="AG25" s="113"/>
    </row>
    <row r="26" spans="1:33" ht="27.6">
      <c r="A26" s="111"/>
      <c r="B26" s="111" t="s">
        <v>29</v>
      </c>
      <c r="C26" s="111">
        <v>6</v>
      </c>
      <c r="D26" s="111" t="s">
        <v>1648</v>
      </c>
      <c r="E26" s="111" t="s">
        <v>1613</v>
      </c>
      <c r="F26" s="111" t="s">
        <v>1649</v>
      </c>
      <c r="G26" s="14" t="s">
        <v>1650</v>
      </c>
      <c r="H26" s="112" t="str">
        <f ca="1">IFERROR(__xludf.dummyfunction("IFERROR(
  VLOOKUP(G26, IMPORTRANGE(""https://docs.google.com/spreadsheets/d/14deopnvwcrKtEGCKuYXdUHJbeLDZlkiSSWWT0g7x2pM/edit#gid=849066331"", ""LU List Maths (Filter)!A:B""), 2, FALSE),
  IFERROR(
    VLOOKUP(G26, IMPORTRANGE(""https://docs.google.com/s"&amp;"preadsheets/d/14deopnvwcrKtEGCKuYXdUHJbeLDZlkiSSWWT0g7x2pM/edit#gid=849066331"", ""LU List Science (Filter)!A:B""), 2, FALSE),
    ""Not Found""
  )
)
"),"Importance of Water in Everyday Life")</f>
        <v>Importance of Water in Everyday Life</v>
      </c>
      <c r="I26" s="111"/>
      <c r="J26" s="2" t="str">
        <f t="shared" si="0"/>
        <v>LU006698.001</v>
      </c>
      <c r="K26" s="2" t="str">
        <f ca="1">IFERROR(__xludf.dummyfunction("VLOOKUP(J26, IMPORTRANGE(""https://docs.google.com/spreadsheets/d/1yDAaXNsi4Mr5FtRQL4tbmSdIzhx6_m4wkOD7IG-k_eo/edit#gid=1336395716"", ""Science!M:N""), 2, FALSE)"),"(LU006698.001); Default - Remember")</f>
        <v>(LU006698.001); Default - Remember</v>
      </c>
      <c r="L26" s="2" t="str">
        <f t="shared" si="1"/>
        <v>LU006698.002</v>
      </c>
      <c r="M26" s="2" t="str">
        <f ca="1">IFERROR(__xludf.dummyfunction("VLOOKUP(L26, IMPORTRANGE(""https://docs.google.com/spreadsheets/d/1yDAaXNsi4Mr5FtRQL4tbmSdIzhx6_m4wkOD7IG-k_eo/edit#gid=1336395716"", ""Science!M:N""), 2, FALSE)"),"(LU006698.002); Default - Understand")</f>
        <v>(LU006698.002); Default - Understand</v>
      </c>
      <c r="N26" s="2" t="str">
        <f t="shared" si="2"/>
        <v>LU006698.003</v>
      </c>
      <c r="O26" s="2" t="str">
        <f ca="1">IFERROR(__xludf.dummyfunction("VLOOKUP(N26, IMPORTRANGE(""https://docs.google.com/spreadsheets/d/1yDAaXNsi4Mr5FtRQL4tbmSdIzhx6_m4wkOD7IG-k_eo/edit#gid=1336395716"", ""Science!M:N""), 2, FALSE)"),"(LU006698.003); Default - Apply")</f>
        <v>(LU006698.003); Default - Apply</v>
      </c>
      <c r="P26" s="2" t="str">
        <f t="shared" si="3"/>
        <v>LU006698.004</v>
      </c>
      <c r="Q26" s="17" t="str">
        <f ca="1">IFERROR(__xludf.dummyfunction("VLOOKUP(P26, IMPORTRANGE(""https://docs.google.com/spreadsheets/d/1yDAaXNsi4Mr5FtRQL4tbmSdIzhx6_m4wkOD7IG-k_eo/edit#gid=1336395716"", ""Science!M:N""), 2, FALSE)"),"(LU006698.004); Default - Analyse")</f>
        <v>(LU006698.004); Default - Analyse</v>
      </c>
      <c r="R26" s="2" t="str">
        <f t="shared" si="4"/>
        <v>LU006698.005</v>
      </c>
      <c r="S26" s="17" t="str">
        <f ca="1">IFERROR(__xludf.dummyfunction("VLOOKUP(R26, IMPORTRANGE(""https://docs.google.com/spreadsheets/d/1yDAaXNsi4Mr5FtRQL4tbmSdIzhx6_m4wkOD7IG-k_eo/edit#gid=1336395716"", ""Science!M:N""), 2, FALSE)"),"(LU006698.005); Default - Evaluate")</f>
        <v>(LU006698.005); Default - Evaluate</v>
      </c>
      <c r="T26" s="2" t="str">
        <f t="shared" si="5"/>
        <v>LU006698.006</v>
      </c>
      <c r="U26" s="17" t="str">
        <f ca="1">IFERROR(__xludf.dummyfunction("VLOOKUP(T26, IMPORTRANGE(""https://docs.google.com/spreadsheets/d/1yDAaXNsi4Mr5FtRQL4tbmSdIzhx6_m4wkOD7IG-k_eo/edit#gid=1336395716"", ""Science!M:N""), 2, FALSE)"),"(LU006698.006); Default - Create")</f>
        <v>(LU006698.006); Default - Create</v>
      </c>
      <c r="V26" s="113"/>
      <c r="W26" s="113"/>
      <c r="X26" s="113"/>
      <c r="Y26" s="113"/>
      <c r="Z26" s="113"/>
      <c r="AA26" s="113"/>
      <c r="AB26" s="113"/>
      <c r="AC26" s="113"/>
      <c r="AD26" s="113"/>
      <c r="AE26" s="113"/>
      <c r="AF26" s="113"/>
      <c r="AG26" s="113"/>
    </row>
    <row r="27" spans="1:33" ht="27.6">
      <c r="A27" s="111"/>
      <c r="B27" s="111" t="s">
        <v>29</v>
      </c>
      <c r="C27" s="111">
        <v>6</v>
      </c>
      <c r="D27" s="111" t="s">
        <v>1648</v>
      </c>
      <c r="E27" s="111" t="s">
        <v>1613</v>
      </c>
      <c r="F27" s="111" t="s">
        <v>1649</v>
      </c>
      <c r="G27" s="14" t="s">
        <v>1651</v>
      </c>
      <c r="H27" s="112" t="str">
        <f ca="1">IFERROR(__xludf.dummyfunction("IFERROR(
  VLOOKUP(G27, IMPORTRANGE(""https://docs.google.com/spreadsheets/d/14deopnvwcrKtEGCKuYXdUHJbeLDZlkiSSWWT0g7x2pM/edit#gid=849066331"", ""LU List Maths (Filter)!A:B""), 2, FALSE),
  IFERROR(
    VLOOKUP(G27, IMPORTRANGE(""https://docs.google.com/s"&amp;"preadsheets/d/14deopnvwcrKtEGCKuYXdUHJbeLDZlkiSSWWT0g7x2pM/edit#gid=849066331"", ""LU List Science (Filter)!A:B""), 2, FALSE),
    ""Not Found""
  )
)
"),"Resources of Water")</f>
        <v>Resources of Water</v>
      </c>
      <c r="I27" s="111"/>
      <c r="J27" s="2" t="str">
        <f t="shared" si="0"/>
        <v>LU006699.001</v>
      </c>
      <c r="K27" s="2" t="str">
        <f ca="1">IFERROR(__xludf.dummyfunction("VLOOKUP(J27, IMPORTRANGE(""https://docs.google.com/spreadsheets/d/1yDAaXNsi4Mr5FtRQL4tbmSdIzhx6_m4wkOD7IG-k_eo/edit#gid=1336395716"", ""Science!M:N""), 2, FALSE)"),"(LU006699.001); Default - Remember")</f>
        <v>(LU006699.001); Default - Remember</v>
      </c>
      <c r="L27" s="2" t="str">
        <f t="shared" si="1"/>
        <v>LU006699.002</v>
      </c>
      <c r="M27" s="2" t="str">
        <f ca="1">IFERROR(__xludf.dummyfunction("VLOOKUP(L27, IMPORTRANGE(""https://docs.google.com/spreadsheets/d/1yDAaXNsi4Mr5FtRQL4tbmSdIzhx6_m4wkOD7IG-k_eo/edit#gid=1336395716"", ""Science!M:N""), 2, FALSE)"),"(LU006699.002); Default - Understand")</f>
        <v>(LU006699.002); Default - Understand</v>
      </c>
      <c r="N27" s="2" t="str">
        <f t="shared" si="2"/>
        <v>LU006699.003</v>
      </c>
      <c r="O27" s="2" t="str">
        <f ca="1">IFERROR(__xludf.dummyfunction("VLOOKUP(N27, IMPORTRANGE(""https://docs.google.com/spreadsheets/d/1yDAaXNsi4Mr5FtRQL4tbmSdIzhx6_m4wkOD7IG-k_eo/edit#gid=1336395716"", ""Science!M:N""), 2, FALSE)"),"(LU006699.003); Default - Apply")</f>
        <v>(LU006699.003); Default - Apply</v>
      </c>
      <c r="P27" s="2" t="str">
        <f t="shared" si="3"/>
        <v>LU006699.004</v>
      </c>
      <c r="Q27" s="17" t="str">
        <f ca="1">IFERROR(__xludf.dummyfunction("VLOOKUP(P27, IMPORTRANGE(""https://docs.google.com/spreadsheets/d/1yDAaXNsi4Mr5FtRQL4tbmSdIzhx6_m4wkOD7IG-k_eo/edit#gid=1336395716"", ""Science!M:N""), 2, FALSE)"),"(LU006699.004); Default - Analyse")</f>
        <v>(LU006699.004); Default - Analyse</v>
      </c>
      <c r="R27" s="2" t="str">
        <f t="shared" si="4"/>
        <v>LU006699.005</v>
      </c>
      <c r="S27" s="17" t="str">
        <f ca="1">IFERROR(__xludf.dummyfunction("VLOOKUP(R27, IMPORTRANGE(""https://docs.google.com/spreadsheets/d/1yDAaXNsi4Mr5FtRQL4tbmSdIzhx6_m4wkOD7IG-k_eo/edit#gid=1336395716"", ""Science!M:N""), 2, FALSE)"),"(LU006699.005); Default - Evaluate")</f>
        <v>(LU006699.005); Default - Evaluate</v>
      </c>
      <c r="T27" s="2" t="str">
        <f t="shared" si="5"/>
        <v>LU006699.006</v>
      </c>
      <c r="U27" s="17" t="str">
        <f ca="1">IFERROR(__xludf.dummyfunction("VLOOKUP(T27, IMPORTRANGE(""https://docs.google.com/spreadsheets/d/1yDAaXNsi4Mr5FtRQL4tbmSdIzhx6_m4wkOD7IG-k_eo/edit#gid=1336395716"", ""Science!M:N""), 2, FALSE)"),"(LU006699.006); Default - Create")</f>
        <v>(LU006699.006); Default - Create</v>
      </c>
      <c r="V27" s="113"/>
      <c r="W27" s="113"/>
      <c r="X27" s="113"/>
      <c r="Y27" s="113"/>
      <c r="Z27" s="113"/>
      <c r="AA27" s="113"/>
      <c r="AB27" s="113"/>
      <c r="AC27" s="113"/>
      <c r="AD27" s="113"/>
      <c r="AE27" s="113"/>
      <c r="AF27" s="113"/>
      <c r="AG27" s="113"/>
    </row>
    <row r="28" spans="1:33" ht="27.6">
      <c r="A28" s="111"/>
      <c r="B28" s="111" t="s">
        <v>29</v>
      </c>
      <c r="C28" s="111">
        <v>6</v>
      </c>
      <c r="D28" s="111" t="s">
        <v>1648</v>
      </c>
      <c r="E28" s="111" t="s">
        <v>1613</v>
      </c>
      <c r="F28" s="111" t="s">
        <v>1652</v>
      </c>
      <c r="G28" s="14" t="s">
        <v>1653</v>
      </c>
      <c r="H28" s="112" t="str">
        <f ca="1">IFERROR(__xludf.dummyfunction("IFERROR(
  VLOOKUP(G28, IMPORTRANGE(""https://docs.google.com/spreadsheets/d/14deopnvwcrKtEGCKuYXdUHJbeLDZlkiSSWWT0g7x2pM/edit#gid=849066331"", ""LU List Maths (Filter)!A:B""), 2, FALSE),
  IFERROR(
    VLOOKUP(G28, IMPORTRANGE(""https://docs.google.com/s"&amp;"preadsheets/d/14deopnvwcrKtEGCKuYXdUHJbeLDZlkiSSWWT0g7x2pM/edit#gid=849066331"", ""LU List Science (Filter)!A:B""), 2, FALSE),
    ""Not Found""
  )
)
"),"Solubility of Different Salts in Water")</f>
        <v>Solubility of Different Salts in Water</v>
      </c>
      <c r="I28" s="111"/>
      <c r="J28" s="2" t="str">
        <f t="shared" si="0"/>
        <v>LU006700.001</v>
      </c>
      <c r="K28" s="2" t="str">
        <f ca="1">IFERROR(__xludf.dummyfunction("VLOOKUP(J28, IMPORTRANGE(""https://docs.google.com/spreadsheets/d/1yDAaXNsi4Mr5FtRQL4tbmSdIzhx6_m4wkOD7IG-k_eo/edit#gid=1336395716"", ""Science!M:N""), 2, FALSE)"),"(LU006700.001); Default - Remember")</f>
        <v>(LU006700.001); Default - Remember</v>
      </c>
      <c r="L28" s="2" t="str">
        <f t="shared" si="1"/>
        <v>LU006700.002</v>
      </c>
      <c r="M28" s="2" t="str">
        <f ca="1">IFERROR(__xludf.dummyfunction("VLOOKUP(L28, IMPORTRANGE(""https://docs.google.com/spreadsheets/d/1yDAaXNsi4Mr5FtRQL4tbmSdIzhx6_m4wkOD7IG-k_eo/edit#gid=1336395716"", ""Science!M:N""), 2, FALSE)"),"(LU006700.002); Default - Understand")</f>
        <v>(LU006700.002); Default - Understand</v>
      </c>
      <c r="N28" s="2" t="str">
        <f t="shared" si="2"/>
        <v>LU006700.003</v>
      </c>
      <c r="O28" s="2" t="str">
        <f ca="1">IFERROR(__xludf.dummyfunction("VLOOKUP(N28, IMPORTRANGE(""https://docs.google.com/spreadsheets/d/1yDAaXNsi4Mr5FtRQL4tbmSdIzhx6_m4wkOD7IG-k_eo/edit#gid=1336395716"", ""Science!M:N""), 2, FALSE)"),"(LU006700.003); Default - Apply")</f>
        <v>(LU006700.003); Default - Apply</v>
      </c>
      <c r="P28" s="2" t="str">
        <f t="shared" si="3"/>
        <v>LU006700.004</v>
      </c>
      <c r="Q28" s="17" t="str">
        <f ca="1">IFERROR(__xludf.dummyfunction("VLOOKUP(P28, IMPORTRANGE(""https://docs.google.com/spreadsheets/d/1yDAaXNsi4Mr5FtRQL4tbmSdIzhx6_m4wkOD7IG-k_eo/edit#gid=1336395716"", ""Science!M:N""), 2, FALSE)"),"(LU006700.004); Default - Analyse")</f>
        <v>(LU006700.004); Default - Analyse</v>
      </c>
      <c r="R28" s="2" t="str">
        <f t="shared" si="4"/>
        <v>LU006700.005</v>
      </c>
      <c r="S28" s="17" t="str">
        <f ca="1">IFERROR(__xludf.dummyfunction("VLOOKUP(R28, IMPORTRANGE(""https://docs.google.com/spreadsheets/d/1yDAaXNsi4Mr5FtRQL4tbmSdIzhx6_m4wkOD7IG-k_eo/edit#gid=1336395716"", ""Science!M:N""), 2, FALSE)"),"(LU006700.005); Default - Evaluate")</f>
        <v>(LU006700.005); Default - Evaluate</v>
      </c>
      <c r="T28" s="2" t="str">
        <f t="shared" si="5"/>
        <v>LU006700.006</v>
      </c>
      <c r="U28" s="17" t="str">
        <f ca="1">IFERROR(__xludf.dummyfunction("VLOOKUP(T28, IMPORTRANGE(""https://docs.google.com/spreadsheets/d/1yDAaXNsi4Mr5FtRQL4tbmSdIzhx6_m4wkOD7IG-k_eo/edit#gid=1336395716"", ""Science!M:N""), 2, FALSE)"),"(LU006700.006); Default - Create")</f>
        <v>(LU006700.006); Default - Create</v>
      </c>
      <c r="V28" s="113"/>
      <c r="W28" s="113"/>
      <c r="X28" s="113"/>
      <c r="Y28" s="113"/>
      <c r="Z28" s="113"/>
      <c r="AA28" s="113"/>
      <c r="AB28" s="113"/>
      <c r="AC28" s="113"/>
      <c r="AD28" s="113"/>
      <c r="AE28" s="113"/>
      <c r="AF28" s="113"/>
      <c r="AG28" s="113"/>
    </row>
    <row r="29" spans="1:33" ht="27.6">
      <c r="A29" s="111"/>
      <c r="B29" s="111" t="s">
        <v>29</v>
      </c>
      <c r="C29" s="111">
        <v>6</v>
      </c>
      <c r="D29" s="111" t="s">
        <v>1648</v>
      </c>
      <c r="E29" s="111" t="s">
        <v>1613</v>
      </c>
      <c r="F29" s="111" t="s">
        <v>1652</v>
      </c>
      <c r="G29" s="14" t="s">
        <v>1654</v>
      </c>
      <c r="H29" s="112" t="str">
        <f ca="1">IFERROR(__xludf.dummyfunction("IFERROR(
  VLOOKUP(G29, IMPORTRANGE(""https://docs.google.com/spreadsheets/d/14deopnvwcrKtEGCKuYXdUHJbeLDZlkiSSWWT0g7x2pM/edit#gid=849066331"", ""LU List Maths (Filter)!A:B""), 2, FALSE),
  IFERROR(
    VLOOKUP(G29, IMPORTRANGE(""https://docs.google.com/s"&amp;"preadsheets/d/14deopnvwcrKtEGCKuYXdUHJbeLDZlkiSSWWT0g7x2pM/edit#gid=849066331"", ""LU List Science (Filter)!A:B""), 2, FALSE),
    ""Not Found""
  )
)
"),"Definition of Solute, Solvent and Solution.")</f>
        <v>Definition of Solute, Solvent and Solution.</v>
      </c>
      <c r="I29" s="111"/>
      <c r="J29" s="2" t="str">
        <f t="shared" si="0"/>
        <v>LU006701.001</v>
      </c>
      <c r="K29" s="2" t="str">
        <f ca="1">IFERROR(__xludf.dummyfunction("VLOOKUP(J29, IMPORTRANGE(""https://docs.google.com/spreadsheets/d/1yDAaXNsi4Mr5FtRQL4tbmSdIzhx6_m4wkOD7IG-k_eo/edit#gid=1336395716"", ""Science!M:N""), 2, FALSE)"),"(LU006701.001); Default - Remember")</f>
        <v>(LU006701.001); Default - Remember</v>
      </c>
      <c r="L29" s="2" t="str">
        <f t="shared" si="1"/>
        <v>LU006701.002</v>
      </c>
      <c r="M29" s="2" t="str">
        <f ca="1">IFERROR(__xludf.dummyfunction("VLOOKUP(L29, IMPORTRANGE(""https://docs.google.com/spreadsheets/d/1yDAaXNsi4Mr5FtRQL4tbmSdIzhx6_m4wkOD7IG-k_eo/edit#gid=1336395716"", ""Science!M:N""), 2, FALSE)"),"(LU006701.002); Default - Understand")</f>
        <v>(LU006701.002); Default - Understand</v>
      </c>
      <c r="N29" s="2" t="str">
        <f t="shared" si="2"/>
        <v>LU006701.003</v>
      </c>
      <c r="O29" s="2" t="str">
        <f ca="1">IFERROR(__xludf.dummyfunction("VLOOKUP(N29, IMPORTRANGE(""https://docs.google.com/spreadsheets/d/1yDAaXNsi4Mr5FtRQL4tbmSdIzhx6_m4wkOD7IG-k_eo/edit#gid=1336395716"", ""Science!M:N""), 2, FALSE)"),"(LU006701.003); Default - Apply")</f>
        <v>(LU006701.003); Default - Apply</v>
      </c>
      <c r="P29" s="2" t="str">
        <f t="shared" si="3"/>
        <v>LU006701.004</v>
      </c>
      <c r="Q29" s="17" t="str">
        <f ca="1">IFERROR(__xludf.dummyfunction("VLOOKUP(P29, IMPORTRANGE(""https://docs.google.com/spreadsheets/d/1yDAaXNsi4Mr5FtRQL4tbmSdIzhx6_m4wkOD7IG-k_eo/edit#gid=1336395716"", ""Science!M:N""), 2, FALSE)"),"(LU006701.004); Default - Analyse")</f>
        <v>(LU006701.004); Default - Analyse</v>
      </c>
      <c r="R29" s="2" t="str">
        <f t="shared" si="4"/>
        <v>LU006701.005</v>
      </c>
      <c r="S29" s="17" t="str">
        <f ca="1">IFERROR(__xludf.dummyfunction("VLOOKUP(R29, IMPORTRANGE(""https://docs.google.com/spreadsheets/d/1yDAaXNsi4Mr5FtRQL4tbmSdIzhx6_m4wkOD7IG-k_eo/edit#gid=1336395716"", ""Science!M:N""), 2, FALSE)"),"(LU006701.005); Default - Evaluate")</f>
        <v>(LU006701.005); Default - Evaluate</v>
      </c>
      <c r="T29" s="2" t="str">
        <f t="shared" si="5"/>
        <v>LU006701.006</v>
      </c>
      <c r="U29" s="17" t="str">
        <f ca="1">IFERROR(__xludf.dummyfunction("VLOOKUP(T29, IMPORTRANGE(""https://docs.google.com/spreadsheets/d/1yDAaXNsi4Mr5FtRQL4tbmSdIzhx6_m4wkOD7IG-k_eo/edit#gid=1336395716"", ""Science!M:N""), 2, FALSE)"),"(LU006701.006); Default - Create")</f>
        <v>(LU006701.006); Default - Create</v>
      </c>
      <c r="V29" s="113"/>
      <c r="W29" s="113"/>
      <c r="X29" s="113"/>
      <c r="Y29" s="113"/>
      <c r="Z29" s="113"/>
      <c r="AA29" s="113"/>
      <c r="AB29" s="113"/>
      <c r="AC29" s="113"/>
      <c r="AD29" s="113"/>
      <c r="AE29" s="113"/>
      <c r="AF29" s="113"/>
      <c r="AG29" s="113"/>
    </row>
    <row r="30" spans="1:33" ht="27.6">
      <c r="A30" s="111"/>
      <c r="B30" s="111" t="s">
        <v>29</v>
      </c>
      <c r="C30" s="111">
        <v>6</v>
      </c>
      <c r="D30" s="111" t="s">
        <v>1648</v>
      </c>
      <c r="E30" s="111" t="s">
        <v>1613</v>
      </c>
      <c r="F30" s="111" t="s">
        <v>1655</v>
      </c>
      <c r="G30" s="14" t="s">
        <v>1656</v>
      </c>
      <c r="H30" s="112" t="str">
        <f ca="1">IFERROR(__xludf.dummyfunction("IFERROR(
  VLOOKUP(G30, IMPORTRANGE(""https://docs.google.com/spreadsheets/d/14deopnvwcrKtEGCKuYXdUHJbeLDZlkiSSWWT0g7x2pM/edit#gid=849066331"", ""LU List Maths (Filter)!A:B""), 2, FALSE),
  IFERROR(
    VLOOKUP(G30, IMPORTRANGE(""https://docs.google.com/s"&amp;"preadsheets/d/14deopnvwcrKtEGCKuYXdUHJbeLDZlkiSSWWT0g7x2pM/edit#gid=849066331"", ""LU List Science (Filter)!A:B""), 2, FALSE),
    ""Not Found""
  )
)
"),"Importance of Water for Sustenance of Life on Earth")</f>
        <v>Importance of Water for Sustenance of Life on Earth</v>
      </c>
      <c r="I30" s="111"/>
      <c r="J30" s="2" t="str">
        <f t="shared" si="0"/>
        <v>LU006702.001</v>
      </c>
      <c r="K30" s="2" t="str">
        <f ca="1">IFERROR(__xludf.dummyfunction("VLOOKUP(J30, IMPORTRANGE(""https://docs.google.com/spreadsheets/d/1yDAaXNsi4Mr5FtRQL4tbmSdIzhx6_m4wkOD7IG-k_eo/edit#gid=1336395716"", ""Science!M:N""), 2, FALSE)"),"(LU006702.001); Default - Remember")</f>
        <v>(LU006702.001); Default - Remember</v>
      </c>
      <c r="L30" s="2" t="str">
        <f t="shared" si="1"/>
        <v>LU006702.002</v>
      </c>
      <c r="M30" s="2" t="str">
        <f ca="1">IFERROR(__xludf.dummyfunction("VLOOKUP(L30, IMPORTRANGE(""https://docs.google.com/spreadsheets/d/1yDAaXNsi4Mr5FtRQL4tbmSdIzhx6_m4wkOD7IG-k_eo/edit#gid=1336395716"", ""Science!M:N""), 2, FALSE)"),"(LU006702.002); Default - Understand")</f>
        <v>(LU006702.002); Default - Understand</v>
      </c>
      <c r="N30" s="2" t="str">
        <f t="shared" si="2"/>
        <v>LU006702.003</v>
      </c>
      <c r="O30" s="2" t="str">
        <f ca="1">IFERROR(__xludf.dummyfunction("VLOOKUP(N30, IMPORTRANGE(""https://docs.google.com/spreadsheets/d/1yDAaXNsi4Mr5FtRQL4tbmSdIzhx6_m4wkOD7IG-k_eo/edit#gid=1336395716"", ""Science!M:N""), 2, FALSE)"),"(LU006702.003); Default - Apply")</f>
        <v>(LU006702.003); Default - Apply</v>
      </c>
      <c r="P30" s="2" t="str">
        <f t="shared" si="3"/>
        <v>LU006702.004</v>
      </c>
      <c r="Q30" s="17" t="str">
        <f ca="1">IFERROR(__xludf.dummyfunction("VLOOKUP(P30, IMPORTRANGE(""https://docs.google.com/spreadsheets/d/1yDAaXNsi4Mr5FtRQL4tbmSdIzhx6_m4wkOD7IG-k_eo/edit#gid=1336395716"", ""Science!M:N""), 2, FALSE)"),"(LU006702.004); Default - Analyse")</f>
        <v>(LU006702.004); Default - Analyse</v>
      </c>
      <c r="R30" s="2" t="str">
        <f t="shared" si="4"/>
        <v>LU006702.005</v>
      </c>
      <c r="S30" s="17" t="str">
        <f ca="1">IFERROR(__xludf.dummyfunction("VLOOKUP(R30, IMPORTRANGE(""https://docs.google.com/spreadsheets/d/1yDAaXNsi4Mr5FtRQL4tbmSdIzhx6_m4wkOD7IG-k_eo/edit#gid=1336395716"", ""Science!M:N""), 2, FALSE)"),"(LU006702.005); Default - Evaluate")</f>
        <v>(LU006702.005); Default - Evaluate</v>
      </c>
      <c r="T30" s="2" t="str">
        <f t="shared" si="5"/>
        <v>LU006702.006</v>
      </c>
      <c r="U30" s="17" t="str">
        <f ca="1">IFERROR(__xludf.dummyfunction("VLOOKUP(T30, IMPORTRANGE(""https://docs.google.com/spreadsheets/d/1yDAaXNsi4Mr5FtRQL4tbmSdIzhx6_m4wkOD7IG-k_eo/edit#gid=1336395716"", ""Science!M:N""), 2, FALSE)"),"(LU006702.006); Default - Create")</f>
        <v>(LU006702.006); Default - Create</v>
      </c>
      <c r="V30" s="113"/>
      <c r="W30" s="113"/>
      <c r="X30" s="113"/>
      <c r="Y30" s="113"/>
      <c r="Z30" s="113"/>
      <c r="AA30" s="113"/>
      <c r="AB30" s="113"/>
      <c r="AC30" s="113"/>
      <c r="AD30" s="113"/>
      <c r="AE30" s="113"/>
      <c r="AF30" s="113"/>
      <c r="AG30" s="113"/>
    </row>
    <row r="31" spans="1:33" ht="27.6">
      <c r="A31" s="111"/>
      <c r="B31" s="111" t="s">
        <v>29</v>
      </c>
      <c r="C31" s="111">
        <v>6</v>
      </c>
      <c r="D31" s="111" t="s">
        <v>1648</v>
      </c>
      <c r="E31" s="111" t="s">
        <v>1613</v>
      </c>
      <c r="F31" s="111" t="s">
        <v>1655</v>
      </c>
      <c r="G31" s="14" t="s">
        <v>1657</v>
      </c>
      <c r="H31" s="112" t="str">
        <f ca="1">IFERROR(__xludf.dummyfunction("IFERROR(
  VLOOKUP(G31, IMPORTRANGE(""https://docs.google.com/spreadsheets/d/14deopnvwcrKtEGCKuYXdUHJbeLDZlkiSSWWT0g7x2pM/edit#gid=849066331"", ""LU List Maths (Filter)!A:B""), 2, FALSE),
  IFERROR(
    VLOOKUP(G31, IMPORTRANGE(""https://docs.google.com/s"&amp;"preadsheets/d/14deopnvwcrKtEGCKuYXdUHJbeLDZlkiSSWWT0g7x2pM/edit#gid=849066331"", ""LU List Science (Filter)!A:B""), 2, FALSE),
    ""Not Found""
  )
)
"),"Reasons and Prevention of Water Pollution")</f>
        <v>Reasons and Prevention of Water Pollution</v>
      </c>
      <c r="I31" s="111"/>
      <c r="J31" s="2" t="str">
        <f t="shared" si="0"/>
        <v>LU006703.001</v>
      </c>
      <c r="K31" s="2" t="str">
        <f ca="1">IFERROR(__xludf.dummyfunction("VLOOKUP(J31, IMPORTRANGE(""https://docs.google.com/spreadsheets/d/1yDAaXNsi4Mr5FtRQL4tbmSdIzhx6_m4wkOD7IG-k_eo/edit#gid=1336395716"", ""Science!M:N""), 2, FALSE)"),"(LU006703.001); Default - Remember")</f>
        <v>(LU006703.001); Default - Remember</v>
      </c>
      <c r="L31" s="2" t="str">
        <f t="shared" si="1"/>
        <v>LU006703.002</v>
      </c>
      <c r="M31" s="2" t="str">
        <f ca="1">IFERROR(__xludf.dummyfunction("VLOOKUP(L31, IMPORTRANGE(""https://docs.google.com/spreadsheets/d/1yDAaXNsi4Mr5FtRQL4tbmSdIzhx6_m4wkOD7IG-k_eo/edit#gid=1336395716"", ""Science!M:N""), 2, FALSE)"),"(LU006703.002); Default - Understand")</f>
        <v>(LU006703.002); Default - Understand</v>
      </c>
      <c r="N31" s="2" t="str">
        <f t="shared" si="2"/>
        <v>LU006703.003</v>
      </c>
      <c r="O31" s="2" t="str">
        <f ca="1">IFERROR(__xludf.dummyfunction("VLOOKUP(N31, IMPORTRANGE(""https://docs.google.com/spreadsheets/d/1yDAaXNsi4Mr5FtRQL4tbmSdIzhx6_m4wkOD7IG-k_eo/edit#gid=1336395716"", ""Science!M:N""), 2, FALSE)"),"(LU006703.003); Default - Apply")</f>
        <v>(LU006703.003); Default - Apply</v>
      </c>
      <c r="P31" s="2" t="str">
        <f t="shared" si="3"/>
        <v>LU006703.004</v>
      </c>
      <c r="Q31" s="17" t="str">
        <f ca="1">IFERROR(__xludf.dummyfunction("VLOOKUP(P31, IMPORTRANGE(""https://docs.google.com/spreadsheets/d/1yDAaXNsi4Mr5FtRQL4tbmSdIzhx6_m4wkOD7IG-k_eo/edit#gid=1336395716"", ""Science!M:N""), 2, FALSE)"),"(LU006703.004); Default - Analyse")</f>
        <v>(LU006703.004); Default - Analyse</v>
      </c>
      <c r="R31" s="2" t="str">
        <f t="shared" si="4"/>
        <v>LU006703.005</v>
      </c>
      <c r="S31" s="17" t="str">
        <f ca="1">IFERROR(__xludf.dummyfunction("VLOOKUP(R31, IMPORTRANGE(""https://docs.google.com/spreadsheets/d/1yDAaXNsi4Mr5FtRQL4tbmSdIzhx6_m4wkOD7IG-k_eo/edit#gid=1336395716"", ""Science!M:N""), 2, FALSE)"),"(LU006703.005); Default - Evaluate")</f>
        <v>(LU006703.005); Default - Evaluate</v>
      </c>
      <c r="T31" s="2" t="str">
        <f t="shared" si="5"/>
        <v>LU006703.006</v>
      </c>
      <c r="U31" s="17" t="str">
        <f ca="1">IFERROR(__xludf.dummyfunction("VLOOKUP(T31, IMPORTRANGE(""https://docs.google.com/spreadsheets/d/1yDAaXNsi4Mr5FtRQL4tbmSdIzhx6_m4wkOD7IG-k_eo/edit#gid=1336395716"", ""Science!M:N""), 2, FALSE)"),"(LU006703.006); Default - Create")</f>
        <v>(LU006703.006); Default - Create</v>
      </c>
      <c r="V31" s="113"/>
      <c r="W31" s="113"/>
      <c r="X31" s="113"/>
      <c r="Y31" s="113"/>
      <c r="Z31" s="113"/>
      <c r="AA31" s="113"/>
      <c r="AB31" s="113"/>
      <c r="AC31" s="113"/>
      <c r="AD31" s="113"/>
      <c r="AE31" s="113"/>
      <c r="AF31" s="113"/>
      <c r="AG31" s="113"/>
    </row>
    <row r="32" spans="1:33" ht="27.6">
      <c r="A32" s="111"/>
      <c r="B32" s="111" t="s">
        <v>29</v>
      </c>
      <c r="C32" s="111">
        <v>6</v>
      </c>
      <c r="D32" s="111" t="s">
        <v>1648</v>
      </c>
      <c r="E32" s="111" t="s">
        <v>1613</v>
      </c>
      <c r="F32" s="111" t="s">
        <v>1655</v>
      </c>
      <c r="G32" s="14" t="s">
        <v>1658</v>
      </c>
      <c r="H32" s="112" t="str">
        <f ca="1">IFERROR(__xludf.dummyfunction("IFERROR(
  VLOOKUP(G32, IMPORTRANGE(""https://docs.google.com/spreadsheets/d/14deopnvwcrKtEGCKuYXdUHJbeLDZlkiSSWWT0g7x2pM/edit#gid=849066331"", ""LU List Maths (Filter)!A:B""), 2, FALSE),
  IFERROR(
    VLOOKUP(G32, IMPORTRANGE(""https://docs.google.com/s"&amp;"preadsheets/d/14deopnvwcrKtEGCKuYXdUHJbeLDZlkiSSWWT0g7x2pM/edit#gid=849066331"", ""LU List Science (Filter)!A:B""), 2, FALSE),
    ""Not Found""
  )
)
"),"Conservation of Water")</f>
        <v>Conservation of Water</v>
      </c>
      <c r="I32" s="111"/>
      <c r="J32" s="2" t="str">
        <f t="shared" si="0"/>
        <v>LU006704.001</v>
      </c>
      <c r="K32" s="2" t="str">
        <f ca="1">IFERROR(__xludf.dummyfunction("VLOOKUP(J32, IMPORTRANGE(""https://docs.google.com/spreadsheets/d/1yDAaXNsi4Mr5FtRQL4tbmSdIzhx6_m4wkOD7IG-k_eo/edit#gid=1336395716"", ""Science!M:N""), 2, FALSE)"),"(LU006704.001); Default - Remember")</f>
        <v>(LU006704.001); Default - Remember</v>
      </c>
      <c r="L32" s="2" t="str">
        <f t="shared" si="1"/>
        <v>LU006704.002</v>
      </c>
      <c r="M32" s="2" t="str">
        <f ca="1">IFERROR(__xludf.dummyfunction("VLOOKUP(L32, IMPORTRANGE(""https://docs.google.com/spreadsheets/d/1yDAaXNsi4Mr5FtRQL4tbmSdIzhx6_m4wkOD7IG-k_eo/edit#gid=1336395716"", ""Science!M:N""), 2, FALSE)"),"(LU006704.002); Default - Understand")</f>
        <v>(LU006704.002); Default - Understand</v>
      </c>
      <c r="N32" s="2" t="str">
        <f t="shared" si="2"/>
        <v>LU006704.003</v>
      </c>
      <c r="O32" s="2" t="str">
        <f ca="1">IFERROR(__xludf.dummyfunction("VLOOKUP(N32, IMPORTRANGE(""https://docs.google.com/spreadsheets/d/1yDAaXNsi4Mr5FtRQL4tbmSdIzhx6_m4wkOD7IG-k_eo/edit#gid=1336395716"", ""Science!M:N""), 2, FALSE)"),"(LU006704.003); Default - Apply")</f>
        <v>(LU006704.003); Default - Apply</v>
      </c>
      <c r="P32" s="2" t="str">
        <f t="shared" si="3"/>
        <v>LU006704.004</v>
      </c>
      <c r="Q32" s="17" t="str">
        <f ca="1">IFERROR(__xludf.dummyfunction("VLOOKUP(P32, IMPORTRANGE(""https://docs.google.com/spreadsheets/d/1yDAaXNsi4Mr5FtRQL4tbmSdIzhx6_m4wkOD7IG-k_eo/edit#gid=1336395716"", ""Science!M:N""), 2, FALSE)"),"(LU006704.004); Default - Analyse")</f>
        <v>(LU006704.004); Default - Analyse</v>
      </c>
      <c r="R32" s="2" t="str">
        <f t="shared" si="4"/>
        <v>LU006704.005</v>
      </c>
      <c r="S32" s="17" t="str">
        <f ca="1">IFERROR(__xludf.dummyfunction("VLOOKUP(R32, IMPORTRANGE(""https://docs.google.com/spreadsheets/d/1yDAaXNsi4Mr5FtRQL4tbmSdIzhx6_m4wkOD7IG-k_eo/edit#gid=1336395716"", ""Science!M:N""), 2, FALSE)"),"(LU006704.005); Default - Evaluate")</f>
        <v>(LU006704.005); Default - Evaluate</v>
      </c>
      <c r="T32" s="2" t="str">
        <f t="shared" si="5"/>
        <v>LU006704.006</v>
      </c>
      <c r="U32" s="17" t="str">
        <f ca="1">IFERROR(__xludf.dummyfunction("VLOOKUP(T32, IMPORTRANGE(""https://docs.google.com/spreadsheets/d/1yDAaXNsi4Mr5FtRQL4tbmSdIzhx6_m4wkOD7IG-k_eo/edit#gid=1336395716"", ""Science!M:N""), 2, FALSE)"),"(LU006704.006); Default - Create")</f>
        <v>(LU006704.006); Default - Create</v>
      </c>
      <c r="V32" s="113"/>
      <c r="W32" s="113"/>
      <c r="X32" s="113"/>
      <c r="Y32" s="113"/>
      <c r="Z32" s="113"/>
      <c r="AA32" s="113"/>
      <c r="AB32" s="113"/>
      <c r="AC32" s="113"/>
      <c r="AD32" s="113"/>
      <c r="AE32" s="113"/>
      <c r="AF32" s="113"/>
      <c r="AG32" s="113"/>
    </row>
    <row r="33" spans="1:33" ht="41.4">
      <c r="A33" s="111"/>
      <c r="B33" s="111" t="s">
        <v>29</v>
      </c>
      <c r="C33" s="111">
        <v>6</v>
      </c>
      <c r="D33" s="111" t="s">
        <v>1659</v>
      </c>
      <c r="E33" s="111" t="s">
        <v>1613</v>
      </c>
      <c r="F33" s="111" t="s">
        <v>1660</v>
      </c>
      <c r="G33" s="14" t="s">
        <v>1661</v>
      </c>
      <c r="H33" s="112" t="str">
        <f ca="1">IFERROR(__xludf.dummyfunction("IFERROR(
  VLOOKUP(G33, IMPORTRANGE(""https://docs.google.com/spreadsheets/d/14deopnvwcrKtEGCKuYXdUHJbeLDZlkiSSWWT0g7x2pM/edit#gid=849066331"", ""LU List Maths (Filter)!A:B""), 2, FALSE),
  IFERROR(
    VLOOKUP(G33, IMPORTRANGE(""https://docs.google.com/s"&amp;"preadsheets/d/14deopnvwcrKtEGCKuYXdUHJbeLDZlkiSSWWT0g7x2pM/edit#gid=849066331"", ""LU List Science (Filter)!A:B""), 2, FALSE),
    ""Not Found""
  )
)
"),"Presence of Air Around Us")</f>
        <v>Presence of Air Around Us</v>
      </c>
      <c r="I33" s="111"/>
      <c r="J33" s="2" t="str">
        <f t="shared" si="0"/>
        <v>LU006705.001</v>
      </c>
      <c r="K33" s="2" t="str">
        <f ca="1">IFERROR(__xludf.dummyfunction("VLOOKUP(J33, IMPORTRANGE(""https://docs.google.com/spreadsheets/d/1yDAaXNsi4Mr5FtRQL4tbmSdIzhx6_m4wkOD7IG-k_eo/edit#gid=1336395716"", ""Science!M:N""), 2, FALSE)"),"(LU006705.001); Default - Remember")</f>
        <v>(LU006705.001); Default - Remember</v>
      </c>
      <c r="L33" s="2" t="str">
        <f t="shared" si="1"/>
        <v>LU006705.002</v>
      </c>
      <c r="M33" s="2" t="str">
        <f ca="1">IFERROR(__xludf.dummyfunction("VLOOKUP(L33, IMPORTRANGE(""https://docs.google.com/spreadsheets/d/1yDAaXNsi4Mr5FtRQL4tbmSdIzhx6_m4wkOD7IG-k_eo/edit#gid=1336395716"", ""Science!M:N""), 2, FALSE)"),"(LU006705.002); Default - Understand")</f>
        <v>(LU006705.002); Default - Understand</v>
      </c>
      <c r="N33" s="2" t="str">
        <f t="shared" si="2"/>
        <v>LU006705.003</v>
      </c>
      <c r="O33" s="2" t="str">
        <f ca="1">IFERROR(__xludf.dummyfunction("VLOOKUP(N33, IMPORTRANGE(""https://docs.google.com/spreadsheets/d/1yDAaXNsi4Mr5FtRQL4tbmSdIzhx6_m4wkOD7IG-k_eo/edit#gid=1336395716"", ""Science!M:N""), 2, FALSE)"),"(LU006705.003); Default - Apply")</f>
        <v>(LU006705.003); Default - Apply</v>
      </c>
      <c r="P33" s="2" t="str">
        <f t="shared" si="3"/>
        <v>LU006705.004</v>
      </c>
      <c r="Q33" s="17" t="str">
        <f ca="1">IFERROR(__xludf.dummyfunction("VLOOKUP(P33, IMPORTRANGE(""https://docs.google.com/spreadsheets/d/1yDAaXNsi4Mr5FtRQL4tbmSdIzhx6_m4wkOD7IG-k_eo/edit#gid=1336395716"", ""Science!M:N""), 2, FALSE)"),"(LU006705.004); Default - Analyse")</f>
        <v>(LU006705.004); Default - Analyse</v>
      </c>
      <c r="R33" s="2" t="str">
        <f t="shared" si="4"/>
        <v>LU006705.005</v>
      </c>
      <c r="S33" s="17" t="str">
        <f ca="1">IFERROR(__xludf.dummyfunction("VLOOKUP(R33, IMPORTRANGE(""https://docs.google.com/spreadsheets/d/1yDAaXNsi4Mr5FtRQL4tbmSdIzhx6_m4wkOD7IG-k_eo/edit#gid=1336395716"", ""Science!M:N""), 2, FALSE)"),"(LU006705.005); Default - Evaluate")</f>
        <v>(LU006705.005); Default - Evaluate</v>
      </c>
      <c r="T33" s="2" t="str">
        <f t="shared" si="5"/>
        <v>LU006705.006</v>
      </c>
      <c r="U33" s="17" t="str">
        <f ca="1">IFERROR(__xludf.dummyfunction("VLOOKUP(T33, IMPORTRANGE(""https://docs.google.com/spreadsheets/d/1yDAaXNsi4Mr5FtRQL4tbmSdIzhx6_m4wkOD7IG-k_eo/edit#gid=1336395716"", ""Science!M:N""), 2, FALSE)"),"(LU006705.006); Default - Create")</f>
        <v>(LU006705.006); Default - Create</v>
      </c>
      <c r="V33" s="113"/>
      <c r="W33" s="113"/>
      <c r="X33" s="113"/>
      <c r="Y33" s="113"/>
      <c r="Z33" s="113"/>
      <c r="AA33" s="113"/>
      <c r="AB33" s="113"/>
      <c r="AC33" s="113"/>
      <c r="AD33" s="113"/>
      <c r="AE33" s="113"/>
      <c r="AF33" s="113"/>
      <c r="AG33" s="113"/>
    </row>
    <row r="34" spans="1:33" ht="41.4">
      <c r="A34" s="111"/>
      <c r="B34" s="111" t="s">
        <v>29</v>
      </c>
      <c r="C34" s="111">
        <v>6</v>
      </c>
      <c r="D34" s="111" t="s">
        <v>1659</v>
      </c>
      <c r="E34" s="111" t="s">
        <v>1613</v>
      </c>
      <c r="F34" s="111" t="s">
        <v>1660</v>
      </c>
      <c r="G34" s="1" t="s">
        <v>1662</v>
      </c>
      <c r="H34" s="112" t="str">
        <f ca="1">IFERROR(__xludf.dummyfunction("IFERROR(
  VLOOKUP(G34, IMPORTRANGE(""https://docs.google.com/spreadsheets/d/14deopnvwcrKtEGCKuYXdUHJbeLDZlkiSSWWT0g7x2pM/edit#gid=849066331"", ""LU List Maths (Filter)!A:B""), 2, FALSE),
  IFERROR(
    VLOOKUP(G34, IMPORTRANGE(""https://docs.google.com/s"&amp;"preadsheets/d/14deopnvwcrKtEGCKuYXdUHJbeLDZlkiSSWWT0g7x2pM/edit#gid=849066331"", ""LU List Science (Filter)!A:B""), 2, FALSE),
    ""Not Found""
  )
)
"),"Understanding What Makes Up the Air (Nitrogen, oxygen, other gases)")</f>
        <v>Understanding What Makes Up the Air (Nitrogen, oxygen, other gases)</v>
      </c>
      <c r="I34" s="111"/>
      <c r="J34" s="2" t="str">
        <f t="shared" si="0"/>
        <v>LU005881.001</v>
      </c>
      <c r="K34" s="2" t="str">
        <f ca="1">IFERROR(__xludf.dummyfunction("VLOOKUP(J34, IMPORTRANGE(""https://docs.google.com/spreadsheets/d/1yDAaXNsi4Mr5FtRQL4tbmSdIzhx6_m4wkOD7IG-k_eo/edit#gid=1336395716"", ""Science!M:N""), 2, FALSE)"),"List the primary components of air.")</f>
        <v>List the primary components of air.</v>
      </c>
      <c r="L34" s="2" t="str">
        <f t="shared" si="1"/>
        <v>LU005881.002</v>
      </c>
      <c r="M34" s="2" t="str">
        <f ca="1">IFERROR(__xludf.dummyfunction("VLOOKUP(L34, IMPORTRANGE(""https://docs.google.com/spreadsheets/d/1yDAaXNsi4Mr5FtRQL4tbmSdIzhx6_m4wkOD7IG-k_eo/edit#gid=1336395716"", ""Science!M:N""), 2, FALSE)"),"Explain the role of each component in the air.")</f>
        <v>Explain the role of each component in the air.</v>
      </c>
      <c r="N34" s="2" t="str">
        <f t="shared" si="2"/>
        <v>LU005881.003</v>
      </c>
      <c r="O34" s="2" t="str">
        <f ca="1">IFERROR(__xludf.dummyfunction("VLOOKUP(N34, IMPORTRANGE(""https://docs.google.com/spreadsheets/d/1yDAaXNsi4Mr5FtRQL4tbmSdIzhx6_m4wkOD7IG-k_eo/edit#gid=1336395716"", ""Science!M:N""), 2, FALSE)"),"Illustrate a diagram showing the percentage of different gases in the air.")</f>
        <v>Illustrate a diagram showing the percentage of different gases in the air.</v>
      </c>
      <c r="P34" s="2" t="str">
        <f t="shared" si="3"/>
        <v>LU005881.004</v>
      </c>
      <c r="Q34" s="17" t="str">
        <f ca="1">IFERROR(__xludf.dummyfunction("VLOOKUP(P34, IMPORTRANGE(""https://docs.google.com/spreadsheets/d/1yDAaXNsi4Mr5FtRQL4tbmSdIzhx6_m4wkOD7IG-k_eo/edit#gid=1336395716"", ""Science!M:N""), 2, FALSE)"),"Analyze a pie chart of atmospheric composition to determine the most abundant gases.")</f>
        <v>Analyze a pie chart of atmospheric composition to determine the most abundant gases.</v>
      </c>
      <c r="R34" s="2" t="str">
        <f t="shared" si="4"/>
        <v>LU005881.005</v>
      </c>
      <c r="S34" s="17" t="str">
        <f ca="1">IFERROR(__xludf.dummyfunction("VLOOKUP(R34, IMPORTRANGE(""https://docs.google.com/spreadsheets/d/1yDAaXNsi4Mr5FtRQL4tbmSdIzhx6_m4wkOD7IG-k_eo/edit#gid=1336395716"", ""Science!M:N""), 2, FALSE)"),"Evaluate the importance of maintaining the balance of gases in the atmosphere.")</f>
        <v>Evaluate the importance of maintaining the balance of gases in the atmosphere.</v>
      </c>
      <c r="T34" s="2" t="str">
        <f t="shared" si="5"/>
        <v>LU005881.006</v>
      </c>
      <c r="U34" s="17" t="str">
        <f ca="1">IFERROR(__xludf.dummyfunction("VLOOKUP(T34, IMPORTRANGE(""https://docs.google.com/spreadsheets/d/1yDAaXNsi4Mr5FtRQL4tbmSdIzhx6_m4wkOD7IG-k_eo/edit#gid=1336395716"", ""Science!M:N""), 2, FALSE)"),"#N/A")</f>
        <v>#N/A</v>
      </c>
      <c r="V34" s="113"/>
      <c r="W34" s="113"/>
      <c r="X34" s="113"/>
      <c r="Y34" s="113"/>
      <c r="Z34" s="113"/>
      <c r="AA34" s="113"/>
      <c r="AB34" s="113"/>
      <c r="AC34" s="113"/>
      <c r="AD34" s="113"/>
      <c r="AE34" s="113"/>
      <c r="AF34" s="113"/>
      <c r="AG34" s="113"/>
    </row>
    <row r="35" spans="1:33" ht="41.4">
      <c r="A35" s="111"/>
      <c r="B35" s="111" t="s">
        <v>29</v>
      </c>
      <c r="C35" s="111">
        <v>6</v>
      </c>
      <c r="D35" s="111" t="s">
        <v>1659</v>
      </c>
      <c r="E35" s="111" t="s">
        <v>1613</v>
      </c>
      <c r="F35" s="111" t="s">
        <v>1663</v>
      </c>
      <c r="G35" s="14" t="s">
        <v>1664</v>
      </c>
      <c r="H35" s="112" t="str">
        <f ca="1">IFERROR(__xludf.dummyfunction("IFERROR(
  VLOOKUP(G35, IMPORTRANGE(""https://docs.google.com/spreadsheets/d/14deopnvwcrKtEGCKuYXdUHJbeLDZlkiSSWWT0g7x2pM/edit#gid=849066331"", ""LU List Maths (Filter)!A:B""), 2, FALSE),
  IFERROR(
    VLOOKUP(G35, IMPORTRANGE(""https://docs.google.com/s"&amp;"preadsheets/d/14deopnvwcrKtEGCKuYXdUHJbeLDZlkiSSWWT0g7x2pM/edit#gid=849066331"", ""LU List Science (Filter)!A:B""), 2, FALSE),
    ""Not Found""
  )
)
"),"Importance of Air for Different Processes")</f>
        <v>Importance of Air for Different Processes</v>
      </c>
      <c r="I35" s="111"/>
      <c r="J35" s="2" t="str">
        <f t="shared" si="0"/>
        <v>LU006706.001</v>
      </c>
      <c r="K35" s="2" t="str">
        <f ca="1">IFERROR(__xludf.dummyfunction("VLOOKUP(J35, IMPORTRANGE(""https://docs.google.com/spreadsheets/d/1yDAaXNsi4Mr5FtRQL4tbmSdIzhx6_m4wkOD7IG-k_eo/edit#gid=1336395716"", ""Science!M:N""), 2, FALSE)"),"(LU006706.001); Default - Remember")</f>
        <v>(LU006706.001); Default - Remember</v>
      </c>
      <c r="L35" s="2" t="str">
        <f t="shared" si="1"/>
        <v>LU006706.002</v>
      </c>
      <c r="M35" s="2" t="str">
        <f ca="1">IFERROR(__xludf.dummyfunction("VLOOKUP(L35, IMPORTRANGE(""https://docs.google.com/spreadsheets/d/1yDAaXNsi4Mr5FtRQL4tbmSdIzhx6_m4wkOD7IG-k_eo/edit#gid=1336395716"", ""Science!M:N""), 2, FALSE)"),"(LU006706.002); Default - Understand")</f>
        <v>(LU006706.002); Default - Understand</v>
      </c>
      <c r="N35" s="2" t="str">
        <f t="shared" si="2"/>
        <v>LU006706.003</v>
      </c>
      <c r="O35" s="2" t="str">
        <f ca="1">IFERROR(__xludf.dummyfunction("VLOOKUP(N35, IMPORTRANGE(""https://docs.google.com/spreadsheets/d/1yDAaXNsi4Mr5FtRQL4tbmSdIzhx6_m4wkOD7IG-k_eo/edit#gid=1336395716"", ""Science!M:N""), 2, FALSE)"),"(LU006706.003); Default - Apply")</f>
        <v>(LU006706.003); Default - Apply</v>
      </c>
      <c r="P35" s="2" t="str">
        <f t="shared" si="3"/>
        <v>LU006706.004</v>
      </c>
      <c r="Q35" s="17" t="str">
        <f ca="1">IFERROR(__xludf.dummyfunction("VLOOKUP(P35, IMPORTRANGE(""https://docs.google.com/spreadsheets/d/1yDAaXNsi4Mr5FtRQL4tbmSdIzhx6_m4wkOD7IG-k_eo/edit#gid=1336395716"", ""Science!M:N""), 2, FALSE)"),"(LU006706.004); Default - Analyse")</f>
        <v>(LU006706.004); Default - Analyse</v>
      </c>
      <c r="R35" s="2" t="str">
        <f t="shared" si="4"/>
        <v>LU006706.005</v>
      </c>
      <c r="S35" s="17" t="str">
        <f ca="1">IFERROR(__xludf.dummyfunction("VLOOKUP(R35, IMPORTRANGE(""https://docs.google.com/spreadsheets/d/1yDAaXNsi4Mr5FtRQL4tbmSdIzhx6_m4wkOD7IG-k_eo/edit#gid=1336395716"", ""Science!M:N""), 2, FALSE)"),"(LU006706.005); Default - Evaluate")</f>
        <v>(LU006706.005); Default - Evaluate</v>
      </c>
      <c r="T35" s="2" t="str">
        <f t="shared" si="5"/>
        <v>LU006706.006</v>
      </c>
      <c r="U35" s="17" t="str">
        <f ca="1">IFERROR(__xludf.dummyfunction("VLOOKUP(T35, IMPORTRANGE(""https://docs.google.com/spreadsheets/d/1yDAaXNsi4Mr5FtRQL4tbmSdIzhx6_m4wkOD7IG-k_eo/edit#gid=1336395716"", ""Science!M:N""), 2, FALSE)"),"(LU006706.006); Default - Create")</f>
        <v>(LU006706.006); Default - Create</v>
      </c>
      <c r="V35" s="113"/>
      <c r="W35" s="113"/>
      <c r="X35" s="113"/>
      <c r="Y35" s="113"/>
      <c r="Z35" s="113"/>
      <c r="AA35" s="113"/>
      <c r="AB35" s="113"/>
      <c r="AC35" s="113"/>
      <c r="AD35" s="113"/>
      <c r="AE35" s="113"/>
      <c r="AF35" s="113"/>
      <c r="AG35" s="113"/>
    </row>
    <row r="36" spans="1:33" ht="41.4">
      <c r="A36" s="111"/>
      <c r="B36" s="111" t="s">
        <v>29</v>
      </c>
      <c r="C36" s="111">
        <v>6</v>
      </c>
      <c r="D36" s="111" t="s">
        <v>1659</v>
      </c>
      <c r="E36" s="111" t="s">
        <v>1613</v>
      </c>
      <c r="F36" s="111" t="s">
        <v>1663</v>
      </c>
      <c r="G36" s="14" t="s">
        <v>1665</v>
      </c>
      <c r="H36" s="112" t="str">
        <f ca="1">IFERROR(__xludf.dummyfunction("IFERROR(
  VLOOKUP(G36, IMPORTRANGE(""https://docs.google.com/spreadsheets/d/14deopnvwcrKtEGCKuYXdUHJbeLDZlkiSSWWT0g7x2pM/edit#gid=849066331"", ""LU List Maths (Filter)!A:B""), 2, FALSE),
  IFERROR(
    VLOOKUP(G36, IMPORTRANGE(""https://docs.google.com/s"&amp;"preadsheets/d/14deopnvwcrKtEGCKuYXdUHJbeLDZlkiSSWWT0g7x2pM/edit#gid=849066331"", ""LU List Science (Filter)!A:B""), 2, FALSE),
    ""Not Found""
  )
)
"),"Importance and Properties of Nitrogen ")</f>
        <v xml:space="preserve">Importance and Properties of Nitrogen </v>
      </c>
      <c r="I36" s="111"/>
      <c r="J36" s="2" t="str">
        <f t="shared" si="0"/>
        <v>LU006707.001</v>
      </c>
      <c r="K36" s="2" t="str">
        <f ca="1">IFERROR(__xludf.dummyfunction("VLOOKUP(J36, IMPORTRANGE(""https://docs.google.com/spreadsheets/d/1yDAaXNsi4Mr5FtRQL4tbmSdIzhx6_m4wkOD7IG-k_eo/edit#gid=1336395716"", ""Science!M:N""), 2, FALSE)"),"(LU006707.001); Default - Remember")</f>
        <v>(LU006707.001); Default - Remember</v>
      </c>
      <c r="L36" s="2" t="str">
        <f t="shared" si="1"/>
        <v>LU006707.002</v>
      </c>
      <c r="M36" s="2" t="str">
        <f ca="1">IFERROR(__xludf.dummyfunction("VLOOKUP(L36, IMPORTRANGE(""https://docs.google.com/spreadsheets/d/1yDAaXNsi4Mr5FtRQL4tbmSdIzhx6_m4wkOD7IG-k_eo/edit#gid=1336395716"", ""Science!M:N""), 2, FALSE)"),"(LU006707.002); Default - Understand")</f>
        <v>(LU006707.002); Default - Understand</v>
      </c>
      <c r="N36" s="2" t="str">
        <f t="shared" si="2"/>
        <v>LU006707.003</v>
      </c>
      <c r="O36" s="2" t="str">
        <f ca="1">IFERROR(__xludf.dummyfunction("VLOOKUP(N36, IMPORTRANGE(""https://docs.google.com/spreadsheets/d/1yDAaXNsi4Mr5FtRQL4tbmSdIzhx6_m4wkOD7IG-k_eo/edit#gid=1336395716"", ""Science!M:N""), 2, FALSE)"),"(LU006707.003); Default - Apply")</f>
        <v>(LU006707.003); Default - Apply</v>
      </c>
      <c r="P36" s="2" t="str">
        <f t="shared" si="3"/>
        <v>LU006707.004</v>
      </c>
      <c r="Q36" s="17" t="str">
        <f ca="1">IFERROR(__xludf.dummyfunction("VLOOKUP(P36, IMPORTRANGE(""https://docs.google.com/spreadsheets/d/1yDAaXNsi4Mr5FtRQL4tbmSdIzhx6_m4wkOD7IG-k_eo/edit#gid=1336395716"", ""Science!M:N""), 2, FALSE)"),"(LU006707.004); Default - Analyse")</f>
        <v>(LU006707.004); Default - Analyse</v>
      </c>
      <c r="R36" s="2" t="str">
        <f t="shared" si="4"/>
        <v>LU006707.005</v>
      </c>
      <c r="S36" s="17" t="str">
        <f ca="1">IFERROR(__xludf.dummyfunction("VLOOKUP(R36, IMPORTRANGE(""https://docs.google.com/spreadsheets/d/1yDAaXNsi4Mr5FtRQL4tbmSdIzhx6_m4wkOD7IG-k_eo/edit#gid=1336395716"", ""Science!M:N""), 2, FALSE)"),"(LU006707.005); Default - Evaluate")</f>
        <v>(LU006707.005); Default - Evaluate</v>
      </c>
      <c r="T36" s="2" t="str">
        <f t="shared" si="5"/>
        <v>LU006707.006</v>
      </c>
      <c r="U36" s="17" t="str">
        <f ca="1">IFERROR(__xludf.dummyfunction("VLOOKUP(T36, IMPORTRANGE(""https://docs.google.com/spreadsheets/d/1yDAaXNsi4Mr5FtRQL4tbmSdIzhx6_m4wkOD7IG-k_eo/edit#gid=1336395716"", ""Science!M:N""), 2, FALSE)"),"(LU006707.006); Default - Create")</f>
        <v>(LU006707.006); Default - Create</v>
      </c>
      <c r="V36" s="113"/>
      <c r="W36" s="113"/>
      <c r="X36" s="113"/>
      <c r="Y36" s="113"/>
      <c r="Z36" s="113"/>
      <c r="AA36" s="113"/>
      <c r="AB36" s="113"/>
      <c r="AC36" s="113"/>
      <c r="AD36" s="113"/>
      <c r="AE36" s="113"/>
      <c r="AF36" s="113"/>
      <c r="AG36" s="113"/>
    </row>
    <row r="37" spans="1:33" ht="41.4">
      <c r="A37" s="111"/>
      <c r="B37" s="111" t="s">
        <v>29</v>
      </c>
      <c r="C37" s="111">
        <v>6</v>
      </c>
      <c r="D37" s="111" t="s">
        <v>1659</v>
      </c>
      <c r="E37" s="111" t="s">
        <v>1613</v>
      </c>
      <c r="F37" s="111" t="s">
        <v>1663</v>
      </c>
      <c r="G37" s="14" t="s">
        <v>1666</v>
      </c>
      <c r="H37" s="112" t="str">
        <f ca="1">IFERROR(__xludf.dummyfunction("IFERROR(
  VLOOKUP(G37, IMPORTRANGE(""https://docs.google.com/spreadsheets/d/14deopnvwcrKtEGCKuYXdUHJbeLDZlkiSSWWT0g7x2pM/edit#gid=849066331"", ""LU List Maths (Filter)!A:B""), 2, FALSE),
  IFERROR(
    VLOOKUP(G37, IMPORTRANGE(""https://docs.google.com/s"&amp;"preadsheets/d/14deopnvwcrKtEGCKuYXdUHJbeLDZlkiSSWWT0g7x2pM/edit#gid=849066331"", ""LU List Science (Filter)!A:B""), 2, FALSE),
    ""Not Found""
  )
)
"),"Properties of Carbon dioxide")</f>
        <v>Properties of Carbon dioxide</v>
      </c>
      <c r="I37" s="111"/>
      <c r="J37" s="2" t="str">
        <f t="shared" si="0"/>
        <v>LU006708.001</v>
      </c>
      <c r="K37" s="2" t="str">
        <f ca="1">IFERROR(__xludf.dummyfunction("VLOOKUP(J37, IMPORTRANGE(""https://docs.google.com/spreadsheets/d/1yDAaXNsi4Mr5FtRQL4tbmSdIzhx6_m4wkOD7IG-k_eo/edit#gid=1336395716"", ""Science!M:N""), 2, FALSE)"),"(LU006708.001); Default - Remember")</f>
        <v>(LU006708.001); Default - Remember</v>
      </c>
      <c r="L37" s="2" t="str">
        <f t="shared" si="1"/>
        <v>LU006708.002</v>
      </c>
      <c r="M37" s="2" t="str">
        <f ca="1">IFERROR(__xludf.dummyfunction("VLOOKUP(L37, IMPORTRANGE(""https://docs.google.com/spreadsheets/d/1yDAaXNsi4Mr5FtRQL4tbmSdIzhx6_m4wkOD7IG-k_eo/edit#gid=1336395716"", ""Science!M:N""), 2, FALSE)"),"(LU006708.002); Default - Understand")</f>
        <v>(LU006708.002); Default - Understand</v>
      </c>
      <c r="N37" s="2" t="str">
        <f t="shared" si="2"/>
        <v>LU006708.003</v>
      </c>
      <c r="O37" s="2" t="str">
        <f ca="1">IFERROR(__xludf.dummyfunction("VLOOKUP(N37, IMPORTRANGE(""https://docs.google.com/spreadsheets/d/1yDAaXNsi4Mr5FtRQL4tbmSdIzhx6_m4wkOD7IG-k_eo/edit#gid=1336395716"", ""Science!M:N""), 2, FALSE)"),"(LU006708.003); Default - Apply")</f>
        <v>(LU006708.003); Default - Apply</v>
      </c>
      <c r="P37" s="2" t="str">
        <f t="shared" si="3"/>
        <v>LU006708.004</v>
      </c>
      <c r="Q37" s="17" t="str">
        <f ca="1">IFERROR(__xludf.dummyfunction("VLOOKUP(P37, IMPORTRANGE(""https://docs.google.com/spreadsheets/d/1yDAaXNsi4Mr5FtRQL4tbmSdIzhx6_m4wkOD7IG-k_eo/edit#gid=1336395716"", ""Science!M:N""), 2, FALSE)"),"(LU006708.004); Default - Analyse")</f>
        <v>(LU006708.004); Default - Analyse</v>
      </c>
      <c r="R37" s="2" t="str">
        <f t="shared" si="4"/>
        <v>LU006708.005</v>
      </c>
      <c r="S37" s="17" t="str">
        <f ca="1">IFERROR(__xludf.dummyfunction("VLOOKUP(R37, IMPORTRANGE(""https://docs.google.com/spreadsheets/d/1yDAaXNsi4Mr5FtRQL4tbmSdIzhx6_m4wkOD7IG-k_eo/edit#gid=1336395716"", ""Science!M:N""), 2, FALSE)"),"(LU006708.005); Default - Evaluate")</f>
        <v>(LU006708.005); Default - Evaluate</v>
      </c>
      <c r="T37" s="2" t="str">
        <f t="shared" si="5"/>
        <v>LU006708.006</v>
      </c>
      <c r="U37" s="17" t="str">
        <f ca="1">IFERROR(__xludf.dummyfunction("VLOOKUP(T37, IMPORTRANGE(""https://docs.google.com/spreadsheets/d/1yDAaXNsi4Mr5FtRQL4tbmSdIzhx6_m4wkOD7IG-k_eo/edit#gid=1336395716"", ""Science!M:N""), 2, FALSE)"),"(LU006708.006); Default - Create")</f>
        <v>(LU006708.006); Default - Create</v>
      </c>
      <c r="V37" s="113"/>
      <c r="W37" s="113"/>
      <c r="X37" s="113"/>
      <c r="Y37" s="113"/>
      <c r="Z37" s="113"/>
      <c r="AA37" s="113"/>
      <c r="AB37" s="113"/>
      <c r="AC37" s="113"/>
      <c r="AD37" s="113"/>
      <c r="AE37" s="113"/>
      <c r="AF37" s="113"/>
      <c r="AG37" s="113"/>
    </row>
    <row r="38" spans="1:33" ht="27.6">
      <c r="A38" s="111"/>
      <c r="B38" s="111" t="s">
        <v>29</v>
      </c>
      <c r="C38" s="111">
        <v>6</v>
      </c>
      <c r="D38" s="111" t="s">
        <v>1659</v>
      </c>
      <c r="E38" s="111" t="s">
        <v>1613</v>
      </c>
      <c r="F38" s="111" t="s">
        <v>1667</v>
      </c>
      <c r="G38" s="14" t="s">
        <v>1668</v>
      </c>
      <c r="H38" s="112" t="str">
        <f ca="1">IFERROR(__xludf.dummyfunction("IFERROR(
  VLOOKUP(G38, IMPORTRANGE(""https://docs.google.com/spreadsheets/d/14deopnvwcrKtEGCKuYXdUHJbeLDZlkiSSWWT0g7x2pM/edit#gid=849066331"", ""LU List Maths (Filter)!A:B""), 2, FALSE),
  IFERROR(
    VLOOKUP(G38, IMPORTRANGE(""https://docs.google.com/s"&amp;"preadsheets/d/14deopnvwcrKtEGCKuYXdUHJbeLDZlkiSSWWT0g7x2pM/edit#gid=849066331"", ""LU List Science (Filter)!A:B""), 2, FALSE),
    ""Not Found""
  )
)
"),"Definition of Atmosphere")</f>
        <v>Definition of Atmosphere</v>
      </c>
      <c r="I38" s="111"/>
      <c r="J38" s="2" t="str">
        <f t="shared" si="0"/>
        <v>LU006709.001</v>
      </c>
      <c r="K38" s="2" t="str">
        <f ca="1">IFERROR(__xludf.dummyfunction("VLOOKUP(J38, IMPORTRANGE(""https://docs.google.com/spreadsheets/d/1yDAaXNsi4Mr5FtRQL4tbmSdIzhx6_m4wkOD7IG-k_eo/edit#gid=1336395716"", ""Science!M:N""), 2, FALSE)"),"(LU006709.001); Default - Remember")</f>
        <v>(LU006709.001); Default - Remember</v>
      </c>
      <c r="L38" s="2" t="str">
        <f t="shared" si="1"/>
        <v>LU006709.002</v>
      </c>
      <c r="M38" s="2" t="str">
        <f ca="1">IFERROR(__xludf.dummyfunction("VLOOKUP(L38, IMPORTRANGE(""https://docs.google.com/spreadsheets/d/1yDAaXNsi4Mr5FtRQL4tbmSdIzhx6_m4wkOD7IG-k_eo/edit#gid=1336395716"", ""Science!M:N""), 2, FALSE)"),"(LU006709.002); Default - Understand")</f>
        <v>(LU006709.002); Default - Understand</v>
      </c>
      <c r="N38" s="2" t="str">
        <f t="shared" si="2"/>
        <v>LU006709.003</v>
      </c>
      <c r="O38" s="2" t="str">
        <f ca="1">IFERROR(__xludf.dummyfunction("VLOOKUP(N38, IMPORTRANGE(""https://docs.google.com/spreadsheets/d/1yDAaXNsi4Mr5FtRQL4tbmSdIzhx6_m4wkOD7IG-k_eo/edit#gid=1336395716"", ""Science!M:N""), 2, FALSE)"),"(LU006709.003); Default - Apply")</f>
        <v>(LU006709.003); Default - Apply</v>
      </c>
      <c r="P38" s="2" t="str">
        <f t="shared" si="3"/>
        <v>LU006709.004</v>
      </c>
      <c r="Q38" s="17" t="str">
        <f ca="1">IFERROR(__xludf.dummyfunction("VLOOKUP(P38, IMPORTRANGE(""https://docs.google.com/spreadsheets/d/1yDAaXNsi4Mr5FtRQL4tbmSdIzhx6_m4wkOD7IG-k_eo/edit#gid=1336395716"", ""Science!M:N""), 2, FALSE)"),"(LU006709.004); Default - Analyse")</f>
        <v>(LU006709.004); Default - Analyse</v>
      </c>
      <c r="R38" s="2" t="str">
        <f t="shared" si="4"/>
        <v>LU006709.005</v>
      </c>
      <c r="S38" s="17" t="str">
        <f ca="1">IFERROR(__xludf.dummyfunction("VLOOKUP(R38, IMPORTRANGE(""https://docs.google.com/spreadsheets/d/1yDAaXNsi4Mr5FtRQL4tbmSdIzhx6_m4wkOD7IG-k_eo/edit#gid=1336395716"", ""Science!M:N""), 2, FALSE)"),"(LU006709.005); Default - Evaluate")</f>
        <v>(LU006709.005); Default - Evaluate</v>
      </c>
      <c r="T38" s="2" t="str">
        <f t="shared" si="5"/>
        <v>LU006709.006</v>
      </c>
      <c r="U38" s="17" t="str">
        <f ca="1">IFERROR(__xludf.dummyfunction("VLOOKUP(T38, IMPORTRANGE(""https://docs.google.com/spreadsheets/d/1yDAaXNsi4Mr5FtRQL4tbmSdIzhx6_m4wkOD7IG-k_eo/edit#gid=1336395716"", ""Science!M:N""), 2, FALSE)"),"(LU006709.006); Default - Create")</f>
        <v>(LU006709.006); Default - Create</v>
      </c>
      <c r="V38" s="113"/>
      <c r="W38" s="113"/>
      <c r="X38" s="113"/>
      <c r="Y38" s="113"/>
      <c r="Z38" s="113"/>
      <c r="AA38" s="113"/>
      <c r="AB38" s="113"/>
      <c r="AC38" s="113"/>
      <c r="AD38" s="113"/>
      <c r="AE38" s="113"/>
      <c r="AF38" s="113"/>
      <c r="AG38" s="113"/>
    </row>
    <row r="39" spans="1:33" ht="13.8">
      <c r="A39" s="113"/>
      <c r="B39" s="113"/>
      <c r="C39" s="113"/>
      <c r="D39" s="113"/>
      <c r="E39" s="113"/>
      <c r="F39" s="113"/>
      <c r="G39" s="113"/>
      <c r="H39" s="113"/>
      <c r="I39" s="113"/>
      <c r="J39" s="2" t="str">
        <f t="shared" si="0"/>
        <v>.001</v>
      </c>
      <c r="K39" s="2" t="str">
        <f ca="1">IFERROR(__xludf.dummyfunction("VLOOKUP(J39, IMPORTRANGE(""https://docs.google.com/spreadsheets/d/1yDAaXNsi4Mr5FtRQL4tbmSdIzhx6_m4wkOD7IG-k_eo/edit#gid=1336395716"", ""Science!M:N""), 2, FALSE)"),"#N/A")</f>
        <v>#N/A</v>
      </c>
      <c r="L39" s="2" t="str">
        <f t="shared" si="1"/>
        <v>.002</v>
      </c>
      <c r="M39" s="2" t="str">
        <f ca="1">IFERROR(__xludf.dummyfunction("VLOOKUP(L39, IMPORTRANGE(""https://docs.google.com/spreadsheets/d/1yDAaXNsi4Mr5FtRQL4tbmSdIzhx6_m4wkOD7IG-k_eo/edit#gid=1336395716"", ""Science!M:N""), 2, FALSE)"),"#N/A")</f>
        <v>#N/A</v>
      </c>
      <c r="N39" s="2" t="str">
        <f t="shared" si="2"/>
        <v>.003</v>
      </c>
      <c r="O39" s="2" t="str">
        <f ca="1">IFERROR(__xludf.dummyfunction("VLOOKUP(N39, IMPORTRANGE(""https://docs.google.com/spreadsheets/d/1yDAaXNsi4Mr5FtRQL4tbmSdIzhx6_m4wkOD7IG-k_eo/edit#gid=1336395716"", ""Science!M:N""), 2, FALSE)"),"#N/A")</f>
        <v>#N/A</v>
      </c>
      <c r="P39" s="2" t="str">
        <f t="shared" si="3"/>
        <v>.004</v>
      </c>
      <c r="Q39" s="17" t="str">
        <f ca="1">IFERROR(__xludf.dummyfunction("VLOOKUP(P39, IMPORTRANGE(""https://docs.google.com/spreadsheets/d/1yDAaXNsi4Mr5FtRQL4tbmSdIzhx6_m4wkOD7IG-k_eo/edit#gid=1336395716"", ""Science!M:N""), 2, FALSE)"),"#N/A")</f>
        <v>#N/A</v>
      </c>
      <c r="R39" s="2" t="str">
        <f t="shared" si="4"/>
        <v>.005</v>
      </c>
      <c r="S39" s="17" t="str">
        <f ca="1">IFERROR(__xludf.dummyfunction("VLOOKUP(R39, IMPORTRANGE(""https://docs.google.com/spreadsheets/d/1yDAaXNsi4Mr5FtRQL4tbmSdIzhx6_m4wkOD7IG-k_eo/edit#gid=1336395716"", ""Science!M:N""), 2, FALSE)"),"#N/A")</f>
        <v>#N/A</v>
      </c>
      <c r="T39" s="2" t="str">
        <f t="shared" si="5"/>
        <v>.006</v>
      </c>
      <c r="U39" s="17" t="str">
        <f ca="1">IFERROR(__xludf.dummyfunction("VLOOKUP(T39, IMPORTRANGE(""https://docs.google.com/spreadsheets/d/1yDAaXNsi4Mr5FtRQL4tbmSdIzhx6_m4wkOD7IG-k_eo/edit#gid=1336395716"", ""Science!M:N""), 2, FALSE)"),"#N/A")</f>
        <v>#N/A</v>
      </c>
      <c r="V39" s="113"/>
      <c r="W39" s="113"/>
      <c r="X39" s="113"/>
      <c r="Y39" s="113"/>
      <c r="Z39" s="113"/>
      <c r="AA39" s="113"/>
      <c r="AB39" s="113"/>
      <c r="AC39" s="113"/>
      <c r="AD39" s="113"/>
      <c r="AE39" s="113"/>
      <c r="AF39" s="113"/>
      <c r="AG39" s="113"/>
    </row>
    <row r="40" spans="1:33" ht="13.8">
      <c r="A40" s="113"/>
      <c r="B40" s="113"/>
      <c r="C40" s="113"/>
      <c r="D40" s="113"/>
      <c r="E40" s="113"/>
      <c r="F40" s="113"/>
      <c r="G40" s="113"/>
      <c r="H40" s="113"/>
      <c r="I40" s="113"/>
      <c r="J40" s="2" t="str">
        <f t="shared" si="0"/>
        <v>.001</v>
      </c>
      <c r="K40" s="2" t="str">
        <f ca="1">IFERROR(__xludf.dummyfunction("VLOOKUP(J40, IMPORTRANGE(""https://docs.google.com/spreadsheets/d/1yDAaXNsi4Mr5FtRQL4tbmSdIzhx6_m4wkOD7IG-k_eo/edit#gid=1336395716"", ""Science!M:N""), 2, FALSE)"),"#N/A")</f>
        <v>#N/A</v>
      </c>
      <c r="L40" s="2" t="str">
        <f t="shared" si="1"/>
        <v>.002</v>
      </c>
      <c r="M40" s="2" t="str">
        <f ca="1">IFERROR(__xludf.dummyfunction("VLOOKUP(L40, IMPORTRANGE(""https://docs.google.com/spreadsheets/d/1yDAaXNsi4Mr5FtRQL4tbmSdIzhx6_m4wkOD7IG-k_eo/edit#gid=1336395716"", ""Science!M:N""), 2, FALSE)"),"#N/A")</f>
        <v>#N/A</v>
      </c>
      <c r="N40" s="2" t="str">
        <f t="shared" si="2"/>
        <v>.003</v>
      </c>
      <c r="O40" s="2" t="str">
        <f ca="1">IFERROR(__xludf.dummyfunction("VLOOKUP(N40, IMPORTRANGE(""https://docs.google.com/spreadsheets/d/1yDAaXNsi4Mr5FtRQL4tbmSdIzhx6_m4wkOD7IG-k_eo/edit#gid=1336395716"", ""Science!M:N""), 2, FALSE)"),"#N/A")</f>
        <v>#N/A</v>
      </c>
      <c r="P40" s="2" t="str">
        <f t="shared" si="3"/>
        <v>.004</v>
      </c>
      <c r="Q40" s="17" t="str">
        <f ca="1">IFERROR(__xludf.dummyfunction("VLOOKUP(P40, IMPORTRANGE(""https://docs.google.com/spreadsheets/d/1yDAaXNsi4Mr5FtRQL4tbmSdIzhx6_m4wkOD7IG-k_eo/edit#gid=1336395716"", ""Science!M:N""), 2, FALSE)"),"#N/A")</f>
        <v>#N/A</v>
      </c>
      <c r="R40" s="2" t="str">
        <f t="shared" si="4"/>
        <v>.005</v>
      </c>
      <c r="S40" s="17" t="str">
        <f ca="1">IFERROR(__xludf.dummyfunction("VLOOKUP(R40, IMPORTRANGE(""https://docs.google.com/spreadsheets/d/1yDAaXNsi4Mr5FtRQL4tbmSdIzhx6_m4wkOD7IG-k_eo/edit#gid=1336395716"", ""Science!M:N""), 2, FALSE)"),"#N/A")</f>
        <v>#N/A</v>
      </c>
      <c r="T40" s="2" t="str">
        <f t="shared" si="5"/>
        <v>.006</v>
      </c>
      <c r="U40" s="17" t="str">
        <f ca="1">IFERROR(__xludf.dummyfunction("VLOOKUP(T40, IMPORTRANGE(""https://docs.google.com/spreadsheets/d/1yDAaXNsi4Mr5FtRQL4tbmSdIzhx6_m4wkOD7IG-k_eo/edit#gid=1336395716"", ""Science!M:N""), 2, FALSE)"),"#N/A")</f>
        <v>#N/A</v>
      </c>
      <c r="V40" s="113"/>
      <c r="W40" s="113"/>
      <c r="X40" s="113"/>
      <c r="Y40" s="113"/>
      <c r="Z40" s="113"/>
      <c r="AA40" s="113"/>
      <c r="AB40" s="113"/>
      <c r="AC40" s="113"/>
      <c r="AD40" s="113"/>
      <c r="AE40" s="113"/>
      <c r="AF40" s="113"/>
      <c r="AG40" s="113"/>
    </row>
    <row r="41" spans="1:33" ht="13.8">
      <c r="A41" s="113"/>
      <c r="B41" s="113"/>
      <c r="C41" s="113"/>
      <c r="D41" s="113"/>
      <c r="E41" s="113"/>
      <c r="F41" s="113"/>
      <c r="G41" s="113"/>
      <c r="H41" s="113" t="s">
        <v>1669</v>
      </c>
      <c r="I41" s="113"/>
      <c r="J41" s="2" t="str">
        <f t="shared" si="0"/>
        <v>.001</v>
      </c>
      <c r="K41" s="2" t="str">
        <f ca="1">IFERROR(__xludf.dummyfunction("VLOOKUP(J41, IMPORTRANGE(""https://docs.google.com/spreadsheets/d/1yDAaXNsi4Mr5FtRQL4tbmSdIzhx6_m4wkOD7IG-k_eo/edit#gid=1336395716"", ""Science!M:N""), 2, FALSE)"),"#N/A")</f>
        <v>#N/A</v>
      </c>
      <c r="L41" s="2" t="str">
        <f t="shared" si="1"/>
        <v>.002</v>
      </c>
      <c r="M41" s="2" t="str">
        <f ca="1">IFERROR(__xludf.dummyfunction("VLOOKUP(L41, IMPORTRANGE(""https://docs.google.com/spreadsheets/d/1yDAaXNsi4Mr5FtRQL4tbmSdIzhx6_m4wkOD7IG-k_eo/edit#gid=1336395716"", ""Science!M:N""), 2, FALSE)"),"#N/A")</f>
        <v>#N/A</v>
      </c>
      <c r="N41" s="2" t="str">
        <f t="shared" si="2"/>
        <v>.003</v>
      </c>
      <c r="O41" s="2" t="str">
        <f ca="1">IFERROR(__xludf.dummyfunction("VLOOKUP(N41, IMPORTRANGE(""https://docs.google.com/spreadsheets/d/1yDAaXNsi4Mr5FtRQL4tbmSdIzhx6_m4wkOD7IG-k_eo/edit#gid=1336395716"", ""Science!M:N""), 2, FALSE)"),"#N/A")</f>
        <v>#N/A</v>
      </c>
      <c r="P41" s="2" t="str">
        <f t="shared" si="3"/>
        <v>.004</v>
      </c>
      <c r="Q41" s="17" t="str">
        <f ca="1">IFERROR(__xludf.dummyfunction("VLOOKUP(P41, IMPORTRANGE(""https://docs.google.com/spreadsheets/d/1yDAaXNsi4Mr5FtRQL4tbmSdIzhx6_m4wkOD7IG-k_eo/edit#gid=1336395716"", ""Science!M:N""), 2, FALSE)"),"#N/A")</f>
        <v>#N/A</v>
      </c>
      <c r="R41" s="2" t="str">
        <f t="shared" si="4"/>
        <v>.005</v>
      </c>
      <c r="S41" s="17" t="str">
        <f ca="1">IFERROR(__xludf.dummyfunction("VLOOKUP(R41, IMPORTRANGE(""https://docs.google.com/spreadsheets/d/1yDAaXNsi4Mr5FtRQL4tbmSdIzhx6_m4wkOD7IG-k_eo/edit#gid=1336395716"", ""Science!M:N""), 2, FALSE)"),"#N/A")</f>
        <v>#N/A</v>
      </c>
      <c r="T41" s="2" t="str">
        <f t="shared" si="5"/>
        <v>.006</v>
      </c>
      <c r="U41" s="17" t="str">
        <f ca="1">IFERROR(__xludf.dummyfunction("VLOOKUP(T41, IMPORTRANGE(""https://docs.google.com/spreadsheets/d/1yDAaXNsi4Mr5FtRQL4tbmSdIzhx6_m4wkOD7IG-k_eo/edit#gid=1336395716"", ""Science!M:N""), 2, FALSE)"),"#N/A")</f>
        <v>#N/A</v>
      </c>
      <c r="V41" s="113"/>
      <c r="W41" s="113"/>
      <c r="X41" s="113"/>
      <c r="Y41" s="113"/>
      <c r="Z41" s="113"/>
      <c r="AA41" s="113"/>
      <c r="AB41" s="113"/>
      <c r="AC41" s="113"/>
      <c r="AD41" s="113"/>
      <c r="AE41" s="113"/>
      <c r="AF41" s="113"/>
      <c r="AG41" s="113"/>
    </row>
    <row r="42" spans="1:33" ht="13.8">
      <c r="A42" s="113"/>
      <c r="B42" s="113"/>
      <c r="C42" s="113"/>
      <c r="D42" s="113"/>
      <c r="E42" s="113"/>
      <c r="F42" s="113"/>
      <c r="G42" s="113"/>
      <c r="H42" s="113"/>
      <c r="I42" s="113"/>
      <c r="J42" s="2" t="str">
        <f t="shared" si="0"/>
        <v>.001</v>
      </c>
      <c r="K42" s="2" t="str">
        <f ca="1">IFERROR(__xludf.dummyfunction("VLOOKUP(J42, IMPORTRANGE(""https://docs.google.com/spreadsheets/d/1yDAaXNsi4Mr5FtRQL4tbmSdIzhx6_m4wkOD7IG-k_eo/edit#gid=1336395716"", ""Science!M:N""), 2, FALSE)"),"#N/A")</f>
        <v>#N/A</v>
      </c>
      <c r="L42" s="2" t="str">
        <f t="shared" si="1"/>
        <v>.002</v>
      </c>
      <c r="M42" s="2" t="str">
        <f ca="1">IFERROR(__xludf.dummyfunction("VLOOKUP(L42, IMPORTRANGE(""https://docs.google.com/spreadsheets/d/1yDAaXNsi4Mr5FtRQL4tbmSdIzhx6_m4wkOD7IG-k_eo/edit#gid=1336395716"", ""Science!M:N""), 2, FALSE)"),"#N/A")</f>
        <v>#N/A</v>
      </c>
      <c r="N42" s="2" t="str">
        <f t="shared" si="2"/>
        <v>.003</v>
      </c>
      <c r="O42" s="2" t="str">
        <f ca="1">IFERROR(__xludf.dummyfunction("VLOOKUP(N42, IMPORTRANGE(""https://docs.google.com/spreadsheets/d/1yDAaXNsi4Mr5FtRQL4tbmSdIzhx6_m4wkOD7IG-k_eo/edit#gid=1336395716"", ""Science!M:N""), 2, FALSE)"),"#N/A")</f>
        <v>#N/A</v>
      </c>
      <c r="P42" s="2" t="str">
        <f t="shared" si="3"/>
        <v>.004</v>
      </c>
      <c r="Q42" s="17" t="str">
        <f ca="1">IFERROR(__xludf.dummyfunction("VLOOKUP(P42, IMPORTRANGE(""https://docs.google.com/spreadsheets/d/1yDAaXNsi4Mr5FtRQL4tbmSdIzhx6_m4wkOD7IG-k_eo/edit#gid=1336395716"", ""Science!M:N""), 2, FALSE)"),"#N/A")</f>
        <v>#N/A</v>
      </c>
      <c r="R42" s="2" t="str">
        <f t="shared" si="4"/>
        <v>.005</v>
      </c>
      <c r="S42" s="17" t="str">
        <f ca="1">IFERROR(__xludf.dummyfunction("VLOOKUP(R42, IMPORTRANGE(""https://docs.google.com/spreadsheets/d/1yDAaXNsi4Mr5FtRQL4tbmSdIzhx6_m4wkOD7IG-k_eo/edit#gid=1336395716"", ""Science!M:N""), 2, FALSE)"),"#N/A")</f>
        <v>#N/A</v>
      </c>
      <c r="T42" s="2" t="str">
        <f t="shared" si="5"/>
        <v>.006</v>
      </c>
      <c r="U42" s="17" t="str">
        <f ca="1">IFERROR(__xludf.dummyfunction("VLOOKUP(T42, IMPORTRANGE(""https://docs.google.com/spreadsheets/d/1yDAaXNsi4Mr5FtRQL4tbmSdIzhx6_m4wkOD7IG-k_eo/edit#gid=1336395716"", ""Science!M:N""), 2, FALSE)"),"#N/A")</f>
        <v>#N/A</v>
      </c>
      <c r="V42" s="113"/>
      <c r="W42" s="113"/>
      <c r="X42" s="113"/>
      <c r="Y42" s="113"/>
      <c r="Z42" s="113"/>
      <c r="AA42" s="113"/>
      <c r="AB42" s="113"/>
      <c r="AC42" s="113"/>
      <c r="AD42" s="113"/>
      <c r="AE42" s="113"/>
      <c r="AF42" s="113"/>
      <c r="AG42" s="113"/>
    </row>
    <row r="43" spans="1:33" ht="13.8">
      <c r="A43" s="113"/>
      <c r="B43" s="113"/>
      <c r="C43" s="113"/>
      <c r="D43" s="113"/>
      <c r="E43" s="113"/>
      <c r="F43" s="113"/>
      <c r="G43" s="113"/>
      <c r="H43" s="113"/>
      <c r="I43" s="113"/>
      <c r="J43" s="2" t="str">
        <f t="shared" si="0"/>
        <v>.001</v>
      </c>
      <c r="K43" s="2" t="str">
        <f ca="1">IFERROR(__xludf.dummyfunction("VLOOKUP(J43, IMPORTRANGE(""https://docs.google.com/spreadsheets/d/1yDAaXNsi4Mr5FtRQL4tbmSdIzhx6_m4wkOD7IG-k_eo/edit#gid=1336395716"", ""Science!M:N""), 2, FALSE)"),"#N/A")</f>
        <v>#N/A</v>
      </c>
      <c r="L43" s="2" t="str">
        <f t="shared" si="1"/>
        <v>.002</v>
      </c>
      <c r="M43" s="2" t="str">
        <f ca="1">IFERROR(__xludf.dummyfunction("VLOOKUP(L43, IMPORTRANGE(""https://docs.google.com/spreadsheets/d/1yDAaXNsi4Mr5FtRQL4tbmSdIzhx6_m4wkOD7IG-k_eo/edit#gid=1336395716"", ""Science!M:N""), 2, FALSE)"),"#N/A")</f>
        <v>#N/A</v>
      </c>
      <c r="N43" s="2" t="str">
        <f t="shared" si="2"/>
        <v>.003</v>
      </c>
      <c r="O43" s="2" t="str">
        <f ca="1">IFERROR(__xludf.dummyfunction("VLOOKUP(N43, IMPORTRANGE(""https://docs.google.com/spreadsheets/d/1yDAaXNsi4Mr5FtRQL4tbmSdIzhx6_m4wkOD7IG-k_eo/edit#gid=1336395716"", ""Science!M:N""), 2, FALSE)"),"#N/A")</f>
        <v>#N/A</v>
      </c>
      <c r="P43" s="2" t="str">
        <f t="shared" si="3"/>
        <v>.004</v>
      </c>
      <c r="Q43" s="17" t="str">
        <f ca="1">IFERROR(__xludf.dummyfunction("VLOOKUP(P43, IMPORTRANGE(""https://docs.google.com/spreadsheets/d/1yDAaXNsi4Mr5FtRQL4tbmSdIzhx6_m4wkOD7IG-k_eo/edit#gid=1336395716"", ""Science!M:N""), 2, FALSE)"),"#N/A")</f>
        <v>#N/A</v>
      </c>
      <c r="R43" s="2" t="str">
        <f t="shared" si="4"/>
        <v>.005</v>
      </c>
      <c r="S43" s="17" t="str">
        <f ca="1">IFERROR(__xludf.dummyfunction("VLOOKUP(R43, IMPORTRANGE(""https://docs.google.com/spreadsheets/d/1yDAaXNsi4Mr5FtRQL4tbmSdIzhx6_m4wkOD7IG-k_eo/edit#gid=1336395716"", ""Science!M:N""), 2, FALSE)"),"#N/A")</f>
        <v>#N/A</v>
      </c>
      <c r="T43" s="2" t="str">
        <f t="shared" si="5"/>
        <v>.006</v>
      </c>
      <c r="U43" s="17" t="str">
        <f ca="1">IFERROR(__xludf.dummyfunction("VLOOKUP(T43, IMPORTRANGE(""https://docs.google.com/spreadsheets/d/1yDAaXNsi4Mr5FtRQL4tbmSdIzhx6_m4wkOD7IG-k_eo/edit#gid=1336395716"", ""Science!M:N""), 2, FALSE)"),"#N/A")</f>
        <v>#N/A</v>
      </c>
      <c r="V43" s="113"/>
      <c r="W43" s="113"/>
      <c r="X43" s="113"/>
      <c r="Y43" s="113"/>
      <c r="Z43" s="113"/>
      <c r="AA43" s="113"/>
      <c r="AB43" s="113"/>
      <c r="AC43" s="113"/>
      <c r="AD43" s="113"/>
      <c r="AE43" s="113"/>
      <c r="AF43" s="113"/>
      <c r="AG43" s="113"/>
    </row>
    <row r="44" spans="1:33" ht="13.8">
      <c r="A44" s="113"/>
      <c r="B44" s="113"/>
      <c r="C44" s="113"/>
      <c r="D44" s="113"/>
      <c r="E44" s="113"/>
      <c r="F44" s="113"/>
      <c r="G44" s="113"/>
      <c r="H44" s="113"/>
      <c r="I44" s="113"/>
      <c r="J44" s="2" t="str">
        <f t="shared" si="0"/>
        <v>.001</v>
      </c>
      <c r="K44" s="2" t="str">
        <f ca="1">IFERROR(__xludf.dummyfunction("VLOOKUP(J44, IMPORTRANGE(""https://docs.google.com/spreadsheets/d/1yDAaXNsi4Mr5FtRQL4tbmSdIzhx6_m4wkOD7IG-k_eo/edit#gid=1336395716"", ""Science!M:N""), 2, FALSE)"),"#N/A")</f>
        <v>#N/A</v>
      </c>
      <c r="L44" s="2" t="str">
        <f t="shared" si="1"/>
        <v>.002</v>
      </c>
      <c r="M44" s="2" t="str">
        <f ca="1">IFERROR(__xludf.dummyfunction("VLOOKUP(L44, IMPORTRANGE(""https://docs.google.com/spreadsheets/d/1yDAaXNsi4Mr5FtRQL4tbmSdIzhx6_m4wkOD7IG-k_eo/edit#gid=1336395716"", ""Science!M:N""), 2, FALSE)"),"#N/A")</f>
        <v>#N/A</v>
      </c>
      <c r="N44" s="2" t="str">
        <f t="shared" si="2"/>
        <v>.003</v>
      </c>
      <c r="O44" s="2" t="str">
        <f ca="1">IFERROR(__xludf.dummyfunction("VLOOKUP(N44, IMPORTRANGE(""https://docs.google.com/spreadsheets/d/1yDAaXNsi4Mr5FtRQL4tbmSdIzhx6_m4wkOD7IG-k_eo/edit#gid=1336395716"", ""Science!M:N""), 2, FALSE)"),"#N/A")</f>
        <v>#N/A</v>
      </c>
      <c r="P44" s="2" t="str">
        <f t="shared" si="3"/>
        <v>.004</v>
      </c>
      <c r="Q44" s="17" t="str">
        <f ca="1">IFERROR(__xludf.dummyfunction("VLOOKUP(P44, IMPORTRANGE(""https://docs.google.com/spreadsheets/d/1yDAaXNsi4Mr5FtRQL4tbmSdIzhx6_m4wkOD7IG-k_eo/edit#gid=1336395716"", ""Science!M:N""), 2, FALSE)"),"#N/A")</f>
        <v>#N/A</v>
      </c>
      <c r="R44" s="2" t="str">
        <f t="shared" si="4"/>
        <v>.005</v>
      </c>
      <c r="S44" s="17" t="str">
        <f ca="1">IFERROR(__xludf.dummyfunction("VLOOKUP(R44, IMPORTRANGE(""https://docs.google.com/spreadsheets/d/1yDAaXNsi4Mr5FtRQL4tbmSdIzhx6_m4wkOD7IG-k_eo/edit#gid=1336395716"", ""Science!M:N""), 2, FALSE)"),"#N/A")</f>
        <v>#N/A</v>
      </c>
      <c r="T44" s="2" t="str">
        <f t="shared" si="5"/>
        <v>.006</v>
      </c>
      <c r="U44" s="17" t="str">
        <f ca="1">IFERROR(__xludf.dummyfunction("VLOOKUP(T44, IMPORTRANGE(""https://docs.google.com/spreadsheets/d/1yDAaXNsi4Mr5FtRQL4tbmSdIzhx6_m4wkOD7IG-k_eo/edit#gid=1336395716"", ""Science!M:N""), 2, FALSE)"),"#N/A")</f>
        <v>#N/A</v>
      </c>
      <c r="V44" s="113"/>
      <c r="W44" s="113"/>
      <c r="X44" s="113"/>
      <c r="Y44" s="113"/>
      <c r="Z44" s="113"/>
      <c r="AA44" s="113"/>
      <c r="AB44" s="113"/>
      <c r="AC44" s="113"/>
      <c r="AD44" s="113"/>
      <c r="AE44" s="113"/>
      <c r="AF44" s="113"/>
      <c r="AG44" s="113"/>
    </row>
    <row r="45" spans="1:33" ht="13.8">
      <c r="A45" s="113"/>
      <c r="B45" s="113"/>
      <c r="C45" s="113"/>
      <c r="D45" s="113"/>
      <c r="E45" s="113"/>
      <c r="F45" s="113"/>
      <c r="G45" s="113"/>
      <c r="H45" s="113"/>
      <c r="I45" s="113"/>
      <c r="J45" s="2" t="str">
        <f t="shared" si="0"/>
        <v>.001</v>
      </c>
      <c r="K45" s="2" t="str">
        <f ca="1">IFERROR(__xludf.dummyfunction("VLOOKUP(J45, IMPORTRANGE(""https://docs.google.com/spreadsheets/d/1yDAaXNsi4Mr5FtRQL4tbmSdIzhx6_m4wkOD7IG-k_eo/edit#gid=1336395716"", ""Science!M:N""), 2, FALSE)"),"#N/A")</f>
        <v>#N/A</v>
      </c>
      <c r="L45" s="2" t="str">
        <f t="shared" si="1"/>
        <v>.002</v>
      </c>
      <c r="M45" s="2" t="str">
        <f ca="1">IFERROR(__xludf.dummyfunction("VLOOKUP(L45, IMPORTRANGE(""https://docs.google.com/spreadsheets/d/1yDAaXNsi4Mr5FtRQL4tbmSdIzhx6_m4wkOD7IG-k_eo/edit#gid=1336395716"", ""Science!M:N""), 2, FALSE)"),"#N/A")</f>
        <v>#N/A</v>
      </c>
      <c r="N45" s="2" t="str">
        <f t="shared" si="2"/>
        <v>.003</v>
      </c>
      <c r="O45" s="2" t="str">
        <f ca="1">IFERROR(__xludf.dummyfunction("VLOOKUP(N45, IMPORTRANGE(""https://docs.google.com/spreadsheets/d/1yDAaXNsi4Mr5FtRQL4tbmSdIzhx6_m4wkOD7IG-k_eo/edit#gid=1336395716"", ""Science!M:N""), 2, FALSE)"),"#N/A")</f>
        <v>#N/A</v>
      </c>
      <c r="P45" s="2" t="str">
        <f t="shared" si="3"/>
        <v>.004</v>
      </c>
      <c r="Q45" s="17" t="str">
        <f ca="1">IFERROR(__xludf.dummyfunction("VLOOKUP(P45, IMPORTRANGE(""https://docs.google.com/spreadsheets/d/1yDAaXNsi4Mr5FtRQL4tbmSdIzhx6_m4wkOD7IG-k_eo/edit#gid=1336395716"", ""Science!M:N""), 2, FALSE)"),"#N/A")</f>
        <v>#N/A</v>
      </c>
      <c r="R45" s="2" t="str">
        <f t="shared" si="4"/>
        <v>.005</v>
      </c>
      <c r="S45" s="17" t="str">
        <f ca="1">IFERROR(__xludf.dummyfunction("VLOOKUP(R45, IMPORTRANGE(""https://docs.google.com/spreadsheets/d/1yDAaXNsi4Mr5FtRQL4tbmSdIzhx6_m4wkOD7IG-k_eo/edit#gid=1336395716"", ""Science!M:N""), 2, FALSE)"),"#N/A")</f>
        <v>#N/A</v>
      </c>
      <c r="T45" s="2" t="str">
        <f t="shared" si="5"/>
        <v>.006</v>
      </c>
      <c r="U45" s="17" t="str">
        <f ca="1">IFERROR(__xludf.dummyfunction("VLOOKUP(T45, IMPORTRANGE(""https://docs.google.com/spreadsheets/d/1yDAaXNsi4Mr5FtRQL4tbmSdIzhx6_m4wkOD7IG-k_eo/edit#gid=1336395716"", ""Science!M:N""), 2, FALSE)"),"#N/A")</f>
        <v>#N/A</v>
      </c>
      <c r="V45" s="113"/>
      <c r="W45" s="113"/>
      <c r="X45" s="113"/>
      <c r="Y45" s="113"/>
      <c r="Z45" s="113"/>
      <c r="AA45" s="113"/>
      <c r="AB45" s="113"/>
      <c r="AC45" s="113"/>
      <c r="AD45" s="113"/>
      <c r="AE45" s="113"/>
      <c r="AF45" s="113"/>
      <c r="AG45" s="113"/>
    </row>
    <row r="46" spans="1:33" ht="13.8">
      <c r="A46" s="113"/>
      <c r="B46" s="113"/>
      <c r="C46" s="113"/>
      <c r="D46" s="113"/>
      <c r="E46" s="113"/>
      <c r="F46" s="113"/>
      <c r="G46" s="113"/>
      <c r="H46" s="113"/>
      <c r="I46" s="113"/>
      <c r="J46" s="2" t="str">
        <f t="shared" si="0"/>
        <v>.001</v>
      </c>
      <c r="K46" s="2" t="str">
        <f ca="1">IFERROR(__xludf.dummyfunction("VLOOKUP(J46, IMPORTRANGE(""https://docs.google.com/spreadsheets/d/1yDAaXNsi4Mr5FtRQL4tbmSdIzhx6_m4wkOD7IG-k_eo/edit#gid=1336395716"", ""Science!M:N""), 2, FALSE)"),"#N/A")</f>
        <v>#N/A</v>
      </c>
      <c r="L46" s="2" t="str">
        <f t="shared" si="1"/>
        <v>.002</v>
      </c>
      <c r="M46" s="2" t="str">
        <f ca="1">IFERROR(__xludf.dummyfunction("VLOOKUP(L46, IMPORTRANGE(""https://docs.google.com/spreadsheets/d/1yDAaXNsi4Mr5FtRQL4tbmSdIzhx6_m4wkOD7IG-k_eo/edit#gid=1336395716"", ""Science!M:N""), 2, FALSE)"),"#N/A")</f>
        <v>#N/A</v>
      </c>
      <c r="N46" s="2" t="str">
        <f t="shared" si="2"/>
        <v>.003</v>
      </c>
      <c r="O46" s="2" t="str">
        <f ca="1">IFERROR(__xludf.dummyfunction("VLOOKUP(N46, IMPORTRANGE(""https://docs.google.com/spreadsheets/d/1yDAaXNsi4Mr5FtRQL4tbmSdIzhx6_m4wkOD7IG-k_eo/edit#gid=1336395716"", ""Science!M:N""), 2, FALSE)"),"#N/A")</f>
        <v>#N/A</v>
      </c>
      <c r="P46" s="2" t="str">
        <f t="shared" si="3"/>
        <v>.004</v>
      </c>
      <c r="Q46" s="17" t="str">
        <f ca="1">IFERROR(__xludf.dummyfunction("VLOOKUP(P46, IMPORTRANGE(""https://docs.google.com/spreadsheets/d/1yDAaXNsi4Mr5FtRQL4tbmSdIzhx6_m4wkOD7IG-k_eo/edit#gid=1336395716"", ""Science!M:N""), 2, FALSE)"),"#N/A")</f>
        <v>#N/A</v>
      </c>
      <c r="R46" s="2" t="str">
        <f t="shared" si="4"/>
        <v>.005</v>
      </c>
      <c r="S46" s="17" t="str">
        <f ca="1">IFERROR(__xludf.dummyfunction("VLOOKUP(R46, IMPORTRANGE(""https://docs.google.com/spreadsheets/d/1yDAaXNsi4Mr5FtRQL4tbmSdIzhx6_m4wkOD7IG-k_eo/edit#gid=1336395716"", ""Science!M:N""), 2, FALSE)"),"#N/A")</f>
        <v>#N/A</v>
      </c>
      <c r="T46" s="2" t="str">
        <f t="shared" si="5"/>
        <v>.006</v>
      </c>
      <c r="U46" s="17" t="str">
        <f ca="1">IFERROR(__xludf.dummyfunction("VLOOKUP(T46, IMPORTRANGE(""https://docs.google.com/spreadsheets/d/1yDAaXNsi4Mr5FtRQL4tbmSdIzhx6_m4wkOD7IG-k_eo/edit#gid=1336395716"", ""Science!M:N""), 2, FALSE)"),"#N/A")</f>
        <v>#N/A</v>
      </c>
      <c r="V46" s="113"/>
      <c r="W46" s="113"/>
      <c r="X46" s="113"/>
      <c r="Y46" s="113"/>
      <c r="Z46" s="113"/>
      <c r="AA46" s="113"/>
      <c r="AB46" s="113"/>
      <c r="AC46" s="113"/>
      <c r="AD46" s="113"/>
      <c r="AE46" s="113"/>
      <c r="AF46" s="113"/>
      <c r="AG46" s="113"/>
    </row>
    <row r="47" spans="1:33" ht="13.8">
      <c r="A47" s="113"/>
      <c r="B47" s="113"/>
      <c r="C47" s="113"/>
      <c r="D47" s="113"/>
      <c r="E47" s="113"/>
      <c r="F47" s="113"/>
      <c r="G47" s="113"/>
      <c r="H47" s="113"/>
      <c r="I47" s="113"/>
      <c r="J47" s="113"/>
      <c r="K47" s="113"/>
      <c r="L47" s="113"/>
      <c r="M47" s="113"/>
      <c r="N47" s="113"/>
      <c r="O47" s="113"/>
      <c r="P47" s="113"/>
      <c r="Q47" s="113"/>
      <c r="R47" s="113"/>
      <c r="S47" s="113"/>
      <c r="T47" s="113"/>
      <c r="U47" s="113"/>
      <c r="V47" s="113"/>
      <c r="W47" s="113"/>
      <c r="X47" s="113"/>
      <c r="Y47" s="113"/>
      <c r="Z47" s="113"/>
      <c r="AA47" s="113"/>
      <c r="AB47" s="113"/>
      <c r="AC47" s="113"/>
      <c r="AD47" s="113"/>
      <c r="AE47" s="113"/>
      <c r="AF47" s="113"/>
      <c r="AG47" s="113"/>
    </row>
    <row r="48" spans="1:33" ht="13.8">
      <c r="A48" s="113"/>
      <c r="B48" s="113"/>
      <c r="C48" s="113"/>
      <c r="D48" s="113"/>
      <c r="E48" s="113"/>
      <c r="F48" s="113"/>
      <c r="G48" s="113"/>
      <c r="H48" s="113"/>
      <c r="I48" s="113"/>
      <c r="J48" s="113"/>
      <c r="K48" s="113"/>
      <c r="L48" s="113"/>
      <c r="M48" s="113"/>
      <c r="N48" s="113"/>
      <c r="O48" s="113"/>
      <c r="P48" s="113"/>
      <c r="Q48" s="113"/>
      <c r="R48" s="113"/>
      <c r="S48" s="113"/>
      <c r="T48" s="113"/>
      <c r="U48" s="113"/>
      <c r="V48" s="113"/>
      <c r="W48" s="113"/>
      <c r="X48" s="113"/>
      <c r="Y48" s="113"/>
      <c r="Z48" s="113"/>
      <c r="AA48" s="113"/>
      <c r="AB48" s="113"/>
      <c r="AC48" s="113"/>
      <c r="AD48" s="113"/>
      <c r="AE48" s="113"/>
      <c r="AF48" s="113"/>
      <c r="AG48" s="113"/>
    </row>
    <row r="49" spans="1:33" ht="13.8">
      <c r="A49" s="113"/>
      <c r="B49" s="113"/>
      <c r="C49" s="113"/>
      <c r="D49" s="113"/>
      <c r="E49" s="113"/>
      <c r="F49" s="113"/>
      <c r="G49" s="113"/>
      <c r="H49" s="113"/>
      <c r="I49" s="113"/>
      <c r="J49" s="113"/>
      <c r="K49" s="113"/>
      <c r="L49" s="113"/>
      <c r="M49" s="113"/>
      <c r="N49" s="113"/>
      <c r="O49" s="113"/>
      <c r="P49" s="113"/>
      <c r="Q49" s="113"/>
      <c r="R49" s="113"/>
      <c r="S49" s="113"/>
      <c r="T49" s="113"/>
      <c r="U49" s="113"/>
      <c r="V49" s="113"/>
      <c r="W49" s="113"/>
      <c r="X49" s="113"/>
      <c r="Y49" s="113"/>
      <c r="Z49" s="113"/>
      <c r="AA49" s="113"/>
      <c r="AB49" s="113"/>
      <c r="AC49" s="113"/>
      <c r="AD49" s="113"/>
      <c r="AE49" s="113"/>
      <c r="AF49" s="113"/>
      <c r="AG49" s="113"/>
    </row>
    <row r="50" spans="1:33" ht="13.8">
      <c r="A50" s="113"/>
      <c r="B50" s="113"/>
      <c r="C50" s="113"/>
      <c r="D50" s="113"/>
      <c r="E50" s="113"/>
      <c r="F50" s="113"/>
      <c r="G50" s="113"/>
      <c r="H50" s="113"/>
      <c r="I50" s="113"/>
      <c r="J50" s="113"/>
      <c r="K50" s="113"/>
      <c r="L50" s="113"/>
      <c r="M50" s="113"/>
      <c r="N50" s="113"/>
      <c r="O50" s="113"/>
      <c r="P50" s="113"/>
      <c r="Q50" s="113"/>
      <c r="R50" s="113"/>
      <c r="S50" s="113"/>
      <c r="T50" s="113"/>
      <c r="U50" s="113"/>
      <c r="V50" s="113"/>
      <c r="W50" s="113"/>
      <c r="X50" s="113"/>
      <c r="Y50" s="113"/>
      <c r="Z50" s="113"/>
      <c r="AA50" s="113"/>
      <c r="AB50" s="113"/>
      <c r="AC50" s="113"/>
      <c r="AD50" s="113"/>
      <c r="AE50" s="113"/>
      <c r="AF50" s="113"/>
      <c r="AG50" s="113"/>
    </row>
    <row r="51" spans="1:33" ht="13.8">
      <c r="A51" s="113"/>
      <c r="B51" s="113"/>
      <c r="C51" s="113"/>
      <c r="D51" s="113"/>
      <c r="E51" s="113"/>
      <c r="F51" s="113"/>
      <c r="G51" s="113"/>
      <c r="H51" s="113"/>
      <c r="I51" s="113"/>
      <c r="J51" s="113"/>
      <c r="K51" s="113"/>
      <c r="L51" s="113"/>
      <c r="M51" s="113"/>
      <c r="N51" s="113"/>
      <c r="O51" s="113"/>
      <c r="P51" s="113"/>
      <c r="Q51" s="113"/>
      <c r="R51" s="113"/>
      <c r="S51" s="113"/>
      <c r="T51" s="113"/>
      <c r="U51" s="113"/>
      <c r="V51" s="113"/>
      <c r="W51" s="113"/>
      <c r="X51" s="113"/>
      <c r="Y51" s="113"/>
      <c r="Z51" s="113"/>
      <c r="AA51" s="113"/>
      <c r="AB51" s="113"/>
      <c r="AC51" s="113"/>
      <c r="AD51" s="113"/>
      <c r="AE51" s="113"/>
      <c r="AF51" s="113"/>
      <c r="AG51" s="113"/>
    </row>
    <row r="52" spans="1:33" ht="13.8">
      <c r="A52" s="113"/>
      <c r="B52" s="113"/>
      <c r="C52" s="113"/>
      <c r="D52" s="113"/>
      <c r="E52" s="113"/>
      <c r="F52" s="113"/>
      <c r="G52" s="113"/>
      <c r="H52" s="113"/>
      <c r="I52" s="113"/>
      <c r="J52" s="113"/>
      <c r="K52" s="113"/>
      <c r="L52" s="113"/>
      <c r="M52" s="113"/>
      <c r="N52" s="113"/>
      <c r="O52" s="113"/>
      <c r="P52" s="113"/>
      <c r="Q52" s="113"/>
      <c r="R52" s="113"/>
      <c r="S52" s="113"/>
      <c r="T52" s="113"/>
      <c r="U52" s="113"/>
      <c r="V52" s="113"/>
      <c r="W52" s="113"/>
      <c r="X52" s="113"/>
      <c r="Y52" s="113"/>
      <c r="Z52" s="113"/>
      <c r="AA52" s="113"/>
      <c r="AB52" s="113"/>
      <c r="AC52" s="113"/>
      <c r="AD52" s="113"/>
      <c r="AE52" s="113"/>
      <c r="AF52" s="113"/>
      <c r="AG52" s="113"/>
    </row>
    <row r="53" spans="1:33" ht="13.8">
      <c r="A53" s="113"/>
      <c r="B53" s="113"/>
      <c r="C53" s="113"/>
      <c r="D53" s="113"/>
      <c r="E53" s="113"/>
      <c r="F53" s="113"/>
      <c r="G53" s="113"/>
      <c r="H53" s="113"/>
      <c r="I53" s="113"/>
      <c r="J53" s="113"/>
      <c r="K53" s="113"/>
      <c r="L53" s="113"/>
      <c r="M53" s="113"/>
      <c r="N53" s="113"/>
      <c r="O53" s="113"/>
      <c r="P53" s="113"/>
      <c r="Q53" s="113"/>
      <c r="R53" s="113"/>
      <c r="S53" s="113"/>
      <c r="T53" s="113"/>
      <c r="U53" s="113"/>
      <c r="V53" s="113"/>
      <c r="W53" s="113"/>
      <c r="X53" s="113"/>
      <c r="Y53" s="113"/>
      <c r="Z53" s="113"/>
      <c r="AA53" s="113"/>
      <c r="AB53" s="113"/>
      <c r="AC53" s="113"/>
      <c r="AD53" s="113"/>
      <c r="AE53" s="113"/>
      <c r="AF53" s="113"/>
      <c r="AG53" s="113"/>
    </row>
    <row r="54" spans="1:33" ht="13.8">
      <c r="A54" s="113"/>
      <c r="B54" s="113"/>
      <c r="C54" s="113"/>
      <c r="D54" s="113"/>
      <c r="E54" s="113"/>
      <c r="F54" s="113"/>
      <c r="G54" s="113"/>
      <c r="H54" s="113"/>
      <c r="I54" s="113"/>
      <c r="J54" s="113"/>
      <c r="K54" s="113"/>
      <c r="L54" s="113"/>
      <c r="M54" s="113"/>
      <c r="N54" s="113"/>
      <c r="O54" s="113"/>
      <c r="P54" s="113"/>
      <c r="Q54" s="113"/>
      <c r="R54" s="113"/>
      <c r="S54" s="113"/>
      <c r="T54" s="113"/>
      <c r="U54" s="113"/>
      <c r="V54" s="113"/>
      <c r="W54" s="113"/>
      <c r="X54" s="113"/>
      <c r="Y54" s="113"/>
      <c r="Z54" s="113"/>
      <c r="AA54" s="113"/>
      <c r="AB54" s="113"/>
      <c r="AC54" s="113"/>
      <c r="AD54" s="113"/>
      <c r="AE54" s="113"/>
      <c r="AF54" s="113"/>
      <c r="AG54" s="113"/>
    </row>
    <row r="55" spans="1:33" ht="13.8">
      <c r="A55" s="113"/>
      <c r="B55" s="113"/>
      <c r="C55" s="113"/>
      <c r="D55" s="113"/>
      <c r="E55" s="113"/>
      <c r="F55" s="113"/>
      <c r="G55" s="113"/>
      <c r="H55" s="113"/>
      <c r="I55" s="113"/>
      <c r="J55" s="113"/>
      <c r="K55" s="113"/>
      <c r="L55" s="113"/>
      <c r="M55" s="113"/>
      <c r="N55" s="113"/>
      <c r="O55" s="113"/>
      <c r="P55" s="113"/>
      <c r="Q55" s="113"/>
      <c r="R55" s="113"/>
      <c r="S55" s="113"/>
      <c r="T55" s="113"/>
      <c r="U55" s="113"/>
      <c r="V55" s="113"/>
      <c r="W55" s="113"/>
      <c r="X55" s="113"/>
      <c r="Y55" s="113"/>
      <c r="Z55" s="113"/>
      <c r="AA55" s="113"/>
      <c r="AB55" s="113"/>
      <c r="AC55" s="113"/>
      <c r="AD55" s="113"/>
      <c r="AE55" s="113"/>
      <c r="AF55" s="113"/>
      <c r="AG55" s="113"/>
    </row>
    <row r="56" spans="1:33" ht="13.8">
      <c r="A56" s="113"/>
      <c r="B56" s="113"/>
      <c r="C56" s="113"/>
      <c r="D56" s="113"/>
      <c r="E56" s="113"/>
      <c r="F56" s="113"/>
      <c r="G56" s="113"/>
      <c r="H56" s="113"/>
      <c r="I56" s="113"/>
      <c r="J56" s="113"/>
      <c r="K56" s="113"/>
      <c r="L56" s="113"/>
      <c r="M56" s="113"/>
      <c r="N56" s="113"/>
      <c r="O56" s="113"/>
      <c r="P56" s="113"/>
      <c r="Q56" s="113"/>
      <c r="R56" s="113"/>
      <c r="S56" s="113"/>
      <c r="T56" s="113"/>
      <c r="U56" s="113"/>
      <c r="V56" s="113"/>
      <c r="W56" s="113"/>
      <c r="X56" s="113"/>
      <c r="Y56" s="113"/>
      <c r="Z56" s="113"/>
      <c r="AA56" s="113"/>
      <c r="AB56" s="113"/>
      <c r="AC56" s="113"/>
      <c r="AD56" s="113"/>
      <c r="AE56" s="113"/>
      <c r="AF56" s="113"/>
      <c r="AG56" s="113"/>
    </row>
    <row r="57" spans="1:33" ht="13.8">
      <c r="A57" s="113"/>
      <c r="B57" s="113"/>
      <c r="C57" s="113"/>
      <c r="D57" s="113"/>
      <c r="E57" s="113"/>
      <c r="F57" s="113"/>
      <c r="G57" s="113"/>
      <c r="H57" s="113"/>
      <c r="I57" s="113"/>
      <c r="J57" s="113"/>
      <c r="K57" s="113"/>
      <c r="L57" s="113"/>
      <c r="M57" s="113"/>
      <c r="N57" s="113"/>
      <c r="O57" s="113"/>
      <c r="P57" s="113"/>
      <c r="Q57" s="113"/>
      <c r="R57" s="113"/>
      <c r="S57" s="113"/>
      <c r="T57" s="113"/>
      <c r="U57" s="113"/>
      <c r="V57" s="113"/>
      <c r="W57" s="113"/>
      <c r="X57" s="113"/>
      <c r="Y57" s="113"/>
      <c r="Z57" s="113"/>
      <c r="AA57" s="113"/>
      <c r="AB57" s="113"/>
      <c r="AC57" s="113"/>
      <c r="AD57" s="113"/>
      <c r="AE57" s="113"/>
      <c r="AF57" s="113"/>
      <c r="AG57" s="113"/>
    </row>
    <row r="58" spans="1:33" ht="13.8">
      <c r="A58" s="113"/>
      <c r="B58" s="113"/>
      <c r="C58" s="113"/>
      <c r="D58" s="113"/>
      <c r="E58" s="113"/>
      <c r="F58" s="113"/>
      <c r="G58" s="113"/>
      <c r="H58" s="113"/>
      <c r="I58" s="113"/>
      <c r="J58" s="113"/>
      <c r="K58" s="113"/>
      <c r="L58" s="113"/>
      <c r="M58" s="113"/>
      <c r="N58" s="113"/>
      <c r="O58" s="113"/>
      <c r="P58" s="113"/>
      <c r="Q58" s="113"/>
      <c r="R58" s="113"/>
      <c r="S58" s="113"/>
      <c r="T58" s="113"/>
      <c r="U58" s="113"/>
      <c r="V58" s="113"/>
      <c r="W58" s="113"/>
      <c r="X58" s="113"/>
      <c r="Y58" s="113"/>
      <c r="Z58" s="113"/>
      <c r="AA58" s="113"/>
      <c r="AB58" s="113"/>
      <c r="AC58" s="113"/>
      <c r="AD58" s="113"/>
      <c r="AE58" s="113"/>
      <c r="AF58" s="113"/>
      <c r="AG58" s="113"/>
    </row>
    <row r="59" spans="1:33" ht="13.8">
      <c r="A59" s="113"/>
      <c r="B59" s="113"/>
      <c r="C59" s="113"/>
      <c r="D59" s="113"/>
      <c r="E59" s="113"/>
      <c r="F59" s="113"/>
      <c r="G59" s="113"/>
      <c r="H59" s="113"/>
      <c r="I59" s="113"/>
      <c r="J59" s="113"/>
      <c r="K59" s="113"/>
      <c r="L59" s="113"/>
      <c r="M59" s="113"/>
      <c r="N59" s="113"/>
      <c r="O59" s="113"/>
      <c r="P59" s="113"/>
      <c r="Q59" s="113"/>
      <c r="R59" s="113"/>
      <c r="S59" s="113"/>
      <c r="T59" s="113"/>
      <c r="U59" s="113"/>
      <c r="V59" s="113"/>
      <c r="W59" s="113"/>
      <c r="X59" s="113"/>
      <c r="Y59" s="113"/>
      <c r="Z59" s="113"/>
      <c r="AA59" s="113"/>
      <c r="AB59" s="113"/>
      <c r="AC59" s="113"/>
      <c r="AD59" s="113"/>
      <c r="AE59" s="113"/>
      <c r="AF59" s="113"/>
      <c r="AG59" s="113"/>
    </row>
    <row r="60" spans="1:33" ht="13.8">
      <c r="A60" s="113"/>
      <c r="B60" s="113"/>
      <c r="C60" s="113"/>
      <c r="D60" s="113"/>
      <c r="E60" s="113"/>
      <c r="F60" s="113"/>
      <c r="G60" s="113"/>
      <c r="H60" s="113"/>
      <c r="I60" s="113"/>
      <c r="J60" s="113"/>
      <c r="K60" s="113"/>
      <c r="L60" s="113"/>
      <c r="M60" s="113"/>
      <c r="N60" s="113"/>
      <c r="O60" s="113"/>
      <c r="P60" s="113"/>
      <c r="Q60" s="113"/>
      <c r="R60" s="113"/>
      <c r="S60" s="113"/>
      <c r="T60" s="113"/>
      <c r="U60" s="113"/>
      <c r="V60" s="113"/>
      <c r="W60" s="113"/>
      <c r="X60" s="113"/>
      <c r="Y60" s="113"/>
      <c r="Z60" s="113"/>
      <c r="AA60" s="113"/>
      <c r="AB60" s="113"/>
      <c r="AC60" s="113"/>
      <c r="AD60" s="113"/>
      <c r="AE60" s="113"/>
      <c r="AF60" s="113"/>
      <c r="AG60" s="113"/>
    </row>
    <row r="61" spans="1:33" ht="13.8">
      <c r="A61" s="113"/>
      <c r="B61" s="113"/>
      <c r="C61" s="113"/>
      <c r="D61" s="113"/>
      <c r="E61" s="113"/>
      <c r="F61" s="113"/>
      <c r="G61" s="113"/>
      <c r="H61" s="113"/>
      <c r="I61" s="113"/>
      <c r="J61" s="113"/>
      <c r="K61" s="113"/>
      <c r="L61" s="113"/>
      <c r="M61" s="113"/>
      <c r="N61" s="113"/>
      <c r="O61" s="113"/>
      <c r="P61" s="113"/>
      <c r="Q61" s="113"/>
      <c r="R61" s="113"/>
      <c r="S61" s="113"/>
      <c r="T61" s="113"/>
      <c r="U61" s="113"/>
      <c r="V61" s="113"/>
      <c r="W61" s="113"/>
      <c r="X61" s="113"/>
      <c r="Y61" s="113"/>
      <c r="Z61" s="113"/>
      <c r="AA61" s="113"/>
      <c r="AB61" s="113"/>
      <c r="AC61" s="113"/>
      <c r="AD61" s="113"/>
      <c r="AE61" s="113"/>
      <c r="AF61" s="113"/>
      <c r="AG61" s="113"/>
    </row>
    <row r="62" spans="1:33" ht="13.8">
      <c r="A62" s="113"/>
      <c r="B62" s="113"/>
      <c r="C62" s="113"/>
      <c r="D62" s="113"/>
      <c r="E62" s="113"/>
      <c r="F62" s="113"/>
      <c r="G62" s="113"/>
      <c r="H62" s="113"/>
      <c r="I62" s="113"/>
      <c r="J62" s="113"/>
      <c r="K62" s="113"/>
      <c r="L62" s="113"/>
      <c r="M62" s="113"/>
      <c r="N62" s="113"/>
      <c r="O62" s="113"/>
      <c r="P62" s="113"/>
      <c r="Q62" s="113"/>
      <c r="R62" s="113"/>
      <c r="S62" s="113"/>
      <c r="T62" s="113"/>
      <c r="U62" s="113"/>
      <c r="V62" s="113"/>
      <c r="W62" s="113"/>
      <c r="X62" s="113"/>
      <c r="Y62" s="113"/>
      <c r="Z62" s="113"/>
      <c r="AA62" s="113"/>
      <c r="AB62" s="113"/>
      <c r="AC62" s="113"/>
      <c r="AD62" s="113"/>
      <c r="AE62" s="113"/>
      <c r="AF62" s="113"/>
      <c r="AG62" s="113"/>
    </row>
    <row r="63" spans="1:33" ht="13.8">
      <c r="A63" s="113"/>
      <c r="B63" s="113"/>
      <c r="C63" s="113"/>
      <c r="D63" s="113"/>
      <c r="E63" s="113"/>
      <c r="F63" s="113"/>
      <c r="G63" s="113"/>
      <c r="H63" s="113"/>
      <c r="I63" s="113"/>
      <c r="J63" s="113"/>
      <c r="K63" s="113"/>
      <c r="L63" s="113"/>
      <c r="M63" s="113"/>
      <c r="N63" s="113"/>
      <c r="O63" s="113"/>
      <c r="P63" s="113"/>
      <c r="Q63" s="113"/>
      <c r="R63" s="113"/>
      <c r="S63" s="113"/>
      <c r="T63" s="113"/>
      <c r="U63" s="113"/>
      <c r="V63" s="113"/>
      <c r="W63" s="113"/>
      <c r="X63" s="113"/>
      <c r="Y63" s="113"/>
      <c r="Z63" s="113"/>
      <c r="AA63" s="113"/>
      <c r="AB63" s="113"/>
      <c r="AC63" s="113"/>
      <c r="AD63" s="113"/>
      <c r="AE63" s="113"/>
      <c r="AF63" s="113"/>
      <c r="AG63" s="113"/>
    </row>
    <row r="64" spans="1:33" ht="13.8">
      <c r="A64" s="113"/>
      <c r="B64" s="113"/>
      <c r="C64" s="113"/>
      <c r="D64" s="113"/>
      <c r="E64" s="113"/>
      <c r="F64" s="113"/>
      <c r="G64" s="113"/>
      <c r="H64" s="113"/>
      <c r="I64" s="113"/>
      <c r="J64" s="113"/>
      <c r="K64" s="113"/>
      <c r="L64" s="113"/>
      <c r="M64" s="113"/>
      <c r="N64" s="113"/>
      <c r="O64" s="113"/>
      <c r="P64" s="113"/>
      <c r="Q64" s="113"/>
      <c r="R64" s="113"/>
      <c r="S64" s="113"/>
      <c r="T64" s="113"/>
      <c r="U64" s="113"/>
      <c r="V64" s="113"/>
      <c r="W64" s="113"/>
      <c r="X64" s="113"/>
      <c r="Y64" s="113"/>
      <c r="Z64" s="113"/>
      <c r="AA64" s="113"/>
      <c r="AB64" s="113"/>
      <c r="AC64" s="113"/>
      <c r="AD64" s="113"/>
      <c r="AE64" s="113"/>
      <c r="AF64" s="113"/>
      <c r="AG64" s="113"/>
    </row>
    <row r="65" spans="1:33" ht="13.8">
      <c r="A65" s="113"/>
      <c r="B65" s="113"/>
      <c r="C65" s="113"/>
      <c r="D65" s="113"/>
      <c r="E65" s="113"/>
      <c r="F65" s="113"/>
      <c r="G65" s="113"/>
      <c r="H65" s="113"/>
      <c r="I65" s="113"/>
      <c r="J65" s="113"/>
      <c r="K65" s="113"/>
      <c r="L65" s="113"/>
      <c r="M65" s="113"/>
      <c r="N65" s="113"/>
      <c r="O65" s="113"/>
      <c r="P65" s="113"/>
      <c r="Q65" s="113"/>
      <c r="R65" s="113"/>
      <c r="S65" s="113"/>
      <c r="T65" s="113"/>
      <c r="U65" s="113"/>
      <c r="V65" s="113"/>
      <c r="W65" s="113"/>
      <c r="X65" s="113"/>
      <c r="Y65" s="113"/>
      <c r="Z65" s="113"/>
      <c r="AA65" s="113"/>
      <c r="AB65" s="113"/>
      <c r="AC65" s="113"/>
      <c r="AD65" s="113"/>
      <c r="AE65" s="113"/>
      <c r="AF65" s="113"/>
      <c r="AG65" s="113"/>
    </row>
    <row r="66" spans="1:33" ht="13.8">
      <c r="A66" s="113"/>
      <c r="B66" s="113"/>
      <c r="C66" s="113"/>
      <c r="D66" s="113"/>
      <c r="E66" s="113"/>
      <c r="F66" s="113"/>
      <c r="G66" s="113"/>
      <c r="H66" s="113"/>
      <c r="I66" s="113"/>
      <c r="J66" s="113"/>
      <c r="K66" s="113"/>
      <c r="L66" s="113"/>
      <c r="M66" s="113"/>
      <c r="N66" s="113"/>
      <c r="O66" s="113"/>
      <c r="P66" s="113"/>
      <c r="Q66" s="113"/>
      <c r="R66" s="113"/>
      <c r="S66" s="113"/>
      <c r="T66" s="113"/>
      <c r="U66" s="113"/>
      <c r="V66" s="113"/>
      <c r="W66" s="113"/>
      <c r="X66" s="113"/>
      <c r="Y66" s="113"/>
      <c r="Z66" s="113"/>
      <c r="AA66" s="113"/>
      <c r="AB66" s="113"/>
      <c r="AC66" s="113"/>
      <c r="AD66" s="113"/>
      <c r="AE66" s="113"/>
      <c r="AF66" s="113"/>
      <c r="AG66" s="113"/>
    </row>
    <row r="67" spans="1:33" ht="13.8">
      <c r="A67" s="113"/>
      <c r="B67" s="113"/>
      <c r="C67" s="113"/>
      <c r="D67" s="113"/>
      <c r="E67" s="113"/>
      <c r="F67" s="113"/>
      <c r="G67" s="113"/>
      <c r="H67" s="113"/>
      <c r="I67" s="113"/>
      <c r="J67" s="113"/>
      <c r="K67" s="113"/>
      <c r="L67" s="113"/>
      <c r="M67" s="113"/>
      <c r="N67" s="113"/>
      <c r="O67" s="113"/>
      <c r="P67" s="113"/>
      <c r="Q67" s="113"/>
      <c r="R67" s="113"/>
      <c r="S67" s="113"/>
      <c r="T67" s="113"/>
      <c r="U67" s="113"/>
      <c r="V67" s="113"/>
      <c r="W67" s="113"/>
      <c r="X67" s="113"/>
      <c r="Y67" s="113"/>
      <c r="Z67" s="113"/>
      <c r="AA67" s="113"/>
      <c r="AB67" s="113"/>
      <c r="AC67" s="113"/>
      <c r="AD67" s="113"/>
      <c r="AE67" s="113"/>
      <c r="AF67" s="113"/>
      <c r="AG67" s="113"/>
    </row>
    <row r="68" spans="1:33" ht="13.8">
      <c r="A68" s="113"/>
      <c r="B68" s="113"/>
      <c r="C68" s="113"/>
      <c r="D68" s="113"/>
      <c r="E68" s="113"/>
      <c r="F68" s="113"/>
      <c r="G68" s="113"/>
      <c r="H68" s="113"/>
      <c r="I68" s="113"/>
      <c r="J68" s="113"/>
      <c r="K68" s="113"/>
      <c r="L68" s="113"/>
      <c r="M68" s="113"/>
      <c r="N68" s="113"/>
      <c r="O68" s="113"/>
      <c r="P68" s="113"/>
      <c r="Q68" s="113"/>
      <c r="R68" s="113"/>
      <c r="S68" s="113"/>
      <c r="T68" s="113"/>
      <c r="U68" s="113"/>
      <c r="V68" s="113"/>
      <c r="W68" s="113"/>
      <c r="X68" s="113"/>
      <c r="Y68" s="113"/>
      <c r="Z68" s="113"/>
      <c r="AA68" s="113"/>
      <c r="AB68" s="113"/>
      <c r="AC68" s="113"/>
      <c r="AD68" s="113"/>
      <c r="AE68" s="113"/>
      <c r="AF68" s="113"/>
      <c r="AG68" s="113"/>
    </row>
    <row r="69" spans="1:33" ht="13.8">
      <c r="A69" s="113"/>
      <c r="B69" s="113"/>
      <c r="C69" s="113"/>
      <c r="D69" s="113"/>
      <c r="E69" s="113"/>
      <c r="F69" s="113"/>
      <c r="G69" s="113"/>
      <c r="H69" s="113"/>
      <c r="I69" s="113"/>
      <c r="J69" s="113"/>
      <c r="K69" s="113"/>
      <c r="L69" s="113"/>
      <c r="M69" s="113"/>
      <c r="N69" s="113"/>
      <c r="O69" s="113"/>
      <c r="P69" s="113"/>
      <c r="Q69" s="113"/>
      <c r="R69" s="113"/>
      <c r="S69" s="113"/>
      <c r="T69" s="113"/>
      <c r="U69" s="113"/>
      <c r="V69" s="113"/>
      <c r="W69" s="113"/>
      <c r="X69" s="113"/>
      <c r="Y69" s="113"/>
      <c r="Z69" s="113"/>
      <c r="AA69" s="113"/>
      <c r="AB69" s="113"/>
      <c r="AC69" s="113"/>
      <c r="AD69" s="113"/>
      <c r="AE69" s="113"/>
      <c r="AF69" s="113"/>
      <c r="AG69" s="113"/>
    </row>
    <row r="70" spans="1:33" ht="13.8">
      <c r="A70" s="113"/>
      <c r="B70" s="113"/>
      <c r="C70" s="113"/>
      <c r="D70" s="113"/>
      <c r="E70" s="113"/>
      <c r="F70" s="113"/>
      <c r="G70" s="113"/>
      <c r="H70" s="113"/>
      <c r="I70" s="113"/>
      <c r="J70" s="113"/>
      <c r="K70" s="113"/>
      <c r="L70" s="113"/>
      <c r="M70" s="113"/>
      <c r="N70" s="113"/>
      <c r="O70" s="113"/>
      <c r="P70" s="113"/>
      <c r="Q70" s="113"/>
      <c r="R70" s="113"/>
      <c r="S70" s="113"/>
      <c r="T70" s="113"/>
      <c r="U70" s="113"/>
      <c r="V70" s="113"/>
      <c r="W70" s="113"/>
      <c r="X70" s="113"/>
      <c r="Y70" s="113"/>
      <c r="Z70" s="113"/>
      <c r="AA70" s="113"/>
      <c r="AB70" s="113"/>
      <c r="AC70" s="113"/>
      <c r="AD70" s="113"/>
      <c r="AE70" s="113"/>
      <c r="AF70" s="113"/>
      <c r="AG70" s="113"/>
    </row>
    <row r="71" spans="1:33" ht="13.8">
      <c r="A71" s="113"/>
      <c r="B71" s="113"/>
      <c r="C71" s="113"/>
      <c r="D71" s="113"/>
      <c r="E71" s="113"/>
      <c r="F71" s="113"/>
      <c r="G71" s="113"/>
      <c r="H71" s="113"/>
      <c r="I71" s="113"/>
      <c r="J71" s="113"/>
      <c r="K71" s="113"/>
      <c r="L71" s="113"/>
      <c r="M71" s="113"/>
      <c r="N71" s="113"/>
      <c r="O71" s="113"/>
      <c r="P71" s="113"/>
      <c r="Q71" s="113"/>
      <c r="R71" s="113"/>
      <c r="S71" s="113"/>
      <c r="T71" s="113"/>
      <c r="U71" s="113"/>
      <c r="V71" s="113"/>
      <c r="W71" s="113"/>
      <c r="X71" s="113"/>
      <c r="Y71" s="113"/>
      <c r="Z71" s="113"/>
      <c r="AA71" s="113"/>
      <c r="AB71" s="113"/>
      <c r="AC71" s="113"/>
      <c r="AD71" s="113"/>
      <c r="AE71" s="113"/>
      <c r="AF71" s="113"/>
      <c r="AG71" s="113"/>
    </row>
    <row r="72" spans="1:33" ht="13.8">
      <c r="A72" s="113"/>
      <c r="B72" s="113"/>
      <c r="C72" s="113"/>
      <c r="D72" s="113"/>
      <c r="E72" s="113"/>
      <c r="F72" s="113"/>
      <c r="G72" s="113"/>
      <c r="H72" s="113"/>
      <c r="I72" s="113"/>
      <c r="J72" s="113"/>
      <c r="K72" s="113"/>
      <c r="L72" s="113"/>
      <c r="M72" s="113"/>
      <c r="N72" s="113"/>
      <c r="O72" s="113"/>
      <c r="P72" s="113"/>
      <c r="Q72" s="113"/>
      <c r="R72" s="113"/>
      <c r="S72" s="113"/>
      <c r="T72" s="113"/>
      <c r="U72" s="113"/>
      <c r="V72" s="113"/>
      <c r="W72" s="113"/>
      <c r="X72" s="113"/>
      <c r="Y72" s="113"/>
      <c r="Z72" s="113"/>
      <c r="AA72" s="113"/>
      <c r="AB72" s="113"/>
      <c r="AC72" s="113"/>
      <c r="AD72" s="113"/>
      <c r="AE72" s="113"/>
      <c r="AF72" s="113"/>
      <c r="AG72" s="113"/>
    </row>
    <row r="73" spans="1:33" ht="13.8">
      <c r="A73" s="113"/>
      <c r="B73" s="113"/>
      <c r="C73" s="113"/>
      <c r="D73" s="113"/>
      <c r="E73" s="113"/>
      <c r="F73" s="113"/>
      <c r="G73" s="113"/>
      <c r="H73" s="113"/>
      <c r="I73" s="113"/>
      <c r="J73" s="113"/>
      <c r="K73" s="113"/>
      <c r="L73" s="113"/>
      <c r="M73" s="113"/>
      <c r="N73" s="113"/>
      <c r="O73" s="113"/>
      <c r="P73" s="113"/>
      <c r="Q73" s="113"/>
      <c r="R73" s="113"/>
      <c r="S73" s="113"/>
      <c r="T73" s="113"/>
      <c r="U73" s="113"/>
      <c r="V73" s="113"/>
      <c r="W73" s="113"/>
      <c r="X73" s="113"/>
      <c r="Y73" s="113"/>
      <c r="Z73" s="113"/>
      <c r="AA73" s="113"/>
      <c r="AB73" s="113"/>
      <c r="AC73" s="113"/>
      <c r="AD73" s="113"/>
      <c r="AE73" s="113"/>
      <c r="AF73" s="113"/>
      <c r="AG73" s="113"/>
    </row>
    <row r="74" spans="1:33" ht="13.8">
      <c r="A74" s="113"/>
      <c r="B74" s="113"/>
      <c r="C74" s="113"/>
      <c r="D74" s="113"/>
      <c r="E74" s="113"/>
      <c r="F74" s="113"/>
      <c r="G74" s="113"/>
      <c r="H74" s="113"/>
      <c r="I74" s="113"/>
      <c r="J74" s="113"/>
      <c r="K74" s="113"/>
      <c r="L74" s="113"/>
      <c r="M74" s="113"/>
      <c r="N74" s="113"/>
      <c r="O74" s="113"/>
      <c r="P74" s="113"/>
      <c r="Q74" s="113"/>
      <c r="R74" s="113"/>
      <c r="S74" s="113"/>
      <c r="T74" s="113"/>
      <c r="U74" s="113"/>
      <c r="V74" s="113"/>
      <c r="W74" s="113"/>
      <c r="X74" s="113"/>
      <c r="Y74" s="113"/>
      <c r="Z74" s="113"/>
      <c r="AA74" s="113"/>
      <c r="AB74" s="113"/>
      <c r="AC74" s="113"/>
      <c r="AD74" s="113"/>
      <c r="AE74" s="113"/>
      <c r="AF74" s="113"/>
      <c r="AG74" s="113"/>
    </row>
    <row r="75" spans="1:33" ht="13.8">
      <c r="A75" s="113"/>
      <c r="B75" s="113"/>
      <c r="C75" s="113"/>
      <c r="D75" s="113"/>
      <c r="E75" s="113"/>
      <c r="F75" s="113"/>
      <c r="G75" s="113"/>
      <c r="H75" s="113"/>
      <c r="I75" s="113"/>
      <c r="J75" s="113"/>
      <c r="K75" s="113"/>
      <c r="L75" s="113"/>
      <c r="M75" s="113"/>
      <c r="N75" s="113"/>
      <c r="O75" s="113"/>
      <c r="P75" s="113"/>
      <c r="Q75" s="113"/>
      <c r="R75" s="113"/>
      <c r="S75" s="113"/>
      <c r="T75" s="113"/>
      <c r="U75" s="113"/>
      <c r="V75" s="113"/>
      <c r="W75" s="113"/>
      <c r="X75" s="113"/>
      <c r="Y75" s="113"/>
      <c r="Z75" s="113"/>
      <c r="AA75" s="113"/>
      <c r="AB75" s="113"/>
      <c r="AC75" s="113"/>
      <c r="AD75" s="113"/>
      <c r="AE75" s="113"/>
      <c r="AF75" s="113"/>
      <c r="AG75" s="113"/>
    </row>
    <row r="76" spans="1:33" ht="13.8">
      <c r="A76" s="113"/>
      <c r="B76" s="113"/>
      <c r="C76" s="113"/>
      <c r="D76" s="113"/>
      <c r="E76" s="113"/>
      <c r="F76" s="113"/>
      <c r="G76" s="113"/>
      <c r="H76" s="113"/>
      <c r="I76" s="113"/>
      <c r="J76" s="113"/>
      <c r="K76" s="113"/>
      <c r="L76" s="113"/>
      <c r="M76" s="113"/>
      <c r="N76" s="113"/>
      <c r="O76" s="113"/>
      <c r="P76" s="113"/>
      <c r="Q76" s="113"/>
      <c r="R76" s="113"/>
      <c r="S76" s="113"/>
      <c r="T76" s="113"/>
      <c r="U76" s="113"/>
      <c r="V76" s="113"/>
      <c r="W76" s="113"/>
      <c r="X76" s="113"/>
      <c r="Y76" s="113"/>
      <c r="Z76" s="113"/>
      <c r="AA76" s="113"/>
      <c r="AB76" s="113"/>
      <c r="AC76" s="113"/>
      <c r="AD76" s="113"/>
      <c r="AE76" s="113"/>
      <c r="AF76" s="113"/>
      <c r="AG76" s="113"/>
    </row>
    <row r="77" spans="1:33" ht="13.8">
      <c r="A77" s="113"/>
      <c r="B77" s="113"/>
      <c r="C77" s="113"/>
      <c r="D77" s="113"/>
      <c r="E77" s="113"/>
      <c r="F77" s="113"/>
      <c r="G77" s="113"/>
      <c r="H77" s="113"/>
      <c r="I77" s="113"/>
      <c r="J77" s="113"/>
      <c r="K77" s="113"/>
      <c r="L77" s="113"/>
      <c r="M77" s="113"/>
      <c r="N77" s="113"/>
      <c r="O77" s="113"/>
      <c r="P77" s="113"/>
      <c r="Q77" s="113"/>
      <c r="R77" s="113"/>
      <c r="S77" s="113"/>
      <c r="T77" s="113"/>
      <c r="U77" s="113"/>
      <c r="V77" s="113"/>
      <c r="W77" s="113"/>
      <c r="X77" s="113"/>
      <c r="Y77" s="113"/>
      <c r="Z77" s="113"/>
      <c r="AA77" s="113"/>
      <c r="AB77" s="113"/>
      <c r="AC77" s="113"/>
      <c r="AD77" s="113"/>
      <c r="AE77" s="113"/>
      <c r="AF77" s="113"/>
      <c r="AG77" s="113"/>
    </row>
    <row r="78" spans="1:33" ht="13.8">
      <c r="A78" s="113"/>
      <c r="B78" s="113"/>
      <c r="C78" s="113"/>
      <c r="D78" s="113"/>
      <c r="E78" s="113"/>
      <c r="F78" s="113"/>
      <c r="G78" s="113"/>
      <c r="H78" s="113"/>
      <c r="I78" s="113"/>
      <c r="J78" s="113"/>
      <c r="K78" s="113"/>
      <c r="L78" s="113"/>
      <c r="M78" s="113"/>
      <c r="N78" s="113"/>
      <c r="O78" s="113"/>
      <c r="P78" s="113"/>
      <c r="Q78" s="113"/>
      <c r="R78" s="113"/>
      <c r="S78" s="113"/>
      <c r="T78" s="113"/>
      <c r="U78" s="113"/>
      <c r="V78" s="113"/>
      <c r="W78" s="113"/>
      <c r="X78" s="113"/>
      <c r="Y78" s="113"/>
      <c r="Z78" s="113"/>
      <c r="AA78" s="113"/>
      <c r="AB78" s="113"/>
      <c r="AC78" s="113"/>
      <c r="AD78" s="113"/>
      <c r="AE78" s="113"/>
      <c r="AF78" s="113"/>
      <c r="AG78" s="113"/>
    </row>
    <row r="79" spans="1:33" ht="13.8">
      <c r="A79" s="113"/>
      <c r="B79" s="113"/>
      <c r="C79" s="113"/>
      <c r="D79" s="113"/>
      <c r="E79" s="113"/>
      <c r="F79" s="113"/>
      <c r="G79" s="113"/>
      <c r="H79" s="113"/>
      <c r="I79" s="113"/>
      <c r="J79" s="113"/>
      <c r="K79" s="113"/>
      <c r="L79" s="113"/>
      <c r="M79" s="113"/>
      <c r="N79" s="113"/>
      <c r="O79" s="113"/>
      <c r="P79" s="113"/>
      <c r="Q79" s="113"/>
      <c r="R79" s="113"/>
      <c r="S79" s="113"/>
      <c r="T79" s="113"/>
      <c r="U79" s="113"/>
      <c r="V79" s="113"/>
      <c r="W79" s="113"/>
      <c r="X79" s="113"/>
      <c r="Y79" s="113"/>
      <c r="Z79" s="113"/>
      <c r="AA79" s="113"/>
      <c r="AB79" s="113"/>
      <c r="AC79" s="113"/>
      <c r="AD79" s="113"/>
      <c r="AE79" s="113"/>
      <c r="AF79" s="113"/>
      <c r="AG79" s="113"/>
    </row>
    <row r="80" spans="1:33" ht="13.8">
      <c r="A80" s="113"/>
      <c r="B80" s="113"/>
      <c r="C80" s="113"/>
      <c r="D80" s="113"/>
      <c r="E80" s="113"/>
      <c r="F80" s="113"/>
      <c r="G80" s="113"/>
      <c r="H80" s="113"/>
      <c r="I80" s="113"/>
      <c r="J80" s="113"/>
      <c r="K80" s="113"/>
      <c r="L80" s="113"/>
      <c r="M80" s="113"/>
      <c r="N80" s="113"/>
      <c r="O80" s="113"/>
      <c r="P80" s="113"/>
      <c r="Q80" s="113"/>
      <c r="R80" s="113"/>
      <c r="S80" s="113"/>
      <c r="T80" s="113"/>
      <c r="U80" s="113"/>
      <c r="V80" s="113"/>
      <c r="W80" s="113"/>
      <c r="X80" s="113"/>
      <c r="Y80" s="113"/>
      <c r="Z80" s="113"/>
      <c r="AA80" s="113"/>
      <c r="AB80" s="113"/>
      <c r="AC80" s="113"/>
      <c r="AD80" s="113"/>
      <c r="AE80" s="113"/>
      <c r="AF80" s="113"/>
      <c r="AG80" s="113"/>
    </row>
    <row r="81" spans="1:33" ht="13.8">
      <c r="A81" s="113"/>
      <c r="B81" s="113"/>
      <c r="C81" s="113"/>
      <c r="D81" s="113"/>
      <c r="E81" s="113"/>
      <c r="F81" s="113"/>
      <c r="G81" s="113"/>
      <c r="H81" s="113"/>
      <c r="I81" s="113"/>
      <c r="J81" s="113"/>
      <c r="K81" s="113"/>
      <c r="L81" s="113"/>
      <c r="M81" s="113"/>
      <c r="N81" s="113"/>
      <c r="O81" s="113"/>
      <c r="P81" s="113"/>
      <c r="Q81" s="113"/>
      <c r="R81" s="113"/>
      <c r="S81" s="113"/>
      <c r="T81" s="113"/>
      <c r="U81" s="113"/>
      <c r="V81" s="113"/>
      <c r="W81" s="113"/>
      <c r="X81" s="113"/>
      <c r="Y81" s="113"/>
      <c r="Z81" s="113"/>
      <c r="AA81" s="113"/>
      <c r="AB81" s="113"/>
      <c r="AC81" s="113"/>
      <c r="AD81" s="113"/>
      <c r="AE81" s="113"/>
      <c r="AF81" s="113"/>
      <c r="AG81" s="113"/>
    </row>
    <row r="82" spans="1:33" ht="13.8">
      <c r="A82" s="113"/>
      <c r="B82" s="113"/>
      <c r="C82" s="113"/>
      <c r="D82" s="113"/>
      <c r="E82" s="113"/>
      <c r="F82" s="113"/>
      <c r="G82" s="113"/>
      <c r="H82" s="113"/>
      <c r="I82" s="113"/>
      <c r="J82" s="113"/>
      <c r="K82" s="113"/>
      <c r="L82" s="113"/>
      <c r="M82" s="113"/>
      <c r="N82" s="113"/>
      <c r="O82" s="113"/>
      <c r="P82" s="113"/>
      <c r="Q82" s="113"/>
      <c r="R82" s="113"/>
      <c r="S82" s="113"/>
      <c r="T82" s="113"/>
      <c r="U82" s="113"/>
      <c r="V82" s="113"/>
      <c r="W82" s="113"/>
      <c r="X82" s="113"/>
      <c r="Y82" s="113"/>
      <c r="Z82" s="113"/>
      <c r="AA82" s="113"/>
      <c r="AB82" s="113"/>
      <c r="AC82" s="113"/>
      <c r="AD82" s="113"/>
      <c r="AE82" s="113"/>
      <c r="AF82" s="113"/>
      <c r="AG82" s="113"/>
    </row>
    <row r="83" spans="1:33" ht="13.8">
      <c r="A83" s="113"/>
      <c r="B83" s="113"/>
      <c r="C83" s="113"/>
      <c r="D83" s="113"/>
      <c r="E83" s="113"/>
      <c r="F83" s="113"/>
      <c r="G83" s="113"/>
      <c r="H83" s="113"/>
      <c r="I83" s="113"/>
      <c r="J83" s="113"/>
      <c r="K83" s="113"/>
      <c r="L83" s="113"/>
      <c r="M83" s="113"/>
      <c r="N83" s="113"/>
      <c r="O83" s="113"/>
      <c r="P83" s="113"/>
      <c r="Q83" s="113"/>
      <c r="R83" s="113"/>
      <c r="S83" s="113"/>
      <c r="T83" s="113"/>
      <c r="U83" s="113"/>
      <c r="V83" s="113"/>
      <c r="W83" s="113"/>
      <c r="X83" s="113"/>
      <c r="Y83" s="113"/>
      <c r="Z83" s="113"/>
      <c r="AA83" s="113"/>
      <c r="AB83" s="113"/>
      <c r="AC83" s="113"/>
      <c r="AD83" s="113"/>
      <c r="AE83" s="113"/>
      <c r="AF83" s="113"/>
      <c r="AG83" s="113"/>
    </row>
    <row r="84" spans="1:33" ht="13.8">
      <c r="A84" s="113"/>
      <c r="B84" s="113"/>
      <c r="C84" s="113"/>
      <c r="D84" s="113"/>
      <c r="E84" s="113"/>
      <c r="F84" s="113"/>
      <c r="G84" s="113"/>
      <c r="H84" s="113"/>
      <c r="I84" s="113"/>
      <c r="J84" s="113"/>
      <c r="K84" s="113"/>
      <c r="L84" s="113"/>
      <c r="M84" s="113"/>
      <c r="N84" s="113"/>
      <c r="O84" s="113"/>
      <c r="P84" s="113"/>
      <c r="Q84" s="113"/>
      <c r="R84" s="113"/>
      <c r="S84" s="113"/>
      <c r="T84" s="113"/>
      <c r="U84" s="113"/>
      <c r="V84" s="113"/>
      <c r="W84" s="113"/>
      <c r="X84" s="113"/>
      <c r="Y84" s="113"/>
      <c r="Z84" s="113"/>
      <c r="AA84" s="113"/>
      <c r="AB84" s="113"/>
      <c r="AC84" s="113"/>
      <c r="AD84" s="113"/>
      <c r="AE84" s="113"/>
      <c r="AF84" s="113"/>
      <c r="AG84" s="113"/>
    </row>
    <row r="85" spans="1:33" ht="13.8">
      <c r="A85" s="113"/>
      <c r="B85" s="113"/>
      <c r="C85" s="113"/>
      <c r="D85" s="113"/>
      <c r="E85" s="113"/>
      <c r="F85" s="113"/>
      <c r="G85" s="113"/>
      <c r="H85" s="113"/>
      <c r="I85" s="113"/>
      <c r="J85" s="113"/>
      <c r="K85" s="113"/>
      <c r="L85" s="113"/>
      <c r="M85" s="113"/>
      <c r="N85" s="113"/>
      <c r="O85" s="113"/>
      <c r="P85" s="113"/>
      <c r="Q85" s="113"/>
      <c r="R85" s="113"/>
      <c r="S85" s="113"/>
      <c r="T85" s="113"/>
      <c r="U85" s="113"/>
      <c r="V85" s="113"/>
      <c r="W85" s="113"/>
      <c r="X85" s="113"/>
      <c r="Y85" s="113"/>
      <c r="Z85" s="113"/>
      <c r="AA85" s="113"/>
      <c r="AB85" s="113"/>
      <c r="AC85" s="113"/>
      <c r="AD85" s="113"/>
      <c r="AE85" s="113"/>
      <c r="AF85" s="113"/>
      <c r="AG85" s="113"/>
    </row>
    <row r="86" spans="1:33" ht="13.8">
      <c r="A86" s="113"/>
      <c r="B86" s="113"/>
      <c r="C86" s="113"/>
      <c r="D86" s="113"/>
      <c r="E86" s="113"/>
      <c r="F86" s="113"/>
      <c r="G86" s="113"/>
      <c r="H86" s="113"/>
      <c r="I86" s="113"/>
      <c r="J86" s="113"/>
      <c r="K86" s="113"/>
      <c r="L86" s="113"/>
      <c r="M86" s="113"/>
      <c r="N86" s="113"/>
      <c r="O86" s="113"/>
      <c r="P86" s="113"/>
      <c r="Q86" s="113"/>
      <c r="R86" s="113"/>
      <c r="S86" s="113"/>
      <c r="T86" s="113"/>
      <c r="U86" s="113"/>
      <c r="V86" s="113"/>
      <c r="W86" s="113"/>
      <c r="X86" s="113"/>
      <c r="Y86" s="113"/>
      <c r="Z86" s="113"/>
      <c r="AA86" s="113"/>
      <c r="AB86" s="113"/>
      <c r="AC86" s="113"/>
      <c r="AD86" s="113"/>
      <c r="AE86" s="113"/>
      <c r="AF86" s="113"/>
      <c r="AG86" s="113"/>
    </row>
    <row r="87" spans="1:33" ht="13.8">
      <c r="A87" s="113"/>
      <c r="B87" s="113"/>
      <c r="C87" s="113"/>
      <c r="D87" s="113"/>
      <c r="E87" s="113"/>
      <c r="F87" s="113"/>
      <c r="G87" s="113"/>
      <c r="H87" s="113"/>
      <c r="I87" s="113"/>
      <c r="J87" s="113"/>
      <c r="K87" s="113"/>
      <c r="L87" s="113"/>
      <c r="M87" s="113"/>
      <c r="N87" s="113"/>
      <c r="O87" s="113"/>
      <c r="P87" s="113"/>
      <c r="Q87" s="113"/>
      <c r="R87" s="113"/>
      <c r="S87" s="113"/>
      <c r="T87" s="113"/>
      <c r="U87" s="113"/>
      <c r="V87" s="113"/>
      <c r="W87" s="113"/>
      <c r="X87" s="113"/>
      <c r="Y87" s="113"/>
      <c r="Z87" s="113"/>
      <c r="AA87" s="113"/>
      <c r="AB87" s="113"/>
      <c r="AC87" s="113"/>
      <c r="AD87" s="113"/>
      <c r="AE87" s="113"/>
      <c r="AF87" s="113"/>
      <c r="AG87" s="113"/>
    </row>
    <row r="88" spans="1:33" ht="13.8">
      <c r="A88" s="113"/>
      <c r="B88" s="113"/>
      <c r="C88" s="113"/>
      <c r="D88" s="113"/>
      <c r="E88" s="113"/>
      <c r="F88" s="113"/>
      <c r="G88" s="113"/>
      <c r="H88" s="113"/>
      <c r="I88" s="113"/>
      <c r="J88" s="113"/>
      <c r="K88" s="113"/>
      <c r="L88" s="113"/>
      <c r="M88" s="113"/>
      <c r="N88" s="113"/>
      <c r="O88" s="113"/>
      <c r="P88" s="113"/>
      <c r="Q88" s="113"/>
      <c r="R88" s="113"/>
      <c r="S88" s="113"/>
      <c r="T88" s="113"/>
      <c r="U88" s="113"/>
      <c r="V88" s="113"/>
      <c r="W88" s="113"/>
      <c r="X88" s="113"/>
      <c r="Y88" s="113"/>
      <c r="Z88" s="113"/>
      <c r="AA88" s="113"/>
      <c r="AB88" s="113"/>
      <c r="AC88" s="113"/>
      <c r="AD88" s="113"/>
      <c r="AE88" s="113"/>
      <c r="AF88" s="113"/>
      <c r="AG88" s="113"/>
    </row>
    <row r="89" spans="1:33" ht="13.8">
      <c r="A89" s="113"/>
      <c r="B89" s="113"/>
      <c r="C89" s="113"/>
      <c r="D89" s="113"/>
      <c r="E89" s="113"/>
      <c r="F89" s="113"/>
      <c r="G89" s="113"/>
      <c r="H89" s="113"/>
      <c r="I89" s="113"/>
      <c r="J89" s="113"/>
      <c r="K89" s="113"/>
      <c r="L89" s="113"/>
      <c r="M89" s="113"/>
      <c r="N89" s="113"/>
      <c r="O89" s="113"/>
      <c r="P89" s="113"/>
      <c r="Q89" s="113"/>
      <c r="R89" s="113"/>
      <c r="S89" s="113"/>
      <c r="T89" s="113"/>
      <c r="U89" s="113"/>
      <c r="V89" s="113"/>
      <c r="W89" s="113"/>
      <c r="X89" s="113"/>
      <c r="Y89" s="113"/>
      <c r="Z89" s="113"/>
      <c r="AA89" s="113"/>
      <c r="AB89" s="113"/>
      <c r="AC89" s="113"/>
      <c r="AD89" s="113"/>
      <c r="AE89" s="113"/>
      <c r="AF89" s="113"/>
      <c r="AG89" s="113"/>
    </row>
    <row r="90" spans="1:33" ht="13.8">
      <c r="A90" s="113"/>
      <c r="B90" s="113"/>
      <c r="C90" s="113"/>
      <c r="D90" s="113"/>
      <c r="E90" s="113"/>
      <c r="F90" s="113"/>
      <c r="G90" s="113"/>
      <c r="H90" s="113"/>
      <c r="I90" s="113"/>
      <c r="J90" s="113"/>
      <c r="K90" s="113"/>
      <c r="L90" s="113"/>
      <c r="M90" s="113"/>
      <c r="N90" s="113"/>
      <c r="O90" s="113"/>
      <c r="P90" s="113"/>
      <c r="Q90" s="113"/>
      <c r="R90" s="113"/>
      <c r="S90" s="113"/>
      <c r="T90" s="113"/>
      <c r="U90" s="113"/>
      <c r="V90" s="113"/>
      <c r="W90" s="113"/>
      <c r="X90" s="113"/>
      <c r="Y90" s="113"/>
      <c r="Z90" s="113"/>
      <c r="AA90" s="113"/>
      <c r="AB90" s="113"/>
      <c r="AC90" s="113"/>
      <c r="AD90" s="113"/>
      <c r="AE90" s="113"/>
      <c r="AF90" s="113"/>
      <c r="AG90" s="113"/>
    </row>
    <row r="91" spans="1:33" ht="13.8">
      <c r="A91" s="113"/>
      <c r="B91" s="113"/>
      <c r="C91" s="113"/>
      <c r="D91" s="113"/>
      <c r="E91" s="113"/>
      <c r="F91" s="113"/>
      <c r="G91" s="113"/>
      <c r="H91" s="113"/>
      <c r="I91" s="113"/>
      <c r="J91" s="113"/>
      <c r="K91" s="113"/>
      <c r="L91" s="113"/>
      <c r="M91" s="113"/>
      <c r="N91" s="113"/>
      <c r="O91" s="113"/>
      <c r="P91" s="113"/>
      <c r="Q91" s="113"/>
      <c r="R91" s="113"/>
      <c r="S91" s="113"/>
      <c r="T91" s="113"/>
      <c r="U91" s="113"/>
      <c r="V91" s="113"/>
      <c r="W91" s="113"/>
      <c r="X91" s="113"/>
      <c r="Y91" s="113"/>
      <c r="Z91" s="113"/>
      <c r="AA91" s="113"/>
      <c r="AB91" s="113"/>
      <c r="AC91" s="113"/>
      <c r="AD91" s="113"/>
      <c r="AE91" s="113"/>
      <c r="AF91" s="113"/>
      <c r="AG91" s="113"/>
    </row>
    <row r="92" spans="1:33" ht="13.8">
      <c r="A92" s="113"/>
      <c r="B92" s="113"/>
      <c r="C92" s="113"/>
      <c r="D92" s="113"/>
      <c r="E92" s="113"/>
      <c r="F92" s="113"/>
      <c r="G92" s="113"/>
      <c r="H92" s="113"/>
      <c r="I92" s="113"/>
      <c r="J92" s="113"/>
      <c r="K92" s="113"/>
      <c r="L92" s="113"/>
      <c r="M92" s="113"/>
      <c r="N92" s="113"/>
      <c r="O92" s="113"/>
      <c r="P92" s="113"/>
      <c r="Q92" s="113"/>
      <c r="R92" s="113"/>
      <c r="S92" s="113"/>
      <c r="T92" s="113"/>
      <c r="U92" s="113"/>
      <c r="V92" s="113"/>
      <c r="W92" s="113"/>
      <c r="X92" s="113"/>
      <c r="Y92" s="113"/>
      <c r="Z92" s="113"/>
      <c r="AA92" s="113"/>
      <c r="AB92" s="113"/>
      <c r="AC92" s="113"/>
      <c r="AD92" s="113"/>
      <c r="AE92" s="113"/>
      <c r="AF92" s="113"/>
      <c r="AG92" s="113"/>
    </row>
    <row r="93" spans="1:33" ht="13.8">
      <c r="A93" s="113"/>
      <c r="B93" s="113"/>
      <c r="C93" s="113"/>
      <c r="D93" s="113"/>
      <c r="E93" s="113"/>
      <c r="F93" s="113"/>
      <c r="G93" s="113"/>
      <c r="H93" s="113"/>
      <c r="I93" s="113"/>
      <c r="J93" s="113"/>
      <c r="K93" s="113"/>
      <c r="L93" s="113"/>
      <c r="M93" s="113"/>
      <c r="N93" s="113"/>
      <c r="O93" s="113"/>
      <c r="P93" s="113"/>
      <c r="Q93" s="113"/>
      <c r="R93" s="113"/>
      <c r="S93" s="113"/>
      <c r="T93" s="113"/>
      <c r="U93" s="113"/>
      <c r="V93" s="113"/>
      <c r="W93" s="113"/>
      <c r="X93" s="113"/>
      <c r="Y93" s="113"/>
      <c r="Z93" s="113"/>
      <c r="AA93" s="113"/>
      <c r="AB93" s="113"/>
      <c r="AC93" s="113"/>
      <c r="AD93" s="113"/>
      <c r="AE93" s="113"/>
      <c r="AF93" s="113"/>
      <c r="AG93" s="113"/>
    </row>
    <row r="94" spans="1:33" ht="13.8">
      <c r="A94" s="113"/>
      <c r="B94" s="113"/>
      <c r="C94" s="113"/>
      <c r="D94" s="113"/>
      <c r="E94" s="113"/>
      <c r="F94" s="113"/>
      <c r="G94" s="113"/>
      <c r="H94" s="113"/>
      <c r="I94" s="113"/>
      <c r="J94" s="113"/>
      <c r="K94" s="113"/>
      <c r="L94" s="113"/>
      <c r="M94" s="113"/>
      <c r="N94" s="113"/>
      <c r="O94" s="113"/>
      <c r="P94" s="113"/>
      <c r="Q94" s="113"/>
      <c r="R94" s="113"/>
      <c r="S94" s="113"/>
      <c r="T94" s="113"/>
      <c r="U94" s="113"/>
      <c r="V94" s="113"/>
      <c r="W94" s="113"/>
      <c r="X94" s="113"/>
      <c r="Y94" s="113"/>
      <c r="Z94" s="113"/>
      <c r="AA94" s="113"/>
      <c r="AB94" s="113"/>
      <c r="AC94" s="113"/>
      <c r="AD94" s="113"/>
      <c r="AE94" s="113"/>
      <c r="AF94" s="113"/>
      <c r="AG94" s="113"/>
    </row>
    <row r="95" spans="1:33" ht="13.8">
      <c r="A95" s="113"/>
      <c r="B95" s="113"/>
      <c r="C95" s="113"/>
      <c r="D95" s="113"/>
      <c r="E95" s="113"/>
      <c r="F95" s="113"/>
      <c r="G95" s="113"/>
      <c r="H95" s="113"/>
      <c r="I95" s="113"/>
      <c r="J95" s="113"/>
      <c r="K95" s="113"/>
      <c r="L95" s="113"/>
      <c r="M95" s="113"/>
      <c r="N95" s="113"/>
      <c r="O95" s="113"/>
      <c r="P95" s="113"/>
      <c r="Q95" s="113"/>
      <c r="R95" s="113"/>
      <c r="S95" s="113"/>
      <c r="T95" s="113"/>
      <c r="U95" s="113"/>
      <c r="V95" s="113"/>
      <c r="W95" s="113"/>
      <c r="X95" s="113"/>
      <c r="Y95" s="113"/>
      <c r="Z95" s="113"/>
      <c r="AA95" s="113"/>
      <c r="AB95" s="113"/>
      <c r="AC95" s="113"/>
      <c r="AD95" s="113"/>
      <c r="AE95" s="113"/>
      <c r="AF95" s="113"/>
      <c r="AG95" s="113"/>
    </row>
    <row r="96" spans="1:33" ht="13.8">
      <c r="A96" s="113"/>
      <c r="B96" s="113"/>
      <c r="C96" s="113"/>
      <c r="D96" s="113"/>
      <c r="E96" s="113"/>
      <c r="F96" s="113"/>
      <c r="G96" s="113"/>
      <c r="H96" s="113"/>
      <c r="I96" s="113"/>
      <c r="J96" s="113"/>
      <c r="K96" s="113"/>
      <c r="L96" s="113"/>
      <c r="M96" s="113"/>
      <c r="N96" s="113"/>
      <c r="O96" s="113"/>
      <c r="P96" s="113"/>
      <c r="Q96" s="113"/>
      <c r="R96" s="113"/>
      <c r="S96" s="113"/>
      <c r="T96" s="113"/>
      <c r="U96" s="113"/>
      <c r="V96" s="113"/>
      <c r="W96" s="113"/>
      <c r="X96" s="113"/>
      <c r="Y96" s="113"/>
      <c r="Z96" s="113"/>
      <c r="AA96" s="113"/>
      <c r="AB96" s="113"/>
      <c r="AC96" s="113"/>
      <c r="AD96" s="113"/>
      <c r="AE96" s="113"/>
      <c r="AF96" s="113"/>
      <c r="AG96" s="113"/>
    </row>
    <row r="97" spans="1:33" ht="13.8">
      <c r="A97" s="113"/>
      <c r="B97" s="113"/>
      <c r="C97" s="113"/>
      <c r="D97" s="113"/>
      <c r="E97" s="113"/>
      <c r="F97" s="113"/>
      <c r="G97" s="113"/>
      <c r="H97" s="113"/>
      <c r="I97" s="113"/>
      <c r="J97" s="113"/>
      <c r="K97" s="113"/>
      <c r="L97" s="113"/>
      <c r="M97" s="113"/>
      <c r="N97" s="113"/>
      <c r="O97" s="113"/>
      <c r="P97" s="113"/>
      <c r="Q97" s="113"/>
      <c r="R97" s="113"/>
      <c r="S97" s="113"/>
      <c r="T97" s="113"/>
      <c r="U97" s="113"/>
      <c r="V97" s="113"/>
      <c r="W97" s="113"/>
      <c r="X97" s="113"/>
      <c r="Y97" s="113"/>
      <c r="Z97" s="113"/>
      <c r="AA97" s="113"/>
      <c r="AB97" s="113"/>
      <c r="AC97" s="113"/>
      <c r="AD97" s="113"/>
      <c r="AE97" s="113"/>
      <c r="AF97" s="113"/>
      <c r="AG97" s="113"/>
    </row>
    <row r="98" spans="1:33" ht="13.8">
      <c r="A98" s="113"/>
      <c r="B98" s="113"/>
      <c r="C98" s="113"/>
      <c r="D98" s="113"/>
      <c r="E98" s="113"/>
      <c r="F98" s="113"/>
      <c r="G98" s="113"/>
      <c r="H98" s="113"/>
      <c r="I98" s="113"/>
      <c r="J98" s="113"/>
      <c r="K98" s="113"/>
      <c r="L98" s="113"/>
      <c r="M98" s="113"/>
      <c r="N98" s="113"/>
      <c r="O98" s="113"/>
      <c r="P98" s="113"/>
      <c r="Q98" s="113"/>
      <c r="R98" s="113"/>
      <c r="S98" s="113"/>
      <c r="T98" s="113"/>
      <c r="U98" s="113"/>
      <c r="V98" s="113"/>
      <c r="W98" s="113"/>
      <c r="X98" s="113"/>
      <c r="Y98" s="113"/>
      <c r="Z98" s="113"/>
      <c r="AA98" s="113"/>
      <c r="AB98" s="113"/>
      <c r="AC98" s="113"/>
      <c r="AD98" s="113"/>
      <c r="AE98" s="113"/>
      <c r="AF98" s="113"/>
      <c r="AG98" s="113"/>
    </row>
    <row r="99" spans="1:33" ht="13.8">
      <c r="A99" s="113"/>
      <c r="B99" s="113"/>
      <c r="C99" s="113"/>
      <c r="D99" s="113"/>
      <c r="E99" s="113"/>
      <c r="F99" s="113"/>
      <c r="G99" s="113"/>
      <c r="H99" s="113"/>
      <c r="I99" s="113"/>
      <c r="J99" s="113"/>
      <c r="K99" s="113"/>
      <c r="L99" s="113"/>
      <c r="M99" s="113"/>
      <c r="N99" s="113"/>
      <c r="O99" s="113"/>
      <c r="P99" s="113"/>
      <c r="Q99" s="113"/>
      <c r="R99" s="113"/>
      <c r="S99" s="113"/>
      <c r="T99" s="113"/>
      <c r="U99" s="113"/>
      <c r="V99" s="113"/>
      <c r="W99" s="113"/>
      <c r="X99" s="113"/>
      <c r="Y99" s="113"/>
      <c r="Z99" s="113"/>
      <c r="AA99" s="113"/>
      <c r="AB99" s="113"/>
      <c r="AC99" s="113"/>
      <c r="AD99" s="113"/>
      <c r="AE99" s="113"/>
      <c r="AF99" s="113"/>
      <c r="AG99" s="113"/>
    </row>
    <row r="100" spans="1:33" ht="13.8">
      <c r="A100" s="113"/>
      <c r="B100" s="113"/>
      <c r="C100" s="113"/>
      <c r="D100" s="113"/>
      <c r="E100" s="113"/>
      <c r="F100" s="113"/>
      <c r="G100" s="113"/>
      <c r="H100" s="113"/>
      <c r="I100" s="113"/>
      <c r="J100" s="113"/>
      <c r="K100" s="113"/>
      <c r="L100" s="113"/>
      <c r="M100" s="113"/>
      <c r="N100" s="113"/>
      <c r="O100" s="113"/>
      <c r="P100" s="113"/>
      <c r="Q100" s="113"/>
      <c r="R100" s="113"/>
      <c r="S100" s="113"/>
      <c r="T100" s="113"/>
      <c r="U100" s="113"/>
      <c r="V100" s="113"/>
      <c r="W100" s="113"/>
      <c r="X100" s="113"/>
      <c r="Y100" s="113"/>
      <c r="Z100" s="113"/>
      <c r="AA100" s="113"/>
      <c r="AB100" s="113"/>
      <c r="AC100" s="113"/>
      <c r="AD100" s="113"/>
      <c r="AE100" s="113"/>
      <c r="AF100" s="113"/>
      <c r="AG100" s="113"/>
    </row>
    <row r="101" spans="1:33" ht="13.8">
      <c r="A101" s="113"/>
      <c r="B101" s="113"/>
      <c r="C101" s="113"/>
      <c r="D101" s="113"/>
      <c r="E101" s="113"/>
      <c r="F101" s="113"/>
      <c r="G101" s="113"/>
      <c r="H101" s="113"/>
      <c r="I101" s="113"/>
      <c r="J101" s="113"/>
      <c r="K101" s="113"/>
      <c r="L101" s="113"/>
      <c r="M101" s="113"/>
      <c r="N101" s="113"/>
      <c r="O101" s="113"/>
      <c r="P101" s="113"/>
      <c r="Q101" s="113"/>
      <c r="R101" s="113"/>
      <c r="S101" s="113"/>
      <c r="T101" s="113"/>
      <c r="U101" s="113"/>
      <c r="V101" s="113"/>
      <c r="W101" s="113"/>
      <c r="X101" s="113"/>
      <c r="Y101" s="113"/>
      <c r="Z101" s="113"/>
      <c r="AA101" s="113"/>
      <c r="AB101" s="113"/>
      <c r="AC101" s="113"/>
      <c r="AD101" s="113"/>
      <c r="AE101" s="113"/>
      <c r="AF101" s="113"/>
      <c r="AG101" s="113"/>
    </row>
    <row r="102" spans="1:33" ht="13.8">
      <c r="A102" s="113"/>
      <c r="B102" s="113"/>
      <c r="C102" s="113"/>
      <c r="D102" s="113"/>
      <c r="E102" s="113"/>
      <c r="F102" s="113"/>
      <c r="G102" s="113"/>
      <c r="H102" s="113"/>
      <c r="I102" s="113"/>
      <c r="J102" s="113"/>
      <c r="K102" s="113"/>
      <c r="L102" s="113"/>
      <c r="M102" s="113"/>
      <c r="N102" s="113"/>
      <c r="O102" s="113"/>
      <c r="P102" s="113"/>
      <c r="Q102" s="113"/>
      <c r="R102" s="113"/>
      <c r="S102" s="113"/>
      <c r="T102" s="113"/>
      <c r="U102" s="113"/>
      <c r="V102" s="113"/>
      <c r="W102" s="113"/>
      <c r="X102" s="113"/>
      <c r="Y102" s="113"/>
      <c r="Z102" s="113"/>
      <c r="AA102" s="113"/>
      <c r="AB102" s="113"/>
      <c r="AC102" s="113"/>
      <c r="AD102" s="113"/>
      <c r="AE102" s="113"/>
      <c r="AF102" s="113"/>
      <c r="AG102" s="113"/>
    </row>
    <row r="103" spans="1:33" ht="13.8">
      <c r="A103" s="113"/>
      <c r="B103" s="113"/>
      <c r="C103" s="113"/>
      <c r="D103" s="113"/>
      <c r="E103" s="113"/>
      <c r="F103" s="113"/>
      <c r="G103" s="113"/>
      <c r="H103" s="113"/>
      <c r="I103" s="113"/>
      <c r="J103" s="113"/>
      <c r="K103" s="113"/>
      <c r="L103" s="113"/>
      <c r="M103" s="113"/>
      <c r="N103" s="113"/>
      <c r="O103" s="113"/>
      <c r="P103" s="113"/>
      <c r="Q103" s="113"/>
      <c r="R103" s="113"/>
      <c r="S103" s="113"/>
      <c r="T103" s="113"/>
      <c r="U103" s="113"/>
      <c r="V103" s="113"/>
      <c r="W103" s="113"/>
      <c r="X103" s="113"/>
      <c r="Y103" s="113"/>
      <c r="Z103" s="113"/>
      <c r="AA103" s="113"/>
      <c r="AB103" s="113"/>
      <c r="AC103" s="113"/>
      <c r="AD103" s="113"/>
      <c r="AE103" s="113"/>
      <c r="AF103" s="113"/>
      <c r="AG103" s="113"/>
    </row>
    <row r="104" spans="1:33" ht="13.8">
      <c r="A104" s="113"/>
      <c r="B104" s="113"/>
      <c r="C104" s="113"/>
      <c r="D104" s="113"/>
      <c r="E104" s="113"/>
      <c r="F104" s="113"/>
      <c r="G104" s="113"/>
      <c r="H104" s="113"/>
      <c r="I104" s="113"/>
      <c r="J104" s="113"/>
      <c r="K104" s="113"/>
      <c r="L104" s="113"/>
      <c r="M104" s="113"/>
      <c r="N104" s="113"/>
      <c r="O104" s="113"/>
      <c r="P104" s="113"/>
      <c r="Q104" s="113"/>
      <c r="R104" s="113"/>
      <c r="S104" s="113"/>
      <c r="T104" s="113"/>
      <c r="U104" s="113"/>
      <c r="V104" s="113"/>
      <c r="W104" s="113"/>
      <c r="X104" s="113"/>
      <c r="Y104" s="113"/>
      <c r="Z104" s="113"/>
      <c r="AA104" s="113"/>
      <c r="AB104" s="113"/>
      <c r="AC104" s="113"/>
      <c r="AD104" s="113"/>
      <c r="AE104" s="113"/>
      <c r="AF104" s="113"/>
      <c r="AG104" s="113"/>
    </row>
    <row r="105" spans="1:33" ht="13.8">
      <c r="A105" s="113"/>
      <c r="B105" s="113"/>
      <c r="C105" s="113"/>
      <c r="D105" s="113"/>
      <c r="E105" s="113"/>
      <c r="F105" s="113"/>
      <c r="G105" s="113"/>
      <c r="H105" s="113"/>
      <c r="I105" s="113"/>
      <c r="J105" s="113"/>
      <c r="K105" s="113"/>
      <c r="L105" s="113"/>
      <c r="M105" s="113"/>
      <c r="N105" s="113"/>
      <c r="O105" s="113"/>
      <c r="P105" s="113"/>
      <c r="Q105" s="113"/>
      <c r="R105" s="113"/>
      <c r="S105" s="113"/>
      <c r="T105" s="113"/>
      <c r="U105" s="113"/>
      <c r="V105" s="113"/>
      <c r="W105" s="113"/>
      <c r="X105" s="113"/>
      <c r="Y105" s="113"/>
      <c r="Z105" s="113"/>
      <c r="AA105" s="113"/>
      <c r="AB105" s="113"/>
      <c r="AC105" s="113"/>
      <c r="AD105" s="113"/>
      <c r="AE105" s="113"/>
      <c r="AF105" s="113"/>
      <c r="AG105" s="113"/>
    </row>
    <row r="106" spans="1:33" ht="13.8">
      <c r="A106" s="113"/>
      <c r="B106" s="113"/>
      <c r="C106" s="113"/>
      <c r="D106" s="113"/>
      <c r="E106" s="113"/>
      <c r="F106" s="113"/>
      <c r="G106" s="113"/>
      <c r="H106" s="113"/>
      <c r="I106" s="113"/>
      <c r="J106" s="113"/>
      <c r="K106" s="113"/>
      <c r="L106" s="113"/>
      <c r="M106" s="113"/>
      <c r="N106" s="113"/>
      <c r="O106" s="113"/>
      <c r="P106" s="113"/>
      <c r="Q106" s="113"/>
      <c r="R106" s="113"/>
      <c r="S106" s="113"/>
      <c r="T106" s="113"/>
      <c r="U106" s="113"/>
      <c r="V106" s="113"/>
      <c r="W106" s="113"/>
      <c r="X106" s="113"/>
      <c r="Y106" s="113"/>
      <c r="Z106" s="113"/>
      <c r="AA106" s="113"/>
      <c r="AB106" s="113"/>
      <c r="AC106" s="113"/>
      <c r="AD106" s="113"/>
      <c r="AE106" s="113"/>
      <c r="AF106" s="113"/>
      <c r="AG106" s="113"/>
    </row>
    <row r="107" spans="1:33" ht="13.8">
      <c r="A107" s="113"/>
      <c r="B107" s="113"/>
      <c r="C107" s="113"/>
      <c r="D107" s="113"/>
      <c r="E107" s="113"/>
      <c r="F107" s="113"/>
      <c r="G107" s="113"/>
      <c r="H107" s="113"/>
      <c r="I107" s="113"/>
      <c r="J107" s="113"/>
      <c r="K107" s="113"/>
      <c r="L107" s="113"/>
      <c r="M107" s="113"/>
      <c r="N107" s="113"/>
      <c r="O107" s="113"/>
      <c r="P107" s="113"/>
      <c r="Q107" s="113"/>
      <c r="R107" s="113"/>
      <c r="S107" s="113"/>
      <c r="T107" s="113"/>
      <c r="U107" s="113"/>
      <c r="V107" s="113"/>
      <c r="W107" s="113"/>
      <c r="X107" s="113"/>
      <c r="Y107" s="113"/>
      <c r="Z107" s="113"/>
      <c r="AA107" s="113"/>
      <c r="AB107" s="113"/>
      <c r="AC107" s="113"/>
      <c r="AD107" s="113"/>
      <c r="AE107" s="113"/>
      <c r="AF107" s="113"/>
      <c r="AG107" s="113"/>
    </row>
    <row r="108" spans="1:33" ht="13.8">
      <c r="A108" s="113"/>
      <c r="B108" s="113"/>
      <c r="C108" s="113"/>
      <c r="D108" s="113"/>
      <c r="E108" s="113"/>
      <c r="F108" s="113"/>
      <c r="G108" s="113"/>
      <c r="H108" s="113"/>
      <c r="I108" s="113"/>
      <c r="J108" s="113"/>
      <c r="K108" s="113"/>
      <c r="L108" s="113"/>
      <c r="M108" s="113"/>
      <c r="N108" s="113"/>
      <c r="O108" s="113"/>
      <c r="P108" s="113"/>
      <c r="Q108" s="113"/>
      <c r="R108" s="113"/>
      <c r="S108" s="113"/>
      <c r="T108" s="113"/>
      <c r="U108" s="113"/>
      <c r="V108" s="113"/>
      <c r="W108" s="113"/>
      <c r="X108" s="113"/>
      <c r="Y108" s="113"/>
      <c r="Z108" s="113"/>
      <c r="AA108" s="113"/>
      <c r="AB108" s="113"/>
      <c r="AC108" s="113"/>
      <c r="AD108" s="113"/>
      <c r="AE108" s="113"/>
      <c r="AF108" s="113"/>
      <c r="AG108" s="113"/>
    </row>
    <row r="109" spans="1:33" ht="13.8">
      <c r="A109" s="113"/>
      <c r="B109" s="113"/>
      <c r="C109" s="113"/>
      <c r="D109" s="113"/>
      <c r="E109" s="113"/>
      <c r="F109" s="113"/>
      <c r="G109" s="113"/>
      <c r="H109" s="113"/>
      <c r="I109" s="113"/>
      <c r="J109" s="113"/>
      <c r="K109" s="113"/>
      <c r="L109" s="113"/>
      <c r="M109" s="113"/>
      <c r="N109" s="113"/>
      <c r="O109" s="113"/>
      <c r="P109" s="113"/>
      <c r="Q109" s="113"/>
      <c r="R109" s="113"/>
      <c r="S109" s="113"/>
      <c r="T109" s="113"/>
      <c r="U109" s="113"/>
      <c r="V109" s="113"/>
      <c r="W109" s="113"/>
      <c r="X109" s="113"/>
      <c r="Y109" s="113"/>
      <c r="Z109" s="113"/>
      <c r="AA109" s="113"/>
      <c r="AB109" s="113"/>
      <c r="AC109" s="113"/>
      <c r="AD109" s="113"/>
      <c r="AE109" s="113"/>
      <c r="AF109" s="113"/>
      <c r="AG109" s="113"/>
    </row>
    <row r="110" spans="1:33" ht="13.8">
      <c r="A110" s="113"/>
      <c r="B110" s="113"/>
      <c r="C110" s="113"/>
      <c r="D110" s="113"/>
      <c r="E110" s="113"/>
      <c r="F110" s="113"/>
      <c r="G110" s="113"/>
      <c r="H110" s="113"/>
      <c r="I110" s="113"/>
      <c r="J110" s="113"/>
      <c r="K110" s="113"/>
      <c r="L110" s="113"/>
      <c r="M110" s="113"/>
      <c r="N110" s="113"/>
      <c r="O110" s="113"/>
      <c r="P110" s="113"/>
      <c r="Q110" s="113"/>
      <c r="R110" s="113"/>
      <c r="S110" s="113"/>
      <c r="T110" s="113"/>
      <c r="U110" s="113"/>
      <c r="V110" s="113"/>
      <c r="W110" s="113"/>
      <c r="X110" s="113"/>
      <c r="Y110" s="113"/>
      <c r="Z110" s="113"/>
      <c r="AA110" s="113"/>
      <c r="AB110" s="113"/>
      <c r="AC110" s="113"/>
      <c r="AD110" s="113"/>
      <c r="AE110" s="113"/>
      <c r="AF110" s="113"/>
      <c r="AG110" s="113"/>
    </row>
    <row r="111" spans="1:33" ht="13.8">
      <c r="A111" s="113"/>
      <c r="B111" s="113"/>
      <c r="C111" s="113"/>
      <c r="D111" s="113"/>
      <c r="E111" s="113"/>
      <c r="F111" s="113"/>
      <c r="G111" s="113"/>
      <c r="H111" s="113"/>
      <c r="I111" s="113"/>
      <c r="J111" s="113"/>
      <c r="K111" s="113"/>
      <c r="L111" s="113"/>
      <c r="M111" s="113"/>
      <c r="N111" s="113"/>
      <c r="O111" s="113"/>
      <c r="P111" s="113"/>
      <c r="Q111" s="113"/>
      <c r="R111" s="113"/>
      <c r="S111" s="113"/>
      <c r="T111" s="113"/>
      <c r="U111" s="113"/>
      <c r="V111" s="113"/>
      <c r="W111" s="113"/>
      <c r="X111" s="113"/>
      <c r="Y111" s="113"/>
      <c r="Z111" s="113"/>
      <c r="AA111" s="113"/>
      <c r="AB111" s="113"/>
      <c r="AC111" s="113"/>
      <c r="AD111" s="113"/>
      <c r="AE111" s="113"/>
      <c r="AF111" s="113"/>
      <c r="AG111" s="113"/>
    </row>
    <row r="112" spans="1:33" ht="13.8">
      <c r="A112" s="113"/>
      <c r="B112" s="113"/>
      <c r="C112" s="113"/>
      <c r="D112" s="113"/>
      <c r="E112" s="113"/>
      <c r="F112" s="113"/>
      <c r="G112" s="113"/>
      <c r="H112" s="113"/>
      <c r="I112" s="113"/>
      <c r="J112" s="113"/>
      <c r="K112" s="113"/>
      <c r="L112" s="113"/>
      <c r="M112" s="113"/>
      <c r="N112" s="113"/>
      <c r="O112" s="113"/>
      <c r="P112" s="113"/>
      <c r="Q112" s="113"/>
      <c r="R112" s="113"/>
      <c r="S112" s="113"/>
      <c r="T112" s="113"/>
      <c r="U112" s="113"/>
      <c r="V112" s="113"/>
      <c r="W112" s="113"/>
      <c r="X112" s="113"/>
      <c r="Y112" s="113"/>
      <c r="Z112" s="113"/>
      <c r="AA112" s="113"/>
      <c r="AB112" s="113"/>
      <c r="AC112" s="113"/>
      <c r="AD112" s="113"/>
      <c r="AE112" s="113"/>
      <c r="AF112" s="113"/>
      <c r="AG112" s="113"/>
    </row>
    <row r="113" spans="1:33" ht="13.8">
      <c r="A113" s="113"/>
      <c r="B113" s="113"/>
      <c r="C113" s="113"/>
      <c r="D113" s="113"/>
      <c r="E113" s="113"/>
      <c r="F113" s="113"/>
      <c r="G113" s="113"/>
      <c r="H113" s="113"/>
      <c r="I113" s="113"/>
      <c r="J113" s="113"/>
      <c r="K113" s="113"/>
      <c r="L113" s="113"/>
      <c r="M113" s="113"/>
      <c r="N113" s="113"/>
      <c r="O113" s="113"/>
      <c r="P113" s="113"/>
      <c r="Q113" s="113"/>
      <c r="R113" s="113"/>
      <c r="S113" s="113"/>
      <c r="T113" s="113"/>
      <c r="U113" s="113"/>
      <c r="V113" s="113"/>
      <c r="W113" s="113"/>
      <c r="X113" s="113"/>
      <c r="Y113" s="113"/>
      <c r="Z113" s="113"/>
      <c r="AA113" s="113"/>
      <c r="AB113" s="113"/>
      <c r="AC113" s="113"/>
      <c r="AD113" s="113"/>
      <c r="AE113" s="113"/>
      <c r="AF113" s="113"/>
      <c r="AG113" s="113"/>
    </row>
    <row r="114" spans="1:33" ht="13.8">
      <c r="A114" s="113"/>
      <c r="B114" s="113"/>
      <c r="C114" s="113"/>
      <c r="D114" s="113"/>
      <c r="E114" s="113"/>
      <c r="F114" s="113"/>
      <c r="G114" s="113"/>
      <c r="H114" s="113"/>
      <c r="I114" s="113"/>
      <c r="J114" s="113"/>
      <c r="K114" s="113"/>
      <c r="L114" s="113"/>
      <c r="M114" s="113"/>
      <c r="N114" s="113"/>
      <c r="O114" s="113"/>
      <c r="P114" s="113"/>
      <c r="Q114" s="113"/>
      <c r="R114" s="113"/>
      <c r="S114" s="113"/>
      <c r="T114" s="113"/>
      <c r="U114" s="113"/>
      <c r="V114" s="113"/>
      <c r="W114" s="113"/>
      <c r="X114" s="113"/>
      <c r="Y114" s="113"/>
      <c r="Z114" s="113"/>
      <c r="AA114" s="113"/>
      <c r="AB114" s="113"/>
      <c r="AC114" s="113"/>
      <c r="AD114" s="113"/>
      <c r="AE114" s="113"/>
      <c r="AF114" s="113"/>
      <c r="AG114" s="113"/>
    </row>
    <row r="115" spans="1:33" ht="13.8">
      <c r="A115" s="113"/>
      <c r="B115" s="113"/>
      <c r="C115" s="113"/>
      <c r="D115" s="113"/>
      <c r="E115" s="113"/>
      <c r="F115" s="113"/>
      <c r="G115" s="113"/>
      <c r="H115" s="113"/>
      <c r="I115" s="113"/>
      <c r="J115" s="113"/>
      <c r="K115" s="113"/>
      <c r="L115" s="113"/>
      <c r="M115" s="113"/>
      <c r="N115" s="113"/>
      <c r="O115" s="113"/>
      <c r="P115" s="113"/>
      <c r="Q115" s="113"/>
      <c r="R115" s="113"/>
      <c r="S115" s="113"/>
      <c r="T115" s="113"/>
      <c r="U115" s="113"/>
      <c r="V115" s="113"/>
      <c r="W115" s="113"/>
      <c r="X115" s="113"/>
      <c r="Y115" s="113"/>
      <c r="Z115" s="113"/>
      <c r="AA115" s="113"/>
      <c r="AB115" s="113"/>
      <c r="AC115" s="113"/>
      <c r="AD115" s="113"/>
      <c r="AE115" s="113"/>
      <c r="AF115" s="113"/>
      <c r="AG115" s="113"/>
    </row>
    <row r="116" spans="1:33" ht="13.8">
      <c r="A116" s="113"/>
      <c r="B116" s="113"/>
      <c r="C116" s="113"/>
      <c r="D116" s="113"/>
      <c r="E116" s="113"/>
      <c r="F116" s="113"/>
      <c r="G116" s="113"/>
      <c r="H116" s="113"/>
      <c r="I116" s="113"/>
      <c r="J116" s="113"/>
      <c r="K116" s="113"/>
      <c r="L116" s="113"/>
      <c r="M116" s="113"/>
      <c r="N116" s="113"/>
      <c r="O116" s="113"/>
      <c r="P116" s="113"/>
      <c r="Q116" s="113"/>
      <c r="R116" s="113"/>
      <c r="S116" s="113"/>
      <c r="T116" s="113"/>
      <c r="U116" s="113"/>
      <c r="V116" s="113"/>
      <c r="W116" s="113"/>
      <c r="X116" s="113"/>
      <c r="Y116" s="113"/>
      <c r="Z116" s="113"/>
      <c r="AA116" s="113"/>
      <c r="AB116" s="113"/>
      <c r="AC116" s="113"/>
      <c r="AD116" s="113"/>
      <c r="AE116" s="113"/>
      <c r="AF116" s="113"/>
      <c r="AG116" s="113"/>
    </row>
    <row r="117" spans="1:33" ht="13.8">
      <c r="A117" s="113"/>
      <c r="B117" s="113"/>
      <c r="C117" s="113"/>
      <c r="D117" s="113"/>
      <c r="E117" s="113"/>
      <c r="F117" s="113"/>
      <c r="G117" s="113"/>
      <c r="H117" s="113"/>
      <c r="I117" s="113"/>
      <c r="J117" s="113"/>
      <c r="K117" s="113"/>
      <c r="L117" s="113"/>
      <c r="M117" s="113"/>
      <c r="N117" s="113"/>
      <c r="O117" s="113"/>
      <c r="P117" s="113"/>
      <c r="Q117" s="113"/>
      <c r="R117" s="113"/>
      <c r="S117" s="113"/>
      <c r="T117" s="113"/>
      <c r="U117" s="113"/>
      <c r="V117" s="113"/>
      <c r="W117" s="113"/>
      <c r="X117" s="113"/>
      <c r="Y117" s="113"/>
      <c r="Z117" s="113"/>
      <c r="AA117" s="113"/>
      <c r="AB117" s="113"/>
      <c r="AC117" s="113"/>
      <c r="AD117" s="113"/>
      <c r="AE117" s="113"/>
      <c r="AF117" s="113"/>
      <c r="AG117" s="113"/>
    </row>
    <row r="118" spans="1:33" ht="13.8">
      <c r="A118" s="113"/>
      <c r="B118" s="113"/>
      <c r="C118" s="113"/>
      <c r="D118" s="113"/>
      <c r="E118" s="113"/>
      <c r="F118" s="113"/>
      <c r="G118" s="113"/>
      <c r="H118" s="113"/>
      <c r="I118" s="113"/>
      <c r="J118" s="113"/>
      <c r="K118" s="113"/>
      <c r="L118" s="113"/>
      <c r="M118" s="113"/>
      <c r="N118" s="113"/>
      <c r="O118" s="113"/>
      <c r="P118" s="113"/>
      <c r="Q118" s="113"/>
      <c r="R118" s="113"/>
      <c r="S118" s="113"/>
      <c r="T118" s="113"/>
      <c r="U118" s="113"/>
      <c r="V118" s="113"/>
      <c r="W118" s="113"/>
      <c r="X118" s="113"/>
      <c r="Y118" s="113"/>
      <c r="Z118" s="113"/>
      <c r="AA118" s="113"/>
      <c r="AB118" s="113"/>
      <c r="AC118" s="113"/>
      <c r="AD118" s="113"/>
      <c r="AE118" s="113"/>
      <c r="AF118" s="113"/>
      <c r="AG118" s="113"/>
    </row>
    <row r="119" spans="1:33" ht="13.8">
      <c r="A119" s="113"/>
      <c r="B119" s="113"/>
      <c r="C119" s="113"/>
      <c r="D119" s="113"/>
      <c r="E119" s="113"/>
      <c r="F119" s="113"/>
      <c r="G119" s="113"/>
      <c r="H119" s="113"/>
      <c r="I119" s="113"/>
      <c r="J119" s="113"/>
      <c r="K119" s="113"/>
      <c r="L119" s="113"/>
      <c r="M119" s="113"/>
      <c r="N119" s="113"/>
      <c r="O119" s="113"/>
      <c r="P119" s="113"/>
      <c r="Q119" s="113"/>
      <c r="R119" s="113"/>
      <c r="S119" s="113"/>
      <c r="T119" s="113"/>
      <c r="U119" s="113"/>
      <c r="V119" s="113"/>
      <c r="W119" s="113"/>
      <c r="X119" s="113"/>
      <c r="Y119" s="113"/>
      <c r="Z119" s="113"/>
      <c r="AA119" s="113"/>
      <c r="AB119" s="113"/>
      <c r="AC119" s="113"/>
      <c r="AD119" s="113"/>
      <c r="AE119" s="113"/>
      <c r="AF119" s="113"/>
      <c r="AG119" s="113"/>
    </row>
    <row r="120" spans="1:33" ht="13.8">
      <c r="A120" s="113"/>
      <c r="B120" s="113"/>
      <c r="C120" s="113"/>
      <c r="D120" s="113"/>
      <c r="E120" s="113"/>
      <c r="F120" s="113"/>
      <c r="G120" s="113"/>
      <c r="H120" s="113"/>
      <c r="I120" s="113"/>
      <c r="J120" s="113"/>
      <c r="K120" s="113"/>
      <c r="L120" s="113"/>
      <c r="M120" s="113"/>
      <c r="N120" s="113"/>
      <c r="O120" s="113"/>
      <c r="P120" s="113"/>
      <c r="Q120" s="113"/>
      <c r="R120" s="113"/>
      <c r="S120" s="113"/>
      <c r="T120" s="113"/>
      <c r="U120" s="113"/>
      <c r="V120" s="113"/>
      <c r="W120" s="113"/>
      <c r="X120" s="113"/>
      <c r="Y120" s="113"/>
      <c r="Z120" s="113"/>
      <c r="AA120" s="113"/>
      <c r="AB120" s="113"/>
      <c r="AC120" s="113"/>
      <c r="AD120" s="113"/>
      <c r="AE120" s="113"/>
      <c r="AF120" s="113"/>
      <c r="AG120" s="113"/>
    </row>
    <row r="121" spans="1:33" ht="13.8">
      <c r="A121" s="113"/>
      <c r="B121" s="113"/>
      <c r="C121" s="113"/>
      <c r="D121" s="113"/>
      <c r="E121" s="113"/>
      <c r="F121" s="113"/>
      <c r="G121" s="113"/>
      <c r="H121" s="113"/>
      <c r="I121" s="113"/>
      <c r="J121" s="113"/>
      <c r="K121" s="113"/>
      <c r="L121" s="113"/>
      <c r="M121" s="113"/>
      <c r="N121" s="113"/>
      <c r="O121" s="113"/>
      <c r="P121" s="113"/>
      <c r="Q121" s="113"/>
      <c r="R121" s="113"/>
      <c r="S121" s="113"/>
      <c r="T121" s="113"/>
      <c r="U121" s="113"/>
      <c r="V121" s="113"/>
      <c r="W121" s="113"/>
      <c r="X121" s="113"/>
      <c r="Y121" s="113"/>
      <c r="Z121" s="113"/>
      <c r="AA121" s="113"/>
      <c r="AB121" s="113"/>
      <c r="AC121" s="113"/>
      <c r="AD121" s="113"/>
      <c r="AE121" s="113"/>
      <c r="AF121" s="113"/>
      <c r="AG121" s="113"/>
    </row>
    <row r="122" spans="1:33" ht="13.8">
      <c r="A122" s="113"/>
      <c r="B122" s="113"/>
      <c r="C122" s="113"/>
      <c r="D122" s="113"/>
      <c r="E122" s="113"/>
      <c r="F122" s="113"/>
      <c r="G122" s="113"/>
      <c r="H122" s="113"/>
      <c r="I122" s="113"/>
      <c r="J122" s="113"/>
      <c r="K122" s="113"/>
      <c r="L122" s="113"/>
      <c r="M122" s="113"/>
      <c r="N122" s="113"/>
      <c r="O122" s="113"/>
      <c r="P122" s="113"/>
      <c r="Q122" s="113"/>
      <c r="R122" s="113"/>
      <c r="S122" s="113"/>
      <c r="T122" s="113"/>
      <c r="U122" s="113"/>
      <c r="V122" s="113"/>
      <c r="W122" s="113"/>
      <c r="X122" s="113"/>
      <c r="Y122" s="113"/>
      <c r="Z122" s="113"/>
      <c r="AA122" s="113"/>
      <c r="AB122" s="113"/>
      <c r="AC122" s="113"/>
      <c r="AD122" s="113"/>
      <c r="AE122" s="113"/>
      <c r="AF122" s="113"/>
      <c r="AG122" s="113"/>
    </row>
    <row r="123" spans="1:33" ht="13.8">
      <c r="A123" s="113"/>
      <c r="B123" s="113"/>
      <c r="C123" s="113"/>
      <c r="D123" s="113"/>
      <c r="E123" s="113"/>
      <c r="F123" s="113"/>
      <c r="G123" s="113"/>
      <c r="H123" s="113"/>
      <c r="I123" s="113"/>
      <c r="J123" s="113"/>
      <c r="K123" s="113"/>
      <c r="L123" s="113"/>
      <c r="M123" s="113"/>
      <c r="N123" s="113"/>
      <c r="O123" s="113"/>
      <c r="P123" s="113"/>
      <c r="Q123" s="113"/>
      <c r="R123" s="113"/>
      <c r="S123" s="113"/>
      <c r="T123" s="113"/>
      <c r="U123" s="113"/>
      <c r="V123" s="113"/>
      <c r="W123" s="113"/>
      <c r="X123" s="113"/>
      <c r="Y123" s="113"/>
      <c r="Z123" s="113"/>
      <c r="AA123" s="113"/>
      <c r="AB123" s="113"/>
      <c r="AC123" s="113"/>
      <c r="AD123" s="113"/>
      <c r="AE123" s="113"/>
      <c r="AF123" s="113"/>
      <c r="AG123" s="113"/>
    </row>
    <row r="124" spans="1:33" ht="13.8">
      <c r="A124" s="113"/>
      <c r="B124" s="113"/>
      <c r="C124" s="113"/>
      <c r="D124" s="113"/>
      <c r="E124" s="113"/>
      <c r="F124" s="113"/>
      <c r="G124" s="113"/>
      <c r="H124" s="113"/>
      <c r="I124" s="113"/>
      <c r="J124" s="113"/>
      <c r="K124" s="113"/>
      <c r="L124" s="113"/>
      <c r="M124" s="113"/>
      <c r="N124" s="113"/>
      <c r="O124" s="113"/>
      <c r="P124" s="113"/>
      <c r="Q124" s="113"/>
      <c r="R124" s="113"/>
      <c r="S124" s="113"/>
      <c r="T124" s="113"/>
      <c r="U124" s="113"/>
      <c r="V124" s="113"/>
      <c r="W124" s="113"/>
      <c r="X124" s="113"/>
      <c r="Y124" s="113"/>
      <c r="Z124" s="113"/>
      <c r="AA124" s="113"/>
      <c r="AB124" s="113"/>
      <c r="AC124" s="113"/>
      <c r="AD124" s="113"/>
      <c r="AE124" s="113"/>
      <c r="AF124" s="113"/>
      <c r="AG124" s="113"/>
    </row>
    <row r="125" spans="1:33" ht="13.8">
      <c r="A125" s="113"/>
      <c r="B125" s="113"/>
      <c r="C125" s="113"/>
      <c r="D125" s="113"/>
      <c r="E125" s="113"/>
      <c r="F125" s="113"/>
      <c r="G125" s="113"/>
      <c r="H125" s="113"/>
      <c r="I125" s="113"/>
      <c r="J125" s="113"/>
      <c r="K125" s="113"/>
      <c r="L125" s="113"/>
      <c r="M125" s="113"/>
      <c r="N125" s="113"/>
      <c r="O125" s="113"/>
      <c r="P125" s="113"/>
      <c r="Q125" s="113"/>
      <c r="R125" s="113"/>
      <c r="S125" s="113"/>
      <c r="T125" s="113"/>
      <c r="U125" s="113"/>
      <c r="V125" s="113"/>
      <c r="W125" s="113"/>
      <c r="X125" s="113"/>
      <c r="Y125" s="113"/>
      <c r="Z125" s="113"/>
      <c r="AA125" s="113"/>
      <c r="AB125" s="113"/>
      <c r="AC125" s="113"/>
      <c r="AD125" s="113"/>
      <c r="AE125" s="113"/>
      <c r="AF125" s="113"/>
      <c r="AG125" s="113"/>
    </row>
    <row r="126" spans="1:33" ht="13.8">
      <c r="A126" s="113"/>
      <c r="B126" s="113"/>
      <c r="C126" s="113"/>
      <c r="D126" s="113"/>
      <c r="E126" s="113"/>
      <c r="F126" s="113"/>
      <c r="G126" s="113"/>
      <c r="H126" s="113"/>
      <c r="I126" s="113"/>
      <c r="J126" s="113"/>
      <c r="K126" s="113"/>
      <c r="L126" s="113"/>
      <c r="M126" s="113"/>
      <c r="N126" s="113"/>
      <c r="O126" s="113"/>
      <c r="P126" s="113"/>
      <c r="Q126" s="113"/>
      <c r="R126" s="113"/>
      <c r="S126" s="113"/>
      <c r="T126" s="113"/>
      <c r="U126" s="113"/>
      <c r="V126" s="113"/>
      <c r="W126" s="113"/>
      <c r="X126" s="113"/>
      <c r="Y126" s="113"/>
      <c r="Z126" s="113"/>
      <c r="AA126" s="113"/>
      <c r="AB126" s="113"/>
      <c r="AC126" s="113"/>
      <c r="AD126" s="113"/>
      <c r="AE126" s="113"/>
      <c r="AF126" s="113"/>
      <c r="AG126" s="113"/>
    </row>
    <row r="127" spans="1:33" ht="13.8">
      <c r="A127" s="113"/>
      <c r="B127" s="113"/>
      <c r="C127" s="113"/>
      <c r="D127" s="113"/>
      <c r="E127" s="113"/>
      <c r="F127" s="113"/>
      <c r="G127" s="113"/>
      <c r="H127" s="113"/>
      <c r="I127" s="113"/>
      <c r="J127" s="113"/>
      <c r="K127" s="113"/>
      <c r="L127" s="113"/>
      <c r="M127" s="113"/>
      <c r="N127" s="113"/>
      <c r="O127" s="113"/>
      <c r="P127" s="113"/>
      <c r="Q127" s="113"/>
      <c r="R127" s="113"/>
      <c r="S127" s="113"/>
      <c r="T127" s="113"/>
      <c r="U127" s="113"/>
      <c r="V127" s="113"/>
      <c r="W127" s="113"/>
      <c r="X127" s="113"/>
      <c r="Y127" s="113"/>
      <c r="Z127" s="113"/>
      <c r="AA127" s="113"/>
      <c r="AB127" s="113"/>
      <c r="AC127" s="113"/>
      <c r="AD127" s="113"/>
      <c r="AE127" s="113"/>
      <c r="AF127" s="113"/>
      <c r="AG127" s="113"/>
    </row>
    <row r="128" spans="1:33" ht="13.8">
      <c r="A128" s="113"/>
      <c r="B128" s="113"/>
      <c r="C128" s="113"/>
      <c r="D128" s="113"/>
      <c r="E128" s="113"/>
      <c r="F128" s="113"/>
      <c r="G128" s="113"/>
      <c r="H128" s="113"/>
      <c r="I128" s="113"/>
      <c r="J128" s="113"/>
      <c r="K128" s="113"/>
      <c r="L128" s="113"/>
      <c r="M128" s="113"/>
      <c r="N128" s="113"/>
      <c r="O128" s="113"/>
      <c r="P128" s="113"/>
      <c r="Q128" s="113"/>
      <c r="R128" s="113"/>
      <c r="S128" s="113"/>
      <c r="T128" s="113"/>
      <c r="U128" s="113"/>
      <c r="V128" s="113"/>
      <c r="W128" s="113"/>
      <c r="X128" s="113"/>
      <c r="Y128" s="113"/>
      <c r="Z128" s="113"/>
      <c r="AA128" s="113"/>
      <c r="AB128" s="113"/>
      <c r="AC128" s="113"/>
      <c r="AD128" s="113"/>
      <c r="AE128" s="113"/>
      <c r="AF128" s="113"/>
      <c r="AG128" s="113"/>
    </row>
    <row r="129" spans="1:33" ht="13.8">
      <c r="A129" s="113"/>
      <c r="B129" s="113"/>
      <c r="C129" s="113"/>
      <c r="D129" s="113"/>
      <c r="E129" s="113"/>
      <c r="F129" s="113"/>
      <c r="G129" s="113"/>
      <c r="H129" s="113"/>
      <c r="I129" s="113"/>
      <c r="J129" s="113"/>
      <c r="K129" s="113"/>
      <c r="L129" s="113"/>
      <c r="M129" s="113"/>
      <c r="N129" s="113"/>
      <c r="O129" s="113"/>
      <c r="P129" s="113"/>
      <c r="Q129" s="113"/>
      <c r="R129" s="113"/>
      <c r="S129" s="113"/>
      <c r="T129" s="113"/>
      <c r="U129" s="113"/>
      <c r="V129" s="113"/>
      <c r="W129" s="113"/>
      <c r="X129" s="113"/>
      <c r="Y129" s="113"/>
      <c r="Z129" s="113"/>
      <c r="AA129" s="113"/>
      <c r="AB129" s="113"/>
      <c r="AC129" s="113"/>
      <c r="AD129" s="113"/>
      <c r="AE129" s="113"/>
      <c r="AF129" s="113"/>
      <c r="AG129" s="113"/>
    </row>
    <row r="130" spans="1:33" ht="13.8">
      <c r="A130" s="113"/>
      <c r="B130" s="113"/>
      <c r="C130" s="113"/>
      <c r="D130" s="113"/>
      <c r="E130" s="113"/>
      <c r="F130" s="113"/>
      <c r="G130" s="113"/>
      <c r="H130" s="113"/>
      <c r="I130" s="113"/>
      <c r="J130" s="113"/>
      <c r="K130" s="113"/>
      <c r="L130" s="113"/>
      <c r="M130" s="113"/>
      <c r="N130" s="113"/>
      <c r="O130" s="113"/>
      <c r="P130" s="113"/>
      <c r="Q130" s="113"/>
      <c r="R130" s="113"/>
      <c r="S130" s="113"/>
      <c r="T130" s="113"/>
      <c r="U130" s="113"/>
      <c r="V130" s="113"/>
      <c r="W130" s="113"/>
      <c r="X130" s="113"/>
      <c r="Y130" s="113"/>
      <c r="Z130" s="113"/>
      <c r="AA130" s="113"/>
      <c r="AB130" s="113"/>
      <c r="AC130" s="113"/>
      <c r="AD130" s="113"/>
      <c r="AE130" s="113"/>
      <c r="AF130" s="113"/>
      <c r="AG130" s="113"/>
    </row>
    <row r="131" spans="1:33" ht="13.8">
      <c r="A131" s="113"/>
      <c r="B131" s="113"/>
      <c r="C131" s="113"/>
      <c r="D131" s="113"/>
      <c r="E131" s="113"/>
      <c r="F131" s="113"/>
      <c r="G131" s="113"/>
      <c r="H131" s="113"/>
      <c r="I131" s="113"/>
      <c r="J131" s="113"/>
      <c r="K131" s="113"/>
      <c r="L131" s="113"/>
      <c r="M131" s="113"/>
      <c r="N131" s="113"/>
      <c r="O131" s="113"/>
      <c r="P131" s="113"/>
      <c r="Q131" s="113"/>
      <c r="R131" s="113"/>
      <c r="S131" s="113"/>
      <c r="T131" s="113"/>
      <c r="U131" s="113"/>
      <c r="V131" s="113"/>
      <c r="W131" s="113"/>
      <c r="X131" s="113"/>
      <c r="Y131" s="113"/>
      <c r="Z131" s="113"/>
      <c r="AA131" s="113"/>
      <c r="AB131" s="113"/>
      <c r="AC131" s="113"/>
      <c r="AD131" s="113"/>
      <c r="AE131" s="113"/>
      <c r="AF131" s="113"/>
      <c r="AG131" s="113"/>
    </row>
    <row r="132" spans="1:33" ht="13.8">
      <c r="A132" s="113"/>
      <c r="B132" s="113"/>
      <c r="C132" s="113"/>
      <c r="D132" s="113"/>
      <c r="E132" s="113"/>
      <c r="F132" s="113"/>
      <c r="G132" s="113"/>
      <c r="H132" s="113"/>
      <c r="I132" s="113"/>
      <c r="J132" s="113"/>
      <c r="K132" s="113"/>
      <c r="L132" s="113"/>
      <c r="M132" s="113"/>
      <c r="N132" s="113"/>
      <c r="O132" s="113"/>
      <c r="P132" s="113"/>
      <c r="Q132" s="113"/>
      <c r="R132" s="113"/>
      <c r="S132" s="113"/>
      <c r="T132" s="113"/>
      <c r="U132" s="113"/>
      <c r="V132" s="113"/>
      <c r="W132" s="113"/>
      <c r="X132" s="113"/>
      <c r="Y132" s="113"/>
      <c r="Z132" s="113"/>
      <c r="AA132" s="113"/>
      <c r="AB132" s="113"/>
      <c r="AC132" s="113"/>
      <c r="AD132" s="113"/>
      <c r="AE132" s="113"/>
      <c r="AF132" s="113"/>
      <c r="AG132" s="113"/>
    </row>
    <row r="133" spans="1:33" ht="13.8">
      <c r="A133" s="113"/>
      <c r="B133" s="113"/>
      <c r="C133" s="113"/>
      <c r="D133" s="113"/>
      <c r="E133" s="113"/>
      <c r="F133" s="113"/>
      <c r="G133" s="113"/>
      <c r="H133" s="113"/>
      <c r="I133" s="113"/>
      <c r="J133" s="113"/>
      <c r="K133" s="113"/>
      <c r="L133" s="113"/>
      <c r="M133" s="113"/>
      <c r="N133" s="113"/>
      <c r="O133" s="113"/>
      <c r="P133" s="113"/>
      <c r="Q133" s="113"/>
      <c r="R133" s="113"/>
      <c r="S133" s="113"/>
      <c r="T133" s="113"/>
      <c r="U133" s="113"/>
      <c r="V133" s="113"/>
      <c r="W133" s="113"/>
      <c r="X133" s="113"/>
      <c r="Y133" s="113"/>
      <c r="Z133" s="113"/>
      <c r="AA133" s="113"/>
      <c r="AB133" s="113"/>
      <c r="AC133" s="113"/>
      <c r="AD133" s="113"/>
      <c r="AE133" s="113"/>
      <c r="AF133" s="113"/>
      <c r="AG133" s="113"/>
    </row>
    <row r="134" spans="1:33" ht="13.8">
      <c r="A134" s="113"/>
      <c r="B134" s="113"/>
      <c r="C134" s="113"/>
      <c r="D134" s="113"/>
      <c r="E134" s="113"/>
      <c r="F134" s="113"/>
      <c r="G134" s="113"/>
      <c r="H134" s="113"/>
      <c r="I134" s="113"/>
      <c r="J134" s="113"/>
      <c r="K134" s="113"/>
      <c r="L134" s="113"/>
      <c r="M134" s="113"/>
      <c r="N134" s="113"/>
      <c r="O134" s="113"/>
      <c r="P134" s="113"/>
      <c r="Q134" s="113"/>
      <c r="R134" s="113"/>
      <c r="S134" s="113"/>
      <c r="T134" s="113"/>
      <c r="U134" s="113"/>
      <c r="V134" s="113"/>
      <c r="W134" s="113"/>
      <c r="X134" s="113"/>
      <c r="Y134" s="113"/>
      <c r="Z134" s="113"/>
      <c r="AA134" s="113"/>
      <c r="AB134" s="113"/>
      <c r="AC134" s="113"/>
      <c r="AD134" s="113"/>
      <c r="AE134" s="113"/>
      <c r="AF134" s="113"/>
      <c r="AG134" s="113"/>
    </row>
    <row r="135" spans="1:33" ht="13.8">
      <c r="A135" s="113"/>
      <c r="B135" s="113"/>
      <c r="C135" s="113"/>
      <c r="D135" s="113"/>
      <c r="E135" s="113"/>
      <c r="F135" s="113"/>
      <c r="G135" s="113"/>
      <c r="H135" s="113"/>
      <c r="I135" s="113"/>
      <c r="J135" s="113"/>
      <c r="K135" s="113"/>
      <c r="L135" s="113"/>
      <c r="M135" s="113"/>
      <c r="N135" s="113"/>
      <c r="O135" s="113"/>
      <c r="P135" s="113"/>
      <c r="Q135" s="113"/>
      <c r="R135" s="113"/>
      <c r="S135" s="113"/>
      <c r="T135" s="113"/>
      <c r="U135" s="113"/>
      <c r="V135" s="113"/>
      <c r="W135" s="113"/>
      <c r="X135" s="113"/>
      <c r="Y135" s="113"/>
      <c r="Z135" s="113"/>
      <c r="AA135" s="113"/>
      <c r="AB135" s="113"/>
      <c r="AC135" s="113"/>
      <c r="AD135" s="113"/>
      <c r="AE135" s="113"/>
      <c r="AF135" s="113"/>
      <c r="AG135" s="113"/>
    </row>
    <row r="136" spans="1:33" ht="13.8">
      <c r="A136" s="113"/>
      <c r="B136" s="113"/>
      <c r="C136" s="113"/>
      <c r="D136" s="113"/>
      <c r="E136" s="113"/>
      <c r="F136" s="113"/>
      <c r="G136" s="113"/>
      <c r="H136" s="113"/>
      <c r="I136" s="113"/>
      <c r="J136" s="113"/>
      <c r="K136" s="113"/>
      <c r="L136" s="113"/>
      <c r="M136" s="113"/>
      <c r="N136" s="113"/>
      <c r="O136" s="113"/>
      <c r="P136" s="113"/>
      <c r="Q136" s="113"/>
      <c r="R136" s="113"/>
      <c r="S136" s="113"/>
      <c r="T136" s="113"/>
      <c r="U136" s="113"/>
      <c r="V136" s="113"/>
      <c r="W136" s="113"/>
      <c r="X136" s="113"/>
      <c r="Y136" s="113"/>
      <c r="Z136" s="113"/>
      <c r="AA136" s="113"/>
      <c r="AB136" s="113"/>
      <c r="AC136" s="113"/>
      <c r="AD136" s="113"/>
      <c r="AE136" s="113"/>
      <c r="AF136" s="113"/>
      <c r="AG136" s="113"/>
    </row>
    <row r="137" spans="1:33" ht="13.8">
      <c r="A137" s="113"/>
      <c r="B137" s="113"/>
      <c r="C137" s="113"/>
      <c r="D137" s="113"/>
      <c r="E137" s="113"/>
      <c r="F137" s="113"/>
      <c r="G137" s="113"/>
      <c r="H137" s="113"/>
      <c r="I137" s="113"/>
      <c r="J137" s="113"/>
      <c r="K137" s="113"/>
      <c r="L137" s="113"/>
      <c r="M137" s="113"/>
      <c r="N137" s="113"/>
      <c r="O137" s="113"/>
      <c r="P137" s="113"/>
      <c r="Q137" s="113"/>
      <c r="R137" s="113"/>
      <c r="S137" s="113"/>
      <c r="T137" s="113"/>
      <c r="U137" s="113"/>
      <c r="V137" s="113"/>
      <c r="W137" s="113"/>
      <c r="X137" s="113"/>
      <c r="Y137" s="113"/>
      <c r="Z137" s="113"/>
      <c r="AA137" s="113"/>
      <c r="AB137" s="113"/>
      <c r="AC137" s="113"/>
      <c r="AD137" s="113"/>
      <c r="AE137" s="113"/>
      <c r="AF137" s="113"/>
      <c r="AG137" s="113"/>
    </row>
    <row r="138" spans="1:33" ht="13.8">
      <c r="A138" s="113"/>
      <c r="B138" s="113"/>
      <c r="C138" s="113"/>
      <c r="D138" s="113"/>
      <c r="E138" s="113"/>
      <c r="F138" s="113"/>
      <c r="G138" s="113"/>
      <c r="H138" s="113"/>
      <c r="I138" s="113"/>
      <c r="J138" s="113"/>
      <c r="K138" s="113"/>
      <c r="L138" s="113"/>
      <c r="M138" s="113"/>
      <c r="N138" s="113"/>
      <c r="O138" s="113"/>
      <c r="P138" s="113"/>
      <c r="Q138" s="113"/>
      <c r="R138" s="113"/>
      <c r="S138" s="113"/>
      <c r="T138" s="113"/>
      <c r="U138" s="113"/>
      <c r="V138" s="113"/>
      <c r="W138" s="113"/>
      <c r="X138" s="113"/>
      <c r="Y138" s="113"/>
      <c r="Z138" s="113"/>
      <c r="AA138" s="113"/>
      <c r="AB138" s="113"/>
      <c r="AC138" s="113"/>
      <c r="AD138" s="113"/>
      <c r="AE138" s="113"/>
      <c r="AF138" s="113"/>
      <c r="AG138" s="113"/>
    </row>
    <row r="139" spans="1:33" ht="13.8">
      <c r="A139" s="113"/>
      <c r="B139" s="113"/>
      <c r="C139" s="113"/>
      <c r="D139" s="113"/>
      <c r="E139" s="113"/>
      <c r="F139" s="113"/>
      <c r="G139" s="113"/>
      <c r="H139" s="113"/>
      <c r="I139" s="113"/>
      <c r="J139" s="113"/>
      <c r="K139" s="113"/>
      <c r="L139" s="113"/>
      <c r="M139" s="113"/>
      <c r="N139" s="113"/>
      <c r="O139" s="113"/>
      <c r="P139" s="113"/>
      <c r="Q139" s="113"/>
      <c r="R139" s="113"/>
      <c r="S139" s="113"/>
      <c r="T139" s="113"/>
      <c r="U139" s="113"/>
      <c r="V139" s="113"/>
      <c r="W139" s="113"/>
      <c r="X139" s="113"/>
      <c r="Y139" s="113"/>
      <c r="Z139" s="113"/>
      <c r="AA139" s="113"/>
      <c r="AB139" s="113"/>
      <c r="AC139" s="113"/>
      <c r="AD139" s="113"/>
      <c r="AE139" s="113"/>
      <c r="AF139" s="113"/>
      <c r="AG139" s="113"/>
    </row>
    <row r="140" spans="1:33" ht="13.8">
      <c r="A140" s="113"/>
      <c r="B140" s="113"/>
      <c r="C140" s="113"/>
      <c r="D140" s="113"/>
      <c r="E140" s="113"/>
      <c r="F140" s="113"/>
      <c r="G140" s="113"/>
      <c r="H140" s="113"/>
      <c r="I140" s="113"/>
      <c r="J140" s="113"/>
      <c r="K140" s="113"/>
      <c r="L140" s="113"/>
      <c r="M140" s="113"/>
      <c r="N140" s="113"/>
      <c r="O140" s="113"/>
      <c r="P140" s="113"/>
      <c r="Q140" s="113"/>
      <c r="R140" s="113"/>
      <c r="S140" s="113"/>
      <c r="T140" s="113"/>
      <c r="U140" s="113"/>
      <c r="V140" s="113"/>
      <c r="W140" s="113"/>
      <c r="X140" s="113"/>
      <c r="Y140" s="113"/>
      <c r="Z140" s="113"/>
      <c r="AA140" s="113"/>
      <c r="AB140" s="113"/>
      <c r="AC140" s="113"/>
      <c r="AD140" s="113"/>
      <c r="AE140" s="113"/>
      <c r="AF140" s="113"/>
      <c r="AG140" s="113"/>
    </row>
    <row r="141" spans="1:33" ht="13.8">
      <c r="A141" s="113"/>
      <c r="B141" s="113"/>
      <c r="C141" s="113"/>
      <c r="D141" s="113"/>
      <c r="E141" s="113"/>
      <c r="F141" s="113"/>
      <c r="G141" s="113"/>
      <c r="H141" s="113"/>
      <c r="I141" s="113"/>
      <c r="J141" s="113"/>
      <c r="K141" s="113"/>
      <c r="L141" s="113"/>
      <c r="M141" s="113"/>
      <c r="N141" s="113"/>
      <c r="O141" s="113"/>
      <c r="P141" s="113"/>
      <c r="Q141" s="113"/>
      <c r="R141" s="113"/>
      <c r="S141" s="113"/>
      <c r="T141" s="113"/>
      <c r="U141" s="113"/>
      <c r="V141" s="113"/>
      <c r="W141" s="113"/>
      <c r="X141" s="113"/>
      <c r="Y141" s="113"/>
      <c r="Z141" s="113"/>
      <c r="AA141" s="113"/>
      <c r="AB141" s="113"/>
      <c r="AC141" s="113"/>
      <c r="AD141" s="113"/>
      <c r="AE141" s="113"/>
      <c r="AF141" s="113"/>
      <c r="AG141" s="113"/>
    </row>
    <row r="142" spans="1:33" ht="13.8">
      <c r="A142" s="113"/>
      <c r="B142" s="113"/>
      <c r="C142" s="113"/>
      <c r="D142" s="113"/>
      <c r="E142" s="113"/>
      <c r="F142" s="113"/>
      <c r="G142" s="113"/>
      <c r="H142" s="113"/>
      <c r="I142" s="113"/>
      <c r="J142" s="113"/>
      <c r="K142" s="113"/>
      <c r="L142" s="113"/>
      <c r="M142" s="113"/>
      <c r="N142" s="113"/>
      <c r="O142" s="113"/>
      <c r="P142" s="113"/>
      <c r="Q142" s="113"/>
      <c r="R142" s="113"/>
      <c r="S142" s="113"/>
      <c r="T142" s="113"/>
      <c r="U142" s="113"/>
      <c r="V142" s="113"/>
      <c r="W142" s="113"/>
      <c r="X142" s="113"/>
      <c r="Y142" s="113"/>
      <c r="Z142" s="113"/>
      <c r="AA142" s="113"/>
      <c r="AB142" s="113"/>
      <c r="AC142" s="113"/>
      <c r="AD142" s="113"/>
      <c r="AE142" s="113"/>
      <c r="AF142" s="113"/>
      <c r="AG142" s="113"/>
    </row>
    <row r="143" spans="1:33" ht="13.8">
      <c r="A143" s="113"/>
      <c r="B143" s="113"/>
      <c r="C143" s="113"/>
      <c r="D143" s="113"/>
      <c r="E143" s="113"/>
      <c r="F143" s="113"/>
      <c r="G143" s="113"/>
      <c r="H143" s="113"/>
      <c r="I143" s="113"/>
      <c r="J143" s="113"/>
      <c r="K143" s="113"/>
      <c r="L143" s="113"/>
      <c r="M143" s="113"/>
      <c r="N143" s="113"/>
      <c r="O143" s="113"/>
      <c r="P143" s="113"/>
      <c r="Q143" s="113"/>
      <c r="R143" s="113"/>
      <c r="S143" s="113"/>
      <c r="T143" s="113"/>
      <c r="U143" s="113"/>
      <c r="V143" s="113"/>
      <c r="W143" s="113"/>
      <c r="X143" s="113"/>
      <c r="Y143" s="113"/>
      <c r="Z143" s="113"/>
      <c r="AA143" s="113"/>
      <c r="AB143" s="113"/>
      <c r="AC143" s="113"/>
      <c r="AD143" s="113"/>
      <c r="AE143" s="113"/>
      <c r="AF143" s="113"/>
      <c r="AG143" s="113"/>
    </row>
    <row r="144" spans="1:33" ht="13.8">
      <c r="A144" s="113"/>
      <c r="B144" s="113"/>
      <c r="C144" s="113"/>
      <c r="D144" s="113"/>
      <c r="E144" s="113"/>
      <c r="F144" s="113"/>
      <c r="G144" s="113"/>
      <c r="H144" s="113"/>
      <c r="I144" s="113"/>
      <c r="J144" s="113"/>
      <c r="K144" s="113"/>
      <c r="L144" s="113"/>
      <c r="M144" s="113"/>
      <c r="N144" s="113"/>
      <c r="O144" s="113"/>
      <c r="P144" s="113"/>
      <c r="Q144" s="113"/>
      <c r="R144" s="113"/>
      <c r="S144" s="113"/>
      <c r="T144" s="113"/>
      <c r="U144" s="113"/>
      <c r="V144" s="113"/>
      <c r="W144" s="113"/>
      <c r="X144" s="113"/>
      <c r="Y144" s="113"/>
      <c r="Z144" s="113"/>
      <c r="AA144" s="113"/>
      <c r="AB144" s="113"/>
      <c r="AC144" s="113"/>
      <c r="AD144" s="113"/>
      <c r="AE144" s="113"/>
      <c r="AF144" s="113"/>
      <c r="AG144" s="113"/>
    </row>
    <row r="145" spans="1:33" ht="13.8">
      <c r="A145" s="113"/>
      <c r="B145" s="113"/>
      <c r="C145" s="113"/>
      <c r="D145" s="113"/>
      <c r="E145" s="113"/>
      <c r="F145" s="113"/>
      <c r="G145" s="113"/>
      <c r="H145" s="113"/>
      <c r="I145" s="113"/>
      <c r="J145" s="113"/>
      <c r="K145" s="113"/>
      <c r="L145" s="113"/>
      <c r="M145" s="113"/>
      <c r="N145" s="113"/>
      <c r="O145" s="113"/>
      <c r="P145" s="113"/>
      <c r="Q145" s="113"/>
      <c r="R145" s="113"/>
      <c r="S145" s="113"/>
      <c r="T145" s="113"/>
      <c r="U145" s="113"/>
      <c r="V145" s="113"/>
      <c r="W145" s="113"/>
      <c r="X145" s="113"/>
      <c r="Y145" s="113"/>
      <c r="Z145" s="113"/>
      <c r="AA145" s="113"/>
      <c r="AB145" s="113"/>
      <c r="AC145" s="113"/>
      <c r="AD145" s="113"/>
      <c r="AE145" s="113"/>
      <c r="AF145" s="113"/>
      <c r="AG145" s="113"/>
    </row>
    <row r="146" spans="1:33" ht="13.8">
      <c r="A146" s="113"/>
      <c r="B146" s="113"/>
      <c r="C146" s="113"/>
      <c r="D146" s="113"/>
      <c r="E146" s="113"/>
      <c r="F146" s="113"/>
      <c r="G146" s="113"/>
      <c r="H146" s="113"/>
      <c r="I146" s="113"/>
      <c r="J146" s="113"/>
      <c r="K146" s="113"/>
      <c r="L146" s="113"/>
      <c r="M146" s="113"/>
      <c r="N146" s="113"/>
      <c r="O146" s="113"/>
      <c r="P146" s="113"/>
      <c r="Q146" s="113"/>
      <c r="R146" s="113"/>
      <c r="S146" s="113"/>
      <c r="T146" s="113"/>
      <c r="U146" s="113"/>
      <c r="V146" s="113"/>
      <c r="W146" s="113"/>
      <c r="X146" s="113"/>
      <c r="Y146" s="113"/>
      <c r="Z146" s="113"/>
      <c r="AA146" s="113"/>
      <c r="AB146" s="113"/>
      <c r="AC146" s="113"/>
      <c r="AD146" s="113"/>
      <c r="AE146" s="113"/>
      <c r="AF146" s="113"/>
      <c r="AG146" s="113"/>
    </row>
    <row r="147" spans="1:33" ht="13.8">
      <c r="A147" s="113"/>
      <c r="B147" s="113"/>
      <c r="C147" s="113"/>
      <c r="D147" s="113"/>
      <c r="E147" s="113"/>
      <c r="F147" s="113"/>
      <c r="G147" s="113"/>
      <c r="H147" s="113"/>
      <c r="I147" s="113"/>
      <c r="J147" s="113"/>
      <c r="K147" s="113"/>
      <c r="L147" s="113"/>
      <c r="M147" s="113"/>
      <c r="N147" s="113"/>
      <c r="O147" s="113"/>
      <c r="P147" s="113"/>
      <c r="Q147" s="113"/>
      <c r="R147" s="113"/>
      <c r="S147" s="113"/>
      <c r="T147" s="113"/>
      <c r="U147" s="113"/>
      <c r="V147" s="113"/>
      <c r="W147" s="113"/>
      <c r="X147" s="113"/>
      <c r="Y147" s="113"/>
      <c r="Z147" s="113"/>
      <c r="AA147" s="113"/>
      <c r="AB147" s="113"/>
      <c r="AC147" s="113"/>
      <c r="AD147" s="113"/>
      <c r="AE147" s="113"/>
      <c r="AF147" s="113"/>
      <c r="AG147" s="113"/>
    </row>
    <row r="148" spans="1:33" ht="13.8">
      <c r="A148" s="113"/>
      <c r="B148" s="113"/>
      <c r="C148" s="113"/>
      <c r="D148" s="113"/>
      <c r="E148" s="113"/>
      <c r="F148" s="113"/>
      <c r="G148" s="113"/>
      <c r="H148" s="113"/>
      <c r="I148" s="113"/>
      <c r="J148" s="113"/>
      <c r="K148" s="113"/>
      <c r="L148" s="113"/>
      <c r="M148" s="113"/>
      <c r="N148" s="113"/>
      <c r="O148" s="113"/>
      <c r="P148" s="113"/>
      <c r="Q148" s="113"/>
      <c r="R148" s="113"/>
      <c r="S148" s="113"/>
      <c r="T148" s="113"/>
      <c r="U148" s="113"/>
      <c r="V148" s="113"/>
      <c r="W148" s="113"/>
      <c r="X148" s="113"/>
      <c r="Y148" s="113"/>
      <c r="Z148" s="113"/>
      <c r="AA148" s="113"/>
      <c r="AB148" s="113"/>
      <c r="AC148" s="113"/>
      <c r="AD148" s="113"/>
      <c r="AE148" s="113"/>
      <c r="AF148" s="113"/>
      <c r="AG148" s="113"/>
    </row>
    <row r="149" spans="1:33" ht="13.8">
      <c r="A149" s="113"/>
      <c r="B149" s="113"/>
      <c r="C149" s="113"/>
      <c r="D149" s="113"/>
      <c r="E149" s="113"/>
      <c r="F149" s="113"/>
      <c r="G149" s="113"/>
      <c r="H149" s="113"/>
      <c r="I149" s="113"/>
      <c r="J149" s="113"/>
      <c r="K149" s="113"/>
      <c r="L149" s="113"/>
      <c r="M149" s="113"/>
      <c r="N149" s="113"/>
      <c r="O149" s="113"/>
      <c r="P149" s="113"/>
      <c r="Q149" s="113"/>
      <c r="R149" s="113"/>
      <c r="S149" s="113"/>
      <c r="T149" s="113"/>
      <c r="U149" s="113"/>
      <c r="V149" s="113"/>
      <c r="W149" s="113"/>
      <c r="X149" s="113"/>
      <c r="Y149" s="113"/>
      <c r="Z149" s="113"/>
      <c r="AA149" s="113"/>
      <c r="AB149" s="113"/>
      <c r="AC149" s="113"/>
      <c r="AD149" s="113"/>
      <c r="AE149" s="113"/>
      <c r="AF149" s="113"/>
      <c r="AG149" s="113"/>
    </row>
    <row r="150" spans="1:33" ht="13.8">
      <c r="A150" s="113"/>
      <c r="B150" s="113"/>
      <c r="C150" s="113"/>
      <c r="D150" s="113"/>
      <c r="E150" s="113"/>
      <c r="F150" s="113"/>
      <c r="G150" s="113"/>
      <c r="H150" s="113"/>
      <c r="I150" s="113"/>
      <c r="J150" s="113"/>
      <c r="K150" s="113"/>
      <c r="L150" s="113"/>
      <c r="M150" s="113"/>
      <c r="N150" s="113"/>
      <c r="O150" s="113"/>
      <c r="P150" s="113"/>
      <c r="Q150" s="113"/>
      <c r="R150" s="113"/>
      <c r="S150" s="113"/>
      <c r="T150" s="113"/>
      <c r="U150" s="113"/>
      <c r="V150" s="113"/>
      <c r="W150" s="113"/>
      <c r="X150" s="113"/>
      <c r="Y150" s="113"/>
      <c r="Z150" s="113"/>
      <c r="AA150" s="113"/>
      <c r="AB150" s="113"/>
      <c r="AC150" s="113"/>
      <c r="AD150" s="113"/>
      <c r="AE150" s="113"/>
      <c r="AF150" s="113"/>
      <c r="AG150" s="113"/>
    </row>
    <row r="151" spans="1:33" ht="13.8">
      <c r="A151" s="113"/>
      <c r="B151" s="113"/>
      <c r="C151" s="113"/>
      <c r="D151" s="113"/>
      <c r="E151" s="113"/>
      <c r="F151" s="113"/>
      <c r="G151" s="113"/>
      <c r="H151" s="113"/>
      <c r="I151" s="113"/>
      <c r="J151" s="113"/>
      <c r="K151" s="113"/>
      <c r="L151" s="113"/>
      <c r="M151" s="113"/>
      <c r="N151" s="113"/>
      <c r="O151" s="113"/>
      <c r="P151" s="113"/>
      <c r="Q151" s="113"/>
      <c r="R151" s="113"/>
      <c r="S151" s="113"/>
      <c r="T151" s="113"/>
      <c r="U151" s="113"/>
      <c r="V151" s="113"/>
      <c r="W151" s="113"/>
      <c r="X151" s="113"/>
      <c r="Y151" s="113"/>
      <c r="Z151" s="113"/>
      <c r="AA151" s="113"/>
      <c r="AB151" s="113"/>
      <c r="AC151" s="113"/>
      <c r="AD151" s="113"/>
      <c r="AE151" s="113"/>
      <c r="AF151" s="113"/>
      <c r="AG151" s="113"/>
    </row>
    <row r="152" spans="1:33" ht="13.8">
      <c r="A152" s="113"/>
      <c r="B152" s="113"/>
      <c r="C152" s="113"/>
      <c r="D152" s="113"/>
      <c r="E152" s="113"/>
      <c r="F152" s="113"/>
      <c r="G152" s="113"/>
      <c r="H152" s="113"/>
      <c r="I152" s="113"/>
      <c r="J152" s="113"/>
      <c r="K152" s="113"/>
      <c r="L152" s="113"/>
      <c r="M152" s="113"/>
      <c r="N152" s="113"/>
      <c r="O152" s="113"/>
      <c r="P152" s="113"/>
      <c r="Q152" s="113"/>
      <c r="R152" s="113"/>
      <c r="S152" s="113"/>
      <c r="T152" s="113"/>
      <c r="U152" s="113"/>
      <c r="V152" s="113"/>
      <c r="W152" s="113"/>
      <c r="X152" s="113"/>
      <c r="Y152" s="113"/>
      <c r="Z152" s="113"/>
      <c r="AA152" s="113"/>
      <c r="AB152" s="113"/>
      <c r="AC152" s="113"/>
      <c r="AD152" s="113"/>
      <c r="AE152" s="113"/>
      <c r="AF152" s="113"/>
      <c r="AG152" s="113"/>
    </row>
    <row r="153" spans="1:33" ht="13.8">
      <c r="A153" s="113"/>
      <c r="B153" s="113"/>
      <c r="C153" s="113"/>
      <c r="D153" s="113"/>
      <c r="E153" s="113"/>
      <c r="F153" s="113"/>
      <c r="G153" s="113"/>
      <c r="H153" s="113"/>
      <c r="I153" s="113"/>
      <c r="J153" s="113"/>
      <c r="K153" s="113"/>
      <c r="L153" s="113"/>
      <c r="M153" s="113"/>
      <c r="N153" s="113"/>
      <c r="O153" s="113"/>
      <c r="P153" s="113"/>
      <c r="Q153" s="113"/>
      <c r="R153" s="113"/>
      <c r="S153" s="113"/>
      <c r="T153" s="113"/>
      <c r="U153" s="113"/>
      <c r="V153" s="113"/>
      <c r="W153" s="113"/>
      <c r="X153" s="113"/>
      <c r="Y153" s="113"/>
      <c r="Z153" s="113"/>
      <c r="AA153" s="113"/>
      <c r="AB153" s="113"/>
      <c r="AC153" s="113"/>
      <c r="AD153" s="113"/>
      <c r="AE153" s="113"/>
      <c r="AF153" s="113"/>
      <c r="AG153" s="113"/>
    </row>
    <row r="154" spans="1:33" ht="13.8">
      <c r="A154" s="113"/>
      <c r="B154" s="113"/>
      <c r="C154" s="113"/>
      <c r="D154" s="113"/>
      <c r="E154" s="113"/>
      <c r="F154" s="113"/>
      <c r="G154" s="113"/>
      <c r="H154" s="113"/>
      <c r="I154" s="113"/>
      <c r="J154" s="113"/>
      <c r="K154" s="113"/>
      <c r="L154" s="113"/>
      <c r="M154" s="113"/>
      <c r="N154" s="113"/>
      <c r="O154" s="113"/>
      <c r="P154" s="113"/>
      <c r="Q154" s="113"/>
      <c r="R154" s="113"/>
      <c r="S154" s="113"/>
      <c r="T154" s="113"/>
      <c r="U154" s="113"/>
      <c r="V154" s="113"/>
      <c r="W154" s="113"/>
      <c r="X154" s="113"/>
      <c r="Y154" s="113"/>
      <c r="Z154" s="113"/>
      <c r="AA154" s="113"/>
      <c r="AB154" s="113"/>
      <c r="AC154" s="113"/>
      <c r="AD154" s="113"/>
      <c r="AE154" s="113"/>
      <c r="AF154" s="113"/>
      <c r="AG154" s="113"/>
    </row>
    <row r="155" spans="1:33" ht="13.8">
      <c r="A155" s="113"/>
      <c r="B155" s="113"/>
      <c r="C155" s="113"/>
      <c r="D155" s="113"/>
      <c r="E155" s="113"/>
      <c r="F155" s="113"/>
      <c r="G155" s="113"/>
      <c r="H155" s="113"/>
      <c r="I155" s="113"/>
      <c r="J155" s="113"/>
      <c r="K155" s="113"/>
      <c r="L155" s="113"/>
      <c r="M155" s="113"/>
      <c r="N155" s="113"/>
      <c r="O155" s="113"/>
      <c r="P155" s="113"/>
      <c r="Q155" s="113"/>
      <c r="R155" s="113"/>
      <c r="S155" s="113"/>
      <c r="T155" s="113"/>
      <c r="U155" s="113"/>
      <c r="V155" s="113"/>
      <c r="W155" s="113"/>
      <c r="X155" s="113"/>
      <c r="Y155" s="113"/>
      <c r="Z155" s="113"/>
      <c r="AA155" s="113"/>
      <c r="AB155" s="113"/>
      <c r="AC155" s="113"/>
      <c r="AD155" s="113"/>
      <c r="AE155" s="113"/>
      <c r="AF155" s="113"/>
      <c r="AG155" s="113"/>
    </row>
    <row r="156" spans="1:33" ht="13.8">
      <c r="A156" s="113"/>
      <c r="B156" s="113"/>
      <c r="C156" s="113"/>
      <c r="D156" s="113"/>
      <c r="E156" s="113"/>
      <c r="F156" s="113"/>
      <c r="G156" s="113"/>
      <c r="H156" s="113"/>
      <c r="I156" s="113"/>
      <c r="J156" s="113"/>
      <c r="K156" s="113"/>
      <c r="L156" s="113"/>
      <c r="M156" s="113"/>
      <c r="N156" s="113"/>
      <c r="O156" s="113"/>
      <c r="P156" s="113"/>
      <c r="Q156" s="113"/>
      <c r="R156" s="113"/>
      <c r="S156" s="113"/>
      <c r="T156" s="113"/>
      <c r="U156" s="113"/>
      <c r="V156" s="113"/>
      <c r="W156" s="113"/>
      <c r="X156" s="113"/>
      <c r="Y156" s="113"/>
      <c r="Z156" s="113"/>
      <c r="AA156" s="113"/>
      <c r="AB156" s="113"/>
      <c r="AC156" s="113"/>
      <c r="AD156" s="113"/>
      <c r="AE156" s="113"/>
      <c r="AF156" s="113"/>
      <c r="AG156" s="113"/>
    </row>
    <row r="157" spans="1:33" ht="13.8">
      <c r="A157" s="113"/>
      <c r="B157" s="113"/>
      <c r="C157" s="113"/>
      <c r="D157" s="113"/>
      <c r="E157" s="113"/>
      <c r="F157" s="113"/>
      <c r="G157" s="113"/>
      <c r="H157" s="113"/>
      <c r="I157" s="113"/>
      <c r="J157" s="113"/>
      <c r="K157" s="113"/>
      <c r="L157" s="113"/>
      <c r="M157" s="113"/>
      <c r="N157" s="113"/>
      <c r="O157" s="113"/>
      <c r="P157" s="113"/>
      <c r="Q157" s="113"/>
      <c r="R157" s="113"/>
      <c r="S157" s="113"/>
      <c r="T157" s="113"/>
      <c r="U157" s="113"/>
      <c r="V157" s="113"/>
      <c r="W157" s="113"/>
      <c r="X157" s="113"/>
      <c r="Y157" s="113"/>
      <c r="Z157" s="113"/>
      <c r="AA157" s="113"/>
      <c r="AB157" s="113"/>
      <c r="AC157" s="113"/>
      <c r="AD157" s="113"/>
      <c r="AE157" s="113"/>
      <c r="AF157" s="113"/>
      <c r="AG157" s="113"/>
    </row>
    <row r="158" spans="1:33" ht="13.8">
      <c r="A158" s="113"/>
      <c r="B158" s="113"/>
      <c r="C158" s="113"/>
      <c r="D158" s="113"/>
      <c r="E158" s="113"/>
      <c r="F158" s="113"/>
      <c r="G158" s="113"/>
      <c r="H158" s="113"/>
      <c r="I158" s="113"/>
      <c r="J158" s="113"/>
      <c r="K158" s="113"/>
      <c r="L158" s="113"/>
      <c r="M158" s="113"/>
      <c r="N158" s="113"/>
      <c r="O158" s="113"/>
      <c r="P158" s="113"/>
      <c r="Q158" s="113"/>
      <c r="R158" s="113"/>
      <c r="S158" s="113"/>
      <c r="T158" s="113"/>
      <c r="U158" s="113"/>
      <c r="V158" s="113"/>
      <c r="W158" s="113"/>
      <c r="X158" s="113"/>
      <c r="Y158" s="113"/>
      <c r="Z158" s="113"/>
      <c r="AA158" s="113"/>
      <c r="AB158" s="113"/>
      <c r="AC158" s="113"/>
      <c r="AD158" s="113"/>
      <c r="AE158" s="113"/>
      <c r="AF158" s="113"/>
      <c r="AG158" s="113"/>
    </row>
    <row r="159" spans="1:33" ht="13.8">
      <c r="A159" s="113"/>
      <c r="B159" s="113"/>
      <c r="C159" s="113"/>
      <c r="D159" s="113"/>
      <c r="E159" s="113"/>
      <c r="F159" s="113"/>
      <c r="G159" s="113"/>
      <c r="H159" s="113"/>
      <c r="I159" s="113"/>
      <c r="J159" s="113"/>
      <c r="K159" s="113"/>
      <c r="L159" s="113"/>
      <c r="M159" s="113"/>
      <c r="N159" s="113"/>
      <c r="O159" s="113"/>
      <c r="P159" s="113"/>
      <c r="Q159" s="113"/>
      <c r="R159" s="113"/>
      <c r="S159" s="113"/>
      <c r="T159" s="113"/>
      <c r="U159" s="113"/>
      <c r="V159" s="113"/>
      <c r="W159" s="113"/>
      <c r="X159" s="113"/>
      <c r="Y159" s="113"/>
      <c r="Z159" s="113"/>
      <c r="AA159" s="113"/>
      <c r="AB159" s="113"/>
      <c r="AC159" s="113"/>
      <c r="AD159" s="113"/>
      <c r="AE159" s="113"/>
      <c r="AF159" s="113"/>
      <c r="AG159" s="113"/>
    </row>
    <row r="160" spans="1:33" ht="13.8">
      <c r="A160" s="113"/>
      <c r="B160" s="113"/>
      <c r="C160" s="113"/>
      <c r="D160" s="113"/>
      <c r="E160" s="113"/>
      <c r="F160" s="113"/>
      <c r="G160" s="113"/>
      <c r="H160" s="113"/>
      <c r="I160" s="113"/>
      <c r="J160" s="113"/>
      <c r="K160" s="113"/>
      <c r="L160" s="113"/>
      <c r="M160" s="113"/>
      <c r="N160" s="113"/>
      <c r="O160" s="113"/>
      <c r="P160" s="113"/>
      <c r="Q160" s="113"/>
      <c r="R160" s="113"/>
      <c r="S160" s="113"/>
      <c r="T160" s="113"/>
      <c r="U160" s="113"/>
      <c r="V160" s="113"/>
      <c r="W160" s="113"/>
      <c r="X160" s="113"/>
      <c r="Y160" s="113"/>
      <c r="Z160" s="113"/>
      <c r="AA160" s="113"/>
      <c r="AB160" s="113"/>
      <c r="AC160" s="113"/>
      <c r="AD160" s="113"/>
      <c r="AE160" s="113"/>
      <c r="AF160" s="113"/>
      <c r="AG160" s="113"/>
    </row>
    <row r="161" spans="1:33" ht="13.8">
      <c r="A161" s="113"/>
      <c r="B161" s="113"/>
      <c r="C161" s="113"/>
      <c r="D161" s="113"/>
      <c r="E161" s="113"/>
      <c r="F161" s="113"/>
      <c r="G161" s="113"/>
      <c r="H161" s="113"/>
      <c r="I161" s="113"/>
      <c r="J161" s="113"/>
      <c r="K161" s="113"/>
      <c r="L161" s="113"/>
      <c r="M161" s="113"/>
      <c r="N161" s="113"/>
      <c r="O161" s="113"/>
      <c r="P161" s="113"/>
      <c r="Q161" s="113"/>
      <c r="R161" s="113"/>
      <c r="S161" s="113"/>
      <c r="T161" s="113"/>
      <c r="U161" s="113"/>
      <c r="V161" s="113"/>
      <c r="W161" s="113"/>
      <c r="X161" s="113"/>
      <c r="Y161" s="113"/>
      <c r="Z161" s="113"/>
      <c r="AA161" s="113"/>
      <c r="AB161" s="113"/>
      <c r="AC161" s="113"/>
      <c r="AD161" s="113"/>
      <c r="AE161" s="113"/>
      <c r="AF161" s="113"/>
      <c r="AG161" s="113"/>
    </row>
    <row r="162" spans="1:33" ht="13.8">
      <c r="A162" s="113"/>
      <c r="B162" s="113"/>
      <c r="C162" s="113"/>
      <c r="D162" s="113"/>
      <c r="E162" s="113"/>
      <c r="F162" s="113"/>
      <c r="G162" s="113"/>
      <c r="H162" s="113"/>
      <c r="I162" s="113"/>
      <c r="J162" s="113"/>
      <c r="K162" s="113"/>
      <c r="L162" s="113"/>
      <c r="M162" s="113"/>
      <c r="N162" s="113"/>
      <c r="O162" s="113"/>
      <c r="P162" s="113"/>
      <c r="Q162" s="113"/>
      <c r="R162" s="113"/>
      <c r="S162" s="113"/>
      <c r="T162" s="113"/>
      <c r="U162" s="113"/>
      <c r="V162" s="113"/>
      <c r="W162" s="113"/>
      <c r="X162" s="113"/>
      <c r="Y162" s="113"/>
      <c r="Z162" s="113"/>
      <c r="AA162" s="113"/>
      <c r="AB162" s="113"/>
      <c r="AC162" s="113"/>
      <c r="AD162" s="113"/>
      <c r="AE162" s="113"/>
      <c r="AF162" s="113"/>
      <c r="AG162" s="113"/>
    </row>
    <row r="163" spans="1:33" ht="13.8">
      <c r="A163" s="113"/>
      <c r="B163" s="113"/>
      <c r="C163" s="113"/>
      <c r="D163" s="113"/>
      <c r="E163" s="113"/>
      <c r="F163" s="113"/>
      <c r="G163" s="113"/>
      <c r="H163" s="113"/>
      <c r="I163" s="113"/>
      <c r="J163" s="113"/>
      <c r="K163" s="113"/>
      <c r="L163" s="113"/>
      <c r="M163" s="113"/>
      <c r="N163" s="113"/>
      <c r="O163" s="113"/>
      <c r="P163" s="113"/>
      <c r="Q163" s="113"/>
      <c r="R163" s="113"/>
      <c r="S163" s="113"/>
      <c r="T163" s="113"/>
      <c r="U163" s="113"/>
      <c r="V163" s="113"/>
      <c r="W163" s="113"/>
      <c r="X163" s="113"/>
      <c r="Y163" s="113"/>
      <c r="Z163" s="113"/>
      <c r="AA163" s="113"/>
      <c r="AB163" s="113"/>
      <c r="AC163" s="113"/>
      <c r="AD163" s="113"/>
      <c r="AE163" s="113"/>
      <c r="AF163" s="113"/>
      <c r="AG163" s="113"/>
    </row>
    <row r="164" spans="1:33" ht="13.8">
      <c r="A164" s="113"/>
      <c r="B164" s="113"/>
      <c r="C164" s="113"/>
      <c r="D164" s="113"/>
      <c r="E164" s="113"/>
      <c r="F164" s="113"/>
      <c r="G164" s="113"/>
      <c r="H164" s="113"/>
      <c r="I164" s="113"/>
      <c r="J164" s="113"/>
      <c r="K164" s="113"/>
      <c r="L164" s="113"/>
      <c r="M164" s="113"/>
      <c r="N164" s="113"/>
      <c r="O164" s="113"/>
      <c r="P164" s="113"/>
      <c r="Q164" s="113"/>
      <c r="R164" s="113"/>
      <c r="S164" s="113"/>
      <c r="T164" s="113"/>
      <c r="U164" s="113"/>
      <c r="V164" s="113"/>
      <c r="W164" s="113"/>
      <c r="X164" s="113"/>
      <c r="Y164" s="113"/>
      <c r="Z164" s="113"/>
      <c r="AA164" s="113"/>
      <c r="AB164" s="113"/>
      <c r="AC164" s="113"/>
      <c r="AD164" s="113"/>
      <c r="AE164" s="113"/>
      <c r="AF164" s="113"/>
      <c r="AG164" s="113"/>
    </row>
    <row r="165" spans="1:33" ht="13.8">
      <c r="A165" s="113"/>
      <c r="B165" s="113"/>
      <c r="C165" s="113"/>
      <c r="D165" s="113"/>
      <c r="E165" s="113"/>
      <c r="F165" s="113"/>
      <c r="G165" s="113"/>
      <c r="H165" s="113"/>
      <c r="I165" s="113"/>
      <c r="J165" s="113"/>
      <c r="K165" s="113"/>
      <c r="L165" s="113"/>
      <c r="M165" s="113"/>
      <c r="N165" s="113"/>
      <c r="O165" s="113"/>
      <c r="P165" s="113"/>
      <c r="Q165" s="113"/>
      <c r="R165" s="113"/>
      <c r="S165" s="113"/>
      <c r="T165" s="113"/>
      <c r="U165" s="113"/>
      <c r="V165" s="113"/>
      <c r="W165" s="113"/>
      <c r="X165" s="113"/>
      <c r="Y165" s="113"/>
      <c r="Z165" s="113"/>
      <c r="AA165" s="113"/>
      <c r="AB165" s="113"/>
      <c r="AC165" s="113"/>
      <c r="AD165" s="113"/>
      <c r="AE165" s="113"/>
      <c r="AF165" s="113"/>
      <c r="AG165" s="113"/>
    </row>
    <row r="166" spans="1:33" ht="13.8">
      <c r="A166" s="113"/>
      <c r="B166" s="113"/>
      <c r="C166" s="113"/>
      <c r="D166" s="113"/>
      <c r="E166" s="113"/>
      <c r="F166" s="113"/>
      <c r="G166" s="113"/>
      <c r="H166" s="113"/>
      <c r="I166" s="113"/>
      <c r="J166" s="113"/>
      <c r="K166" s="113"/>
      <c r="L166" s="113"/>
      <c r="M166" s="113"/>
      <c r="N166" s="113"/>
      <c r="O166" s="113"/>
      <c r="P166" s="113"/>
      <c r="Q166" s="113"/>
      <c r="R166" s="113"/>
      <c r="S166" s="113"/>
      <c r="T166" s="113"/>
      <c r="U166" s="113"/>
      <c r="V166" s="113"/>
      <c r="W166" s="113"/>
      <c r="X166" s="113"/>
      <c r="Y166" s="113"/>
      <c r="Z166" s="113"/>
      <c r="AA166" s="113"/>
      <c r="AB166" s="113"/>
      <c r="AC166" s="113"/>
      <c r="AD166" s="113"/>
      <c r="AE166" s="113"/>
      <c r="AF166" s="113"/>
      <c r="AG166" s="113"/>
    </row>
    <row r="167" spans="1:33" ht="13.8">
      <c r="A167" s="113"/>
      <c r="B167" s="113"/>
      <c r="C167" s="113"/>
      <c r="D167" s="113"/>
      <c r="E167" s="113"/>
      <c r="F167" s="113"/>
      <c r="G167" s="113"/>
      <c r="H167" s="113"/>
      <c r="I167" s="113"/>
      <c r="J167" s="113"/>
      <c r="K167" s="113"/>
      <c r="L167" s="113"/>
      <c r="M167" s="113"/>
      <c r="N167" s="113"/>
      <c r="O167" s="113"/>
      <c r="P167" s="113"/>
      <c r="Q167" s="113"/>
      <c r="R167" s="113"/>
      <c r="S167" s="113"/>
      <c r="T167" s="113"/>
      <c r="U167" s="113"/>
      <c r="V167" s="113"/>
      <c r="W167" s="113"/>
      <c r="X167" s="113"/>
      <c r="Y167" s="113"/>
      <c r="Z167" s="113"/>
      <c r="AA167" s="113"/>
      <c r="AB167" s="113"/>
      <c r="AC167" s="113"/>
      <c r="AD167" s="113"/>
      <c r="AE167" s="113"/>
      <c r="AF167" s="113"/>
      <c r="AG167" s="113"/>
    </row>
    <row r="168" spans="1:33" ht="13.8">
      <c r="A168" s="113"/>
      <c r="B168" s="113"/>
      <c r="C168" s="113"/>
      <c r="D168" s="113"/>
      <c r="E168" s="113"/>
      <c r="F168" s="113"/>
      <c r="G168" s="113"/>
      <c r="H168" s="113"/>
      <c r="I168" s="113"/>
      <c r="J168" s="113"/>
      <c r="K168" s="113"/>
      <c r="L168" s="113"/>
      <c r="M168" s="113"/>
      <c r="N168" s="113"/>
      <c r="O168" s="113"/>
      <c r="P168" s="113"/>
      <c r="Q168" s="113"/>
      <c r="R168" s="113"/>
      <c r="S168" s="113"/>
      <c r="T168" s="113"/>
      <c r="U168" s="113"/>
      <c r="V168" s="113"/>
      <c r="W168" s="113"/>
      <c r="X168" s="113"/>
      <c r="Y168" s="113"/>
      <c r="Z168" s="113"/>
      <c r="AA168" s="113"/>
      <c r="AB168" s="113"/>
      <c r="AC168" s="113"/>
      <c r="AD168" s="113"/>
      <c r="AE168" s="113"/>
      <c r="AF168" s="113"/>
      <c r="AG168" s="113"/>
    </row>
    <row r="169" spans="1:33" ht="13.8">
      <c r="A169" s="113"/>
      <c r="B169" s="113"/>
      <c r="C169" s="113"/>
      <c r="D169" s="113"/>
      <c r="E169" s="113"/>
      <c r="F169" s="113"/>
      <c r="G169" s="113"/>
      <c r="H169" s="113"/>
      <c r="I169" s="113"/>
      <c r="J169" s="113"/>
      <c r="K169" s="113"/>
      <c r="L169" s="113"/>
      <c r="M169" s="113"/>
      <c r="N169" s="113"/>
      <c r="O169" s="113"/>
      <c r="P169" s="113"/>
      <c r="Q169" s="113"/>
      <c r="R169" s="113"/>
      <c r="S169" s="113"/>
      <c r="T169" s="113"/>
      <c r="U169" s="113"/>
      <c r="V169" s="113"/>
      <c r="W169" s="113"/>
      <c r="X169" s="113"/>
      <c r="Y169" s="113"/>
      <c r="Z169" s="113"/>
      <c r="AA169" s="113"/>
      <c r="AB169" s="113"/>
      <c r="AC169" s="113"/>
      <c r="AD169" s="113"/>
      <c r="AE169" s="113"/>
      <c r="AF169" s="113"/>
      <c r="AG169" s="113"/>
    </row>
    <row r="170" spans="1:33" ht="13.8">
      <c r="A170" s="113"/>
      <c r="B170" s="113"/>
      <c r="C170" s="113"/>
      <c r="D170" s="113"/>
      <c r="E170" s="113"/>
      <c r="F170" s="113"/>
      <c r="G170" s="113"/>
      <c r="H170" s="113"/>
      <c r="I170" s="113"/>
      <c r="J170" s="113"/>
      <c r="K170" s="113"/>
      <c r="L170" s="113"/>
      <c r="M170" s="113"/>
      <c r="N170" s="113"/>
      <c r="O170" s="113"/>
      <c r="P170" s="113"/>
      <c r="Q170" s="113"/>
      <c r="R170" s="113"/>
      <c r="S170" s="113"/>
      <c r="T170" s="113"/>
      <c r="U170" s="113"/>
      <c r="V170" s="113"/>
      <c r="W170" s="113"/>
      <c r="X170" s="113"/>
      <c r="Y170" s="113"/>
      <c r="Z170" s="113"/>
      <c r="AA170" s="113"/>
      <c r="AB170" s="113"/>
      <c r="AC170" s="113"/>
      <c r="AD170" s="113"/>
      <c r="AE170" s="113"/>
      <c r="AF170" s="113"/>
      <c r="AG170" s="113"/>
    </row>
    <row r="171" spans="1:33" ht="13.8">
      <c r="A171" s="113"/>
      <c r="B171" s="113"/>
      <c r="C171" s="113"/>
      <c r="D171" s="113"/>
      <c r="E171" s="113"/>
      <c r="F171" s="113"/>
      <c r="G171" s="113"/>
      <c r="H171" s="113"/>
      <c r="I171" s="113"/>
      <c r="J171" s="113"/>
      <c r="K171" s="113"/>
      <c r="L171" s="113"/>
      <c r="M171" s="113"/>
      <c r="N171" s="113"/>
      <c r="O171" s="113"/>
      <c r="P171" s="113"/>
      <c r="Q171" s="113"/>
      <c r="R171" s="113"/>
      <c r="S171" s="113"/>
      <c r="T171" s="113"/>
      <c r="U171" s="113"/>
      <c r="V171" s="113"/>
      <c r="W171" s="113"/>
      <c r="X171" s="113"/>
      <c r="Y171" s="113"/>
      <c r="Z171" s="113"/>
      <c r="AA171" s="113"/>
      <c r="AB171" s="113"/>
      <c r="AC171" s="113"/>
      <c r="AD171" s="113"/>
      <c r="AE171" s="113"/>
      <c r="AF171" s="113"/>
      <c r="AG171" s="113"/>
    </row>
    <row r="172" spans="1:33" ht="13.8">
      <c r="A172" s="113"/>
      <c r="B172" s="113"/>
      <c r="C172" s="113"/>
      <c r="D172" s="113"/>
      <c r="E172" s="113"/>
      <c r="F172" s="113"/>
      <c r="G172" s="113"/>
      <c r="H172" s="113"/>
      <c r="I172" s="113"/>
      <c r="J172" s="113"/>
      <c r="K172" s="113"/>
      <c r="L172" s="113"/>
      <c r="M172" s="113"/>
      <c r="N172" s="113"/>
      <c r="O172" s="113"/>
      <c r="P172" s="113"/>
      <c r="Q172" s="113"/>
      <c r="R172" s="113"/>
      <c r="S172" s="113"/>
      <c r="T172" s="113"/>
      <c r="U172" s="113"/>
      <c r="V172" s="113"/>
      <c r="W172" s="113"/>
      <c r="X172" s="113"/>
      <c r="Y172" s="113"/>
      <c r="Z172" s="113"/>
      <c r="AA172" s="113"/>
      <c r="AB172" s="113"/>
      <c r="AC172" s="113"/>
      <c r="AD172" s="113"/>
      <c r="AE172" s="113"/>
      <c r="AF172" s="113"/>
      <c r="AG172" s="113"/>
    </row>
    <row r="173" spans="1:33" ht="13.8">
      <c r="A173" s="113"/>
      <c r="B173" s="113"/>
      <c r="C173" s="113"/>
      <c r="D173" s="113"/>
      <c r="E173" s="113"/>
      <c r="F173" s="113"/>
      <c r="G173" s="113"/>
      <c r="H173" s="113"/>
      <c r="I173" s="113"/>
      <c r="J173" s="113"/>
      <c r="K173" s="113"/>
      <c r="L173" s="113"/>
      <c r="M173" s="113"/>
      <c r="N173" s="113"/>
      <c r="O173" s="113"/>
      <c r="P173" s="113"/>
      <c r="Q173" s="113"/>
      <c r="R173" s="113"/>
      <c r="S173" s="113"/>
      <c r="T173" s="113"/>
      <c r="U173" s="113"/>
      <c r="V173" s="113"/>
      <c r="W173" s="113"/>
      <c r="X173" s="113"/>
      <c r="Y173" s="113"/>
      <c r="Z173" s="113"/>
      <c r="AA173" s="113"/>
      <c r="AB173" s="113"/>
      <c r="AC173" s="113"/>
      <c r="AD173" s="113"/>
      <c r="AE173" s="113"/>
      <c r="AF173" s="113"/>
      <c r="AG173" s="113"/>
    </row>
    <row r="174" spans="1:33" ht="13.8">
      <c r="A174" s="113"/>
      <c r="B174" s="113"/>
      <c r="C174" s="113"/>
      <c r="D174" s="113"/>
      <c r="E174" s="113"/>
      <c r="F174" s="113"/>
      <c r="G174" s="113"/>
      <c r="H174" s="113"/>
      <c r="I174" s="113"/>
      <c r="J174" s="113"/>
      <c r="K174" s="113"/>
      <c r="L174" s="113"/>
      <c r="M174" s="113"/>
      <c r="N174" s="113"/>
      <c r="O174" s="113"/>
      <c r="P174" s="113"/>
      <c r="Q174" s="113"/>
      <c r="R174" s="113"/>
      <c r="S174" s="113"/>
      <c r="T174" s="113"/>
      <c r="U174" s="113"/>
      <c r="V174" s="113"/>
      <c r="W174" s="113"/>
      <c r="X174" s="113"/>
      <c r="Y174" s="113"/>
      <c r="Z174" s="113"/>
      <c r="AA174" s="113"/>
      <c r="AB174" s="113"/>
      <c r="AC174" s="113"/>
      <c r="AD174" s="113"/>
      <c r="AE174" s="113"/>
      <c r="AF174" s="113"/>
      <c r="AG174" s="113"/>
    </row>
    <row r="175" spans="1:33" ht="13.8">
      <c r="A175" s="113"/>
      <c r="B175" s="113"/>
      <c r="C175" s="113"/>
      <c r="D175" s="113"/>
      <c r="E175" s="113"/>
      <c r="F175" s="113"/>
      <c r="G175" s="113"/>
      <c r="H175" s="113"/>
      <c r="I175" s="113"/>
      <c r="J175" s="113"/>
      <c r="K175" s="113"/>
      <c r="L175" s="113"/>
      <c r="M175" s="113"/>
      <c r="N175" s="113"/>
      <c r="O175" s="113"/>
      <c r="P175" s="113"/>
      <c r="Q175" s="113"/>
      <c r="R175" s="113"/>
      <c r="S175" s="113"/>
      <c r="T175" s="113"/>
      <c r="U175" s="113"/>
      <c r="V175" s="113"/>
      <c r="W175" s="113"/>
      <c r="X175" s="113"/>
      <c r="Y175" s="113"/>
      <c r="Z175" s="113"/>
      <c r="AA175" s="113"/>
      <c r="AB175" s="113"/>
      <c r="AC175" s="113"/>
      <c r="AD175" s="113"/>
      <c r="AE175" s="113"/>
      <c r="AF175" s="113"/>
      <c r="AG175" s="113"/>
    </row>
    <row r="176" spans="1:33" ht="13.8">
      <c r="A176" s="113"/>
      <c r="B176" s="113"/>
      <c r="C176" s="113"/>
      <c r="D176" s="113"/>
      <c r="E176" s="113"/>
      <c r="F176" s="113"/>
      <c r="G176" s="113"/>
      <c r="H176" s="113"/>
      <c r="I176" s="113"/>
      <c r="J176" s="113"/>
      <c r="K176" s="113"/>
      <c r="L176" s="113"/>
      <c r="M176" s="113"/>
      <c r="N176" s="113"/>
      <c r="O176" s="113"/>
      <c r="P176" s="113"/>
      <c r="Q176" s="113"/>
      <c r="R176" s="113"/>
      <c r="S176" s="113"/>
      <c r="T176" s="113"/>
      <c r="U176" s="113"/>
      <c r="V176" s="113"/>
      <c r="W176" s="113"/>
      <c r="X176" s="113"/>
      <c r="Y176" s="113"/>
      <c r="Z176" s="113"/>
      <c r="AA176" s="113"/>
      <c r="AB176" s="113"/>
      <c r="AC176" s="113"/>
      <c r="AD176" s="113"/>
      <c r="AE176" s="113"/>
      <c r="AF176" s="113"/>
      <c r="AG176" s="113"/>
    </row>
    <row r="177" spans="1:33" ht="13.8">
      <c r="A177" s="113"/>
      <c r="B177" s="113"/>
      <c r="C177" s="113"/>
      <c r="D177" s="113"/>
      <c r="E177" s="113"/>
      <c r="F177" s="113"/>
      <c r="G177" s="113"/>
      <c r="H177" s="113"/>
      <c r="I177" s="113"/>
      <c r="J177" s="113"/>
      <c r="K177" s="113"/>
      <c r="L177" s="113"/>
      <c r="M177" s="113"/>
      <c r="N177" s="113"/>
      <c r="O177" s="113"/>
      <c r="P177" s="113"/>
      <c r="Q177" s="113"/>
      <c r="R177" s="113"/>
      <c r="S177" s="113"/>
      <c r="T177" s="113"/>
      <c r="U177" s="113"/>
      <c r="V177" s="113"/>
      <c r="W177" s="113"/>
      <c r="X177" s="113"/>
      <c r="Y177" s="113"/>
      <c r="Z177" s="113"/>
      <c r="AA177" s="113"/>
      <c r="AB177" s="113"/>
      <c r="AC177" s="113"/>
      <c r="AD177" s="113"/>
      <c r="AE177" s="113"/>
      <c r="AF177" s="113"/>
      <c r="AG177" s="113"/>
    </row>
    <row r="178" spans="1:33" ht="13.8">
      <c r="A178" s="113"/>
      <c r="B178" s="113"/>
      <c r="C178" s="113"/>
      <c r="D178" s="113"/>
      <c r="E178" s="113"/>
      <c r="F178" s="113"/>
      <c r="G178" s="113"/>
      <c r="H178" s="113"/>
      <c r="I178" s="113"/>
      <c r="J178" s="113"/>
      <c r="K178" s="113"/>
      <c r="L178" s="113"/>
      <c r="M178" s="113"/>
      <c r="N178" s="113"/>
      <c r="O178" s="113"/>
      <c r="P178" s="113"/>
      <c r="Q178" s="113"/>
      <c r="R178" s="113"/>
      <c r="S178" s="113"/>
      <c r="T178" s="113"/>
      <c r="U178" s="113"/>
      <c r="V178" s="113"/>
      <c r="W178" s="113"/>
      <c r="X178" s="113"/>
      <c r="Y178" s="113"/>
      <c r="Z178" s="113"/>
      <c r="AA178" s="113"/>
      <c r="AB178" s="113"/>
      <c r="AC178" s="113"/>
      <c r="AD178" s="113"/>
      <c r="AE178" s="113"/>
      <c r="AF178" s="113"/>
      <c r="AG178" s="113"/>
    </row>
    <row r="179" spans="1:33" ht="13.8">
      <c r="A179" s="113"/>
      <c r="B179" s="113"/>
      <c r="C179" s="113"/>
      <c r="D179" s="113"/>
      <c r="E179" s="113"/>
      <c r="F179" s="113"/>
      <c r="G179" s="113"/>
      <c r="H179" s="113"/>
      <c r="I179" s="113"/>
      <c r="J179" s="113"/>
      <c r="K179" s="113"/>
      <c r="L179" s="113"/>
      <c r="M179" s="113"/>
      <c r="N179" s="113"/>
      <c r="O179" s="113"/>
      <c r="P179" s="113"/>
      <c r="Q179" s="113"/>
      <c r="R179" s="113"/>
      <c r="S179" s="113"/>
      <c r="T179" s="113"/>
      <c r="U179" s="113"/>
      <c r="V179" s="113"/>
      <c r="W179" s="113"/>
      <c r="X179" s="113"/>
      <c r="Y179" s="113"/>
      <c r="Z179" s="113"/>
      <c r="AA179" s="113"/>
      <c r="AB179" s="113"/>
      <c r="AC179" s="113"/>
      <c r="AD179" s="113"/>
      <c r="AE179" s="113"/>
      <c r="AF179" s="113"/>
      <c r="AG179" s="113"/>
    </row>
    <row r="180" spans="1:33" ht="13.8">
      <c r="A180" s="113"/>
      <c r="B180" s="113"/>
      <c r="C180" s="113"/>
      <c r="D180" s="113"/>
      <c r="E180" s="113"/>
      <c r="F180" s="113"/>
      <c r="G180" s="113"/>
      <c r="H180" s="113"/>
      <c r="I180" s="113"/>
      <c r="J180" s="113"/>
      <c r="K180" s="113"/>
      <c r="L180" s="113"/>
      <c r="M180" s="113"/>
      <c r="N180" s="113"/>
      <c r="O180" s="113"/>
      <c r="P180" s="113"/>
      <c r="Q180" s="113"/>
      <c r="R180" s="113"/>
      <c r="S180" s="113"/>
      <c r="T180" s="113"/>
      <c r="U180" s="113"/>
      <c r="V180" s="113"/>
      <c r="W180" s="113"/>
      <c r="X180" s="113"/>
      <c r="Y180" s="113"/>
      <c r="Z180" s="113"/>
      <c r="AA180" s="113"/>
      <c r="AB180" s="113"/>
      <c r="AC180" s="113"/>
      <c r="AD180" s="113"/>
      <c r="AE180" s="113"/>
      <c r="AF180" s="113"/>
      <c r="AG180" s="113"/>
    </row>
    <row r="181" spans="1:33" ht="13.8">
      <c r="A181" s="113"/>
      <c r="B181" s="113"/>
      <c r="C181" s="113"/>
      <c r="D181" s="113"/>
      <c r="E181" s="113"/>
      <c r="F181" s="113"/>
      <c r="G181" s="113"/>
      <c r="H181" s="113"/>
      <c r="I181" s="113"/>
      <c r="J181" s="113"/>
      <c r="K181" s="113"/>
      <c r="L181" s="113"/>
      <c r="M181" s="113"/>
      <c r="N181" s="113"/>
      <c r="O181" s="113"/>
      <c r="P181" s="113"/>
      <c r="Q181" s="113"/>
      <c r="R181" s="113"/>
      <c r="S181" s="113"/>
      <c r="T181" s="113"/>
      <c r="U181" s="113"/>
      <c r="V181" s="113"/>
      <c r="W181" s="113"/>
      <c r="X181" s="113"/>
      <c r="Y181" s="113"/>
      <c r="Z181" s="113"/>
      <c r="AA181" s="113"/>
      <c r="AB181" s="113"/>
      <c r="AC181" s="113"/>
      <c r="AD181" s="113"/>
      <c r="AE181" s="113"/>
      <c r="AF181" s="113"/>
      <c r="AG181" s="113"/>
    </row>
    <row r="182" spans="1:33" ht="13.8">
      <c r="A182" s="113"/>
      <c r="B182" s="113"/>
      <c r="C182" s="113"/>
      <c r="D182" s="113"/>
      <c r="E182" s="113"/>
      <c r="F182" s="113"/>
      <c r="G182" s="113"/>
      <c r="H182" s="113"/>
      <c r="I182" s="113"/>
      <c r="J182" s="113"/>
      <c r="K182" s="113"/>
      <c r="L182" s="113"/>
      <c r="M182" s="113"/>
      <c r="N182" s="113"/>
      <c r="O182" s="113"/>
      <c r="P182" s="113"/>
      <c r="Q182" s="113"/>
      <c r="R182" s="113"/>
      <c r="S182" s="113"/>
      <c r="T182" s="113"/>
      <c r="U182" s="113"/>
      <c r="V182" s="113"/>
      <c r="W182" s="113"/>
      <c r="X182" s="113"/>
      <c r="Y182" s="113"/>
      <c r="Z182" s="113"/>
      <c r="AA182" s="113"/>
      <c r="AB182" s="113"/>
      <c r="AC182" s="113"/>
      <c r="AD182" s="113"/>
      <c r="AE182" s="113"/>
      <c r="AF182" s="113"/>
      <c r="AG182" s="113"/>
    </row>
    <row r="183" spans="1:33" ht="13.8">
      <c r="A183" s="113"/>
      <c r="B183" s="113"/>
      <c r="C183" s="113"/>
      <c r="D183" s="113"/>
      <c r="E183" s="113"/>
      <c r="F183" s="113"/>
      <c r="G183" s="113"/>
      <c r="H183" s="113"/>
      <c r="I183" s="113"/>
      <c r="J183" s="113"/>
      <c r="K183" s="113"/>
      <c r="L183" s="113"/>
      <c r="M183" s="113"/>
      <c r="N183" s="113"/>
      <c r="O183" s="113"/>
      <c r="P183" s="113"/>
      <c r="Q183" s="113"/>
      <c r="R183" s="113"/>
      <c r="S183" s="113"/>
      <c r="T183" s="113"/>
      <c r="U183" s="113"/>
      <c r="V183" s="113"/>
      <c r="W183" s="113"/>
      <c r="X183" s="113"/>
      <c r="Y183" s="113"/>
      <c r="Z183" s="113"/>
      <c r="AA183" s="113"/>
      <c r="AB183" s="113"/>
      <c r="AC183" s="113"/>
      <c r="AD183" s="113"/>
      <c r="AE183" s="113"/>
      <c r="AF183" s="113"/>
      <c r="AG183" s="113"/>
    </row>
    <row r="184" spans="1:33" ht="13.8">
      <c r="A184" s="113"/>
      <c r="B184" s="113"/>
      <c r="C184" s="113"/>
      <c r="D184" s="113"/>
      <c r="E184" s="113"/>
      <c r="F184" s="113"/>
      <c r="G184" s="113"/>
      <c r="H184" s="113"/>
      <c r="I184" s="113"/>
      <c r="J184" s="113"/>
      <c r="K184" s="113"/>
      <c r="L184" s="113"/>
      <c r="M184" s="113"/>
      <c r="N184" s="113"/>
      <c r="O184" s="113"/>
      <c r="P184" s="113"/>
      <c r="Q184" s="113"/>
      <c r="R184" s="113"/>
      <c r="S184" s="113"/>
      <c r="T184" s="113"/>
      <c r="U184" s="113"/>
      <c r="V184" s="113"/>
      <c r="W184" s="113"/>
      <c r="X184" s="113"/>
      <c r="Y184" s="113"/>
      <c r="Z184" s="113"/>
      <c r="AA184" s="113"/>
      <c r="AB184" s="113"/>
      <c r="AC184" s="113"/>
      <c r="AD184" s="113"/>
      <c r="AE184" s="113"/>
      <c r="AF184" s="113"/>
      <c r="AG184" s="113"/>
    </row>
    <row r="185" spans="1:33" ht="13.8">
      <c r="A185" s="113"/>
      <c r="B185" s="113"/>
      <c r="C185" s="113"/>
      <c r="D185" s="113"/>
      <c r="E185" s="113"/>
      <c r="F185" s="113"/>
      <c r="G185" s="113"/>
      <c r="H185" s="113"/>
      <c r="I185" s="113"/>
      <c r="J185" s="113"/>
      <c r="K185" s="113"/>
      <c r="L185" s="113"/>
      <c r="M185" s="113"/>
      <c r="N185" s="113"/>
      <c r="O185" s="113"/>
      <c r="P185" s="113"/>
      <c r="Q185" s="113"/>
      <c r="R185" s="113"/>
      <c r="S185" s="113"/>
      <c r="T185" s="113"/>
      <c r="U185" s="113"/>
      <c r="V185" s="113"/>
      <c r="W185" s="113"/>
      <c r="X185" s="113"/>
      <c r="Y185" s="113"/>
      <c r="Z185" s="113"/>
      <c r="AA185" s="113"/>
      <c r="AB185" s="113"/>
      <c r="AC185" s="113"/>
      <c r="AD185" s="113"/>
      <c r="AE185" s="113"/>
      <c r="AF185" s="113"/>
      <c r="AG185" s="113"/>
    </row>
    <row r="186" spans="1:33" ht="13.8">
      <c r="A186" s="113"/>
      <c r="B186" s="113"/>
      <c r="C186" s="113"/>
      <c r="D186" s="113"/>
      <c r="E186" s="113"/>
      <c r="F186" s="113"/>
      <c r="G186" s="113"/>
      <c r="H186" s="113"/>
      <c r="I186" s="113"/>
      <c r="J186" s="113"/>
      <c r="K186" s="113"/>
      <c r="L186" s="113"/>
      <c r="M186" s="113"/>
      <c r="N186" s="113"/>
      <c r="O186" s="113"/>
      <c r="P186" s="113"/>
      <c r="Q186" s="113"/>
      <c r="R186" s="113"/>
      <c r="S186" s="113"/>
      <c r="T186" s="113"/>
      <c r="U186" s="113"/>
      <c r="V186" s="113"/>
      <c r="W186" s="113"/>
      <c r="X186" s="113"/>
      <c r="Y186" s="113"/>
      <c r="Z186" s="113"/>
      <c r="AA186" s="113"/>
      <c r="AB186" s="113"/>
      <c r="AC186" s="113"/>
      <c r="AD186" s="113"/>
      <c r="AE186" s="113"/>
      <c r="AF186" s="113"/>
      <c r="AG186" s="113"/>
    </row>
    <row r="187" spans="1:33" ht="13.8">
      <c r="A187" s="113"/>
      <c r="B187" s="113"/>
      <c r="C187" s="113"/>
      <c r="D187" s="113"/>
      <c r="E187" s="113"/>
      <c r="F187" s="113"/>
      <c r="G187" s="113"/>
      <c r="H187" s="113"/>
      <c r="I187" s="113"/>
      <c r="J187" s="113"/>
      <c r="K187" s="113"/>
      <c r="L187" s="113"/>
      <c r="M187" s="113"/>
      <c r="N187" s="113"/>
      <c r="O187" s="113"/>
      <c r="P187" s="113"/>
      <c r="Q187" s="113"/>
      <c r="R187" s="113"/>
      <c r="S187" s="113"/>
      <c r="T187" s="113"/>
      <c r="U187" s="113"/>
      <c r="V187" s="113"/>
      <c r="W187" s="113"/>
      <c r="X187" s="113"/>
      <c r="Y187" s="113"/>
      <c r="Z187" s="113"/>
      <c r="AA187" s="113"/>
      <c r="AB187" s="113"/>
      <c r="AC187" s="113"/>
      <c r="AD187" s="113"/>
      <c r="AE187" s="113"/>
      <c r="AF187" s="113"/>
      <c r="AG187" s="113"/>
    </row>
    <row r="188" spans="1:33" ht="13.8">
      <c r="A188" s="113"/>
      <c r="B188" s="113"/>
      <c r="C188" s="113"/>
      <c r="D188" s="113"/>
      <c r="E188" s="113"/>
      <c r="F188" s="113"/>
      <c r="G188" s="113"/>
      <c r="H188" s="113"/>
      <c r="I188" s="113"/>
      <c r="J188" s="113"/>
      <c r="K188" s="113"/>
      <c r="L188" s="113"/>
      <c r="M188" s="113"/>
      <c r="N188" s="113"/>
      <c r="O188" s="113"/>
      <c r="P188" s="113"/>
      <c r="Q188" s="113"/>
      <c r="R188" s="113"/>
      <c r="S188" s="113"/>
      <c r="T188" s="113"/>
      <c r="U188" s="113"/>
      <c r="V188" s="113"/>
      <c r="W188" s="113"/>
      <c r="X188" s="113"/>
      <c r="Y188" s="113"/>
      <c r="Z188" s="113"/>
      <c r="AA188" s="113"/>
      <c r="AB188" s="113"/>
      <c r="AC188" s="113"/>
      <c r="AD188" s="113"/>
      <c r="AE188" s="113"/>
      <c r="AF188" s="113"/>
      <c r="AG188" s="113"/>
    </row>
    <row r="189" spans="1:33" ht="13.8">
      <c r="A189" s="113"/>
      <c r="B189" s="113"/>
      <c r="C189" s="113"/>
      <c r="D189" s="113"/>
      <c r="E189" s="113"/>
      <c r="F189" s="113"/>
      <c r="G189" s="113"/>
      <c r="H189" s="113"/>
      <c r="I189" s="113"/>
      <c r="J189" s="113"/>
      <c r="K189" s="113"/>
      <c r="L189" s="113"/>
      <c r="M189" s="113"/>
      <c r="N189" s="113"/>
      <c r="O189" s="113"/>
      <c r="P189" s="113"/>
      <c r="Q189" s="113"/>
      <c r="R189" s="113"/>
      <c r="S189" s="113"/>
      <c r="T189" s="113"/>
      <c r="U189" s="113"/>
      <c r="V189" s="113"/>
      <c r="W189" s="113"/>
      <c r="X189" s="113"/>
      <c r="Y189" s="113"/>
      <c r="Z189" s="113"/>
      <c r="AA189" s="113"/>
      <c r="AB189" s="113"/>
      <c r="AC189" s="113"/>
      <c r="AD189" s="113"/>
      <c r="AE189" s="113"/>
      <c r="AF189" s="113"/>
      <c r="AG189" s="113"/>
    </row>
    <row r="190" spans="1:33" ht="13.8">
      <c r="A190" s="113"/>
      <c r="B190" s="113"/>
      <c r="C190" s="113"/>
      <c r="D190" s="113"/>
      <c r="E190" s="113"/>
      <c r="F190" s="113"/>
      <c r="G190" s="113"/>
      <c r="H190" s="113"/>
      <c r="I190" s="113"/>
      <c r="J190" s="113"/>
      <c r="K190" s="113"/>
      <c r="L190" s="113"/>
      <c r="M190" s="113"/>
      <c r="N190" s="113"/>
      <c r="O190" s="113"/>
      <c r="P190" s="113"/>
      <c r="Q190" s="113"/>
      <c r="R190" s="113"/>
      <c r="S190" s="113"/>
      <c r="T190" s="113"/>
      <c r="U190" s="113"/>
      <c r="V190" s="113"/>
      <c r="W190" s="113"/>
      <c r="X190" s="113"/>
      <c r="Y190" s="113"/>
      <c r="Z190" s="113"/>
      <c r="AA190" s="113"/>
      <c r="AB190" s="113"/>
      <c r="AC190" s="113"/>
      <c r="AD190" s="113"/>
      <c r="AE190" s="113"/>
      <c r="AF190" s="113"/>
      <c r="AG190" s="113"/>
    </row>
    <row r="191" spans="1:33" ht="13.8">
      <c r="A191" s="113"/>
      <c r="B191" s="113"/>
      <c r="C191" s="113"/>
      <c r="D191" s="113"/>
      <c r="E191" s="113"/>
      <c r="F191" s="113"/>
      <c r="G191" s="113"/>
      <c r="H191" s="113"/>
      <c r="I191" s="113"/>
      <c r="J191" s="113"/>
      <c r="K191" s="113"/>
      <c r="L191" s="113"/>
      <c r="M191" s="113"/>
      <c r="N191" s="113"/>
      <c r="O191" s="113"/>
      <c r="P191" s="113"/>
      <c r="Q191" s="113"/>
      <c r="R191" s="113"/>
      <c r="S191" s="113"/>
      <c r="T191" s="113"/>
      <c r="U191" s="113"/>
      <c r="V191" s="113"/>
      <c r="W191" s="113"/>
      <c r="X191" s="113"/>
      <c r="Y191" s="113"/>
      <c r="Z191" s="113"/>
      <c r="AA191" s="113"/>
      <c r="AB191" s="113"/>
      <c r="AC191" s="113"/>
      <c r="AD191" s="113"/>
      <c r="AE191" s="113"/>
      <c r="AF191" s="113"/>
      <c r="AG191" s="113"/>
    </row>
    <row r="192" spans="1:33" ht="13.8">
      <c r="A192" s="113"/>
      <c r="B192" s="113"/>
      <c r="C192" s="113"/>
      <c r="D192" s="113"/>
      <c r="E192" s="113"/>
      <c r="F192" s="113"/>
      <c r="G192" s="113"/>
      <c r="H192" s="113"/>
      <c r="I192" s="113"/>
      <c r="J192" s="113"/>
      <c r="K192" s="113"/>
      <c r="L192" s="113"/>
      <c r="M192" s="113"/>
      <c r="N192" s="113"/>
      <c r="O192" s="113"/>
      <c r="P192" s="113"/>
      <c r="Q192" s="113"/>
      <c r="R192" s="113"/>
      <c r="S192" s="113"/>
      <c r="T192" s="113"/>
      <c r="U192" s="113"/>
      <c r="V192" s="113"/>
      <c r="W192" s="113"/>
      <c r="X192" s="113"/>
      <c r="Y192" s="113"/>
      <c r="Z192" s="113"/>
      <c r="AA192" s="113"/>
      <c r="AB192" s="113"/>
      <c r="AC192" s="113"/>
      <c r="AD192" s="113"/>
      <c r="AE192" s="113"/>
      <c r="AF192" s="113"/>
      <c r="AG192" s="113"/>
    </row>
    <row r="193" spans="1:33" ht="13.8">
      <c r="A193" s="113"/>
      <c r="B193" s="113"/>
      <c r="C193" s="113"/>
      <c r="D193" s="113"/>
      <c r="E193" s="113"/>
      <c r="F193" s="113"/>
      <c r="G193" s="113"/>
      <c r="H193" s="113"/>
      <c r="I193" s="113"/>
      <c r="J193" s="113"/>
      <c r="K193" s="113"/>
      <c r="L193" s="113"/>
      <c r="M193" s="113"/>
      <c r="N193" s="113"/>
      <c r="O193" s="113"/>
      <c r="P193" s="113"/>
      <c r="Q193" s="113"/>
      <c r="R193" s="113"/>
      <c r="S193" s="113"/>
      <c r="T193" s="113"/>
      <c r="U193" s="113"/>
      <c r="V193" s="113"/>
      <c r="W193" s="113"/>
      <c r="X193" s="113"/>
      <c r="Y193" s="113"/>
      <c r="Z193" s="113"/>
      <c r="AA193" s="113"/>
      <c r="AB193" s="113"/>
      <c r="AC193" s="113"/>
      <c r="AD193" s="113"/>
      <c r="AE193" s="113"/>
      <c r="AF193" s="113"/>
      <c r="AG193" s="113"/>
    </row>
    <row r="194" spans="1:33" ht="13.8">
      <c r="A194" s="113"/>
      <c r="B194" s="113"/>
      <c r="C194" s="113"/>
      <c r="D194" s="113"/>
      <c r="E194" s="113"/>
      <c r="F194" s="113"/>
      <c r="G194" s="113"/>
      <c r="H194" s="113"/>
      <c r="I194" s="113"/>
      <c r="J194" s="113"/>
      <c r="K194" s="113"/>
      <c r="L194" s="113"/>
      <c r="M194" s="113"/>
      <c r="N194" s="113"/>
      <c r="O194" s="113"/>
      <c r="P194" s="113"/>
      <c r="Q194" s="113"/>
      <c r="R194" s="113"/>
      <c r="S194" s="113"/>
      <c r="T194" s="113"/>
      <c r="U194" s="113"/>
      <c r="V194" s="113"/>
      <c r="W194" s="113"/>
      <c r="X194" s="113"/>
      <c r="Y194" s="113"/>
      <c r="Z194" s="113"/>
      <c r="AA194" s="113"/>
      <c r="AB194" s="113"/>
      <c r="AC194" s="113"/>
      <c r="AD194" s="113"/>
      <c r="AE194" s="113"/>
      <c r="AF194" s="113"/>
      <c r="AG194" s="113"/>
    </row>
    <row r="195" spans="1:33" ht="13.8">
      <c r="A195" s="113"/>
      <c r="B195" s="113"/>
      <c r="C195" s="113"/>
      <c r="D195" s="113"/>
      <c r="E195" s="113"/>
      <c r="F195" s="113"/>
      <c r="G195" s="113"/>
      <c r="H195" s="113"/>
      <c r="I195" s="113"/>
      <c r="J195" s="113"/>
      <c r="K195" s="113"/>
      <c r="L195" s="113"/>
      <c r="M195" s="113"/>
      <c r="N195" s="113"/>
      <c r="O195" s="113"/>
      <c r="P195" s="113"/>
      <c r="Q195" s="113"/>
      <c r="R195" s="113"/>
      <c r="S195" s="113"/>
      <c r="T195" s="113"/>
      <c r="U195" s="113"/>
      <c r="V195" s="113"/>
      <c r="W195" s="113"/>
      <c r="X195" s="113"/>
      <c r="Y195" s="113"/>
      <c r="Z195" s="113"/>
      <c r="AA195" s="113"/>
      <c r="AB195" s="113"/>
      <c r="AC195" s="113"/>
      <c r="AD195" s="113"/>
      <c r="AE195" s="113"/>
      <c r="AF195" s="113"/>
      <c r="AG195" s="113"/>
    </row>
    <row r="196" spans="1:33" ht="13.8">
      <c r="A196" s="113"/>
      <c r="B196" s="113"/>
      <c r="C196" s="113"/>
      <c r="D196" s="113"/>
      <c r="E196" s="113"/>
      <c r="F196" s="113"/>
      <c r="G196" s="113"/>
      <c r="H196" s="113"/>
      <c r="I196" s="113"/>
      <c r="J196" s="113"/>
      <c r="K196" s="113"/>
      <c r="L196" s="113"/>
      <c r="M196" s="113"/>
      <c r="N196" s="113"/>
      <c r="O196" s="113"/>
      <c r="P196" s="113"/>
      <c r="Q196" s="113"/>
      <c r="R196" s="113"/>
      <c r="S196" s="113"/>
      <c r="T196" s="113"/>
      <c r="U196" s="113"/>
      <c r="V196" s="113"/>
      <c r="W196" s="113"/>
      <c r="X196" s="113"/>
      <c r="Y196" s="113"/>
      <c r="Z196" s="113"/>
      <c r="AA196" s="113"/>
      <c r="AB196" s="113"/>
      <c r="AC196" s="113"/>
      <c r="AD196" s="113"/>
      <c r="AE196" s="113"/>
      <c r="AF196" s="113"/>
      <c r="AG196" s="113"/>
    </row>
    <row r="197" spans="1:33" ht="13.8">
      <c r="A197" s="113"/>
      <c r="B197" s="113"/>
      <c r="C197" s="113"/>
      <c r="D197" s="113"/>
      <c r="E197" s="113"/>
      <c r="F197" s="113"/>
      <c r="G197" s="113"/>
      <c r="H197" s="113"/>
      <c r="I197" s="113"/>
      <c r="J197" s="113"/>
      <c r="K197" s="113"/>
      <c r="L197" s="113"/>
      <c r="M197" s="113"/>
      <c r="N197" s="113"/>
      <c r="O197" s="113"/>
      <c r="P197" s="113"/>
      <c r="Q197" s="113"/>
      <c r="R197" s="113"/>
      <c r="S197" s="113"/>
      <c r="T197" s="113"/>
      <c r="U197" s="113"/>
      <c r="V197" s="113"/>
      <c r="W197" s="113"/>
      <c r="X197" s="113"/>
      <c r="Y197" s="113"/>
      <c r="Z197" s="113"/>
      <c r="AA197" s="113"/>
      <c r="AB197" s="113"/>
      <c r="AC197" s="113"/>
      <c r="AD197" s="113"/>
      <c r="AE197" s="113"/>
      <c r="AF197" s="113"/>
      <c r="AG197" s="113"/>
    </row>
    <row r="198" spans="1:33" ht="13.8">
      <c r="A198" s="113"/>
      <c r="B198" s="113"/>
      <c r="C198" s="113"/>
      <c r="D198" s="113"/>
      <c r="E198" s="113"/>
      <c r="F198" s="113"/>
      <c r="G198" s="113"/>
      <c r="H198" s="113"/>
      <c r="I198" s="113"/>
      <c r="J198" s="113"/>
      <c r="K198" s="113"/>
      <c r="L198" s="113"/>
      <c r="M198" s="113"/>
      <c r="N198" s="113"/>
      <c r="O198" s="113"/>
      <c r="P198" s="113"/>
      <c r="Q198" s="113"/>
      <c r="R198" s="113"/>
      <c r="S198" s="113"/>
      <c r="T198" s="113"/>
      <c r="U198" s="113"/>
      <c r="V198" s="113"/>
      <c r="W198" s="113"/>
      <c r="X198" s="113"/>
      <c r="Y198" s="113"/>
      <c r="Z198" s="113"/>
      <c r="AA198" s="113"/>
      <c r="AB198" s="113"/>
      <c r="AC198" s="113"/>
      <c r="AD198" s="113"/>
      <c r="AE198" s="113"/>
      <c r="AF198" s="113"/>
      <c r="AG198" s="113"/>
    </row>
    <row r="199" spans="1:33" ht="13.8">
      <c r="A199" s="113"/>
      <c r="B199" s="113"/>
      <c r="C199" s="113"/>
      <c r="D199" s="113"/>
      <c r="E199" s="113"/>
      <c r="F199" s="113"/>
      <c r="G199" s="113"/>
      <c r="H199" s="113"/>
      <c r="I199" s="113"/>
      <c r="J199" s="113"/>
      <c r="K199" s="113"/>
      <c r="L199" s="113"/>
      <c r="M199" s="113"/>
      <c r="N199" s="113"/>
      <c r="O199" s="113"/>
      <c r="P199" s="113"/>
      <c r="Q199" s="113"/>
      <c r="R199" s="113"/>
      <c r="S199" s="113"/>
      <c r="T199" s="113"/>
      <c r="U199" s="113"/>
      <c r="V199" s="113"/>
      <c r="W199" s="113"/>
      <c r="X199" s="113"/>
      <c r="Y199" s="113"/>
      <c r="Z199" s="113"/>
      <c r="AA199" s="113"/>
      <c r="AB199" s="113"/>
      <c r="AC199" s="113"/>
      <c r="AD199" s="113"/>
      <c r="AE199" s="113"/>
      <c r="AF199" s="113"/>
      <c r="AG199" s="113"/>
    </row>
    <row r="200" spans="1:33" ht="13.8">
      <c r="A200" s="113"/>
      <c r="B200" s="113"/>
      <c r="C200" s="113"/>
      <c r="D200" s="113"/>
      <c r="E200" s="113"/>
      <c r="F200" s="113"/>
      <c r="G200" s="113"/>
      <c r="H200" s="113"/>
      <c r="I200" s="113"/>
      <c r="J200" s="113"/>
      <c r="K200" s="113"/>
      <c r="L200" s="113"/>
      <c r="M200" s="113"/>
      <c r="N200" s="113"/>
      <c r="O200" s="113"/>
      <c r="P200" s="113"/>
      <c r="Q200" s="113"/>
      <c r="R200" s="113"/>
      <c r="S200" s="113"/>
      <c r="T200" s="113"/>
      <c r="U200" s="113"/>
      <c r="V200" s="113"/>
      <c r="W200" s="113"/>
      <c r="X200" s="113"/>
      <c r="Y200" s="113"/>
      <c r="Z200" s="113"/>
      <c r="AA200" s="113"/>
      <c r="AB200" s="113"/>
      <c r="AC200" s="113"/>
      <c r="AD200" s="113"/>
      <c r="AE200" s="113"/>
      <c r="AF200" s="113"/>
      <c r="AG200" s="113"/>
    </row>
    <row r="201" spans="1:33" ht="13.8">
      <c r="A201" s="113"/>
      <c r="B201" s="113"/>
      <c r="C201" s="113"/>
      <c r="D201" s="113"/>
      <c r="E201" s="113"/>
      <c r="F201" s="113"/>
      <c r="G201" s="113"/>
      <c r="H201" s="113"/>
      <c r="I201" s="113"/>
      <c r="J201" s="113"/>
      <c r="K201" s="113"/>
      <c r="L201" s="113"/>
      <c r="M201" s="113"/>
      <c r="N201" s="113"/>
      <c r="O201" s="113"/>
      <c r="P201" s="113"/>
      <c r="Q201" s="113"/>
      <c r="R201" s="113"/>
      <c r="S201" s="113"/>
      <c r="T201" s="113"/>
      <c r="U201" s="113"/>
      <c r="V201" s="113"/>
      <c r="W201" s="113"/>
      <c r="X201" s="113"/>
      <c r="Y201" s="113"/>
      <c r="Z201" s="113"/>
      <c r="AA201" s="113"/>
      <c r="AB201" s="113"/>
      <c r="AC201" s="113"/>
      <c r="AD201" s="113"/>
      <c r="AE201" s="113"/>
      <c r="AF201" s="113"/>
      <c r="AG201" s="113"/>
    </row>
    <row r="202" spans="1:33" ht="13.8">
      <c r="A202" s="113"/>
      <c r="B202" s="113"/>
      <c r="C202" s="113"/>
      <c r="D202" s="113"/>
      <c r="E202" s="113"/>
      <c r="F202" s="113"/>
      <c r="G202" s="113"/>
      <c r="H202" s="113"/>
      <c r="I202" s="113"/>
      <c r="J202" s="113"/>
      <c r="K202" s="113"/>
      <c r="L202" s="113"/>
      <c r="M202" s="113"/>
      <c r="N202" s="113"/>
      <c r="O202" s="113"/>
      <c r="P202" s="113"/>
      <c r="Q202" s="113"/>
      <c r="R202" s="113"/>
      <c r="S202" s="113"/>
      <c r="T202" s="113"/>
      <c r="U202" s="113"/>
      <c r="V202" s="113"/>
      <c r="W202" s="113"/>
      <c r="X202" s="113"/>
      <c r="Y202" s="113"/>
      <c r="Z202" s="113"/>
      <c r="AA202" s="113"/>
      <c r="AB202" s="113"/>
      <c r="AC202" s="113"/>
      <c r="AD202" s="113"/>
      <c r="AE202" s="113"/>
      <c r="AF202" s="113"/>
      <c r="AG202" s="113"/>
    </row>
    <row r="203" spans="1:33" ht="13.8">
      <c r="A203" s="113"/>
      <c r="B203" s="113"/>
      <c r="C203" s="113"/>
      <c r="D203" s="113"/>
      <c r="E203" s="113"/>
      <c r="F203" s="113"/>
      <c r="G203" s="113"/>
      <c r="H203" s="113"/>
      <c r="I203" s="113"/>
      <c r="J203" s="113"/>
      <c r="K203" s="113"/>
      <c r="L203" s="113"/>
      <c r="M203" s="113"/>
      <c r="N203" s="113"/>
      <c r="O203" s="113"/>
      <c r="P203" s="113"/>
      <c r="Q203" s="113"/>
      <c r="R203" s="113"/>
      <c r="S203" s="113"/>
      <c r="T203" s="113"/>
      <c r="U203" s="113"/>
      <c r="V203" s="113"/>
      <c r="W203" s="113"/>
      <c r="X203" s="113"/>
      <c r="Y203" s="113"/>
      <c r="Z203" s="113"/>
      <c r="AA203" s="113"/>
      <c r="AB203" s="113"/>
      <c r="AC203" s="113"/>
      <c r="AD203" s="113"/>
      <c r="AE203" s="113"/>
      <c r="AF203" s="113"/>
      <c r="AG203" s="113"/>
    </row>
    <row r="204" spans="1:33" ht="13.8">
      <c r="A204" s="113"/>
      <c r="B204" s="113"/>
      <c r="C204" s="113"/>
      <c r="D204" s="113"/>
      <c r="E204" s="113"/>
      <c r="F204" s="113"/>
      <c r="G204" s="113"/>
      <c r="H204" s="113"/>
      <c r="I204" s="113"/>
      <c r="J204" s="113"/>
      <c r="K204" s="113"/>
      <c r="L204" s="113"/>
      <c r="M204" s="113"/>
      <c r="N204" s="113"/>
      <c r="O204" s="113"/>
      <c r="P204" s="113"/>
      <c r="Q204" s="113"/>
      <c r="R204" s="113"/>
      <c r="S204" s="113"/>
      <c r="T204" s="113"/>
      <c r="U204" s="113"/>
      <c r="V204" s="113"/>
      <c r="W204" s="113"/>
      <c r="X204" s="113"/>
      <c r="Y204" s="113"/>
      <c r="Z204" s="113"/>
      <c r="AA204" s="113"/>
      <c r="AB204" s="113"/>
      <c r="AC204" s="113"/>
      <c r="AD204" s="113"/>
      <c r="AE204" s="113"/>
      <c r="AF204" s="113"/>
      <c r="AG204" s="113"/>
    </row>
    <row r="205" spans="1:33" ht="13.8">
      <c r="A205" s="113"/>
      <c r="B205" s="113"/>
      <c r="C205" s="113"/>
      <c r="D205" s="113"/>
      <c r="E205" s="113"/>
      <c r="F205" s="113"/>
      <c r="G205" s="113"/>
      <c r="H205" s="113"/>
      <c r="I205" s="113"/>
      <c r="J205" s="113"/>
      <c r="K205" s="113"/>
      <c r="L205" s="113"/>
      <c r="M205" s="113"/>
      <c r="N205" s="113"/>
      <c r="O205" s="113"/>
      <c r="P205" s="113"/>
      <c r="Q205" s="113"/>
      <c r="R205" s="113"/>
      <c r="S205" s="113"/>
      <c r="T205" s="113"/>
      <c r="U205" s="113"/>
      <c r="V205" s="113"/>
      <c r="W205" s="113"/>
      <c r="X205" s="113"/>
      <c r="Y205" s="113"/>
      <c r="Z205" s="113"/>
      <c r="AA205" s="113"/>
      <c r="AB205" s="113"/>
      <c r="AC205" s="113"/>
      <c r="AD205" s="113"/>
      <c r="AE205" s="113"/>
      <c r="AF205" s="113"/>
      <c r="AG205" s="113"/>
    </row>
    <row r="206" spans="1:33" ht="13.8">
      <c r="A206" s="113"/>
      <c r="B206" s="113"/>
      <c r="C206" s="113"/>
      <c r="D206" s="113"/>
      <c r="E206" s="113"/>
      <c r="F206" s="113"/>
      <c r="G206" s="113"/>
      <c r="H206" s="113"/>
      <c r="I206" s="113"/>
      <c r="J206" s="113"/>
      <c r="K206" s="113"/>
      <c r="L206" s="113"/>
      <c r="M206" s="113"/>
      <c r="N206" s="113"/>
      <c r="O206" s="113"/>
      <c r="P206" s="113"/>
      <c r="Q206" s="113"/>
      <c r="R206" s="113"/>
      <c r="S206" s="113"/>
      <c r="T206" s="113"/>
      <c r="U206" s="113"/>
      <c r="V206" s="113"/>
      <c r="W206" s="113"/>
      <c r="X206" s="113"/>
      <c r="Y206" s="113"/>
      <c r="Z206" s="113"/>
      <c r="AA206" s="113"/>
      <c r="AB206" s="113"/>
      <c r="AC206" s="113"/>
      <c r="AD206" s="113"/>
      <c r="AE206" s="113"/>
      <c r="AF206" s="113"/>
      <c r="AG206" s="113"/>
    </row>
    <row r="207" spans="1:33" ht="13.8">
      <c r="A207" s="113"/>
      <c r="B207" s="113"/>
      <c r="C207" s="113"/>
      <c r="D207" s="113"/>
      <c r="E207" s="113"/>
      <c r="F207" s="113"/>
      <c r="G207" s="113"/>
      <c r="H207" s="113"/>
      <c r="I207" s="113"/>
      <c r="J207" s="113"/>
      <c r="K207" s="113"/>
      <c r="L207" s="113"/>
      <c r="M207" s="113"/>
      <c r="N207" s="113"/>
      <c r="O207" s="113"/>
      <c r="P207" s="113"/>
      <c r="Q207" s="113"/>
      <c r="R207" s="113"/>
      <c r="S207" s="113"/>
      <c r="T207" s="113"/>
      <c r="U207" s="113"/>
      <c r="V207" s="113"/>
      <c r="W207" s="113"/>
      <c r="X207" s="113"/>
      <c r="Y207" s="113"/>
      <c r="Z207" s="113"/>
      <c r="AA207" s="113"/>
      <c r="AB207" s="113"/>
      <c r="AC207" s="113"/>
      <c r="AD207" s="113"/>
      <c r="AE207" s="113"/>
      <c r="AF207" s="113"/>
      <c r="AG207" s="113"/>
    </row>
    <row r="208" spans="1:33" ht="13.8">
      <c r="A208" s="113"/>
      <c r="B208" s="113"/>
      <c r="C208" s="113"/>
      <c r="D208" s="113"/>
      <c r="E208" s="113"/>
      <c r="F208" s="113"/>
      <c r="G208" s="113"/>
      <c r="H208" s="113"/>
      <c r="I208" s="113"/>
      <c r="J208" s="113"/>
      <c r="K208" s="113"/>
      <c r="L208" s="113"/>
      <c r="M208" s="113"/>
      <c r="N208" s="113"/>
      <c r="O208" s="113"/>
      <c r="P208" s="113"/>
      <c r="Q208" s="113"/>
      <c r="R208" s="113"/>
      <c r="S208" s="113"/>
      <c r="T208" s="113"/>
      <c r="U208" s="113"/>
      <c r="V208" s="113"/>
      <c r="W208" s="113"/>
      <c r="X208" s="113"/>
      <c r="Y208" s="113"/>
      <c r="Z208" s="113"/>
      <c r="AA208" s="113"/>
      <c r="AB208" s="113"/>
      <c r="AC208" s="113"/>
      <c r="AD208" s="113"/>
      <c r="AE208" s="113"/>
      <c r="AF208" s="113"/>
      <c r="AG208" s="113"/>
    </row>
    <row r="209" spans="1:33" ht="13.8">
      <c r="A209" s="113"/>
      <c r="B209" s="113"/>
      <c r="C209" s="113"/>
      <c r="D209" s="113"/>
      <c r="E209" s="113"/>
      <c r="F209" s="113"/>
      <c r="G209" s="113"/>
      <c r="H209" s="113"/>
      <c r="I209" s="113"/>
      <c r="J209" s="113"/>
      <c r="K209" s="113"/>
      <c r="L209" s="113"/>
      <c r="M209" s="113"/>
      <c r="N209" s="113"/>
      <c r="O209" s="113"/>
      <c r="P209" s="113"/>
      <c r="Q209" s="113"/>
      <c r="R209" s="113"/>
      <c r="S209" s="113"/>
      <c r="T209" s="113"/>
      <c r="U209" s="113"/>
      <c r="V209" s="113"/>
      <c r="W209" s="113"/>
      <c r="X209" s="113"/>
      <c r="Y209" s="113"/>
      <c r="Z209" s="113"/>
      <c r="AA209" s="113"/>
      <c r="AB209" s="113"/>
      <c r="AC209" s="113"/>
      <c r="AD209" s="113"/>
      <c r="AE209" s="113"/>
      <c r="AF209" s="113"/>
      <c r="AG209" s="113"/>
    </row>
    <row r="210" spans="1:33" ht="13.8">
      <c r="A210" s="113"/>
      <c r="B210" s="113"/>
      <c r="C210" s="113"/>
      <c r="D210" s="113"/>
      <c r="E210" s="113"/>
      <c r="F210" s="113"/>
      <c r="G210" s="113"/>
      <c r="H210" s="113"/>
      <c r="I210" s="113"/>
      <c r="J210" s="113"/>
      <c r="K210" s="113"/>
      <c r="L210" s="113"/>
      <c r="M210" s="113"/>
      <c r="N210" s="113"/>
      <c r="O210" s="113"/>
      <c r="P210" s="113"/>
      <c r="Q210" s="113"/>
      <c r="R210" s="113"/>
      <c r="S210" s="113"/>
      <c r="T210" s="113"/>
      <c r="U210" s="113"/>
      <c r="V210" s="113"/>
      <c r="W210" s="113"/>
      <c r="X210" s="113"/>
      <c r="Y210" s="113"/>
      <c r="Z210" s="113"/>
      <c r="AA210" s="113"/>
      <c r="AB210" s="113"/>
      <c r="AC210" s="113"/>
      <c r="AD210" s="113"/>
      <c r="AE210" s="113"/>
      <c r="AF210" s="113"/>
      <c r="AG210" s="113"/>
    </row>
    <row r="211" spans="1:33" ht="13.8">
      <c r="A211" s="113"/>
      <c r="B211" s="113"/>
      <c r="C211" s="113"/>
      <c r="D211" s="113"/>
      <c r="E211" s="113"/>
      <c r="F211" s="113"/>
      <c r="G211" s="113"/>
      <c r="H211" s="113"/>
      <c r="I211" s="113"/>
      <c r="J211" s="113"/>
      <c r="K211" s="113"/>
      <c r="L211" s="113"/>
      <c r="M211" s="113"/>
      <c r="N211" s="113"/>
      <c r="O211" s="113"/>
      <c r="P211" s="113"/>
      <c r="Q211" s="113"/>
      <c r="R211" s="113"/>
      <c r="S211" s="113"/>
      <c r="T211" s="113"/>
      <c r="U211" s="113"/>
      <c r="V211" s="113"/>
      <c r="W211" s="113"/>
      <c r="X211" s="113"/>
      <c r="Y211" s="113"/>
      <c r="Z211" s="113"/>
      <c r="AA211" s="113"/>
      <c r="AB211" s="113"/>
      <c r="AC211" s="113"/>
      <c r="AD211" s="113"/>
      <c r="AE211" s="113"/>
      <c r="AF211" s="113"/>
      <c r="AG211" s="113"/>
    </row>
    <row r="212" spans="1:33" ht="13.8">
      <c r="A212" s="113"/>
      <c r="B212" s="113"/>
      <c r="C212" s="113"/>
      <c r="D212" s="113"/>
      <c r="E212" s="113"/>
      <c r="F212" s="113"/>
      <c r="G212" s="113"/>
      <c r="H212" s="113"/>
      <c r="I212" s="113"/>
      <c r="J212" s="113"/>
      <c r="K212" s="113"/>
      <c r="L212" s="113"/>
      <c r="M212" s="113"/>
      <c r="N212" s="113"/>
      <c r="O212" s="113"/>
      <c r="P212" s="113"/>
      <c r="Q212" s="113"/>
      <c r="R212" s="113"/>
      <c r="S212" s="113"/>
      <c r="T212" s="113"/>
      <c r="U212" s="113"/>
      <c r="V212" s="113"/>
      <c r="W212" s="113"/>
      <c r="X212" s="113"/>
      <c r="Y212" s="113"/>
      <c r="Z212" s="113"/>
      <c r="AA212" s="113"/>
      <c r="AB212" s="113"/>
      <c r="AC212" s="113"/>
      <c r="AD212" s="113"/>
      <c r="AE212" s="113"/>
      <c r="AF212" s="113"/>
      <c r="AG212" s="113"/>
    </row>
    <row r="213" spans="1:33" ht="13.8">
      <c r="A213" s="113"/>
      <c r="B213" s="113"/>
      <c r="C213" s="113"/>
      <c r="D213" s="113"/>
      <c r="E213" s="113"/>
      <c r="F213" s="113"/>
      <c r="G213" s="113"/>
      <c r="H213" s="113"/>
      <c r="I213" s="113"/>
      <c r="J213" s="113"/>
      <c r="K213" s="113"/>
      <c r="L213" s="113"/>
      <c r="M213" s="113"/>
      <c r="N213" s="113"/>
      <c r="O213" s="113"/>
      <c r="P213" s="113"/>
      <c r="Q213" s="113"/>
      <c r="R213" s="113"/>
      <c r="S213" s="113"/>
      <c r="T213" s="113"/>
      <c r="U213" s="113"/>
      <c r="V213" s="113"/>
      <c r="W213" s="113"/>
      <c r="X213" s="113"/>
      <c r="Y213" s="113"/>
      <c r="Z213" s="113"/>
      <c r="AA213" s="113"/>
      <c r="AB213" s="113"/>
      <c r="AC213" s="113"/>
      <c r="AD213" s="113"/>
      <c r="AE213" s="113"/>
      <c r="AF213" s="113"/>
      <c r="AG213" s="113"/>
    </row>
    <row r="214" spans="1:33" ht="13.8">
      <c r="A214" s="113"/>
      <c r="B214" s="113"/>
      <c r="C214" s="113"/>
      <c r="D214" s="113"/>
      <c r="E214" s="113"/>
      <c r="F214" s="113"/>
      <c r="G214" s="113"/>
      <c r="H214" s="113"/>
      <c r="I214" s="113"/>
      <c r="J214" s="113"/>
      <c r="K214" s="113"/>
      <c r="L214" s="113"/>
      <c r="M214" s="113"/>
      <c r="N214" s="113"/>
      <c r="O214" s="113"/>
      <c r="P214" s="113"/>
      <c r="Q214" s="113"/>
      <c r="R214" s="113"/>
      <c r="S214" s="113"/>
      <c r="T214" s="113"/>
      <c r="U214" s="113"/>
      <c r="V214" s="113"/>
      <c r="W214" s="113"/>
      <c r="X214" s="113"/>
      <c r="Y214" s="113"/>
      <c r="Z214" s="113"/>
      <c r="AA214" s="113"/>
      <c r="AB214" s="113"/>
      <c r="AC214" s="113"/>
      <c r="AD214" s="113"/>
      <c r="AE214" s="113"/>
      <c r="AF214" s="113"/>
      <c r="AG214" s="113"/>
    </row>
    <row r="215" spans="1:33" ht="13.8">
      <c r="A215" s="113"/>
      <c r="B215" s="113"/>
      <c r="C215" s="113"/>
      <c r="D215" s="113"/>
      <c r="E215" s="113"/>
      <c r="F215" s="113"/>
      <c r="G215" s="113"/>
      <c r="H215" s="113"/>
      <c r="I215" s="113"/>
      <c r="J215" s="113"/>
      <c r="K215" s="113"/>
      <c r="L215" s="113"/>
      <c r="M215" s="113"/>
      <c r="N215" s="113"/>
      <c r="O215" s="113"/>
      <c r="P215" s="113"/>
      <c r="Q215" s="113"/>
      <c r="R215" s="113"/>
      <c r="S215" s="113"/>
      <c r="T215" s="113"/>
      <c r="U215" s="113"/>
      <c r="V215" s="113"/>
      <c r="W215" s="113"/>
      <c r="X215" s="113"/>
      <c r="Y215" s="113"/>
      <c r="Z215" s="113"/>
      <c r="AA215" s="113"/>
      <c r="AB215" s="113"/>
      <c r="AC215" s="113"/>
      <c r="AD215" s="113"/>
      <c r="AE215" s="113"/>
      <c r="AF215" s="113"/>
      <c r="AG215" s="113"/>
    </row>
    <row r="216" spans="1:33" ht="13.8">
      <c r="A216" s="113"/>
      <c r="B216" s="113"/>
      <c r="C216" s="113"/>
      <c r="D216" s="113"/>
      <c r="E216" s="113"/>
      <c r="F216" s="113"/>
      <c r="G216" s="113"/>
      <c r="H216" s="113"/>
      <c r="I216" s="113"/>
      <c r="J216" s="113"/>
      <c r="K216" s="113"/>
      <c r="L216" s="113"/>
      <c r="M216" s="113"/>
      <c r="N216" s="113"/>
      <c r="O216" s="113"/>
      <c r="P216" s="113"/>
      <c r="Q216" s="113"/>
      <c r="R216" s="113"/>
      <c r="S216" s="113"/>
      <c r="T216" s="113"/>
      <c r="U216" s="113"/>
      <c r="V216" s="113"/>
      <c r="W216" s="113"/>
      <c r="X216" s="113"/>
      <c r="Y216" s="113"/>
      <c r="Z216" s="113"/>
      <c r="AA216" s="113"/>
      <c r="AB216" s="113"/>
      <c r="AC216" s="113"/>
      <c r="AD216" s="113"/>
      <c r="AE216" s="113"/>
      <c r="AF216" s="113"/>
      <c r="AG216" s="113"/>
    </row>
    <row r="217" spans="1:33" ht="13.8">
      <c r="A217" s="113"/>
      <c r="B217" s="113"/>
      <c r="C217" s="113"/>
      <c r="D217" s="113"/>
      <c r="E217" s="113"/>
      <c r="F217" s="113"/>
      <c r="G217" s="113"/>
      <c r="H217" s="113"/>
      <c r="I217" s="113"/>
      <c r="J217" s="113"/>
      <c r="K217" s="113"/>
      <c r="L217" s="113"/>
      <c r="M217" s="113"/>
      <c r="N217" s="113"/>
      <c r="O217" s="113"/>
      <c r="P217" s="113"/>
      <c r="Q217" s="113"/>
      <c r="R217" s="113"/>
      <c r="S217" s="113"/>
      <c r="T217" s="113"/>
      <c r="U217" s="113"/>
      <c r="V217" s="113"/>
      <c r="W217" s="113"/>
      <c r="X217" s="113"/>
      <c r="Y217" s="113"/>
      <c r="Z217" s="113"/>
      <c r="AA217" s="113"/>
      <c r="AB217" s="113"/>
      <c r="AC217" s="113"/>
      <c r="AD217" s="113"/>
      <c r="AE217" s="113"/>
      <c r="AF217" s="113"/>
      <c r="AG217" s="113"/>
    </row>
    <row r="218" spans="1:33" ht="13.8">
      <c r="A218" s="113"/>
      <c r="B218" s="113"/>
      <c r="C218" s="113"/>
      <c r="D218" s="113"/>
      <c r="E218" s="113"/>
      <c r="F218" s="113"/>
      <c r="G218" s="113"/>
      <c r="H218" s="113"/>
      <c r="I218" s="113"/>
      <c r="J218" s="113"/>
      <c r="K218" s="113"/>
      <c r="L218" s="113"/>
      <c r="M218" s="113"/>
      <c r="N218" s="113"/>
      <c r="O218" s="113"/>
      <c r="P218" s="113"/>
      <c r="Q218" s="113"/>
      <c r="R218" s="113"/>
      <c r="S218" s="113"/>
      <c r="T218" s="113"/>
      <c r="U218" s="113"/>
      <c r="V218" s="113"/>
      <c r="W218" s="113"/>
      <c r="X218" s="113"/>
      <c r="Y218" s="113"/>
      <c r="Z218" s="113"/>
      <c r="AA218" s="113"/>
      <c r="AB218" s="113"/>
      <c r="AC218" s="113"/>
      <c r="AD218" s="113"/>
      <c r="AE218" s="113"/>
      <c r="AF218" s="113"/>
      <c r="AG218" s="113"/>
    </row>
    <row r="219" spans="1:33" ht="13.8">
      <c r="A219" s="113"/>
      <c r="B219" s="113"/>
      <c r="C219" s="113"/>
      <c r="D219" s="113"/>
      <c r="E219" s="113"/>
      <c r="F219" s="113"/>
      <c r="G219" s="113"/>
      <c r="H219" s="113"/>
      <c r="I219" s="113"/>
      <c r="J219" s="113"/>
      <c r="K219" s="113"/>
      <c r="L219" s="113"/>
      <c r="M219" s="113"/>
      <c r="N219" s="113"/>
      <c r="O219" s="113"/>
      <c r="P219" s="113"/>
      <c r="Q219" s="113"/>
      <c r="R219" s="113"/>
      <c r="S219" s="113"/>
      <c r="T219" s="113"/>
      <c r="U219" s="113"/>
      <c r="V219" s="113"/>
      <c r="W219" s="113"/>
      <c r="X219" s="113"/>
      <c r="Y219" s="113"/>
      <c r="Z219" s="113"/>
      <c r="AA219" s="113"/>
      <c r="AB219" s="113"/>
      <c r="AC219" s="113"/>
      <c r="AD219" s="113"/>
      <c r="AE219" s="113"/>
      <c r="AF219" s="113"/>
      <c r="AG219" s="113"/>
    </row>
    <row r="220" spans="1:33" ht="13.8">
      <c r="A220" s="113"/>
      <c r="B220" s="113"/>
      <c r="C220" s="113"/>
      <c r="D220" s="113"/>
      <c r="E220" s="113"/>
      <c r="F220" s="113"/>
      <c r="G220" s="113"/>
      <c r="H220" s="113"/>
      <c r="I220" s="113"/>
      <c r="J220" s="113"/>
      <c r="K220" s="113"/>
      <c r="L220" s="113"/>
      <c r="M220" s="113"/>
      <c r="N220" s="113"/>
      <c r="O220" s="113"/>
      <c r="P220" s="113"/>
      <c r="Q220" s="113"/>
      <c r="R220" s="113"/>
      <c r="S220" s="113"/>
      <c r="T220" s="113"/>
      <c r="U220" s="113"/>
      <c r="V220" s="113"/>
      <c r="W220" s="113"/>
      <c r="X220" s="113"/>
      <c r="Y220" s="113"/>
      <c r="Z220" s="113"/>
      <c r="AA220" s="113"/>
      <c r="AB220" s="113"/>
      <c r="AC220" s="113"/>
      <c r="AD220" s="113"/>
      <c r="AE220" s="113"/>
      <c r="AF220" s="113"/>
      <c r="AG220" s="113"/>
    </row>
    <row r="221" spans="1:33" ht="13.8">
      <c r="A221" s="113"/>
      <c r="B221" s="113"/>
      <c r="C221" s="113"/>
      <c r="D221" s="113"/>
      <c r="E221" s="113"/>
      <c r="F221" s="113"/>
      <c r="G221" s="113"/>
      <c r="H221" s="113"/>
      <c r="I221" s="113"/>
      <c r="J221" s="113"/>
      <c r="K221" s="113"/>
      <c r="L221" s="113"/>
      <c r="M221" s="113"/>
      <c r="N221" s="113"/>
      <c r="O221" s="113"/>
      <c r="P221" s="113"/>
      <c r="Q221" s="113"/>
      <c r="R221" s="113"/>
      <c r="S221" s="113"/>
      <c r="T221" s="113"/>
      <c r="U221" s="113"/>
      <c r="V221" s="113"/>
      <c r="W221" s="113"/>
      <c r="X221" s="113"/>
      <c r="Y221" s="113"/>
      <c r="Z221" s="113"/>
      <c r="AA221" s="113"/>
      <c r="AB221" s="113"/>
      <c r="AC221" s="113"/>
      <c r="AD221" s="113"/>
      <c r="AE221" s="113"/>
      <c r="AF221" s="113"/>
      <c r="AG221" s="113"/>
    </row>
    <row r="222" spans="1:33" ht="13.8">
      <c r="A222" s="113"/>
      <c r="B222" s="113"/>
      <c r="C222" s="113"/>
      <c r="D222" s="113"/>
      <c r="E222" s="113"/>
      <c r="F222" s="113"/>
      <c r="G222" s="113"/>
      <c r="H222" s="113"/>
      <c r="I222" s="113"/>
      <c r="J222" s="113"/>
      <c r="K222" s="113"/>
      <c r="L222" s="113"/>
      <c r="M222" s="113"/>
      <c r="N222" s="113"/>
      <c r="O222" s="113"/>
      <c r="P222" s="113"/>
      <c r="Q222" s="113"/>
      <c r="R222" s="113"/>
      <c r="S222" s="113"/>
      <c r="T222" s="113"/>
      <c r="U222" s="113"/>
      <c r="V222" s="113"/>
      <c r="W222" s="113"/>
      <c r="X222" s="113"/>
      <c r="Y222" s="113"/>
      <c r="Z222" s="113"/>
      <c r="AA222" s="113"/>
      <c r="AB222" s="113"/>
      <c r="AC222" s="113"/>
      <c r="AD222" s="113"/>
      <c r="AE222" s="113"/>
      <c r="AF222" s="113"/>
      <c r="AG222" s="113"/>
    </row>
    <row r="223" spans="1:33" ht="13.8">
      <c r="A223" s="113"/>
      <c r="B223" s="113"/>
      <c r="C223" s="113"/>
      <c r="D223" s="113"/>
      <c r="E223" s="113"/>
      <c r="F223" s="113"/>
      <c r="G223" s="113"/>
      <c r="H223" s="113"/>
      <c r="I223" s="113"/>
      <c r="J223" s="113"/>
      <c r="K223" s="113"/>
      <c r="L223" s="113"/>
      <c r="M223" s="113"/>
      <c r="N223" s="113"/>
      <c r="O223" s="113"/>
      <c r="P223" s="113"/>
      <c r="Q223" s="113"/>
      <c r="R223" s="113"/>
      <c r="S223" s="113"/>
      <c r="T223" s="113"/>
      <c r="U223" s="113"/>
      <c r="V223" s="113"/>
      <c r="W223" s="113"/>
      <c r="X223" s="113"/>
      <c r="Y223" s="113"/>
      <c r="Z223" s="113"/>
      <c r="AA223" s="113"/>
      <c r="AB223" s="113"/>
      <c r="AC223" s="113"/>
      <c r="AD223" s="113"/>
      <c r="AE223" s="113"/>
      <c r="AF223" s="113"/>
      <c r="AG223" s="113"/>
    </row>
    <row r="224" spans="1:33" ht="13.8">
      <c r="A224" s="113"/>
      <c r="B224" s="113"/>
      <c r="C224" s="113"/>
      <c r="D224" s="113"/>
      <c r="E224" s="113"/>
      <c r="F224" s="113"/>
      <c r="G224" s="113"/>
      <c r="H224" s="113"/>
      <c r="I224" s="113"/>
      <c r="J224" s="113"/>
      <c r="K224" s="113"/>
      <c r="L224" s="113"/>
      <c r="M224" s="113"/>
      <c r="N224" s="113"/>
      <c r="O224" s="113"/>
      <c r="P224" s="113"/>
      <c r="Q224" s="113"/>
      <c r="R224" s="113"/>
      <c r="S224" s="113"/>
      <c r="T224" s="113"/>
      <c r="U224" s="113"/>
      <c r="V224" s="113"/>
      <c r="W224" s="113"/>
      <c r="X224" s="113"/>
      <c r="Y224" s="113"/>
      <c r="Z224" s="113"/>
      <c r="AA224" s="113"/>
      <c r="AB224" s="113"/>
      <c r="AC224" s="113"/>
      <c r="AD224" s="113"/>
      <c r="AE224" s="113"/>
      <c r="AF224" s="113"/>
      <c r="AG224" s="113"/>
    </row>
    <row r="225" spans="1:33" ht="13.8">
      <c r="A225" s="113"/>
      <c r="B225" s="113"/>
      <c r="C225" s="113"/>
      <c r="D225" s="113"/>
      <c r="E225" s="113"/>
      <c r="F225" s="113"/>
      <c r="G225" s="113"/>
      <c r="H225" s="113"/>
      <c r="I225" s="113"/>
      <c r="J225" s="113"/>
      <c r="K225" s="113"/>
      <c r="L225" s="113"/>
      <c r="M225" s="113"/>
      <c r="N225" s="113"/>
      <c r="O225" s="113"/>
      <c r="P225" s="113"/>
      <c r="Q225" s="113"/>
      <c r="R225" s="113"/>
      <c r="S225" s="113"/>
      <c r="T225" s="113"/>
      <c r="U225" s="113"/>
      <c r="V225" s="113"/>
      <c r="W225" s="113"/>
      <c r="X225" s="113"/>
      <c r="Y225" s="113"/>
      <c r="Z225" s="113"/>
      <c r="AA225" s="113"/>
      <c r="AB225" s="113"/>
      <c r="AC225" s="113"/>
      <c r="AD225" s="113"/>
      <c r="AE225" s="113"/>
      <c r="AF225" s="113"/>
      <c r="AG225" s="113"/>
    </row>
    <row r="226" spans="1:33" ht="13.8">
      <c r="A226" s="113"/>
      <c r="B226" s="113"/>
      <c r="C226" s="113"/>
      <c r="D226" s="113"/>
      <c r="E226" s="113"/>
      <c r="F226" s="113"/>
      <c r="G226" s="113"/>
      <c r="H226" s="113"/>
      <c r="I226" s="113"/>
      <c r="J226" s="113"/>
      <c r="K226" s="113"/>
      <c r="L226" s="113"/>
      <c r="M226" s="113"/>
      <c r="N226" s="113"/>
      <c r="O226" s="113"/>
      <c r="P226" s="113"/>
      <c r="Q226" s="113"/>
      <c r="R226" s="113"/>
      <c r="S226" s="113"/>
      <c r="T226" s="113"/>
      <c r="U226" s="113"/>
      <c r="V226" s="113"/>
      <c r="W226" s="113"/>
      <c r="X226" s="113"/>
      <c r="Y226" s="113"/>
      <c r="Z226" s="113"/>
      <c r="AA226" s="113"/>
      <c r="AB226" s="113"/>
      <c r="AC226" s="113"/>
      <c r="AD226" s="113"/>
      <c r="AE226" s="113"/>
      <c r="AF226" s="113"/>
      <c r="AG226" s="113"/>
    </row>
    <row r="227" spans="1:33" ht="13.8">
      <c r="A227" s="113"/>
      <c r="B227" s="113"/>
      <c r="C227" s="113"/>
      <c r="D227" s="113"/>
      <c r="E227" s="113"/>
      <c r="F227" s="113"/>
      <c r="G227" s="113"/>
      <c r="H227" s="113"/>
      <c r="I227" s="113"/>
      <c r="J227" s="113"/>
      <c r="K227" s="113"/>
      <c r="L227" s="113"/>
      <c r="M227" s="113"/>
      <c r="N227" s="113"/>
      <c r="O227" s="113"/>
      <c r="P227" s="113"/>
      <c r="Q227" s="113"/>
      <c r="R227" s="113"/>
      <c r="S227" s="113"/>
      <c r="T227" s="113"/>
      <c r="U227" s="113"/>
      <c r="V227" s="113"/>
      <c r="W227" s="113"/>
      <c r="X227" s="113"/>
      <c r="Y227" s="113"/>
      <c r="Z227" s="113"/>
      <c r="AA227" s="113"/>
      <c r="AB227" s="113"/>
      <c r="AC227" s="113"/>
      <c r="AD227" s="113"/>
      <c r="AE227" s="113"/>
      <c r="AF227" s="113"/>
      <c r="AG227" s="113"/>
    </row>
    <row r="228" spans="1:33" ht="13.8">
      <c r="A228" s="113"/>
      <c r="B228" s="113"/>
      <c r="C228" s="113"/>
      <c r="D228" s="113"/>
      <c r="E228" s="113"/>
      <c r="F228" s="113"/>
      <c r="G228" s="113"/>
      <c r="H228" s="113"/>
      <c r="I228" s="113"/>
      <c r="J228" s="113"/>
      <c r="K228" s="113"/>
      <c r="L228" s="113"/>
      <c r="M228" s="113"/>
      <c r="N228" s="113"/>
      <c r="O228" s="113"/>
      <c r="P228" s="113"/>
      <c r="Q228" s="113"/>
      <c r="R228" s="113"/>
      <c r="S228" s="113"/>
      <c r="T228" s="113"/>
      <c r="U228" s="113"/>
      <c r="V228" s="113"/>
      <c r="W228" s="113"/>
      <c r="X228" s="113"/>
      <c r="Y228" s="113"/>
      <c r="Z228" s="113"/>
      <c r="AA228" s="113"/>
      <c r="AB228" s="113"/>
      <c r="AC228" s="113"/>
      <c r="AD228" s="113"/>
      <c r="AE228" s="113"/>
      <c r="AF228" s="113"/>
      <c r="AG228" s="113"/>
    </row>
    <row r="229" spans="1:33" ht="13.8">
      <c r="A229" s="113"/>
      <c r="B229" s="113"/>
      <c r="C229" s="113"/>
      <c r="D229" s="113"/>
      <c r="E229" s="113"/>
      <c r="F229" s="113"/>
      <c r="G229" s="113"/>
      <c r="H229" s="113"/>
      <c r="I229" s="113"/>
      <c r="J229" s="113"/>
      <c r="K229" s="113"/>
      <c r="L229" s="113"/>
      <c r="M229" s="113"/>
      <c r="N229" s="113"/>
      <c r="O229" s="113"/>
      <c r="P229" s="113"/>
      <c r="Q229" s="113"/>
      <c r="R229" s="113"/>
      <c r="S229" s="113"/>
      <c r="T229" s="113"/>
      <c r="U229" s="113"/>
      <c r="V229" s="113"/>
      <c r="W229" s="113"/>
      <c r="X229" s="113"/>
      <c r="Y229" s="113"/>
      <c r="Z229" s="113"/>
      <c r="AA229" s="113"/>
      <c r="AB229" s="113"/>
      <c r="AC229" s="113"/>
      <c r="AD229" s="113"/>
      <c r="AE229" s="113"/>
      <c r="AF229" s="113"/>
      <c r="AG229" s="113"/>
    </row>
    <row r="230" spans="1:33" ht="13.8">
      <c r="A230" s="113"/>
      <c r="B230" s="113"/>
      <c r="C230" s="113"/>
      <c r="D230" s="113"/>
      <c r="E230" s="113"/>
      <c r="F230" s="113"/>
      <c r="G230" s="113"/>
      <c r="H230" s="113"/>
      <c r="I230" s="113"/>
      <c r="J230" s="113"/>
      <c r="K230" s="113"/>
      <c r="L230" s="113"/>
      <c r="M230" s="113"/>
      <c r="N230" s="113"/>
      <c r="O230" s="113"/>
      <c r="P230" s="113"/>
      <c r="Q230" s="113"/>
      <c r="R230" s="113"/>
      <c r="S230" s="113"/>
      <c r="T230" s="113"/>
      <c r="U230" s="113"/>
      <c r="V230" s="113"/>
      <c r="W230" s="113"/>
      <c r="X230" s="113"/>
      <c r="Y230" s="113"/>
      <c r="Z230" s="113"/>
      <c r="AA230" s="113"/>
      <c r="AB230" s="113"/>
      <c r="AC230" s="113"/>
      <c r="AD230" s="113"/>
      <c r="AE230" s="113"/>
      <c r="AF230" s="113"/>
      <c r="AG230" s="113"/>
    </row>
    <row r="231" spans="1:33" ht="13.8">
      <c r="A231" s="113"/>
      <c r="B231" s="113"/>
      <c r="C231" s="113"/>
      <c r="D231" s="113"/>
      <c r="E231" s="113"/>
      <c r="F231" s="113"/>
      <c r="G231" s="113"/>
      <c r="H231" s="113"/>
      <c r="I231" s="113"/>
      <c r="J231" s="113"/>
      <c r="K231" s="113"/>
      <c r="L231" s="113"/>
      <c r="M231" s="113"/>
      <c r="N231" s="113"/>
      <c r="O231" s="113"/>
      <c r="P231" s="113"/>
      <c r="Q231" s="113"/>
      <c r="R231" s="113"/>
      <c r="S231" s="113"/>
      <c r="T231" s="113"/>
      <c r="U231" s="113"/>
      <c r="V231" s="113"/>
      <c r="W231" s="113"/>
      <c r="X231" s="113"/>
      <c r="Y231" s="113"/>
      <c r="Z231" s="113"/>
      <c r="AA231" s="113"/>
      <c r="AB231" s="113"/>
      <c r="AC231" s="113"/>
      <c r="AD231" s="113"/>
      <c r="AE231" s="113"/>
      <c r="AF231" s="113"/>
      <c r="AG231" s="113"/>
    </row>
    <row r="232" spans="1:33" ht="13.8">
      <c r="A232" s="113"/>
      <c r="B232" s="113"/>
      <c r="C232" s="113"/>
      <c r="D232" s="113"/>
      <c r="E232" s="113"/>
      <c r="F232" s="113"/>
      <c r="G232" s="113"/>
      <c r="H232" s="113"/>
      <c r="I232" s="113"/>
      <c r="J232" s="113"/>
      <c r="K232" s="113"/>
      <c r="L232" s="113"/>
      <c r="M232" s="113"/>
      <c r="N232" s="113"/>
      <c r="O232" s="113"/>
      <c r="P232" s="113"/>
      <c r="Q232" s="113"/>
      <c r="R232" s="113"/>
      <c r="S232" s="113"/>
      <c r="T232" s="113"/>
      <c r="U232" s="113"/>
      <c r="V232" s="113"/>
      <c r="W232" s="113"/>
      <c r="X232" s="113"/>
      <c r="Y232" s="113"/>
      <c r="Z232" s="113"/>
      <c r="AA232" s="113"/>
      <c r="AB232" s="113"/>
      <c r="AC232" s="113"/>
      <c r="AD232" s="113"/>
      <c r="AE232" s="113"/>
      <c r="AF232" s="113"/>
      <c r="AG232" s="113"/>
    </row>
    <row r="233" spans="1:33" ht="13.8">
      <c r="A233" s="113"/>
      <c r="B233" s="113"/>
      <c r="C233" s="113"/>
      <c r="D233" s="113"/>
      <c r="E233" s="113"/>
      <c r="F233" s="113"/>
      <c r="G233" s="113"/>
      <c r="H233" s="113"/>
      <c r="I233" s="113"/>
      <c r="J233" s="113"/>
      <c r="K233" s="113"/>
      <c r="L233" s="113"/>
      <c r="M233" s="113"/>
      <c r="N233" s="113"/>
      <c r="O233" s="113"/>
      <c r="P233" s="113"/>
      <c r="Q233" s="113"/>
      <c r="R233" s="113"/>
      <c r="S233" s="113"/>
      <c r="T233" s="113"/>
      <c r="U233" s="113"/>
      <c r="V233" s="113"/>
      <c r="W233" s="113"/>
      <c r="X233" s="113"/>
      <c r="Y233" s="113"/>
      <c r="Z233" s="113"/>
      <c r="AA233" s="113"/>
      <c r="AB233" s="113"/>
      <c r="AC233" s="113"/>
      <c r="AD233" s="113"/>
      <c r="AE233" s="113"/>
      <c r="AF233" s="113"/>
      <c r="AG233" s="113"/>
    </row>
    <row r="234" spans="1:33" ht="13.8">
      <c r="A234" s="113"/>
      <c r="B234" s="113"/>
      <c r="C234" s="113"/>
      <c r="D234" s="113"/>
      <c r="E234" s="113"/>
      <c r="F234" s="113"/>
      <c r="G234" s="113"/>
      <c r="H234" s="113"/>
      <c r="I234" s="113"/>
      <c r="J234" s="113"/>
      <c r="K234" s="113"/>
      <c r="L234" s="113"/>
      <c r="M234" s="113"/>
      <c r="N234" s="113"/>
      <c r="O234" s="113"/>
      <c r="P234" s="113"/>
      <c r="Q234" s="113"/>
      <c r="R234" s="113"/>
      <c r="S234" s="113"/>
      <c r="T234" s="113"/>
      <c r="U234" s="113"/>
      <c r="V234" s="113"/>
      <c r="W234" s="113"/>
      <c r="X234" s="113"/>
      <c r="Y234" s="113"/>
      <c r="Z234" s="113"/>
      <c r="AA234" s="113"/>
      <c r="AB234" s="113"/>
      <c r="AC234" s="113"/>
      <c r="AD234" s="113"/>
      <c r="AE234" s="113"/>
      <c r="AF234" s="113"/>
      <c r="AG234" s="113"/>
    </row>
    <row r="235" spans="1:33" ht="13.8">
      <c r="A235" s="113"/>
      <c r="B235" s="113"/>
      <c r="C235" s="113"/>
      <c r="D235" s="113"/>
      <c r="E235" s="113"/>
      <c r="F235" s="113"/>
      <c r="G235" s="113"/>
      <c r="H235" s="113"/>
      <c r="I235" s="113"/>
      <c r="J235" s="113"/>
      <c r="K235" s="113"/>
      <c r="L235" s="113"/>
      <c r="M235" s="113"/>
      <c r="N235" s="113"/>
      <c r="O235" s="113"/>
      <c r="P235" s="113"/>
      <c r="Q235" s="113"/>
      <c r="R235" s="113"/>
      <c r="S235" s="113"/>
      <c r="T235" s="113"/>
      <c r="U235" s="113"/>
      <c r="V235" s="113"/>
      <c r="W235" s="113"/>
      <c r="X235" s="113"/>
      <c r="Y235" s="113"/>
      <c r="Z235" s="113"/>
      <c r="AA235" s="113"/>
      <c r="AB235" s="113"/>
      <c r="AC235" s="113"/>
      <c r="AD235" s="113"/>
      <c r="AE235" s="113"/>
      <c r="AF235" s="113"/>
      <c r="AG235" s="113"/>
    </row>
    <row r="236" spans="1:33" ht="13.8">
      <c r="A236" s="113"/>
      <c r="B236" s="113"/>
      <c r="C236" s="113"/>
      <c r="D236" s="113"/>
      <c r="E236" s="113"/>
      <c r="F236" s="113"/>
      <c r="G236" s="113"/>
      <c r="H236" s="113"/>
      <c r="I236" s="113"/>
      <c r="J236" s="113"/>
      <c r="K236" s="113"/>
      <c r="L236" s="113"/>
      <c r="M236" s="113"/>
      <c r="N236" s="113"/>
      <c r="O236" s="113"/>
      <c r="P236" s="113"/>
      <c r="Q236" s="113"/>
      <c r="R236" s="113"/>
      <c r="S236" s="113"/>
      <c r="T236" s="113"/>
      <c r="U236" s="113"/>
      <c r="V236" s="113"/>
      <c r="W236" s="113"/>
      <c r="X236" s="113"/>
      <c r="Y236" s="113"/>
      <c r="Z236" s="113"/>
      <c r="AA236" s="113"/>
      <c r="AB236" s="113"/>
      <c r="AC236" s="113"/>
      <c r="AD236" s="113"/>
      <c r="AE236" s="113"/>
      <c r="AF236" s="113"/>
      <c r="AG236" s="113"/>
    </row>
    <row r="237" spans="1:33" ht="13.8">
      <c r="A237" s="113"/>
      <c r="B237" s="113"/>
      <c r="C237" s="113"/>
      <c r="D237" s="113"/>
      <c r="E237" s="113"/>
      <c r="F237" s="113"/>
      <c r="G237" s="113"/>
      <c r="H237" s="113"/>
      <c r="I237" s="113"/>
      <c r="J237" s="113"/>
      <c r="K237" s="113"/>
      <c r="L237" s="113"/>
      <c r="M237" s="113"/>
      <c r="N237" s="113"/>
      <c r="O237" s="113"/>
      <c r="P237" s="113"/>
      <c r="Q237" s="113"/>
      <c r="R237" s="113"/>
      <c r="S237" s="113"/>
      <c r="T237" s="113"/>
      <c r="U237" s="113"/>
      <c r="V237" s="113"/>
      <c r="W237" s="113"/>
      <c r="X237" s="113"/>
      <c r="Y237" s="113"/>
      <c r="Z237" s="113"/>
      <c r="AA237" s="113"/>
      <c r="AB237" s="113"/>
      <c r="AC237" s="113"/>
      <c r="AD237" s="113"/>
      <c r="AE237" s="113"/>
      <c r="AF237" s="113"/>
      <c r="AG237" s="113"/>
    </row>
    <row r="238" spans="1:33" ht="13.8">
      <c r="A238" s="113"/>
      <c r="B238" s="113"/>
      <c r="C238" s="113"/>
      <c r="D238" s="113"/>
      <c r="E238" s="113"/>
      <c r="F238" s="113"/>
      <c r="G238" s="113"/>
      <c r="H238" s="113"/>
      <c r="I238" s="113"/>
      <c r="J238" s="113"/>
      <c r="K238" s="113"/>
      <c r="L238" s="113"/>
      <c r="M238" s="113"/>
      <c r="N238" s="113"/>
      <c r="O238" s="113"/>
      <c r="P238" s="113"/>
      <c r="Q238" s="113"/>
      <c r="R238" s="113"/>
      <c r="S238" s="113"/>
      <c r="T238" s="113"/>
      <c r="U238" s="113"/>
      <c r="V238" s="113"/>
      <c r="W238" s="113"/>
      <c r="X238" s="113"/>
      <c r="Y238" s="113"/>
      <c r="Z238" s="113"/>
      <c r="AA238" s="113"/>
      <c r="AB238" s="113"/>
      <c r="AC238" s="113"/>
      <c r="AD238" s="113"/>
      <c r="AE238" s="113"/>
      <c r="AF238" s="113"/>
      <c r="AG238" s="113"/>
    </row>
    <row r="239" spans="1:33" ht="13.8">
      <c r="A239" s="113"/>
      <c r="B239" s="113"/>
      <c r="C239" s="113"/>
      <c r="D239" s="113"/>
      <c r="E239" s="113"/>
      <c r="F239" s="113"/>
      <c r="G239" s="113"/>
      <c r="H239" s="113"/>
      <c r="I239" s="113"/>
      <c r="J239" s="113"/>
      <c r="K239" s="113"/>
      <c r="L239" s="113"/>
      <c r="M239" s="113"/>
      <c r="N239" s="113"/>
      <c r="O239" s="113"/>
      <c r="P239" s="113"/>
      <c r="Q239" s="113"/>
      <c r="R239" s="113"/>
      <c r="S239" s="113"/>
      <c r="T239" s="113"/>
      <c r="U239" s="113"/>
      <c r="V239" s="113"/>
      <c r="W239" s="113"/>
      <c r="X239" s="113"/>
      <c r="Y239" s="113"/>
      <c r="Z239" s="113"/>
      <c r="AA239" s="113"/>
      <c r="AB239" s="113"/>
      <c r="AC239" s="113"/>
      <c r="AD239" s="113"/>
      <c r="AE239" s="113"/>
      <c r="AF239" s="113"/>
      <c r="AG239" s="113"/>
    </row>
    <row r="240" spans="1:33" ht="13.8">
      <c r="A240" s="113"/>
      <c r="B240" s="113"/>
      <c r="C240" s="113"/>
      <c r="D240" s="113"/>
      <c r="E240" s="113"/>
      <c r="F240" s="113"/>
      <c r="G240" s="113"/>
      <c r="H240" s="113"/>
      <c r="I240" s="113"/>
      <c r="J240" s="113"/>
      <c r="K240" s="113"/>
      <c r="L240" s="113"/>
      <c r="M240" s="113"/>
      <c r="N240" s="113"/>
      <c r="O240" s="113"/>
      <c r="P240" s="113"/>
      <c r="Q240" s="113"/>
      <c r="R240" s="113"/>
      <c r="S240" s="113"/>
      <c r="T240" s="113"/>
      <c r="U240" s="113"/>
      <c r="V240" s="113"/>
      <c r="W240" s="113"/>
      <c r="X240" s="113"/>
      <c r="Y240" s="113"/>
      <c r="Z240" s="113"/>
      <c r="AA240" s="113"/>
      <c r="AB240" s="113"/>
      <c r="AC240" s="113"/>
      <c r="AD240" s="113"/>
      <c r="AE240" s="113"/>
      <c r="AF240" s="113"/>
      <c r="AG240" s="113"/>
    </row>
    <row r="241" spans="1:33" ht="13.8">
      <c r="A241" s="113"/>
      <c r="B241" s="113"/>
      <c r="C241" s="113"/>
      <c r="D241" s="113"/>
      <c r="E241" s="113"/>
      <c r="F241" s="113"/>
      <c r="G241" s="113"/>
      <c r="H241" s="113"/>
      <c r="I241" s="113"/>
      <c r="J241" s="113"/>
      <c r="K241" s="113"/>
      <c r="L241" s="113"/>
      <c r="M241" s="113"/>
      <c r="N241" s="113"/>
      <c r="O241" s="113"/>
      <c r="P241" s="113"/>
      <c r="Q241" s="113"/>
      <c r="R241" s="113"/>
      <c r="S241" s="113"/>
      <c r="T241" s="113"/>
      <c r="U241" s="113"/>
      <c r="V241" s="113"/>
      <c r="W241" s="113"/>
      <c r="X241" s="113"/>
      <c r="Y241" s="113"/>
      <c r="Z241" s="113"/>
      <c r="AA241" s="113"/>
      <c r="AB241" s="113"/>
      <c r="AC241" s="113"/>
      <c r="AD241" s="113"/>
      <c r="AE241" s="113"/>
      <c r="AF241" s="113"/>
      <c r="AG241" s="113"/>
    </row>
    <row r="242" spans="1:33" ht="13.8">
      <c r="A242" s="113"/>
      <c r="B242" s="113"/>
      <c r="C242" s="113"/>
      <c r="D242" s="113"/>
      <c r="E242" s="113"/>
      <c r="F242" s="113"/>
      <c r="G242" s="113"/>
      <c r="H242" s="113"/>
      <c r="I242" s="113"/>
      <c r="J242" s="113"/>
      <c r="K242" s="113"/>
      <c r="L242" s="113"/>
      <c r="M242" s="113"/>
      <c r="N242" s="113"/>
      <c r="O242" s="113"/>
      <c r="P242" s="113"/>
      <c r="Q242" s="113"/>
      <c r="R242" s="113"/>
      <c r="S242" s="113"/>
      <c r="T242" s="113"/>
      <c r="U242" s="113"/>
      <c r="V242" s="113"/>
      <c r="W242" s="113"/>
      <c r="X242" s="113"/>
      <c r="Y242" s="113"/>
      <c r="Z242" s="113"/>
      <c r="AA242" s="113"/>
      <c r="AB242" s="113"/>
      <c r="AC242" s="113"/>
      <c r="AD242" s="113"/>
      <c r="AE242" s="113"/>
      <c r="AF242" s="113"/>
      <c r="AG242" s="113"/>
    </row>
    <row r="243" spans="1:33" ht="13.8">
      <c r="A243" s="113"/>
      <c r="B243" s="113"/>
      <c r="C243" s="113"/>
      <c r="D243" s="113"/>
      <c r="E243" s="113"/>
      <c r="F243" s="113"/>
      <c r="G243" s="113"/>
      <c r="H243" s="113"/>
      <c r="I243" s="113"/>
      <c r="J243" s="113"/>
      <c r="K243" s="113"/>
      <c r="L243" s="113"/>
      <c r="M243" s="113"/>
      <c r="N243" s="113"/>
      <c r="O243" s="113"/>
      <c r="P243" s="113"/>
      <c r="Q243" s="113"/>
      <c r="R243" s="113"/>
      <c r="S243" s="113"/>
      <c r="T243" s="113"/>
      <c r="U243" s="113"/>
      <c r="V243" s="113"/>
      <c r="W243" s="113"/>
      <c r="X243" s="113"/>
      <c r="Y243" s="113"/>
      <c r="Z243" s="113"/>
      <c r="AA243" s="113"/>
      <c r="AB243" s="113"/>
      <c r="AC243" s="113"/>
      <c r="AD243" s="113"/>
      <c r="AE243" s="113"/>
      <c r="AF243" s="113"/>
      <c r="AG243" s="113"/>
    </row>
    <row r="244" spans="1:33" ht="13.8">
      <c r="A244" s="113"/>
      <c r="B244" s="113"/>
      <c r="C244" s="113"/>
      <c r="D244" s="113"/>
      <c r="E244" s="113"/>
      <c r="F244" s="113"/>
      <c r="G244" s="113"/>
      <c r="H244" s="113"/>
      <c r="I244" s="113"/>
      <c r="J244" s="113"/>
      <c r="K244" s="113"/>
      <c r="L244" s="113"/>
      <c r="M244" s="113"/>
      <c r="N244" s="113"/>
      <c r="O244" s="113"/>
      <c r="P244" s="113"/>
      <c r="Q244" s="113"/>
      <c r="R244" s="113"/>
      <c r="S244" s="113"/>
      <c r="T244" s="113"/>
      <c r="U244" s="113"/>
      <c r="V244" s="113"/>
      <c r="W244" s="113"/>
      <c r="X244" s="113"/>
      <c r="Y244" s="113"/>
      <c r="Z244" s="113"/>
      <c r="AA244" s="113"/>
      <c r="AB244" s="113"/>
      <c r="AC244" s="113"/>
      <c r="AD244" s="113"/>
      <c r="AE244" s="113"/>
      <c r="AF244" s="113"/>
      <c r="AG244" s="113"/>
    </row>
    <row r="245" spans="1:33" ht="13.8">
      <c r="A245" s="113"/>
      <c r="B245" s="113"/>
      <c r="C245" s="113"/>
      <c r="D245" s="113"/>
      <c r="E245" s="113"/>
      <c r="F245" s="113"/>
      <c r="G245" s="113"/>
      <c r="H245" s="113"/>
      <c r="I245" s="113"/>
      <c r="J245" s="113"/>
      <c r="K245" s="113"/>
      <c r="L245" s="113"/>
      <c r="M245" s="113"/>
      <c r="N245" s="113"/>
      <c r="O245" s="113"/>
      <c r="P245" s="113"/>
      <c r="Q245" s="113"/>
      <c r="R245" s="113"/>
      <c r="S245" s="113"/>
      <c r="T245" s="113"/>
      <c r="U245" s="113"/>
      <c r="V245" s="113"/>
      <c r="W245" s="113"/>
      <c r="X245" s="113"/>
      <c r="Y245" s="113"/>
      <c r="Z245" s="113"/>
      <c r="AA245" s="113"/>
      <c r="AB245" s="113"/>
      <c r="AC245" s="113"/>
      <c r="AD245" s="113"/>
      <c r="AE245" s="113"/>
      <c r="AF245" s="113"/>
      <c r="AG245" s="113"/>
    </row>
    <row r="246" spans="1:33" ht="13.8">
      <c r="A246" s="113"/>
      <c r="B246" s="113"/>
      <c r="C246" s="113"/>
      <c r="D246" s="113"/>
      <c r="E246" s="113"/>
      <c r="F246" s="113"/>
      <c r="G246" s="113"/>
      <c r="H246" s="113"/>
      <c r="I246" s="113"/>
      <c r="J246" s="113"/>
      <c r="K246" s="113"/>
      <c r="L246" s="113"/>
      <c r="M246" s="113"/>
      <c r="N246" s="113"/>
      <c r="O246" s="113"/>
      <c r="P246" s="113"/>
      <c r="Q246" s="113"/>
      <c r="R246" s="113"/>
      <c r="S246" s="113"/>
      <c r="T246" s="113"/>
      <c r="U246" s="113"/>
      <c r="V246" s="113"/>
      <c r="W246" s="113"/>
      <c r="X246" s="113"/>
      <c r="Y246" s="113"/>
      <c r="Z246" s="113"/>
      <c r="AA246" s="113"/>
      <c r="AB246" s="113"/>
      <c r="AC246" s="113"/>
      <c r="AD246" s="113"/>
      <c r="AE246" s="113"/>
      <c r="AF246" s="113"/>
      <c r="AG246" s="113"/>
    </row>
    <row r="247" spans="1:33" ht="13.8">
      <c r="A247" s="113"/>
      <c r="B247" s="113"/>
      <c r="C247" s="113"/>
      <c r="D247" s="113"/>
      <c r="E247" s="113"/>
      <c r="F247" s="113"/>
      <c r="G247" s="113"/>
      <c r="H247" s="113"/>
      <c r="I247" s="113"/>
      <c r="J247" s="113"/>
      <c r="K247" s="113"/>
      <c r="L247" s="113"/>
      <c r="M247" s="113"/>
      <c r="N247" s="113"/>
      <c r="O247" s="113"/>
      <c r="P247" s="113"/>
      <c r="Q247" s="113"/>
      <c r="R247" s="113"/>
      <c r="S247" s="113"/>
      <c r="T247" s="113"/>
      <c r="U247" s="113"/>
      <c r="V247" s="113"/>
      <c r="W247" s="113"/>
      <c r="X247" s="113"/>
      <c r="Y247" s="113"/>
      <c r="Z247" s="113"/>
      <c r="AA247" s="113"/>
      <c r="AB247" s="113"/>
      <c r="AC247" s="113"/>
      <c r="AD247" s="113"/>
      <c r="AE247" s="113"/>
      <c r="AF247" s="113"/>
      <c r="AG247" s="113"/>
    </row>
    <row r="248" spans="1:33" ht="13.8">
      <c r="A248" s="113"/>
      <c r="B248" s="113"/>
      <c r="C248" s="113"/>
      <c r="D248" s="113"/>
      <c r="E248" s="113"/>
      <c r="F248" s="113"/>
      <c r="G248" s="113"/>
      <c r="H248" s="113"/>
      <c r="I248" s="113"/>
      <c r="J248" s="113"/>
      <c r="K248" s="113"/>
      <c r="L248" s="113"/>
      <c r="M248" s="113"/>
      <c r="N248" s="113"/>
      <c r="O248" s="113"/>
      <c r="P248" s="113"/>
      <c r="Q248" s="113"/>
      <c r="R248" s="113"/>
      <c r="S248" s="113"/>
      <c r="T248" s="113"/>
      <c r="U248" s="113"/>
      <c r="V248" s="113"/>
      <c r="W248" s="113"/>
      <c r="X248" s="113"/>
      <c r="Y248" s="113"/>
      <c r="Z248" s="113"/>
      <c r="AA248" s="113"/>
      <c r="AB248" s="113"/>
      <c r="AC248" s="113"/>
      <c r="AD248" s="113"/>
      <c r="AE248" s="113"/>
      <c r="AF248" s="113"/>
      <c r="AG248" s="113"/>
    </row>
    <row r="249" spans="1:33" ht="13.8">
      <c r="A249" s="113"/>
      <c r="B249" s="113"/>
      <c r="C249" s="113"/>
      <c r="D249" s="113"/>
      <c r="E249" s="113"/>
      <c r="F249" s="113"/>
      <c r="G249" s="113"/>
      <c r="H249" s="113"/>
      <c r="I249" s="113"/>
      <c r="J249" s="113"/>
      <c r="K249" s="113"/>
      <c r="L249" s="113"/>
      <c r="M249" s="113"/>
      <c r="N249" s="113"/>
      <c r="O249" s="113"/>
      <c r="P249" s="113"/>
      <c r="Q249" s="113"/>
      <c r="R249" s="113"/>
      <c r="S249" s="113"/>
      <c r="T249" s="113"/>
      <c r="U249" s="113"/>
      <c r="V249" s="113"/>
      <c r="W249" s="113"/>
      <c r="X249" s="113"/>
      <c r="Y249" s="113"/>
      <c r="Z249" s="113"/>
      <c r="AA249" s="113"/>
      <c r="AB249" s="113"/>
      <c r="AC249" s="113"/>
      <c r="AD249" s="113"/>
      <c r="AE249" s="113"/>
      <c r="AF249" s="113"/>
      <c r="AG249" s="113"/>
    </row>
    <row r="250" spans="1:33" ht="13.8">
      <c r="A250" s="113"/>
      <c r="B250" s="113"/>
      <c r="C250" s="113"/>
      <c r="D250" s="113"/>
      <c r="E250" s="113"/>
      <c r="F250" s="113"/>
      <c r="G250" s="113"/>
      <c r="H250" s="113"/>
      <c r="I250" s="113"/>
      <c r="J250" s="113"/>
      <c r="K250" s="113"/>
      <c r="L250" s="113"/>
      <c r="M250" s="113"/>
      <c r="N250" s="113"/>
      <c r="O250" s="113"/>
      <c r="P250" s="113"/>
      <c r="Q250" s="113"/>
      <c r="R250" s="113"/>
      <c r="S250" s="113"/>
      <c r="T250" s="113"/>
      <c r="U250" s="113"/>
      <c r="V250" s="113"/>
      <c r="W250" s="113"/>
      <c r="X250" s="113"/>
      <c r="Y250" s="113"/>
      <c r="Z250" s="113"/>
      <c r="AA250" s="113"/>
      <c r="AB250" s="113"/>
      <c r="AC250" s="113"/>
      <c r="AD250" s="113"/>
      <c r="AE250" s="113"/>
      <c r="AF250" s="113"/>
      <c r="AG250" s="113"/>
    </row>
    <row r="251" spans="1:33" ht="13.8">
      <c r="A251" s="113"/>
      <c r="B251" s="113"/>
      <c r="C251" s="113"/>
      <c r="D251" s="113"/>
      <c r="E251" s="113"/>
      <c r="F251" s="113"/>
      <c r="G251" s="113"/>
      <c r="H251" s="113"/>
      <c r="I251" s="113"/>
      <c r="J251" s="113"/>
      <c r="K251" s="113"/>
      <c r="L251" s="113"/>
      <c r="M251" s="113"/>
      <c r="N251" s="113"/>
      <c r="O251" s="113"/>
      <c r="P251" s="113"/>
      <c r="Q251" s="113"/>
      <c r="R251" s="113"/>
      <c r="S251" s="113"/>
      <c r="T251" s="113"/>
      <c r="U251" s="113"/>
      <c r="V251" s="113"/>
      <c r="W251" s="113"/>
      <c r="X251" s="113"/>
      <c r="Y251" s="113"/>
      <c r="Z251" s="113"/>
      <c r="AA251" s="113"/>
      <c r="AB251" s="113"/>
      <c r="AC251" s="113"/>
      <c r="AD251" s="113"/>
      <c r="AE251" s="113"/>
      <c r="AF251" s="113"/>
      <c r="AG251" s="113"/>
    </row>
    <row r="252" spans="1:33" ht="13.8">
      <c r="A252" s="113"/>
      <c r="B252" s="113"/>
      <c r="C252" s="113"/>
      <c r="D252" s="113"/>
      <c r="E252" s="113"/>
      <c r="F252" s="113"/>
      <c r="G252" s="113"/>
      <c r="H252" s="113"/>
      <c r="I252" s="113"/>
      <c r="J252" s="113"/>
      <c r="K252" s="113"/>
      <c r="L252" s="113"/>
      <c r="M252" s="113"/>
      <c r="N252" s="113"/>
      <c r="O252" s="113"/>
      <c r="P252" s="113"/>
      <c r="Q252" s="113"/>
      <c r="R252" s="113"/>
      <c r="S252" s="113"/>
      <c r="T252" s="113"/>
      <c r="U252" s="113"/>
      <c r="V252" s="113"/>
      <c r="W252" s="113"/>
      <c r="X252" s="113"/>
      <c r="Y252" s="113"/>
      <c r="Z252" s="113"/>
      <c r="AA252" s="113"/>
      <c r="AB252" s="113"/>
      <c r="AC252" s="113"/>
      <c r="AD252" s="113"/>
      <c r="AE252" s="113"/>
      <c r="AF252" s="113"/>
      <c r="AG252" s="113"/>
    </row>
    <row r="253" spans="1:33" ht="13.8">
      <c r="A253" s="113"/>
      <c r="B253" s="113"/>
      <c r="C253" s="113"/>
      <c r="D253" s="113"/>
      <c r="E253" s="113"/>
      <c r="F253" s="113"/>
      <c r="G253" s="113"/>
      <c r="H253" s="113"/>
      <c r="I253" s="113"/>
      <c r="J253" s="113"/>
      <c r="K253" s="113"/>
      <c r="L253" s="113"/>
      <c r="M253" s="113"/>
      <c r="N253" s="113"/>
      <c r="O253" s="113"/>
      <c r="P253" s="113"/>
      <c r="Q253" s="113"/>
      <c r="R253" s="113"/>
      <c r="S253" s="113"/>
      <c r="T253" s="113"/>
      <c r="U253" s="113"/>
      <c r="V253" s="113"/>
      <c r="W253" s="113"/>
      <c r="X253" s="113"/>
      <c r="Y253" s="113"/>
      <c r="Z253" s="113"/>
      <c r="AA253" s="113"/>
      <c r="AB253" s="113"/>
      <c r="AC253" s="113"/>
      <c r="AD253" s="113"/>
      <c r="AE253" s="113"/>
      <c r="AF253" s="113"/>
      <c r="AG253" s="113"/>
    </row>
    <row r="254" spans="1:33" ht="13.8">
      <c r="A254" s="113"/>
      <c r="B254" s="113"/>
      <c r="C254" s="113"/>
      <c r="D254" s="113"/>
      <c r="E254" s="113"/>
      <c r="F254" s="113"/>
      <c r="G254" s="113"/>
      <c r="H254" s="113"/>
      <c r="I254" s="113"/>
      <c r="J254" s="113"/>
      <c r="K254" s="113"/>
      <c r="L254" s="113"/>
      <c r="M254" s="113"/>
      <c r="N254" s="113"/>
      <c r="O254" s="113"/>
      <c r="P254" s="113"/>
      <c r="Q254" s="113"/>
      <c r="R254" s="113"/>
      <c r="S254" s="113"/>
      <c r="T254" s="113"/>
      <c r="U254" s="113"/>
      <c r="V254" s="113"/>
      <c r="W254" s="113"/>
      <c r="X254" s="113"/>
      <c r="Y254" s="113"/>
      <c r="Z254" s="113"/>
      <c r="AA254" s="113"/>
      <c r="AB254" s="113"/>
      <c r="AC254" s="113"/>
      <c r="AD254" s="113"/>
      <c r="AE254" s="113"/>
      <c r="AF254" s="113"/>
      <c r="AG254" s="113"/>
    </row>
    <row r="255" spans="1:33" ht="13.8">
      <c r="A255" s="113"/>
      <c r="B255" s="113"/>
      <c r="C255" s="113"/>
      <c r="D255" s="113"/>
      <c r="E255" s="113"/>
      <c r="F255" s="113"/>
      <c r="G255" s="113"/>
      <c r="H255" s="113"/>
      <c r="I255" s="113"/>
      <c r="J255" s="113"/>
      <c r="K255" s="113"/>
      <c r="L255" s="113"/>
      <c r="M255" s="113"/>
      <c r="N255" s="113"/>
      <c r="O255" s="113"/>
      <c r="P255" s="113"/>
      <c r="Q255" s="113"/>
      <c r="R255" s="113"/>
      <c r="S255" s="113"/>
      <c r="T255" s="113"/>
      <c r="U255" s="113"/>
      <c r="V255" s="113"/>
      <c r="W255" s="113"/>
      <c r="X255" s="113"/>
      <c r="Y255" s="113"/>
      <c r="Z255" s="113"/>
      <c r="AA255" s="113"/>
      <c r="AB255" s="113"/>
      <c r="AC255" s="113"/>
      <c r="AD255" s="113"/>
      <c r="AE255" s="113"/>
      <c r="AF255" s="113"/>
      <c r="AG255" s="113"/>
    </row>
    <row r="256" spans="1:33" ht="13.8">
      <c r="A256" s="113"/>
      <c r="B256" s="113"/>
      <c r="C256" s="113"/>
      <c r="D256" s="113"/>
      <c r="E256" s="113"/>
      <c r="F256" s="113"/>
      <c r="G256" s="113"/>
      <c r="H256" s="113"/>
      <c r="I256" s="113"/>
      <c r="J256" s="113"/>
      <c r="K256" s="113"/>
      <c r="L256" s="113"/>
      <c r="M256" s="113"/>
      <c r="N256" s="113"/>
      <c r="O256" s="113"/>
      <c r="P256" s="113"/>
      <c r="Q256" s="113"/>
      <c r="R256" s="113"/>
      <c r="S256" s="113"/>
      <c r="T256" s="113"/>
      <c r="U256" s="113"/>
      <c r="V256" s="113"/>
      <c r="W256" s="113"/>
      <c r="X256" s="113"/>
      <c r="Y256" s="113"/>
      <c r="Z256" s="113"/>
      <c r="AA256" s="113"/>
      <c r="AB256" s="113"/>
      <c r="AC256" s="113"/>
      <c r="AD256" s="113"/>
      <c r="AE256" s="113"/>
      <c r="AF256" s="113"/>
      <c r="AG256" s="113"/>
    </row>
    <row r="257" spans="1:33" ht="13.8">
      <c r="A257" s="113"/>
      <c r="B257" s="113"/>
      <c r="C257" s="113"/>
      <c r="D257" s="113"/>
      <c r="E257" s="113"/>
      <c r="F257" s="113"/>
      <c r="G257" s="113"/>
      <c r="H257" s="113"/>
      <c r="I257" s="113"/>
      <c r="J257" s="113"/>
      <c r="K257" s="113"/>
      <c r="L257" s="113"/>
      <c r="M257" s="113"/>
      <c r="N257" s="113"/>
      <c r="O257" s="113"/>
      <c r="P257" s="113"/>
      <c r="Q257" s="113"/>
      <c r="R257" s="113"/>
      <c r="S257" s="113"/>
      <c r="T257" s="113"/>
      <c r="U257" s="113"/>
      <c r="V257" s="113"/>
      <c r="W257" s="113"/>
      <c r="X257" s="113"/>
      <c r="Y257" s="113"/>
      <c r="Z257" s="113"/>
      <c r="AA257" s="113"/>
      <c r="AB257" s="113"/>
      <c r="AC257" s="113"/>
      <c r="AD257" s="113"/>
      <c r="AE257" s="113"/>
      <c r="AF257" s="113"/>
      <c r="AG257" s="113"/>
    </row>
    <row r="258" spans="1:33" ht="13.8">
      <c r="A258" s="113"/>
      <c r="B258" s="113"/>
      <c r="C258" s="113"/>
      <c r="D258" s="113"/>
      <c r="E258" s="113"/>
      <c r="F258" s="113"/>
      <c r="G258" s="113"/>
      <c r="H258" s="113"/>
      <c r="I258" s="113"/>
      <c r="J258" s="113"/>
      <c r="K258" s="113"/>
      <c r="L258" s="113"/>
      <c r="M258" s="113"/>
      <c r="N258" s="113"/>
      <c r="O258" s="113"/>
      <c r="P258" s="113"/>
      <c r="Q258" s="113"/>
      <c r="R258" s="113"/>
      <c r="S258" s="113"/>
      <c r="T258" s="113"/>
      <c r="U258" s="113"/>
      <c r="V258" s="113"/>
      <c r="W258" s="113"/>
      <c r="X258" s="113"/>
      <c r="Y258" s="113"/>
      <c r="Z258" s="113"/>
      <c r="AA258" s="113"/>
      <c r="AB258" s="113"/>
      <c r="AC258" s="113"/>
      <c r="AD258" s="113"/>
      <c r="AE258" s="113"/>
      <c r="AF258" s="113"/>
      <c r="AG258" s="113"/>
    </row>
    <row r="259" spans="1:33" ht="13.8">
      <c r="A259" s="113"/>
      <c r="B259" s="113"/>
      <c r="C259" s="113"/>
      <c r="D259" s="113"/>
      <c r="E259" s="113"/>
      <c r="F259" s="113"/>
      <c r="G259" s="113"/>
      <c r="H259" s="113"/>
      <c r="I259" s="113"/>
      <c r="J259" s="113"/>
      <c r="K259" s="113"/>
      <c r="L259" s="113"/>
      <c r="M259" s="113"/>
      <c r="N259" s="113"/>
      <c r="O259" s="113"/>
      <c r="P259" s="113"/>
      <c r="Q259" s="113"/>
      <c r="R259" s="113"/>
      <c r="S259" s="113"/>
      <c r="T259" s="113"/>
      <c r="U259" s="113"/>
      <c r="V259" s="113"/>
      <c r="W259" s="113"/>
      <c r="X259" s="113"/>
      <c r="Y259" s="113"/>
      <c r="Z259" s="113"/>
      <c r="AA259" s="113"/>
      <c r="AB259" s="113"/>
      <c r="AC259" s="113"/>
      <c r="AD259" s="113"/>
      <c r="AE259" s="113"/>
      <c r="AF259" s="113"/>
      <c r="AG259" s="113"/>
    </row>
    <row r="260" spans="1:33" ht="13.8">
      <c r="A260" s="113"/>
      <c r="B260" s="113"/>
      <c r="C260" s="113"/>
      <c r="D260" s="113"/>
      <c r="E260" s="113"/>
      <c r="F260" s="113"/>
      <c r="G260" s="113"/>
      <c r="H260" s="113"/>
      <c r="I260" s="113"/>
      <c r="J260" s="113"/>
      <c r="K260" s="113"/>
      <c r="L260" s="113"/>
      <c r="M260" s="113"/>
      <c r="N260" s="113"/>
      <c r="O260" s="113"/>
      <c r="P260" s="113"/>
      <c r="Q260" s="113"/>
      <c r="R260" s="113"/>
      <c r="S260" s="113"/>
      <c r="T260" s="113"/>
      <c r="U260" s="113"/>
      <c r="V260" s="113"/>
      <c r="W260" s="113"/>
      <c r="X260" s="113"/>
      <c r="Y260" s="113"/>
      <c r="Z260" s="113"/>
      <c r="AA260" s="113"/>
      <c r="AB260" s="113"/>
      <c r="AC260" s="113"/>
      <c r="AD260" s="113"/>
      <c r="AE260" s="113"/>
      <c r="AF260" s="113"/>
      <c r="AG260" s="113"/>
    </row>
    <row r="261" spans="1:33" ht="13.8">
      <c r="A261" s="113"/>
      <c r="B261" s="113"/>
      <c r="C261" s="113"/>
      <c r="D261" s="113"/>
      <c r="E261" s="113"/>
      <c r="F261" s="113"/>
      <c r="G261" s="113"/>
      <c r="H261" s="113"/>
      <c r="I261" s="113"/>
      <c r="J261" s="113"/>
      <c r="K261" s="113"/>
      <c r="L261" s="113"/>
      <c r="M261" s="113"/>
      <c r="N261" s="113"/>
      <c r="O261" s="113"/>
      <c r="P261" s="113"/>
      <c r="Q261" s="113"/>
      <c r="R261" s="113"/>
      <c r="S261" s="113"/>
      <c r="T261" s="113"/>
      <c r="U261" s="113"/>
      <c r="V261" s="113"/>
      <c r="W261" s="113"/>
      <c r="X261" s="113"/>
      <c r="Y261" s="113"/>
      <c r="Z261" s="113"/>
      <c r="AA261" s="113"/>
      <c r="AB261" s="113"/>
      <c r="AC261" s="113"/>
      <c r="AD261" s="113"/>
      <c r="AE261" s="113"/>
      <c r="AF261" s="113"/>
      <c r="AG261" s="113"/>
    </row>
    <row r="262" spans="1:33" ht="13.8">
      <c r="A262" s="113"/>
      <c r="B262" s="113"/>
      <c r="C262" s="113"/>
      <c r="D262" s="113"/>
      <c r="E262" s="113"/>
      <c r="F262" s="113"/>
      <c r="G262" s="113"/>
      <c r="H262" s="113"/>
      <c r="I262" s="113"/>
      <c r="J262" s="113"/>
      <c r="K262" s="113"/>
      <c r="L262" s="113"/>
      <c r="M262" s="113"/>
      <c r="N262" s="113"/>
      <c r="O262" s="113"/>
      <c r="P262" s="113"/>
      <c r="Q262" s="113"/>
      <c r="R262" s="113"/>
      <c r="S262" s="113"/>
      <c r="T262" s="113"/>
      <c r="U262" s="113"/>
      <c r="V262" s="113"/>
      <c r="W262" s="113"/>
      <c r="X262" s="113"/>
      <c r="Y262" s="113"/>
      <c r="Z262" s="113"/>
      <c r="AA262" s="113"/>
      <c r="AB262" s="113"/>
      <c r="AC262" s="113"/>
      <c r="AD262" s="113"/>
      <c r="AE262" s="113"/>
      <c r="AF262" s="113"/>
      <c r="AG262" s="113"/>
    </row>
    <row r="263" spans="1:33" ht="13.8">
      <c r="A263" s="113"/>
      <c r="B263" s="113"/>
      <c r="C263" s="113"/>
      <c r="D263" s="113"/>
      <c r="E263" s="113"/>
      <c r="F263" s="113"/>
      <c r="G263" s="113"/>
      <c r="H263" s="113"/>
      <c r="I263" s="113"/>
      <c r="J263" s="113"/>
      <c r="K263" s="113"/>
      <c r="L263" s="113"/>
      <c r="M263" s="113"/>
      <c r="N263" s="113"/>
      <c r="O263" s="113"/>
      <c r="P263" s="113"/>
      <c r="Q263" s="113"/>
      <c r="R263" s="113"/>
      <c r="S263" s="113"/>
      <c r="T263" s="113"/>
      <c r="U263" s="113"/>
      <c r="V263" s="113"/>
      <c r="W263" s="113"/>
      <c r="X263" s="113"/>
      <c r="Y263" s="113"/>
      <c r="Z263" s="113"/>
      <c r="AA263" s="113"/>
      <c r="AB263" s="113"/>
      <c r="AC263" s="113"/>
      <c r="AD263" s="113"/>
      <c r="AE263" s="113"/>
      <c r="AF263" s="113"/>
      <c r="AG263" s="113"/>
    </row>
    <row r="264" spans="1:33" ht="13.8">
      <c r="A264" s="113"/>
      <c r="B264" s="113"/>
      <c r="C264" s="113"/>
      <c r="D264" s="113"/>
      <c r="E264" s="113"/>
      <c r="F264" s="113"/>
      <c r="G264" s="113"/>
      <c r="H264" s="113"/>
      <c r="I264" s="113"/>
      <c r="J264" s="113"/>
      <c r="K264" s="113"/>
      <c r="L264" s="113"/>
      <c r="M264" s="113"/>
      <c r="N264" s="113"/>
      <c r="O264" s="113"/>
      <c r="P264" s="113"/>
      <c r="Q264" s="113"/>
      <c r="R264" s="113"/>
      <c r="S264" s="113"/>
      <c r="T264" s="113"/>
      <c r="U264" s="113"/>
      <c r="V264" s="113"/>
      <c r="W264" s="113"/>
      <c r="X264" s="113"/>
      <c r="Y264" s="113"/>
      <c r="Z264" s="113"/>
      <c r="AA264" s="113"/>
      <c r="AB264" s="113"/>
      <c r="AC264" s="113"/>
      <c r="AD264" s="113"/>
      <c r="AE264" s="113"/>
      <c r="AF264" s="113"/>
      <c r="AG264" s="113"/>
    </row>
    <row r="265" spans="1:33" ht="13.8">
      <c r="A265" s="113"/>
      <c r="B265" s="113"/>
      <c r="C265" s="113"/>
      <c r="D265" s="113"/>
      <c r="E265" s="113"/>
      <c r="F265" s="113"/>
      <c r="G265" s="113"/>
      <c r="H265" s="113"/>
      <c r="I265" s="113"/>
      <c r="J265" s="113"/>
      <c r="K265" s="113"/>
      <c r="L265" s="113"/>
      <c r="M265" s="113"/>
      <c r="N265" s="113"/>
      <c r="O265" s="113"/>
      <c r="P265" s="113"/>
      <c r="Q265" s="113"/>
      <c r="R265" s="113"/>
      <c r="S265" s="113"/>
      <c r="T265" s="113"/>
      <c r="U265" s="113"/>
      <c r="V265" s="113"/>
      <c r="W265" s="113"/>
      <c r="X265" s="113"/>
      <c r="Y265" s="113"/>
      <c r="Z265" s="113"/>
      <c r="AA265" s="113"/>
      <c r="AB265" s="113"/>
      <c r="AC265" s="113"/>
      <c r="AD265" s="113"/>
      <c r="AE265" s="113"/>
      <c r="AF265" s="113"/>
      <c r="AG265" s="113"/>
    </row>
    <row r="266" spans="1:33" ht="13.8">
      <c r="A266" s="113"/>
      <c r="B266" s="113"/>
      <c r="C266" s="113"/>
      <c r="D266" s="113"/>
      <c r="E266" s="113"/>
      <c r="F266" s="113"/>
      <c r="G266" s="113"/>
      <c r="H266" s="113"/>
      <c r="I266" s="113"/>
      <c r="J266" s="113"/>
      <c r="K266" s="113"/>
      <c r="L266" s="113"/>
      <c r="M266" s="113"/>
      <c r="N266" s="113"/>
      <c r="O266" s="113"/>
      <c r="P266" s="113"/>
      <c r="Q266" s="113"/>
      <c r="R266" s="113"/>
      <c r="S266" s="113"/>
      <c r="T266" s="113"/>
      <c r="U266" s="113"/>
      <c r="V266" s="113"/>
      <c r="W266" s="113"/>
      <c r="X266" s="113"/>
      <c r="Y266" s="113"/>
      <c r="Z266" s="113"/>
      <c r="AA266" s="113"/>
      <c r="AB266" s="113"/>
      <c r="AC266" s="113"/>
      <c r="AD266" s="113"/>
      <c r="AE266" s="113"/>
      <c r="AF266" s="113"/>
      <c r="AG266" s="113"/>
    </row>
    <row r="267" spans="1:33" ht="13.8">
      <c r="A267" s="113"/>
      <c r="B267" s="113"/>
      <c r="C267" s="113"/>
      <c r="D267" s="113"/>
      <c r="E267" s="113"/>
      <c r="F267" s="113"/>
      <c r="G267" s="113"/>
      <c r="H267" s="113"/>
      <c r="I267" s="113"/>
      <c r="J267" s="113"/>
      <c r="K267" s="113"/>
      <c r="L267" s="113"/>
      <c r="M267" s="113"/>
      <c r="N267" s="113"/>
      <c r="O267" s="113"/>
      <c r="P267" s="113"/>
      <c r="Q267" s="113"/>
      <c r="R267" s="113"/>
      <c r="S267" s="113"/>
      <c r="T267" s="113"/>
      <c r="U267" s="113"/>
      <c r="V267" s="113"/>
      <c r="W267" s="113"/>
      <c r="X267" s="113"/>
      <c r="Y267" s="113"/>
      <c r="Z267" s="113"/>
      <c r="AA267" s="113"/>
      <c r="AB267" s="113"/>
      <c r="AC267" s="113"/>
      <c r="AD267" s="113"/>
      <c r="AE267" s="113"/>
      <c r="AF267" s="113"/>
      <c r="AG267" s="113"/>
    </row>
    <row r="268" spans="1:33" ht="13.8">
      <c r="A268" s="113"/>
      <c r="B268" s="113"/>
      <c r="C268" s="113"/>
      <c r="D268" s="113"/>
      <c r="E268" s="113"/>
      <c r="F268" s="113"/>
      <c r="G268" s="113"/>
      <c r="H268" s="113"/>
      <c r="I268" s="113"/>
      <c r="J268" s="113"/>
      <c r="K268" s="113"/>
      <c r="L268" s="113"/>
      <c r="M268" s="113"/>
      <c r="N268" s="113"/>
      <c r="O268" s="113"/>
      <c r="P268" s="113"/>
      <c r="Q268" s="113"/>
      <c r="R268" s="113"/>
      <c r="S268" s="113"/>
      <c r="T268" s="113"/>
      <c r="U268" s="113"/>
      <c r="V268" s="113"/>
      <c r="W268" s="113"/>
      <c r="X268" s="113"/>
      <c r="Y268" s="113"/>
      <c r="Z268" s="113"/>
      <c r="AA268" s="113"/>
      <c r="AB268" s="113"/>
      <c r="AC268" s="113"/>
      <c r="AD268" s="113"/>
      <c r="AE268" s="113"/>
      <c r="AF268" s="113"/>
      <c r="AG268" s="113"/>
    </row>
    <row r="269" spans="1:33" ht="13.8">
      <c r="A269" s="113"/>
      <c r="B269" s="113"/>
      <c r="C269" s="113"/>
      <c r="D269" s="113"/>
      <c r="E269" s="113"/>
      <c r="F269" s="113"/>
      <c r="G269" s="113"/>
      <c r="H269" s="113"/>
      <c r="I269" s="113"/>
      <c r="J269" s="113"/>
      <c r="K269" s="113"/>
      <c r="L269" s="113"/>
      <c r="M269" s="113"/>
      <c r="N269" s="113"/>
      <c r="O269" s="113"/>
      <c r="P269" s="113"/>
      <c r="Q269" s="113"/>
      <c r="R269" s="113"/>
      <c r="S269" s="113"/>
      <c r="T269" s="113"/>
      <c r="U269" s="113"/>
      <c r="V269" s="113"/>
      <c r="W269" s="113"/>
      <c r="X269" s="113"/>
      <c r="Y269" s="113"/>
      <c r="Z269" s="113"/>
      <c r="AA269" s="113"/>
      <c r="AB269" s="113"/>
      <c r="AC269" s="113"/>
      <c r="AD269" s="113"/>
      <c r="AE269" s="113"/>
      <c r="AF269" s="113"/>
      <c r="AG269" s="113"/>
    </row>
    <row r="270" spans="1:33" ht="13.8">
      <c r="A270" s="113"/>
      <c r="B270" s="113"/>
      <c r="C270" s="113"/>
      <c r="D270" s="113"/>
      <c r="E270" s="113"/>
      <c r="F270" s="113"/>
      <c r="G270" s="113"/>
      <c r="H270" s="113"/>
      <c r="I270" s="113"/>
      <c r="J270" s="113"/>
      <c r="K270" s="113"/>
      <c r="L270" s="113"/>
      <c r="M270" s="113"/>
      <c r="N270" s="113"/>
      <c r="O270" s="113"/>
      <c r="P270" s="113"/>
      <c r="Q270" s="113"/>
      <c r="R270" s="113"/>
      <c r="S270" s="113"/>
      <c r="T270" s="113"/>
      <c r="U270" s="113"/>
      <c r="V270" s="113"/>
      <c r="W270" s="113"/>
      <c r="X270" s="113"/>
      <c r="Y270" s="113"/>
      <c r="Z270" s="113"/>
      <c r="AA270" s="113"/>
      <c r="AB270" s="113"/>
      <c r="AC270" s="113"/>
      <c r="AD270" s="113"/>
      <c r="AE270" s="113"/>
      <c r="AF270" s="113"/>
      <c r="AG270" s="113"/>
    </row>
    <row r="271" spans="1:33" ht="13.8">
      <c r="A271" s="113"/>
      <c r="B271" s="113"/>
      <c r="C271" s="113"/>
      <c r="D271" s="113"/>
      <c r="E271" s="113"/>
      <c r="F271" s="113"/>
      <c r="G271" s="113"/>
      <c r="H271" s="113"/>
      <c r="I271" s="113"/>
      <c r="J271" s="113"/>
      <c r="K271" s="113"/>
      <c r="L271" s="113"/>
      <c r="M271" s="113"/>
      <c r="N271" s="113"/>
      <c r="O271" s="113"/>
      <c r="P271" s="113"/>
      <c r="Q271" s="113"/>
      <c r="R271" s="113"/>
      <c r="S271" s="113"/>
      <c r="T271" s="113"/>
      <c r="U271" s="113"/>
      <c r="V271" s="113"/>
      <c r="W271" s="113"/>
      <c r="X271" s="113"/>
      <c r="Y271" s="113"/>
      <c r="Z271" s="113"/>
      <c r="AA271" s="113"/>
      <c r="AB271" s="113"/>
      <c r="AC271" s="113"/>
      <c r="AD271" s="113"/>
      <c r="AE271" s="113"/>
      <c r="AF271" s="113"/>
      <c r="AG271" s="113"/>
    </row>
    <row r="272" spans="1:33" ht="13.8">
      <c r="A272" s="113"/>
      <c r="B272" s="113"/>
      <c r="C272" s="113"/>
      <c r="D272" s="113"/>
      <c r="E272" s="113"/>
      <c r="F272" s="113"/>
      <c r="G272" s="113"/>
      <c r="H272" s="113"/>
      <c r="I272" s="113"/>
      <c r="J272" s="113"/>
      <c r="K272" s="113"/>
      <c r="L272" s="113"/>
      <c r="M272" s="113"/>
      <c r="N272" s="113"/>
      <c r="O272" s="113"/>
      <c r="P272" s="113"/>
      <c r="Q272" s="113"/>
      <c r="R272" s="113"/>
      <c r="S272" s="113"/>
      <c r="T272" s="113"/>
      <c r="U272" s="113"/>
      <c r="V272" s="113"/>
      <c r="W272" s="113"/>
      <c r="X272" s="113"/>
      <c r="Y272" s="113"/>
      <c r="Z272" s="113"/>
      <c r="AA272" s="113"/>
      <c r="AB272" s="113"/>
      <c r="AC272" s="113"/>
      <c r="AD272" s="113"/>
      <c r="AE272" s="113"/>
      <c r="AF272" s="113"/>
      <c r="AG272" s="113"/>
    </row>
    <row r="273" spans="1:33" ht="13.8">
      <c r="A273" s="113"/>
      <c r="B273" s="113"/>
      <c r="C273" s="113"/>
      <c r="D273" s="113"/>
      <c r="E273" s="113"/>
      <c r="F273" s="113"/>
      <c r="G273" s="113"/>
      <c r="H273" s="113"/>
      <c r="I273" s="113"/>
      <c r="J273" s="113"/>
      <c r="K273" s="113"/>
      <c r="L273" s="113"/>
      <c r="M273" s="113"/>
      <c r="N273" s="113"/>
      <c r="O273" s="113"/>
      <c r="P273" s="113"/>
      <c r="Q273" s="113"/>
      <c r="R273" s="113"/>
      <c r="S273" s="113"/>
      <c r="T273" s="113"/>
      <c r="U273" s="113"/>
      <c r="V273" s="113"/>
      <c r="W273" s="113"/>
      <c r="X273" s="113"/>
      <c r="Y273" s="113"/>
      <c r="Z273" s="113"/>
      <c r="AA273" s="113"/>
      <c r="AB273" s="113"/>
      <c r="AC273" s="113"/>
      <c r="AD273" s="113"/>
      <c r="AE273" s="113"/>
      <c r="AF273" s="113"/>
      <c r="AG273" s="113"/>
    </row>
    <row r="274" spans="1:33" ht="13.8">
      <c r="A274" s="113"/>
      <c r="B274" s="113"/>
      <c r="C274" s="113"/>
      <c r="D274" s="113"/>
      <c r="E274" s="113"/>
      <c r="F274" s="113"/>
      <c r="G274" s="113"/>
      <c r="H274" s="113"/>
      <c r="I274" s="113"/>
      <c r="J274" s="113"/>
      <c r="K274" s="113"/>
      <c r="L274" s="113"/>
      <c r="M274" s="113"/>
      <c r="N274" s="113"/>
      <c r="O274" s="113"/>
      <c r="P274" s="113"/>
      <c r="Q274" s="113"/>
      <c r="R274" s="113"/>
      <c r="S274" s="113"/>
      <c r="T274" s="113"/>
      <c r="U274" s="113"/>
      <c r="V274" s="113"/>
      <c r="W274" s="113"/>
      <c r="X274" s="113"/>
      <c r="Y274" s="113"/>
      <c r="Z274" s="113"/>
      <c r="AA274" s="113"/>
      <c r="AB274" s="113"/>
      <c r="AC274" s="113"/>
      <c r="AD274" s="113"/>
      <c r="AE274" s="113"/>
      <c r="AF274" s="113"/>
      <c r="AG274" s="113"/>
    </row>
    <row r="275" spans="1:33" ht="13.8">
      <c r="A275" s="113"/>
      <c r="B275" s="113"/>
      <c r="C275" s="113"/>
      <c r="D275" s="113"/>
      <c r="E275" s="113"/>
      <c r="F275" s="113"/>
      <c r="G275" s="113"/>
      <c r="H275" s="113"/>
      <c r="I275" s="113"/>
      <c r="J275" s="113"/>
      <c r="K275" s="113"/>
      <c r="L275" s="113"/>
      <c r="M275" s="113"/>
      <c r="N275" s="113"/>
      <c r="O275" s="113"/>
      <c r="P275" s="113"/>
      <c r="Q275" s="113"/>
      <c r="R275" s="113"/>
      <c r="S275" s="113"/>
      <c r="T275" s="113"/>
      <c r="U275" s="113"/>
      <c r="V275" s="113"/>
      <c r="W275" s="113"/>
      <c r="X275" s="113"/>
      <c r="Y275" s="113"/>
      <c r="Z275" s="113"/>
      <c r="AA275" s="113"/>
      <c r="AB275" s="113"/>
      <c r="AC275" s="113"/>
      <c r="AD275" s="113"/>
      <c r="AE275" s="113"/>
      <c r="AF275" s="113"/>
      <c r="AG275" s="113"/>
    </row>
    <row r="276" spans="1:33" ht="13.8">
      <c r="A276" s="113"/>
      <c r="B276" s="113"/>
      <c r="C276" s="113"/>
      <c r="D276" s="113"/>
      <c r="E276" s="113"/>
      <c r="F276" s="113"/>
      <c r="G276" s="113"/>
      <c r="H276" s="113"/>
      <c r="I276" s="113"/>
      <c r="J276" s="113"/>
      <c r="K276" s="113"/>
      <c r="L276" s="113"/>
      <c r="M276" s="113"/>
      <c r="N276" s="113"/>
      <c r="O276" s="113"/>
      <c r="P276" s="113"/>
      <c r="Q276" s="113"/>
      <c r="R276" s="113"/>
      <c r="S276" s="113"/>
      <c r="T276" s="113"/>
      <c r="U276" s="113"/>
      <c r="V276" s="113"/>
      <c r="W276" s="113"/>
      <c r="X276" s="113"/>
      <c r="Y276" s="113"/>
      <c r="Z276" s="113"/>
      <c r="AA276" s="113"/>
      <c r="AB276" s="113"/>
      <c r="AC276" s="113"/>
      <c r="AD276" s="113"/>
      <c r="AE276" s="113"/>
      <c r="AF276" s="113"/>
      <c r="AG276" s="113"/>
    </row>
    <row r="277" spans="1:33" ht="13.8">
      <c r="A277" s="113"/>
      <c r="B277" s="113"/>
      <c r="C277" s="113"/>
      <c r="D277" s="113"/>
      <c r="E277" s="113"/>
      <c r="F277" s="113"/>
      <c r="G277" s="113"/>
      <c r="H277" s="113"/>
      <c r="I277" s="113"/>
      <c r="J277" s="113"/>
      <c r="K277" s="113"/>
      <c r="L277" s="113"/>
      <c r="M277" s="113"/>
      <c r="N277" s="113"/>
      <c r="O277" s="113"/>
      <c r="P277" s="113"/>
      <c r="Q277" s="113"/>
      <c r="R277" s="113"/>
      <c r="S277" s="113"/>
      <c r="T277" s="113"/>
      <c r="U277" s="113"/>
      <c r="V277" s="113"/>
      <c r="W277" s="113"/>
      <c r="X277" s="113"/>
      <c r="Y277" s="113"/>
      <c r="Z277" s="113"/>
      <c r="AA277" s="113"/>
      <c r="AB277" s="113"/>
      <c r="AC277" s="113"/>
      <c r="AD277" s="113"/>
      <c r="AE277" s="113"/>
      <c r="AF277" s="113"/>
      <c r="AG277" s="113"/>
    </row>
    <row r="278" spans="1:33" ht="13.8">
      <c r="A278" s="113"/>
      <c r="B278" s="113"/>
      <c r="C278" s="113"/>
      <c r="D278" s="113"/>
      <c r="E278" s="113"/>
      <c r="F278" s="113"/>
      <c r="G278" s="113"/>
      <c r="H278" s="113"/>
      <c r="I278" s="113"/>
      <c r="J278" s="113"/>
      <c r="K278" s="113"/>
      <c r="L278" s="113"/>
      <c r="M278" s="113"/>
      <c r="N278" s="113"/>
      <c r="O278" s="113"/>
      <c r="P278" s="113"/>
      <c r="Q278" s="113"/>
      <c r="R278" s="113"/>
      <c r="S278" s="113"/>
      <c r="T278" s="113"/>
      <c r="U278" s="113"/>
      <c r="V278" s="113"/>
      <c r="W278" s="113"/>
      <c r="X278" s="113"/>
      <c r="Y278" s="113"/>
      <c r="Z278" s="113"/>
      <c r="AA278" s="113"/>
      <c r="AB278" s="113"/>
      <c r="AC278" s="113"/>
      <c r="AD278" s="113"/>
      <c r="AE278" s="113"/>
      <c r="AF278" s="113"/>
      <c r="AG278" s="113"/>
    </row>
    <row r="279" spans="1:33" ht="13.8">
      <c r="A279" s="113"/>
      <c r="B279" s="113"/>
      <c r="C279" s="113"/>
      <c r="D279" s="113"/>
      <c r="E279" s="113"/>
      <c r="F279" s="113"/>
      <c r="G279" s="113"/>
      <c r="H279" s="113"/>
      <c r="I279" s="113"/>
      <c r="J279" s="113"/>
      <c r="K279" s="113"/>
      <c r="L279" s="113"/>
      <c r="M279" s="113"/>
      <c r="N279" s="113"/>
      <c r="O279" s="113"/>
      <c r="P279" s="113"/>
      <c r="Q279" s="113"/>
      <c r="R279" s="113"/>
      <c r="S279" s="113"/>
      <c r="T279" s="113"/>
      <c r="U279" s="113"/>
      <c r="V279" s="113"/>
      <c r="W279" s="113"/>
      <c r="X279" s="113"/>
      <c r="Y279" s="113"/>
      <c r="Z279" s="113"/>
      <c r="AA279" s="113"/>
      <c r="AB279" s="113"/>
      <c r="AC279" s="113"/>
      <c r="AD279" s="113"/>
      <c r="AE279" s="113"/>
      <c r="AF279" s="113"/>
      <c r="AG279" s="113"/>
    </row>
    <row r="280" spans="1:33" ht="13.8">
      <c r="A280" s="113"/>
      <c r="B280" s="113"/>
      <c r="C280" s="113"/>
      <c r="D280" s="113"/>
      <c r="E280" s="113"/>
      <c r="F280" s="113"/>
      <c r="G280" s="113"/>
      <c r="H280" s="113"/>
      <c r="I280" s="113"/>
      <c r="J280" s="113"/>
      <c r="K280" s="113"/>
      <c r="L280" s="113"/>
      <c r="M280" s="113"/>
      <c r="N280" s="113"/>
      <c r="O280" s="113"/>
      <c r="P280" s="113"/>
      <c r="Q280" s="113"/>
      <c r="R280" s="113"/>
      <c r="S280" s="113"/>
      <c r="T280" s="113"/>
      <c r="U280" s="113"/>
      <c r="V280" s="113"/>
      <c r="W280" s="113"/>
      <c r="X280" s="113"/>
      <c r="Y280" s="113"/>
      <c r="Z280" s="113"/>
      <c r="AA280" s="113"/>
      <c r="AB280" s="113"/>
      <c r="AC280" s="113"/>
      <c r="AD280" s="113"/>
      <c r="AE280" s="113"/>
      <c r="AF280" s="113"/>
      <c r="AG280" s="113"/>
    </row>
    <row r="281" spans="1:33" ht="13.8">
      <c r="A281" s="113"/>
      <c r="B281" s="113"/>
      <c r="C281" s="113"/>
      <c r="D281" s="113"/>
      <c r="E281" s="113"/>
      <c r="F281" s="113"/>
      <c r="G281" s="113"/>
      <c r="H281" s="113"/>
      <c r="I281" s="113"/>
      <c r="J281" s="113"/>
      <c r="K281" s="113"/>
      <c r="L281" s="113"/>
      <c r="M281" s="113"/>
      <c r="N281" s="113"/>
      <c r="O281" s="113"/>
      <c r="P281" s="113"/>
      <c r="Q281" s="113"/>
      <c r="R281" s="113"/>
      <c r="S281" s="113"/>
      <c r="T281" s="113"/>
      <c r="U281" s="113"/>
      <c r="V281" s="113"/>
      <c r="W281" s="113"/>
      <c r="X281" s="113"/>
      <c r="Y281" s="113"/>
      <c r="Z281" s="113"/>
      <c r="AA281" s="113"/>
      <c r="AB281" s="113"/>
      <c r="AC281" s="113"/>
      <c r="AD281" s="113"/>
      <c r="AE281" s="113"/>
      <c r="AF281" s="113"/>
      <c r="AG281" s="113"/>
    </row>
    <row r="282" spans="1:33" ht="13.8">
      <c r="A282" s="113"/>
      <c r="B282" s="113"/>
      <c r="C282" s="113"/>
      <c r="D282" s="113"/>
      <c r="E282" s="113"/>
      <c r="F282" s="113"/>
      <c r="G282" s="113"/>
      <c r="H282" s="113"/>
      <c r="I282" s="113"/>
      <c r="J282" s="113"/>
      <c r="K282" s="113"/>
      <c r="L282" s="113"/>
      <c r="M282" s="113"/>
      <c r="N282" s="113"/>
      <c r="O282" s="113"/>
      <c r="P282" s="113"/>
      <c r="Q282" s="113"/>
      <c r="R282" s="113"/>
      <c r="S282" s="113"/>
      <c r="T282" s="113"/>
      <c r="U282" s="113"/>
      <c r="V282" s="113"/>
      <c r="W282" s="113"/>
      <c r="X282" s="113"/>
      <c r="Y282" s="113"/>
      <c r="Z282" s="113"/>
      <c r="AA282" s="113"/>
      <c r="AB282" s="113"/>
      <c r="AC282" s="113"/>
      <c r="AD282" s="113"/>
      <c r="AE282" s="113"/>
      <c r="AF282" s="113"/>
      <c r="AG282" s="113"/>
    </row>
    <row r="283" spans="1:33" ht="13.8">
      <c r="A283" s="113"/>
      <c r="B283" s="113"/>
      <c r="C283" s="113"/>
      <c r="D283" s="113"/>
      <c r="E283" s="113"/>
      <c r="F283" s="113"/>
      <c r="G283" s="113"/>
      <c r="H283" s="113"/>
      <c r="I283" s="113"/>
      <c r="J283" s="113"/>
      <c r="K283" s="113"/>
      <c r="L283" s="113"/>
      <c r="M283" s="113"/>
      <c r="N283" s="113"/>
      <c r="O283" s="113"/>
      <c r="P283" s="113"/>
      <c r="Q283" s="113"/>
      <c r="R283" s="113"/>
      <c r="S283" s="113"/>
      <c r="T283" s="113"/>
      <c r="U283" s="113"/>
      <c r="V283" s="113"/>
      <c r="W283" s="113"/>
      <c r="X283" s="113"/>
      <c r="Y283" s="113"/>
      <c r="Z283" s="113"/>
      <c r="AA283" s="113"/>
      <c r="AB283" s="113"/>
      <c r="AC283" s="113"/>
      <c r="AD283" s="113"/>
      <c r="AE283" s="113"/>
      <c r="AF283" s="113"/>
      <c r="AG283" s="113"/>
    </row>
    <row r="284" spans="1:33" ht="13.8">
      <c r="A284" s="113"/>
      <c r="B284" s="113"/>
      <c r="C284" s="113"/>
      <c r="D284" s="113"/>
      <c r="E284" s="113"/>
      <c r="F284" s="113"/>
      <c r="G284" s="113"/>
      <c r="H284" s="113"/>
      <c r="I284" s="113"/>
      <c r="J284" s="113"/>
      <c r="K284" s="113"/>
      <c r="L284" s="113"/>
      <c r="M284" s="113"/>
      <c r="N284" s="113"/>
      <c r="O284" s="113"/>
      <c r="P284" s="113"/>
      <c r="Q284" s="113"/>
      <c r="R284" s="113"/>
      <c r="S284" s="113"/>
      <c r="T284" s="113"/>
      <c r="U284" s="113"/>
      <c r="V284" s="113"/>
      <c r="W284" s="113"/>
      <c r="X284" s="113"/>
      <c r="Y284" s="113"/>
      <c r="Z284" s="113"/>
      <c r="AA284" s="113"/>
      <c r="AB284" s="113"/>
      <c r="AC284" s="113"/>
      <c r="AD284" s="113"/>
      <c r="AE284" s="113"/>
      <c r="AF284" s="113"/>
      <c r="AG284" s="113"/>
    </row>
    <row r="285" spans="1:33" ht="13.8">
      <c r="A285" s="113"/>
      <c r="B285" s="113"/>
      <c r="C285" s="113"/>
      <c r="D285" s="113"/>
      <c r="E285" s="113"/>
      <c r="F285" s="113"/>
      <c r="G285" s="113"/>
      <c r="H285" s="113"/>
      <c r="I285" s="113"/>
      <c r="J285" s="113"/>
      <c r="K285" s="113"/>
      <c r="L285" s="113"/>
      <c r="M285" s="113"/>
      <c r="N285" s="113"/>
      <c r="O285" s="113"/>
      <c r="P285" s="113"/>
      <c r="Q285" s="113"/>
      <c r="R285" s="113"/>
      <c r="S285" s="113"/>
      <c r="T285" s="113"/>
      <c r="U285" s="113"/>
      <c r="V285" s="113"/>
      <c r="W285" s="113"/>
      <c r="X285" s="113"/>
      <c r="Y285" s="113"/>
      <c r="Z285" s="113"/>
      <c r="AA285" s="113"/>
      <c r="AB285" s="113"/>
      <c r="AC285" s="113"/>
      <c r="AD285" s="113"/>
      <c r="AE285" s="113"/>
      <c r="AF285" s="113"/>
      <c r="AG285" s="113"/>
    </row>
    <row r="286" spans="1:33" ht="13.8">
      <c r="A286" s="113"/>
      <c r="B286" s="113"/>
      <c r="C286" s="113"/>
      <c r="D286" s="113"/>
      <c r="E286" s="113"/>
      <c r="F286" s="113"/>
      <c r="G286" s="113"/>
      <c r="H286" s="113"/>
      <c r="I286" s="113"/>
      <c r="J286" s="113"/>
      <c r="K286" s="113"/>
      <c r="L286" s="113"/>
      <c r="M286" s="113"/>
      <c r="N286" s="113"/>
      <c r="O286" s="113"/>
      <c r="P286" s="113"/>
      <c r="Q286" s="113"/>
      <c r="R286" s="113"/>
      <c r="S286" s="113"/>
      <c r="T286" s="113"/>
      <c r="U286" s="113"/>
      <c r="V286" s="113"/>
      <c r="W286" s="113"/>
      <c r="X286" s="113"/>
      <c r="Y286" s="113"/>
      <c r="Z286" s="113"/>
      <c r="AA286" s="113"/>
      <c r="AB286" s="113"/>
      <c r="AC286" s="113"/>
      <c r="AD286" s="113"/>
      <c r="AE286" s="113"/>
      <c r="AF286" s="113"/>
      <c r="AG286" s="113"/>
    </row>
    <row r="287" spans="1:33" ht="13.8">
      <c r="A287" s="113"/>
      <c r="B287" s="113"/>
      <c r="C287" s="113"/>
      <c r="D287" s="113"/>
      <c r="E287" s="113"/>
      <c r="F287" s="113"/>
      <c r="G287" s="113"/>
      <c r="H287" s="113"/>
      <c r="I287" s="113"/>
      <c r="J287" s="113"/>
      <c r="K287" s="113"/>
      <c r="L287" s="113"/>
      <c r="M287" s="113"/>
      <c r="N287" s="113"/>
      <c r="O287" s="113"/>
      <c r="P287" s="113"/>
      <c r="Q287" s="113"/>
      <c r="R287" s="113"/>
      <c r="S287" s="113"/>
      <c r="T287" s="113"/>
      <c r="U287" s="113"/>
      <c r="V287" s="113"/>
      <c r="W287" s="113"/>
      <c r="X287" s="113"/>
      <c r="Y287" s="113"/>
      <c r="Z287" s="113"/>
      <c r="AA287" s="113"/>
      <c r="AB287" s="113"/>
      <c r="AC287" s="113"/>
      <c r="AD287" s="113"/>
      <c r="AE287" s="113"/>
      <c r="AF287" s="113"/>
      <c r="AG287" s="113"/>
    </row>
    <row r="288" spans="1:33" ht="13.8">
      <c r="A288" s="113"/>
      <c r="B288" s="113"/>
      <c r="C288" s="113"/>
      <c r="D288" s="113"/>
      <c r="E288" s="113"/>
      <c r="F288" s="113"/>
      <c r="G288" s="113"/>
      <c r="H288" s="113"/>
      <c r="I288" s="113"/>
      <c r="J288" s="113"/>
      <c r="K288" s="113"/>
      <c r="L288" s="113"/>
      <c r="M288" s="113"/>
      <c r="N288" s="113"/>
      <c r="O288" s="113"/>
      <c r="P288" s="113"/>
      <c r="Q288" s="113"/>
      <c r="R288" s="113"/>
      <c r="S288" s="113"/>
      <c r="T288" s="113"/>
      <c r="U288" s="113"/>
      <c r="V288" s="113"/>
      <c r="W288" s="113"/>
      <c r="X288" s="113"/>
      <c r="Y288" s="113"/>
      <c r="Z288" s="113"/>
      <c r="AA288" s="113"/>
      <c r="AB288" s="113"/>
      <c r="AC288" s="113"/>
      <c r="AD288" s="113"/>
      <c r="AE288" s="113"/>
      <c r="AF288" s="113"/>
      <c r="AG288" s="113"/>
    </row>
    <row r="289" spans="1:33" ht="13.8">
      <c r="A289" s="113"/>
      <c r="B289" s="113"/>
      <c r="C289" s="113"/>
      <c r="D289" s="113"/>
      <c r="E289" s="113"/>
      <c r="F289" s="113"/>
      <c r="G289" s="113"/>
      <c r="H289" s="113"/>
      <c r="I289" s="113"/>
      <c r="J289" s="113"/>
      <c r="K289" s="113"/>
      <c r="L289" s="113"/>
      <c r="M289" s="113"/>
      <c r="N289" s="113"/>
      <c r="O289" s="113"/>
      <c r="P289" s="113"/>
      <c r="Q289" s="113"/>
      <c r="R289" s="113"/>
      <c r="S289" s="113"/>
      <c r="T289" s="113"/>
      <c r="U289" s="113"/>
      <c r="V289" s="113"/>
      <c r="W289" s="113"/>
      <c r="X289" s="113"/>
      <c r="Y289" s="113"/>
      <c r="Z289" s="113"/>
      <c r="AA289" s="113"/>
      <c r="AB289" s="113"/>
      <c r="AC289" s="113"/>
      <c r="AD289" s="113"/>
      <c r="AE289" s="113"/>
      <c r="AF289" s="113"/>
      <c r="AG289" s="113"/>
    </row>
    <row r="290" spans="1:33" ht="13.8">
      <c r="A290" s="113"/>
      <c r="B290" s="113"/>
      <c r="C290" s="113"/>
      <c r="D290" s="113"/>
      <c r="E290" s="113"/>
      <c r="F290" s="113"/>
      <c r="G290" s="113"/>
      <c r="H290" s="113"/>
      <c r="I290" s="113"/>
      <c r="J290" s="113"/>
      <c r="K290" s="113"/>
      <c r="L290" s="113"/>
      <c r="M290" s="113"/>
      <c r="N290" s="113"/>
      <c r="O290" s="113"/>
      <c r="P290" s="113"/>
      <c r="Q290" s="113"/>
      <c r="R290" s="113"/>
      <c r="S290" s="113"/>
      <c r="T290" s="113"/>
      <c r="U290" s="113"/>
      <c r="V290" s="113"/>
      <c r="W290" s="113"/>
      <c r="X290" s="113"/>
      <c r="Y290" s="113"/>
      <c r="Z290" s="113"/>
      <c r="AA290" s="113"/>
      <c r="AB290" s="113"/>
      <c r="AC290" s="113"/>
      <c r="AD290" s="113"/>
      <c r="AE290" s="113"/>
      <c r="AF290" s="113"/>
      <c r="AG290" s="113"/>
    </row>
    <row r="291" spans="1:33" ht="13.8">
      <c r="A291" s="113"/>
      <c r="B291" s="113"/>
      <c r="C291" s="113"/>
      <c r="D291" s="113"/>
      <c r="E291" s="113"/>
      <c r="F291" s="113"/>
      <c r="G291" s="113"/>
      <c r="H291" s="113"/>
      <c r="I291" s="113"/>
      <c r="J291" s="113"/>
      <c r="K291" s="113"/>
      <c r="L291" s="113"/>
      <c r="M291" s="113"/>
      <c r="N291" s="113"/>
      <c r="O291" s="113"/>
      <c r="P291" s="113"/>
      <c r="Q291" s="113"/>
      <c r="R291" s="113"/>
      <c r="S291" s="113"/>
      <c r="T291" s="113"/>
      <c r="U291" s="113"/>
      <c r="V291" s="113"/>
      <c r="W291" s="113"/>
      <c r="X291" s="113"/>
      <c r="Y291" s="113"/>
      <c r="Z291" s="113"/>
      <c r="AA291" s="113"/>
      <c r="AB291" s="113"/>
      <c r="AC291" s="113"/>
      <c r="AD291" s="113"/>
      <c r="AE291" s="113"/>
      <c r="AF291" s="113"/>
      <c r="AG291" s="113"/>
    </row>
    <row r="292" spans="1:33" ht="13.8">
      <c r="A292" s="113"/>
      <c r="B292" s="113"/>
      <c r="C292" s="113"/>
      <c r="D292" s="113"/>
      <c r="E292" s="113"/>
      <c r="F292" s="113"/>
      <c r="G292" s="113"/>
      <c r="H292" s="113"/>
      <c r="I292" s="113"/>
      <c r="J292" s="113"/>
      <c r="K292" s="113"/>
      <c r="L292" s="113"/>
      <c r="M292" s="113"/>
      <c r="N292" s="113"/>
      <c r="O292" s="113"/>
      <c r="P292" s="113"/>
      <c r="Q292" s="113"/>
      <c r="R292" s="113"/>
      <c r="S292" s="113"/>
      <c r="T292" s="113"/>
      <c r="U292" s="113"/>
      <c r="V292" s="113"/>
      <c r="W292" s="113"/>
      <c r="X292" s="113"/>
      <c r="Y292" s="113"/>
      <c r="Z292" s="113"/>
      <c r="AA292" s="113"/>
      <c r="AB292" s="113"/>
      <c r="AC292" s="113"/>
      <c r="AD292" s="113"/>
      <c r="AE292" s="113"/>
      <c r="AF292" s="113"/>
      <c r="AG292" s="113"/>
    </row>
    <row r="293" spans="1:33" ht="13.8">
      <c r="A293" s="113"/>
      <c r="B293" s="113"/>
      <c r="C293" s="113"/>
      <c r="D293" s="113"/>
      <c r="E293" s="113"/>
      <c r="F293" s="113"/>
      <c r="G293" s="113"/>
      <c r="H293" s="113"/>
      <c r="I293" s="113"/>
      <c r="J293" s="113"/>
      <c r="K293" s="113"/>
      <c r="L293" s="113"/>
      <c r="M293" s="113"/>
      <c r="N293" s="113"/>
      <c r="O293" s="113"/>
      <c r="P293" s="113"/>
      <c r="Q293" s="113"/>
      <c r="R293" s="113"/>
      <c r="S293" s="113"/>
      <c r="T293" s="113"/>
      <c r="U293" s="113"/>
      <c r="V293" s="113"/>
      <c r="W293" s="113"/>
      <c r="X293" s="113"/>
      <c r="Y293" s="113"/>
      <c r="Z293" s="113"/>
      <c r="AA293" s="113"/>
      <c r="AB293" s="113"/>
      <c r="AC293" s="113"/>
      <c r="AD293" s="113"/>
      <c r="AE293" s="113"/>
      <c r="AF293" s="113"/>
      <c r="AG293" s="113"/>
    </row>
    <row r="294" spans="1:33" ht="13.8">
      <c r="A294" s="113"/>
      <c r="B294" s="113"/>
      <c r="C294" s="113"/>
      <c r="D294" s="113"/>
      <c r="E294" s="113"/>
      <c r="F294" s="113"/>
      <c r="G294" s="113"/>
      <c r="H294" s="113"/>
      <c r="I294" s="113"/>
      <c r="J294" s="113"/>
      <c r="K294" s="113"/>
      <c r="L294" s="113"/>
      <c r="M294" s="113"/>
      <c r="N294" s="113"/>
      <c r="O294" s="113"/>
      <c r="P294" s="113"/>
      <c r="Q294" s="113"/>
      <c r="R294" s="113"/>
      <c r="S294" s="113"/>
      <c r="T294" s="113"/>
      <c r="U294" s="113"/>
      <c r="V294" s="113"/>
      <c r="W294" s="113"/>
      <c r="X294" s="113"/>
      <c r="Y294" s="113"/>
      <c r="Z294" s="113"/>
      <c r="AA294" s="113"/>
      <c r="AB294" s="113"/>
      <c r="AC294" s="113"/>
      <c r="AD294" s="113"/>
      <c r="AE294" s="113"/>
      <c r="AF294" s="113"/>
      <c r="AG294" s="113"/>
    </row>
    <row r="295" spans="1:33" ht="13.8">
      <c r="A295" s="113"/>
      <c r="B295" s="113"/>
      <c r="C295" s="113"/>
      <c r="D295" s="113"/>
      <c r="E295" s="113"/>
      <c r="F295" s="113"/>
      <c r="G295" s="113"/>
      <c r="H295" s="113"/>
      <c r="I295" s="113"/>
      <c r="J295" s="113"/>
      <c r="K295" s="113"/>
      <c r="L295" s="113"/>
      <c r="M295" s="113"/>
      <c r="N295" s="113"/>
      <c r="O295" s="113"/>
      <c r="P295" s="113"/>
      <c r="Q295" s="113"/>
      <c r="R295" s="113"/>
      <c r="S295" s="113"/>
      <c r="T295" s="113"/>
      <c r="U295" s="113"/>
      <c r="V295" s="113"/>
      <c r="W295" s="113"/>
      <c r="X295" s="113"/>
      <c r="Y295" s="113"/>
      <c r="Z295" s="113"/>
      <c r="AA295" s="113"/>
      <c r="AB295" s="113"/>
      <c r="AC295" s="113"/>
      <c r="AD295" s="113"/>
      <c r="AE295" s="113"/>
      <c r="AF295" s="113"/>
      <c r="AG295" s="113"/>
    </row>
    <row r="296" spans="1:33" ht="13.8">
      <c r="A296" s="113"/>
      <c r="B296" s="113"/>
      <c r="C296" s="113"/>
      <c r="D296" s="113"/>
      <c r="E296" s="113"/>
      <c r="F296" s="113"/>
      <c r="G296" s="113"/>
      <c r="H296" s="113"/>
      <c r="I296" s="113"/>
      <c r="J296" s="113"/>
      <c r="K296" s="113"/>
      <c r="L296" s="113"/>
      <c r="M296" s="113"/>
      <c r="N296" s="113"/>
      <c r="O296" s="113"/>
      <c r="P296" s="113"/>
      <c r="Q296" s="113"/>
      <c r="R296" s="113"/>
      <c r="S296" s="113"/>
      <c r="T296" s="113"/>
      <c r="U296" s="113"/>
      <c r="V296" s="113"/>
      <c r="W296" s="113"/>
      <c r="X296" s="113"/>
      <c r="Y296" s="113"/>
      <c r="Z296" s="113"/>
      <c r="AA296" s="113"/>
      <c r="AB296" s="113"/>
      <c r="AC296" s="113"/>
      <c r="AD296" s="113"/>
      <c r="AE296" s="113"/>
      <c r="AF296" s="113"/>
      <c r="AG296" s="113"/>
    </row>
    <row r="297" spans="1:33" ht="13.8">
      <c r="A297" s="113"/>
      <c r="B297" s="113"/>
      <c r="C297" s="113"/>
      <c r="D297" s="113"/>
      <c r="E297" s="113"/>
      <c r="F297" s="113"/>
      <c r="G297" s="113"/>
      <c r="H297" s="113"/>
      <c r="I297" s="113"/>
      <c r="J297" s="113"/>
      <c r="K297" s="113"/>
      <c r="L297" s="113"/>
      <c r="M297" s="113"/>
      <c r="N297" s="113"/>
      <c r="O297" s="113"/>
      <c r="P297" s="113"/>
      <c r="Q297" s="113"/>
      <c r="R297" s="113"/>
      <c r="S297" s="113"/>
      <c r="T297" s="113"/>
      <c r="U297" s="113"/>
      <c r="V297" s="113"/>
      <c r="W297" s="113"/>
      <c r="X297" s="113"/>
      <c r="Y297" s="113"/>
      <c r="Z297" s="113"/>
      <c r="AA297" s="113"/>
      <c r="AB297" s="113"/>
      <c r="AC297" s="113"/>
      <c r="AD297" s="113"/>
      <c r="AE297" s="113"/>
      <c r="AF297" s="113"/>
      <c r="AG297" s="113"/>
    </row>
    <row r="298" spans="1:33" ht="13.8">
      <c r="A298" s="113"/>
      <c r="B298" s="113"/>
      <c r="C298" s="113"/>
      <c r="D298" s="113"/>
      <c r="E298" s="113"/>
      <c r="F298" s="113"/>
      <c r="G298" s="113"/>
      <c r="H298" s="113"/>
      <c r="I298" s="113"/>
      <c r="J298" s="113"/>
      <c r="K298" s="113"/>
      <c r="L298" s="113"/>
      <c r="M298" s="113"/>
      <c r="N298" s="113"/>
      <c r="O298" s="113"/>
      <c r="P298" s="113"/>
      <c r="Q298" s="113"/>
      <c r="R298" s="113"/>
      <c r="S298" s="113"/>
      <c r="T298" s="113"/>
      <c r="U298" s="113"/>
      <c r="V298" s="113"/>
      <c r="W298" s="113"/>
      <c r="X298" s="113"/>
      <c r="Y298" s="113"/>
      <c r="Z298" s="113"/>
      <c r="AA298" s="113"/>
      <c r="AB298" s="113"/>
      <c r="AC298" s="113"/>
      <c r="AD298" s="113"/>
      <c r="AE298" s="113"/>
      <c r="AF298" s="113"/>
      <c r="AG298" s="113"/>
    </row>
    <row r="299" spans="1:33" ht="13.8">
      <c r="A299" s="113"/>
      <c r="B299" s="113"/>
      <c r="C299" s="113"/>
      <c r="D299" s="113"/>
      <c r="E299" s="113"/>
      <c r="F299" s="113"/>
      <c r="G299" s="113"/>
      <c r="H299" s="113"/>
      <c r="I299" s="113"/>
      <c r="J299" s="113"/>
      <c r="K299" s="113"/>
      <c r="L299" s="113"/>
      <c r="M299" s="113"/>
      <c r="N299" s="113"/>
      <c r="O299" s="113"/>
      <c r="P299" s="113"/>
      <c r="Q299" s="113"/>
      <c r="R299" s="113"/>
      <c r="S299" s="113"/>
      <c r="T299" s="113"/>
      <c r="U299" s="113"/>
      <c r="V299" s="113"/>
      <c r="W299" s="113"/>
      <c r="X299" s="113"/>
      <c r="Y299" s="113"/>
      <c r="Z299" s="113"/>
      <c r="AA299" s="113"/>
      <c r="AB299" s="113"/>
      <c r="AC299" s="113"/>
      <c r="AD299" s="113"/>
      <c r="AE299" s="113"/>
      <c r="AF299" s="113"/>
      <c r="AG299" s="113"/>
    </row>
    <row r="300" spans="1:33" ht="13.8">
      <c r="A300" s="113"/>
      <c r="B300" s="113"/>
      <c r="C300" s="113"/>
      <c r="D300" s="113"/>
      <c r="E300" s="113"/>
      <c r="F300" s="113"/>
      <c r="G300" s="113"/>
      <c r="H300" s="113"/>
      <c r="I300" s="113"/>
      <c r="J300" s="113"/>
      <c r="K300" s="113"/>
      <c r="L300" s="113"/>
      <c r="M300" s="113"/>
      <c r="N300" s="113"/>
      <c r="O300" s="113"/>
      <c r="P300" s="113"/>
      <c r="Q300" s="113"/>
      <c r="R300" s="113"/>
      <c r="S300" s="113"/>
      <c r="T300" s="113"/>
      <c r="U300" s="113"/>
      <c r="V300" s="113"/>
      <c r="W300" s="113"/>
      <c r="X300" s="113"/>
      <c r="Y300" s="113"/>
      <c r="Z300" s="113"/>
      <c r="AA300" s="113"/>
      <c r="AB300" s="113"/>
      <c r="AC300" s="113"/>
      <c r="AD300" s="113"/>
      <c r="AE300" s="113"/>
      <c r="AF300" s="113"/>
      <c r="AG300" s="113"/>
    </row>
    <row r="301" spans="1:33" ht="13.8">
      <c r="A301" s="113"/>
      <c r="B301" s="113"/>
      <c r="C301" s="113"/>
      <c r="D301" s="113"/>
      <c r="E301" s="113"/>
      <c r="F301" s="113"/>
      <c r="G301" s="113"/>
      <c r="H301" s="113"/>
      <c r="I301" s="113"/>
      <c r="J301" s="113"/>
      <c r="K301" s="113"/>
      <c r="L301" s="113"/>
      <c r="M301" s="113"/>
      <c r="N301" s="113"/>
      <c r="O301" s="113"/>
      <c r="P301" s="113"/>
      <c r="Q301" s="113"/>
      <c r="R301" s="113"/>
      <c r="S301" s="113"/>
      <c r="T301" s="113"/>
      <c r="U301" s="113"/>
      <c r="V301" s="113"/>
      <c r="W301" s="113"/>
      <c r="X301" s="113"/>
      <c r="Y301" s="113"/>
      <c r="Z301" s="113"/>
      <c r="AA301" s="113"/>
      <c r="AB301" s="113"/>
      <c r="AC301" s="113"/>
      <c r="AD301" s="113"/>
      <c r="AE301" s="113"/>
      <c r="AF301" s="113"/>
      <c r="AG301" s="113"/>
    </row>
    <row r="302" spans="1:33" ht="13.8">
      <c r="A302" s="113"/>
      <c r="B302" s="113"/>
      <c r="C302" s="113"/>
      <c r="D302" s="113"/>
      <c r="E302" s="113"/>
      <c r="F302" s="113"/>
      <c r="G302" s="113"/>
      <c r="H302" s="113"/>
      <c r="I302" s="113"/>
      <c r="J302" s="113"/>
      <c r="K302" s="113"/>
      <c r="L302" s="113"/>
      <c r="M302" s="113"/>
      <c r="N302" s="113"/>
      <c r="O302" s="113"/>
      <c r="P302" s="113"/>
      <c r="Q302" s="113"/>
      <c r="R302" s="113"/>
      <c r="S302" s="113"/>
      <c r="T302" s="113"/>
      <c r="U302" s="113"/>
      <c r="V302" s="113"/>
      <c r="W302" s="113"/>
      <c r="X302" s="113"/>
      <c r="Y302" s="113"/>
      <c r="Z302" s="113"/>
      <c r="AA302" s="113"/>
      <c r="AB302" s="113"/>
      <c r="AC302" s="113"/>
      <c r="AD302" s="113"/>
      <c r="AE302" s="113"/>
      <c r="AF302" s="113"/>
      <c r="AG302" s="113"/>
    </row>
    <row r="303" spans="1:33" ht="13.8">
      <c r="A303" s="113"/>
      <c r="B303" s="113"/>
      <c r="C303" s="113"/>
      <c r="D303" s="113"/>
      <c r="E303" s="113"/>
      <c r="F303" s="113"/>
      <c r="G303" s="113"/>
      <c r="H303" s="113"/>
      <c r="I303" s="113"/>
      <c r="J303" s="113"/>
      <c r="K303" s="113"/>
      <c r="L303" s="113"/>
      <c r="M303" s="113"/>
      <c r="N303" s="113"/>
      <c r="O303" s="113"/>
      <c r="P303" s="113"/>
      <c r="Q303" s="113"/>
      <c r="R303" s="113"/>
      <c r="S303" s="113"/>
      <c r="T303" s="113"/>
      <c r="U303" s="113"/>
      <c r="V303" s="113"/>
      <c r="W303" s="113"/>
      <c r="X303" s="113"/>
      <c r="Y303" s="113"/>
      <c r="Z303" s="113"/>
      <c r="AA303" s="113"/>
      <c r="AB303" s="113"/>
      <c r="AC303" s="113"/>
      <c r="AD303" s="113"/>
      <c r="AE303" s="113"/>
      <c r="AF303" s="113"/>
      <c r="AG303" s="113"/>
    </row>
    <row r="304" spans="1:33" ht="13.8">
      <c r="A304" s="113"/>
      <c r="B304" s="113"/>
      <c r="C304" s="113"/>
      <c r="D304" s="113"/>
      <c r="E304" s="113"/>
      <c r="F304" s="113"/>
      <c r="G304" s="113"/>
      <c r="H304" s="113"/>
      <c r="I304" s="113"/>
      <c r="J304" s="113"/>
      <c r="K304" s="113"/>
      <c r="L304" s="113"/>
      <c r="M304" s="113"/>
      <c r="N304" s="113"/>
      <c r="O304" s="113"/>
      <c r="P304" s="113"/>
      <c r="Q304" s="113"/>
      <c r="R304" s="113"/>
      <c r="S304" s="113"/>
      <c r="T304" s="113"/>
      <c r="U304" s="113"/>
      <c r="V304" s="113"/>
      <c r="W304" s="113"/>
      <c r="X304" s="113"/>
      <c r="Y304" s="113"/>
      <c r="Z304" s="113"/>
      <c r="AA304" s="113"/>
      <c r="AB304" s="113"/>
      <c r="AC304" s="113"/>
      <c r="AD304" s="113"/>
      <c r="AE304" s="113"/>
      <c r="AF304" s="113"/>
      <c r="AG304" s="113"/>
    </row>
    <row r="305" spans="1:33" ht="13.8">
      <c r="A305" s="113"/>
      <c r="B305" s="113"/>
      <c r="C305" s="113"/>
      <c r="D305" s="113"/>
      <c r="E305" s="113"/>
      <c r="F305" s="113"/>
      <c r="G305" s="113"/>
      <c r="H305" s="113"/>
      <c r="I305" s="113"/>
      <c r="J305" s="113"/>
      <c r="K305" s="113"/>
      <c r="L305" s="113"/>
      <c r="M305" s="113"/>
      <c r="N305" s="113"/>
      <c r="O305" s="113"/>
      <c r="P305" s="113"/>
      <c r="Q305" s="113"/>
      <c r="R305" s="113"/>
      <c r="S305" s="113"/>
      <c r="T305" s="113"/>
      <c r="U305" s="113"/>
      <c r="V305" s="113"/>
      <c r="W305" s="113"/>
      <c r="X305" s="113"/>
      <c r="Y305" s="113"/>
      <c r="Z305" s="113"/>
      <c r="AA305" s="113"/>
      <c r="AB305" s="113"/>
      <c r="AC305" s="113"/>
      <c r="AD305" s="113"/>
      <c r="AE305" s="113"/>
      <c r="AF305" s="113"/>
      <c r="AG305" s="113"/>
    </row>
    <row r="306" spans="1:33" ht="13.8">
      <c r="A306" s="113"/>
      <c r="B306" s="113"/>
      <c r="C306" s="113"/>
      <c r="D306" s="113"/>
      <c r="E306" s="113"/>
      <c r="F306" s="113"/>
      <c r="G306" s="113"/>
      <c r="H306" s="113"/>
      <c r="I306" s="113"/>
      <c r="J306" s="113"/>
      <c r="K306" s="113"/>
      <c r="L306" s="113"/>
      <c r="M306" s="113"/>
      <c r="N306" s="113"/>
      <c r="O306" s="113"/>
      <c r="P306" s="113"/>
      <c r="Q306" s="113"/>
      <c r="R306" s="113"/>
      <c r="S306" s="113"/>
      <c r="T306" s="113"/>
      <c r="U306" s="113"/>
      <c r="V306" s="113"/>
      <c r="W306" s="113"/>
      <c r="X306" s="113"/>
      <c r="Y306" s="113"/>
      <c r="Z306" s="113"/>
      <c r="AA306" s="113"/>
      <c r="AB306" s="113"/>
      <c r="AC306" s="113"/>
      <c r="AD306" s="113"/>
      <c r="AE306" s="113"/>
      <c r="AF306" s="113"/>
      <c r="AG306" s="113"/>
    </row>
    <row r="307" spans="1:33" ht="13.8">
      <c r="A307" s="113"/>
      <c r="B307" s="113"/>
      <c r="C307" s="113"/>
      <c r="D307" s="113"/>
      <c r="E307" s="113"/>
      <c r="F307" s="113"/>
      <c r="G307" s="113"/>
      <c r="H307" s="113"/>
      <c r="I307" s="113"/>
      <c r="J307" s="113"/>
      <c r="K307" s="113"/>
      <c r="L307" s="113"/>
      <c r="M307" s="113"/>
      <c r="N307" s="113"/>
      <c r="O307" s="113"/>
      <c r="P307" s="113"/>
      <c r="Q307" s="113"/>
      <c r="R307" s="113"/>
      <c r="S307" s="113"/>
      <c r="T307" s="113"/>
      <c r="U307" s="113"/>
      <c r="V307" s="113"/>
      <c r="W307" s="113"/>
      <c r="X307" s="113"/>
      <c r="Y307" s="113"/>
      <c r="Z307" s="113"/>
      <c r="AA307" s="113"/>
      <c r="AB307" s="113"/>
      <c r="AC307" s="113"/>
      <c r="AD307" s="113"/>
      <c r="AE307" s="113"/>
      <c r="AF307" s="113"/>
      <c r="AG307" s="113"/>
    </row>
    <row r="308" spans="1:33" ht="13.8">
      <c r="A308" s="113"/>
      <c r="B308" s="113"/>
      <c r="C308" s="113"/>
      <c r="D308" s="113"/>
      <c r="E308" s="113"/>
      <c r="F308" s="113"/>
      <c r="G308" s="113"/>
      <c r="H308" s="113"/>
      <c r="I308" s="113"/>
      <c r="J308" s="113"/>
      <c r="K308" s="113"/>
      <c r="L308" s="113"/>
      <c r="M308" s="113"/>
      <c r="N308" s="113"/>
      <c r="O308" s="113"/>
      <c r="P308" s="113"/>
      <c r="Q308" s="113"/>
      <c r="R308" s="113"/>
      <c r="S308" s="113"/>
      <c r="T308" s="113"/>
      <c r="U308" s="113"/>
      <c r="V308" s="113"/>
      <c r="W308" s="113"/>
      <c r="X308" s="113"/>
      <c r="Y308" s="113"/>
      <c r="Z308" s="113"/>
      <c r="AA308" s="113"/>
      <c r="AB308" s="113"/>
      <c r="AC308" s="113"/>
      <c r="AD308" s="113"/>
      <c r="AE308" s="113"/>
      <c r="AF308" s="113"/>
      <c r="AG308" s="113"/>
    </row>
    <row r="309" spans="1:33" ht="13.8">
      <c r="A309" s="113"/>
      <c r="B309" s="113"/>
      <c r="C309" s="113"/>
      <c r="D309" s="113"/>
      <c r="E309" s="113"/>
      <c r="F309" s="113"/>
      <c r="G309" s="113"/>
      <c r="H309" s="113"/>
      <c r="I309" s="113"/>
      <c r="J309" s="113"/>
      <c r="K309" s="113"/>
      <c r="L309" s="113"/>
      <c r="M309" s="113"/>
      <c r="N309" s="113"/>
      <c r="O309" s="113"/>
      <c r="P309" s="113"/>
      <c r="Q309" s="113"/>
      <c r="R309" s="113"/>
      <c r="S309" s="113"/>
      <c r="T309" s="113"/>
      <c r="U309" s="113"/>
      <c r="V309" s="113"/>
      <c r="W309" s="113"/>
      <c r="X309" s="113"/>
      <c r="Y309" s="113"/>
      <c r="Z309" s="113"/>
      <c r="AA309" s="113"/>
      <c r="AB309" s="113"/>
      <c r="AC309" s="113"/>
      <c r="AD309" s="113"/>
      <c r="AE309" s="113"/>
      <c r="AF309" s="113"/>
      <c r="AG309" s="113"/>
    </row>
    <row r="310" spans="1:33" ht="13.8">
      <c r="A310" s="113"/>
      <c r="B310" s="113"/>
      <c r="C310" s="113"/>
      <c r="D310" s="113"/>
      <c r="E310" s="113"/>
      <c r="F310" s="113"/>
      <c r="G310" s="113"/>
      <c r="H310" s="113"/>
      <c r="I310" s="113"/>
      <c r="J310" s="113"/>
      <c r="K310" s="113"/>
      <c r="L310" s="113"/>
      <c r="M310" s="113"/>
      <c r="N310" s="113"/>
      <c r="O310" s="113"/>
      <c r="P310" s="113"/>
      <c r="Q310" s="113"/>
      <c r="R310" s="113"/>
      <c r="S310" s="113"/>
      <c r="T310" s="113"/>
      <c r="U310" s="113"/>
      <c r="V310" s="113"/>
      <c r="W310" s="113"/>
      <c r="X310" s="113"/>
      <c r="Y310" s="113"/>
      <c r="Z310" s="113"/>
      <c r="AA310" s="113"/>
      <c r="AB310" s="113"/>
      <c r="AC310" s="113"/>
      <c r="AD310" s="113"/>
      <c r="AE310" s="113"/>
      <c r="AF310" s="113"/>
      <c r="AG310" s="113"/>
    </row>
    <row r="311" spans="1:33" ht="13.8">
      <c r="A311" s="113"/>
      <c r="B311" s="113"/>
      <c r="C311" s="113"/>
      <c r="D311" s="113"/>
      <c r="E311" s="113"/>
      <c r="F311" s="113"/>
      <c r="G311" s="113"/>
      <c r="H311" s="113"/>
      <c r="I311" s="113"/>
      <c r="J311" s="113"/>
      <c r="K311" s="113"/>
      <c r="L311" s="113"/>
      <c r="M311" s="113"/>
      <c r="N311" s="113"/>
      <c r="O311" s="113"/>
      <c r="P311" s="113"/>
      <c r="Q311" s="113"/>
      <c r="R311" s="113"/>
      <c r="S311" s="113"/>
      <c r="T311" s="113"/>
      <c r="U311" s="113"/>
      <c r="V311" s="113"/>
      <c r="W311" s="113"/>
      <c r="X311" s="113"/>
      <c r="Y311" s="113"/>
      <c r="Z311" s="113"/>
      <c r="AA311" s="113"/>
      <c r="AB311" s="113"/>
      <c r="AC311" s="113"/>
      <c r="AD311" s="113"/>
      <c r="AE311" s="113"/>
      <c r="AF311" s="113"/>
      <c r="AG311" s="113"/>
    </row>
    <row r="312" spans="1:33" ht="13.8">
      <c r="A312" s="113"/>
      <c r="B312" s="113"/>
      <c r="C312" s="113"/>
      <c r="D312" s="113"/>
      <c r="E312" s="113"/>
      <c r="F312" s="113"/>
      <c r="G312" s="113"/>
      <c r="H312" s="113"/>
      <c r="I312" s="113"/>
      <c r="J312" s="113"/>
      <c r="K312" s="113"/>
      <c r="L312" s="113"/>
      <c r="M312" s="113"/>
      <c r="N312" s="113"/>
      <c r="O312" s="113"/>
      <c r="P312" s="113"/>
      <c r="Q312" s="113"/>
      <c r="R312" s="113"/>
      <c r="S312" s="113"/>
      <c r="T312" s="113"/>
      <c r="U312" s="113"/>
      <c r="V312" s="113"/>
      <c r="W312" s="113"/>
      <c r="X312" s="113"/>
      <c r="Y312" s="113"/>
      <c r="Z312" s="113"/>
      <c r="AA312" s="113"/>
      <c r="AB312" s="113"/>
      <c r="AC312" s="113"/>
      <c r="AD312" s="113"/>
      <c r="AE312" s="113"/>
      <c r="AF312" s="113"/>
      <c r="AG312" s="113"/>
    </row>
    <row r="313" spans="1:33" ht="13.8">
      <c r="A313" s="113"/>
      <c r="B313" s="113"/>
      <c r="C313" s="113"/>
      <c r="D313" s="113"/>
      <c r="E313" s="113"/>
      <c r="F313" s="113"/>
      <c r="G313" s="113"/>
      <c r="H313" s="113"/>
      <c r="I313" s="113"/>
      <c r="J313" s="113"/>
      <c r="K313" s="113"/>
      <c r="L313" s="113"/>
      <c r="M313" s="113"/>
      <c r="N313" s="113"/>
      <c r="O313" s="113"/>
      <c r="P313" s="113"/>
      <c r="Q313" s="113"/>
      <c r="R313" s="113"/>
      <c r="S313" s="113"/>
      <c r="T313" s="113"/>
      <c r="U313" s="113"/>
      <c r="V313" s="113"/>
      <c r="W313" s="113"/>
      <c r="X313" s="113"/>
      <c r="Y313" s="113"/>
      <c r="Z313" s="113"/>
      <c r="AA313" s="113"/>
      <c r="AB313" s="113"/>
      <c r="AC313" s="113"/>
      <c r="AD313" s="113"/>
      <c r="AE313" s="113"/>
      <c r="AF313" s="113"/>
      <c r="AG313" s="113"/>
    </row>
    <row r="314" spans="1:33" ht="13.8">
      <c r="A314" s="113"/>
      <c r="B314" s="113"/>
      <c r="C314" s="113"/>
      <c r="D314" s="113"/>
      <c r="E314" s="113"/>
      <c r="F314" s="113"/>
      <c r="G314" s="113"/>
      <c r="H314" s="113"/>
      <c r="I314" s="113"/>
      <c r="J314" s="113"/>
      <c r="K314" s="113"/>
      <c r="L314" s="113"/>
      <c r="M314" s="113"/>
      <c r="N314" s="113"/>
      <c r="O314" s="113"/>
      <c r="P314" s="113"/>
      <c r="Q314" s="113"/>
      <c r="R314" s="113"/>
      <c r="S314" s="113"/>
      <c r="T314" s="113"/>
      <c r="U314" s="113"/>
      <c r="V314" s="113"/>
      <c r="W314" s="113"/>
      <c r="X314" s="113"/>
      <c r="Y314" s="113"/>
      <c r="Z314" s="113"/>
      <c r="AA314" s="113"/>
      <c r="AB314" s="113"/>
      <c r="AC314" s="113"/>
      <c r="AD314" s="113"/>
      <c r="AE314" s="113"/>
      <c r="AF314" s="113"/>
      <c r="AG314" s="113"/>
    </row>
    <row r="315" spans="1:33" ht="13.8">
      <c r="A315" s="113"/>
      <c r="B315" s="113"/>
      <c r="C315" s="113"/>
      <c r="D315" s="113"/>
      <c r="E315" s="113"/>
      <c r="F315" s="113"/>
      <c r="G315" s="113"/>
      <c r="H315" s="113"/>
      <c r="I315" s="113"/>
      <c r="J315" s="113"/>
      <c r="K315" s="113"/>
      <c r="L315" s="113"/>
      <c r="M315" s="113"/>
      <c r="N315" s="113"/>
      <c r="O315" s="113"/>
      <c r="P315" s="113"/>
      <c r="Q315" s="113"/>
      <c r="R315" s="113"/>
      <c r="S315" s="113"/>
      <c r="T315" s="113"/>
      <c r="U315" s="113"/>
      <c r="V315" s="113"/>
      <c r="W315" s="113"/>
      <c r="X315" s="113"/>
      <c r="Y315" s="113"/>
      <c r="Z315" s="113"/>
      <c r="AA315" s="113"/>
      <c r="AB315" s="113"/>
      <c r="AC315" s="113"/>
      <c r="AD315" s="113"/>
      <c r="AE315" s="113"/>
      <c r="AF315" s="113"/>
      <c r="AG315" s="113"/>
    </row>
    <row r="316" spans="1:33" ht="13.8">
      <c r="A316" s="113"/>
      <c r="B316" s="113"/>
      <c r="C316" s="113"/>
      <c r="D316" s="113"/>
      <c r="E316" s="113"/>
      <c r="F316" s="113"/>
      <c r="G316" s="113"/>
      <c r="H316" s="113"/>
      <c r="I316" s="113"/>
      <c r="J316" s="113"/>
      <c r="K316" s="113"/>
      <c r="L316" s="113"/>
      <c r="M316" s="113"/>
      <c r="N316" s="113"/>
      <c r="O316" s="113"/>
      <c r="P316" s="113"/>
      <c r="Q316" s="113"/>
      <c r="R316" s="113"/>
      <c r="S316" s="113"/>
      <c r="T316" s="113"/>
      <c r="U316" s="113"/>
      <c r="V316" s="113"/>
      <c r="W316" s="113"/>
      <c r="X316" s="113"/>
      <c r="Y316" s="113"/>
      <c r="Z316" s="113"/>
      <c r="AA316" s="113"/>
      <c r="AB316" s="113"/>
      <c r="AC316" s="113"/>
      <c r="AD316" s="113"/>
      <c r="AE316" s="113"/>
      <c r="AF316" s="113"/>
      <c r="AG316" s="113"/>
    </row>
    <row r="317" spans="1:33" ht="13.8">
      <c r="A317" s="113"/>
      <c r="B317" s="113"/>
      <c r="C317" s="113"/>
      <c r="D317" s="113"/>
      <c r="E317" s="113"/>
      <c r="F317" s="113"/>
      <c r="G317" s="113"/>
      <c r="H317" s="113"/>
      <c r="I317" s="113"/>
      <c r="J317" s="113"/>
      <c r="K317" s="113"/>
      <c r="L317" s="113"/>
      <c r="M317" s="113"/>
      <c r="N317" s="113"/>
      <c r="O317" s="113"/>
      <c r="P317" s="113"/>
      <c r="Q317" s="113"/>
      <c r="R317" s="113"/>
      <c r="S317" s="113"/>
      <c r="T317" s="113"/>
      <c r="U317" s="113"/>
      <c r="V317" s="113"/>
      <c r="W317" s="113"/>
      <c r="X317" s="113"/>
      <c r="Y317" s="113"/>
      <c r="Z317" s="113"/>
      <c r="AA317" s="113"/>
      <c r="AB317" s="113"/>
      <c r="AC317" s="113"/>
      <c r="AD317" s="113"/>
      <c r="AE317" s="113"/>
      <c r="AF317" s="113"/>
      <c r="AG317" s="113"/>
    </row>
    <row r="318" spans="1:33" ht="13.8">
      <c r="A318" s="113"/>
      <c r="B318" s="113"/>
      <c r="C318" s="113"/>
      <c r="D318" s="113"/>
      <c r="E318" s="113"/>
      <c r="F318" s="113"/>
      <c r="G318" s="113"/>
      <c r="H318" s="113"/>
      <c r="I318" s="113"/>
      <c r="J318" s="113"/>
      <c r="K318" s="113"/>
      <c r="L318" s="113"/>
      <c r="M318" s="113"/>
      <c r="N318" s="113"/>
      <c r="O318" s="113"/>
      <c r="P318" s="113"/>
      <c r="Q318" s="113"/>
      <c r="R318" s="113"/>
      <c r="S318" s="113"/>
      <c r="T318" s="113"/>
      <c r="U318" s="113"/>
      <c r="V318" s="113"/>
      <c r="W318" s="113"/>
      <c r="X318" s="113"/>
      <c r="Y318" s="113"/>
      <c r="Z318" s="113"/>
      <c r="AA318" s="113"/>
      <c r="AB318" s="113"/>
      <c r="AC318" s="113"/>
      <c r="AD318" s="113"/>
      <c r="AE318" s="113"/>
      <c r="AF318" s="113"/>
      <c r="AG318" s="113"/>
    </row>
    <row r="319" spans="1:33" ht="13.8">
      <c r="A319" s="113"/>
      <c r="B319" s="113"/>
      <c r="C319" s="113"/>
      <c r="D319" s="113"/>
      <c r="E319" s="113"/>
      <c r="F319" s="113"/>
      <c r="G319" s="113"/>
      <c r="H319" s="113"/>
      <c r="I319" s="113"/>
      <c r="J319" s="113"/>
      <c r="K319" s="113"/>
      <c r="L319" s="113"/>
      <c r="M319" s="113"/>
      <c r="N319" s="113"/>
      <c r="O319" s="113"/>
      <c r="P319" s="113"/>
      <c r="Q319" s="113"/>
      <c r="R319" s="113"/>
      <c r="S319" s="113"/>
      <c r="T319" s="113"/>
      <c r="U319" s="113"/>
      <c r="V319" s="113"/>
      <c r="W319" s="113"/>
      <c r="X319" s="113"/>
      <c r="Y319" s="113"/>
      <c r="Z319" s="113"/>
      <c r="AA319" s="113"/>
      <c r="AB319" s="113"/>
      <c r="AC319" s="113"/>
      <c r="AD319" s="113"/>
      <c r="AE319" s="113"/>
      <c r="AF319" s="113"/>
      <c r="AG319" s="113"/>
    </row>
    <row r="320" spans="1:33" ht="13.8">
      <c r="A320" s="113"/>
      <c r="B320" s="113"/>
      <c r="C320" s="113"/>
      <c r="D320" s="113"/>
      <c r="E320" s="113"/>
      <c r="F320" s="113"/>
      <c r="G320" s="113"/>
      <c r="H320" s="113"/>
      <c r="I320" s="113"/>
      <c r="J320" s="113"/>
      <c r="K320" s="113"/>
      <c r="L320" s="113"/>
      <c r="M320" s="113"/>
      <c r="N320" s="113"/>
      <c r="O320" s="113"/>
      <c r="P320" s="113"/>
      <c r="Q320" s="113"/>
      <c r="R320" s="113"/>
      <c r="S320" s="113"/>
      <c r="T320" s="113"/>
      <c r="U320" s="113"/>
      <c r="V320" s="113"/>
      <c r="W320" s="113"/>
      <c r="X320" s="113"/>
      <c r="Y320" s="113"/>
      <c r="Z320" s="113"/>
      <c r="AA320" s="113"/>
      <c r="AB320" s="113"/>
      <c r="AC320" s="113"/>
      <c r="AD320" s="113"/>
      <c r="AE320" s="113"/>
      <c r="AF320" s="113"/>
      <c r="AG320" s="113"/>
    </row>
    <row r="321" spans="1:33" ht="13.8">
      <c r="A321" s="113"/>
      <c r="B321" s="113"/>
      <c r="C321" s="113"/>
      <c r="D321" s="113"/>
      <c r="E321" s="113"/>
      <c r="F321" s="113"/>
      <c r="G321" s="113"/>
      <c r="H321" s="113"/>
      <c r="I321" s="113"/>
      <c r="J321" s="113"/>
      <c r="K321" s="113"/>
      <c r="L321" s="113"/>
      <c r="M321" s="113"/>
      <c r="N321" s="113"/>
      <c r="O321" s="113"/>
      <c r="P321" s="113"/>
      <c r="Q321" s="113"/>
      <c r="R321" s="113"/>
      <c r="S321" s="113"/>
      <c r="T321" s="113"/>
      <c r="U321" s="113"/>
      <c r="V321" s="113"/>
      <c r="W321" s="113"/>
      <c r="X321" s="113"/>
      <c r="Y321" s="113"/>
      <c r="Z321" s="113"/>
      <c r="AA321" s="113"/>
      <c r="AB321" s="113"/>
      <c r="AC321" s="113"/>
      <c r="AD321" s="113"/>
      <c r="AE321" s="113"/>
      <c r="AF321" s="113"/>
      <c r="AG321" s="113"/>
    </row>
    <row r="322" spans="1:33" ht="13.8">
      <c r="A322" s="113"/>
      <c r="B322" s="113"/>
      <c r="C322" s="113"/>
      <c r="D322" s="113"/>
      <c r="E322" s="113"/>
      <c r="F322" s="113"/>
      <c r="G322" s="113"/>
      <c r="H322" s="113"/>
      <c r="I322" s="113"/>
      <c r="J322" s="113"/>
      <c r="K322" s="113"/>
      <c r="L322" s="113"/>
      <c r="M322" s="113"/>
      <c r="N322" s="113"/>
      <c r="O322" s="113"/>
      <c r="P322" s="113"/>
      <c r="Q322" s="113"/>
      <c r="R322" s="113"/>
      <c r="S322" s="113"/>
      <c r="T322" s="113"/>
      <c r="U322" s="113"/>
      <c r="V322" s="113"/>
      <c r="W322" s="113"/>
      <c r="X322" s="113"/>
      <c r="Y322" s="113"/>
      <c r="Z322" s="113"/>
      <c r="AA322" s="113"/>
      <c r="AB322" s="113"/>
      <c r="AC322" s="113"/>
      <c r="AD322" s="113"/>
      <c r="AE322" s="113"/>
      <c r="AF322" s="113"/>
      <c r="AG322" s="113"/>
    </row>
    <row r="323" spans="1:33" ht="13.8">
      <c r="A323" s="113"/>
      <c r="B323" s="113"/>
      <c r="C323" s="113"/>
      <c r="D323" s="113"/>
      <c r="E323" s="113"/>
      <c r="F323" s="113"/>
      <c r="G323" s="113"/>
      <c r="H323" s="113"/>
      <c r="I323" s="113"/>
      <c r="J323" s="113"/>
      <c r="K323" s="113"/>
      <c r="L323" s="113"/>
      <c r="M323" s="113"/>
      <c r="N323" s="113"/>
      <c r="O323" s="113"/>
      <c r="P323" s="113"/>
      <c r="Q323" s="113"/>
      <c r="R323" s="113"/>
      <c r="S323" s="113"/>
      <c r="T323" s="113"/>
      <c r="U323" s="113"/>
      <c r="V323" s="113"/>
      <c r="W323" s="113"/>
      <c r="X323" s="113"/>
      <c r="Y323" s="113"/>
      <c r="Z323" s="113"/>
      <c r="AA323" s="113"/>
      <c r="AB323" s="113"/>
      <c r="AC323" s="113"/>
      <c r="AD323" s="113"/>
      <c r="AE323" s="113"/>
      <c r="AF323" s="113"/>
      <c r="AG323" s="113"/>
    </row>
    <row r="324" spans="1:33" ht="13.8">
      <c r="A324" s="113"/>
      <c r="B324" s="113"/>
      <c r="C324" s="113"/>
      <c r="D324" s="113"/>
      <c r="E324" s="113"/>
      <c r="F324" s="113"/>
      <c r="G324" s="113"/>
      <c r="H324" s="113"/>
      <c r="I324" s="113"/>
      <c r="J324" s="113"/>
      <c r="K324" s="113"/>
      <c r="L324" s="113"/>
      <c r="M324" s="113"/>
      <c r="N324" s="113"/>
      <c r="O324" s="113"/>
      <c r="P324" s="113"/>
      <c r="Q324" s="113"/>
      <c r="R324" s="113"/>
      <c r="S324" s="113"/>
      <c r="T324" s="113"/>
      <c r="U324" s="113"/>
      <c r="V324" s="113"/>
      <c r="W324" s="113"/>
      <c r="X324" s="113"/>
      <c r="Y324" s="113"/>
      <c r="Z324" s="113"/>
      <c r="AA324" s="113"/>
      <c r="AB324" s="113"/>
      <c r="AC324" s="113"/>
      <c r="AD324" s="113"/>
      <c r="AE324" s="113"/>
      <c r="AF324" s="113"/>
      <c r="AG324" s="113"/>
    </row>
    <row r="325" spans="1:33" ht="13.8">
      <c r="A325" s="113"/>
      <c r="B325" s="113"/>
      <c r="C325" s="113"/>
      <c r="D325" s="113"/>
      <c r="E325" s="113"/>
      <c r="F325" s="113"/>
      <c r="G325" s="113"/>
      <c r="H325" s="113"/>
      <c r="I325" s="113"/>
      <c r="J325" s="113"/>
      <c r="K325" s="113"/>
      <c r="L325" s="113"/>
      <c r="M325" s="113"/>
      <c r="N325" s="113"/>
      <c r="O325" s="113"/>
      <c r="P325" s="113"/>
      <c r="Q325" s="113"/>
      <c r="R325" s="113"/>
      <c r="S325" s="113"/>
      <c r="T325" s="113"/>
      <c r="U325" s="113"/>
      <c r="V325" s="113"/>
      <c r="W325" s="113"/>
      <c r="X325" s="113"/>
      <c r="Y325" s="113"/>
      <c r="Z325" s="113"/>
      <c r="AA325" s="113"/>
      <c r="AB325" s="113"/>
      <c r="AC325" s="113"/>
      <c r="AD325" s="113"/>
      <c r="AE325" s="113"/>
      <c r="AF325" s="113"/>
      <c r="AG325" s="113"/>
    </row>
    <row r="326" spans="1:33" ht="13.8">
      <c r="A326" s="113"/>
      <c r="B326" s="113"/>
      <c r="C326" s="113"/>
      <c r="D326" s="113"/>
      <c r="E326" s="113"/>
      <c r="F326" s="113"/>
      <c r="G326" s="113"/>
      <c r="H326" s="113"/>
      <c r="I326" s="113"/>
      <c r="J326" s="113"/>
      <c r="K326" s="113"/>
      <c r="L326" s="113"/>
      <c r="M326" s="113"/>
      <c r="N326" s="113"/>
      <c r="O326" s="113"/>
      <c r="P326" s="113"/>
      <c r="Q326" s="113"/>
      <c r="R326" s="113"/>
      <c r="S326" s="113"/>
      <c r="T326" s="113"/>
      <c r="U326" s="113"/>
      <c r="V326" s="113"/>
      <c r="W326" s="113"/>
      <c r="X326" s="113"/>
      <c r="Y326" s="113"/>
      <c r="Z326" s="113"/>
      <c r="AA326" s="113"/>
      <c r="AB326" s="113"/>
      <c r="AC326" s="113"/>
      <c r="AD326" s="113"/>
      <c r="AE326" s="113"/>
      <c r="AF326" s="113"/>
      <c r="AG326" s="113"/>
    </row>
    <row r="327" spans="1:33" ht="13.8">
      <c r="A327" s="113"/>
      <c r="B327" s="113"/>
      <c r="C327" s="113"/>
      <c r="D327" s="113"/>
      <c r="E327" s="113"/>
      <c r="F327" s="113"/>
      <c r="G327" s="113"/>
      <c r="H327" s="113"/>
      <c r="I327" s="113"/>
      <c r="J327" s="113"/>
      <c r="K327" s="113"/>
      <c r="L327" s="113"/>
      <c r="M327" s="113"/>
      <c r="N327" s="113"/>
      <c r="O327" s="113"/>
      <c r="P327" s="113"/>
      <c r="Q327" s="113"/>
      <c r="R327" s="113"/>
      <c r="S327" s="113"/>
      <c r="T327" s="113"/>
      <c r="U327" s="113"/>
      <c r="V327" s="113"/>
      <c r="W327" s="113"/>
      <c r="X327" s="113"/>
      <c r="Y327" s="113"/>
      <c r="Z327" s="113"/>
      <c r="AA327" s="113"/>
      <c r="AB327" s="113"/>
      <c r="AC327" s="113"/>
      <c r="AD327" s="113"/>
      <c r="AE327" s="113"/>
      <c r="AF327" s="113"/>
      <c r="AG327" s="113"/>
    </row>
    <row r="328" spans="1:33" ht="13.8">
      <c r="A328" s="113"/>
      <c r="B328" s="113"/>
      <c r="C328" s="113"/>
      <c r="D328" s="113"/>
      <c r="E328" s="113"/>
      <c r="F328" s="113"/>
      <c r="G328" s="113"/>
      <c r="H328" s="113"/>
      <c r="I328" s="113"/>
      <c r="J328" s="113"/>
      <c r="K328" s="113"/>
      <c r="L328" s="113"/>
      <c r="M328" s="113"/>
      <c r="N328" s="113"/>
      <c r="O328" s="113"/>
      <c r="P328" s="113"/>
      <c r="Q328" s="113"/>
      <c r="R328" s="113"/>
      <c r="S328" s="113"/>
      <c r="T328" s="113"/>
      <c r="U328" s="113"/>
      <c r="V328" s="113"/>
      <c r="W328" s="113"/>
      <c r="X328" s="113"/>
      <c r="Y328" s="113"/>
      <c r="Z328" s="113"/>
      <c r="AA328" s="113"/>
      <c r="AB328" s="113"/>
      <c r="AC328" s="113"/>
      <c r="AD328" s="113"/>
      <c r="AE328" s="113"/>
      <c r="AF328" s="113"/>
      <c r="AG328" s="113"/>
    </row>
    <row r="329" spans="1:33" ht="13.8">
      <c r="A329" s="113"/>
      <c r="B329" s="113"/>
      <c r="C329" s="113"/>
      <c r="D329" s="113"/>
      <c r="E329" s="113"/>
      <c r="F329" s="113"/>
      <c r="G329" s="113"/>
      <c r="H329" s="113"/>
      <c r="I329" s="113"/>
      <c r="J329" s="113"/>
      <c r="K329" s="113"/>
      <c r="L329" s="113"/>
      <c r="M329" s="113"/>
      <c r="N329" s="113"/>
      <c r="O329" s="113"/>
      <c r="P329" s="113"/>
      <c r="Q329" s="113"/>
      <c r="R329" s="113"/>
      <c r="S329" s="113"/>
      <c r="T329" s="113"/>
      <c r="U329" s="113"/>
      <c r="V329" s="113"/>
      <c r="W329" s="113"/>
      <c r="X329" s="113"/>
      <c r="Y329" s="113"/>
      <c r="Z329" s="113"/>
      <c r="AA329" s="113"/>
      <c r="AB329" s="113"/>
      <c r="AC329" s="113"/>
      <c r="AD329" s="113"/>
      <c r="AE329" s="113"/>
      <c r="AF329" s="113"/>
      <c r="AG329" s="113"/>
    </row>
    <row r="330" spans="1:33" ht="13.8">
      <c r="A330" s="113"/>
      <c r="B330" s="113"/>
      <c r="C330" s="113"/>
      <c r="D330" s="113"/>
      <c r="E330" s="113"/>
      <c r="F330" s="113"/>
      <c r="G330" s="113"/>
      <c r="H330" s="113"/>
      <c r="I330" s="113"/>
      <c r="J330" s="113"/>
      <c r="K330" s="113"/>
      <c r="L330" s="113"/>
      <c r="M330" s="113"/>
      <c r="N330" s="113"/>
      <c r="O330" s="113"/>
      <c r="P330" s="113"/>
      <c r="Q330" s="113"/>
      <c r="R330" s="113"/>
      <c r="S330" s="113"/>
      <c r="T330" s="113"/>
      <c r="U330" s="113"/>
      <c r="V330" s="113"/>
      <c r="W330" s="113"/>
      <c r="X330" s="113"/>
      <c r="Y330" s="113"/>
      <c r="Z330" s="113"/>
      <c r="AA330" s="113"/>
      <c r="AB330" s="113"/>
      <c r="AC330" s="113"/>
      <c r="AD330" s="113"/>
      <c r="AE330" s="113"/>
      <c r="AF330" s="113"/>
      <c r="AG330" s="113"/>
    </row>
    <row r="331" spans="1:33" ht="13.8">
      <c r="A331" s="113"/>
      <c r="B331" s="113"/>
      <c r="C331" s="113"/>
      <c r="D331" s="113"/>
      <c r="E331" s="113"/>
      <c r="F331" s="113"/>
      <c r="G331" s="113"/>
      <c r="H331" s="113"/>
      <c r="I331" s="113"/>
      <c r="J331" s="113"/>
      <c r="K331" s="113"/>
      <c r="L331" s="113"/>
      <c r="M331" s="113"/>
      <c r="N331" s="113"/>
      <c r="O331" s="113"/>
      <c r="P331" s="113"/>
      <c r="Q331" s="113"/>
      <c r="R331" s="113"/>
      <c r="S331" s="113"/>
      <c r="T331" s="113"/>
      <c r="U331" s="113"/>
      <c r="V331" s="113"/>
      <c r="W331" s="113"/>
      <c r="X331" s="113"/>
      <c r="Y331" s="113"/>
      <c r="Z331" s="113"/>
      <c r="AA331" s="113"/>
      <c r="AB331" s="113"/>
      <c r="AC331" s="113"/>
      <c r="AD331" s="113"/>
      <c r="AE331" s="113"/>
      <c r="AF331" s="113"/>
      <c r="AG331" s="113"/>
    </row>
    <row r="332" spans="1:33" ht="13.8">
      <c r="A332" s="113"/>
      <c r="B332" s="113"/>
      <c r="C332" s="113"/>
      <c r="D332" s="113"/>
      <c r="E332" s="113"/>
      <c r="F332" s="113"/>
      <c r="G332" s="113"/>
      <c r="H332" s="113"/>
      <c r="I332" s="113"/>
      <c r="J332" s="113"/>
      <c r="K332" s="113"/>
      <c r="L332" s="113"/>
      <c r="M332" s="113"/>
      <c r="N332" s="113"/>
      <c r="O332" s="113"/>
      <c r="P332" s="113"/>
      <c r="Q332" s="113"/>
      <c r="R332" s="113"/>
      <c r="S332" s="113"/>
      <c r="T332" s="113"/>
      <c r="U332" s="113"/>
      <c r="V332" s="113"/>
      <c r="W332" s="113"/>
      <c r="X332" s="113"/>
      <c r="Y332" s="113"/>
      <c r="Z332" s="113"/>
      <c r="AA332" s="113"/>
      <c r="AB332" s="113"/>
      <c r="AC332" s="113"/>
      <c r="AD332" s="113"/>
      <c r="AE332" s="113"/>
      <c r="AF332" s="113"/>
      <c r="AG332" s="113"/>
    </row>
    <row r="333" spans="1:33" ht="13.8">
      <c r="A333" s="113"/>
      <c r="B333" s="113"/>
      <c r="C333" s="113"/>
      <c r="D333" s="113"/>
      <c r="E333" s="113"/>
      <c r="F333" s="113"/>
      <c r="G333" s="113"/>
      <c r="H333" s="113"/>
      <c r="I333" s="113"/>
      <c r="J333" s="113"/>
      <c r="K333" s="113"/>
      <c r="L333" s="113"/>
      <c r="M333" s="113"/>
      <c r="N333" s="113"/>
      <c r="O333" s="113"/>
      <c r="P333" s="113"/>
      <c r="Q333" s="113"/>
      <c r="R333" s="113"/>
      <c r="S333" s="113"/>
      <c r="T333" s="113"/>
      <c r="U333" s="113"/>
      <c r="V333" s="113"/>
      <c r="W333" s="113"/>
      <c r="X333" s="113"/>
      <c r="Y333" s="113"/>
      <c r="Z333" s="113"/>
      <c r="AA333" s="113"/>
      <c r="AB333" s="113"/>
      <c r="AC333" s="113"/>
      <c r="AD333" s="113"/>
      <c r="AE333" s="113"/>
      <c r="AF333" s="113"/>
      <c r="AG333" s="113"/>
    </row>
    <row r="334" spans="1:33" ht="13.8">
      <c r="A334" s="113"/>
      <c r="B334" s="113"/>
      <c r="C334" s="113"/>
      <c r="D334" s="113"/>
      <c r="E334" s="113"/>
      <c r="F334" s="113"/>
      <c r="G334" s="113"/>
      <c r="H334" s="113"/>
      <c r="I334" s="113"/>
      <c r="J334" s="113"/>
      <c r="K334" s="113"/>
      <c r="L334" s="113"/>
      <c r="M334" s="113"/>
      <c r="N334" s="113"/>
      <c r="O334" s="113"/>
      <c r="P334" s="113"/>
      <c r="Q334" s="113"/>
      <c r="R334" s="113"/>
      <c r="S334" s="113"/>
      <c r="T334" s="113"/>
      <c r="U334" s="113"/>
      <c r="V334" s="113"/>
      <c r="W334" s="113"/>
      <c r="X334" s="113"/>
      <c r="Y334" s="113"/>
      <c r="Z334" s="113"/>
      <c r="AA334" s="113"/>
      <c r="AB334" s="113"/>
      <c r="AC334" s="113"/>
      <c r="AD334" s="113"/>
      <c r="AE334" s="113"/>
      <c r="AF334" s="113"/>
      <c r="AG334" s="113"/>
    </row>
    <row r="335" spans="1:33" ht="13.8">
      <c r="A335" s="113"/>
      <c r="B335" s="113"/>
      <c r="C335" s="113"/>
      <c r="D335" s="113"/>
      <c r="E335" s="113"/>
      <c r="F335" s="113"/>
      <c r="G335" s="113"/>
      <c r="H335" s="113"/>
      <c r="I335" s="113"/>
      <c r="J335" s="113"/>
      <c r="K335" s="113"/>
      <c r="L335" s="113"/>
      <c r="M335" s="113"/>
      <c r="N335" s="113"/>
      <c r="O335" s="113"/>
      <c r="P335" s="113"/>
      <c r="Q335" s="113"/>
      <c r="R335" s="113"/>
      <c r="S335" s="113"/>
      <c r="T335" s="113"/>
      <c r="U335" s="113"/>
      <c r="V335" s="113"/>
      <c r="W335" s="113"/>
      <c r="X335" s="113"/>
      <c r="Y335" s="113"/>
      <c r="Z335" s="113"/>
      <c r="AA335" s="113"/>
      <c r="AB335" s="113"/>
      <c r="AC335" s="113"/>
      <c r="AD335" s="113"/>
      <c r="AE335" s="113"/>
      <c r="AF335" s="113"/>
      <c r="AG335" s="113"/>
    </row>
    <row r="336" spans="1:33" ht="13.8">
      <c r="A336" s="113"/>
      <c r="B336" s="113"/>
      <c r="C336" s="113"/>
      <c r="D336" s="113"/>
      <c r="E336" s="113"/>
      <c r="F336" s="113"/>
      <c r="G336" s="113"/>
      <c r="H336" s="113"/>
      <c r="I336" s="113"/>
      <c r="J336" s="113"/>
      <c r="K336" s="113"/>
      <c r="L336" s="113"/>
      <c r="M336" s="113"/>
      <c r="N336" s="113"/>
      <c r="O336" s="113"/>
      <c r="P336" s="113"/>
      <c r="Q336" s="113"/>
      <c r="R336" s="113"/>
      <c r="S336" s="113"/>
      <c r="T336" s="113"/>
      <c r="U336" s="113"/>
      <c r="V336" s="113"/>
      <c r="W336" s="113"/>
      <c r="X336" s="113"/>
      <c r="Y336" s="113"/>
      <c r="Z336" s="113"/>
      <c r="AA336" s="113"/>
      <c r="AB336" s="113"/>
      <c r="AC336" s="113"/>
      <c r="AD336" s="113"/>
      <c r="AE336" s="113"/>
      <c r="AF336" s="113"/>
      <c r="AG336" s="113"/>
    </row>
    <row r="337" spans="1:33" ht="13.8">
      <c r="A337" s="113"/>
      <c r="B337" s="113"/>
      <c r="C337" s="113"/>
      <c r="D337" s="113"/>
      <c r="E337" s="113"/>
      <c r="F337" s="113"/>
      <c r="G337" s="113"/>
      <c r="H337" s="113"/>
      <c r="I337" s="113"/>
      <c r="J337" s="113"/>
      <c r="K337" s="113"/>
      <c r="L337" s="113"/>
      <c r="M337" s="113"/>
      <c r="N337" s="113"/>
      <c r="O337" s="113"/>
      <c r="P337" s="113"/>
      <c r="Q337" s="113"/>
      <c r="R337" s="113"/>
      <c r="S337" s="113"/>
      <c r="T337" s="113"/>
      <c r="U337" s="113"/>
      <c r="V337" s="113"/>
      <c r="W337" s="113"/>
      <c r="X337" s="113"/>
      <c r="Y337" s="113"/>
      <c r="Z337" s="113"/>
      <c r="AA337" s="113"/>
      <c r="AB337" s="113"/>
      <c r="AC337" s="113"/>
      <c r="AD337" s="113"/>
      <c r="AE337" s="113"/>
      <c r="AF337" s="113"/>
      <c r="AG337" s="113"/>
    </row>
    <row r="338" spans="1:33" ht="13.8">
      <c r="A338" s="113"/>
      <c r="B338" s="113"/>
      <c r="C338" s="113"/>
      <c r="D338" s="113"/>
      <c r="E338" s="113"/>
      <c r="F338" s="113"/>
      <c r="G338" s="113"/>
      <c r="H338" s="113"/>
      <c r="I338" s="113"/>
      <c r="J338" s="113"/>
      <c r="K338" s="113"/>
      <c r="L338" s="113"/>
      <c r="M338" s="113"/>
      <c r="N338" s="113"/>
      <c r="O338" s="113"/>
      <c r="P338" s="113"/>
      <c r="Q338" s="113"/>
      <c r="R338" s="113"/>
      <c r="S338" s="113"/>
      <c r="T338" s="113"/>
      <c r="U338" s="113"/>
      <c r="V338" s="113"/>
      <c r="W338" s="113"/>
      <c r="X338" s="113"/>
      <c r="Y338" s="113"/>
      <c r="Z338" s="113"/>
      <c r="AA338" s="113"/>
      <c r="AB338" s="113"/>
      <c r="AC338" s="113"/>
      <c r="AD338" s="113"/>
      <c r="AE338" s="113"/>
      <c r="AF338" s="113"/>
      <c r="AG338" s="113"/>
    </row>
    <row r="339" spans="1:33" ht="13.8">
      <c r="A339" s="113"/>
      <c r="B339" s="113"/>
      <c r="C339" s="113"/>
      <c r="D339" s="113"/>
      <c r="E339" s="113"/>
      <c r="F339" s="113"/>
      <c r="G339" s="113"/>
      <c r="H339" s="113"/>
      <c r="I339" s="113"/>
      <c r="J339" s="113"/>
      <c r="K339" s="113"/>
      <c r="L339" s="113"/>
      <c r="M339" s="113"/>
      <c r="N339" s="113"/>
      <c r="O339" s="113"/>
      <c r="P339" s="113"/>
      <c r="Q339" s="113"/>
      <c r="R339" s="113"/>
      <c r="S339" s="113"/>
      <c r="T339" s="113"/>
      <c r="U339" s="113"/>
      <c r="V339" s="113"/>
      <c r="W339" s="113"/>
      <c r="X339" s="113"/>
      <c r="Y339" s="113"/>
      <c r="Z339" s="113"/>
      <c r="AA339" s="113"/>
      <c r="AB339" s="113"/>
      <c r="AC339" s="113"/>
      <c r="AD339" s="113"/>
      <c r="AE339" s="113"/>
      <c r="AF339" s="113"/>
      <c r="AG339" s="113"/>
    </row>
    <row r="340" spans="1:33" ht="13.8">
      <c r="A340" s="113"/>
      <c r="B340" s="113"/>
      <c r="C340" s="113"/>
      <c r="D340" s="113"/>
      <c r="E340" s="113"/>
      <c r="F340" s="113"/>
      <c r="G340" s="113"/>
      <c r="H340" s="113"/>
      <c r="I340" s="113"/>
      <c r="J340" s="113"/>
      <c r="K340" s="113"/>
      <c r="L340" s="113"/>
      <c r="M340" s="113"/>
      <c r="N340" s="113"/>
      <c r="O340" s="113"/>
      <c r="P340" s="113"/>
      <c r="Q340" s="113"/>
      <c r="R340" s="113"/>
      <c r="S340" s="113"/>
      <c r="T340" s="113"/>
      <c r="U340" s="113"/>
      <c r="V340" s="113"/>
      <c r="W340" s="113"/>
      <c r="X340" s="113"/>
      <c r="Y340" s="113"/>
      <c r="Z340" s="113"/>
      <c r="AA340" s="113"/>
      <c r="AB340" s="113"/>
      <c r="AC340" s="113"/>
      <c r="AD340" s="113"/>
      <c r="AE340" s="113"/>
      <c r="AF340" s="113"/>
      <c r="AG340" s="113"/>
    </row>
    <row r="341" spans="1:33" ht="13.8">
      <c r="A341" s="113"/>
      <c r="B341" s="113"/>
      <c r="C341" s="113"/>
      <c r="D341" s="113"/>
      <c r="E341" s="113"/>
      <c r="F341" s="113"/>
      <c r="G341" s="113"/>
      <c r="H341" s="113"/>
      <c r="I341" s="113"/>
      <c r="J341" s="113"/>
      <c r="K341" s="113"/>
      <c r="L341" s="113"/>
      <c r="M341" s="113"/>
      <c r="N341" s="113"/>
      <c r="O341" s="113"/>
      <c r="P341" s="113"/>
      <c r="Q341" s="113"/>
      <c r="R341" s="113"/>
      <c r="S341" s="113"/>
      <c r="T341" s="113"/>
      <c r="U341" s="113"/>
      <c r="V341" s="113"/>
      <c r="W341" s="113"/>
      <c r="X341" s="113"/>
      <c r="Y341" s="113"/>
      <c r="Z341" s="113"/>
      <c r="AA341" s="113"/>
      <c r="AB341" s="113"/>
      <c r="AC341" s="113"/>
      <c r="AD341" s="113"/>
      <c r="AE341" s="113"/>
      <c r="AF341" s="113"/>
      <c r="AG341" s="113"/>
    </row>
    <row r="342" spans="1:33" ht="13.8">
      <c r="A342" s="113"/>
      <c r="B342" s="113"/>
      <c r="C342" s="113"/>
      <c r="D342" s="113"/>
      <c r="E342" s="113"/>
      <c r="F342" s="113"/>
      <c r="G342" s="113"/>
      <c r="H342" s="113"/>
      <c r="I342" s="113"/>
      <c r="J342" s="113"/>
      <c r="K342" s="113"/>
      <c r="L342" s="113"/>
      <c r="M342" s="113"/>
      <c r="N342" s="113"/>
      <c r="O342" s="113"/>
      <c r="P342" s="113"/>
      <c r="Q342" s="113"/>
      <c r="R342" s="113"/>
      <c r="S342" s="113"/>
      <c r="T342" s="113"/>
      <c r="U342" s="113"/>
      <c r="V342" s="113"/>
      <c r="W342" s="113"/>
      <c r="X342" s="113"/>
      <c r="Y342" s="113"/>
      <c r="Z342" s="113"/>
      <c r="AA342" s="113"/>
      <c r="AB342" s="113"/>
      <c r="AC342" s="113"/>
      <c r="AD342" s="113"/>
      <c r="AE342" s="113"/>
      <c r="AF342" s="113"/>
      <c r="AG342" s="113"/>
    </row>
    <row r="343" spans="1:33" ht="13.8">
      <c r="A343" s="113"/>
      <c r="B343" s="113"/>
      <c r="C343" s="113"/>
      <c r="D343" s="113"/>
      <c r="E343" s="113"/>
      <c r="F343" s="113"/>
      <c r="G343" s="113"/>
      <c r="H343" s="113"/>
      <c r="I343" s="113"/>
      <c r="J343" s="113"/>
      <c r="K343" s="113"/>
      <c r="L343" s="113"/>
      <c r="M343" s="113"/>
      <c r="N343" s="113"/>
      <c r="O343" s="113"/>
      <c r="P343" s="113"/>
      <c r="Q343" s="113"/>
      <c r="R343" s="113"/>
      <c r="S343" s="113"/>
      <c r="T343" s="113"/>
      <c r="U343" s="113"/>
      <c r="V343" s="113"/>
      <c r="W343" s="113"/>
      <c r="X343" s="113"/>
      <c r="Y343" s="113"/>
      <c r="Z343" s="113"/>
      <c r="AA343" s="113"/>
      <c r="AB343" s="113"/>
      <c r="AC343" s="113"/>
      <c r="AD343" s="113"/>
      <c r="AE343" s="113"/>
      <c r="AF343" s="113"/>
      <c r="AG343" s="113"/>
    </row>
    <row r="344" spans="1:33" ht="13.8">
      <c r="A344" s="113"/>
      <c r="B344" s="113"/>
      <c r="C344" s="113"/>
      <c r="D344" s="113"/>
      <c r="E344" s="113"/>
      <c r="F344" s="113"/>
      <c r="G344" s="113"/>
      <c r="H344" s="113"/>
      <c r="I344" s="113"/>
      <c r="J344" s="113"/>
      <c r="K344" s="113"/>
      <c r="L344" s="113"/>
      <c r="M344" s="113"/>
      <c r="N344" s="113"/>
      <c r="O344" s="113"/>
      <c r="P344" s="113"/>
      <c r="Q344" s="113"/>
      <c r="R344" s="113"/>
      <c r="S344" s="113"/>
      <c r="T344" s="113"/>
      <c r="U344" s="113"/>
      <c r="V344" s="113"/>
      <c r="W344" s="113"/>
      <c r="X344" s="113"/>
      <c r="Y344" s="113"/>
      <c r="Z344" s="113"/>
      <c r="AA344" s="113"/>
      <c r="AB344" s="113"/>
      <c r="AC344" s="113"/>
      <c r="AD344" s="113"/>
      <c r="AE344" s="113"/>
      <c r="AF344" s="113"/>
      <c r="AG344" s="113"/>
    </row>
    <row r="345" spans="1:33" ht="13.8">
      <c r="A345" s="113"/>
      <c r="B345" s="113"/>
      <c r="C345" s="113"/>
      <c r="D345" s="113"/>
      <c r="E345" s="113"/>
      <c r="F345" s="113"/>
      <c r="G345" s="113"/>
      <c r="H345" s="113"/>
      <c r="I345" s="113"/>
      <c r="J345" s="113"/>
      <c r="K345" s="113"/>
      <c r="L345" s="113"/>
      <c r="M345" s="113"/>
      <c r="N345" s="113"/>
      <c r="O345" s="113"/>
      <c r="P345" s="113"/>
      <c r="Q345" s="113"/>
      <c r="R345" s="113"/>
      <c r="S345" s="113"/>
      <c r="T345" s="113"/>
      <c r="U345" s="113"/>
      <c r="V345" s="113"/>
      <c r="W345" s="113"/>
      <c r="X345" s="113"/>
      <c r="Y345" s="113"/>
      <c r="Z345" s="113"/>
      <c r="AA345" s="113"/>
      <c r="AB345" s="113"/>
      <c r="AC345" s="113"/>
      <c r="AD345" s="113"/>
      <c r="AE345" s="113"/>
      <c r="AF345" s="113"/>
      <c r="AG345" s="113"/>
    </row>
    <row r="346" spans="1:33" ht="13.8">
      <c r="A346" s="113"/>
      <c r="B346" s="113"/>
      <c r="C346" s="113"/>
      <c r="D346" s="113"/>
      <c r="E346" s="113"/>
      <c r="F346" s="113"/>
      <c r="G346" s="113"/>
      <c r="H346" s="113"/>
      <c r="I346" s="113"/>
      <c r="J346" s="113"/>
      <c r="K346" s="113"/>
      <c r="L346" s="113"/>
      <c r="M346" s="113"/>
      <c r="N346" s="113"/>
      <c r="O346" s="113"/>
      <c r="P346" s="113"/>
      <c r="Q346" s="113"/>
      <c r="R346" s="113"/>
      <c r="S346" s="113"/>
      <c r="T346" s="113"/>
      <c r="U346" s="113"/>
      <c r="V346" s="113"/>
      <c r="W346" s="113"/>
      <c r="X346" s="113"/>
      <c r="Y346" s="113"/>
      <c r="Z346" s="113"/>
      <c r="AA346" s="113"/>
      <c r="AB346" s="113"/>
      <c r="AC346" s="113"/>
      <c r="AD346" s="113"/>
      <c r="AE346" s="113"/>
      <c r="AF346" s="113"/>
      <c r="AG346" s="113"/>
    </row>
    <row r="347" spans="1:33" ht="13.8">
      <c r="A347" s="113"/>
      <c r="B347" s="113"/>
      <c r="C347" s="113"/>
      <c r="D347" s="113"/>
      <c r="E347" s="113"/>
      <c r="F347" s="113"/>
      <c r="G347" s="113"/>
      <c r="H347" s="113"/>
      <c r="I347" s="113"/>
      <c r="J347" s="113"/>
      <c r="K347" s="113"/>
      <c r="L347" s="113"/>
      <c r="M347" s="113"/>
      <c r="N347" s="113"/>
      <c r="O347" s="113"/>
      <c r="P347" s="113"/>
      <c r="Q347" s="113"/>
      <c r="R347" s="113"/>
      <c r="S347" s="113"/>
      <c r="T347" s="113"/>
      <c r="U347" s="113"/>
      <c r="V347" s="113"/>
      <c r="W347" s="113"/>
      <c r="X347" s="113"/>
      <c r="Y347" s="113"/>
      <c r="Z347" s="113"/>
      <c r="AA347" s="113"/>
      <c r="AB347" s="113"/>
      <c r="AC347" s="113"/>
      <c r="AD347" s="113"/>
      <c r="AE347" s="113"/>
      <c r="AF347" s="113"/>
      <c r="AG347" s="113"/>
    </row>
    <row r="348" spans="1:33" ht="13.8">
      <c r="A348" s="113"/>
      <c r="B348" s="113"/>
      <c r="C348" s="113"/>
      <c r="D348" s="113"/>
      <c r="E348" s="113"/>
      <c r="F348" s="113"/>
      <c r="G348" s="113"/>
      <c r="H348" s="113"/>
      <c r="I348" s="113"/>
      <c r="J348" s="113"/>
      <c r="K348" s="113"/>
      <c r="L348" s="113"/>
      <c r="M348" s="113"/>
      <c r="N348" s="113"/>
      <c r="O348" s="113"/>
      <c r="P348" s="113"/>
      <c r="Q348" s="113"/>
      <c r="R348" s="113"/>
      <c r="S348" s="113"/>
      <c r="T348" s="113"/>
      <c r="U348" s="113"/>
      <c r="V348" s="113"/>
      <c r="W348" s="113"/>
      <c r="X348" s="113"/>
      <c r="Y348" s="113"/>
      <c r="Z348" s="113"/>
      <c r="AA348" s="113"/>
      <c r="AB348" s="113"/>
      <c r="AC348" s="113"/>
      <c r="AD348" s="113"/>
      <c r="AE348" s="113"/>
      <c r="AF348" s="113"/>
      <c r="AG348" s="113"/>
    </row>
    <row r="349" spans="1:33" ht="13.8">
      <c r="A349" s="113"/>
      <c r="B349" s="113"/>
      <c r="C349" s="113"/>
      <c r="D349" s="113"/>
      <c r="E349" s="113"/>
      <c r="F349" s="113"/>
      <c r="G349" s="113"/>
      <c r="H349" s="113"/>
      <c r="I349" s="113"/>
      <c r="J349" s="113"/>
      <c r="K349" s="113"/>
      <c r="L349" s="113"/>
      <c r="M349" s="113"/>
      <c r="N349" s="113"/>
      <c r="O349" s="113"/>
      <c r="P349" s="113"/>
      <c r="Q349" s="113"/>
      <c r="R349" s="113"/>
      <c r="S349" s="113"/>
      <c r="T349" s="113"/>
      <c r="U349" s="113"/>
      <c r="V349" s="113"/>
      <c r="W349" s="113"/>
      <c r="X349" s="113"/>
      <c r="Y349" s="113"/>
      <c r="Z349" s="113"/>
      <c r="AA349" s="113"/>
      <c r="AB349" s="113"/>
      <c r="AC349" s="113"/>
      <c r="AD349" s="113"/>
      <c r="AE349" s="113"/>
      <c r="AF349" s="113"/>
      <c r="AG349" s="113"/>
    </row>
    <row r="350" spans="1:33" ht="13.8">
      <c r="A350" s="113"/>
      <c r="B350" s="113"/>
      <c r="C350" s="113"/>
      <c r="D350" s="113"/>
      <c r="E350" s="113"/>
      <c r="F350" s="113"/>
      <c r="G350" s="113"/>
      <c r="H350" s="113"/>
      <c r="I350" s="113"/>
      <c r="J350" s="113"/>
      <c r="K350" s="113"/>
      <c r="L350" s="113"/>
      <c r="M350" s="113"/>
      <c r="N350" s="113"/>
      <c r="O350" s="113"/>
      <c r="P350" s="113"/>
      <c r="Q350" s="113"/>
      <c r="R350" s="113"/>
      <c r="S350" s="113"/>
      <c r="T350" s="113"/>
      <c r="U350" s="113"/>
      <c r="V350" s="113"/>
      <c r="W350" s="113"/>
      <c r="X350" s="113"/>
      <c r="Y350" s="113"/>
      <c r="Z350" s="113"/>
      <c r="AA350" s="113"/>
      <c r="AB350" s="113"/>
      <c r="AC350" s="113"/>
      <c r="AD350" s="113"/>
      <c r="AE350" s="113"/>
      <c r="AF350" s="113"/>
      <c r="AG350" s="113"/>
    </row>
    <row r="351" spans="1:33" ht="13.8">
      <c r="A351" s="113"/>
      <c r="B351" s="113"/>
      <c r="C351" s="113"/>
      <c r="D351" s="113"/>
      <c r="E351" s="113"/>
      <c r="F351" s="113"/>
      <c r="G351" s="113"/>
      <c r="H351" s="113"/>
      <c r="I351" s="113"/>
      <c r="J351" s="113"/>
      <c r="K351" s="113"/>
      <c r="L351" s="113"/>
      <c r="M351" s="113"/>
      <c r="N351" s="113"/>
      <c r="O351" s="113"/>
      <c r="P351" s="113"/>
      <c r="Q351" s="113"/>
      <c r="R351" s="113"/>
      <c r="S351" s="113"/>
      <c r="T351" s="113"/>
      <c r="U351" s="113"/>
      <c r="V351" s="113"/>
      <c r="W351" s="113"/>
      <c r="X351" s="113"/>
      <c r="Y351" s="113"/>
      <c r="Z351" s="113"/>
      <c r="AA351" s="113"/>
      <c r="AB351" s="113"/>
      <c r="AC351" s="113"/>
      <c r="AD351" s="113"/>
      <c r="AE351" s="113"/>
      <c r="AF351" s="113"/>
      <c r="AG351" s="113"/>
    </row>
    <row r="352" spans="1:33" ht="13.8">
      <c r="A352" s="113"/>
      <c r="B352" s="113"/>
      <c r="C352" s="113"/>
      <c r="D352" s="113"/>
      <c r="E352" s="113"/>
      <c r="F352" s="113"/>
      <c r="G352" s="113"/>
      <c r="H352" s="113"/>
      <c r="I352" s="113"/>
      <c r="J352" s="113"/>
      <c r="K352" s="113"/>
      <c r="L352" s="113"/>
      <c r="M352" s="113"/>
      <c r="N352" s="113"/>
      <c r="O352" s="113"/>
      <c r="P352" s="113"/>
      <c r="Q352" s="113"/>
      <c r="R352" s="113"/>
      <c r="S352" s="113"/>
      <c r="T352" s="113"/>
      <c r="U352" s="113"/>
      <c r="V352" s="113"/>
      <c r="W352" s="113"/>
      <c r="X352" s="113"/>
      <c r="Y352" s="113"/>
      <c r="Z352" s="113"/>
      <c r="AA352" s="113"/>
      <c r="AB352" s="113"/>
      <c r="AC352" s="113"/>
      <c r="AD352" s="113"/>
      <c r="AE352" s="113"/>
      <c r="AF352" s="113"/>
      <c r="AG352" s="113"/>
    </row>
    <row r="353" spans="1:33" ht="13.8">
      <c r="A353" s="113"/>
      <c r="B353" s="113"/>
      <c r="C353" s="113"/>
      <c r="D353" s="113"/>
      <c r="E353" s="113"/>
      <c r="F353" s="113"/>
      <c r="G353" s="113"/>
      <c r="H353" s="113"/>
      <c r="I353" s="113"/>
      <c r="J353" s="113"/>
      <c r="K353" s="113"/>
      <c r="L353" s="113"/>
      <c r="M353" s="113"/>
      <c r="N353" s="113"/>
      <c r="O353" s="113"/>
      <c r="P353" s="113"/>
      <c r="Q353" s="113"/>
      <c r="R353" s="113"/>
      <c r="S353" s="113"/>
      <c r="T353" s="113"/>
      <c r="U353" s="113"/>
      <c r="V353" s="113"/>
      <c r="W353" s="113"/>
      <c r="X353" s="113"/>
      <c r="Y353" s="113"/>
      <c r="Z353" s="113"/>
      <c r="AA353" s="113"/>
      <c r="AB353" s="113"/>
      <c r="AC353" s="113"/>
      <c r="AD353" s="113"/>
      <c r="AE353" s="113"/>
      <c r="AF353" s="113"/>
      <c r="AG353" s="113"/>
    </row>
    <row r="354" spans="1:33" ht="13.8">
      <c r="A354" s="113"/>
      <c r="B354" s="113"/>
      <c r="C354" s="113"/>
      <c r="D354" s="113"/>
      <c r="E354" s="113"/>
      <c r="F354" s="113"/>
      <c r="G354" s="113"/>
      <c r="H354" s="113"/>
      <c r="I354" s="113"/>
      <c r="J354" s="113"/>
      <c r="K354" s="113"/>
      <c r="L354" s="113"/>
      <c r="M354" s="113"/>
      <c r="N354" s="113"/>
      <c r="O354" s="113"/>
      <c r="P354" s="113"/>
      <c r="Q354" s="113"/>
      <c r="R354" s="113"/>
      <c r="S354" s="113"/>
      <c r="T354" s="113"/>
      <c r="U354" s="113"/>
      <c r="V354" s="113"/>
      <c r="W354" s="113"/>
      <c r="X354" s="113"/>
      <c r="Y354" s="113"/>
      <c r="Z354" s="113"/>
      <c r="AA354" s="113"/>
      <c r="AB354" s="113"/>
      <c r="AC354" s="113"/>
      <c r="AD354" s="113"/>
      <c r="AE354" s="113"/>
      <c r="AF354" s="113"/>
      <c r="AG354" s="113"/>
    </row>
    <row r="355" spans="1:33" ht="13.8">
      <c r="A355" s="113"/>
      <c r="B355" s="113"/>
      <c r="C355" s="113"/>
      <c r="D355" s="113"/>
      <c r="E355" s="113"/>
      <c r="F355" s="113"/>
      <c r="G355" s="113"/>
      <c r="H355" s="113"/>
      <c r="I355" s="113"/>
      <c r="J355" s="113"/>
      <c r="K355" s="113"/>
      <c r="L355" s="113"/>
      <c r="M355" s="113"/>
      <c r="N355" s="113"/>
      <c r="O355" s="113"/>
      <c r="P355" s="113"/>
      <c r="Q355" s="113"/>
      <c r="R355" s="113"/>
      <c r="S355" s="113"/>
      <c r="T355" s="113"/>
      <c r="U355" s="113"/>
      <c r="V355" s="113"/>
      <c r="W355" s="113"/>
      <c r="X355" s="113"/>
      <c r="Y355" s="113"/>
      <c r="Z355" s="113"/>
      <c r="AA355" s="113"/>
      <c r="AB355" s="113"/>
      <c r="AC355" s="113"/>
      <c r="AD355" s="113"/>
      <c r="AE355" s="113"/>
      <c r="AF355" s="113"/>
      <c r="AG355" s="113"/>
    </row>
    <row r="356" spans="1:33" ht="13.8">
      <c r="A356" s="113"/>
      <c r="B356" s="113"/>
      <c r="C356" s="113"/>
      <c r="D356" s="113"/>
      <c r="E356" s="113"/>
      <c r="F356" s="113"/>
      <c r="G356" s="113"/>
      <c r="H356" s="113"/>
      <c r="I356" s="113"/>
      <c r="J356" s="113"/>
      <c r="K356" s="113"/>
      <c r="L356" s="113"/>
      <c r="M356" s="113"/>
      <c r="N356" s="113"/>
      <c r="O356" s="113"/>
      <c r="P356" s="113"/>
      <c r="Q356" s="113"/>
      <c r="R356" s="113"/>
      <c r="S356" s="113"/>
      <c r="T356" s="113"/>
      <c r="U356" s="113"/>
      <c r="V356" s="113"/>
      <c r="W356" s="113"/>
      <c r="X356" s="113"/>
      <c r="Y356" s="113"/>
      <c r="Z356" s="113"/>
      <c r="AA356" s="113"/>
      <c r="AB356" s="113"/>
      <c r="AC356" s="113"/>
      <c r="AD356" s="113"/>
      <c r="AE356" s="113"/>
      <c r="AF356" s="113"/>
      <c r="AG356" s="113"/>
    </row>
    <row r="357" spans="1:33" ht="13.8">
      <c r="A357" s="113"/>
      <c r="B357" s="113"/>
      <c r="C357" s="113"/>
      <c r="D357" s="113"/>
      <c r="E357" s="113"/>
      <c r="F357" s="113"/>
      <c r="G357" s="113"/>
      <c r="H357" s="113"/>
      <c r="I357" s="113"/>
      <c r="J357" s="113"/>
      <c r="K357" s="113"/>
      <c r="L357" s="113"/>
      <c r="M357" s="113"/>
      <c r="N357" s="113"/>
      <c r="O357" s="113"/>
      <c r="P357" s="113"/>
      <c r="Q357" s="113"/>
      <c r="R357" s="113"/>
      <c r="S357" s="113"/>
      <c r="T357" s="113"/>
      <c r="U357" s="113"/>
      <c r="V357" s="113"/>
      <c r="W357" s="113"/>
      <c r="X357" s="113"/>
      <c r="Y357" s="113"/>
      <c r="Z357" s="113"/>
      <c r="AA357" s="113"/>
      <c r="AB357" s="113"/>
      <c r="AC357" s="113"/>
      <c r="AD357" s="113"/>
      <c r="AE357" s="113"/>
      <c r="AF357" s="113"/>
      <c r="AG357" s="113"/>
    </row>
    <row r="358" spans="1:33" ht="13.8">
      <c r="A358" s="113"/>
      <c r="B358" s="113"/>
      <c r="C358" s="113"/>
      <c r="D358" s="113"/>
      <c r="E358" s="113"/>
      <c r="F358" s="113"/>
      <c r="G358" s="113"/>
      <c r="H358" s="113"/>
      <c r="I358" s="113"/>
      <c r="J358" s="113"/>
      <c r="K358" s="113"/>
      <c r="L358" s="113"/>
      <c r="M358" s="113"/>
      <c r="N358" s="113"/>
      <c r="O358" s="113"/>
      <c r="P358" s="113"/>
      <c r="Q358" s="113"/>
      <c r="R358" s="113"/>
      <c r="S358" s="113"/>
      <c r="T358" s="113"/>
      <c r="U358" s="113"/>
      <c r="V358" s="113"/>
      <c r="W358" s="113"/>
      <c r="X358" s="113"/>
      <c r="Y358" s="113"/>
      <c r="Z358" s="113"/>
      <c r="AA358" s="113"/>
      <c r="AB358" s="113"/>
      <c r="AC358" s="113"/>
      <c r="AD358" s="113"/>
      <c r="AE358" s="113"/>
      <c r="AF358" s="113"/>
      <c r="AG358" s="113"/>
    </row>
    <row r="359" spans="1:33" ht="13.8">
      <c r="A359" s="113"/>
      <c r="B359" s="113"/>
      <c r="C359" s="113"/>
      <c r="D359" s="113"/>
      <c r="E359" s="113"/>
      <c r="F359" s="113"/>
      <c r="G359" s="113"/>
      <c r="H359" s="113"/>
      <c r="I359" s="113"/>
      <c r="J359" s="113"/>
      <c r="K359" s="113"/>
      <c r="L359" s="113"/>
      <c r="M359" s="113"/>
      <c r="N359" s="113"/>
      <c r="O359" s="113"/>
      <c r="P359" s="113"/>
      <c r="Q359" s="113"/>
      <c r="R359" s="113"/>
      <c r="S359" s="113"/>
      <c r="T359" s="113"/>
      <c r="U359" s="113"/>
      <c r="V359" s="113"/>
      <c r="W359" s="113"/>
      <c r="X359" s="113"/>
      <c r="Y359" s="113"/>
      <c r="Z359" s="113"/>
      <c r="AA359" s="113"/>
      <c r="AB359" s="113"/>
      <c r="AC359" s="113"/>
      <c r="AD359" s="113"/>
      <c r="AE359" s="113"/>
      <c r="AF359" s="113"/>
      <c r="AG359" s="113"/>
    </row>
    <row r="360" spans="1:33" ht="13.8">
      <c r="A360" s="113"/>
      <c r="B360" s="113"/>
      <c r="C360" s="113"/>
      <c r="D360" s="113"/>
      <c r="E360" s="113"/>
      <c r="F360" s="113"/>
      <c r="G360" s="113"/>
      <c r="H360" s="113"/>
      <c r="I360" s="113"/>
      <c r="J360" s="113"/>
      <c r="K360" s="113"/>
      <c r="L360" s="113"/>
      <c r="M360" s="113"/>
      <c r="N360" s="113"/>
      <c r="O360" s="113"/>
      <c r="P360" s="113"/>
      <c r="Q360" s="113"/>
      <c r="R360" s="113"/>
      <c r="S360" s="113"/>
      <c r="T360" s="113"/>
      <c r="U360" s="113"/>
      <c r="V360" s="113"/>
      <c r="W360" s="113"/>
      <c r="X360" s="113"/>
      <c r="Y360" s="113"/>
      <c r="Z360" s="113"/>
      <c r="AA360" s="113"/>
      <c r="AB360" s="113"/>
      <c r="AC360" s="113"/>
      <c r="AD360" s="113"/>
      <c r="AE360" s="113"/>
      <c r="AF360" s="113"/>
      <c r="AG360" s="113"/>
    </row>
    <row r="361" spans="1:33" ht="13.8">
      <c r="A361" s="113"/>
      <c r="B361" s="113"/>
      <c r="C361" s="113"/>
      <c r="D361" s="113"/>
      <c r="E361" s="113"/>
      <c r="F361" s="113"/>
      <c r="G361" s="113"/>
      <c r="H361" s="113"/>
      <c r="I361" s="113"/>
      <c r="J361" s="113"/>
      <c r="K361" s="113"/>
      <c r="L361" s="113"/>
      <c r="M361" s="113"/>
      <c r="N361" s="113"/>
      <c r="O361" s="113"/>
      <c r="P361" s="113"/>
      <c r="Q361" s="113"/>
      <c r="R361" s="113"/>
      <c r="S361" s="113"/>
      <c r="T361" s="113"/>
      <c r="U361" s="113"/>
      <c r="V361" s="113"/>
      <c r="W361" s="113"/>
      <c r="X361" s="113"/>
      <c r="Y361" s="113"/>
      <c r="Z361" s="113"/>
      <c r="AA361" s="113"/>
      <c r="AB361" s="113"/>
      <c r="AC361" s="113"/>
      <c r="AD361" s="113"/>
      <c r="AE361" s="113"/>
      <c r="AF361" s="113"/>
      <c r="AG361" s="113"/>
    </row>
    <row r="362" spans="1:33" ht="13.8">
      <c r="A362" s="113"/>
      <c r="B362" s="113"/>
      <c r="C362" s="113"/>
      <c r="D362" s="113"/>
      <c r="E362" s="113"/>
      <c r="F362" s="113"/>
      <c r="G362" s="113"/>
      <c r="H362" s="113"/>
      <c r="I362" s="113"/>
      <c r="J362" s="113"/>
      <c r="K362" s="113"/>
      <c r="L362" s="113"/>
      <c r="M362" s="113"/>
      <c r="N362" s="113"/>
      <c r="O362" s="113"/>
      <c r="P362" s="113"/>
      <c r="Q362" s="113"/>
      <c r="R362" s="113"/>
      <c r="S362" s="113"/>
      <c r="T362" s="113"/>
      <c r="U362" s="113"/>
      <c r="V362" s="113"/>
      <c r="W362" s="113"/>
      <c r="X362" s="113"/>
      <c r="Y362" s="113"/>
      <c r="Z362" s="113"/>
      <c r="AA362" s="113"/>
      <c r="AB362" s="113"/>
      <c r="AC362" s="113"/>
      <c r="AD362" s="113"/>
      <c r="AE362" s="113"/>
      <c r="AF362" s="113"/>
      <c r="AG362" s="113"/>
    </row>
    <row r="363" spans="1:33" ht="13.8">
      <c r="A363" s="113"/>
      <c r="B363" s="113"/>
      <c r="C363" s="113"/>
      <c r="D363" s="113"/>
      <c r="E363" s="113"/>
      <c r="F363" s="113"/>
      <c r="G363" s="113"/>
      <c r="H363" s="113"/>
      <c r="I363" s="113"/>
      <c r="J363" s="113"/>
      <c r="K363" s="113"/>
      <c r="L363" s="113"/>
      <c r="M363" s="113"/>
      <c r="N363" s="113"/>
      <c r="O363" s="113"/>
      <c r="P363" s="113"/>
      <c r="Q363" s="113"/>
      <c r="R363" s="113"/>
      <c r="S363" s="113"/>
      <c r="T363" s="113"/>
      <c r="U363" s="113"/>
      <c r="V363" s="113"/>
      <c r="W363" s="113"/>
      <c r="X363" s="113"/>
      <c r="Y363" s="113"/>
      <c r="Z363" s="113"/>
      <c r="AA363" s="113"/>
      <c r="AB363" s="113"/>
      <c r="AC363" s="113"/>
      <c r="AD363" s="113"/>
      <c r="AE363" s="113"/>
      <c r="AF363" s="113"/>
      <c r="AG363" s="113"/>
    </row>
    <row r="364" spans="1:33" ht="13.8">
      <c r="A364" s="113"/>
      <c r="B364" s="113"/>
      <c r="C364" s="113"/>
      <c r="D364" s="113"/>
      <c r="E364" s="113"/>
      <c r="F364" s="113"/>
      <c r="G364" s="113"/>
      <c r="H364" s="113"/>
      <c r="I364" s="113"/>
      <c r="J364" s="113"/>
      <c r="K364" s="113"/>
      <c r="L364" s="113"/>
      <c r="M364" s="113"/>
      <c r="N364" s="113"/>
      <c r="O364" s="113"/>
      <c r="P364" s="113"/>
      <c r="Q364" s="113"/>
      <c r="R364" s="113"/>
      <c r="S364" s="113"/>
      <c r="T364" s="113"/>
      <c r="U364" s="113"/>
      <c r="V364" s="113"/>
      <c r="W364" s="113"/>
      <c r="X364" s="113"/>
      <c r="Y364" s="113"/>
      <c r="Z364" s="113"/>
      <c r="AA364" s="113"/>
      <c r="AB364" s="113"/>
      <c r="AC364" s="113"/>
      <c r="AD364" s="113"/>
      <c r="AE364" s="113"/>
      <c r="AF364" s="113"/>
      <c r="AG364" s="113"/>
    </row>
    <row r="365" spans="1:33" ht="13.8">
      <c r="A365" s="113"/>
      <c r="B365" s="113"/>
      <c r="C365" s="113"/>
      <c r="D365" s="113"/>
      <c r="E365" s="113"/>
      <c r="F365" s="113"/>
      <c r="G365" s="113"/>
      <c r="H365" s="113"/>
      <c r="I365" s="113"/>
      <c r="J365" s="113"/>
      <c r="K365" s="113"/>
      <c r="L365" s="113"/>
      <c r="M365" s="113"/>
      <c r="N365" s="113"/>
      <c r="O365" s="113"/>
      <c r="P365" s="113"/>
      <c r="Q365" s="113"/>
      <c r="R365" s="113"/>
      <c r="S365" s="113"/>
      <c r="T365" s="113"/>
      <c r="U365" s="113"/>
      <c r="V365" s="113"/>
      <c r="W365" s="113"/>
      <c r="X365" s="113"/>
      <c r="Y365" s="113"/>
      <c r="Z365" s="113"/>
      <c r="AA365" s="113"/>
      <c r="AB365" s="113"/>
      <c r="AC365" s="113"/>
      <c r="AD365" s="113"/>
      <c r="AE365" s="113"/>
      <c r="AF365" s="113"/>
      <c r="AG365" s="113"/>
    </row>
    <row r="366" spans="1:33" ht="13.8">
      <c r="A366" s="113"/>
      <c r="B366" s="113"/>
      <c r="C366" s="113"/>
      <c r="D366" s="113"/>
      <c r="E366" s="113"/>
      <c r="F366" s="113"/>
      <c r="G366" s="113"/>
      <c r="H366" s="113"/>
      <c r="I366" s="113"/>
      <c r="J366" s="113"/>
      <c r="K366" s="113"/>
      <c r="L366" s="113"/>
      <c r="M366" s="113"/>
      <c r="N366" s="113"/>
      <c r="O366" s="113"/>
      <c r="P366" s="113"/>
      <c r="Q366" s="113"/>
      <c r="R366" s="113"/>
      <c r="S366" s="113"/>
      <c r="T366" s="113"/>
      <c r="U366" s="113"/>
      <c r="V366" s="113"/>
      <c r="W366" s="113"/>
      <c r="X366" s="113"/>
      <c r="Y366" s="113"/>
      <c r="Z366" s="113"/>
      <c r="AA366" s="113"/>
      <c r="AB366" s="113"/>
      <c r="AC366" s="113"/>
      <c r="AD366" s="113"/>
      <c r="AE366" s="113"/>
      <c r="AF366" s="113"/>
      <c r="AG366" s="113"/>
    </row>
    <row r="367" spans="1:33" ht="13.8">
      <c r="A367" s="113"/>
      <c r="B367" s="113"/>
      <c r="C367" s="113"/>
      <c r="D367" s="113"/>
      <c r="E367" s="113"/>
      <c r="F367" s="113"/>
      <c r="G367" s="113"/>
      <c r="H367" s="113"/>
      <c r="I367" s="113"/>
      <c r="J367" s="113"/>
      <c r="K367" s="113"/>
      <c r="L367" s="113"/>
      <c r="M367" s="113"/>
      <c r="N367" s="113"/>
      <c r="O367" s="113"/>
      <c r="P367" s="113"/>
      <c r="Q367" s="113"/>
      <c r="R367" s="113"/>
      <c r="S367" s="113"/>
      <c r="T367" s="113"/>
      <c r="U367" s="113"/>
      <c r="V367" s="113"/>
      <c r="W367" s="113"/>
      <c r="X367" s="113"/>
      <c r="Y367" s="113"/>
      <c r="Z367" s="113"/>
      <c r="AA367" s="113"/>
      <c r="AB367" s="113"/>
      <c r="AC367" s="113"/>
      <c r="AD367" s="113"/>
      <c r="AE367" s="113"/>
      <c r="AF367" s="113"/>
      <c r="AG367" s="113"/>
    </row>
    <row r="368" spans="1:33" ht="13.8">
      <c r="A368" s="113"/>
      <c r="B368" s="113"/>
      <c r="C368" s="113"/>
      <c r="D368" s="113"/>
      <c r="E368" s="113"/>
      <c r="F368" s="113"/>
      <c r="G368" s="113"/>
      <c r="H368" s="113"/>
      <c r="I368" s="113"/>
      <c r="J368" s="113"/>
      <c r="K368" s="113"/>
      <c r="L368" s="113"/>
      <c r="M368" s="113"/>
      <c r="N368" s="113"/>
      <c r="O368" s="113"/>
      <c r="P368" s="113"/>
      <c r="Q368" s="113"/>
      <c r="R368" s="113"/>
      <c r="S368" s="113"/>
      <c r="T368" s="113"/>
      <c r="U368" s="113"/>
      <c r="V368" s="113"/>
      <c r="W368" s="113"/>
      <c r="X368" s="113"/>
      <c r="Y368" s="113"/>
      <c r="Z368" s="113"/>
      <c r="AA368" s="113"/>
      <c r="AB368" s="113"/>
      <c r="AC368" s="113"/>
      <c r="AD368" s="113"/>
      <c r="AE368" s="113"/>
      <c r="AF368" s="113"/>
      <c r="AG368" s="113"/>
    </row>
    <row r="369" spans="1:33" ht="13.8">
      <c r="A369" s="113"/>
      <c r="B369" s="113"/>
      <c r="C369" s="113"/>
      <c r="D369" s="113"/>
      <c r="E369" s="113"/>
      <c r="F369" s="113"/>
      <c r="G369" s="113"/>
      <c r="H369" s="113"/>
      <c r="I369" s="113"/>
      <c r="J369" s="113"/>
      <c r="K369" s="113"/>
      <c r="L369" s="113"/>
      <c r="M369" s="113"/>
      <c r="N369" s="113"/>
      <c r="O369" s="113"/>
      <c r="P369" s="113"/>
      <c r="Q369" s="113"/>
      <c r="R369" s="113"/>
      <c r="S369" s="113"/>
      <c r="T369" s="113"/>
      <c r="U369" s="113"/>
      <c r="V369" s="113"/>
      <c r="W369" s="113"/>
      <c r="X369" s="113"/>
      <c r="Y369" s="113"/>
      <c r="Z369" s="113"/>
      <c r="AA369" s="113"/>
      <c r="AB369" s="113"/>
      <c r="AC369" s="113"/>
      <c r="AD369" s="113"/>
      <c r="AE369" s="113"/>
      <c r="AF369" s="113"/>
      <c r="AG369" s="113"/>
    </row>
    <row r="370" spans="1:33" ht="13.8">
      <c r="A370" s="113"/>
      <c r="B370" s="113"/>
      <c r="C370" s="113"/>
      <c r="D370" s="113"/>
      <c r="E370" s="113"/>
      <c r="F370" s="113"/>
      <c r="G370" s="113"/>
      <c r="H370" s="113"/>
      <c r="I370" s="113"/>
      <c r="J370" s="113"/>
      <c r="K370" s="113"/>
      <c r="L370" s="113"/>
      <c r="M370" s="113"/>
      <c r="N370" s="113"/>
      <c r="O370" s="113"/>
      <c r="P370" s="113"/>
      <c r="Q370" s="113"/>
      <c r="R370" s="113"/>
      <c r="S370" s="113"/>
      <c r="T370" s="113"/>
      <c r="U370" s="113"/>
      <c r="V370" s="113"/>
      <c r="W370" s="113"/>
      <c r="X370" s="113"/>
      <c r="Y370" s="113"/>
      <c r="Z370" s="113"/>
      <c r="AA370" s="113"/>
      <c r="AB370" s="113"/>
      <c r="AC370" s="113"/>
      <c r="AD370" s="113"/>
      <c r="AE370" s="113"/>
      <c r="AF370" s="113"/>
      <c r="AG370" s="113"/>
    </row>
    <row r="371" spans="1:33" ht="13.8">
      <c r="A371" s="113"/>
      <c r="B371" s="113"/>
      <c r="C371" s="113"/>
      <c r="D371" s="113"/>
      <c r="E371" s="113"/>
      <c r="F371" s="113"/>
      <c r="G371" s="113"/>
      <c r="H371" s="113"/>
      <c r="I371" s="113"/>
      <c r="J371" s="113"/>
      <c r="K371" s="113"/>
      <c r="L371" s="113"/>
      <c r="M371" s="113"/>
      <c r="N371" s="113"/>
      <c r="O371" s="113"/>
      <c r="P371" s="113"/>
      <c r="Q371" s="113"/>
      <c r="R371" s="113"/>
      <c r="S371" s="113"/>
      <c r="T371" s="113"/>
      <c r="U371" s="113"/>
      <c r="V371" s="113"/>
      <c r="W371" s="113"/>
      <c r="X371" s="113"/>
      <c r="Y371" s="113"/>
      <c r="Z371" s="113"/>
      <c r="AA371" s="113"/>
      <c r="AB371" s="113"/>
      <c r="AC371" s="113"/>
      <c r="AD371" s="113"/>
      <c r="AE371" s="113"/>
      <c r="AF371" s="113"/>
      <c r="AG371" s="113"/>
    </row>
    <row r="372" spans="1:33" ht="13.8">
      <c r="A372" s="113"/>
      <c r="B372" s="113"/>
      <c r="C372" s="113"/>
      <c r="D372" s="113"/>
      <c r="E372" s="113"/>
      <c r="F372" s="113"/>
      <c r="G372" s="113"/>
      <c r="H372" s="113"/>
      <c r="I372" s="113"/>
      <c r="J372" s="113"/>
      <c r="K372" s="113"/>
      <c r="L372" s="113"/>
      <c r="M372" s="113"/>
      <c r="N372" s="113"/>
      <c r="O372" s="113"/>
      <c r="P372" s="113"/>
      <c r="Q372" s="113"/>
      <c r="R372" s="113"/>
      <c r="S372" s="113"/>
      <c r="T372" s="113"/>
      <c r="U372" s="113"/>
      <c r="V372" s="113"/>
      <c r="W372" s="113"/>
      <c r="X372" s="113"/>
      <c r="Y372" s="113"/>
      <c r="Z372" s="113"/>
      <c r="AA372" s="113"/>
      <c r="AB372" s="113"/>
      <c r="AC372" s="113"/>
      <c r="AD372" s="113"/>
      <c r="AE372" s="113"/>
      <c r="AF372" s="113"/>
      <c r="AG372" s="113"/>
    </row>
    <row r="373" spans="1:33" ht="13.8">
      <c r="A373" s="113"/>
      <c r="B373" s="113"/>
      <c r="C373" s="113"/>
      <c r="D373" s="113"/>
      <c r="E373" s="113"/>
      <c r="F373" s="113"/>
      <c r="G373" s="113"/>
      <c r="H373" s="113"/>
      <c r="I373" s="113"/>
      <c r="J373" s="113"/>
      <c r="K373" s="113"/>
      <c r="L373" s="113"/>
      <c r="M373" s="113"/>
      <c r="N373" s="113"/>
      <c r="O373" s="113"/>
      <c r="P373" s="113"/>
      <c r="Q373" s="113"/>
      <c r="R373" s="113"/>
      <c r="S373" s="113"/>
      <c r="T373" s="113"/>
      <c r="U373" s="113"/>
      <c r="V373" s="113"/>
      <c r="W373" s="113"/>
      <c r="X373" s="113"/>
      <c r="Y373" s="113"/>
      <c r="Z373" s="113"/>
      <c r="AA373" s="113"/>
      <c r="AB373" s="113"/>
      <c r="AC373" s="113"/>
      <c r="AD373" s="113"/>
      <c r="AE373" s="113"/>
      <c r="AF373" s="113"/>
      <c r="AG373" s="113"/>
    </row>
    <row r="374" spans="1:33" ht="13.8">
      <c r="A374" s="113"/>
      <c r="B374" s="113"/>
      <c r="C374" s="113"/>
      <c r="D374" s="113"/>
      <c r="E374" s="113"/>
      <c r="F374" s="113"/>
      <c r="G374" s="113"/>
      <c r="H374" s="113"/>
      <c r="I374" s="113"/>
      <c r="J374" s="113"/>
      <c r="K374" s="113"/>
      <c r="L374" s="113"/>
      <c r="M374" s="113"/>
      <c r="N374" s="113"/>
      <c r="O374" s="113"/>
      <c r="P374" s="113"/>
      <c r="Q374" s="113"/>
      <c r="R374" s="113"/>
      <c r="S374" s="113"/>
      <c r="T374" s="113"/>
      <c r="U374" s="113"/>
      <c r="V374" s="113"/>
      <c r="W374" s="113"/>
      <c r="X374" s="113"/>
      <c r="Y374" s="113"/>
      <c r="Z374" s="113"/>
      <c r="AA374" s="113"/>
      <c r="AB374" s="113"/>
      <c r="AC374" s="113"/>
      <c r="AD374" s="113"/>
      <c r="AE374" s="113"/>
      <c r="AF374" s="113"/>
      <c r="AG374" s="113"/>
    </row>
    <row r="375" spans="1:33" ht="13.8">
      <c r="A375" s="113"/>
      <c r="B375" s="113"/>
      <c r="C375" s="113"/>
      <c r="D375" s="113"/>
      <c r="E375" s="113"/>
      <c r="F375" s="113"/>
      <c r="G375" s="113"/>
      <c r="H375" s="113"/>
      <c r="I375" s="113"/>
      <c r="J375" s="113"/>
      <c r="K375" s="113"/>
      <c r="L375" s="113"/>
      <c r="M375" s="113"/>
      <c r="N375" s="113"/>
      <c r="O375" s="113"/>
      <c r="P375" s="113"/>
      <c r="Q375" s="113"/>
      <c r="R375" s="113"/>
      <c r="S375" s="113"/>
      <c r="T375" s="113"/>
      <c r="U375" s="113"/>
      <c r="V375" s="113"/>
      <c r="W375" s="113"/>
      <c r="X375" s="113"/>
      <c r="Y375" s="113"/>
      <c r="Z375" s="113"/>
      <c r="AA375" s="113"/>
      <c r="AB375" s="113"/>
      <c r="AC375" s="113"/>
      <c r="AD375" s="113"/>
      <c r="AE375" s="113"/>
      <c r="AF375" s="113"/>
      <c r="AG375" s="113"/>
    </row>
    <row r="376" spans="1:33" ht="13.8">
      <c r="A376" s="113"/>
      <c r="B376" s="113"/>
      <c r="C376" s="113"/>
      <c r="D376" s="113"/>
      <c r="E376" s="113"/>
      <c r="F376" s="113"/>
      <c r="G376" s="113"/>
      <c r="H376" s="113"/>
      <c r="I376" s="113"/>
      <c r="J376" s="113"/>
      <c r="K376" s="113"/>
      <c r="L376" s="113"/>
      <c r="M376" s="113"/>
      <c r="N376" s="113"/>
      <c r="O376" s="113"/>
      <c r="P376" s="113"/>
      <c r="Q376" s="113"/>
      <c r="R376" s="113"/>
      <c r="S376" s="113"/>
      <c r="T376" s="113"/>
      <c r="U376" s="113"/>
      <c r="V376" s="113"/>
      <c r="W376" s="113"/>
      <c r="X376" s="113"/>
      <c r="Y376" s="113"/>
      <c r="Z376" s="113"/>
      <c r="AA376" s="113"/>
      <c r="AB376" s="113"/>
      <c r="AC376" s="113"/>
      <c r="AD376" s="113"/>
      <c r="AE376" s="113"/>
      <c r="AF376" s="113"/>
      <c r="AG376" s="113"/>
    </row>
    <row r="377" spans="1:33" ht="13.8">
      <c r="A377" s="113"/>
      <c r="B377" s="113"/>
      <c r="C377" s="113"/>
      <c r="D377" s="113"/>
      <c r="E377" s="113"/>
      <c r="F377" s="113"/>
      <c r="G377" s="113"/>
      <c r="H377" s="113"/>
      <c r="I377" s="113"/>
      <c r="J377" s="113"/>
      <c r="K377" s="113"/>
      <c r="L377" s="113"/>
      <c r="M377" s="113"/>
      <c r="N377" s="113"/>
      <c r="O377" s="113"/>
      <c r="P377" s="113"/>
      <c r="Q377" s="113"/>
      <c r="R377" s="113"/>
      <c r="S377" s="113"/>
      <c r="T377" s="113"/>
      <c r="U377" s="113"/>
      <c r="V377" s="113"/>
      <c r="W377" s="113"/>
      <c r="X377" s="113"/>
      <c r="Y377" s="113"/>
      <c r="Z377" s="113"/>
      <c r="AA377" s="113"/>
      <c r="AB377" s="113"/>
      <c r="AC377" s="113"/>
      <c r="AD377" s="113"/>
      <c r="AE377" s="113"/>
      <c r="AF377" s="113"/>
      <c r="AG377" s="113"/>
    </row>
    <row r="378" spans="1:33" ht="13.8">
      <c r="A378" s="113"/>
      <c r="B378" s="113"/>
      <c r="C378" s="113"/>
      <c r="D378" s="113"/>
      <c r="E378" s="113"/>
      <c r="F378" s="113"/>
      <c r="G378" s="113"/>
      <c r="H378" s="113"/>
      <c r="I378" s="113"/>
      <c r="J378" s="113"/>
      <c r="K378" s="113"/>
      <c r="L378" s="113"/>
      <c r="M378" s="113"/>
      <c r="N378" s="113"/>
      <c r="O378" s="113"/>
      <c r="P378" s="113"/>
      <c r="Q378" s="113"/>
      <c r="R378" s="113"/>
      <c r="S378" s="113"/>
      <c r="T378" s="113"/>
      <c r="U378" s="113"/>
      <c r="V378" s="113"/>
      <c r="W378" s="113"/>
      <c r="X378" s="113"/>
      <c r="Y378" s="113"/>
      <c r="Z378" s="113"/>
      <c r="AA378" s="113"/>
      <c r="AB378" s="113"/>
      <c r="AC378" s="113"/>
      <c r="AD378" s="113"/>
      <c r="AE378" s="113"/>
      <c r="AF378" s="113"/>
      <c r="AG378" s="113"/>
    </row>
    <row r="379" spans="1:33" ht="13.8">
      <c r="A379" s="113"/>
      <c r="B379" s="113"/>
      <c r="C379" s="113"/>
      <c r="D379" s="113"/>
      <c r="E379" s="113"/>
      <c r="F379" s="113"/>
      <c r="G379" s="113"/>
      <c r="H379" s="113"/>
      <c r="I379" s="113"/>
      <c r="J379" s="113"/>
      <c r="K379" s="113"/>
      <c r="L379" s="113"/>
      <c r="M379" s="113"/>
      <c r="N379" s="113"/>
      <c r="O379" s="113"/>
      <c r="P379" s="113"/>
      <c r="Q379" s="113"/>
      <c r="R379" s="113"/>
      <c r="S379" s="113"/>
      <c r="T379" s="113"/>
      <c r="U379" s="113"/>
      <c r="V379" s="113"/>
      <c r="W379" s="113"/>
      <c r="X379" s="113"/>
      <c r="Y379" s="113"/>
      <c r="Z379" s="113"/>
      <c r="AA379" s="113"/>
      <c r="AB379" s="113"/>
      <c r="AC379" s="113"/>
      <c r="AD379" s="113"/>
      <c r="AE379" s="113"/>
      <c r="AF379" s="113"/>
      <c r="AG379" s="113"/>
    </row>
    <row r="380" spans="1:33" ht="13.8">
      <c r="A380" s="113"/>
      <c r="B380" s="113"/>
      <c r="C380" s="113"/>
      <c r="D380" s="113"/>
      <c r="E380" s="113"/>
      <c r="F380" s="113"/>
      <c r="G380" s="113"/>
      <c r="H380" s="113"/>
      <c r="I380" s="113"/>
      <c r="J380" s="113"/>
      <c r="K380" s="113"/>
      <c r="L380" s="113"/>
      <c r="M380" s="113"/>
      <c r="N380" s="113"/>
      <c r="O380" s="113"/>
      <c r="P380" s="113"/>
      <c r="Q380" s="113"/>
      <c r="R380" s="113"/>
      <c r="S380" s="113"/>
      <c r="T380" s="113"/>
      <c r="U380" s="113"/>
      <c r="V380" s="113"/>
      <c r="W380" s="113"/>
      <c r="X380" s="113"/>
      <c r="Y380" s="113"/>
      <c r="Z380" s="113"/>
      <c r="AA380" s="113"/>
      <c r="AB380" s="113"/>
      <c r="AC380" s="113"/>
      <c r="AD380" s="113"/>
      <c r="AE380" s="113"/>
      <c r="AF380" s="113"/>
      <c r="AG380" s="113"/>
    </row>
    <row r="381" spans="1:33" ht="13.8">
      <c r="A381" s="113"/>
      <c r="B381" s="113"/>
      <c r="C381" s="113"/>
      <c r="D381" s="113"/>
      <c r="E381" s="113"/>
      <c r="F381" s="113"/>
      <c r="G381" s="113"/>
      <c r="H381" s="113"/>
      <c r="I381" s="113"/>
      <c r="J381" s="113"/>
      <c r="K381" s="113"/>
      <c r="L381" s="113"/>
      <c r="M381" s="113"/>
      <c r="N381" s="113"/>
      <c r="O381" s="113"/>
      <c r="P381" s="113"/>
      <c r="Q381" s="113"/>
      <c r="R381" s="113"/>
      <c r="S381" s="113"/>
      <c r="T381" s="113"/>
      <c r="U381" s="113"/>
      <c r="V381" s="113"/>
      <c r="W381" s="113"/>
      <c r="X381" s="113"/>
      <c r="Y381" s="113"/>
      <c r="Z381" s="113"/>
      <c r="AA381" s="113"/>
      <c r="AB381" s="113"/>
      <c r="AC381" s="113"/>
      <c r="AD381" s="113"/>
      <c r="AE381" s="113"/>
      <c r="AF381" s="113"/>
      <c r="AG381" s="113"/>
    </row>
    <row r="382" spans="1:33" ht="13.8">
      <c r="A382" s="113"/>
      <c r="B382" s="113"/>
      <c r="C382" s="113"/>
      <c r="D382" s="113"/>
      <c r="E382" s="113"/>
      <c r="F382" s="113"/>
      <c r="G382" s="113"/>
      <c r="H382" s="113"/>
      <c r="I382" s="113"/>
      <c r="J382" s="113"/>
      <c r="K382" s="113"/>
      <c r="L382" s="113"/>
      <c r="M382" s="113"/>
      <c r="N382" s="113"/>
      <c r="O382" s="113"/>
      <c r="P382" s="113"/>
      <c r="Q382" s="113"/>
      <c r="R382" s="113"/>
      <c r="S382" s="113"/>
      <c r="T382" s="113"/>
      <c r="U382" s="113"/>
      <c r="V382" s="113"/>
      <c r="W382" s="113"/>
      <c r="X382" s="113"/>
      <c r="Y382" s="113"/>
      <c r="Z382" s="113"/>
      <c r="AA382" s="113"/>
      <c r="AB382" s="113"/>
      <c r="AC382" s="113"/>
      <c r="AD382" s="113"/>
      <c r="AE382" s="113"/>
      <c r="AF382" s="113"/>
      <c r="AG382" s="113"/>
    </row>
    <row r="383" spans="1:33" ht="13.8">
      <c r="A383" s="113"/>
      <c r="B383" s="113"/>
      <c r="C383" s="113"/>
      <c r="D383" s="113"/>
      <c r="E383" s="113"/>
      <c r="F383" s="113"/>
      <c r="G383" s="113"/>
      <c r="H383" s="113"/>
      <c r="I383" s="113"/>
      <c r="J383" s="113"/>
      <c r="K383" s="113"/>
      <c r="L383" s="113"/>
      <c r="M383" s="113"/>
      <c r="N383" s="113"/>
      <c r="O383" s="113"/>
      <c r="P383" s="113"/>
      <c r="Q383" s="113"/>
      <c r="R383" s="113"/>
      <c r="S383" s="113"/>
      <c r="T383" s="113"/>
      <c r="U383" s="113"/>
      <c r="V383" s="113"/>
      <c r="W383" s="113"/>
      <c r="X383" s="113"/>
      <c r="Y383" s="113"/>
      <c r="Z383" s="113"/>
      <c r="AA383" s="113"/>
      <c r="AB383" s="113"/>
      <c r="AC383" s="113"/>
      <c r="AD383" s="113"/>
      <c r="AE383" s="113"/>
      <c r="AF383" s="113"/>
      <c r="AG383" s="113"/>
    </row>
    <row r="384" spans="1:33" ht="13.8">
      <c r="A384" s="113"/>
      <c r="B384" s="113"/>
      <c r="C384" s="113"/>
      <c r="D384" s="113"/>
      <c r="E384" s="113"/>
      <c r="F384" s="113"/>
      <c r="G384" s="113"/>
      <c r="H384" s="113"/>
      <c r="I384" s="113"/>
      <c r="J384" s="113"/>
      <c r="K384" s="113"/>
      <c r="L384" s="113"/>
      <c r="M384" s="113"/>
      <c r="N384" s="113"/>
      <c r="O384" s="113"/>
      <c r="P384" s="113"/>
      <c r="Q384" s="113"/>
      <c r="R384" s="113"/>
      <c r="S384" s="113"/>
      <c r="T384" s="113"/>
      <c r="U384" s="113"/>
      <c r="V384" s="113"/>
      <c r="W384" s="113"/>
      <c r="X384" s="113"/>
      <c r="Y384" s="113"/>
      <c r="Z384" s="113"/>
      <c r="AA384" s="113"/>
      <c r="AB384" s="113"/>
      <c r="AC384" s="113"/>
      <c r="AD384" s="113"/>
      <c r="AE384" s="113"/>
      <c r="AF384" s="113"/>
      <c r="AG384" s="113"/>
    </row>
    <row r="385" spans="1:33" ht="13.8">
      <c r="A385" s="113"/>
      <c r="B385" s="113"/>
      <c r="C385" s="113"/>
      <c r="D385" s="113"/>
      <c r="E385" s="113"/>
      <c r="F385" s="113"/>
      <c r="G385" s="113"/>
      <c r="H385" s="113"/>
      <c r="I385" s="113"/>
      <c r="J385" s="113"/>
      <c r="K385" s="113"/>
      <c r="L385" s="113"/>
      <c r="M385" s="113"/>
      <c r="N385" s="113"/>
      <c r="O385" s="113"/>
      <c r="P385" s="113"/>
      <c r="Q385" s="113"/>
      <c r="R385" s="113"/>
      <c r="S385" s="113"/>
      <c r="T385" s="113"/>
      <c r="U385" s="113"/>
      <c r="V385" s="113"/>
      <c r="W385" s="113"/>
      <c r="X385" s="113"/>
      <c r="Y385" s="113"/>
      <c r="Z385" s="113"/>
      <c r="AA385" s="113"/>
      <c r="AB385" s="113"/>
      <c r="AC385" s="113"/>
      <c r="AD385" s="113"/>
      <c r="AE385" s="113"/>
      <c r="AF385" s="113"/>
      <c r="AG385" s="113"/>
    </row>
    <row r="386" spans="1:33" ht="13.8">
      <c r="A386" s="113"/>
      <c r="B386" s="113"/>
      <c r="C386" s="113"/>
      <c r="D386" s="113"/>
      <c r="E386" s="113"/>
      <c r="F386" s="113"/>
      <c r="G386" s="113"/>
      <c r="H386" s="113"/>
      <c r="I386" s="113"/>
      <c r="J386" s="113"/>
      <c r="K386" s="113"/>
      <c r="L386" s="113"/>
      <c r="M386" s="113"/>
      <c r="N386" s="113"/>
      <c r="O386" s="113"/>
      <c r="P386" s="113"/>
      <c r="Q386" s="113"/>
      <c r="R386" s="113"/>
      <c r="S386" s="113"/>
      <c r="T386" s="113"/>
      <c r="U386" s="113"/>
      <c r="V386" s="113"/>
      <c r="W386" s="113"/>
      <c r="X386" s="113"/>
      <c r="Y386" s="113"/>
      <c r="Z386" s="113"/>
      <c r="AA386" s="113"/>
      <c r="AB386" s="113"/>
      <c r="AC386" s="113"/>
      <c r="AD386" s="113"/>
      <c r="AE386" s="113"/>
      <c r="AF386" s="113"/>
      <c r="AG386" s="113"/>
    </row>
    <row r="387" spans="1:33" ht="13.8">
      <c r="A387" s="113"/>
      <c r="B387" s="113"/>
      <c r="C387" s="113"/>
      <c r="D387" s="113"/>
      <c r="E387" s="113"/>
      <c r="F387" s="113"/>
      <c r="G387" s="113"/>
      <c r="H387" s="113"/>
      <c r="I387" s="113"/>
      <c r="J387" s="113"/>
      <c r="K387" s="113"/>
      <c r="L387" s="113"/>
      <c r="M387" s="113"/>
      <c r="N387" s="113"/>
      <c r="O387" s="113"/>
      <c r="P387" s="113"/>
      <c r="Q387" s="113"/>
      <c r="R387" s="113"/>
      <c r="S387" s="113"/>
      <c r="T387" s="113"/>
      <c r="U387" s="113"/>
      <c r="V387" s="113"/>
      <c r="W387" s="113"/>
      <c r="X387" s="113"/>
      <c r="Y387" s="113"/>
      <c r="Z387" s="113"/>
      <c r="AA387" s="113"/>
      <c r="AB387" s="113"/>
      <c r="AC387" s="113"/>
      <c r="AD387" s="113"/>
      <c r="AE387" s="113"/>
      <c r="AF387" s="113"/>
      <c r="AG387" s="113"/>
    </row>
    <row r="388" spans="1:33" ht="13.8">
      <c r="A388" s="113"/>
      <c r="B388" s="113"/>
      <c r="C388" s="113"/>
      <c r="D388" s="113"/>
      <c r="E388" s="113"/>
      <c r="F388" s="113"/>
      <c r="G388" s="113"/>
      <c r="H388" s="113"/>
      <c r="I388" s="113"/>
      <c r="J388" s="113"/>
      <c r="K388" s="113"/>
      <c r="L388" s="113"/>
      <c r="M388" s="113"/>
      <c r="N388" s="113"/>
      <c r="O388" s="113"/>
      <c r="P388" s="113"/>
      <c r="Q388" s="113"/>
      <c r="R388" s="113"/>
      <c r="S388" s="113"/>
      <c r="T388" s="113"/>
      <c r="U388" s="113"/>
      <c r="V388" s="113"/>
      <c r="W388" s="113"/>
      <c r="X388" s="113"/>
      <c r="Y388" s="113"/>
      <c r="Z388" s="113"/>
      <c r="AA388" s="113"/>
      <c r="AB388" s="113"/>
      <c r="AC388" s="113"/>
      <c r="AD388" s="113"/>
      <c r="AE388" s="113"/>
      <c r="AF388" s="113"/>
      <c r="AG388" s="113"/>
    </row>
    <row r="389" spans="1:33" ht="13.8">
      <c r="A389" s="113"/>
      <c r="B389" s="113"/>
      <c r="C389" s="113"/>
      <c r="D389" s="113"/>
      <c r="E389" s="113"/>
      <c r="F389" s="113"/>
      <c r="G389" s="113"/>
      <c r="H389" s="113"/>
      <c r="I389" s="113"/>
      <c r="J389" s="113"/>
      <c r="K389" s="113"/>
      <c r="L389" s="113"/>
      <c r="M389" s="113"/>
      <c r="N389" s="113"/>
      <c r="O389" s="113"/>
      <c r="P389" s="113"/>
      <c r="Q389" s="113"/>
      <c r="R389" s="113"/>
      <c r="S389" s="113"/>
      <c r="T389" s="113"/>
      <c r="U389" s="113"/>
      <c r="V389" s="113"/>
      <c r="W389" s="113"/>
      <c r="X389" s="113"/>
      <c r="Y389" s="113"/>
      <c r="Z389" s="113"/>
      <c r="AA389" s="113"/>
      <c r="AB389" s="113"/>
      <c r="AC389" s="113"/>
      <c r="AD389" s="113"/>
      <c r="AE389" s="113"/>
      <c r="AF389" s="113"/>
      <c r="AG389" s="113"/>
    </row>
    <row r="390" spans="1:33" ht="13.8">
      <c r="A390" s="113"/>
      <c r="B390" s="113"/>
      <c r="C390" s="113"/>
      <c r="D390" s="113"/>
      <c r="E390" s="113"/>
      <c r="F390" s="113"/>
      <c r="G390" s="113"/>
      <c r="H390" s="113"/>
      <c r="I390" s="113"/>
      <c r="J390" s="113"/>
      <c r="K390" s="113"/>
      <c r="L390" s="113"/>
      <c r="M390" s="113"/>
      <c r="N390" s="113"/>
      <c r="O390" s="113"/>
      <c r="P390" s="113"/>
      <c r="Q390" s="113"/>
      <c r="R390" s="113"/>
      <c r="S390" s="113"/>
      <c r="T390" s="113"/>
      <c r="U390" s="113"/>
      <c r="V390" s="113"/>
      <c r="W390" s="113"/>
      <c r="X390" s="113"/>
      <c r="Y390" s="113"/>
      <c r="Z390" s="113"/>
      <c r="AA390" s="113"/>
      <c r="AB390" s="113"/>
      <c r="AC390" s="113"/>
      <c r="AD390" s="113"/>
      <c r="AE390" s="113"/>
      <c r="AF390" s="113"/>
      <c r="AG390" s="113"/>
    </row>
    <row r="391" spans="1:33" ht="13.8">
      <c r="A391" s="113"/>
      <c r="B391" s="113"/>
      <c r="C391" s="113"/>
      <c r="D391" s="113"/>
      <c r="E391" s="113"/>
      <c r="F391" s="113"/>
      <c r="G391" s="113"/>
      <c r="H391" s="113"/>
      <c r="I391" s="113"/>
      <c r="J391" s="113"/>
      <c r="K391" s="113"/>
      <c r="L391" s="113"/>
      <c r="M391" s="113"/>
      <c r="N391" s="113"/>
      <c r="O391" s="113"/>
      <c r="P391" s="113"/>
      <c r="Q391" s="113"/>
      <c r="R391" s="113"/>
      <c r="S391" s="113"/>
      <c r="T391" s="113"/>
      <c r="U391" s="113"/>
      <c r="V391" s="113"/>
      <c r="W391" s="113"/>
      <c r="X391" s="113"/>
      <c r="Y391" s="113"/>
      <c r="Z391" s="113"/>
      <c r="AA391" s="113"/>
      <c r="AB391" s="113"/>
      <c r="AC391" s="113"/>
      <c r="AD391" s="113"/>
      <c r="AE391" s="113"/>
      <c r="AF391" s="113"/>
      <c r="AG391" s="113"/>
    </row>
    <row r="392" spans="1:33" ht="13.8">
      <c r="A392" s="113"/>
      <c r="B392" s="113"/>
      <c r="C392" s="113"/>
      <c r="D392" s="113"/>
      <c r="E392" s="113"/>
      <c r="F392" s="113"/>
      <c r="G392" s="113"/>
      <c r="H392" s="113"/>
      <c r="I392" s="113"/>
      <c r="J392" s="113"/>
      <c r="K392" s="113"/>
      <c r="L392" s="113"/>
      <c r="M392" s="113"/>
      <c r="N392" s="113"/>
      <c r="O392" s="113"/>
      <c r="P392" s="113"/>
      <c r="Q392" s="113"/>
      <c r="R392" s="113"/>
      <c r="S392" s="113"/>
      <c r="T392" s="113"/>
      <c r="U392" s="113"/>
      <c r="V392" s="113"/>
      <c r="W392" s="113"/>
      <c r="X392" s="113"/>
      <c r="Y392" s="113"/>
      <c r="Z392" s="113"/>
      <c r="AA392" s="113"/>
      <c r="AB392" s="113"/>
      <c r="AC392" s="113"/>
      <c r="AD392" s="113"/>
      <c r="AE392" s="113"/>
      <c r="AF392" s="113"/>
      <c r="AG392" s="113"/>
    </row>
    <row r="393" spans="1:33" ht="13.8">
      <c r="A393" s="113"/>
      <c r="B393" s="113"/>
      <c r="C393" s="113"/>
      <c r="D393" s="113"/>
      <c r="E393" s="113"/>
      <c r="F393" s="113"/>
      <c r="G393" s="113"/>
      <c r="H393" s="113"/>
      <c r="I393" s="113"/>
      <c r="J393" s="113"/>
      <c r="K393" s="113"/>
      <c r="L393" s="113"/>
      <c r="M393" s="113"/>
      <c r="N393" s="113"/>
      <c r="O393" s="113"/>
      <c r="P393" s="113"/>
      <c r="Q393" s="113"/>
      <c r="R393" s="113"/>
      <c r="S393" s="113"/>
      <c r="T393" s="113"/>
      <c r="U393" s="113"/>
      <c r="V393" s="113"/>
      <c r="W393" s="113"/>
      <c r="X393" s="113"/>
      <c r="Y393" s="113"/>
      <c r="Z393" s="113"/>
      <c r="AA393" s="113"/>
      <c r="AB393" s="113"/>
      <c r="AC393" s="113"/>
      <c r="AD393" s="113"/>
      <c r="AE393" s="113"/>
      <c r="AF393" s="113"/>
      <c r="AG393" s="113"/>
    </row>
    <row r="394" spans="1:33" ht="13.8">
      <c r="A394" s="113"/>
      <c r="B394" s="113"/>
      <c r="C394" s="113"/>
      <c r="D394" s="113"/>
      <c r="E394" s="113"/>
      <c r="F394" s="113"/>
      <c r="G394" s="113"/>
      <c r="H394" s="113"/>
      <c r="I394" s="113"/>
      <c r="J394" s="113"/>
      <c r="K394" s="113"/>
      <c r="L394" s="113"/>
      <c r="M394" s="113"/>
      <c r="N394" s="113"/>
      <c r="O394" s="113"/>
      <c r="P394" s="113"/>
      <c r="Q394" s="113"/>
      <c r="R394" s="113"/>
      <c r="S394" s="113"/>
      <c r="T394" s="113"/>
      <c r="U394" s="113"/>
      <c r="V394" s="113"/>
      <c r="W394" s="113"/>
      <c r="X394" s="113"/>
      <c r="Y394" s="113"/>
      <c r="Z394" s="113"/>
      <c r="AA394" s="113"/>
      <c r="AB394" s="113"/>
      <c r="AC394" s="113"/>
      <c r="AD394" s="113"/>
      <c r="AE394" s="113"/>
      <c r="AF394" s="113"/>
      <c r="AG394" s="113"/>
    </row>
    <row r="395" spans="1:33" ht="13.8">
      <c r="A395" s="113"/>
      <c r="B395" s="113"/>
      <c r="C395" s="113"/>
      <c r="D395" s="113"/>
      <c r="E395" s="113"/>
      <c r="F395" s="113"/>
      <c r="G395" s="113"/>
      <c r="H395" s="113"/>
      <c r="I395" s="113"/>
      <c r="J395" s="113"/>
      <c r="K395" s="113"/>
      <c r="L395" s="113"/>
      <c r="M395" s="113"/>
      <c r="N395" s="113"/>
      <c r="O395" s="113"/>
      <c r="P395" s="113"/>
      <c r="Q395" s="113"/>
      <c r="R395" s="113"/>
      <c r="S395" s="113"/>
      <c r="T395" s="113"/>
      <c r="U395" s="113"/>
      <c r="V395" s="113"/>
      <c r="W395" s="113"/>
      <c r="X395" s="113"/>
      <c r="Y395" s="113"/>
      <c r="Z395" s="113"/>
      <c r="AA395" s="113"/>
      <c r="AB395" s="113"/>
      <c r="AC395" s="113"/>
      <c r="AD395" s="113"/>
      <c r="AE395" s="113"/>
      <c r="AF395" s="113"/>
      <c r="AG395" s="113"/>
    </row>
    <row r="396" spans="1:33" ht="13.8">
      <c r="A396" s="113"/>
      <c r="B396" s="113"/>
      <c r="C396" s="113"/>
      <c r="D396" s="113"/>
      <c r="E396" s="113"/>
      <c r="F396" s="113"/>
      <c r="G396" s="113"/>
      <c r="H396" s="113"/>
      <c r="I396" s="113"/>
      <c r="J396" s="113"/>
      <c r="K396" s="113"/>
      <c r="L396" s="113"/>
      <c r="M396" s="113"/>
      <c r="N396" s="113"/>
      <c r="O396" s="113"/>
      <c r="P396" s="113"/>
      <c r="Q396" s="113"/>
      <c r="R396" s="113"/>
      <c r="S396" s="113"/>
      <c r="T396" s="113"/>
      <c r="U396" s="113"/>
      <c r="V396" s="113"/>
      <c r="W396" s="113"/>
      <c r="X396" s="113"/>
      <c r="Y396" s="113"/>
      <c r="Z396" s="113"/>
      <c r="AA396" s="113"/>
      <c r="AB396" s="113"/>
      <c r="AC396" s="113"/>
      <c r="AD396" s="113"/>
      <c r="AE396" s="113"/>
      <c r="AF396" s="113"/>
      <c r="AG396" s="113"/>
    </row>
    <row r="397" spans="1:33" ht="13.8">
      <c r="A397" s="113"/>
      <c r="B397" s="113"/>
      <c r="C397" s="113"/>
      <c r="D397" s="113"/>
      <c r="E397" s="113"/>
      <c r="F397" s="113"/>
      <c r="G397" s="113"/>
      <c r="H397" s="113"/>
      <c r="I397" s="113"/>
      <c r="J397" s="113"/>
      <c r="K397" s="113"/>
      <c r="L397" s="113"/>
      <c r="M397" s="113"/>
      <c r="N397" s="113"/>
      <c r="O397" s="113"/>
      <c r="P397" s="113"/>
      <c r="Q397" s="113"/>
      <c r="R397" s="113"/>
      <c r="S397" s="113"/>
      <c r="T397" s="113"/>
      <c r="U397" s="113"/>
      <c r="V397" s="113"/>
      <c r="W397" s="113"/>
      <c r="X397" s="113"/>
      <c r="Y397" s="113"/>
      <c r="Z397" s="113"/>
      <c r="AA397" s="113"/>
      <c r="AB397" s="113"/>
      <c r="AC397" s="113"/>
      <c r="AD397" s="113"/>
      <c r="AE397" s="113"/>
      <c r="AF397" s="113"/>
      <c r="AG397" s="113"/>
    </row>
    <row r="398" spans="1:33" ht="13.8">
      <c r="A398" s="113"/>
      <c r="B398" s="113"/>
      <c r="C398" s="113"/>
      <c r="D398" s="113"/>
      <c r="E398" s="113"/>
      <c r="F398" s="113"/>
      <c r="G398" s="113"/>
      <c r="H398" s="113"/>
      <c r="I398" s="113"/>
      <c r="J398" s="113"/>
      <c r="K398" s="113"/>
      <c r="L398" s="113"/>
      <c r="M398" s="113"/>
      <c r="N398" s="113"/>
      <c r="O398" s="113"/>
      <c r="P398" s="113"/>
      <c r="Q398" s="113"/>
      <c r="R398" s="113"/>
      <c r="S398" s="113"/>
      <c r="T398" s="113"/>
      <c r="U398" s="113"/>
      <c r="V398" s="113"/>
      <c r="W398" s="113"/>
      <c r="X398" s="113"/>
      <c r="Y398" s="113"/>
      <c r="Z398" s="113"/>
      <c r="AA398" s="113"/>
      <c r="AB398" s="113"/>
      <c r="AC398" s="113"/>
      <c r="AD398" s="113"/>
      <c r="AE398" s="113"/>
      <c r="AF398" s="113"/>
      <c r="AG398" s="113"/>
    </row>
    <row r="399" spans="1:33" ht="13.8">
      <c r="A399" s="113"/>
      <c r="B399" s="113"/>
      <c r="C399" s="113"/>
      <c r="D399" s="113"/>
      <c r="E399" s="113"/>
      <c r="F399" s="113"/>
      <c r="G399" s="113"/>
      <c r="H399" s="113"/>
      <c r="I399" s="113"/>
      <c r="J399" s="113"/>
      <c r="K399" s="113"/>
      <c r="L399" s="113"/>
      <c r="M399" s="113"/>
      <c r="N399" s="113"/>
      <c r="O399" s="113"/>
      <c r="P399" s="113"/>
      <c r="Q399" s="113"/>
      <c r="R399" s="113"/>
      <c r="S399" s="113"/>
      <c r="T399" s="113"/>
      <c r="U399" s="113"/>
      <c r="V399" s="113"/>
      <c r="W399" s="113"/>
      <c r="X399" s="113"/>
      <c r="Y399" s="113"/>
      <c r="Z399" s="113"/>
      <c r="AA399" s="113"/>
      <c r="AB399" s="113"/>
      <c r="AC399" s="113"/>
      <c r="AD399" s="113"/>
      <c r="AE399" s="113"/>
      <c r="AF399" s="113"/>
      <c r="AG399" s="113"/>
    </row>
    <row r="400" spans="1:33" ht="13.8">
      <c r="A400" s="113"/>
      <c r="B400" s="113"/>
      <c r="C400" s="113"/>
      <c r="D400" s="113"/>
      <c r="E400" s="113"/>
      <c r="F400" s="113"/>
      <c r="G400" s="113"/>
      <c r="H400" s="113"/>
      <c r="I400" s="113"/>
      <c r="J400" s="113"/>
      <c r="K400" s="113"/>
      <c r="L400" s="113"/>
      <c r="M400" s="113"/>
      <c r="N400" s="113"/>
      <c r="O400" s="113"/>
      <c r="P400" s="113"/>
      <c r="Q400" s="113"/>
      <c r="R400" s="113"/>
      <c r="S400" s="113"/>
      <c r="T400" s="113"/>
      <c r="U400" s="113"/>
      <c r="V400" s="113"/>
      <c r="W400" s="113"/>
      <c r="X400" s="113"/>
      <c r="Y400" s="113"/>
      <c r="Z400" s="113"/>
      <c r="AA400" s="113"/>
      <c r="AB400" s="113"/>
      <c r="AC400" s="113"/>
      <c r="AD400" s="113"/>
      <c r="AE400" s="113"/>
      <c r="AF400" s="113"/>
      <c r="AG400" s="113"/>
    </row>
    <row r="401" spans="1:33" ht="13.8">
      <c r="A401" s="113"/>
      <c r="B401" s="113"/>
      <c r="C401" s="113"/>
      <c r="D401" s="113"/>
      <c r="E401" s="113"/>
      <c r="F401" s="113"/>
      <c r="G401" s="113"/>
      <c r="H401" s="113"/>
      <c r="I401" s="113"/>
      <c r="J401" s="113"/>
      <c r="K401" s="113"/>
      <c r="L401" s="113"/>
      <c r="M401" s="113"/>
      <c r="N401" s="113"/>
      <c r="O401" s="113"/>
      <c r="P401" s="113"/>
      <c r="Q401" s="113"/>
      <c r="R401" s="113"/>
      <c r="S401" s="113"/>
      <c r="T401" s="113"/>
      <c r="U401" s="113"/>
      <c r="V401" s="113"/>
      <c r="W401" s="113"/>
      <c r="X401" s="113"/>
      <c r="Y401" s="113"/>
      <c r="Z401" s="113"/>
      <c r="AA401" s="113"/>
      <c r="AB401" s="113"/>
      <c r="AC401" s="113"/>
      <c r="AD401" s="113"/>
      <c r="AE401" s="113"/>
      <c r="AF401" s="113"/>
      <c r="AG401" s="113"/>
    </row>
    <row r="402" spans="1:33" ht="13.8">
      <c r="A402" s="113"/>
      <c r="B402" s="113"/>
      <c r="C402" s="113"/>
      <c r="D402" s="113"/>
      <c r="E402" s="113"/>
      <c r="F402" s="113"/>
      <c r="G402" s="113"/>
      <c r="H402" s="113"/>
      <c r="I402" s="113"/>
      <c r="J402" s="113"/>
      <c r="K402" s="113"/>
      <c r="L402" s="113"/>
      <c r="M402" s="113"/>
      <c r="N402" s="113"/>
      <c r="O402" s="113"/>
      <c r="P402" s="113"/>
      <c r="Q402" s="113"/>
      <c r="R402" s="113"/>
      <c r="S402" s="113"/>
      <c r="T402" s="113"/>
      <c r="U402" s="113"/>
      <c r="V402" s="113"/>
      <c r="W402" s="113"/>
      <c r="X402" s="113"/>
      <c r="Y402" s="113"/>
      <c r="Z402" s="113"/>
      <c r="AA402" s="113"/>
      <c r="AB402" s="113"/>
      <c r="AC402" s="113"/>
      <c r="AD402" s="113"/>
      <c r="AE402" s="113"/>
      <c r="AF402" s="113"/>
      <c r="AG402" s="113"/>
    </row>
    <row r="403" spans="1:33" ht="13.8">
      <c r="A403" s="113"/>
      <c r="B403" s="113"/>
      <c r="C403" s="113"/>
      <c r="D403" s="113"/>
      <c r="E403" s="113"/>
      <c r="F403" s="113"/>
      <c r="G403" s="113"/>
      <c r="H403" s="113"/>
      <c r="I403" s="113"/>
      <c r="J403" s="113"/>
      <c r="K403" s="113"/>
      <c r="L403" s="113"/>
      <c r="M403" s="113"/>
      <c r="N403" s="113"/>
      <c r="O403" s="113"/>
      <c r="P403" s="113"/>
      <c r="Q403" s="113"/>
      <c r="R403" s="113"/>
      <c r="S403" s="113"/>
      <c r="T403" s="113"/>
      <c r="U403" s="113"/>
      <c r="V403" s="113"/>
      <c r="W403" s="113"/>
      <c r="X403" s="113"/>
      <c r="Y403" s="113"/>
      <c r="Z403" s="113"/>
      <c r="AA403" s="113"/>
      <c r="AB403" s="113"/>
      <c r="AC403" s="113"/>
      <c r="AD403" s="113"/>
      <c r="AE403" s="113"/>
      <c r="AF403" s="113"/>
      <c r="AG403" s="113"/>
    </row>
    <row r="404" spans="1:33" ht="13.8">
      <c r="A404" s="113"/>
      <c r="B404" s="113"/>
      <c r="C404" s="113"/>
      <c r="D404" s="113"/>
      <c r="E404" s="113"/>
      <c r="F404" s="113"/>
      <c r="G404" s="113"/>
      <c r="H404" s="113"/>
      <c r="I404" s="113"/>
      <c r="J404" s="113"/>
      <c r="K404" s="113"/>
      <c r="L404" s="113"/>
      <c r="M404" s="113"/>
      <c r="N404" s="113"/>
      <c r="O404" s="113"/>
      <c r="P404" s="113"/>
      <c r="Q404" s="113"/>
      <c r="R404" s="113"/>
      <c r="S404" s="113"/>
      <c r="T404" s="113"/>
      <c r="U404" s="113"/>
      <c r="V404" s="113"/>
      <c r="W404" s="113"/>
      <c r="X404" s="113"/>
      <c r="Y404" s="113"/>
      <c r="Z404" s="113"/>
      <c r="AA404" s="113"/>
      <c r="AB404" s="113"/>
      <c r="AC404" s="113"/>
      <c r="AD404" s="113"/>
      <c r="AE404" s="113"/>
      <c r="AF404" s="113"/>
      <c r="AG404" s="113"/>
    </row>
    <row r="405" spans="1:33" ht="13.8">
      <c r="A405" s="113"/>
      <c r="B405" s="113"/>
      <c r="C405" s="113"/>
      <c r="D405" s="113"/>
      <c r="E405" s="113"/>
      <c r="F405" s="113"/>
      <c r="G405" s="113"/>
      <c r="H405" s="113"/>
      <c r="I405" s="113"/>
      <c r="J405" s="113"/>
      <c r="K405" s="113"/>
      <c r="L405" s="113"/>
      <c r="M405" s="113"/>
      <c r="N405" s="113"/>
      <c r="O405" s="113"/>
      <c r="P405" s="113"/>
      <c r="Q405" s="113"/>
      <c r="R405" s="113"/>
      <c r="S405" s="113"/>
      <c r="T405" s="113"/>
      <c r="U405" s="113"/>
      <c r="V405" s="113"/>
      <c r="W405" s="113"/>
      <c r="X405" s="113"/>
      <c r="Y405" s="113"/>
      <c r="Z405" s="113"/>
      <c r="AA405" s="113"/>
      <c r="AB405" s="113"/>
      <c r="AC405" s="113"/>
      <c r="AD405" s="113"/>
      <c r="AE405" s="113"/>
      <c r="AF405" s="113"/>
      <c r="AG405" s="113"/>
    </row>
    <row r="406" spans="1:33" ht="13.8">
      <c r="A406" s="113"/>
      <c r="B406" s="113"/>
      <c r="C406" s="113"/>
      <c r="D406" s="113"/>
      <c r="E406" s="113"/>
      <c r="F406" s="113"/>
      <c r="G406" s="113"/>
      <c r="H406" s="113"/>
      <c r="I406" s="113"/>
      <c r="J406" s="113"/>
      <c r="K406" s="113"/>
      <c r="L406" s="113"/>
      <c r="M406" s="113"/>
      <c r="N406" s="113"/>
      <c r="O406" s="113"/>
      <c r="P406" s="113"/>
      <c r="Q406" s="113"/>
      <c r="R406" s="113"/>
      <c r="S406" s="113"/>
      <c r="T406" s="113"/>
      <c r="U406" s="113"/>
      <c r="V406" s="113"/>
      <c r="W406" s="113"/>
      <c r="X406" s="113"/>
      <c r="Y406" s="113"/>
      <c r="Z406" s="113"/>
      <c r="AA406" s="113"/>
      <c r="AB406" s="113"/>
      <c r="AC406" s="113"/>
      <c r="AD406" s="113"/>
      <c r="AE406" s="113"/>
      <c r="AF406" s="113"/>
      <c r="AG406" s="113"/>
    </row>
    <row r="407" spans="1:33" ht="13.8">
      <c r="A407" s="113"/>
      <c r="B407" s="113"/>
      <c r="C407" s="113"/>
      <c r="D407" s="113"/>
      <c r="E407" s="113"/>
      <c r="F407" s="113"/>
      <c r="G407" s="113"/>
      <c r="H407" s="113"/>
      <c r="I407" s="113"/>
      <c r="J407" s="113"/>
      <c r="K407" s="113"/>
      <c r="L407" s="113"/>
      <c r="M407" s="113"/>
      <c r="N407" s="113"/>
      <c r="O407" s="113"/>
      <c r="P407" s="113"/>
      <c r="Q407" s="113"/>
      <c r="R407" s="113"/>
      <c r="S407" s="113"/>
      <c r="T407" s="113"/>
      <c r="U407" s="113"/>
      <c r="V407" s="113"/>
      <c r="W407" s="113"/>
      <c r="X407" s="113"/>
      <c r="Y407" s="113"/>
      <c r="Z407" s="113"/>
      <c r="AA407" s="113"/>
      <c r="AB407" s="113"/>
      <c r="AC407" s="113"/>
      <c r="AD407" s="113"/>
      <c r="AE407" s="113"/>
      <c r="AF407" s="113"/>
      <c r="AG407" s="113"/>
    </row>
    <row r="408" spans="1:33" ht="13.8">
      <c r="A408" s="113"/>
      <c r="B408" s="113"/>
      <c r="C408" s="113"/>
      <c r="D408" s="113"/>
      <c r="E408" s="113"/>
      <c r="F408" s="113"/>
      <c r="G408" s="113"/>
      <c r="H408" s="113"/>
      <c r="I408" s="113"/>
      <c r="J408" s="113"/>
      <c r="K408" s="113"/>
      <c r="L408" s="113"/>
      <c r="M408" s="113"/>
      <c r="N408" s="113"/>
      <c r="O408" s="113"/>
      <c r="P408" s="113"/>
      <c r="Q408" s="113"/>
      <c r="R408" s="113"/>
      <c r="S408" s="113"/>
      <c r="T408" s="113"/>
      <c r="U408" s="113"/>
      <c r="V408" s="113"/>
      <c r="W408" s="113"/>
      <c r="X408" s="113"/>
      <c r="Y408" s="113"/>
      <c r="Z408" s="113"/>
      <c r="AA408" s="113"/>
      <c r="AB408" s="113"/>
      <c r="AC408" s="113"/>
      <c r="AD408" s="113"/>
      <c r="AE408" s="113"/>
      <c r="AF408" s="113"/>
      <c r="AG408" s="113"/>
    </row>
    <row r="409" spans="1:33" ht="13.8">
      <c r="A409" s="113"/>
      <c r="B409" s="113"/>
      <c r="C409" s="113"/>
      <c r="D409" s="113"/>
      <c r="E409" s="113"/>
      <c r="F409" s="113"/>
      <c r="G409" s="113"/>
      <c r="H409" s="113"/>
      <c r="I409" s="113"/>
      <c r="J409" s="113"/>
      <c r="K409" s="113"/>
      <c r="L409" s="113"/>
      <c r="M409" s="113"/>
      <c r="N409" s="113"/>
      <c r="O409" s="113"/>
      <c r="P409" s="113"/>
      <c r="Q409" s="113"/>
      <c r="R409" s="113"/>
      <c r="S409" s="113"/>
      <c r="T409" s="113"/>
      <c r="U409" s="113"/>
      <c r="V409" s="113"/>
      <c r="W409" s="113"/>
      <c r="X409" s="113"/>
      <c r="Y409" s="113"/>
      <c r="Z409" s="113"/>
      <c r="AA409" s="113"/>
      <c r="AB409" s="113"/>
      <c r="AC409" s="113"/>
      <c r="AD409" s="113"/>
      <c r="AE409" s="113"/>
      <c r="AF409" s="113"/>
      <c r="AG409" s="113"/>
    </row>
    <row r="410" spans="1:33" ht="13.8">
      <c r="A410" s="113"/>
      <c r="B410" s="113"/>
      <c r="C410" s="113"/>
      <c r="D410" s="113"/>
      <c r="E410" s="113"/>
      <c r="F410" s="113"/>
      <c r="G410" s="113"/>
      <c r="H410" s="113"/>
      <c r="I410" s="113"/>
      <c r="J410" s="113"/>
      <c r="K410" s="113"/>
      <c r="L410" s="113"/>
      <c r="M410" s="113"/>
      <c r="N410" s="113"/>
      <c r="O410" s="113"/>
      <c r="P410" s="113"/>
      <c r="Q410" s="113"/>
      <c r="R410" s="113"/>
      <c r="S410" s="113"/>
      <c r="T410" s="113"/>
      <c r="U410" s="113"/>
      <c r="V410" s="113"/>
      <c r="W410" s="113"/>
      <c r="X410" s="113"/>
      <c r="Y410" s="113"/>
      <c r="Z410" s="113"/>
      <c r="AA410" s="113"/>
      <c r="AB410" s="113"/>
      <c r="AC410" s="113"/>
      <c r="AD410" s="113"/>
      <c r="AE410" s="113"/>
      <c r="AF410" s="113"/>
      <c r="AG410" s="113"/>
    </row>
    <row r="411" spans="1:33" ht="13.8">
      <c r="A411" s="113"/>
      <c r="B411" s="113"/>
      <c r="C411" s="113"/>
      <c r="D411" s="113"/>
      <c r="E411" s="113"/>
      <c r="F411" s="113"/>
      <c r="G411" s="113"/>
      <c r="H411" s="113"/>
      <c r="I411" s="113"/>
      <c r="J411" s="113"/>
      <c r="K411" s="113"/>
      <c r="L411" s="113"/>
      <c r="M411" s="113"/>
      <c r="N411" s="113"/>
      <c r="O411" s="113"/>
      <c r="P411" s="113"/>
      <c r="Q411" s="113"/>
      <c r="R411" s="113"/>
      <c r="S411" s="113"/>
      <c r="T411" s="113"/>
      <c r="U411" s="113"/>
      <c r="V411" s="113"/>
      <c r="W411" s="113"/>
      <c r="X411" s="113"/>
      <c r="Y411" s="113"/>
      <c r="Z411" s="113"/>
      <c r="AA411" s="113"/>
      <c r="AB411" s="113"/>
      <c r="AC411" s="113"/>
      <c r="AD411" s="113"/>
      <c r="AE411" s="113"/>
      <c r="AF411" s="113"/>
      <c r="AG411" s="113"/>
    </row>
    <row r="412" spans="1:33" ht="13.8">
      <c r="A412" s="113"/>
      <c r="B412" s="113"/>
      <c r="C412" s="113"/>
      <c r="D412" s="113"/>
      <c r="E412" s="113"/>
      <c r="F412" s="113"/>
      <c r="G412" s="113"/>
      <c r="H412" s="113"/>
      <c r="I412" s="113"/>
      <c r="J412" s="113"/>
      <c r="K412" s="113"/>
      <c r="L412" s="113"/>
      <c r="M412" s="113"/>
      <c r="N412" s="113"/>
      <c r="O412" s="113"/>
      <c r="P412" s="113"/>
      <c r="Q412" s="113"/>
      <c r="R412" s="113"/>
      <c r="S412" s="113"/>
      <c r="T412" s="113"/>
      <c r="U412" s="113"/>
      <c r="V412" s="113"/>
      <c r="W412" s="113"/>
      <c r="X412" s="113"/>
      <c r="Y412" s="113"/>
      <c r="Z412" s="113"/>
      <c r="AA412" s="113"/>
      <c r="AB412" s="113"/>
      <c r="AC412" s="113"/>
      <c r="AD412" s="113"/>
      <c r="AE412" s="113"/>
      <c r="AF412" s="113"/>
      <c r="AG412" s="113"/>
    </row>
    <row r="413" spans="1:33" ht="13.8">
      <c r="A413" s="113"/>
      <c r="B413" s="113"/>
      <c r="C413" s="113"/>
      <c r="D413" s="113"/>
      <c r="E413" s="113"/>
      <c r="F413" s="113"/>
      <c r="G413" s="113"/>
      <c r="H413" s="113"/>
      <c r="I413" s="113"/>
      <c r="J413" s="113"/>
      <c r="K413" s="113"/>
      <c r="L413" s="113"/>
      <c r="M413" s="113"/>
      <c r="N413" s="113"/>
      <c r="O413" s="113"/>
      <c r="P413" s="113"/>
      <c r="Q413" s="113"/>
      <c r="R413" s="113"/>
      <c r="S413" s="113"/>
      <c r="T413" s="113"/>
      <c r="U413" s="113"/>
      <c r="V413" s="113"/>
      <c r="W413" s="113"/>
      <c r="X413" s="113"/>
      <c r="Y413" s="113"/>
      <c r="Z413" s="113"/>
      <c r="AA413" s="113"/>
      <c r="AB413" s="113"/>
      <c r="AC413" s="113"/>
      <c r="AD413" s="113"/>
      <c r="AE413" s="113"/>
      <c r="AF413" s="113"/>
      <c r="AG413" s="113"/>
    </row>
    <row r="414" spans="1:33" ht="13.8">
      <c r="A414" s="113"/>
      <c r="B414" s="113"/>
      <c r="C414" s="113"/>
      <c r="D414" s="113"/>
      <c r="E414" s="113"/>
      <c r="F414" s="113"/>
      <c r="G414" s="113"/>
      <c r="H414" s="113"/>
      <c r="I414" s="113"/>
      <c r="J414" s="113"/>
      <c r="K414" s="113"/>
      <c r="L414" s="113"/>
      <c r="M414" s="113"/>
      <c r="N414" s="113"/>
      <c r="O414" s="113"/>
      <c r="P414" s="113"/>
      <c r="Q414" s="113"/>
      <c r="R414" s="113"/>
      <c r="S414" s="113"/>
      <c r="T414" s="113"/>
      <c r="U414" s="113"/>
      <c r="V414" s="113"/>
      <c r="W414" s="113"/>
      <c r="X414" s="113"/>
      <c r="Y414" s="113"/>
      <c r="Z414" s="113"/>
      <c r="AA414" s="113"/>
      <c r="AB414" s="113"/>
      <c r="AC414" s="113"/>
      <c r="AD414" s="113"/>
      <c r="AE414" s="113"/>
      <c r="AF414" s="113"/>
      <c r="AG414" s="113"/>
    </row>
    <row r="415" spans="1:33" ht="13.8">
      <c r="A415" s="113"/>
      <c r="B415" s="113"/>
      <c r="C415" s="113"/>
      <c r="D415" s="113"/>
      <c r="E415" s="113"/>
      <c r="F415" s="113"/>
      <c r="G415" s="113"/>
      <c r="H415" s="113"/>
      <c r="I415" s="113"/>
      <c r="J415" s="113"/>
      <c r="K415" s="113"/>
      <c r="L415" s="113"/>
      <c r="M415" s="113"/>
      <c r="N415" s="113"/>
      <c r="O415" s="113"/>
      <c r="P415" s="113"/>
      <c r="Q415" s="113"/>
      <c r="R415" s="113"/>
      <c r="S415" s="113"/>
      <c r="T415" s="113"/>
      <c r="U415" s="113"/>
      <c r="V415" s="113"/>
      <c r="W415" s="113"/>
      <c r="X415" s="113"/>
      <c r="Y415" s="113"/>
      <c r="Z415" s="113"/>
      <c r="AA415" s="113"/>
      <c r="AB415" s="113"/>
      <c r="AC415" s="113"/>
      <c r="AD415" s="113"/>
      <c r="AE415" s="113"/>
      <c r="AF415" s="113"/>
      <c r="AG415" s="113"/>
    </row>
    <row r="416" spans="1:33" ht="13.8">
      <c r="A416" s="113"/>
      <c r="B416" s="113"/>
      <c r="C416" s="113"/>
      <c r="D416" s="113"/>
      <c r="E416" s="113"/>
      <c r="F416" s="113"/>
      <c r="G416" s="113"/>
      <c r="H416" s="113"/>
      <c r="I416" s="113"/>
      <c r="J416" s="113"/>
      <c r="K416" s="113"/>
      <c r="L416" s="113"/>
      <c r="M416" s="113"/>
      <c r="N416" s="113"/>
      <c r="O416" s="113"/>
      <c r="P416" s="113"/>
      <c r="Q416" s="113"/>
      <c r="R416" s="113"/>
      <c r="S416" s="113"/>
      <c r="T416" s="113"/>
      <c r="U416" s="113"/>
      <c r="V416" s="113"/>
      <c r="W416" s="113"/>
      <c r="X416" s="113"/>
      <c r="Y416" s="113"/>
      <c r="Z416" s="113"/>
      <c r="AA416" s="113"/>
      <c r="AB416" s="113"/>
      <c r="AC416" s="113"/>
      <c r="AD416" s="113"/>
      <c r="AE416" s="113"/>
      <c r="AF416" s="113"/>
      <c r="AG416" s="113"/>
    </row>
    <row r="417" spans="1:33" ht="13.8">
      <c r="A417" s="113"/>
      <c r="B417" s="113"/>
      <c r="C417" s="113"/>
      <c r="D417" s="113"/>
      <c r="E417" s="113"/>
      <c r="F417" s="113"/>
      <c r="G417" s="113"/>
      <c r="H417" s="113"/>
      <c r="I417" s="113"/>
      <c r="J417" s="113"/>
      <c r="K417" s="113"/>
      <c r="L417" s="113"/>
      <c r="M417" s="113"/>
      <c r="N417" s="113"/>
      <c r="O417" s="113"/>
      <c r="P417" s="113"/>
      <c r="Q417" s="113"/>
      <c r="R417" s="113"/>
      <c r="S417" s="113"/>
      <c r="T417" s="113"/>
      <c r="U417" s="113"/>
      <c r="V417" s="113"/>
      <c r="W417" s="113"/>
      <c r="X417" s="113"/>
      <c r="Y417" s="113"/>
      <c r="Z417" s="113"/>
      <c r="AA417" s="113"/>
      <c r="AB417" s="113"/>
      <c r="AC417" s="113"/>
      <c r="AD417" s="113"/>
      <c r="AE417" s="113"/>
      <c r="AF417" s="113"/>
      <c r="AG417" s="113"/>
    </row>
    <row r="418" spans="1:33" ht="13.8">
      <c r="A418" s="113"/>
      <c r="B418" s="113"/>
      <c r="C418" s="113"/>
      <c r="D418" s="113"/>
      <c r="E418" s="113"/>
      <c r="F418" s="113"/>
      <c r="G418" s="113"/>
      <c r="H418" s="113"/>
      <c r="I418" s="113"/>
      <c r="J418" s="113"/>
      <c r="K418" s="113"/>
      <c r="L418" s="113"/>
      <c r="M418" s="113"/>
      <c r="N418" s="113"/>
      <c r="O418" s="113"/>
      <c r="P418" s="113"/>
      <c r="Q418" s="113"/>
      <c r="R418" s="113"/>
      <c r="S418" s="113"/>
      <c r="T418" s="113"/>
      <c r="U418" s="113"/>
      <c r="V418" s="113"/>
      <c r="W418" s="113"/>
      <c r="X418" s="113"/>
      <c r="Y418" s="113"/>
      <c r="Z418" s="113"/>
      <c r="AA418" s="113"/>
      <c r="AB418" s="113"/>
      <c r="AC418" s="113"/>
      <c r="AD418" s="113"/>
      <c r="AE418" s="113"/>
      <c r="AF418" s="113"/>
      <c r="AG418" s="113"/>
    </row>
    <row r="419" spans="1:33" ht="13.8">
      <c r="A419" s="113"/>
      <c r="B419" s="113"/>
      <c r="C419" s="113"/>
      <c r="D419" s="113"/>
      <c r="E419" s="113"/>
      <c r="F419" s="113"/>
      <c r="G419" s="113"/>
      <c r="H419" s="113"/>
      <c r="I419" s="113"/>
      <c r="J419" s="113"/>
      <c r="K419" s="113"/>
      <c r="L419" s="113"/>
      <c r="M419" s="113"/>
      <c r="N419" s="113"/>
      <c r="O419" s="113"/>
      <c r="P419" s="113"/>
      <c r="Q419" s="113"/>
      <c r="R419" s="113"/>
      <c r="S419" s="113"/>
      <c r="T419" s="113"/>
      <c r="U419" s="113"/>
      <c r="V419" s="113"/>
      <c r="W419" s="113"/>
      <c r="X419" s="113"/>
      <c r="Y419" s="113"/>
      <c r="Z419" s="113"/>
      <c r="AA419" s="113"/>
      <c r="AB419" s="113"/>
      <c r="AC419" s="113"/>
      <c r="AD419" s="113"/>
      <c r="AE419" s="113"/>
      <c r="AF419" s="113"/>
      <c r="AG419" s="113"/>
    </row>
    <row r="420" spans="1:33" ht="13.8">
      <c r="A420" s="113"/>
      <c r="B420" s="113"/>
      <c r="C420" s="113"/>
      <c r="D420" s="113"/>
      <c r="E420" s="113"/>
      <c r="F420" s="113"/>
      <c r="G420" s="113"/>
      <c r="H420" s="113"/>
      <c r="I420" s="113"/>
      <c r="J420" s="113"/>
      <c r="K420" s="113"/>
      <c r="L420" s="113"/>
      <c r="M420" s="113"/>
      <c r="N420" s="113"/>
      <c r="O420" s="113"/>
      <c r="P420" s="113"/>
      <c r="Q420" s="113"/>
      <c r="R420" s="113"/>
      <c r="S420" s="113"/>
      <c r="T420" s="113"/>
      <c r="U420" s="113"/>
      <c r="V420" s="113"/>
      <c r="W420" s="113"/>
      <c r="X420" s="113"/>
      <c r="Y420" s="113"/>
      <c r="Z420" s="113"/>
      <c r="AA420" s="113"/>
      <c r="AB420" s="113"/>
      <c r="AC420" s="113"/>
      <c r="AD420" s="113"/>
      <c r="AE420" s="113"/>
      <c r="AF420" s="113"/>
      <c r="AG420" s="113"/>
    </row>
    <row r="421" spans="1:33" ht="13.8">
      <c r="A421" s="113"/>
      <c r="B421" s="113"/>
      <c r="C421" s="113"/>
      <c r="D421" s="113"/>
      <c r="E421" s="113"/>
      <c r="F421" s="113"/>
      <c r="G421" s="113"/>
      <c r="H421" s="113"/>
      <c r="I421" s="113"/>
      <c r="J421" s="113"/>
      <c r="K421" s="113"/>
      <c r="L421" s="113"/>
      <c r="M421" s="113"/>
      <c r="N421" s="113"/>
      <c r="O421" s="113"/>
      <c r="P421" s="113"/>
      <c r="Q421" s="113"/>
      <c r="R421" s="113"/>
      <c r="S421" s="113"/>
      <c r="T421" s="113"/>
      <c r="U421" s="113"/>
      <c r="V421" s="113"/>
      <c r="W421" s="113"/>
      <c r="X421" s="113"/>
      <c r="Y421" s="113"/>
      <c r="Z421" s="113"/>
      <c r="AA421" s="113"/>
      <c r="AB421" s="113"/>
      <c r="AC421" s="113"/>
      <c r="AD421" s="113"/>
      <c r="AE421" s="113"/>
      <c r="AF421" s="113"/>
      <c r="AG421" s="113"/>
    </row>
    <row r="422" spans="1:33" ht="13.8">
      <c r="A422" s="113"/>
      <c r="B422" s="113"/>
      <c r="C422" s="113"/>
      <c r="D422" s="113"/>
      <c r="E422" s="113"/>
      <c r="F422" s="113"/>
      <c r="G422" s="113"/>
      <c r="H422" s="113"/>
      <c r="I422" s="113"/>
      <c r="J422" s="113"/>
      <c r="K422" s="113"/>
      <c r="L422" s="113"/>
      <c r="M422" s="113"/>
      <c r="N422" s="113"/>
      <c r="O422" s="113"/>
      <c r="P422" s="113"/>
      <c r="Q422" s="113"/>
      <c r="R422" s="113"/>
      <c r="S422" s="113"/>
      <c r="T422" s="113"/>
      <c r="U422" s="113"/>
      <c r="V422" s="113"/>
      <c r="W422" s="113"/>
      <c r="X422" s="113"/>
      <c r="Y422" s="113"/>
      <c r="Z422" s="113"/>
      <c r="AA422" s="113"/>
      <c r="AB422" s="113"/>
      <c r="AC422" s="113"/>
      <c r="AD422" s="113"/>
      <c r="AE422" s="113"/>
      <c r="AF422" s="113"/>
      <c r="AG422" s="113"/>
    </row>
    <row r="423" spans="1:33" ht="13.8">
      <c r="A423" s="113"/>
      <c r="B423" s="113"/>
      <c r="C423" s="113"/>
      <c r="D423" s="113"/>
      <c r="E423" s="113"/>
      <c r="F423" s="113"/>
      <c r="G423" s="113"/>
      <c r="H423" s="113"/>
      <c r="I423" s="113"/>
      <c r="J423" s="113"/>
      <c r="K423" s="113"/>
      <c r="L423" s="113"/>
      <c r="M423" s="113"/>
      <c r="N423" s="113"/>
      <c r="O423" s="113"/>
      <c r="P423" s="113"/>
      <c r="Q423" s="113"/>
      <c r="R423" s="113"/>
      <c r="S423" s="113"/>
      <c r="T423" s="113"/>
      <c r="U423" s="113"/>
      <c r="V423" s="113"/>
      <c r="W423" s="113"/>
      <c r="X423" s="113"/>
      <c r="Y423" s="113"/>
      <c r="Z423" s="113"/>
      <c r="AA423" s="113"/>
      <c r="AB423" s="113"/>
      <c r="AC423" s="113"/>
      <c r="AD423" s="113"/>
      <c r="AE423" s="113"/>
      <c r="AF423" s="113"/>
      <c r="AG423" s="113"/>
    </row>
    <row r="424" spans="1:33" ht="13.8">
      <c r="A424" s="113"/>
      <c r="B424" s="113"/>
      <c r="C424" s="113"/>
      <c r="D424" s="113"/>
      <c r="E424" s="113"/>
      <c r="F424" s="113"/>
      <c r="G424" s="113"/>
      <c r="H424" s="113"/>
      <c r="I424" s="113"/>
      <c r="J424" s="113"/>
      <c r="K424" s="113"/>
      <c r="L424" s="113"/>
      <c r="M424" s="113"/>
      <c r="N424" s="113"/>
      <c r="O424" s="113"/>
      <c r="P424" s="113"/>
      <c r="Q424" s="113"/>
      <c r="R424" s="113"/>
      <c r="S424" s="113"/>
      <c r="T424" s="113"/>
      <c r="U424" s="113"/>
      <c r="V424" s="113"/>
      <c r="W424" s="113"/>
      <c r="X424" s="113"/>
      <c r="Y424" s="113"/>
      <c r="Z424" s="113"/>
      <c r="AA424" s="113"/>
      <c r="AB424" s="113"/>
      <c r="AC424" s="113"/>
      <c r="AD424" s="113"/>
      <c r="AE424" s="113"/>
      <c r="AF424" s="113"/>
      <c r="AG424" s="113"/>
    </row>
    <row r="425" spans="1:33" ht="13.8">
      <c r="A425" s="113"/>
      <c r="B425" s="113"/>
      <c r="C425" s="113"/>
      <c r="D425" s="113"/>
      <c r="E425" s="113"/>
      <c r="F425" s="113"/>
      <c r="G425" s="113"/>
      <c r="H425" s="113"/>
      <c r="I425" s="113"/>
      <c r="J425" s="113"/>
      <c r="K425" s="113"/>
      <c r="L425" s="113"/>
      <c r="M425" s="113"/>
      <c r="N425" s="113"/>
      <c r="O425" s="113"/>
      <c r="P425" s="113"/>
      <c r="Q425" s="113"/>
      <c r="R425" s="113"/>
      <c r="S425" s="113"/>
      <c r="T425" s="113"/>
      <c r="U425" s="113"/>
      <c r="V425" s="113"/>
      <c r="W425" s="113"/>
      <c r="X425" s="113"/>
      <c r="Y425" s="113"/>
      <c r="Z425" s="113"/>
      <c r="AA425" s="113"/>
      <c r="AB425" s="113"/>
      <c r="AC425" s="113"/>
      <c r="AD425" s="113"/>
      <c r="AE425" s="113"/>
      <c r="AF425" s="113"/>
      <c r="AG425" s="113"/>
    </row>
    <row r="426" spans="1:33" ht="13.8">
      <c r="A426" s="113"/>
      <c r="B426" s="113"/>
      <c r="C426" s="113"/>
      <c r="D426" s="113"/>
      <c r="E426" s="113"/>
      <c r="F426" s="113"/>
      <c r="G426" s="113"/>
      <c r="H426" s="113"/>
      <c r="I426" s="113"/>
      <c r="J426" s="113"/>
      <c r="K426" s="113"/>
      <c r="L426" s="113"/>
      <c r="M426" s="113"/>
      <c r="N426" s="113"/>
      <c r="O426" s="113"/>
      <c r="P426" s="113"/>
      <c r="Q426" s="113"/>
      <c r="R426" s="113"/>
      <c r="S426" s="113"/>
      <c r="T426" s="113"/>
      <c r="U426" s="113"/>
      <c r="V426" s="113"/>
      <c r="W426" s="113"/>
      <c r="X426" s="113"/>
      <c r="Y426" s="113"/>
      <c r="Z426" s="113"/>
      <c r="AA426" s="113"/>
      <c r="AB426" s="113"/>
      <c r="AC426" s="113"/>
      <c r="AD426" s="113"/>
      <c r="AE426" s="113"/>
      <c r="AF426" s="113"/>
      <c r="AG426" s="113"/>
    </row>
    <row r="427" spans="1:33" ht="13.8">
      <c r="A427" s="113"/>
      <c r="B427" s="113"/>
      <c r="C427" s="113"/>
      <c r="D427" s="113"/>
      <c r="E427" s="113"/>
      <c r="F427" s="113"/>
      <c r="G427" s="113"/>
      <c r="H427" s="113"/>
      <c r="I427" s="113"/>
      <c r="J427" s="113"/>
      <c r="K427" s="113"/>
      <c r="L427" s="113"/>
      <c r="M427" s="113"/>
      <c r="N427" s="113"/>
      <c r="O427" s="113"/>
      <c r="P427" s="113"/>
      <c r="Q427" s="113"/>
      <c r="R427" s="113"/>
      <c r="S427" s="113"/>
      <c r="T427" s="113"/>
      <c r="U427" s="113"/>
      <c r="V427" s="113"/>
      <c r="W427" s="113"/>
      <c r="X427" s="113"/>
      <c r="Y427" s="113"/>
      <c r="Z427" s="113"/>
      <c r="AA427" s="113"/>
      <c r="AB427" s="113"/>
      <c r="AC427" s="113"/>
      <c r="AD427" s="113"/>
      <c r="AE427" s="113"/>
      <c r="AF427" s="113"/>
      <c r="AG427" s="113"/>
    </row>
    <row r="428" spans="1:33" ht="13.8">
      <c r="A428" s="113"/>
      <c r="B428" s="113"/>
      <c r="C428" s="113"/>
      <c r="D428" s="113"/>
      <c r="E428" s="113"/>
      <c r="F428" s="113"/>
      <c r="G428" s="113"/>
      <c r="H428" s="113"/>
      <c r="I428" s="113"/>
      <c r="J428" s="113"/>
      <c r="K428" s="113"/>
      <c r="L428" s="113"/>
      <c r="M428" s="113"/>
      <c r="N428" s="113"/>
      <c r="O428" s="113"/>
      <c r="P428" s="113"/>
      <c r="Q428" s="113"/>
      <c r="R428" s="113"/>
      <c r="S428" s="113"/>
      <c r="T428" s="113"/>
      <c r="U428" s="113"/>
      <c r="V428" s="113"/>
      <c r="W428" s="113"/>
      <c r="X428" s="113"/>
      <c r="Y428" s="113"/>
      <c r="Z428" s="113"/>
      <c r="AA428" s="113"/>
      <c r="AB428" s="113"/>
      <c r="AC428" s="113"/>
      <c r="AD428" s="113"/>
      <c r="AE428" s="113"/>
      <c r="AF428" s="113"/>
      <c r="AG428" s="113"/>
    </row>
    <row r="429" spans="1:33" ht="13.8">
      <c r="A429" s="113"/>
      <c r="B429" s="113"/>
      <c r="C429" s="113"/>
      <c r="D429" s="113"/>
      <c r="E429" s="113"/>
      <c r="F429" s="113"/>
      <c r="G429" s="113"/>
      <c r="H429" s="113"/>
      <c r="I429" s="113"/>
      <c r="J429" s="113"/>
      <c r="K429" s="113"/>
      <c r="L429" s="113"/>
      <c r="M429" s="113"/>
      <c r="N429" s="113"/>
      <c r="O429" s="113"/>
      <c r="P429" s="113"/>
      <c r="Q429" s="113"/>
      <c r="R429" s="113"/>
      <c r="S429" s="113"/>
      <c r="T429" s="113"/>
      <c r="U429" s="113"/>
      <c r="V429" s="113"/>
      <c r="W429" s="113"/>
      <c r="X429" s="113"/>
      <c r="Y429" s="113"/>
      <c r="Z429" s="113"/>
      <c r="AA429" s="113"/>
      <c r="AB429" s="113"/>
      <c r="AC429" s="113"/>
      <c r="AD429" s="113"/>
      <c r="AE429" s="113"/>
      <c r="AF429" s="113"/>
      <c r="AG429" s="113"/>
    </row>
    <row r="430" spans="1:33" ht="13.8">
      <c r="A430" s="113"/>
      <c r="B430" s="113"/>
      <c r="C430" s="113"/>
      <c r="D430" s="113"/>
      <c r="E430" s="113"/>
      <c r="F430" s="113"/>
      <c r="G430" s="113"/>
      <c r="H430" s="113"/>
      <c r="I430" s="113"/>
      <c r="J430" s="113"/>
      <c r="K430" s="113"/>
      <c r="L430" s="113"/>
      <c r="M430" s="113"/>
      <c r="N430" s="113"/>
      <c r="O430" s="113"/>
      <c r="P430" s="113"/>
      <c r="Q430" s="113"/>
      <c r="R430" s="113"/>
      <c r="S430" s="113"/>
      <c r="T430" s="113"/>
      <c r="U430" s="113"/>
      <c r="V430" s="113"/>
      <c r="W430" s="113"/>
      <c r="X430" s="113"/>
      <c r="Y430" s="113"/>
      <c r="Z430" s="113"/>
      <c r="AA430" s="113"/>
      <c r="AB430" s="113"/>
      <c r="AC430" s="113"/>
      <c r="AD430" s="113"/>
      <c r="AE430" s="113"/>
      <c r="AF430" s="113"/>
      <c r="AG430" s="113"/>
    </row>
    <row r="431" spans="1:33" ht="13.8">
      <c r="A431" s="113"/>
      <c r="B431" s="113"/>
      <c r="C431" s="113"/>
      <c r="D431" s="113"/>
      <c r="E431" s="113"/>
      <c r="F431" s="113"/>
      <c r="G431" s="113"/>
      <c r="H431" s="113"/>
      <c r="I431" s="113"/>
      <c r="J431" s="113"/>
      <c r="K431" s="113"/>
      <c r="L431" s="113"/>
      <c r="M431" s="113"/>
      <c r="N431" s="113"/>
      <c r="O431" s="113"/>
      <c r="P431" s="113"/>
      <c r="Q431" s="113"/>
      <c r="R431" s="113"/>
      <c r="S431" s="113"/>
      <c r="T431" s="113"/>
      <c r="U431" s="113"/>
      <c r="V431" s="113"/>
      <c r="W431" s="113"/>
      <c r="X431" s="113"/>
      <c r="Y431" s="113"/>
      <c r="Z431" s="113"/>
      <c r="AA431" s="113"/>
      <c r="AB431" s="113"/>
      <c r="AC431" s="113"/>
      <c r="AD431" s="113"/>
      <c r="AE431" s="113"/>
      <c r="AF431" s="113"/>
      <c r="AG431" s="113"/>
    </row>
    <row r="432" spans="1:33" ht="13.8">
      <c r="A432" s="113"/>
      <c r="B432" s="113"/>
      <c r="C432" s="113"/>
      <c r="D432" s="113"/>
      <c r="E432" s="113"/>
      <c r="F432" s="113"/>
      <c r="G432" s="113"/>
      <c r="H432" s="113"/>
      <c r="I432" s="113"/>
      <c r="J432" s="113"/>
      <c r="K432" s="113"/>
      <c r="L432" s="113"/>
      <c r="M432" s="113"/>
      <c r="N432" s="113"/>
      <c r="O432" s="113"/>
      <c r="P432" s="113"/>
      <c r="Q432" s="113"/>
      <c r="R432" s="113"/>
      <c r="S432" s="113"/>
      <c r="T432" s="113"/>
      <c r="U432" s="113"/>
      <c r="V432" s="113"/>
      <c r="W432" s="113"/>
      <c r="X432" s="113"/>
      <c r="Y432" s="113"/>
      <c r="Z432" s="113"/>
      <c r="AA432" s="113"/>
      <c r="AB432" s="113"/>
      <c r="AC432" s="113"/>
      <c r="AD432" s="113"/>
      <c r="AE432" s="113"/>
      <c r="AF432" s="113"/>
      <c r="AG432" s="113"/>
    </row>
    <row r="433" spans="1:33" ht="13.8">
      <c r="A433" s="113"/>
      <c r="B433" s="113"/>
      <c r="C433" s="113"/>
      <c r="D433" s="113"/>
      <c r="E433" s="113"/>
      <c r="F433" s="113"/>
      <c r="G433" s="113"/>
      <c r="H433" s="113"/>
      <c r="I433" s="113"/>
      <c r="J433" s="113"/>
      <c r="K433" s="113"/>
      <c r="L433" s="113"/>
      <c r="M433" s="113"/>
      <c r="N433" s="113"/>
      <c r="O433" s="113"/>
      <c r="P433" s="113"/>
      <c r="Q433" s="113"/>
      <c r="R433" s="113"/>
      <c r="S433" s="113"/>
      <c r="T433" s="113"/>
      <c r="U433" s="113"/>
      <c r="V433" s="113"/>
      <c r="W433" s="113"/>
      <c r="X433" s="113"/>
      <c r="Y433" s="113"/>
      <c r="Z433" s="113"/>
      <c r="AA433" s="113"/>
      <c r="AB433" s="113"/>
      <c r="AC433" s="113"/>
      <c r="AD433" s="113"/>
      <c r="AE433" s="113"/>
      <c r="AF433" s="113"/>
      <c r="AG433" s="113"/>
    </row>
    <row r="434" spans="1:33" ht="13.8">
      <c r="A434" s="113"/>
      <c r="B434" s="113"/>
      <c r="C434" s="113"/>
      <c r="D434" s="113"/>
      <c r="E434" s="113"/>
      <c r="F434" s="113"/>
      <c r="G434" s="113"/>
      <c r="H434" s="113"/>
      <c r="I434" s="113"/>
      <c r="J434" s="113"/>
      <c r="K434" s="113"/>
      <c r="L434" s="113"/>
      <c r="M434" s="113"/>
      <c r="N434" s="113"/>
      <c r="O434" s="113"/>
      <c r="P434" s="113"/>
      <c r="Q434" s="113"/>
      <c r="R434" s="113"/>
      <c r="S434" s="113"/>
      <c r="T434" s="113"/>
      <c r="U434" s="113"/>
      <c r="V434" s="113"/>
      <c r="W434" s="113"/>
      <c r="X434" s="113"/>
      <c r="Y434" s="113"/>
      <c r="Z434" s="113"/>
      <c r="AA434" s="113"/>
      <c r="AB434" s="113"/>
      <c r="AC434" s="113"/>
      <c r="AD434" s="113"/>
      <c r="AE434" s="113"/>
      <c r="AF434" s="113"/>
      <c r="AG434" s="113"/>
    </row>
    <row r="435" spans="1:33" ht="13.8">
      <c r="A435" s="113"/>
      <c r="B435" s="113"/>
      <c r="C435" s="113"/>
      <c r="D435" s="113"/>
      <c r="E435" s="113"/>
      <c r="F435" s="113"/>
      <c r="G435" s="113"/>
      <c r="H435" s="113"/>
      <c r="I435" s="113"/>
      <c r="J435" s="113"/>
      <c r="K435" s="113"/>
      <c r="L435" s="113"/>
      <c r="M435" s="113"/>
      <c r="N435" s="113"/>
      <c r="O435" s="113"/>
      <c r="P435" s="113"/>
      <c r="Q435" s="113"/>
      <c r="R435" s="113"/>
      <c r="S435" s="113"/>
      <c r="T435" s="113"/>
      <c r="U435" s="113"/>
      <c r="V435" s="113"/>
      <c r="W435" s="113"/>
      <c r="X435" s="113"/>
      <c r="Y435" s="113"/>
      <c r="Z435" s="113"/>
      <c r="AA435" s="113"/>
      <c r="AB435" s="113"/>
      <c r="AC435" s="113"/>
      <c r="AD435" s="113"/>
      <c r="AE435" s="113"/>
      <c r="AF435" s="113"/>
      <c r="AG435" s="113"/>
    </row>
    <row r="436" spans="1:33" ht="13.8">
      <c r="A436" s="113"/>
      <c r="B436" s="113"/>
      <c r="C436" s="113"/>
      <c r="D436" s="113"/>
      <c r="E436" s="113"/>
      <c r="F436" s="113"/>
      <c r="G436" s="113"/>
      <c r="H436" s="113"/>
      <c r="I436" s="113"/>
      <c r="J436" s="113"/>
      <c r="K436" s="113"/>
      <c r="L436" s="113"/>
      <c r="M436" s="113"/>
      <c r="N436" s="113"/>
      <c r="O436" s="113"/>
      <c r="P436" s="113"/>
      <c r="Q436" s="113"/>
      <c r="R436" s="113"/>
      <c r="S436" s="113"/>
      <c r="T436" s="113"/>
      <c r="U436" s="113"/>
      <c r="V436" s="113"/>
      <c r="W436" s="113"/>
      <c r="X436" s="113"/>
      <c r="Y436" s="113"/>
      <c r="Z436" s="113"/>
      <c r="AA436" s="113"/>
      <c r="AB436" s="113"/>
      <c r="AC436" s="113"/>
      <c r="AD436" s="113"/>
      <c r="AE436" s="113"/>
      <c r="AF436" s="113"/>
      <c r="AG436" s="113"/>
    </row>
    <row r="437" spans="1:33" ht="13.8">
      <c r="A437" s="113"/>
      <c r="B437" s="113"/>
      <c r="C437" s="113"/>
      <c r="D437" s="113"/>
      <c r="E437" s="113"/>
      <c r="F437" s="113"/>
      <c r="G437" s="113"/>
      <c r="H437" s="113"/>
      <c r="I437" s="113"/>
      <c r="J437" s="113"/>
      <c r="K437" s="113"/>
      <c r="L437" s="113"/>
      <c r="M437" s="113"/>
      <c r="N437" s="113"/>
      <c r="O437" s="113"/>
      <c r="P437" s="113"/>
      <c r="Q437" s="113"/>
      <c r="R437" s="113"/>
      <c r="S437" s="113"/>
      <c r="T437" s="113"/>
      <c r="U437" s="113"/>
      <c r="V437" s="113"/>
      <c r="W437" s="113"/>
      <c r="X437" s="113"/>
      <c r="Y437" s="113"/>
      <c r="Z437" s="113"/>
      <c r="AA437" s="113"/>
      <c r="AB437" s="113"/>
      <c r="AC437" s="113"/>
      <c r="AD437" s="113"/>
      <c r="AE437" s="113"/>
      <c r="AF437" s="113"/>
      <c r="AG437" s="113"/>
    </row>
    <row r="438" spans="1:33" ht="13.8">
      <c r="A438" s="113"/>
      <c r="B438" s="113"/>
      <c r="C438" s="113"/>
      <c r="D438" s="113"/>
      <c r="E438" s="113"/>
      <c r="F438" s="113"/>
      <c r="G438" s="113"/>
      <c r="H438" s="113"/>
      <c r="I438" s="113"/>
      <c r="J438" s="113"/>
      <c r="K438" s="113"/>
      <c r="L438" s="113"/>
      <c r="M438" s="113"/>
      <c r="N438" s="113"/>
      <c r="O438" s="113"/>
      <c r="P438" s="113"/>
      <c r="Q438" s="113"/>
      <c r="R438" s="113"/>
      <c r="S438" s="113"/>
      <c r="T438" s="113"/>
      <c r="U438" s="113"/>
      <c r="V438" s="113"/>
      <c r="W438" s="113"/>
      <c r="X438" s="113"/>
      <c r="Y438" s="113"/>
      <c r="Z438" s="113"/>
      <c r="AA438" s="113"/>
      <c r="AB438" s="113"/>
      <c r="AC438" s="113"/>
      <c r="AD438" s="113"/>
      <c r="AE438" s="113"/>
      <c r="AF438" s="113"/>
      <c r="AG438" s="113"/>
    </row>
    <row r="439" spans="1:33" ht="13.8">
      <c r="A439" s="113"/>
      <c r="B439" s="113"/>
      <c r="C439" s="113"/>
      <c r="D439" s="113"/>
      <c r="E439" s="113"/>
      <c r="F439" s="113"/>
      <c r="G439" s="113"/>
      <c r="H439" s="113"/>
      <c r="I439" s="113"/>
      <c r="J439" s="113"/>
      <c r="K439" s="113"/>
      <c r="L439" s="113"/>
      <c r="M439" s="113"/>
      <c r="N439" s="113"/>
      <c r="O439" s="113"/>
      <c r="P439" s="113"/>
      <c r="Q439" s="113"/>
      <c r="R439" s="113"/>
      <c r="S439" s="113"/>
      <c r="T439" s="113"/>
      <c r="U439" s="113"/>
      <c r="V439" s="113"/>
      <c r="W439" s="113"/>
      <c r="X439" s="113"/>
      <c r="Y439" s="113"/>
      <c r="Z439" s="113"/>
      <c r="AA439" s="113"/>
      <c r="AB439" s="113"/>
      <c r="AC439" s="113"/>
      <c r="AD439" s="113"/>
      <c r="AE439" s="113"/>
      <c r="AF439" s="113"/>
      <c r="AG439" s="113"/>
    </row>
    <row r="440" spans="1:33" ht="13.8">
      <c r="A440" s="113"/>
      <c r="B440" s="113"/>
      <c r="C440" s="113"/>
      <c r="D440" s="113"/>
      <c r="E440" s="113"/>
      <c r="F440" s="113"/>
      <c r="G440" s="113"/>
      <c r="H440" s="113"/>
      <c r="I440" s="113"/>
      <c r="J440" s="113"/>
      <c r="K440" s="113"/>
      <c r="L440" s="113"/>
      <c r="M440" s="113"/>
      <c r="N440" s="113"/>
      <c r="O440" s="113"/>
      <c r="P440" s="113"/>
      <c r="Q440" s="113"/>
      <c r="R440" s="113"/>
      <c r="S440" s="113"/>
      <c r="T440" s="113"/>
      <c r="U440" s="113"/>
      <c r="V440" s="113"/>
      <c r="W440" s="113"/>
      <c r="X440" s="113"/>
      <c r="Y440" s="113"/>
      <c r="Z440" s="113"/>
      <c r="AA440" s="113"/>
      <c r="AB440" s="113"/>
      <c r="AC440" s="113"/>
      <c r="AD440" s="113"/>
      <c r="AE440" s="113"/>
      <c r="AF440" s="113"/>
      <c r="AG440" s="113"/>
    </row>
    <row r="441" spans="1:33" ht="13.8">
      <c r="A441" s="113"/>
      <c r="B441" s="113"/>
      <c r="C441" s="113"/>
      <c r="D441" s="113"/>
      <c r="E441" s="113"/>
      <c r="F441" s="113"/>
      <c r="G441" s="113"/>
      <c r="H441" s="113"/>
      <c r="I441" s="113"/>
      <c r="J441" s="113"/>
      <c r="K441" s="113"/>
      <c r="L441" s="113"/>
      <c r="M441" s="113"/>
      <c r="N441" s="113"/>
      <c r="O441" s="113"/>
      <c r="P441" s="113"/>
      <c r="Q441" s="113"/>
      <c r="R441" s="113"/>
      <c r="S441" s="113"/>
      <c r="T441" s="113"/>
      <c r="U441" s="113"/>
      <c r="V441" s="113"/>
      <c r="W441" s="113"/>
      <c r="X441" s="113"/>
      <c r="Y441" s="113"/>
      <c r="Z441" s="113"/>
      <c r="AA441" s="113"/>
      <c r="AB441" s="113"/>
      <c r="AC441" s="113"/>
      <c r="AD441" s="113"/>
      <c r="AE441" s="113"/>
      <c r="AF441" s="113"/>
      <c r="AG441" s="113"/>
    </row>
    <row r="442" spans="1:33" ht="13.8">
      <c r="A442" s="113"/>
      <c r="B442" s="113"/>
      <c r="C442" s="113"/>
      <c r="D442" s="113"/>
      <c r="E442" s="113"/>
      <c r="F442" s="113"/>
      <c r="G442" s="113"/>
      <c r="H442" s="113"/>
      <c r="I442" s="113"/>
      <c r="J442" s="113"/>
      <c r="K442" s="113"/>
      <c r="L442" s="113"/>
      <c r="M442" s="113"/>
      <c r="N442" s="113"/>
      <c r="O442" s="113"/>
      <c r="P442" s="113"/>
      <c r="Q442" s="113"/>
      <c r="R442" s="113"/>
      <c r="S442" s="113"/>
      <c r="T442" s="113"/>
      <c r="U442" s="113"/>
      <c r="V442" s="113"/>
      <c r="W442" s="113"/>
      <c r="X442" s="113"/>
      <c r="Y442" s="113"/>
      <c r="Z442" s="113"/>
      <c r="AA442" s="113"/>
      <c r="AB442" s="113"/>
      <c r="AC442" s="113"/>
      <c r="AD442" s="113"/>
      <c r="AE442" s="113"/>
      <c r="AF442" s="113"/>
      <c r="AG442" s="113"/>
    </row>
    <row r="443" spans="1:33" ht="13.8">
      <c r="A443" s="113"/>
      <c r="B443" s="113"/>
      <c r="C443" s="113"/>
      <c r="D443" s="113"/>
      <c r="E443" s="113"/>
      <c r="F443" s="113"/>
      <c r="G443" s="113"/>
      <c r="H443" s="113"/>
      <c r="I443" s="113"/>
      <c r="J443" s="113"/>
      <c r="K443" s="113"/>
      <c r="L443" s="113"/>
      <c r="M443" s="113"/>
      <c r="N443" s="113"/>
      <c r="O443" s="113"/>
      <c r="P443" s="113"/>
      <c r="Q443" s="113"/>
      <c r="R443" s="113"/>
      <c r="S443" s="113"/>
      <c r="T443" s="113"/>
      <c r="U443" s="113"/>
      <c r="V443" s="113"/>
      <c r="W443" s="113"/>
      <c r="X443" s="113"/>
      <c r="Y443" s="113"/>
      <c r="Z443" s="113"/>
      <c r="AA443" s="113"/>
      <c r="AB443" s="113"/>
      <c r="AC443" s="113"/>
      <c r="AD443" s="113"/>
      <c r="AE443" s="113"/>
      <c r="AF443" s="113"/>
      <c r="AG443" s="113"/>
    </row>
    <row r="444" spans="1:33" ht="13.8">
      <c r="A444" s="113"/>
      <c r="B444" s="113"/>
      <c r="C444" s="113"/>
      <c r="D444" s="113"/>
      <c r="E444" s="113"/>
      <c r="F444" s="113"/>
      <c r="G444" s="113"/>
      <c r="H444" s="113"/>
      <c r="I444" s="113"/>
      <c r="J444" s="113"/>
      <c r="K444" s="113"/>
      <c r="L444" s="113"/>
      <c r="M444" s="113"/>
      <c r="N444" s="113"/>
      <c r="O444" s="113"/>
      <c r="P444" s="113"/>
      <c r="Q444" s="113"/>
      <c r="R444" s="113"/>
      <c r="S444" s="113"/>
      <c r="T444" s="113"/>
      <c r="U444" s="113"/>
      <c r="V444" s="113"/>
      <c r="W444" s="113"/>
      <c r="X444" s="113"/>
      <c r="Y444" s="113"/>
      <c r="Z444" s="113"/>
      <c r="AA444" s="113"/>
      <c r="AB444" s="113"/>
      <c r="AC444" s="113"/>
      <c r="AD444" s="113"/>
      <c r="AE444" s="113"/>
      <c r="AF444" s="113"/>
      <c r="AG444" s="113"/>
    </row>
    <row r="445" spans="1:33" ht="13.8">
      <c r="A445" s="113"/>
      <c r="B445" s="113"/>
      <c r="C445" s="113"/>
      <c r="D445" s="113"/>
      <c r="E445" s="113"/>
      <c r="F445" s="113"/>
      <c r="G445" s="113"/>
      <c r="H445" s="113"/>
      <c r="I445" s="113"/>
      <c r="J445" s="113"/>
      <c r="K445" s="113"/>
      <c r="L445" s="113"/>
      <c r="M445" s="113"/>
      <c r="N445" s="113"/>
      <c r="O445" s="113"/>
      <c r="P445" s="113"/>
      <c r="Q445" s="113"/>
      <c r="R445" s="113"/>
      <c r="S445" s="113"/>
      <c r="T445" s="113"/>
      <c r="U445" s="113"/>
      <c r="V445" s="113"/>
      <c r="W445" s="113"/>
      <c r="X445" s="113"/>
      <c r="Y445" s="113"/>
      <c r="Z445" s="113"/>
      <c r="AA445" s="113"/>
      <c r="AB445" s="113"/>
      <c r="AC445" s="113"/>
      <c r="AD445" s="113"/>
      <c r="AE445" s="113"/>
      <c r="AF445" s="113"/>
      <c r="AG445" s="113"/>
    </row>
    <row r="446" spans="1:33" ht="13.8">
      <c r="A446" s="113"/>
      <c r="B446" s="113"/>
      <c r="C446" s="113"/>
      <c r="D446" s="113"/>
      <c r="E446" s="113"/>
      <c r="F446" s="113"/>
      <c r="G446" s="113"/>
      <c r="H446" s="113"/>
      <c r="I446" s="113"/>
      <c r="J446" s="113"/>
      <c r="K446" s="113"/>
      <c r="L446" s="113"/>
      <c r="M446" s="113"/>
      <c r="N446" s="113"/>
      <c r="O446" s="113"/>
      <c r="P446" s="113"/>
      <c r="Q446" s="113"/>
      <c r="R446" s="113"/>
      <c r="S446" s="113"/>
      <c r="T446" s="113"/>
      <c r="U446" s="113"/>
      <c r="V446" s="113"/>
      <c r="W446" s="113"/>
      <c r="X446" s="113"/>
      <c r="Y446" s="113"/>
      <c r="Z446" s="113"/>
      <c r="AA446" s="113"/>
      <c r="AB446" s="113"/>
      <c r="AC446" s="113"/>
      <c r="AD446" s="113"/>
      <c r="AE446" s="113"/>
      <c r="AF446" s="113"/>
      <c r="AG446" s="113"/>
    </row>
    <row r="447" spans="1:33" ht="13.8">
      <c r="A447" s="113"/>
      <c r="B447" s="113"/>
      <c r="C447" s="113"/>
      <c r="D447" s="113"/>
      <c r="E447" s="113"/>
      <c r="F447" s="113"/>
      <c r="G447" s="113"/>
      <c r="H447" s="113"/>
      <c r="I447" s="113"/>
      <c r="J447" s="113"/>
      <c r="K447" s="113"/>
      <c r="L447" s="113"/>
      <c r="M447" s="113"/>
      <c r="N447" s="113"/>
      <c r="O447" s="113"/>
      <c r="P447" s="113"/>
      <c r="Q447" s="113"/>
      <c r="R447" s="113"/>
      <c r="S447" s="113"/>
      <c r="T447" s="113"/>
      <c r="U447" s="113"/>
      <c r="V447" s="113"/>
      <c r="W447" s="113"/>
      <c r="X447" s="113"/>
      <c r="Y447" s="113"/>
      <c r="Z447" s="113"/>
      <c r="AA447" s="113"/>
      <c r="AB447" s="113"/>
      <c r="AC447" s="113"/>
      <c r="AD447" s="113"/>
      <c r="AE447" s="113"/>
      <c r="AF447" s="113"/>
      <c r="AG447" s="113"/>
    </row>
    <row r="448" spans="1:33" ht="13.8">
      <c r="A448" s="113"/>
      <c r="B448" s="113"/>
      <c r="C448" s="113"/>
      <c r="D448" s="113"/>
      <c r="E448" s="113"/>
      <c r="F448" s="113"/>
      <c r="G448" s="113"/>
      <c r="H448" s="113"/>
      <c r="I448" s="113"/>
      <c r="J448" s="113"/>
      <c r="K448" s="113"/>
      <c r="L448" s="113"/>
      <c r="M448" s="113"/>
      <c r="N448" s="113"/>
      <c r="O448" s="113"/>
      <c r="P448" s="113"/>
      <c r="Q448" s="113"/>
      <c r="R448" s="113"/>
      <c r="S448" s="113"/>
      <c r="T448" s="113"/>
      <c r="U448" s="113"/>
      <c r="V448" s="113"/>
      <c r="W448" s="113"/>
      <c r="X448" s="113"/>
      <c r="Y448" s="113"/>
      <c r="Z448" s="113"/>
      <c r="AA448" s="113"/>
      <c r="AB448" s="113"/>
      <c r="AC448" s="113"/>
      <c r="AD448" s="113"/>
      <c r="AE448" s="113"/>
      <c r="AF448" s="113"/>
      <c r="AG448" s="113"/>
    </row>
    <row r="449" spans="1:33" ht="13.8">
      <c r="A449" s="113"/>
      <c r="B449" s="113"/>
      <c r="C449" s="113"/>
      <c r="D449" s="113"/>
      <c r="E449" s="113"/>
      <c r="F449" s="113"/>
      <c r="G449" s="113"/>
      <c r="H449" s="113"/>
      <c r="I449" s="113"/>
      <c r="J449" s="113"/>
      <c r="K449" s="113"/>
      <c r="L449" s="113"/>
      <c r="M449" s="113"/>
      <c r="N449" s="113"/>
      <c r="O449" s="113"/>
      <c r="P449" s="113"/>
      <c r="Q449" s="113"/>
      <c r="R449" s="113"/>
      <c r="S449" s="113"/>
      <c r="T449" s="113"/>
      <c r="U449" s="113"/>
      <c r="V449" s="113"/>
      <c r="W449" s="113"/>
      <c r="X449" s="113"/>
      <c r="Y449" s="113"/>
      <c r="Z449" s="113"/>
      <c r="AA449" s="113"/>
      <c r="AB449" s="113"/>
      <c r="AC449" s="113"/>
      <c r="AD449" s="113"/>
      <c r="AE449" s="113"/>
      <c r="AF449" s="113"/>
      <c r="AG449" s="113"/>
    </row>
    <row r="450" spans="1:33" ht="13.8">
      <c r="A450" s="113"/>
      <c r="B450" s="113"/>
      <c r="C450" s="113"/>
      <c r="D450" s="113"/>
      <c r="E450" s="113"/>
      <c r="F450" s="113"/>
      <c r="G450" s="113"/>
      <c r="H450" s="113"/>
      <c r="I450" s="113"/>
      <c r="J450" s="113"/>
      <c r="K450" s="113"/>
      <c r="L450" s="113"/>
      <c r="M450" s="113"/>
      <c r="N450" s="113"/>
      <c r="O450" s="113"/>
      <c r="P450" s="113"/>
      <c r="Q450" s="113"/>
      <c r="R450" s="113"/>
      <c r="S450" s="113"/>
      <c r="T450" s="113"/>
      <c r="U450" s="113"/>
      <c r="V450" s="113"/>
      <c r="W450" s="113"/>
      <c r="X450" s="113"/>
      <c r="Y450" s="113"/>
      <c r="Z450" s="113"/>
      <c r="AA450" s="113"/>
      <c r="AB450" s="113"/>
      <c r="AC450" s="113"/>
      <c r="AD450" s="113"/>
      <c r="AE450" s="113"/>
      <c r="AF450" s="113"/>
      <c r="AG450" s="113"/>
    </row>
    <row r="451" spans="1:33" ht="13.8">
      <c r="A451" s="113"/>
      <c r="B451" s="113"/>
      <c r="C451" s="113"/>
      <c r="D451" s="113"/>
      <c r="E451" s="113"/>
      <c r="F451" s="113"/>
      <c r="G451" s="113"/>
      <c r="H451" s="113"/>
      <c r="I451" s="113"/>
      <c r="J451" s="113"/>
      <c r="K451" s="113"/>
      <c r="L451" s="113"/>
      <c r="M451" s="113"/>
      <c r="N451" s="113"/>
      <c r="O451" s="113"/>
      <c r="P451" s="113"/>
      <c r="Q451" s="113"/>
      <c r="R451" s="113"/>
      <c r="S451" s="113"/>
      <c r="T451" s="113"/>
      <c r="U451" s="113"/>
      <c r="V451" s="113"/>
      <c r="W451" s="113"/>
      <c r="X451" s="113"/>
      <c r="Y451" s="113"/>
      <c r="Z451" s="113"/>
      <c r="AA451" s="113"/>
      <c r="AB451" s="113"/>
      <c r="AC451" s="113"/>
      <c r="AD451" s="113"/>
      <c r="AE451" s="113"/>
      <c r="AF451" s="113"/>
      <c r="AG451" s="113"/>
    </row>
    <row r="452" spans="1:33" ht="13.8">
      <c r="A452" s="113"/>
      <c r="B452" s="113"/>
      <c r="C452" s="113"/>
      <c r="D452" s="113"/>
      <c r="E452" s="113"/>
      <c r="F452" s="113"/>
      <c r="G452" s="113"/>
      <c r="H452" s="113"/>
      <c r="I452" s="113"/>
      <c r="J452" s="113"/>
      <c r="K452" s="113"/>
      <c r="L452" s="113"/>
      <c r="M452" s="113"/>
      <c r="N452" s="113"/>
      <c r="O452" s="113"/>
      <c r="P452" s="113"/>
      <c r="Q452" s="113"/>
      <c r="R452" s="113"/>
      <c r="S452" s="113"/>
      <c r="T452" s="113"/>
      <c r="U452" s="113"/>
      <c r="V452" s="113"/>
      <c r="W452" s="113"/>
      <c r="X452" s="113"/>
      <c r="Y452" s="113"/>
      <c r="Z452" s="113"/>
      <c r="AA452" s="113"/>
      <c r="AB452" s="113"/>
      <c r="AC452" s="113"/>
      <c r="AD452" s="113"/>
      <c r="AE452" s="113"/>
      <c r="AF452" s="113"/>
      <c r="AG452" s="113"/>
    </row>
    <row r="453" spans="1:33" ht="13.8">
      <c r="A453" s="113"/>
      <c r="B453" s="113"/>
      <c r="C453" s="113"/>
      <c r="D453" s="113"/>
      <c r="E453" s="113"/>
      <c r="F453" s="113"/>
      <c r="G453" s="113"/>
      <c r="H453" s="113"/>
      <c r="I453" s="113"/>
      <c r="J453" s="113"/>
      <c r="K453" s="113"/>
      <c r="L453" s="113"/>
      <c r="M453" s="113"/>
      <c r="N453" s="113"/>
      <c r="O453" s="113"/>
      <c r="P453" s="113"/>
      <c r="Q453" s="113"/>
      <c r="R453" s="113"/>
      <c r="S453" s="113"/>
      <c r="T453" s="113"/>
      <c r="U453" s="113"/>
      <c r="V453" s="113"/>
      <c r="W453" s="113"/>
      <c r="X453" s="113"/>
      <c r="Y453" s="113"/>
      <c r="Z453" s="113"/>
      <c r="AA453" s="113"/>
      <c r="AB453" s="113"/>
      <c r="AC453" s="113"/>
      <c r="AD453" s="113"/>
      <c r="AE453" s="113"/>
      <c r="AF453" s="113"/>
      <c r="AG453" s="113"/>
    </row>
    <row r="454" spans="1:33" ht="13.8">
      <c r="A454" s="113"/>
      <c r="B454" s="113"/>
      <c r="C454" s="113"/>
      <c r="D454" s="113"/>
      <c r="E454" s="113"/>
      <c r="F454" s="113"/>
      <c r="G454" s="113"/>
      <c r="H454" s="113"/>
      <c r="I454" s="113"/>
      <c r="J454" s="113"/>
      <c r="K454" s="113"/>
      <c r="L454" s="113"/>
      <c r="M454" s="113"/>
      <c r="N454" s="113"/>
      <c r="O454" s="113"/>
      <c r="P454" s="113"/>
      <c r="Q454" s="113"/>
      <c r="R454" s="113"/>
      <c r="S454" s="113"/>
      <c r="T454" s="113"/>
      <c r="U454" s="113"/>
      <c r="V454" s="113"/>
      <c r="W454" s="113"/>
      <c r="X454" s="113"/>
      <c r="Y454" s="113"/>
      <c r="Z454" s="113"/>
      <c r="AA454" s="113"/>
      <c r="AB454" s="113"/>
      <c r="AC454" s="113"/>
      <c r="AD454" s="113"/>
      <c r="AE454" s="113"/>
      <c r="AF454" s="113"/>
      <c r="AG454" s="113"/>
    </row>
    <row r="455" spans="1:33" ht="13.8">
      <c r="A455" s="113"/>
      <c r="B455" s="113"/>
      <c r="C455" s="113"/>
      <c r="D455" s="113"/>
      <c r="E455" s="113"/>
      <c r="F455" s="113"/>
      <c r="G455" s="113"/>
      <c r="H455" s="113"/>
      <c r="I455" s="113"/>
      <c r="J455" s="113"/>
      <c r="K455" s="113"/>
      <c r="L455" s="113"/>
      <c r="M455" s="113"/>
      <c r="N455" s="113"/>
      <c r="O455" s="113"/>
      <c r="P455" s="113"/>
      <c r="Q455" s="113"/>
      <c r="R455" s="113"/>
      <c r="S455" s="113"/>
      <c r="T455" s="113"/>
      <c r="U455" s="113"/>
      <c r="V455" s="113"/>
      <c r="W455" s="113"/>
      <c r="X455" s="113"/>
      <c r="Y455" s="113"/>
      <c r="Z455" s="113"/>
      <c r="AA455" s="113"/>
      <c r="AB455" s="113"/>
      <c r="AC455" s="113"/>
      <c r="AD455" s="113"/>
      <c r="AE455" s="113"/>
      <c r="AF455" s="113"/>
      <c r="AG455" s="113"/>
    </row>
    <row r="456" spans="1:33" ht="13.8">
      <c r="A456" s="113"/>
      <c r="B456" s="113"/>
      <c r="C456" s="113"/>
      <c r="D456" s="113"/>
      <c r="E456" s="113"/>
      <c r="F456" s="113"/>
      <c r="G456" s="113"/>
      <c r="H456" s="113"/>
      <c r="I456" s="113"/>
      <c r="J456" s="113"/>
      <c r="K456" s="113"/>
      <c r="L456" s="113"/>
      <c r="M456" s="113"/>
      <c r="N456" s="113"/>
      <c r="O456" s="113"/>
      <c r="P456" s="113"/>
      <c r="Q456" s="113"/>
      <c r="R456" s="113"/>
      <c r="S456" s="113"/>
      <c r="T456" s="113"/>
      <c r="U456" s="113"/>
      <c r="V456" s="113"/>
      <c r="W456" s="113"/>
      <c r="X456" s="113"/>
      <c r="Y456" s="113"/>
      <c r="Z456" s="113"/>
      <c r="AA456" s="113"/>
      <c r="AB456" s="113"/>
      <c r="AC456" s="113"/>
      <c r="AD456" s="113"/>
      <c r="AE456" s="113"/>
      <c r="AF456" s="113"/>
      <c r="AG456" s="113"/>
    </row>
    <row r="457" spans="1:33" ht="13.8">
      <c r="A457" s="113"/>
      <c r="B457" s="113"/>
      <c r="C457" s="113"/>
      <c r="D457" s="113"/>
      <c r="E457" s="113"/>
      <c r="F457" s="113"/>
      <c r="G457" s="113"/>
      <c r="H457" s="113"/>
      <c r="I457" s="113"/>
      <c r="J457" s="113"/>
      <c r="K457" s="113"/>
      <c r="L457" s="113"/>
      <c r="M457" s="113"/>
      <c r="N457" s="113"/>
      <c r="O457" s="113"/>
      <c r="P457" s="113"/>
      <c r="Q457" s="113"/>
      <c r="R457" s="113"/>
      <c r="S457" s="113"/>
      <c r="T457" s="113"/>
      <c r="U457" s="113"/>
      <c r="V457" s="113"/>
      <c r="W457" s="113"/>
      <c r="X457" s="113"/>
      <c r="Y457" s="113"/>
      <c r="Z457" s="113"/>
      <c r="AA457" s="113"/>
      <c r="AB457" s="113"/>
      <c r="AC457" s="113"/>
      <c r="AD457" s="113"/>
      <c r="AE457" s="113"/>
      <c r="AF457" s="113"/>
      <c r="AG457" s="113"/>
    </row>
    <row r="458" spans="1:33" ht="13.8">
      <c r="A458" s="113"/>
      <c r="B458" s="113"/>
      <c r="C458" s="113"/>
      <c r="D458" s="113"/>
      <c r="E458" s="113"/>
      <c r="F458" s="113"/>
      <c r="G458" s="113"/>
      <c r="H458" s="113"/>
      <c r="I458" s="113"/>
      <c r="J458" s="113"/>
      <c r="K458" s="113"/>
      <c r="L458" s="113"/>
      <c r="M458" s="113"/>
      <c r="N458" s="113"/>
      <c r="O458" s="113"/>
      <c r="P458" s="113"/>
      <c r="Q458" s="113"/>
      <c r="R458" s="113"/>
      <c r="S458" s="113"/>
      <c r="T458" s="113"/>
      <c r="U458" s="113"/>
      <c r="V458" s="113"/>
      <c r="W458" s="113"/>
      <c r="X458" s="113"/>
      <c r="Y458" s="113"/>
      <c r="Z458" s="113"/>
      <c r="AA458" s="113"/>
      <c r="AB458" s="113"/>
      <c r="AC458" s="113"/>
      <c r="AD458" s="113"/>
      <c r="AE458" s="113"/>
      <c r="AF458" s="113"/>
      <c r="AG458" s="113"/>
    </row>
    <row r="459" spans="1:33" ht="13.8">
      <c r="A459" s="113"/>
      <c r="B459" s="113"/>
      <c r="C459" s="113"/>
      <c r="D459" s="113"/>
      <c r="E459" s="113"/>
      <c r="F459" s="113"/>
      <c r="G459" s="113"/>
      <c r="H459" s="113"/>
      <c r="I459" s="113"/>
      <c r="J459" s="113"/>
      <c r="K459" s="113"/>
      <c r="L459" s="113"/>
      <c r="M459" s="113"/>
      <c r="N459" s="113"/>
      <c r="O459" s="113"/>
      <c r="P459" s="113"/>
      <c r="Q459" s="113"/>
      <c r="R459" s="113"/>
      <c r="S459" s="113"/>
      <c r="T459" s="113"/>
      <c r="U459" s="113"/>
      <c r="V459" s="113"/>
      <c r="W459" s="113"/>
      <c r="X459" s="113"/>
      <c r="Y459" s="113"/>
      <c r="Z459" s="113"/>
      <c r="AA459" s="113"/>
      <c r="AB459" s="113"/>
      <c r="AC459" s="113"/>
      <c r="AD459" s="113"/>
      <c r="AE459" s="113"/>
      <c r="AF459" s="113"/>
      <c r="AG459" s="113"/>
    </row>
    <row r="460" spans="1:33" ht="13.8">
      <c r="A460" s="113"/>
      <c r="B460" s="113"/>
      <c r="C460" s="113"/>
      <c r="D460" s="113"/>
      <c r="E460" s="113"/>
      <c r="F460" s="113"/>
      <c r="G460" s="113"/>
      <c r="H460" s="113"/>
      <c r="I460" s="113"/>
      <c r="J460" s="113"/>
      <c r="K460" s="113"/>
      <c r="L460" s="113"/>
      <c r="M460" s="113"/>
      <c r="N460" s="113"/>
      <c r="O460" s="113"/>
      <c r="P460" s="113"/>
      <c r="Q460" s="113"/>
      <c r="R460" s="113"/>
      <c r="S460" s="113"/>
      <c r="T460" s="113"/>
      <c r="U460" s="113"/>
      <c r="V460" s="113"/>
      <c r="W460" s="113"/>
      <c r="X460" s="113"/>
      <c r="Y460" s="113"/>
      <c r="Z460" s="113"/>
      <c r="AA460" s="113"/>
      <c r="AB460" s="113"/>
      <c r="AC460" s="113"/>
      <c r="AD460" s="113"/>
      <c r="AE460" s="113"/>
      <c r="AF460" s="113"/>
      <c r="AG460" s="113"/>
    </row>
    <row r="461" spans="1:33" ht="13.8">
      <c r="A461" s="113"/>
      <c r="B461" s="113"/>
      <c r="C461" s="113"/>
      <c r="D461" s="113"/>
      <c r="E461" s="113"/>
      <c r="F461" s="113"/>
      <c r="G461" s="113"/>
      <c r="H461" s="113"/>
      <c r="I461" s="113"/>
      <c r="J461" s="113"/>
      <c r="K461" s="113"/>
      <c r="L461" s="113"/>
      <c r="M461" s="113"/>
      <c r="N461" s="113"/>
      <c r="O461" s="113"/>
      <c r="P461" s="113"/>
      <c r="Q461" s="113"/>
      <c r="R461" s="113"/>
      <c r="S461" s="113"/>
      <c r="T461" s="113"/>
      <c r="U461" s="113"/>
      <c r="V461" s="113"/>
      <c r="W461" s="113"/>
      <c r="X461" s="113"/>
      <c r="Y461" s="113"/>
      <c r="Z461" s="113"/>
      <c r="AA461" s="113"/>
      <c r="AB461" s="113"/>
      <c r="AC461" s="113"/>
      <c r="AD461" s="113"/>
      <c r="AE461" s="113"/>
      <c r="AF461" s="113"/>
      <c r="AG461" s="113"/>
    </row>
    <row r="462" spans="1:33" ht="13.8">
      <c r="A462" s="113"/>
      <c r="B462" s="113"/>
      <c r="C462" s="113"/>
      <c r="D462" s="113"/>
      <c r="E462" s="113"/>
      <c r="F462" s="113"/>
      <c r="G462" s="113"/>
      <c r="H462" s="113"/>
      <c r="I462" s="113"/>
      <c r="J462" s="113"/>
      <c r="K462" s="113"/>
      <c r="L462" s="113"/>
      <c r="M462" s="113"/>
      <c r="N462" s="113"/>
      <c r="O462" s="113"/>
      <c r="P462" s="113"/>
      <c r="Q462" s="113"/>
      <c r="R462" s="113"/>
      <c r="S462" s="113"/>
      <c r="T462" s="113"/>
      <c r="U462" s="113"/>
      <c r="V462" s="113"/>
      <c r="W462" s="113"/>
      <c r="X462" s="113"/>
      <c r="Y462" s="113"/>
      <c r="Z462" s="113"/>
      <c r="AA462" s="113"/>
      <c r="AB462" s="113"/>
      <c r="AC462" s="113"/>
      <c r="AD462" s="113"/>
      <c r="AE462" s="113"/>
      <c r="AF462" s="113"/>
      <c r="AG462" s="113"/>
    </row>
    <row r="463" spans="1:33" ht="13.8">
      <c r="A463" s="113"/>
      <c r="B463" s="113"/>
      <c r="C463" s="113"/>
      <c r="D463" s="113"/>
      <c r="E463" s="113"/>
      <c r="F463" s="113"/>
      <c r="G463" s="113"/>
      <c r="H463" s="113"/>
      <c r="I463" s="113"/>
      <c r="J463" s="113"/>
      <c r="K463" s="113"/>
      <c r="L463" s="113"/>
      <c r="M463" s="113"/>
      <c r="N463" s="113"/>
      <c r="O463" s="113"/>
      <c r="P463" s="113"/>
      <c r="Q463" s="113"/>
      <c r="R463" s="113"/>
      <c r="S463" s="113"/>
      <c r="T463" s="113"/>
      <c r="U463" s="113"/>
      <c r="V463" s="113"/>
      <c r="W463" s="113"/>
      <c r="X463" s="113"/>
      <c r="Y463" s="113"/>
      <c r="Z463" s="113"/>
      <c r="AA463" s="113"/>
      <c r="AB463" s="113"/>
      <c r="AC463" s="113"/>
      <c r="AD463" s="113"/>
      <c r="AE463" s="113"/>
      <c r="AF463" s="113"/>
      <c r="AG463" s="113"/>
    </row>
    <row r="464" spans="1:33" ht="13.8">
      <c r="A464" s="113"/>
      <c r="B464" s="113"/>
      <c r="C464" s="113"/>
      <c r="D464" s="113"/>
      <c r="E464" s="113"/>
      <c r="F464" s="113"/>
      <c r="G464" s="113"/>
      <c r="H464" s="113"/>
      <c r="I464" s="113"/>
      <c r="J464" s="113"/>
      <c r="K464" s="113"/>
      <c r="L464" s="113"/>
      <c r="M464" s="113"/>
      <c r="N464" s="113"/>
      <c r="O464" s="113"/>
      <c r="P464" s="113"/>
      <c r="Q464" s="113"/>
      <c r="R464" s="113"/>
      <c r="S464" s="113"/>
      <c r="T464" s="113"/>
      <c r="U464" s="113"/>
      <c r="V464" s="113"/>
      <c r="W464" s="113"/>
      <c r="X464" s="113"/>
      <c r="Y464" s="113"/>
      <c r="Z464" s="113"/>
      <c r="AA464" s="113"/>
      <c r="AB464" s="113"/>
      <c r="AC464" s="113"/>
      <c r="AD464" s="113"/>
      <c r="AE464" s="113"/>
      <c r="AF464" s="113"/>
      <c r="AG464" s="113"/>
    </row>
    <row r="465" spans="1:33" ht="13.8">
      <c r="A465" s="113"/>
      <c r="B465" s="113"/>
      <c r="C465" s="113"/>
      <c r="D465" s="113"/>
      <c r="E465" s="113"/>
      <c r="F465" s="113"/>
      <c r="G465" s="113"/>
      <c r="H465" s="113"/>
      <c r="I465" s="113"/>
      <c r="J465" s="113"/>
      <c r="K465" s="113"/>
      <c r="L465" s="113"/>
      <c r="M465" s="113"/>
      <c r="N465" s="113"/>
      <c r="O465" s="113"/>
      <c r="P465" s="113"/>
      <c r="Q465" s="113"/>
      <c r="R465" s="113"/>
      <c r="S465" s="113"/>
      <c r="T465" s="113"/>
      <c r="U465" s="113"/>
      <c r="V465" s="113"/>
      <c r="W465" s="113"/>
      <c r="X465" s="113"/>
      <c r="Y465" s="113"/>
      <c r="Z465" s="113"/>
      <c r="AA465" s="113"/>
      <c r="AB465" s="113"/>
      <c r="AC465" s="113"/>
      <c r="AD465" s="113"/>
      <c r="AE465" s="113"/>
      <c r="AF465" s="113"/>
      <c r="AG465" s="113"/>
    </row>
    <row r="466" spans="1:33" ht="13.8">
      <c r="A466" s="113"/>
      <c r="B466" s="113"/>
      <c r="C466" s="113"/>
      <c r="D466" s="113"/>
      <c r="E466" s="113"/>
      <c r="F466" s="113"/>
      <c r="G466" s="113"/>
      <c r="H466" s="113"/>
      <c r="I466" s="113"/>
      <c r="J466" s="113"/>
      <c r="K466" s="113"/>
      <c r="L466" s="113"/>
      <c r="M466" s="113"/>
      <c r="N466" s="113"/>
      <c r="O466" s="113"/>
      <c r="P466" s="113"/>
      <c r="Q466" s="113"/>
      <c r="R466" s="113"/>
      <c r="S466" s="113"/>
      <c r="T466" s="113"/>
      <c r="U466" s="113"/>
      <c r="V466" s="113"/>
      <c r="W466" s="113"/>
      <c r="X466" s="113"/>
      <c r="Y466" s="113"/>
      <c r="Z466" s="113"/>
      <c r="AA466" s="113"/>
      <c r="AB466" s="113"/>
      <c r="AC466" s="113"/>
      <c r="AD466" s="113"/>
      <c r="AE466" s="113"/>
      <c r="AF466" s="113"/>
      <c r="AG466" s="113"/>
    </row>
    <row r="467" spans="1:33" ht="13.8">
      <c r="A467" s="113"/>
      <c r="B467" s="113"/>
      <c r="C467" s="113"/>
      <c r="D467" s="113"/>
      <c r="E467" s="113"/>
      <c r="F467" s="113"/>
      <c r="G467" s="113"/>
      <c r="H467" s="113"/>
      <c r="I467" s="113"/>
      <c r="J467" s="113"/>
      <c r="K467" s="113"/>
      <c r="L467" s="113"/>
      <c r="M467" s="113"/>
      <c r="N467" s="113"/>
      <c r="O467" s="113"/>
      <c r="P467" s="113"/>
      <c r="Q467" s="113"/>
      <c r="R467" s="113"/>
      <c r="S467" s="113"/>
      <c r="T467" s="113"/>
      <c r="U467" s="113"/>
      <c r="V467" s="113"/>
      <c r="W467" s="113"/>
      <c r="X467" s="113"/>
      <c r="Y467" s="113"/>
      <c r="Z467" s="113"/>
      <c r="AA467" s="113"/>
      <c r="AB467" s="113"/>
      <c r="AC467" s="113"/>
      <c r="AD467" s="113"/>
      <c r="AE467" s="113"/>
      <c r="AF467" s="113"/>
      <c r="AG467" s="113"/>
    </row>
    <row r="468" spans="1:33" ht="13.8">
      <c r="A468" s="113"/>
      <c r="B468" s="113"/>
      <c r="C468" s="113"/>
      <c r="D468" s="113"/>
      <c r="E468" s="113"/>
      <c r="F468" s="113"/>
      <c r="G468" s="113"/>
      <c r="H468" s="113"/>
      <c r="I468" s="113"/>
      <c r="J468" s="113"/>
      <c r="K468" s="113"/>
      <c r="L468" s="113"/>
      <c r="M468" s="113"/>
      <c r="N468" s="113"/>
      <c r="O468" s="113"/>
      <c r="P468" s="113"/>
      <c r="Q468" s="113"/>
      <c r="R468" s="113"/>
      <c r="S468" s="113"/>
      <c r="T468" s="113"/>
      <c r="U468" s="113"/>
      <c r="V468" s="113"/>
      <c r="W468" s="113"/>
      <c r="X468" s="113"/>
      <c r="Y468" s="113"/>
      <c r="Z468" s="113"/>
      <c r="AA468" s="113"/>
      <c r="AB468" s="113"/>
      <c r="AC468" s="113"/>
      <c r="AD468" s="113"/>
      <c r="AE468" s="113"/>
      <c r="AF468" s="113"/>
      <c r="AG468" s="113"/>
    </row>
    <row r="469" spans="1:33" ht="13.8">
      <c r="A469" s="113"/>
      <c r="B469" s="113"/>
      <c r="C469" s="113"/>
      <c r="D469" s="113"/>
      <c r="E469" s="113"/>
      <c r="F469" s="113"/>
      <c r="G469" s="113"/>
      <c r="H469" s="113"/>
      <c r="I469" s="113"/>
      <c r="J469" s="113"/>
      <c r="K469" s="113"/>
      <c r="L469" s="113"/>
      <c r="M469" s="113"/>
      <c r="N469" s="113"/>
      <c r="O469" s="113"/>
      <c r="P469" s="113"/>
      <c r="Q469" s="113"/>
      <c r="R469" s="113"/>
      <c r="S469" s="113"/>
      <c r="T469" s="113"/>
      <c r="U469" s="113"/>
      <c r="V469" s="113"/>
      <c r="W469" s="113"/>
      <c r="X469" s="113"/>
      <c r="Y469" s="113"/>
      <c r="Z469" s="113"/>
      <c r="AA469" s="113"/>
      <c r="AB469" s="113"/>
      <c r="AC469" s="113"/>
      <c r="AD469" s="113"/>
      <c r="AE469" s="113"/>
      <c r="AF469" s="113"/>
      <c r="AG469" s="113"/>
    </row>
    <row r="470" spans="1:33" ht="13.8">
      <c r="A470" s="113"/>
      <c r="B470" s="113"/>
      <c r="C470" s="113"/>
      <c r="D470" s="113"/>
      <c r="E470" s="113"/>
      <c r="F470" s="113"/>
      <c r="G470" s="113"/>
      <c r="H470" s="113"/>
      <c r="I470" s="113"/>
      <c r="J470" s="113"/>
      <c r="K470" s="113"/>
      <c r="L470" s="113"/>
      <c r="M470" s="113"/>
      <c r="N470" s="113"/>
      <c r="O470" s="113"/>
      <c r="P470" s="113"/>
      <c r="Q470" s="113"/>
      <c r="R470" s="113"/>
      <c r="S470" s="113"/>
      <c r="T470" s="113"/>
      <c r="U470" s="113"/>
      <c r="V470" s="113"/>
      <c r="W470" s="113"/>
      <c r="X470" s="113"/>
      <c r="Y470" s="113"/>
      <c r="Z470" s="113"/>
      <c r="AA470" s="113"/>
      <c r="AB470" s="113"/>
      <c r="AC470" s="113"/>
      <c r="AD470" s="113"/>
      <c r="AE470" s="113"/>
      <c r="AF470" s="113"/>
      <c r="AG470" s="113"/>
    </row>
    <row r="471" spans="1:33" ht="13.8">
      <c r="A471" s="113"/>
      <c r="B471" s="113"/>
      <c r="C471" s="113"/>
      <c r="D471" s="113"/>
      <c r="E471" s="113"/>
      <c r="F471" s="113"/>
      <c r="G471" s="113"/>
      <c r="H471" s="113"/>
      <c r="I471" s="113"/>
      <c r="J471" s="113"/>
      <c r="K471" s="113"/>
      <c r="L471" s="113"/>
      <c r="M471" s="113"/>
      <c r="N471" s="113"/>
      <c r="O471" s="113"/>
      <c r="P471" s="113"/>
      <c r="Q471" s="113"/>
      <c r="R471" s="113"/>
      <c r="S471" s="113"/>
      <c r="T471" s="113"/>
      <c r="U471" s="113"/>
      <c r="V471" s="113"/>
      <c r="W471" s="113"/>
      <c r="X471" s="113"/>
      <c r="Y471" s="113"/>
      <c r="Z471" s="113"/>
      <c r="AA471" s="113"/>
      <c r="AB471" s="113"/>
      <c r="AC471" s="113"/>
      <c r="AD471" s="113"/>
      <c r="AE471" s="113"/>
      <c r="AF471" s="113"/>
      <c r="AG471" s="113"/>
    </row>
    <row r="472" spans="1:33" ht="13.8">
      <c r="A472" s="113"/>
      <c r="B472" s="113"/>
      <c r="C472" s="113"/>
      <c r="D472" s="113"/>
      <c r="E472" s="113"/>
      <c r="F472" s="113"/>
      <c r="G472" s="113"/>
      <c r="H472" s="113"/>
      <c r="I472" s="113"/>
      <c r="J472" s="113"/>
      <c r="K472" s="113"/>
      <c r="L472" s="113"/>
      <c r="M472" s="113"/>
      <c r="N472" s="113"/>
      <c r="O472" s="113"/>
      <c r="P472" s="113"/>
      <c r="Q472" s="113"/>
      <c r="R472" s="113"/>
      <c r="S472" s="113"/>
      <c r="T472" s="113"/>
      <c r="U472" s="113"/>
      <c r="V472" s="113"/>
      <c r="W472" s="113"/>
      <c r="X472" s="113"/>
      <c r="Y472" s="113"/>
      <c r="Z472" s="113"/>
      <c r="AA472" s="113"/>
      <c r="AB472" s="113"/>
      <c r="AC472" s="113"/>
      <c r="AD472" s="113"/>
      <c r="AE472" s="113"/>
      <c r="AF472" s="113"/>
      <c r="AG472" s="113"/>
    </row>
    <row r="473" spans="1:33" ht="13.8">
      <c r="A473" s="113"/>
      <c r="B473" s="113"/>
      <c r="C473" s="113"/>
      <c r="D473" s="113"/>
      <c r="E473" s="113"/>
      <c r="F473" s="113"/>
      <c r="G473" s="113"/>
      <c r="H473" s="113"/>
      <c r="I473" s="113"/>
      <c r="J473" s="113"/>
      <c r="K473" s="113"/>
      <c r="L473" s="113"/>
      <c r="M473" s="113"/>
      <c r="N473" s="113"/>
      <c r="O473" s="113"/>
      <c r="P473" s="113"/>
      <c r="Q473" s="113"/>
      <c r="R473" s="113"/>
      <c r="S473" s="113"/>
      <c r="T473" s="113"/>
      <c r="U473" s="113"/>
      <c r="V473" s="113"/>
      <c r="W473" s="113"/>
      <c r="X473" s="113"/>
      <c r="Y473" s="113"/>
      <c r="Z473" s="113"/>
      <c r="AA473" s="113"/>
      <c r="AB473" s="113"/>
      <c r="AC473" s="113"/>
      <c r="AD473" s="113"/>
      <c r="AE473" s="113"/>
      <c r="AF473" s="113"/>
      <c r="AG473" s="113"/>
    </row>
    <row r="474" spans="1:33" ht="13.8">
      <c r="A474" s="113"/>
      <c r="B474" s="113"/>
      <c r="C474" s="113"/>
      <c r="D474" s="113"/>
      <c r="E474" s="113"/>
      <c r="F474" s="113"/>
      <c r="G474" s="113"/>
      <c r="H474" s="113"/>
      <c r="I474" s="113"/>
      <c r="J474" s="113"/>
      <c r="K474" s="113"/>
      <c r="L474" s="113"/>
      <c r="M474" s="113"/>
      <c r="N474" s="113"/>
      <c r="O474" s="113"/>
      <c r="P474" s="113"/>
      <c r="Q474" s="113"/>
      <c r="R474" s="113"/>
      <c r="S474" s="113"/>
      <c r="T474" s="113"/>
      <c r="U474" s="113"/>
      <c r="V474" s="113"/>
      <c r="W474" s="113"/>
      <c r="X474" s="113"/>
      <c r="Y474" s="113"/>
      <c r="Z474" s="113"/>
      <c r="AA474" s="113"/>
      <c r="AB474" s="113"/>
      <c r="AC474" s="113"/>
      <c r="AD474" s="113"/>
      <c r="AE474" s="113"/>
      <c r="AF474" s="113"/>
      <c r="AG474" s="113"/>
    </row>
    <row r="475" spans="1:33" ht="13.8">
      <c r="A475" s="113"/>
      <c r="B475" s="113"/>
      <c r="C475" s="113"/>
      <c r="D475" s="113"/>
      <c r="E475" s="113"/>
      <c r="F475" s="113"/>
      <c r="G475" s="113"/>
      <c r="H475" s="113"/>
      <c r="I475" s="113"/>
      <c r="J475" s="113"/>
      <c r="K475" s="113"/>
      <c r="L475" s="113"/>
      <c r="M475" s="113"/>
      <c r="N475" s="113"/>
      <c r="O475" s="113"/>
      <c r="P475" s="113"/>
      <c r="Q475" s="113"/>
      <c r="R475" s="113"/>
      <c r="S475" s="113"/>
      <c r="T475" s="113"/>
      <c r="U475" s="113"/>
      <c r="V475" s="113"/>
      <c r="W475" s="113"/>
      <c r="X475" s="113"/>
      <c r="Y475" s="113"/>
      <c r="Z475" s="113"/>
      <c r="AA475" s="113"/>
      <c r="AB475" s="113"/>
      <c r="AC475" s="113"/>
      <c r="AD475" s="113"/>
      <c r="AE475" s="113"/>
      <c r="AF475" s="113"/>
      <c r="AG475" s="113"/>
    </row>
    <row r="476" spans="1:33" ht="13.8">
      <c r="A476" s="113"/>
      <c r="B476" s="113"/>
      <c r="C476" s="113"/>
      <c r="D476" s="113"/>
      <c r="E476" s="113"/>
      <c r="F476" s="113"/>
      <c r="G476" s="113"/>
      <c r="H476" s="113"/>
      <c r="I476" s="113"/>
      <c r="J476" s="113"/>
      <c r="K476" s="113"/>
      <c r="L476" s="113"/>
      <c r="M476" s="113"/>
      <c r="N476" s="113"/>
      <c r="O476" s="113"/>
      <c r="P476" s="113"/>
      <c r="Q476" s="113"/>
      <c r="R476" s="113"/>
      <c r="S476" s="113"/>
      <c r="T476" s="113"/>
      <c r="U476" s="113"/>
      <c r="V476" s="113"/>
      <c r="W476" s="113"/>
      <c r="X476" s="113"/>
      <c r="Y476" s="113"/>
      <c r="Z476" s="113"/>
      <c r="AA476" s="113"/>
      <c r="AB476" s="113"/>
      <c r="AC476" s="113"/>
      <c r="AD476" s="113"/>
      <c r="AE476" s="113"/>
      <c r="AF476" s="113"/>
      <c r="AG476" s="113"/>
    </row>
    <row r="477" spans="1:33" ht="13.8">
      <c r="A477" s="113"/>
      <c r="B477" s="113"/>
      <c r="C477" s="113"/>
      <c r="D477" s="113"/>
      <c r="E477" s="113"/>
      <c r="F477" s="113"/>
      <c r="G477" s="113"/>
      <c r="H477" s="113"/>
      <c r="I477" s="113"/>
      <c r="J477" s="113"/>
      <c r="K477" s="113"/>
      <c r="L477" s="113"/>
      <c r="M477" s="113"/>
      <c r="N477" s="113"/>
      <c r="O477" s="113"/>
      <c r="P477" s="113"/>
      <c r="Q477" s="113"/>
      <c r="R477" s="113"/>
      <c r="S477" s="113"/>
      <c r="T477" s="113"/>
      <c r="U477" s="113"/>
      <c r="V477" s="113"/>
      <c r="W477" s="113"/>
      <c r="X477" s="113"/>
      <c r="Y477" s="113"/>
      <c r="Z477" s="113"/>
      <c r="AA477" s="113"/>
      <c r="AB477" s="113"/>
      <c r="AC477" s="113"/>
      <c r="AD477" s="113"/>
      <c r="AE477" s="113"/>
      <c r="AF477" s="113"/>
      <c r="AG477" s="113"/>
    </row>
    <row r="478" spans="1:33" ht="13.8">
      <c r="A478" s="113"/>
      <c r="B478" s="113"/>
      <c r="C478" s="113"/>
      <c r="D478" s="113"/>
      <c r="E478" s="113"/>
      <c r="F478" s="113"/>
      <c r="G478" s="113"/>
      <c r="H478" s="113"/>
      <c r="I478" s="113"/>
      <c r="J478" s="113"/>
      <c r="K478" s="113"/>
      <c r="L478" s="113"/>
      <c r="M478" s="113"/>
      <c r="N478" s="113"/>
      <c r="O478" s="113"/>
      <c r="P478" s="113"/>
      <c r="Q478" s="113"/>
      <c r="R478" s="113"/>
      <c r="S478" s="113"/>
      <c r="T478" s="113"/>
      <c r="U478" s="113"/>
      <c r="V478" s="113"/>
      <c r="W478" s="113"/>
      <c r="X478" s="113"/>
      <c r="Y478" s="113"/>
      <c r="Z478" s="113"/>
      <c r="AA478" s="113"/>
      <c r="AB478" s="113"/>
      <c r="AC478" s="113"/>
      <c r="AD478" s="113"/>
      <c r="AE478" s="113"/>
      <c r="AF478" s="113"/>
      <c r="AG478" s="113"/>
    </row>
    <row r="479" spans="1:33" ht="13.8">
      <c r="A479" s="113"/>
      <c r="B479" s="113"/>
      <c r="C479" s="113"/>
      <c r="D479" s="113"/>
      <c r="E479" s="113"/>
      <c r="F479" s="113"/>
      <c r="G479" s="113"/>
      <c r="H479" s="113"/>
      <c r="I479" s="113"/>
      <c r="J479" s="113"/>
      <c r="K479" s="113"/>
      <c r="L479" s="113"/>
      <c r="M479" s="113"/>
      <c r="N479" s="113"/>
      <c r="O479" s="113"/>
      <c r="P479" s="113"/>
      <c r="Q479" s="113"/>
      <c r="R479" s="113"/>
      <c r="S479" s="113"/>
      <c r="T479" s="113"/>
      <c r="U479" s="113"/>
      <c r="V479" s="113"/>
      <c r="W479" s="113"/>
      <c r="X479" s="113"/>
      <c r="Y479" s="113"/>
      <c r="Z479" s="113"/>
      <c r="AA479" s="113"/>
      <c r="AB479" s="113"/>
      <c r="AC479" s="113"/>
      <c r="AD479" s="113"/>
      <c r="AE479" s="113"/>
      <c r="AF479" s="113"/>
      <c r="AG479" s="113"/>
    </row>
    <row r="480" spans="1:33" ht="13.8">
      <c r="A480" s="113"/>
      <c r="B480" s="113"/>
      <c r="C480" s="113"/>
      <c r="D480" s="113"/>
      <c r="E480" s="113"/>
      <c r="F480" s="113"/>
      <c r="G480" s="113"/>
      <c r="H480" s="113"/>
      <c r="I480" s="113"/>
      <c r="J480" s="113"/>
      <c r="K480" s="113"/>
      <c r="L480" s="113"/>
      <c r="M480" s="113"/>
      <c r="N480" s="113"/>
      <c r="O480" s="113"/>
      <c r="P480" s="113"/>
      <c r="Q480" s="113"/>
      <c r="R480" s="113"/>
      <c r="S480" s="113"/>
      <c r="T480" s="113"/>
      <c r="U480" s="113"/>
      <c r="V480" s="113"/>
      <c r="W480" s="113"/>
      <c r="X480" s="113"/>
      <c r="Y480" s="113"/>
      <c r="Z480" s="113"/>
      <c r="AA480" s="113"/>
      <c r="AB480" s="113"/>
      <c r="AC480" s="113"/>
      <c r="AD480" s="113"/>
      <c r="AE480" s="113"/>
      <c r="AF480" s="113"/>
      <c r="AG480" s="113"/>
    </row>
    <row r="481" spans="1:33" ht="13.8">
      <c r="A481" s="113"/>
      <c r="B481" s="113"/>
      <c r="C481" s="113"/>
      <c r="D481" s="113"/>
      <c r="E481" s="113"/>
      <c r="F481" s="113"/>
      <c r="G481" s="113"/>
      <c r="H481" s="113"/>
      <c r="I481" s="113"/>
      <c r="J481" s="113"/>
      <c r="K481" s="113"/>
      <c r="L481" s="113"/>
      <c r="M481" s="113"/>
      <c r="N481" s="113"/>
      <c r="O481" s="113"/>
      <c r="P481" s="113"/>
      <c r="Q481" s="113"/>
      <c r="R481" s="113"/>
      <c r="S481" s="113"/>
      <c r="T481" s="113"/>
      <c r="U481" s="113"/>
      <c r="V481" s="113"/>
      <c r="W481" s="113"/>
      <c r="X481" s="113"/>
      <c r="Y481" s="113"/>
      <c r="Z481" s="113"/>
      <c r="AA481" s="113"/>
      <c r="AB481" s="113"/>
      <c r="AC481" s="113"/>
      <c r="AD481" s="113"/>
      <c r="AE481" s="113"/>
      <c r="AF481" s="113"/>
      <c r="AG481" s="113"/>
    </row>
    <row r="482" spans="1:33" ht="13.8">
      <c r="A482" s="113"/>
      <c r="B482" s="113"/>
      <c r="C482" s="113"/>
      <c r="D482" s="113"/>
      <c r="E482" s="113"/>
      <c r="F482" s="113"/>
      <c r="G482" s="113"/>
      <c r="H482" s="113"/>
      <c r="I482" s="113"/>
      <c r="J482" s="113"/>
      <c r="K482" s="113"/>
      <c r="L482" s="113"/>
      <c r="M482" s="113"/>
      <c r="N482" s="113"/>
      <c r="O482" s="113"/>
      <c r="P482" s="113"/>
      <c r="Q482" s="113"/>
      <c r="R482" s="113"/>
      <c r="S482" s="113"/>
      <c r="T482" s="113"/>
      <c r="U482" s="113"/>
      <c r="V482" s="113"/>
      <c r="W482" s="113"/>
      <c r="X482" s="113"/>
      <c r="Y482" s="113"/>
      <c r="Z482" s="113"/>
      <c r="AA482" s="113"/>
      <c r="AB482" s="113"/>
      <c r="AC482" s="113"/>
      <c r="AD482" s="113"/>
      <c r="AE482" s="113"/>
      <c r="AF482" s="113"/>
      <c r="AG482" s="113"/>
    </row>
    <row r="483" spans="1:33" ht="13.8">
      <c r="A483" s="113"/>
      <c r="B483" s="113"/>
      <c r="C483" s="113"/>
      <c r="D483" s="113"/>
      <c r="E483" s="113"/>
      <c r="F483" s="113"/>
      <c r="G483" s="113"/>
      <c r="H483" s="113"/>
      <c r="I483" s="113"/>
      <c r="J483" s="113"/>
      <c r="K483" s="113"/>
      <c r="L483" s="113"/>
      <c r="M483" s="113"/>
      <c r="N483" s="113"/>
      <c r="O483" s="113"/>
      <c r="P483" s="113"/>
      <c r="Q483" s="113"/>
      <c r="R483" s="113"/>
      <c r="S483" s="113"/>
      <c r="T483" s="113"/>
      <c r="U483" s="113"/>
      <c r="V483" s="113"/>
      <c r="W483" s="113"/>
      <c r="X483" s="113"/>
      <c r="Y483" s="113"/>
      <c r="Z483" s="113"/>
      <c r="AA483" s="113"/>
      <c r="AB483" s="113"/>
      <c r="AC483" s="113"/>
      <c r="AD483" s="113"/>
      <c r="AE483" s="113"/>
      <c r="AF483" s="113"/>
      <c r="AG483" s="113"/>
    </row>
    <row r="484" spans="1:33" ht="13.8">
      <c r="A484" s="113"/>
      <c r="B484" s="113"/>
      <c r="C484" s="113"/>
      <c r="D484" s="113"/>
      <c r="E484" s="113"/>
      <c r="F484" s="113"/>
      <c r="G484" s="113"/>
      <c r="H484" s="113"/>
      <c r="I484" s="113"/>
      <c r="J484" s="113"/>
      <c r="K484" s="113"/>
      <c r="L484" s="113"/>
      <c r="M484" s="113"/>
      <c r="N484" s="113"/>
      <c r="O484" s="113"/>
      <c r="P484" s="113"/>
      <c r="Q484" s="113"/>
      <c r="R484" s="113"/>
      <c r="S484" s="113"/>
      <c r="T484" s="113"/>
      <c r="U484" s="113"/>
      <c r="V484" s="113"/>
      <c r="W484" s="113"/>
      <c r="X484" s="113"/>
      <c r="Y484" s="113"/>
      <c r="Z484" s="113"/>
      <c r="AA484" s="113"/>
      <c r="AB484" s="113"/>
      <c r="AC484" s="113"/>
      <c r="AD484" s="113"/>
      <c r="AE484" s="113"/>
      <c r="AF484" s="113"/>
      <c r="AG484" s="113"/>
    </row>
    <row r="485" spans="1:33" ht="13.8">
      <c r="A485" s="113"/>
      <c r="B485" s="113"/>
      <c r="C485" s="113"/>
      <c r="D485" s="113"/>
      <c r="E485" s="113"/>
      <c r="F485" s="113"/>
      <c r="G485" s="113"/>
      <c r="H485" s="113"/>
      <c r="I485" s="113"/>
      <c r="J485" s="113"/>
      <c r="K485" s="113"/>
      <c r="L485" s="113"/>
      <c r="M485" s="113"/>
      <c r="N485" s="113"/>
      <c r="O485" s="113"/>
      <c r="P485" s="113"/>
      <c r="Q485" s="113"/>
      <c r="R485" s="113"/>
      <c r="S485" s="113"/>
      <c r="T485" s="113"/>
      <c r="U485" s="113"/>
      <c r="V485" s="113"/>
      <c r="W485" s="113"/>
      <c r="X485" s="113"/>
      <c r="Y485" s="113"/>
      <c r="Z485" s="113"/>
      <c r="AA485" s="113"/>
      <c r="AB485" s="113"/>
      <c r="AC485" s="113"/>
      <c r="AD485" s="113"/>
      <c r="AE485" s="113"/>
      <c r="AF485" s="113"/>
      <c r="AG485" s="113"/>
    </row>
    <row r="486" spans="1:33" ht="13.8">
      <c r="A486" s="113"/>
      <c r="B486" s="113"/>
      <c r="C486" s="113"/>
      <c r="D486" s="113"/>
      <c r="E486" s="113"/>
      <c r="F486" s="113"/>
      <c r="G486" s="113"/>
      <c r="H486" s="113"/>
      <c r="I486" s="113"/>
      <c r="J486" s="113"/>
      <c r="K486" s="113"/>
      <c r="L486" s="113"/>
      <c r="M486" s="113"/>
      <c r="N486" s="113"/>
      <c r="O486" s="113"/>
      <c r="P486" s="113"/>
      <c r="Q486" s="113"/>
      <c r="R486" s="113"/>
      <c r="S486" s="113"/>
      <c r="T486" s="113"/>
      <c r="U486" s="113"/>
      <c r="V486" s="113"/>
      <c r="W486" s="113"/>
      <c r="X486" s="113"/>
      <c r="Y486" s="113"/>
      <c r="Z486" s="113"/>
      <c r="AA486" s="113"/>
      <c r="AB486" s="113"/>
      <c r="AC486" s="113"/>
      <c r="AD486" s="113"/>
      <c r="AE486" s="113"/>
      <c r="AF486" s="113"/>
      <c r="AG486" s="113"/>
    </row>
    <row r="487" spans="1:33" ht="13.8">
      <c r="A487" s="113"/>
      <c r="B487" s="113"/>
      <c r="C487" s="113"/>
      <c r="D487" s="113"/>
      <c r="E487" s="113"/>
      <c r="F487" s="113"/>
      <c r="G487" s="113"/>
      <c r="H487" s="113"/>
      <c r="I487" s="113"/>
      <c r="J487" s="113"/>
      <c r="K487" s="113"/>
      <c r="L487" s="113"/>
      <c r="M487" s="113"/>
      <c r="N487" s="113"/>
      <c r="O487" s="113"/>
      <c r="P487" s="113"/>
      <c r="Q487" s="113"/>
      <c r="R487" s="113"/>
      <c r="S487" s="113"/>
      <c r="T487" s="113"/>
      <c r="U487" s="113"/>
      <c r="V487" s="113"/>
      <c r="W487" s="113"/>
      <c r="X487" s="113"/>
      <c r="Y487" s="113"/>
      <c r="Z487" s="113"/>
      <c r="AA487" s="113"/>
      <c r="AB487" s="113"/>
      <c r="AC487" s="113"/>
      <c r="AD487" s="113"/>
      <c r="AE487" s="113"/>
      <c r="AF487" s="113"/>
      <c r="AG487" s="113"/>
    </row>
    <row r="488" spans="1:33" ht="13.8">
      <c r="A488" s="113"/>
      <c r="B488" s="113"/>
      <c r="C488" s="113"/>
      <c r="D488" s="113"/>
      <c r="E488" s="113"/>
      <c r="F488" s="113"/>
      <c r="G488" s="113"/>
      <c r="H488" s="113"/>
      <c r="I488" s="113"/>
      <c r="J488" s="113"/>
      <c r="K488" s="113"/>
      <c r="L488" s="113"/>
      <c r="M488" s="113"/>
      <c r="N488" s="113"/>
      <c r="O488" s="113"/>
      <c r="P488" s="113"/>
      <c r="Q488" s="113"/>
      <c r="R488" s="113"/>
      <c r="S488" s="113"/>
      <c r="T488" s="113"/>
      <c r="U488" s="113"/>
      <c r="V488" s="113"/>
      <c r="W488" s="113"/>
      <c r="X488" s="113"/>
      <c r="Y488" s="113"/>
      <c r="Z488" s="113"/>
      <c r="AA488" s="113"/>
      <c r="AB488" s="113"/>
      <c r="AC488" s="113"/>
      <c r="AD488" s="113"/>
      <c r="AE488" s="113"/>
      <c r="AF488" s="113"/>
      <c r="AG488" s="113"/>
    </row>
    <row r="489" spans="1:33" ht="13.8">
      <c r="A489" s="113"/>
      <c r="B489" s="113"/>
      <c r="C489" s="113"/>
      <c r="D489" s="113"/>
      <c r="E489" s="113"/>
      <c r="F489" s="113"/>
      <c r="G489" s="113"/>
      <c r="H489" s="113"/>
      <c r="I489" s="113"/>
      <c r="J489" s="113"/>
      <c r="K489" s="113"/>
      <c r="L489" s="113"/>
      <c r="M489" s="113"/>
      <c r="N489" s="113"/>
      <c r="O489" s="113"/>
      <c r="P489" s="113"/>
      <c r="Q489" s="113"/>
      <c r="R489" s="113"/>
      <c r="S489" s="113"/>
      <c r="T489" s="113"/>
      <c r="U489" s="113"/>
      <c r="V489" s="113"/>
      <c r="W489" s="113"/>
      <c r="X489" s="113"/>
      <c r="Y489" s="113"/>
      <c r="Z489" s="113"/>
      <c r="AA489" s="113"/>
      <c r="AB489" s="113"/>
      <c r="AC489" s="113"/>
      <c r="AD489" s="113"/>
      <c r="AE489" s="113"/>
      <c r="AF489" s="113"/>
      <c r="AG489" s="113"/>
    </row>
    <row r="490" spans="1:33" ht="13.8">
      <c r="A490" s="113"/>
      <c r="B490" s="113"/>
      <c r="C490" s="113"/>
      <c r="D490" s="113"/>
      <c r="E490" s="113"/>
      <c r="F490" s="113"/>
      <c r="G490" s="113"/>
      <c r="H490" s="113"/>
      <c r="I490" s="113"/>
      <c r="J490" s="113"/>
      <c r="K490" s="113"/>
      <c r="L490" s="113"/>
      <c r="M490" s="113"/>
      <c r="N490" s="113"/>
      <c r="O490" s="113"/>
      <c r="P490" s="113"/>
      <c r="Q490" s="113"/>
      <c r="R490" s="113"/>
      <c r="S490" s="113"/>
      <c r="T490" s="113"/>
      <c r="U490" s="113"/>
      <c r="V490" s="113"/>
      <c r="W490" s="113"/>
      <c r="X490" s="113"/>
      <c r="Y490" s="113"/>
      <c r="Z490" s="113"/>
      <c r="AA490" s="113"/>
      <c r="AB490" s="113"/>
      <c r="AC490" s="113"/>
      <c r="AD490" s="113"/>
      <c r="AE490" s="113"/>
      <c r="AF490" s="113"/>
      <c r="AG490" s="113"/>
    </row>
    <row r="491" spans="1:33" ht="13.8">
      <c r="A491" s="113"/>
      <c r="B491" s="113"/>
      <c r="C491" s="113"/>
      <c r="D491" s="113"/>
      <c r="E491" s="113"/>
      <c r="F491" s="113"/>
      <c r="G491" s="113"/>
      <c r="H491" s="113"/>
      <c r="I491" s="113"/>
      <c r="J491" s="113"/>
      <c r="K491" s="113"/>
      <c r="L491" s="113"/>
      <c r="M491" s="113"/>
      <c r="N491" s="113"/>
      <c r="O491" s="113"/>
      <c r="P491" s="113"/>
      <c r="Q491" s="113"/>
      <c r="R491" s="113"/>
      <c r="S491" s="113"/>
      <c r="T491" s="113"/>
      <c r="U491" s="113"/>
      <c r="V491" s="113"/>
      <c r="W491" s="113"/>
      <c r="X491" s="113"/>
      <c r="Y491" s="113"/>
      <c r="Z491" s="113"/>
      <c r="AA491" s="113"/>
      <c r="AB491" s="113"/>
      <c r="AC491" s="113"/>
      <c r="AD491" s="113"/>
      <c r="AE491" s="113"/>
      <c r="AF491" s="113"/>
      <c r="AG491" s="113"/>
    </row>
    <row r="492" spans="1:33" ht="13.8">
      <c r="A492" s="113"/>
      <c r="B492" s="113"/>
      <c r="C492" s="113"/>
      <c r="D492" s="113"/>
      <c r="E492" s="113"/>
      <c r="F492" s="113"/>
      <c r="G492" s="113"/>
      <c r="H492" s="113"/>
      <c r="I492" s="113"/>
      <c r="J492" s="113"/>
      <c r="K492" s="113"/>
      <c r="L492" s="113"/>
      <c r="M492" s="113"/>
      <c r="N492" s="113"/>
      <c r="O492" s="113"/>
      <c r="P492" s="113"/>
      <c r="Q492" s="113"/>
      <c r="R492" s="113"/>
      <c r="S492" s="113"/>
      <c r="T492" s="113"/>
      <c r="U492" s="113"/>
      <c r="V492" s="113"/>
      <c r="W492" s="113"/>
      <c r="X492" s="113"/>
      <c r="Y492" s="113"/>
      <c r="Z492" s="113"/>
      <c r="AA492" s="113"/>
      <c r="AB492" s="113"/>
      <c r="AC492" s="113"/>
      <c r="AD492" s="113"/>
      <c r="AE492" s="113"/>
      <c r="AF492" s="113"/>
      <c r="AG492" s="113"/>
    </row>
    <row r="493" spans="1:33" ht="13.8">
      <c r="A493" s="113"/>
      <c r="B493" s="113"/>
      <c r="C493" s="113"/>
      <c r="D493" s="113"/>
      <c r="E493" s="113"/>
      <c r="F493" s="113"/>
      <c r="G493" s="113"/>
      <c r="H493" s="113"/>
      <c r="I493" s="113"/>
      <c r="J493" s="113"/>
      <c r="K493" s="113"/>
      <c r="L493" s="113"/>
      <c r="M493" s="113"/>
      <c r="N493" s="113"/>
      <c r="O493" s="113"/>
      <c r="P493" s="113"/>
      <c r="Q493" s="113"/>
      <c r="R493" s="113"/>
      <c r="S493" s="113"/>
      <c r="T493" s="113"/>
      <c r="U493" s="113"/>
      <c r="V493" s="113"/>
      <c r="W493" s="113"/>
      <c r="X493" s="113"/>
      <c r="Y493" s="113"/>
      <c r="Z493" s="113"/>
      <c r="AA493" s="113"/>
      <c r="AB493" s="113"/>
      <c r="AC493" s="113"/>
      <c r="AD493" s="113"/>
      <c r="AE493" s="113"/>
      <c r="AF493" s="113"/>
      <c r="AG493" s="113"/>
    </row>
    <row r="494" spans="1:33" ht="13.8">
      <c r="A494" s="113"/>
      <c r="B494" s="113"/>
      <c r="C494" s="113"/>
      <c r="D494" s="113"/>
      <c r="E494" s="113"/>
      <c r="F494" s="113"/>
      <c r="G494" s="113"/>
      <c r="H494" s="113"/>
      <c r="I494" s="113"/>
      <c r="J494" s="113"/>
      <c r="K494" s="113"/>
      <c r="L494" s="113"/>
      <c r="M494" s="113"/>
      <c r="N494" s="113"/>
      <c r="O494" s="113"/>
      <c r="P494" s="113"/>
      <c r="Q494" s="113"/>
      <c r="R494" s="113"/>
      <c r="S494" s="113"/>
      <c r="T494" s="113"/>
      <c r="U494" s="113"/>
      <c r="V494" s="113"/>
      <c r="W494" s="113"/>
      <c r="X494" s="113"/>
      <c r="Y494" s="113"/>
      <c r="Z494" s="113"/>
      <c r="AA494" s="113"/>
      <c r="AB494" s="113"/>
      <c r="AC494" s="113"/>
      <c r="AD494" s="113"/>
      <c r="AE494" s="113"/>
      <c r="AF494" s="113"/>
      <c r="AG494" s="113"/>
    </row>
    <row r="495" spans="1:33" ht="13.8">
      <c r="A495" s="113"/>
      <c r="B495" s="113"/>
      <c r="C495" s="113"/>
      <c r="D495" s="113"/>
      <c r="E495" s="113"/>
      <c r="F495" s="113"/>
      <c r="G495" s="113"/>
      <c r="H495" s="113"/>
      <c r="I495" s="113"/>
      <c r="J495" s="113"/>
      <c r="K495" s="113"/>
      <c r="L495" s="113"/>
      <c r="M495" s="113"/>
      <c r="N495" s="113"/>
      <c r="O495" s="113"/>
      <c r="P495" s="113"/>
      <c r="Q495" s="113"/>
      <c r="R495" s="113"/>
      <c r="S495" s="113"/>
      <c r="T495" s="113"/>
      <c r="U495" s="113"/>
      <c r="V495" s="113"/>
      <c r="W495" s="113"/>
      <c r="X495" s="113"/>
      <c r="Y495" s="113"/>
      <c r="Z495" s="113"/>
      <c r="AA495" s="113"/>
      <c r="AB495" s="113"/>
      <c r="AC495" s="113"/>
      <c r="AD495" s="113"/>
      <c r="AE495" s="113"/>
      <c r="AF495" s="113"/>
      <c r="AG495" s="113"/>
    </row>
    <row r="496" spans="1:33" ht="13.8">
      <c r="A496" s="113"/>
      <c r="B496" s="113"/>
      <c r="C496" s="113"/>
      <c r="D496" s="113"/>
      <c r="E496" s="113"/>
      <c r="F496" s="113"/>
      <c r="G496" s="113"/>
      <c r="H496" s="113"/>
      <c r="I496" s="113"/>
      <c r="J496" s="113"/>
      <c r="K496" s="113"/>
      <c r="L496" s="113"/>
      <c r="M496" s="113"/>
      <c r="N496" s="113"/>
      <c r="O496" s="113"/>
      <c r="P496" s="113"/>
      <c r="Q496" s="113"/>
      <c r="R496" s="113"/>
      <c r="S496" s="113"/>
      <c r="T496" s="113"/>
      <c r="U496" s="113"/>
      <c r="V496" s="113"/>
      <c r="W496" s="113"/>
      <c r="X496" s="113"/>
      <c r="Y496" s="113"/>
      <c r="Z496" s="113"/>
      <c r="AA496" s="113"/>
      <c r="AB496" s="113"/>
      <c r="AC496" s="113"/>
      <c r="AD496" s="113"/>
      <c r="AE496" s="113"/>
      <c r="AF496" s="113"/>
      <c r="AG496" s="113"/>
    </row>
    <row r="497" spans="1:33" ht="13.8">
      <c r="A497" s="113"/>
      <c r="B497" s="113"/>
      <c r="C497" s="113"/>
      <c r="D497" s="113"/>
      <c r="E497" s="113"/>
      <c r="F497" s="113"/>
      <c r="G497" s="113"/>
      <c r="H497" s="113"/>
      <c r="I497" s="113"/>
      <c r="J497" s="113"/>
      <c r="K497" s="113"/>
      <c r="L497" s="113"/>
      <c r="M497" s="113"/>
      <c r="N497" s="113"/>
      <c r="O497" s="113"/>
      <c r="P497" s="113"/>
      <c r="Q497" s="113"/>
      <c r="R497" s="113"/>
      <c r="S497" s="113"/>
      <c r="T497" s="113"/>
      <c r="U497" s="113"/>
      <c r="V497" s="113"/>
      <c r="W497" s="113"/>
      <c r="X497" s="113"/>
      <c r="Y497" s="113"/>
      <c r="Z497" s="113"/>
      <c r="AA497" s="113"/>
      <c r="AB497" s="113"/>
      <c r="AC497" s="113"/>
      <c r="AD497" s="113"/>
      <c r="AE497" s="113"/>
      <c r="AF497" s="113"/>
      <c r="AG497" s="113"/>
    </row>
    <row r="498" spans="1:33" ht="13.8">
      <c r="A498" s="113"/>
      <c r="B498" s="113"/>
      <c r="C498" s="113"/>
      <c r="D498" s="113"/>
      <c r="E498" s="113"/>
      <c r="F498" s="113"/>
      <c r="G498" s="113"/>
      <c r="H498" s="113"/>
      <c r="I498" s="113"/>
      <c r="J498" s="113"/>
      <c r="K498" s="113"/>
      <c r="L498" s="113"/>
      <c r="M498" s="113"/>
      <c r="N498" s="113"/>
      <c r="O498" s="113"/>
      <c r="P498" s="113"/>
      <c r="Q498" s="113"/>
      <c r="R498" s="113"/>
      <c r="S498" s="113"/>
      <c r="T498" s="113"/>
      <c r="U498" s="113"/>
      <c r="V498" s="113"/>
      <c r="W498" s="113"/>
      <c r="X498" s="113"/>
      <c r="Y498" s="113"/>
      <c r="Z498" s="113"/>
      <c r="AA498" s="113"/>
      <c r="AB498" s="113"/>
      <c r="AC498" s="113"/>
      <c r="AD498" s="113"/>
      <c r="AE498" s="113"/>
      <c r="AF498" s="113"/>
      <c r="AG498" s="113"/>
    </row>
    <row r="499" spans="1:33" ht="13.8">
      <c r="A499" s="113"/>
      <c r="B499" s="113"/>
      <c r="C499" s="113"/>
      <c r="D499" s="113"/>
      <c r="E499" s="113"/>
      <c r="F499" s="113"/>
      <c r="G499" s="113"/>
      <c r="H499" s="113"/>
      <c r="I499" s="113"/>
      <c r="J499" s="113"/>
      <c r="K499" s="113"/>
      <c r="L499" s="113"/>
      <c r="M499" s="113"/>
      <c r="N499" s="113"/>
      <c r="O499" s="113"/>
      <c r="P499" s="113"/>
      <c r="Q499" s="113"/>
      <c r="R499" s="113"/>
      <c r="S499" s="113"/>
      <c r="T499" s="113"/>
      <c r="U499" s="113"/>
      <c r="V499" s="113"/>
      <c r="W499" s="113"/>
      <c r="X499" s="113"/>
      <c r="Y499" s="113"/>
      <c r="Z499" s="113"/>
      <c r="AA499" s="113"/>
      <c r="AB499" s="113"/>
      <c r="AC499" s="113"/>
      <c r="AD499" s="113"/>
      <c r="AE499" s="113"/>
      <c r="AF499" s="113"/>
      <c r="AG499" s="113"/>
    </row>
    <row r="500" spans="1:33" ht="13.8">
      <c r="A500" s="113"/>
      <c r="B500" s="113"/>
      <c r="C500" s="113"/>
      <c r="D500" s="113"/>
      <c r="E500" s="113"/>
      <c r="F500" s="113"/>
      <c r="G500" s="113"/>
      <c r="H500" s="113"/>
      <c r="I500" s="113"/>
      <c r="J500" s="113"/>
      <c r="K500" s="113"/>
      <c r="L500" s="113"/>
      <c r="M500" s="113"/>
      <c r="N500" s="113"/>
      <c r="O500" s="113"/>
      <c r="P500" s="113"/>
      <c r="Q500" s="113"/>
      <c r="R500" s="113"/>
      <c r="S500" s="113"/>
      <c r="T500" s="113"/>
      <c r="U500" s="113"/>
      <c r="V500" s="113"/>
      <c r="W500" s="113"/>
      <c r="X500" s="113"/>
      <c r="Y500" s="113"/>
      <c r="Z500" s="113"/>
      <c r="AA500" s="113"/>
      <c r="AB500" s="113"/>
      <c r="AC500" s="113"/>
      <c r="AD500" s="113"/>
      <c r="AE500" s="113"/>
      <c r="AF500" s="113"/>
      <c r="AG500" s="113"/>
    </row>
    <row r="501" spans="1:33" ht="13.8">
      <c r="A501" s="113"/>
      <c r="B501" s="113"/>
      <c r="C501" s="113"/>
      <c r="D501" s="113"/>
      <c r="E501" s="113"/>
      <c r="F501" s="113"/>
      <c r="G501" s="113"/>
      <c r="H501" s="113"/>
      <c r="I501" s="113"/>
      <c r="J501" s="113"/>
      <c r="K501" s="113"/>
      <c r="L501" s="113"/>
      <c r="M501" s="113"/>
      <c r="N501" s="113"/>
      <c r="O501" s="113"/>
      <c r="P501" s="113"/>
      <c r="Q501" s="113"/>
      <c r="R501" s="113"/>
      <c r="S501" s="113"/>
      <c r="T501" s="113"/>
      <c r="U501" s="113"/>
      <c r="V501" s="113"/>
      <c r="W501" s="113"/>
      <c r="X501" s="113"/>
      <c r="Y501" s="113"/>
      <c r="Z501" s="113"/>
      <c r="AA501" s="113"/>
      <c r="AB501" s="113"/>
      <c r="AC501" s="113"/>
      <c r="AD501" s="113"/>
      <c r="AE501" s="113"/>
      <c r="AF501" s="113"/>
      <c r="AG501" s="113"/>
    </row>
    <row r="502" spans="1:33" ht="13.8">
      <c r="A502" s="113"/>
      <c r="B502" s="113"/>
      <c r="C502" s="113"/>
      <c r="D502" s="113"/>
      <c r="E502" s="113"/>
      <c r="F502" s="113"/>
      <c r="G502" s="113"/>
      <c r="H502" s="113"/>
      <c r="I502" s="113"/>
      <c r="J502" s="113"/>
      <c r="K502" s="113"/>
      <c r="L502" s="113"/>
      <c r="M502" s="113"/>
      <c r="N502" s="113"/>
      <c r="O502" s="113"/>
      <c r="P502" s="113"/>
      <c r="Q502" s="113"/>
      <c r="R502" s="113"/>
      <c r="S502" s="113"/>
      <c r="T502" s="113"/>
      <c r="U502" s="113"/>
      <c r="V502" s="113"/>
      <c r="W502" s="113"/>
      <c r="X502" s="113"/>
      <c r="Y502" s="113"/>
      <c r="Z502" s="113"/>
      <c r="AA502" s="113"/>
      <c r="AB502" s="113"/>
      <c r="AC502" s="113"/>
      <c r="AD502" s="113"/>
      <c r="AE502" s="113"/>
      <c r="AF502" s="113"/>
      <c r="AG502" s="113"/>
    </row>
    <row r="503" spans="1:33" ht="13.8">
      <c r="A503" s="113"/>
      <c r="B503" s="113"/>
      <c r="C503" s="113"/>
      <c r="D503" s="113"/>
      <c r="E503" s="113"/>
      <c r="F503" s="113"/>
      <c r="G503" s="113"/>
      <c r="H503" s="113"/>
      <c r="I503" s="113"/>
      <c r="J503" s="113"/>
      <c r="K503" s="113"/>
      <c r="L503" s="113"/>
      <c r="M503" s="113"/>
      <c r="N503" s="113"/>
      <c r="O503" s="113"/>
      <c r="P503" s="113"/>
      <c r="Q503" s="113"/>
      <c r="R503" s="113"/>
      <c r="S503" s="113"/>
      <c r="T503" s="113"/>
      <c r="U503" s="113"/>
      <c r="V503" s="113"/>
      <c r="W503" s="113"/>
      <c r="X503" s="113"/>
      <c r="Y503" s="113"/>
      <c r="Z503" s="113"/>
      <c r="AA503" s="113"/>
      <c r="AB503" s="113"/>
      <c r="AC503" s="113"/>
      <c r="AD503" s="113"/>
      <c r="AE503" s="113"/>
      <c r="AF503" s="113"/>
      <c r="AG503" s="113"/>
    </row>
    <row r="504" spans="1:33" ht="13.8">
      <c r="A504" s="113"/>
      <c r="B504" s="113"/>
      <c r="C504" s="113"/>
      <c r="D504" s="113"/>
      <c r="E504" s="113"/>
      <c r="F504" s="113"/>
      <c r="G504" s="113"/>
      <c r="H504" s="113"/>
      <c r="I504" s="113"/>
      <c r="J504" s="113"/>
      <c r="K504" s="113"/>
      <c r="L504" s="113"/>
      <c r="M504" s="113"/>
      <c r="N504" s="113"/>
      <c r="O504" s="113"/>
      <c r="P504" s="113"/>
      <c r="Q504" s="113"/>
      <c r="R504" s="113"/>
      <c r="S504" s="113"/>
      <c r="T504" s="113"/>
      <c r="U504" s="113"/>
      <c r="V504" s="113"/>
      <c r="W504" s="113"/>
      <c r="X504" s="113"/>
      <c r="Y504" s="113"/>
      <c r="Z504" s="113"/>
      <c r="AA504" s="113"/>
      <c r="AB504" s="113"/>
      <c r="AC504" s="113"/>
      <c r="AD504" s="113"/>
      <c r="AE504" s="113"/>
      <c r="AF504" s="113"/>
      <c r="AG504" s="113"/>
    </row>
    <row r="505" spans="1:33" ht="13.8">
      <c r="A505" s="113"/>
      <c r="B505" s="113"/>
      <c r="C505" s="113"/>
      <c r="D505" s="113"/>
      <c r="E505" s="113"/>
      <c r="F505" s="113"/>
      <c r="G505" s="113"/>
      <c r="H505" s="113"/>
      <c r="I505" s="113"/>
      <c r="J505" s="113"/>
      <c r="K505" s="113"/>
      <c r="L505" s="113"/>
      <c r="M505" s="113"/>
      <c r="N505" s="113"/>
      <c r="O505" s="113"/>
      <c r="P505" s="113"/>
      <c r="Q505" s="113"/>
      <c r="R505" s="113"/>
      <c r="S505" s="113"/>
      <c r="T505" s="113"/>
      <c r="U505" s="113"/>
      <c r="V505" s="113"/>
      <c r="W505" s="113"/>
      <c r="X505" s="113"/>
      <c r="Y505" s="113"/>
      <c r="Z505" s="113"/>
      <c r="AA505" s="113"/>
      <c r="AB505" s="113"/>
      <c r="AC505" s="113"/>
      <c r="AD505" s="113"/>
      <c r="AE505" s="113"/>
      <c r="AF505" s="113"/>
      <c r="AG505" s="113"/>
    </row>
    <row r="506" spans="1:33" ht="13.8">
      <c r="A506" s="113"/>
      <c r="B506" s="113"/>
      <c r="C506" s="113"/>
      <c r="D506" s="113"/>
      <c r="E506" s="113"/>
      <c r="F506" s="113"/>
      <c r="G506" s="113"/>
      <c r="H506" s="113"/>
      <c r="I506" s="113"/>
      <c r="J506" s="113"/>
      <c r="K506" s="113"/>
      <c r="L506" s="113"/>
      <c r="M506" s="113"/>
      <c r="N506" s="113"/>
      <c r="O506" s="113"/>
      <c r="P506" s="113"/>
      <c r="Q506" s="113"/>
      <c r="R506" s="113"/>
      <c r="S506" s="113"/>
      <c r="T506" s="113"/>
      <c r="U506" s="113"/>
      <c r="V506" s="113"/>
      <c r="W506" s="113"/>
      <c r="X506" s="113"/>
      <c r="Y506" s="113"/>
      <c r="Z506" s="113"/>
      <c r="AA506" s="113"/>
      <c r="AB506" s="113"/>
      <c r="AC506" s="113"/>
      <c r="AD506" s="113"/>
      <c r="AE506" s="113"/>
      <c r="AF506" s="113"/>
      <c r="AG506" s="113"/>
    </row>
    <row r="507" spans="1:33" ht="13.8">
      <c r="A507" s="113"/>
      <c r="B507" s="113"/>
      <c r="C507" s="113"/>
      <c r="D507" s="113"/>
      <c r="E507" s="113"/>
      <c r="F507" s="113"/>
      <c r="G507" s="113"/>
      <c r="H507" s="113"/>
      <c r="I507" s="113"/>
      <c r="J507" s="113"/>
      <c r="K507" s="113"/>
      <c r="L507" s="113"/>
      <c r="M507" s="113"/>
      <c r="N507" s="113"/>
      <c r="O507" s="113"/>
      <c r="P507" s="113"/>
      <c r="Q507" s="113"/>
      <c r="R507" s="113"/>
      <c r="S507" s="113"/>
      <c r="T507" s="113"/>
      <c r="U507" s="113"/>
      <c r="V507" s="113"/>
      <c r="W507" s="113"/>
      <c r="X507" s="113"/>
      <c r="Y507" s="113"/>
      <c r="Z507" s="113"/>
      <c r="AA507" s="113"/>
      <c r="AB507" s="113"/>
      <c r="AC507" s="113"/>
      <c r="AD507" s="113"/>
      <c r="AE507" s="113"/>
      <c r="AF507" s="113"/>
      <c r="AG507" s="113"/>
    </row>
    <row r="508" spans="1:33" ht="13.8">
      <c r="A508" s="113"/>
      <c r="B508" s="113"/>
      <c r="C508" s="113"/>
      <c r="D508" s="113"/>
      <c r="E508" s="113"/>
      <c r="F508" s="113"/>
      <c r="G508" s="113"/>
      <c r="H508" s="113"/>
      <c r="I508" s="113"/>
      <c r="J508" s="113"/>
      <c r="K508" s="113"/>
      <c r="L508" s="113"/>
      <c r="M508" s="113"/>
      <c r="N508" s="113"/>
      <c r="O508" s="113"/>
      <c r="P508" s="113"/>
      <c r="Q508" s="113"/>
      <c r="R508" s="113"/>
      <c r="S508" s="113"/>
      <c r="T508" s="113"/>
      <c r="U508" s="113"/>
      <c r="V508" s="113"/>
      <c r="W508" s="113"/>
      <c r="X508" s="113"/>
      <c r="Y508" s="113"/>
      <c r="Z508" s="113"/>
      <c r="AA508" s="113"/>
      <c r="AB508" s="113"/>
      <c r="AC508" s="113"/>
      <c r="AD508" s="113"/>
      <c r="AE508" s="113"/>
      <c r="AF508" s="113"/>
      <c r="AG508" s="113"/>
    </row>
    <row r="509" spans="1:33" ht="13.8">
      <c r="A509" s="113"/>
      <c r="B509" s="113"/>
      <c r="C509" s="113"/>
      <c r="D509" s="113"/>
      <c r="E509" s="113"/>
      <c r="F509" s="113"/>
      <c r="G509" s="113"/>
      <c r="H509" s="113"/>
      <c r="I509" s="113"/>
      <c r="J509" s="113"/>
      <c r="K509" s="113"/>
      <c r="L509" s="113"/>
      <c r="M509" s="113"/>
      <c r="N509" s="113"/>
      <c r="O509" s="113"/>
      <c r="P509" s="113"/>
      <c r="Q509" s="113"/>
      <c r="R509" s="113"/>
      <c r="S509" s="113"/>
      <c r="T509" s="113"/>
      <c r="U509" s="113"/>
      <c r="V509" s="113"/>
      <c r="W509" s="113"/>
      <c r="X509" s="113"/>
      <c r="Y509" s="113"/>
      <c r="Z509" s="113"/>
      <c r="AA509" s="113"/>
      <c r="AB509" s="113"/>
      <c r="AC509" s="113"/>
      <c r="AD509" s="113"/>
      <c r="AE509" s="113"/>
      <c r="AF509" s="113"/>
      <c r="AG509" s="113"/>
    </row>
    <row r="510" spans="1:33" ht="13.8">
      <c r="A510" s="113"/>
      <c r="B510" s="113"/>
      <c r="C510" s="113"/>
      <c r="D510" s="113"/>
      <c r="E510" s="113"/>
      <c r="F510" s="113"/>
      <c r="G510" s="113"/>
      <c r="H510" s="113"/>
      <c r="I510" s="113"/>
      <c r="J510" s="113"/>
      <c r="K510" s="113"/>
      <c r="L510" s="113"/>
      <c r="M510" s="113"/>
      <c r="N510" s="113"/>
      <c r="O510" s="113"/>
      <c r="P510" s="113"/>
      <c r="Q510" s="113"/>
      <c r="R510" s="113"/>
      <c r="S510" s="113"/>
      <c r="T510" s="113"/>
      <c r="U510" s="113"/>
      <c r="V510" s="113"/>
      <c r="W510" s="113"/>
      <c r="X510" s="113"/>
      <c r="Y510" s="113"/>
      <c r="Z510" s="113"/>
      <c r="AA510" s="113"/>
      <c r="AB510" s="113"/>
      <c r="AC510" s="113"/>
      <c r="AD510" s="113"/>
      <c r="AE510" s="113"/>
      <c r="AF510" s="113"/>
      <c r="AG510" s="113"/>
    </row>
    <row r="511" spans="1:33" ht="13.8">
      <c r="A511" s="113"/>
      <c r="B511" s="113"/>
      <c r="C511" s="113"/>
      <c r="D511" s="113"/>
      <c r="E511" s="113"/>
      <c r="F511" s="113"/>
      <c r="G511" s="113"/>
      <c r="H511" s="113"/>
      <c r="I511" s="113"/>
      <c r="J511" s="113"/>
      <c r="K511" s="113"/>
      <c r="L511" s="113"/>
      <c r="M511" s="113"/>
      <c r="N511" s="113"/>
      <c r="O511" s="113"/>
      <c r="P511" s="113"/>
      <c r="Q511" s="113"/>
      <c r="R511" s="113"/>
      <c r="S511" s="113"/>
      <c r="T511" s="113"/>
      <c r="U511" s="113"/>
      <c r="V511" s="113"/>
      <c r="W511" s="113"/>
      <c r="X511" s="113"/>
      <c r="Y511" s="113"/>
      <c r="Z511" s="113"/>
      <c r="AA511" s="113"/>
      <c r="AB511" s="113"/>
      <c r="AC511" s="113"/>
      <c r="AD511" s="113"/>
      <c r="AE511" s="113"/>
      <c r="AF511" s="113"/>
      <c r="AG511" s="113"/>
    </row>
    <row r="512" spans="1:33" ht="13.8">
      <c r="A512" s="113"/>
      <c r="B512" s="113"/>
      <c r="C512" s="113"/>
      <c r="D512" s="113"/>
      <c r="E512" s="113"/>
      <c r="F512" s="113"/>
      <c r="G512" s="113"/>
      <c r="H512" s="113"/>
      <c r="I512" s="113"/>
      <c r="J512" s="113"/>
      <c r="K512" s="113"/>
      <c r="L512" s="113"/>
      <c r="M512" s="113"/>
      <c r="N512" s="113"/>
      <c r="O512" s="113"/>
      <c r="P512" s="113"/>
      <c r="Q512" s="113"/>
      <c r="R512" s="113"/>
      <c r="S512" s="113"/>
      <c r="T512" s="113"/>
      <c r="U512" s="113"/>
      <c r="V512" s="113"/>
      <c r="W512" s="113"/>
      <c r="X512" s="113"/>
      <c r="Y512" s="113"/>
      <c r="Z512" s="113"/>
      <c r="AA512" s="113"/>
      <c r="AB512" s="113"/>
      <c r="AC512" s="113"/>
      <c r="AD512" s="113"/>
      <c r="AE512" s="113"/>
      <c r="AF512" s="113"/>
      <c r="AG512" s="113"/>
    </row>
    <row r="513" spans="1:33" ht="13.8">
      <c r="A513" s="113"/>
      <c r="B513" s="113"/>
      <c r="C513" s="113"/>
      <c r="D513" s="113"/>
      <c r="E513" s="113"/>
      <c r="F513" s="113"/>
      <c r="G513" s="113"/>
      <c r="H513" s="113"/>
      <c r="I513" s="113"/>
      <c r="J513" s="113"/>
      <c r="K513" s="113"/>
      <c r="L513" s="113"/>
      <c r="M513" s="113"/>
      <c r="N513" s="113"/>
      <c r="O513" s="113"/>
      <c r="P513" s="113"/>
      <c r="Q513" s="113"/>
      <c r="R513" s="113"/>
      <c r="S513" s="113"/>
      <c r="T513" s="113"/>
      <c r="U513" s="113"/>
      <c r="V513" s="113"/>
      <c r="W513" s="113"/>
      <c r="X513" s="113"/>
      <c r="Y513" s="113"/>
      <c r="Z513" s="113"/>
      <c r="AA513" s="113"/>
      <c r="AB513" s="113"/>
      <c r="AC513" s="113"/>
      <c r="AD513" s="113"/>
      <c r="AE513" s="113"/>
      <c r="AF513" s="113"/>
      <c r="AG513" s="113"/>
    </row>
    <row r="514" spans="1:33" ht="13.8">
      <c r="A514" s="113"/>
      <c r="B514" s="113"/>
      <c r="C514" s="113"/>
      <c r="D514" s="113"/>
      <c r="E514" s="113"/>
      <c r="F514" s="113"/>
      <c r="G514" s="113"/>
      <c r="H514" s="113"/>
      <c r="I514" s="113"/>
      <c r="J514" s="113"/>
      <c r="K514" s="113"/>
      <c r="L514" s="113"/>
      <c r="M514" s="113"/>
      <c r="N514" s="113"/>
      <c r="O514" s="113"/>
      <c r="P514" s="113"/>
      <c r="Q514" s="113"/>
      <c r="R514" s="113"/>
      <c r="S514" s="113"/>
      <c r="T514" s="113"/>
      <c r="U514" s="113"/>
      <c r="V514" s="113"/>
      <c r="W514" s="113"/>
      <c r="X514" s="113"/>
      <c r="Y514" s="113"/>
      <c r="Z514" s="113"/>
      <c r="AA514" s="113"/>
      <c r="AB514" s="113"/>
      <c r="AC514" s="113"/>
      <c r="AD514" s="113"/>
      <c r="AE514" s="113"/>
      <c r="AF514" s="113"/>
      <c r="AG514" s="113"/>
    </row>
    <row r="515" spans="1:33" ht="13.8">
      <c r="A515" s="113"/>
      <c r="B515" s="113"/>
      <c r="C515" s="113"/>
      <c r="D515" s="113"/>
      <c r="E515" s="113"/>
      <c r="F515" s="113"/>
      <c r="G515" s="113"/>
      <c r="H515" s="113"/>
      <c r="I515" s="113"/>
      <c r="J515" s="113"/>
      <c r="K515" s="113"/>
      <c r="L515" s="113"/>
      <c r="M515" s="113"/>
      <c r="N515" s="113"/>
      <c r="O515" s="113"/>
      <c r="P515" s="113"/>
      <c r="Q515" s="113"/>
      <c r="R515" s="113"/>
      <c r="S515" s="113"/>
      <c r="T515" s="113"/>
      <c r="U515" s="113"/>
      <c r="V515" s="113"/>
      <c r="W515" s="113"/>
      <c r="X515" s="113"/>
      <c r="Y515" s="113"/>
      <c r="Z515" s="113"/>
      <c r="AA515" s="113"/>
      <c r="AB515" s="113"/>
      <c r="AC515" s="113"/>
      <c r="AD515" s="113"/>
      <c r="AE515" s="113"/>
      <c r="AF515" s="113"/>
      <c r="AG515" s="113"/>
    </row>
    <row r="516" spans="1:33" ht="13.8">
      <c r="A516" s="113"/>
      <c r="B516" s="113"/>
      <c r="C516" s="113"/>
      <c r="D516" s="113"/>
      <c r="E516" s="113"/>
      <c r="F516" s="113"/>
      <c r="G516" s="113"/>
      <c r="H516" s="113"/>
      <c r="I516" s="113"/>
      <c r="J516" s="113"/>
      <c r="K516" s="113"/>
      <c r="L516" s="113"/>
      <c r="M516" s="113"/>
      <c r="N516" s="113"/>
      <c r="O516" s="113"/>
      <c r="P516" s="113"/>
      <c r="Q516" s="113"/>
      <c r="R516" s="113"/>
      <c r="S516" s="113"/>
      <c r="T516" s="113"/>
      <c r="U516" s="113"/>
      <c r="V516" s="113"/>
      <c r="W516" s="113"/>
      <c r="X516" s="113"/>
      <c r="Y516" s="113"/>
      <c r="Z516" s="113"/>
      <c r="AA516" s="113"/>
      <c r="AB516" s="113"/>
      <c r="AC516" s="113"/>
      <c r="AD516" s="113"/>
      <c r="AE516" s="113"/>
      <c r="AF516" s="113"/>
      <c r="AG516" s="113"/>
    </row>
    <row r="517" spans="1:33" ht="13.8">
      <c r="A517" s="113"/>
      <c r="B517" s="113"/>
      <c r="C517" s="113"/>
      <c r="D517" s="113"/>
      <c r="E517" s="113"/>
      <c r="F517" s="113"/>
      <c r="G517" s="113"/>
      <c r="H517" s="113"/>
      <c r="I517" s="113"/>
      <c r="J517" s="113"/>
      <c r="K517" s="113"/>
      <c r="L517" s="113"/>
      <c r="M517" s="113"/>
      <c r="N517" s="113"/>
      <c r="O517" s="113"/>
      <c r="P517" s="113"/>
      <c r="Q517" s="113"/>
      <c r="R517" s="113"/>
      <c r="S517" s="113"/>
      <c r="T517" s="113"/>
      <c r="U517" s="113"/>
      <c r="V517" s="113"/>
      <c r="W517" s="113"/>
      <c r="X517" s="113"/>
      <c r="Y517" s="113"/>
      <c r="Z517" s="113"/>
      <c r="AA517" s="113"/>
      <c r="AB517" s="113"/>
      <c r="AC517" s="113"/>
      <c r="AD517" s="113"/>
      <c r="AE517" s="113"/>
      <c r="AF517" s="113"/>
      <c r="AG517" s="113"/>
    </row>
    <row r="518" spans="1:33" ht="13.8">
      <c r="A518" s="113"/>
      <c r="B518" s="113"/>
      <c r="C518" s="113"/>
      <c r="D518" s="113"/>
      <c r="E518" s="113"/>
      <c r="F518" s="113"/>
      <c r="G518" s="113"/>
      <c r="H518" s="113"/>
      <c r="I518" s="113"/>
      <c r="J518" s="113"/>
      <c r="K518" s="113"/>
      <c r="L518" s="113"/>
      <c r="M518" s="113"/>
      <c r="N518" s="113"/>
      <c r="O518" s="113"/>
      <c r="P518" s="113"/>
      <c r="Q518" s="113"/>
      <c r="R518" s="113"/>
      <c r="S518" s="113"/>
      <c r="T518" s="113"/>
      <c r="U518" s="113"/>
      <c r="V518" s="113"/>
      <c r="W518" s="113"/>
      <c r="X518" s="113"/>
      <c r="Y518" s="113"/>
      <c r="Z518" s="113"/>
      <c r="AA518" s="113"/>
      <c r="AB518" s="113"/>
      <c r="AC518" s="113"/>
      <c r="AD518" s="113"/>
      <c r="AE518" s="113"/>
      <c r="AF518" s="113"/>
      <c r="AG518" s="113"/>
    </row>
    <row r="519" spans="1:33" ht="13.8">
      <c r="A519" s="113"/>
      <c r="B519" s="113"/>
      <c r="C519" s="113"/>
      <c r="D519" s="113"/>
      <c r="E519" s="113"/>
      <c r="F519" s="113"/>
      <c r="G519" s="113"/>
      <c r="H519" s="113"/>
      <c r="I519" s="113"/>
      <c r="J519" s="113"/>
      <c r="K519" s="113"/>
      <c r="L519" s="113"/>
      <c r="M519" s="113"/>
      <c r="N519" s="113"/>
      <c r="O519" s="113"/>
      <c r="P519" s="113"/>
      <c r="Q519" s="113"/>
      <c r="R519" s="113"/>
      <c r="S519" s="113"/>
      <c r="T519" s="113"/>
      <c r="U519" s="113"/>
      <c r="V519" s="113"/>
      <c r="W519" s="113"/>
      <c r="X519" s="113"/>
      <c r="Y519" s="113"/>
      <c r="Z519" s="113"/>
      <c r="AA519" s="113"/>
      <c r="AB519" s="113"/>
      <c r="AC519" s="113"/>
      <c r="AD519" s="113"/>
      <c r="AE519" s="113"/>
      <c r="AF519" s="113"/>
      <c r="AG519" s="113"/>
    </row>
    <row r="520" spans="1:33" ht="13.8">
      <c r="A520" s="113"/>
      <c r="B520" s="113"/>
      <c r="C520" s="113"/>
      <c r="D520" s="113"/>
      <c r="E520" s="113"/>
      <c r="F520" s="113"/>
      <c r="G520" s="113"/>
      <c r="H520" s="113"/>
      <c r="I520" s="113"/>
      <c r="J520" s="113"/>
      <c r="K520" s="113"/>
      <c r="L520" s="113"/>
      <c r="M520" s="113"/>
      <c r="N520" s="113"/>
      <c r="O520" s="113"/>
      <c r="P520" s="113"/>
      <c r="Q520" s="113"/>
      <c r="R520" s="113"/>
      <c r="S520" s="113"/>
      <c r="T520" s="113"/>
      <c r="U520" s="113"/>
      <c r="V520" s="113"/>
      <c r="W520" s="113"/>
      <c r="X520" s="113"/>
      <c r="Y520" s="113"/>
      <c r="Z520" s="113"/>
      <c r="AA520" s="113"/>
      <c r="AB520" s="113"/>
      <c r="AC520" s="113"/>
      <c r="AD520" s="113"/>
      <c r="AE520" s="113"/>
      <c r="AF520" s="113"/>
      <c r="AG520" s="113"/>
    </row>
    <row r="521" spans="1:33" ht="13.8">
      <c r="A521" s="113"/>
      <c r="B521" s="113"/>
      <c r="C521" s="113"/>
      <c r="D521" s="113"/>
      <c r="E521" s="113"/>
      <c r="F521" s="113"/>
      <c r="G521" s="113"/>
      <c r="H521" s="113"/>
      <c r="I521" s="113"/>
      <c r="J521" s="113"/>
      <c r="K521" s="113"/>
      <c r="L521" s="113"/>
      <c r="M521" s="113"/>
      <c r="N521" s="113"/>
      <c r="O521" s="113"/>
      <c r="P521" s="113"/>
      <c r="Q521" s="113"/>
      <c r="R521" s="113"/>
      <c r="S521" s="113"/>
      <c r="T521" s="113"/>
      <c r="U521" s="113"/>
      <c r="V521" s="113"/>
      <c r="W521" s="113"/>
      <c r="X521" s="113"/>
      <c r="Y521" s="113"/>
      <c r="Z521" s="113"/>
      <c r="AA521" s="113"/>
      <c r="AB521" s="113"/>
      <c r="AC521" s="113"/>
      <c r="AD521" s="113"/>
      <c r="AE521" s="113"/>
      <c r="AF521" s="113"/>
      <c r="AG521" s="113"/>
    </row>
    <row r="522" spans="1:33" ht="13.8">
      <c r="A522" s="113"/>
      <c r="B522" s="113"/>
      <c r="C522" s="113"/>
      <c r="D522" s="113"/>
      <c r="E522" s="113"/>
      <c r="F522" s="113"/>
      <c r="G522" s="113"/>
      <c r="H522" s="113"/>
      <c r="I522" s="113"/>
      <c r="J522" s="113"/>
      <c r="K522" s="113"/>
      <c r="L522" s="113"/>
      <c r="M522" s="113"/>
      <c r="N522" s="113"/>
      <c r="O522" s="113"/>
      <c r="P522" s="113"/>
      <c r="Q522" s="113"/>
      <c r="R522" s="113"/>
      <c r="S522" s="113"/>
      <c r="T522" s="113"/>
      <c r="U522" s="113"/>
      <c r="V522" s="113"/>
      <c r="W522" s="113"/>
      <c r="X522" s="113"/>
      <c r="Y522" s="113"/>
      <c r="Z522" s="113"/>
      <c r="AA522" s="113"/>
      <c r="AB522" s="113"/>
      <c r="AC522" s="113"/>
      <c r="AD522" s="113"/>
      <c r="AE522" s="113"/>
      <c r="AF522" s="113"/>
      <c r="AG522" s="113"/>
    </row>
    <row r="523" spans="1:33" ht="13.8">
      <c r="A523" s="113"/>
      <c r="B523" s="113"/>
      <c r="C523" s="113"/>
      <c r="D523" s="113"/>
      <c r="E523" s="113"/>
      <c r="F523" s="113"/>
      <c r="G523" s="113"/>
      <c r="H523" s="113"/>
      <c r="I523" s="113"/>
      <c r="J523" s="113"/>
      <c r="K523" s="113"/>
      <c r="L523" s="113"/>
      <c r="M523" s="113"/>
      <c r="N523" s="113"/>
      <c r="O523" s="113"/>
      <c r="P523" s="113"/>
      <c r="Q523" s="113"/>
      <c r="R523" s="113"/>
      <c r="S523" s="113"/>
      <c r="T523" s="113"/>
      <c r="U523" s="113"/>
      <c r="V523" s="113"/>
      <c r="W523" s="113"/>
      <c r="X523" s="113"/>
      <c r="Y523" s="113"/>
      <c r="Z523" s="113"/>
      <c r="AA523" s="113"/>
      <c r="AB523" s="113"/>
      <c r="AC523" s="113"/>
      <c r="AD523" s="113"/>
      <c r="AE523" s="113"/>
      <c r="AF523" s="113"/>
      <c r="AG523" s="113"/>
    </row>
    <row r="524" spans="1:33" ht="13.8">
      <c r="A524" s="113"/>
      <c r="B524" s="113"/>
      <c r="C524" s="113"/>
      <c r="D524" s="113"/>
      <c r="E524" s="113"/>
      <c r="F524" s="113"/>
      <c r="G524" s="113"/>
      <c r="H524" s="113"/>
      <c r="I524" s="113"/>
      <c r="J524" s="113"/>
      <c r="K524" s="113"/>
      <c r="L524" s="113"/>
      <c r="M524" s="113"/>
      <c r="N524" s="113"/>
      <c r="O524" s="113"/>
      <c r="P524" s="113"/>
      <c r="Q524" s="113"/>
      <c r="R524" s="113"/>
      <c r="S524" s="113"/>
      <c r="T524" s="113"/>
      <c r="U524" s="113"/>
      <c r="V524" s="113"/>
      <c r="W524" s="113"/>
      <c r="X524" s="113"/>
      <c r="Y524" s="113"/>
      <c r="Z524" s="113"/>
      <c r="AA524" s="113"/>
      <c r="AB524" s="113"/>
      <c r="AC524" s="113"/>
      <c r="AD524" s="113"/>
      <c r="AE524" s="113"/>
      <c r="AF524" s="113"/>
      <c r="AG524" s="113"/>
    </row>
    <row r="525" spans="1:33" ht="13.8">
      <c r="A525" s="113"/>
      <c r="B525" s="113"/>
      <c r="C525" s="113"/>
      <c r="D525" s="113"/>
      <c r="E525" s="113"/>
      <c r="F525" s="113"/>
      <c r="G525" s="113"/>
      <c r="H525" s="113"/>
      <c r="I525" s="113"/>
      <c r="J525" s="113"/>
      <c r="K525" s="113"/>
      <c r="L525" s="113"/>
      <c r="M525" s="113"/>
      <c r="N525" s="113"/>
      <c r="O525" s="113"/>
      <c r="P525" s="113"/>
      <c r="Q525" s="113"/>
      <c r="R525" s="113"/>
      <c r="S525" s="113"/>
      <c r="T525" s="113"/>
      <c r="U525" s="113"/>
      <c r="V525" s="113"/>
      <c r="W525" s="113"/>
      <c r="X525" s="113"/>
      <c r="Y525" s="113"/>
      <c r="Z525" s="113"/>
      <c r="AA525" s="113"/>
      <c r="AB525" s="113"/>
      <c r="AC525" s="113"/>
      <c r="AD525" s="113"/>
      <c r="AE525" s="113"/>
      <c r="AF525" s="113"/>
      <c r="AG525" s="113"/>
    </row>
    <row r="526" spans="1:33" ht="13.8">
      <c r="A526" s="113"/>
      <c r="B526" s="113"/>
      <c r="C526" s="113"/>
      <c r="D526" s="113"/>
      <c r="E526" s="113"/>
      <c r="F526" s="113"/>
      <c r="G526" s="113"/>
      <c r="H526" s="113"/>
      <c r="I526" s="113"/>
      <c r="J526" s="113"/>
      <c r="K526" s="113"/>
      <c r="L526" s="113"/>
      <c r="M526" s="113"/>
      <c r="N526" s="113"/>
      <c r="O526" s="113"/>
      <c r="P526" s="113"/>
      <c r="Q526" s="113"/>
      <c r="R526" s="113"/>
      <c r="S526" s="113"/>
      <c r="T526" s="113"/>
      <c r="U526" s="113"/>
      <c r="V526" s="113"/>
      <c r="W526" s="113"/>
      <c r="X526" s="113"/>
      <c r="Y526" s="113"/>
      <c r="Z526" s="113"/>
      <c r="AA526" s="113"/>
      <c r="AB526" s="113"/>
      <c r="AC526" s="113"/>
      <c r="AD526" s="113"/>
      <c r="AE526" s="113"/>
      <c r="AF526" s="113"/>
      <c r="AG526" s="113"/>
    </row>
    <row r="527" spans="1:33" ht="13.8">
      <c r="A527" s="113"/>
      <c r="B527" s="113"/>
      <c r="C527" s="113"/>
      <c r="D527" s="113"/>
      <c r="E527" s="113"/>
      <c r="F527" s="113"/>
      <c r="G527" s="113"/>
      <c r="H527" s="113"/>
      <c r="I527" s="113"/>
      <c r="J527" s="113"/>
      <c r="K527" s="113"/>
      <c r="L527" s="113"/>
      <c r="M527" s="113"/>
      <c r="N527" s="113"/>
      <c r="O527" s="113"/>
      <c r="P527" s="113"/>
      <c r="Q527" s="113"/>
      <c r="R527" s="113"/>
      <c r="S527" s="113"/>
      <c r="T527" s="113"/>
      <c r="U527" s="113"/>
      <c r="V527" s="113"/>
      <c r="W527" s="113"/>
      <c r="X527" s="113"/>
      <c r="Y527" s="113"/>
      <c r="Z527" s="113"/>
      <c r="AA527" s="113"/>
      <c r="AB527" s="113"/>
      <c r="AC527" s="113"/>
      <c r="AD527" s="113"/>
      <c r="AE527" s="113"/>
      <c r="AF527" s="113"/>
      <c r="AG527" s="113"/>
    </row>
    <row r="528" spans="1:33" ht="13.8">
      <c r="A528" s="113"/>
      <c r="B528" s="113"/>
      <c r="C528" s="113"/>
      <c r="D528" s="113"/>
      <c r="E528" s="113"/>
      <c r="F528" s="113"/>
      <c r="G528" s="113"/>
      <c r="H528" s="113"/>
      <c r="I528" s="113"/>
      <c r="J528" s="113"/>
      <c r="K528" s="113"/>
      <c r="L528" s="113"/>
      <c r="M528" s="113"/>
      <c r="N528" s="113"/>
      <c r="O528" s="113"/>
      <c r="P528" s="113"/>
      <c r="Q528" s="113"/>
      <c r="R528" s="113"/>
      <c r="S528" s="113"/>
      <c r="T528" s="113"/>
      <c r="U528" s="113"/>
      <c r="V528" s="113"/>
      <c r="W528" s="113"/>
      <c r="X528" s="113"/>
      <c r="Y528" s="113"/>
      <c r="Z528" s="113"/>
      <c r="AA528" s="113"/>
      <c r="AB528" s="113"/>
      <c r="AC528" s="113"/>
      <c r="AD528" s="113"/>
      <c r="AE528" s="113"/>
      <c r="AF528" s="113"/>
      <c r="AG528" s="113"/>
    </row>
    <row r="529" spans="1:33" ht="13.8">
      <c r="A529" s="113"/>
      <c r="B529" s="113"/>
      <c r="C529" s="113"/>
      <c r="D529" s="113"/>
      <c r="E529" s="113"/>
      <c r="F529" s="113"/>
      <c r="G529" s="113"/>
      <c r="H529" s="113"/>
      <c r="I529" s="113"/>
      <c r="J529" s="113"/>
      <c r="K529" s="113"/>
      <c r="L529" s="113"/>
      <c r="M529" s="113"/>
      <c r="N529" s="113"/>
      <c r="O529" s="113"/>
      <c r="P529" s="113"/>
      <c r="Q529" s="113"/>
      <c r="R529" s="113"/>
      <c r="S529" s="113"/>
      <c r="T529" s="113"/>
      <c r="U529" s="113"/>
      <c r="V529" s="113"/>
      <c r="W529" s="113"/>
      <c r="X529" s="113"/>
      <c r="Y529" s="113"/>
      <c r="Z529" s="113"/>
      <c r="AA529" s="113"/>
      <c r="AB529" s="113"/>
      <c r="AC529" s="113"/>
      <c r="AD529" s="113"/>
      <c r="AE529" s="113"/>
      <c r="AF529" s="113"/>
      <c r="AG529" s="113"/>
    </row>
    <row r="530" spans="1:33" ht="13.8">
      <c r="A530" s="113"/>
      <c r="B530" s="113"/>
      <c r="C530" s="113"/>
      <c r="D530" s="113"/>
      <c r="E530" s="113"/>
      <c r="F530" s="113"/>
      <c r="G530" s="113"/>
      <c r="H530" s="113"/>
      <c r="I530" s="113"/>
      <c r="J530" s="113"/>
      <c r="K530" s="113"/>
      <c r="L530" s="113"/>
      <c r="M530" s="113"/>
      <c r="N530" s="113"/>
      <c r="O530" s="113"/>
      <c r="P530" s="113"/>
      <c r="Q530" s="113"/>
      <c r="R530" s="113"/>
      <c r="S530" s="113"/>
      <c r="T530" s="113"/>
      <c r="U530" s="113"/>
      <c r="V530" s="113"/>
      <c r="W530" s="113"/>
      <c r="X530" s="113"/>
      <c r="Y530" s="113"/>
      <c r="Z530" s="113"/>
      <c r="AA530" s="113"/>
      <c r="AB530" s="113"/>
      <c r="AC530" s="113"/>
      <c r="AD530" s="113"/>
      <c r="AE530" s="113"/>
      <c r="AF530" s="113"/>
      <c r="AG530" s="113"/>
    </row>
    <row r="531" spans="1:33" ht="13.8">
      <c r="A531" s="113"/>
      <c r="B531" s="113"/>
      <c r="C531" s="113"/>
      <c r="D531" s="113"/>
      <c r="E531" s="113"/>
      <c r="F531" s="113"/>
      <c r="G531" s="113"/>
      <c r="H531" s="113"/>
      <c r="I531" s="113"/>
      <c r="J531" s="113"/>
      <c r="K531" s="113"/>
      <c r="L531" s="113"/>
      <c r="M531" s="113"/>
      <c r="N531" s="113"/>
      <c r="O531" s="113"/>
      <c r="P531" s="113"/>
      <c r="Q531" s="113"/>
      <c r="R531" s="113"/>
      <c r="S531" s="113"/>
      <c r="T531" s="113"/>
      <c r="U531" s="113"/>
      <c r="V531" s="113"/>
      <c r="W531" s="113"/>
      <c r="X531" s="113"/>
      <c r="Y531" s="113"/>
      <c r="Z531" s="113"/>
      <c r="AA531" s="113"/>
      <c r="AB531" s="113"/>
      <c r="AC531" s="113"/>
      <c r="AD531" s="113"/>
      <c r="AE531" s="113"/>
      <c r="AF531" s="113"/>
      <c r="AG531" s="113"/>
    </row>
    <row r="532" spans="1:33" ht="13.8">
      <c r="A532" s="113"/>
      <c r="B532" s="113"/>
      <c r="C532" s="113"/>
      <c r="D532" s="113"/>
      <c r="E532" s="113"/>
      <c r="F532" s="113"/>
      <c r="G532" s="113"/>
      <c r="H532" s="113"/>
      <c r="I532" s="113"/>
      <c r="J532" s="113"/>
      <c r="K532" s="113"/>
      <c r="L532" s="113"/>
      <c r="M532" s="113"/>
      <c r="N532" s="113"/>
      <c r="O532" s="113"/>
      <c r="P532" s="113"/>
      <c r="Q532" s="113"/>
      <c r="R532" s="113"/>
      <c r="S532" s="113"/>
      <c r="T532" s="113"/>
      <c r="U532" s="113"/>
      <c r="V532" s="113"/>
      <c r="W532" s="113"/>
      <c r="X532" s="113"/>
      <c r="Y532" s="113"/>
      <c r="Z532" s="113"/>
      <c r="AA532" s="113"/>
      <c r="AB532" s="113"/>
      <c r="AC532" s="113"/>
      <c r="AD532" s="113"/>
      <c r="AE532" s="113"/>
      <c r="AF532" s="113"/>
      <c r="AG532" s="113"/>
    </row>
    <row r="533" spans="1:33" ht="13.8">
      <c r="A533" s="113"/>
      <c r="B533" s="113"/>
      <c r="C533" s="113"/>
      <c r="D533" s="113"/>
      <c r="E533" s="113"/>
      <c r="F533" s="113"/>
      <c r="G533" s="113"/>
      <c r="H533" s="113"/>
      <c r="I533" s="113"/>
      <c r="J533" s="113"/>
      <c r="K533" s="113"/>
      <c r="L533" s="113"/>
      <c r="M533" s="113"/>
      <c r="N533" s="113"/>
      <c r="O533" s="113"/>
      <c r="P533" s="113"/>
      <c r="Q533" s="113"/>
      <c r="R533" s="113"/>
      <c r="S533" s="113"/>
      <c r="T533" s="113"/>
      <c r="U533" s="113"/>
      <c r="V533" s="113"/>
      <c r="W533" s="113"/>
      <c r="X533" s="113"/>
      <c r="Y533" s="113"/>
      <c r="Z533" s="113"/>
      <c r="AA533" s="113"/>
      <c r="AB533" s="113"/>
      <c r="AC533" s="113"/>
      <c r="AD533" s="113"/>
      <c r="AE533" s="113"/>
      <c r="AF533" s="113"/>
      <c r="AG533" s="113"/>
    </row>
    <row r="534" spans="1:33" ht="13.8">
      <c r="A534" s="113"/>
      <c r="B534" s="113"/>
      <c r="C534" s="113"/>
      <c r="D534" s="113"/>
      <c r="E534" s="113"/>
      <c r="F534" s="113"/>
      <c r="G534" s="113"/>
      <c r="H534" s="113"/>
      <c r="I534" s="113"/>
      <c r="J534" s="113"/>
      <c r="K534" s="113"/>
      <c r="L534" s="113"/>
      <c r="M534" s="113"/>
      <c r="N534" s="113"/>
      <c r="O534" s="113"/>
      <c r="P534" s="113"/>
      <c r="Q534" s="113"/>
      <c r="R534" s="113"/>
      <c r="S534" s="113"/>
      <c r="T534" s="113"/>
      <c r="U534" s="113"/>
      <c r="V534" s="113"/>
      <c r="W534" s="113"/>
      <c r="X534" s="113"/>
      <c r="Y534" s="113"/>
      <c r="Z534" s="113"/>
      <c r="AA534" s="113"/>
      <c r="AB534" s="113"/>
      <c r="AC534" s="113"/>
      <c r="AD534" s="113"/>
      <c r="AE534" s="113"/>
      <c r="AF534" s="113"/>
      <c r="AG534" s="113"/>
    </row>
    <row r="535" spans="1:33" ht="13.8">
      <c r="A535" s="113"/>
      <c r="B535" s="113"/>
      <c r="C535" s="113"/>
      <c r="D535" s="113"/>
      <c r="E535" s="113"/>
      <c r="F535" s="113"/>
      <c r="G535" s="113"/>
      <c r="H535" s="113"/>
      <c r="I535" s="113"/>
      <c r="J535" s="113"/>
      <c r="K535" s="113"/>
      <c r="L535" s="113"/>
      <c r="M535" s="113"/>
      <c r="N535" s="113"/>
      <c r="O535" s="113"/>
      <c r="P535" s="113"/>
      <c r="Q535" s="113"/>
      <c r="R535" s="113"/>
      <c r="S535" s="113"/>
      <c r="T535" s="113"/>
      <c r="U535" s="113"/>
      <c r="V535" s="113"/>
      <c r="W535" s="113"/>
      <c r="X535" s="113"/>
      <c r="Y535" s="113"/>
      <c r="Z535" s="113"/>
      <c r="AA535" s="113"/>
      <c r="AB535" s="113"/>
      <c r="AC535" s="113"/>
      <c r="AD535" s="113"/>
      <c r="AE535" s="113"/>
      <c r="AF535" s="113"/>
      <c r="AG535" s="113"/>
    </row>
    <row r="536" spans="1:33" ht="13.8">
      <c r="A536" s="113"/>
      <c r="B536" s="113"/>
      <c r="C536" s="113"/>
      <c r="D536" s="113"/>
      <c r="E536" s="113"/>
      <c r="F536" s="113"/>
      <c r="G536" s="113"/>
      <c r="H536" s="113"/>
      <c r="I536" s="113"/>
      <c r="J536" s="113"/>
      <c r="K536" s="113"/>
      <c r="L536" s="113"/>
      <c r="M536" s="113"/>
      <c r="N536" s="113"/>
      <c r="O536" s="113"/>
      <c r="P536" s="113"/>
      <c r="Q536" s="113"/>
      <c r="R536" s="113"/>
      <c r="S536" s="113"/>
      <c r="T536" s="113"/>
      <c r="U536" s="113"/>
      <c r="V536" s="113"/>
      <c r="W536" s="113"/>
      <c r="X536" s="113"/>
      <c r="Y536" s="113"/>
      <c r="Z536" s="113"/>
      <c r="AA536" s="113"/>
      <c r="AB536" s="113"/>
      <c r="AC536" s="113"/>
      <c r="AD536" s="113"/>
      <c r="AE536" s="113"/>
      <c r="AF536" s="113"/>
      <c r="AG536" s="113"/>
    </row>
    <row r="537" spans="1:33" ht="13.8">
      <c r="A537" s="113"/>
      <c r="B537" s="113"/>
      <c r="C537" s="113"/>
      <c r="D537" s="113"/>
      <c r="E537" s="113"/>
      <c r="F537" s="113"/>
      <c r="G537" s="113"/>
      <c r="H537" s="113"/>
      <c r="I537" s="113"/>
      <c r="J537" s="113"/>
      <c r="K537" s="113"/>
      <c r="L537" s="113"/>
      <c r="M537" s="113"/>
      <c r="N537" s="113"/>
      <c r="O537" s="113"/>
      <c r="P537" s="113"/>
      <c r="Q537" s="113"/>
      <c r="R537" s="113"/>
      <c r="S537" s="113"/>
      <c r="T537" s="113"/>
      <c r="U537" s="113"/>
      <c r="V537" s="113"/>
      <c r="W537" s="113"/>
      <c r="X537" s="113"/>
      <c r="Y537" s="113"/>
      <c r="Z537" s="113"/>
      <c r="AA537" s="113"/>
      <c r="AB537" s="113"/>
      <c r="AC537" s="113"/>
      <c r="AD537" s="113"/>
      <c r="AE537" s="113"/>
      <c r="AF537" s="113"/>
      <c r="AG537" s="113"/>
    </row>
    <row r="538" spans="1:33" ht="13.8">
      <c r="A538" s="113"/>
      <c r="B538" s="113"/>
      <c r="C538" s="113"/>
      <c r="D538" s="113"/>
      <c r="E538" s="113"/>
      <c r="F538" s="113"/>
      <c r="G538" s="113"/>
      <c r="H538" s="113"/>
      <c r="I538" s="113"/>
      <c r="J538" s="113"/>
      <c r="K538" s="113"/>
      <c r="L538" s="113"/>
      <c r="M538" s="113"/>
      <c r="N538" s="113"/>
      <c r="O538" s="113"/>
      <c r="P538" s="113"/>
      <c r="Q538" s="113"/>
      <c r="R538" s="113"/>
      <c r="S538" s="113"/>
      <c r="T538" s="113"/>
      <c r="U538" s="113"/>
      <c r="V538" s="113"/>
      <c r="W538" s="113"/>
      <c r="X538" s="113"/>
      <c r="Y538" s="113"/>
      <c r="Z538" s="113"/>
      <c r="AA538" s="113"/>
      <c r="AB538" s="113"/>
      <c r="AC538" s="113"/>
      <c r="AD538" s="113"/>
      <c r="AE538" s="113"/>
      <c r="AF538" s="113"/>
      <c r="AG538" s="113"/>
    </row>
    <row r="539" spans="1:33" ht="13.8">
      <c r="A539" s="113"/>
      <c r="B539" s="113"/>
      <c r="C539" s="113"/>
      <c r="D539" s="113"/>
      <c r="E539" s="113"/>
      <c r="F539" s="113"/>
      <c r="G539" s="113"/>
      <c r="H539" s="113"/>
      <c r="I539" s="113"/>
      <c r="J539" s="113"/>
      <c r="K539" s="113"/>
      <c r="L539" s="113"/>
      <c r="M539" s="113"/>
      <c r="N539" s="113"/>
      <c r="O539" s="113"/>
      <c r="P539" s="113"/>
      <c r="Q539" s="113"/>
      <c r="R539" s="113"/>
      <c r="S539" s="113"/>
      <c r="T539" s="113"/>
      <c r="U539" s="113"/>
      <c r="V539" s="113"/>
      <c r="W539" s="113"/>
      <c r="X539" s="113"/>
      <c r="Y539" s="113"/>
      <c r="Z539" s="113"/>
      <c r="AA539" s="113"/>
      <c r="AB539" s="113"/>
      <c r="AC539" s="113"/>
      <c r="AD539" s="113"/>
      <c r="AE539" s="113"/>
      <c r="AF539" s="113"/>
      <c r="AG539" s="113"/>
    </row>
    <row r="540" spans="1:33" ht="13.8">
      <c r="A540" s="113"/>
      <c r="B540" s="113"/>
      <c r="C540" s="113"/>
      <c r="D540" s="113"/>
      <c r="E540" s="113"/>
      <c r="F540" s="113"/>
      <c r="G540" s="113"/>
      <c r="H540" s="113"/>
      <c r="I540" s="113"/>
      <c r="J540" s="113"/>
      <c r="K540" s="113"/>
      <c r="L540" s="113"/>
      <c r="M540" s="113"/>
      <c r="N540" s="113"/>
      <c r="O540" s="113"/>
      <c r="P540" s="113"/>
      <c r="Q540" s="113"/>
      <c r="R540" s="113"/>
      <c r="S540" s="113"/>
      <c r="T540" s="113"/>
      <c r="U540" s="113"/>
      <c r="V540" s="113"/>
      <c r="W540" s="113"/>
      <c r="X540" s="113"/>
      <c r="Y540" s="113"/>
      <c r="Z540" s="113"/>
      <c r="AA540" s="113"/>
      <c r="AB540" s="113"/>
      <c r="AC540" s="113"/>
      <c r="AD540" s="113"/>
      <c r="AE540" s="113"/>
      <c r="AF540" s="113"/>
      <c r="AG540" s="113"/>
    </row>
    <row r="541" spans="1:33" ht="13.8">
      <c r="A541" s="113"/>
      <c r="B541" s="113"/>
      <c r="C541" s="113"/>
      <c r="D541" s="113"/>
      <c r="E541" s="113"/>
      <c r="F541" s="113"/>
      <c r="G541" s="113"/>
      <c r="H541" s="113"/>
      <c r="I541" s="113"/>
      <c r="J541" s="113"/>
      <c r="K541" s="113"/>
      <c r="L541" s="113"/>
      <c r="M541" s="113"/>
      <c r="N541" s="113"/>
      <c r="O541" s="113"/>
      <c r="P541" s="113"/>
      <c r="Q541" s="113"/>
      <c r="R541" s="113"/>
      <c r="S541" s="113"/>
      <c r="T541" s="113"/>
      <c r="U541" s="113"/>
      <c r="V541" s="113"/>
      <c r="W541" s="113"/>
      <c r="X541" s="113"/>
      <c r="Y541" s="113"/>
      <c r="Z541" s="113"/>
      <c r="AA541" s="113"/>
      <c r="AB541" s="113"/>
      <c r="AC541" s="113"/>
      <c r="AD541" s="113"/>
      <c r="AE541" s="113"/>
      <c r="AF541" s="113"/>
      <c r="AG541" s="113"/>
    </row>
    <row r="542" spans="1:33" ht="13.8">
      <c r="A542" s="113"/>
      <c r="B542" s="113"/>
      <c r="C542" s="113"/>
      <c r="D542" s="113"/>
      <c r="E542" s="113"/>
      <c r="F542" s="113"/>
      <c r="G542" s="113"/>
      <c r="H542" s="113"/>
      <c r="I542" s="113"/>
      <c r="J542" s="113"/>
      <c r="K542" s="113"/>
      <c r="L542" s="113"/>
      <c r="M542" s="113"/>
      <c r="N542" s="113"/>
      <c r="O542" s="113"/>
      <c r="P542" s="113"/>
      <c r="Q542" s="113"/>
      <c r="R542" s="113"/>
      <c r="S542" s="113"/>
      <c r="T542" s="113"/>
      <c r="U542" s="113"/>
      <c r="V542" s="113"/>
      <c r="W542" s="113"/>
      <c r="X542" s="113"/>
      <c r="Y542" s="113"/>
      <c r="Z542" s="113"/>
      <c r="AA542" s="113"/>
      <c r="AB542" s="113"/>
      <c r="AC542" s="113"/>
      <c r="AD542" s="113"/>
      <c r="AE542" s="113"/>
      <c r="AF542" s="113"/>
      <c r="AG542" s="113"/>
    </row>
    <row r="543" spans="1:33" ht="13.8">
      <c r="A543" s="113"/>
      <c r="B543" s="113"/>
      <c r="C543" s="113"/>
      <c r="D543" s="113"/>
      <c r="E543" s="113"/>
      <c r="F543" s="113"/>
      <c r="G543" s="113"/>
      <c r="H543" s="113"/>
      <c r="I543" s="113"/>
      <c r="J543" s="113"/>
      <c r="K543" s="113"/>
      <c r="L543" s="113"/>
      <c r="M543" s="113"/>
      <c r="N543" s="113"/>
      <c r="O543" s="113"/>
      <c r="P543" s="113"/>
      <c r="Q543" s="113"/>
      <c r="R543" s="113"/>
      <c r="S543" s="113"/>
      <c r="T543" s="113"/>
      <c r="U543" s="113"/>
      <c r="V543" s="113"/>
      <c r="W543" s="113"/>
      <c r="X543" s="113"/>
      <c r="Y543" s="113"/>
      <c r="Z543" s="113"/>
      <c r="AA543" s="113"/>
      <c r="AB543" s="113"/>
      <c r="AC543" s="113"/>
      <c r="AD543" s="113"/>
      <c r="AE543" s="113"/>
      <c r="AF543" s="113"/>
      <c r="AG543" s="113"/>
    </row>
    <row r="544" spans="1:33" ht="13.8">
      <c r="A544" s="113"/>
      <c r="B544" s="113"/>
      <c r="C544" s="113"/>
      <c r="D544" s="113"/>
      <c r="E544" s="113"/>
      <c r="F544" s="113"/>
      <c r="G544" s="113"/>
      <c r="H544" s="113"/>
      <c r="I544" s="113"/>
      <c r="J544" s="113"/>
      <c r="K544" s="113"/>
      <c r="L544" s="113"/>
      <c r="M544" s="113"/>
      <c r="N544" s="113"/>
      <c r="O544" s="113"/>
      <c r="P544" s="113"/>
      <c r="Q544" s="113"/>
      <c r="R544" s="113"/>
      <c r="S544" s="113"/>
      <c r="T544" s="113"/>
      <c r="U544" s="113"/>
      <c r="V544" s="113"/>
      <c r="W544" s="113"/>
      <c r="X544" s="113"/>
      <c r="Y544" s="113"/>
      <c r="Z544" s="113"/>
      <c r="AA544" s="113"/>
      <c r="AB544" s="113"/>
      <c r="AC544" s="113"/>
      <c r="AD544" s="113"/>
      <c r="AE544" s="113"/>
      <c r="AF544" s="113"/>
      <c r="AG544" s="113"/>
    </row>
    <row r="545" spans="1:33" ht="13.8">
      <c r="A545" s="113"/>
      <c r="B545" s="113"/>
      <c r="C545" s="113"/>
      <c r="D545" s="113"/>
      <c r="E545" s="113"/>
      <c r="F545" s="113"/>
      <c r="G545" s="113"/>
      <c r="H545" s="113"/>
      <c r="I545" s="113"/>
      <c r="J545" s="113"/>
      <c r="K545" s="113"/>
      <c r="L545" s="113"/>
      <c r="M545" s="113"/>
      <c r="N545" s="113"/>
      <c r="O545" s="113"/>
      <c r="P545" s="113"/>
      <c r="Q545" s="113"/>
      <c r="R545" s="113"/>
      <c r="S545" s="113"/>
      <c r="T545" s="113"/>
      <c r="U545" s="113"/>
      <c r="V545" s="113"/>
      <c r="W545" s="113"/>
      <c r="X545" s="113"/>
      <c r="Y545" s="113"/>
      <c r="Z545" s="113"/>
      <c r="AA545" s="113"/>
      <c r="AB545" s="113"/>
      <c r="AC545" s="113"/>
      <c r="AD545" s="113"/>
      <c r="AE545" s="113"/>
      <c r="AF545" s="113"/>
      <c r="AG545" s="113"/>
    </row>
    <row r="546" spans="1:33" ht="13.8">
      <c r="A546" s="113"/>
      <c r="B546" s="113"/>
      <c r="C546" s="113"/>
      <c r="D546" s="113"/>
      <c r="E546" s="113"/>
      <c r="F546" s="113"/>
      <c r="G546" s="113"/>
      <c r="H546" s="113"/>
      <c r="I546" s="113"/>
      <c r="J546" s="113"/>
      <c r="K546" s="113"/>
      <c r="L546" s="113"/>
      <c r="M546" s="113"/>
      <c r="N546" s="113"/>
      <c r="O546" s="113"/>
      <c r="P546" s="113"/>
      <c r="Q546" s="113"/>
      <c r="R546" s="113"/>
      <c r="S546" s="113"/>
      <c r="T546" s="113"/>
      <c r="U546" s="113"/>
      <c r="V546" s="113"/>
      <c r="W546" s="113"/>
      <c r="X546" s="113"/>
      <c r="Y546" s="113"/>
      <c r="Z546" s="113"/>
      <c r="AA546" s="113"/>
      <c r="AB546" s="113"/>
      <c r="AC546" s="113"/>
      <c r="AD546" s="113"/>
      <c r="AE546" s="113"/>
      <c r="AF546" s="113"/>
      <c r="AG546" s="113"/>
    </row>
    <row r="547" spans="1:33" ht="13.8">
      <c r="A547" s="113"/>
      <c r="B547" s="113"/>
      <c r="C547" s="113"/>
      <c r="D547" s="113"/>
      <c r="E547" s="113"/>
      <c r="F547" s="113"/>
      <c r="G547" s="113"/>
      <c r="H547" s="113"/>
      <c r="I547" s="113"/>
      <c r="J547" s="113"/>
      <c r="K547" s="113"/>
      <c r="L547" s="113"/>
      <c r="M547" s="113"/>
      <c r="N547" s="113"/>
      <c r="O547" s="113"/>
      <c r="P547" s="113"/>
      <c r="Q547" s="113"/>
      <c r="R547" s="113"/>
      <c r="S547" s="113"/>
      <c r="T547" s="113"/>
      <c r="U547" s="113"/>
      <c r="V547" s="113"/>
      <c r="W547" s="113"/>
      <c r="X547" s="113"/>
      <c r="Y547" s="113"/>
      <c r="Z547" s="113"/>
      <c r="AA547" s="113"/>
      <c r="AB547" s="113"/>
      <c r="AC547" s="113"/>
      <c r="AD547" s="113"/>
      <c r="AE547" s="113"/>
      <c r="AF547" s="113"/>
      <c r="AG547" s="113"/>
    </row>
    <row r="548" spans="1:33" ht="13.8">
      <c r="A548" s="113"/>
      <c r="B548" s="113"/>
      <c r="C548" s="113"/>
      <c r="D548" s="113"/>
      <c r="E548" s="113"/>
      <c r="F548" s="113"/>
      <c r="G548" s="113"/>
      <c r="H548" s="113"/>
      <c r="I548" s="113"/>
      <c r="J548" s="113"/>
      <c r="K548" s="113"/>
      <c r="L548" s="113"/>
      <c r="M548" s="113"/>
      <c r="N548" s="113"/>
      <c r="O548" s="113"/>
      <c r="P548" s="113"/>
      <c r="Q548" s="113"/>
      <c r="R548" s="113"/>
      <c r="S548" s="113"/>
      <c r="T548" s="113"/>
      <c r="U548" s="113"/>
      <c r="V548" s="113"/>
      <c r="W548" s="113"/>
      <c r="X548" s="113"/>
      <c r="Y548" s="113"/>
      <c r="Z548" s="113"/>
      <c r="AA548" s="113"/>
      <c r="AB548" s="113"/>
      <c r="AC548" s="113"/>
      <c r="AD548" s="113"/>
      <c r="AE548" s="113"/>
      <c r="AF548" s="113"/>
      <c r="AG548" s="113"/>
    </row>
    <row r="549" spans="1:33" ht="13.8">
      <c r="A549" s="113"/>
      <c r="B549" s="113"/>
      <c r="C549" s="113"/>
      <c r="D549" s="113"/>
      <c r="E549" s="113"/>
      <c r="F549" s="113"/>
      <c r="G549" s="113"/>
      <c r="H549" s="113"/>
      <c r="I549" s="113"/>
      <c r="J549" s="113"/>
      <c r="K549" s="113"/>
      <c r="L549" s="113"/>
      <c r="M549" s="113"/>
      <c r="N549" s="113"/>
      <c r="O549" s="113"/>
      <c r="P549" s="113"/>
      <c r="Q549" s="113"/>
      <c r="R549" s="113"/>
      <c r="S549" s="113"/>
      <c r="T549" s="113"/>
      <c r="U549" s="113"/>
      <c r="V549" s="113"/>
      <c r="W549" s="113"/>
      <c r="X549" s="113"/>
      <c r="Y549" s="113"/>
      <c r="Z549" s="113"/>
      <c r="AA549" s="113"/>
      <c r="AB549" s="113"/>
      <c r="AC549" s="113"/>
      <c r="AD549" s="113"/>
      <c r="AE549" s="113"/>
      <c r="AF549" s="113"/>
      <c r="AG549" s="113"/>
    </row>
    <row r="550" spans="1:33" ht="13.8">
      <c r="A550" s="113"/>
      <c r="B550" s="113"/>
      <c r="C550" s="113"/>
      <c r="D550" s="113"/>
      <c r="E550" s="113"/>
      <c r="F550" s="113"/>
      <c r="G550" s="113"/>
      <c r="H550" s="113"/>
      <c r="I550" s="113"/>
      <c r="J550" s="113"/>
      <c r="K550" s="113"/>
      <c r="L550" s="113"/>
      <c r="M550" s="113"/>
      <c r="N550" s="113"/>
      <c r="O550" s="113"/>
      <c r="P550" s="113"/>
      <c r="Q550" s="113"/>
      <c r="R550" s="113"/>
      <c r="S550" s="113"/>
      <c r="T550" s="113"/>
      <c r="U550" s="113"/>
      <c r="V550" s="113"/>
      <c r="W550" s="113"/>
      <c r="X550" s="113"/>
      <c r="Y550" s="113"/>
      <c r="Z550" s="113"/>
      <c r="AA550" s="113"/>
      <c r="AB550" s="113"/>
      <c r="AC550" s="113"/>
      <c r="AD550" s="113"/>
      <c r="AE550" s="113"/>
      <c r="AF550" s="113"/>
      <c r="AG550" s="113"/>
    </row>
    <row r="551" spans="1:33" ht="13.8">
      <c r="A551" s="113"/>
      <c r="B551" s="113"/>
      <c r="C551" s="113"/>
      <c r="D551" s="113"/>
      <c r="E551" s="113"/>
      <c r="F551" s="113"/>
      <c r="G551" s="113"/>
      <c r="H551" s="113"/>
      <c r="I551" s="113"/>
      <c r="J551" s="113"/>
      <c r="K551" s="113"/>
      <c r="L551" s="113"/>
      <c r="M551" s="113"/>
      <c r="N551" s="113"/>
      <c r="O551" s="113"/>
      <c r="P551" s="113"/>
      <c r="Q551" s="113"/>
      <c r="R551" s="113"/>
      <c r="S551" s="113"/>
      <c r="T551" s="113"/>
      <c r="U551" s="113"/>
      <c r="V551" s="113"/>
      <c r="W551" s="113"/>
      <c r="X551" s="113"/>
      <c r="Y551" s="113"/>
      <c r="Z551" s="113"/>
      <c r="AA551" s="113"/>
      <c r="AB551" s="113"/>
      <c r="AC551" s="113"/>
      <c r="AD551" s="113"/>
      <c r="AE551" s="113"/>
      <c r="AF551" s="113"/>
      <c r="AG551" s="113"/>
    </row>
    <row r="552" spans="1:33" ht="13.8">
      <c r="A552" s="113"/>
      <c r="B552" s="113"/>
      <c r="C552" s="113"/>
      <c r="D552" s="113"/>
      <c r="E552" s="113"/>
      <c r="F552" s="113"/>
      <c r="G552" s="113"/>
      <c r="H552" s="113"/>
      <c r="I552" s="113"/>
      <c r="J552" s="113"/>
      <c r="K552" s="113"/>
      <c r="L552" s="113"/>
      <c r="M552" s="113"/>
      <c r="N552" s="113"/>
      <c r="O552" s="113"/>
      <c r="P552" s="113"/>
      <c r="Q552" s="113"/>
      <c r="R552" s="113"/>
      <c r="S552" s="113"/>
      <c r="T552" s="113"/>
      <c r="U552" s="113"/>
      <c r="V552" s="113"/>
      <c r="W552" s="113"/>
      <c r="X552" s="113"/>
      <c r="Y552" s="113"/>
      <c r="Z552" s="113"/>
      <c r="AA552" s="113"/>
      <c r="AB552" s="113"/>
      <c r="AC552" s="113"/>
      <c r="AD552" s="113"/>
      <c r="AE552" s="113"/>
      <c r="AF552" s="113"/>
      <c r="AG552" s="113"/>
    </row>
    <row r="553" spans="1:33" ht="13.8">
      <c r="A553" s="113"/>
      <c r="B553" s="113"/>
      <c r="C553" s="113"/>
      <c r="D553" s="113"/>
      <c r="E553" s="113"/>
      <c r="F553" s="113"/>
      <c r="G553" s="113"/>
      <c r="H553" s="113"/>
      <c r="I553" s="113"/>
      <c r="J553" s="113"/>
      <c r="K553" s="113"/>
      <c r="L553" s="113"/>
      <c r="M553" s="113"/>
      <c r="N553" s="113"/>
      <c r="O553" s="113"/>
      <c r="P553" s="113"/>
      <c r="Q553" s="113"/>
      <c r="R553" s="113"/>
      <c r="S553" s="113"/>
      <c r="T553" s="113"/>
      <c r="U553" s="113"/>
      <c r="V553" s="113"/>
      <c r="W553" s="113"/>
      <c r="X553" s="113"/>
      <c r="Y553" s="113"/>
      <c r="Z553" s="113"/>
      <c r="AA553" s="113"/>
      <c r="AB553" s="113"/>
      <c r="AC553" s="113"/>
      <c r="AD553" s="113"/>
      <c r="AE553" s="113"/>
      <c r="AF553" s="113"/>
      <c r="AG553" s="113"/>
    </row>
    <row r="554" spans="1:33" ht="13.8">
      <c r="A554" s="113"/>
      <c r="B554" s="113"/>
      <c r="C554" s="113"/>
      <c r="D554" s="113"/>
      <c r="E554" s="113"/>
      <c r="F554" s="113"/>
      <c r="G554" s="113"/>
      <c r="H554" s="113"/>
      <c r="I554" s="113"/>
      <c r="J554" s="113"/>
      <c r="K554" s="113"/>
      <c r="L554" s="113"/>
      <c r="M554" s="113"/>
      <c r="N554" s="113"/>
      <c r="O554" s="113"/>
      <c r="P554" s="113"/>
      <c r="Q554" s="113"/>
      <c r="R554" s="113"/>
      <c r="S554" s="113"/>
      <c r="T554" s="113"/>
      <c r="U554" s="113"/>
      <c r="V554" s="113"/>
      <c r="W554" s="113"/>
      <c r="X554" s="113"/>
      <c r="Y554" s="113"/>
      <c r="Z554" s="113"/>
      <c r="AA554" s="113"/>
      <c r="AB554" s="113"/>
      <c r="AC554" s="113"/>
      <c r="AD554" s="113"/>
      <c r="AE554" s="113"/>
      <c r="AF554" s="113"/>
      <c r="AG554" s="113"/>
    </row>
    <row r="555" spans="1:33" ht="13.8">
      <c r="A555" s="113"/>
      <c r="B555" s="113"/>
      <c r="C555" s="113"/>
      <c r="D555" s="113"/>
      <c r="E555" s="113"/>
      <c r="F555" s="113"/>
      <c r="G555" s="113"/>
      <c r="H555" s="113"/>
      <c r="I555" s="113"/>
      <c r="J555" s="113"/>
      <c r="K555" s="113"/>
      <c r="L555" s="113"/>
      <c r="M555" s="113"/>
      <c r="N555" s="113"/>
      <c r="O555" s="113"/>
      <c r="P555" s="113"/>
      <c r="Q555" s="113"/>
      <c r="R555" s="113"/>
      <c r="S555" s="113"/>
      <c r="T555" s="113"/>
      <c r="U555" s="113"/>
      <c r="V555" s="113"/>
      <c r="W555" s="113"/>
      <c r="X555" s="113"/>
      <c r="Y555" s="113"/>
      <c r="Z555" s="113"/>
      <c r="AA555" s="113"/>
      <c r="AB555" s="113"/>
      <c r="AC555" s="113"/>
      <c r="AD555" s="113"/>
      <c r="AE555" s="113"/>
      <c r="AF555" s="113"/>
      <c r="AG555" s="113"/>
    </row>
    <row r="556" spans="1:33" ht="13.8">
      <c r="A556" s="113"/>
      <c r="B556" s="113"/>
      <c r="C556" s="113"/>
      <c r="D556" s="113"/>
      <c r="E556" s="113"/>
      <c r="F556" s="113"/>
      <c r="G556" s="113"/>
      <c r="H556" s="113"/>
      <c r="I556" s="113"/>
      <c r="J556" s="113"/>
      <c r="K556" s="113"/>
      <c r="L556" s="113"/>
      <c r="M556" s="113"/>
      <c r="N556" s="113"/>
      <c r="O556" s="113"/>
      <c r="P556" s="113"/>
      <c r="Q556" s="113"/>
      <c r="R556" s="113"/>
      <c r="S556" s="113"/>
      <c r="T556" s="113"/>
      <c r="U556" s="113"/>
      <c r="V556" s="113"/>
      <c r="W556" s="113"/>
      <c r="X556" s="113"/>
      <c r="Y556" s="113"/>
      <c r="Z556" s="113"/>
      <c r="AA556" s="113"/>
      <c r="AB556" s="113"/>
      <c r="AC556" s="113"/>
      <c r="AD556" s="113"/>
      <c r="AE556" s="113"/>
      <c r="AF556" s="113"/>
      <c r="AG556" s="113"/>
    </row>
    <row r="557" spans="1:33" ht="13.8">
      <c r="A557" s="113"/>
      <c r="B557" s="113"/>
      <c r="C557" s="113"/>
      <c r="D557" s="113"/>
      <c r="E557" s="113"/>
      <c r="F557" s="113"/>
      <c r="G557" s="113"/>
      <c r="H557" s="113"/>
      <c r="I557" s="113"/>
      <c r="J557" s="113"/>
      <c r="K557" s="113"/>
      <c r="L557" s="113"/>
      <c r="M557" s="113"/>
      <c r="N557" s="113"/>
      <c r="O557" s="113"/>
      <c r="P557" s="113"/>
      <c r="Q557" s="113"/>
      <c r="R557" s="113"/>
      <c r="S557" s="113"/>
      <c r="T557" s="113"/>
      <c r="U557" s="113"/>
      <c r="V557" s="113"/>
      <c r="W557" s="113"/>
      <c r="X557" s="113"/>
      <c r="Y557" s="113"/>
      <c r="Z557" s="113"/>
      <c r="AA557" s="113"/>
      <c r="AB557" s="113"/>
      <c r="AC557" s="113"/>
      <c r="AD557" s="113"/>
      <c r="AE557" s="113"/>
      <c r="AF557" s="113"/>
      <c r="AG557" s="113"/>
    </row>
    <row r="558" spans="1:33" ht="13.8">
      <c r="A558" s="113"/>
      <c r="B558" s="113"/>
      <c r="C558" s="113"/>
      <c r="D558" s="113"/>
      <c r="E558" s="113"/>
      <c r="F558" s="113"/>
      <c r="G558" s="113"/>
      <c r="H558" s="113"/>
      <c r="I558" s="113"/>
      <c r="J558" s="113"/>
      <c r="K558" s="113"/>
      <c r="L558" s="113"/>
      <c r="M558" s="113"/>
      <c r="N558" s="113"/>
      <c r="O558" s="113"/>
      <c r="P558" s="113"/>
      <c r="Q558" s="113"/>
      <c r="R558" s="113"/>
      <c r="S558" s="113"/>
      <c r="T558" s="113"/>
      <c r="U558" s="113"/>
      <c r="V558" s="113"/>
      <c r="W558" s="113"/>
      <c r="X558" s="113"/>
      <c r="Y558" s="113"/>
      <c r="Z558" s="113"/>
      <c r="AA558" s="113"/>
      <c r="AB558" s="113"/>
      <c r="AC558" s="113"/>
      <c r="AD558" s="113"/>
      <c r="AE558" s="113"/>
      <c r="AF558" s="113"/>
      <c r="AG558" s="113"/>
    </row>
    <row r="559" spans="1:33" ht="13.8">
      <c r="A559" s="113"/>
      <c r="B559" s="113"/>
      <c r="C559" s="113"/>
      <c r="D559" s="113"/>
      <c r="E559" s="113"/>
      <c r="F559" s="113"/>
      <c r="G559" s="113"/>
      <c r="H559" s="113"/>
      <c r="I559" s="113"/>
      <c r="J559" s="113"/>
      <c r="K559" s="113"/>
      <c r="L559" s="113"/>
      <c r="M559" s="113"/>
      <c r="N559" s="113"/>
      <c r="O559" s="113"/>
      <c r="P559" s="113"/>
      <c r="Q559" s="113"/>
      <c r="R559" s="113"/>
      <c r="S559" s="113"/>
      <c r="T559" s="113"/>
      <c r="U559" s="113"/>
      <c r="V559" s="113"/>
      <c r="W559" s="113"/>
      <c r="X559" s="113"/>
      <c r="Y559" s="113"/>
      <c r="Z559" s="113"/>
      <c r="AA559" s="113"/>
      <c r="AB559" s="113"/>
      <c r="AC559" s="113"/>
      <c r="AD559" s="113"/>
      <c r="AE559" s="113"/>
      <c r="AF559" s="113"/>
      <c r="AG559" s="113"/>
    </row>
    <row r="560" spans="1:33" ht="13.8">
      <c r="A560" s="113"/>
      <c r="B560" s="113"/>
      <c r="C560" s="113"/>
      <c r="D560" s="113"/>
      <c r="E560" s="113"/>
      <c r="F560" s="113"/>
      <c r="G560" s="113"/>
      <c r="H560" s="113"/>
      <c r="I560" s="113"/>
      <c r="J560" s="113"/>
      <c r="K560" s="113"/>
      <c r="L560" s="113"/>
      <c r="M560" s="113"/>
      <c r="N560" s="113"/>
      <c r="O560" s="113"/>
      <c r="P560" s="113"/>
      <c r="Q560" s="113"/>
      <c r="R560" s="113"/>
      <c r="S560" s="113"/>
      <c r="T560" s="113"/>
      <c r="U560" s="113"/>
      <c r="V560" s="113"/>
      <c r="W560" s="113"/>
      <c r="X560" s="113"/>
      <c r="Y560" s="113"/>
      <c r="Z560" s="113"/>
      <c r="AA560" s="113"/>
      <c r="AB560" s="113"/>
      <c r="AC560" s="113"/>
      <c r="AD560" s="113"/>
      <c r="AE560" s="113"/>
      <c r="AF560" s="113"/>
      <c r="AG560" s="113"/>
    </row>
    <row r="561" spans="1:33" ht="13.8">
      <c r="A561" s="113"/>
      <c r="B561" s="113"/>
      <c r="C561" s="113"/>
      <c r="D561" s="113"/>
      <c r="E561" s="113"/>
      <c r="F561" s="113"/>
      <c r="G561" s="113"/>
      <c r="H561" s="113"/>
      <c r="I561" s="113"/>
      <c r="J561" s="113"/>
      <c r="K561" s="113"/>
      <c r="L561" s="113"/>
      <c r="M561" s="113"/>
      <c r="N561" s="113"/>
      <c r="O561" s="113"/>
      <c r="P561" s="113"/>
      <c r="Q561" s="113"/>
      <c r="R561" s="113"/>
      <c r="S561" s="113"/>
      <c r="T561" s="113"/>
      <c r="U561" s="113"/>
      <c r="V561" s="113"/>
      <c r="W561" s="113"/>
      <c r="X561" s="113"/>
      <c r="Y561" s="113"/>
      <c r="Z561" s="113"/>
      <c r="AA561" s="113"/>
      <c r="AB561" s="113"/>
      <c r="AC561" s="113"/>
      <c r="AD561" s="113"/>
      <c r="AE561" s="113"/>
      <c r="AF561" s="113"/>
      <c r="AG561" s="113"/>
    </row>
    <row r="562" spans="1:33" ht="13.8">
      <c r="A562" s="113"/>
      <c r="B562" s="113"/>
      <c r="C562" s="113"/>
      <c r="D562" s="113"/>
      <c r="E562" s="113"/>
      <c r="F562" s="113"/>
      <c r="G562" s="113"/>
      <c r="H562" s="113"/>
      <c r="I562" s="113"/>
      <c r="J562" s="113"/>
      <c r="K562" s="113"/>
      <c r="L562" s="113"/>
      <c r="M562" s="113"/>
      <c r="N562" s="113"/>
      <c r="O562" s="113"/>
      <c r="P562" s="113"/>
      <c r="Q562" s="113"/>
      <c r="R562" s="113"/>
      <c r="S562" s="113"/>
      <c r="T562" s="113"/>
      <c r="U562" s="113"/>
      <c r="V562" s="113"/>
      <c r="W562" s="113"/>
      <c r="X562" s="113"/>
      <c r="Y562" s="113"/>
      <c r="Z562" s="113"/>
      <c r="AA562" s="113"/>
      <c r="AB562" s="113"/>
      <c r="AC562" s="113"/>
      <c r="AD562" s="113"/>
      <c r="AE562" s="113"/>
      <c r="AF562" s="113"/>
      <c r="AG562" s="113"/>
    </row>
    <row r="563" spans="1:33" ht="13.8">
      <c r="A563" s="113"/>
      <c r="B563" s="113"/>
      <c r="C563" s="113"/>
      <c r="D563" s="113"/>
      <c r="E563" s="113"/>
      <c r="F563" s="113"/>
      <c r="G563" s="113"/>
      <c r="H563" s="113"/>
      <c r="I563" s="113"/>
      <c r="J563" s="113"/>
      <c r="K563" s="113"/>
      <c r="L563" s="113"/>
      <c r="M563" s="113"/>
      <c r="N563" s="113"/>
      <c r="O563" s="113"/>
      <c r="P563" s="113"/>
      <c r="Q563" s="113"/>
      <c r="R563" s="113"/>
      <c r="S563" s="113"/>
      <c r="T563" s="113"/>
      <c r="U563" s="113"/>
      <c r="V563" s="113"/>
      <c r="W563" s="113"/>
      <c r="X563" s="113"/>
      <c r="Y563" s="113"/>
      <c r="Z563" s="113"/>
      <c r="AA563" s="113"/>
      <c r="AB563" s="113"/>
      <c r="AC563" s="113"/>
      <c r="AD563" s="113"/>
      <c r="AE563" s="113"/>
      <c r="AF563" s="113"/>
      <c r="AG563" s="113"/>
    </row>
    <row r="564" spans="1:33" ht="13.8">
      <c r="A564" s="113"/>
      <c r="B564" s="113"/>
      <c r="C564" s="113"/>
      <c r="D564" s="113"/>
      <c r="E564" s="113"/>
      <c r="F564" s="113"/>
      <c r="G564" s="113"/>
      <c r="H564" s="113"/>
      <c r="I564" s="113"/>
      <c r="J564" s="113"/>
      <c r="K564" s="113"/>
      <c r="L564" s="113"/>
      <c r="M564" s="113"/>
      <c r="N564" s="113"/>
      <c r="O564" s="113"/>
      <c r="P564" s="113"/>
      <c r="Q564" s="113"/>
      <c r="R564" s="113"/>
      <c r="S564" s="113"/>
      <c r="T564" s="113"/>
      <c r="U564" s="113"/>
      <c r="V564" s="113"/>
      <c r="W564" s="113"/>
      <c r="X564" s="113"/>
      <c r="Y564" s="113"/>
      <c r="Z564" s="113"/>
      <c r="AA564" s="113"/>
      <c r="AB564" s="113"/>
      <c r="AC564" s="113"/>
      <c r="AD564" s="113"/>
      <c r="AE564" s="113"/>
      <c r="AF564" s="113"/>
      <c r="AG564" s="113"/>
    </row>
    <row r="565" spans="1:33" ht="13.8">
      <c r="A565" s="113"/>
      <c r="B565" s="113"/>
      <c r="C565" s="113"/>
      <c r="D565" s="113"/>
      <c r="E565" s="113"/>
      <c r="F565" s="113"/>
      <c r="G565" s="113"/>
      <c r="H565" s="113"/>
      <c r="I565" s="113"/>
      <c r="J565" s="113"/>
      <c r="K565" s="113"/>
      <c r="L565" s="113"/>
      <c r="M565" s="113"/>
      <c r="N565" s="113"/>
      <c r="O565" s="113"/>
      <c r="P565" s="113"/>
      <c r="Q565" s="113"/>
      <c r="R565" s="113"/>
      <c r="S565" s="113"/>
      <c r="T565" s="113"/>
      <c r="U565" s="113"/>
      <c r="V565" s="113"/>
      <c r="W565" s="113"/>
      <c r="X565" s="113"/>
      <c r="Y565" s="113"/>
      <c r="Z565" s="113"/>
      <c r="AA565" s="113"/>
      <c r="AB565" s="113"/>
      <c r="AC565" s="113"/>
      <c r="AD565" s="113"/>
      <c r="AE565" s="113"/>
      <c r="AF565" s="113"/>
      <c r="AG565" s="113"/>
    </row>
    <row r="566" spans="1:33" ht="13.8">
      <c r="A566" s="113"/>
      <c r="B566" s="113"/>
      <c r="C566" s="113"/>
      <c r="D566" s="113"/>
      <c r="E566" s="113"/>
      <c r="F566" s="113"/>
      <c r="G566" s="113"/>
      <c r="H566" s="113"/>
      <c r="I566" s="113"/>
      <c r="J566" s="113"/>
      <c r="K566" s="113"/>
      <c r="L566" s="113"/>
      <c r="M566" s="113"/>
      <c r="N566" s="113"/>
      <c r="O566" s="113"/>
      <c r="P566" s="113"/>
      <c r="Q566" s="113"/>
      <c r="R566" s="113"/>
      <c r="S566" s="113"/>
      <c r="T566" s="113"/>
      <c r="U566" s="113"/>
      <c r="V566" s="113"/>
      <c r="W566" s="113"/>
      <c r="X566" s="113"/>
      <c r="Y566" s="113"/>
      <c r="Z566" s="113"/>
      <c r="AA566" s="113"/>
      <c r="AB566" s="113"/>
      <c r="AC566" s="113"/>
      <c r="AD566" s="113"/>
      <c r="AE566" s="113"/>
      <c r="AF566" s="113"/>
      <c r="AG566" s="113"/>
    </row>
    <row r="567" spans="1:33" ht="13.8">
      <c r="A567" s="113"/>
      <c r="B567" s="113"/>
      <c r="C567" s="113"/>
      <c r="D567" s="113"/>
      <c r="E567" s="113"/>
      <c r="F567" s="113"/>
      <c r="G567" s="113"/>
      <c r="H567" s="113"/>
      <c r="I567" s="113"/>
      <c r="J567" s="113"/>
      <c r="K567" s="113"/>
      <c r="L567" s="113"/>
      <c r="M567" s="113"/>
      <c r="N567" s="113"/>
      <c r="O567" s="113"/>
      <c r="P567" s="113"/>
      <c r="Q567" s="113"/>
      <c r="R567" s="113"/>
      <c r="S567" s="113"/>
      <c r="T567" s="113"/>
      <c r="U567" s="113"/>
      <c r="V567" s="113"/>
      <c r="W567" s="113"/>
      <c r="X567" s="113"/>
      <c r="Y567" s="113"/>
      <c r="Z567" s="113"/>
      <c r="AA567" s="113"/>
      <c r="AB567" s="113"/>
      <c r="AC567" s="113"/>
      <c r="AD567" s="113"/>
      <c r="AE567" s="113"/>
      <c r="AF567" s="113"/>
      <c r="AG567" s="113"/>
    </row>
    <row r="568" spans="1:33" ht="13.8">
      <c r="A568" s="113"/>
      <c r="B568" s="113"/>
      <c r="C568" s="113"/>
      <c r="D568" s="113"/>
      <c r="E568" s="113"/>
      <c r="F568" s="113"/>
      <c r="G568" s="113"/>
      <c r="H568" s="113"/>
      <c r="I568" s="113"/>
      <c r="J568" s="113"/>
      <c r="K568" s="113"/>
      <c r="L568" s="113"/>
      <c r="M568" s="113"/>
      <c r="N568" s="113"/>
      <c r="O568" s="113"/>
      <c r="P568" s="113"/>
      <c r="Q568" s="113"/>
      <c r="R568" s="113"/>
      <c r="S568" s="113"/>
      <c r="T568" s="113"/>
      <c r="U568" s="113"/>
      <c r="V568" s="113"/>
      <c r="W568" s="113"/>
      <c r="X568" s="113"/>
      <c r="Y568" s="113"/>
      <c r="Z568" s="113"/>
      <c r="AA568" s="113"/>
      <c r="AB568" s="113"/>
      <c r="AC568" s="113"/>
      <c r="AD568" s="113"/>
      <c r="AE568" s="113"/>
      <c r="AF568" s="113"/>
      <c r="AG568" s="113"/>
    </row>
    <row r="569" spans="1:33" ht="13.8">
      <c r="A569" s="113"/>
      <c r="B569" s="113"/>
      <c r="C569" s="113"/>
      <c r="D569" s="113"/>
      <c r="E569" s="113"/>
      <c r="F569" s="113"/>
      <c r="G569" s="113"/>
      <c r="H569" s="113"/>
      <c r="I569" s="113"/>
      <c r="J569" s="113"/>
      <c r="K569" s="113"/>
      <c r="L569" s="113"/>
      <c r="M569" s="113"/>
      <c r="N569" s="113"/>
      <c r="O569" s="113"/>
      <c r="P569" s="113"/>
      <c r="Q569" s="113"/>
      <c r="R569" s="113"/>
      <c r="S569" s="113"/>
      <c r="T569" s="113"/>
      <c r="U569" s="113"/>
      <c r="V569" s="113"/>
      <c r="W569" s="113"/>
      <c r="X569" s="113"/>
      <c r="Y569" s="113"/>
      <c r="Z569" s="113"/>
      <c r="AA569" s="113"/>
      <c r="AB569" s="113"/>
      <c r="AC569" s="113"/>
      <c r="AD569" s="113"/>
      <c r="AE569" s="113"/>
      <c r="AF569" s="113"/>
      <c r="AG569" s="113"/>
    </row>
    <row r="570" spans="1:33" ht="13.8">
      <c r="A570" s="113"/>
      <c r="B570" s="113"/>
      <c r="C570" s="113"/>
      <c r="D570" s="113"/>
      <c r="E570" s="113"/>
      <c r="F570" s="113"/>
      <c r="G570" s="113"/>
      <c r="H570" s="113"/>
      <c r="I570" s="113"/>
      <c r="J570" s="113"/>
      <c r="K570" s="113"/>
      <c r="L570" s="113"/>
      <c r="M570" s="113"/>
      <c r="N570" s="113"/>
      <c r="O570" s="113"/>
      <c r="P570" s="113"/>
      <c r="Q570" s="113"/>
      <c r="R570" s="113"/>
      <c r="S570" s="113"/>
      <c r="T570" s="113"/>
      <c r="U570" s="113"/>
      <c r="V570" s="113"/>
      <c r="W570" s="113"/>
      <c r="X570" s="113"/>
      <c r="Y570" s="113"/>
      <c r="Z570" s="113"/>
      <c r="AA570" s="113"/>
      <c r="AB570" s="113"/>
      <c r="AC570" s="113"/>
      <c r="AD570" s="113"/>
      <c r="AE570" s="113"/>
      <c r="AF570" s="113"/>
      <c r="AG570" s="113"/>
    </row>
    <row r="571" spans="1:33" ht="13.8">
      <c r="A571" s="113"/>
      <c r="B571" s="113"/>
      <c r="C571" s="113"/>
      <c r="D571" s="113"/>
      <c r="E571" s="113"/>
      <c r="F571" s="113"/>
      <c r="G571" s="113"/>
      <c r="H571" s="113"/>
      <c r="I571" s="113"/>
      <c r="J571" s="113"/>
      <c r="K571" s="113"/>
      <c r="L571" s="113"/>
      <c r="M571" s="113"/>
      <c r="N571" s="113"/>
      <c r="O571" s="113"/>
      <c r="P571" s="113"/>
      <c r="Q571" s="113"/>
      <c r="R571" s="113"/>
      <c r="S571" s="113"/>
      <c r="T571" s="113"/>
      <c r="U571" s="113"/>
      <c r="V571" s="113"/>
      <c r="W571" s="113"/>
      <c r="X571" s="113"/>
      <c r="Y571" s="113"/>
      <c r="Z571" s="113"/>
      <c r="AA571" s="113"/>
      <c r="AB571" s="113"/>
      <c r="AC571" s="113"/>
      <c r="AD571" s="113"/>
      <c r="AE571" s="113"/>
      <c r="AF571" s="113"/>
      <c r="AG571" s="113"/>
    </row>
    <row r="572" spans="1:33" ht="13.8">
      <c r="A572" s="113"/>
      <c r="B572" s="113"/>
      <c r="C572" s="113"/>
      <c r="D572" s="113"/>
      <c r="E572" s="113"/>
      <c r="F572" s="113"/>
      <c r="G572" s="113"/>
      <c r="H572" s="113"/>
      <c r="I572" s="113"/>
      <c r="J572" s="113"/>
      <c r="K572" s="113"/>
      <c r="L572" s="113"/>
      <c r="M572" s="113"/>
      <c r="N572" s="113"/>
      <c r="O572" s="113"/>
      <c r="P572" s="113"/>
      <c r="Q572" s="113"/>
      <c r="R572" s="113"/>
      <c r="S572" s="113"/>
      <c r="T572" s="113"/>
      <c r="U572" s="113"/>
      <c r="V572" s="113"/>
      <c r="W572" s="113"/>
      <c r="X572" s="113"/>
      <c r="Y572" s="113"/>
      <c r="Z572" s="113"/>
      <c r="AA572" s="113"/>
      <c r="AB572" s="113"/>
      <c r="AC572" s="113"/>
      <c r="AD572" s="113"/>
      <c r="AE572" s="113"/>
      <c r="AF572" s="113"/>
      <c r="AG572" s="113"/>
    </row>
    <row r="573" spans="1:33" ht="13.8">
      <c r="A573" s="113"/>
      <c r="B573" s="113"/>
      <c r="C573" s="113"/>
      <c r="D573" s="113"/>
      <c r="E573" s="113"/>
      <c r="F573" s="113"/>
      <c r="G573" s="113"/>
      <c r="H573" s="113"/>
      <c r="I573" s="113"/>
      <c r="J573" s="113"/>
      <c r="K573" s="113"/>
      <c r="L573" s="113"/>
      <c r="M573" s="113"/>
      <c r="N573" s="113"/>
      <c r="O573" s="113"/>
      <c r="P573" s="113"/>
      <c r="Q573" s="113"/>
      <c r="R573" s="113"/>
      <c r="S573" s="113"/>
      <c r="T573" s="113"/>
      <c r="U573" s="113"/>
      <c r="V573" s="113"/>
      <c r="W573" s="113"/>
      <c r="X573" s="113"/>
      <c r="Y573" s="113"/>
      <c r="Z573" s="113"/>
      <c r="AA573" s="113"/>
      <c r="AB573" s="113"/>
      <c r="AC573" s="113"/>
      <c r="AD573" s="113"/>
      <c r="AE573" s="113"/>
      <c r="AF573" s="113"/>
      <c r="AG573" s="113"/>
    </row>
    <row r="574" spans="1:33" ht="13.8">
      <c r="A574" s="113"/>
      <c r="B574" s="113"/>
      <c r="C574" s="113"/>
      <c r="D574" s="113"/>
      <c r="E574" s="113"/>
      <c r="F574" s="113"/>
      <c r="G574" s="113"/>
      <c r="H574" s="113"/>
      <c r="I574" s="113"/>
      <c r="J574" s="113"/>
      <c r="K574" s="113"/>
      <c r="L574" s="113"/>
      <c r="M574" s="113"/>
      <c r="N574" s="113"/>
      <c r="O574" s="113"/>
      <c r="P574" s="113"/>
      <c r="Q574" s="113"/>
      <c r="R574" s="113"/>
      <c r="S574" s="113"/>
      <c r="T574" s="113"/>
      <c r="U574" s="113"/>
      <c r="V574" s="113"/>
      <c r="W574" s="113"/>
      <c r="X574" s="113"/>
      <c r="Y574" s="113"/>
      <c r="Z574" s="113"/>
      <c r="AA574" s="113"/>
      <c r="AB574" s="113"/>
      <c r="AC574" s="113"/>
      <c r="AD574" s="113"/>
      <c r="AE574" s="113"/>
      <c r="AF574" s="113"/>
      <c r="AG574" s="113"/>
    </row>
    <row r="575" spans="1:33" ht="13.8">
      <c r="A575" s="113"/>
      <c r="B575" s="113"/>
      <c r="C575" s="113"/>
      <c r="D575" s="113"/>
      <c r="E575" s="113"/>
      <c r="F575" s="113"/>
      <c r="G575" s="113"/>
      <c r="H575" s="113"/>
      <c r="I575" s="113"/>
      <c r="J575" s="113"/>
      <c r="K575" s="113"/>
      <c r="L575" s="113"/>
      <c r="M575" s="113"/>
      <c r="N575" s="113"/>
      <c r="O575" s="113"/>
      <c r="P575" s="113"/>
      <c r="Q575" s="113"/>
      <c r="R575" s="113"/>
      <c r="S575" s="113"/>
      <c r="T575" s="113"/>
      <c r="U575" s="113"/>
      <c r="V575" s="113"/>
      <c r="W575" s="113"/>
      <c r="X575" s="113"/>
      <c r="Y575" s="113"/>
      <c r="Z575" s="113"/>
      <c r="AA575" s="113"/>
      <c r="AB575" s="113"/>
      <c r="AC575" s="113"/>
      <c r="AD575" s="113"/>
      <c r="AE575" s="113"/>
      <c r="AF575" s="113"/>
      <c r="AG575" s="113"/>
    </row>
    <row r="576" spans="1:33" ht="13.8">
      <c r="A576" s="113"/>
      <c r="B576" s="113"/>
      <c r="C576" s="113"/>
      <c r="D576" s="113"/>
      <c r="E576" s="113"/>
      <c r="F576" s="113"/>
      <c r="G576" s="113"/>
      <c r="H576" s="113"/>
      <c r="I576" s="113"/>
      <c r="J576" s="113"/>
      <c r="K576" s="113"/>
      <c r="L576" s="113"/>
      <c r="M576" s="113"/>
      <c r="N576" s="113"/>
      <c r="O576" s="113"/>
      <c r="P576" s="113"/>
      <c r="Q576" s="113"/>
      <c r="R576" s="113"/>
      <c r="S576" s="113"/>
      <c r="T576" s="113"/>
      <c r="U576" s="113"/>
      <c r="V576" s="113"/>
      <c r="W576" s="113"/>
      <c r="X576" s="113"/>
      <c r="Y576" s="113"/>
      <c r="Z576" s="113"/>
      <c r="AA576" s="113"/>
      <c r="AB576" s="113"/>
      <c r="AC576" s="113"/>
      <c r="AD576" s="113"/>
      <c r="AE576" s="113"/>
      <c r="AF576" s="113"/>
      <c r="AG576" s="113"/>
    </row>
    <row r="577" spans="1:33" ht="13.8">
      <c r="A577" s="113"/>
      <c r="B577" s="113"/>
      <c r="C577" s="113"/>
      <c r="D577" s="113"/>
      <c r="E577" s="113"/>
      <c r="F577" s="113"/>
      <c r="G577" s="113"/>
      <c r="H577" s="113"/>
      <c r="I577" s="113"/>
      <c r="J577" s="113"/>
      <c r="K577" s="113"/>
      <c r="L577" s="113"/>
      <c r="M577" s="113"/>
      <c r="N577" s="113"/>
      <c r="O577" s="113"/>
      <c r="P577" s="113"/>
      <c r="Q577" s="113"/>
      <c r="R577" s="113"/>
      <c r="S577" s="113"/>
      <c r="T577" s="113"/>
      <c r="U577" s="113"/>
      <c r="V577" s="113"/>
      <c r="W577" s="113"/>
      <c r="X577" s="113"/>
      <c r="Y577" s="113"/>
      <c r="Z577" s="113"/>
      <c r="AA577" s="113"/>
      <c r="AB577" s="113"/>
      <c r="AC577" s="113"/>
      <c r="AD577" s="113"/>
      <c r="AE577" s="113"/>
      <c r="AF577" s="113"/>
      <c r="AG577" s="113"/>
    </row>
    <row r="578" spans="1:33" ht="13.8">
      <c r="A578" s="113"/>
      <c r="B578" s="113"/>
      <c r="C578" s="113"/>
      <c r="D578" s="113"/>
      <c r="E578" s="113"/>
      <c r="F578" s="113"/>
      <c r="G578" s="113"/>
      <c r="H578" s="113"/>
      <c r="I578" s="113"/>
      <c r="J578" s="113"/>
      <c r="K578" s="113"/>
      <c r="L578" s="113"/>
      <c r="M578" s="113"/>
      <c r="N578" s="113"/>
      <c r="O578" s="113"/>
      <c r="P578" s="113"/>
      <c r="Q578" s="113"/>
      <c r="R578" s="113"/>
      <c r="S578" s="113"/>
      <c r="T578" s="113"/>
      <c r="U578" s="113"/>
      <c r="V578" s="113"/>
      <c r="W578" s="113"/>
      <c r="X578" s="113"/>
      <c r="Y578" s="113"/>
      <c r="Z578" s="113"/>
      <c r="AA578" s="113"/>
      <c r="AB578" s="113"/>
      <c r="AC578" s="113"/>
      <c r="AD578" s="113"/>
      <c r="AE578" s="113"/>
      <c r="AF578" s="113"/>
      <c r="AG578" s="113"/>
    </row>
    <row r="579" spans="1:33" ht="13.8">
      <c r="A579" s="113"/>
      <c r="B579" s="113"/>
      <c r="C579" s="113"/>
      <c r="D579" s="113"/>
      <c r="E579" s="113"/>
      <c r="F579" s="113"/>
      <c r="G579" s="113"/>
      <c r="H579" s="113"/>
      <c r="I579" s="113"/>
      <c r="J579" s="113"/>
      <c r="K579" s="113"/>
      <c r="L579" s="113"/>
      <c r="M579" s="113"/>
      <c r="N579" s="113"/>
      <c r="O579" s="113"/>
      <c r="P579" s="113"/>
      <c r="Q579" s="113"/>
      <c r="R579" s="113"/>
      <c r="S579" s="113"/>
      <c r="T579" s="113"/>
      <c r="U579" s="113"/>
      <c r="V579" s="113"/>
      <c r="W579" s="113"/>
      <c r="X579" s="113"/>
      <c r="Y579" s="113"/>
      <c r="Z579" s="113"/>
      <c r="AA579" s="113"/>
      <c r="AB579" s="113"/>
      <c r="AC579" s="113"/>
      <c r="AD579" s="113"/>
      <c r="AE579" s="113"/>
      <c r="AF579" s="113"/>
      <c r="AG579" s="113"/>
    </row>
    <row r="580" spans="1:33" ht="13.8">
      <c r="A580" s="113"/>
      <c r="B580" s="113"/>
      <c r="C580" s="113"/>
      <c r="D580" s="113"/>
      <c r="E580" s="113"/>
      <c r="F580" s="113"/>
      <c r="G580" s="113"/>
      <c r="H580" s="113"/>
      <c r="I580" s="113"/>
      <c r="J580" s="113"/>
      <c r="K580" s="113"/>
      <c r="L580" s="113"/>
      <c r="M580" s="113"/>
      <c r="N580" s="113"/>
      <c r="O580" s="113"/>
      <c r="P580" s="113"/>
      <c r="Q580" s="113"/>
      <c r="R580" s="113"/>
      <c r="S580" s="113"/>
      <c r="T580" s="113"/>
      <c r="U580" s="113"/>
      <c r="V580" s="113"/>
      <c r="W580" s="113"/>
      <c r="X580" s="113"/>
      <c r="Y580" s="113"/>
      <c r="Z580" s="113"/>
      <c r="AA580" s="113"/>
      <c r="AB580" s="113"/>
      <c r="AC580" s="113"/>
      <c r="AD580" s="113"/>
      <c r="AE580" s="113"/>
      <c r="AF580" s="113"/>
      <c r="AG580" s="113"/>
    </row>
    <row r="581" spans="1:33" ht="13.8">
      <c r="A581" s="113"/>
      <c r="B581" s="113"/>
      <c r="C581" s="113"/>
      <c r="D581" s="113"/>
      <c r="E581" s="113"/>
      <c r="F581" s="113"/>
      <c r="G581" s="113"/>
      <c r="H581" s="113"/>
      <c r="I581" s="113"/>
      <c r="J581" s="113"/>
      <c r="K581" s="113"/>
      <c r="L581" s="113"/>
      <c r="M581" s="113"/>
      <c r="N581" s="113"/>
      <c r="O581" s="113"/>
      <c r="P581" s="113"/>
      <c r="Q581" s="113"/>
      <c r="R581" s="113"/>
      <c r="S581" s="113"/>
      <c r="T581" s="113"/>
      <c r="U581" s="113"/>
      <c r="V581" s="113"/>
      <c r="W581" s="113"/>
      <c r="X581" s="113"/>
      <c r="Y581" s="113"/>
      <c r="Z581" s="113"/>
      <c r="AA581" s="113"/>
      <c r="AB581" s="113"/>
      <c r="AC581" s="113"/>
      <c r="AD581" s="113"/>
      <c r="AE581" s="113"/>
      <c r="AF581" s="113"/>
      <c r="AG581" s="113"/>
    </row>
    <row r="582" spans="1:33" ht="13.8">
      <c r="A582" s="113"/>
      <c r="B582" s="113"/>
      <c r="C582" s="113"/>
      <c r="D582" s="113"/>
      <c r="E582" s="113"/>
      <c r="F582" s="113"/>
      <c r="G582" s="113"/>
      <c r="H582" s="113"/>
      <c r="I582" s="113"/>
      <c r="J582" s="113"/>
      <c r="K582" s="113"/>
      <c r="L582" s="113"/>
      <c r="M582" s="113"/>
      <c r="N582" s="113"/>
      <c r="O582" s="113"/>
      <c r="P582" s="113"/>
      <c r="Q582" s="113"/>
      <c r="R582" s="113"/>
      <c r="S582" s="113"/>
      <c r="T582" s="113"/>
      <c r="U582" s="113"/>
      <c r="V582" s="113"/>
      <c r="W582" s="113"/>
      <c r="X582" s="113"/>
      <c r="Y582" s="113"/>
      <c r="Z582" s="113"/>
      <c r="AA582" s="113"/>
      <c r="AB582" s="113"/>
      <c r="AC582" s="113"/>
      <c r="AD582" s="113"/>
      <c r="AE582" s="113"/>
      <c r="AF582" s="113"/>
      <c r="AG582" s="113"/>
    </row>
    <row r="583" spans="1:33" ht="13.8">
      <c r="A583" s="113"/>
      <c r="B583" s="113"/>
      <c r="C583" s="113"/>
      <c r="D583" s="113"/>
      <c r="E583" s="113"/>
      <c r="F583" s="113"/>
      <c r="G583" s="113"/>
      <c r="H583" s="113"/>
      <c r="I583" s="113"/>
      <c r="J583" s="113"/>
      <c r="K583" s="113"/>
      <c r="L583" s="113"/>
      <c r="M583" s="113"/>
      <c r="N583" s="113"/>
      <c r="O583" s="113"/>
      <c r="P583" s="113"/>
      <c r="Q583" s="113"/>
      <c r="R583" s="113"/>
      <c r="S583" s="113"/>
      <c r="T583" s="113"/>
      <c r="U583" s="113"/>
      <c r="V583" s="113"/>
      <c r="W583" s="113"/>
      <c r="X583" s="113"/>
      <c r="Y583" s="113"/>
      <c r="Z583" s="113"/>
      <c r="AA583" s="113"/>
      <c r="AB583" s="113"/>
      <c r="AC583" s="113"/>
      <c r="AD583" s="113"/>
      <c r="AE583" s="113"/>
      <c r="AF583" s="113"/>
      <c r="AG583" s="113"/>
    </row>
    <row r="584" spans="1:33" ht="13.8">
      <c r="A584" s="113"/>
      <c r="B584" s="113"/>
      <c r="C584" s="113"/>
      <c r="D584" s="113"/>
      <c r="E584" s="113"/>
      <c r="F584" s="113"/>
      <c r="G584" s="113"/>
      <c r="H584" s="113"/>
      <c r="I584" s="113"/>
      <c r="J584" s="113"/>
      <c r="K584" s="113"/>
      <c r="L584" s="113"/>
      <c r="M584" s="113"/>
      <c r="N584" s="113"/>
      <c r="O584" s="113"/>
      <c r="P584" s="113"/>
      <c r="Q584" s="113"/>
      <c r="R584" s="113"/>
      <c r="S584" s="113"/>
      <c r="T584" s="113"/>
      <c r="U584" s="113"/>
      <c r="V584" s="113"/>
      <c r="W584" s="113"/>
      <c r="X584" s="113"/>
      <c r="Y584" s="113"/>
      <c r="Z584" s="113"/>
      <c r="AA584" s="113"/>
      <c r="AB584" s="113"/>
      <c r="AC584" s="113"/>
      <c r="AD584" s="113"/>
      <c r="AE584" s="113"/>
      <c r="AF584" s="113"/>
      <c r="AG584" s="113"/>
    </row>
    <row r="585" spans="1:33" ht="13.8">
      <c r="A585" s="113"/>
      <c r="B585" s="113"/>
      <c r="C585" s="113"/>
      <c r="D585" s="113"/>
      <c r="E585" s="113"/>
      <c r="F585" s="113"/>
      <c r="G585" s="113"/>
      <c r="H585" s="113"/>
      <c r="I585" s="113"/>
      <c r="J585" s="113"/>
      <c r="K585" s="113"/>
      <c r="L585" s="113"/>
      <c r="M585" s="113"/>
      <c r="N585" s="113"/>
      <c r="O585" s="113"/>
      <c r="P585" s="113"/>
      <c r="Q585" s="113"/>
      <c r="R585" s="113"/>
      <c r="S585" s="113"/>
      <c r="T585" s="113"/>
      <c r="U585" s="113"/>
      <c r="V585" s="113"/>
      <c r="W585" s="113"/>
      <c r="X585" s="113"/>
      <c r="Y585" s="113"/>
      <c r="Z585" s="113"/>
      <c r="AA585" s="113"/>
      <c r="AB585" s="113"/>
      <c r="AC585" s="113"/>
      <c r="AD585" s="113"/>
      <c r="AE585" s="113"/>
      <c r="AF585" s="113"/>
      <c r="AG585" s="113"/>
    </row>
    <row r="586" spans="1:33" ht="13.8">
      <c r="A586" s="113"/>
      <c r="B586" s="113"/>
      <c r="C586" s="113"/>
      <c r="D586" s="113"/>
      <c r="E586" s="113"/>
      <c r="F586" s="113"/>
      <c r="G586" s="113"/>
      <c r="H586" s="113"/>
      <c r="I586" s="113"/>
      <c r="J586" s="113"/>
      <c r="K586" s="113"/>
      <c r="L586" s="113"/>
      <c r="M586" s="113"/>
      <c r="N586" s="113"/>
      <c r="O586" s="113"/>
      <c r="P586" s="113"/>
      <c r="Q586" s="113"/>
      <c r="R586" s="113"/>
      <c r="S586" s="113"/>
      <c r="T586" s="113"/>
      <c r="U586" s="113"/>
      <c r="V586" s="113"/>
      <c r="W586" s="113"/>
      <c r="X586" s="113"/>
      <c r="Y586" s="113"/>
      <c r="Z586" s="113"/>
      <c r="AA586" s="113"/>
      <c r="AB586" s="113"/>
      <c r="AC586" s="113"/>
      <c r="AD586" s="113"/>
      <c r="AE586" s="113"/>
      <c r="AF586" s="113"/>
      <c r="AG586" s="113"/>
    </row>
    <row r="587" spans="1:33" ht="13.8">
      <c r="A587" s="113"/>
      <c r="B587" s="113"/>
      <c r="C587" s="113"/>
      <c r="D587" s="113"/>
      <c r="E587" s="113"/>
      <c r="F587" s="113"/>
      <c r="G587" s="113"/>
      <c r="H587" s="113"/>
      <c r="I587" s="113"/>
      <c r="J587" s="113"/>
      <c r="K587" s="113"/>
      <c r="L587" s="113"/>
      <c r="M587" s="113"/>
      <c r="N587" s="113"/>
      <c r="O587" s="113"/>
      <c r="P587" s="113"/>
      <c r="Q587" s="113"/>
      <c r="R587" s="113"/>
      <c r="S587" s="113"/>
      <c r="T587" s="113"/>
      <c r="U587" s="113"/>
      <c r="V587" s="113"/>
      <c r="W587" s="113"/>
      <c r="X587" s="113"/>
      <c r="Y587" s="113"/>
      <c r="Z587" s="113"/>
      <c r="AA587" s="113"/>
      <c r="AB587" s="113"/>
      <c r="AC587" s="113"/>
      <c r="AD587" s="113"/>
      <c r="AE587" s="113"/>
      <c r="AF587" s="113"/>
      <c r="AG587" s="113"/>
    </row>
    <row r="588" spans="1:33" ht="13.8">
      <c r="A588" s="113"/>
      <c r="B588" s="113"/>
      <c r="C588" s="113"/>
      <c r="D588" s="113"/>
      <c r="E588" s="113"/>
      <c r="F588" s="113"/>
      <c r="G588" s="113"/>
      <c r="H588" s="113"/>
      <c r="I588" s="113"/>
      <c r="J588" s="113"/>
      <c r="K588" s="113"/>
      <c r="L588" s="113"/>
      <c r="M588" s="113"/>
      <c r="N588" s="113"/>
      <c r="O588" s="113"/>
      <c r="P588" s="113"/>
      <c r="Q588" s="113"/>
      <c r="R588" s="113"/>
      <c r="S588" s="113"/>
      <c r="T588" s="113"/>
      <c r="U588" s="113"/>
      <c r="V588" s="113"/>
      <c r="W588" s="113"/>
      <c r="X588" s="113"/>
      <c r="Y588" s="113"/>
      <c r="Z588" s="113"/>
      <c r="AA588" s="113"/>
      <c r="AB588" s="113"/>
      <c r="AC588" s="113"/>
      <c r="AD588" s="113"/>
      <c r="AE588" s="113"/>
      <c r="AF588" s="113"/>
      <c r="AG588" s="113"/>
    </row>
    <row r="589" spans="1:33" ht="13.8">
      <c r="A589" s="113"/>
      <c r="B589" s="113"/>
      <c r="C589" s="113"/>
      <c r="D589" s="113"/>
      <c r="E589" s="113"/>
      <c r="F589" s="113"/>
      <c r="G589" s="113"/>
      <c r="H589" s="113"/>
      <c r="I589" s="113"/>
      <c r="J589" s="113"/>
      <c r="K589" s="113"/>
      <c r="L589" s="113"/>
      <c r="M589" s="113"/>
      <c r="N589" s="113"/>
      <c r="O589" s="113"/>
      <c r="P589" s="113"/>
      <c r="Q589" s="113"/>
      <c r="R589" s="113"/>
      <c r="S589" s="113"/>
      <c r="T589" s="113"/>
      <c r="U589" s="113"/>
      <c r="V589" s="113"/>
      <c r="W589" s="113"/>
      <c r="X589" s="113"/>
      <c r="Y589" s="113"/>
      <c r="Z589" s="113"/>
      <c r="AA589" s="113"/>
      <c r="AB589" s="113"/>
      <c r="AC589" s="113"/>
      <c r="AD589" s="113"/>
      <c r="AE589" s="113"/>
      <c r="AF589" s="113"/>
      <c r="AG589" s="113"/>
    </row>
    <row r="590" spans="1:33" ht="13.8">
      <c r="A590" s="113"/>
      <c r="B590" s="113"/>
      <c r="C590" s="113"/>
      <c r="D590" s="113"/>
      <c r="E590" s="113"/>
      <c r="F590" s="113"/>
      <c r="G590" s="113"/>
      <c r="H590" s="113"/>
      <c r="I590" s="113"/>
      <c r="J590" s="113"/>
      <c r="K590" s="113"/>
      <c r="L590" s="113"/>
      <c r="M590" s="113"/>
      <c r="N590" s="113"/>
      <c r="O590" s="113"/>
      <c r="P590" s="113"/>
      <c r="Q590" s="113"/>
      <c r="R590" s="113"/>
      <c r="S590" s="113"/>
      <c r="T590" s="113"/>
      <c r="U590" s="113"/>
      <c r="V590" s="113"/>
      <c r="W590" s="113"/>
      <c r="X590" s="113"/>
      <c r="Y590" s="113"/>
      <c r="Z590" s="113"/>
      <c r="AA590" s="113"/>
      <c r="AB590" s="113"/>
      <c r="AC590" s="113"/>
      <c r="AD590" s="113"/>
      <c r="AE590" s="113"/>
      <c r="AF590" s="113"/>
      <c r="AG590" s="113"/>
    </row>
    <row r="591" spans="1:33" ht="13.8">
      <c r="A591" s="113"/>
      <c r="B591" s="113"/>
      <c r="C591" s="113"/>
      <c r="D591" s="113"/>
      <c r="E591" s="113"/>
      <c r="F591" s="113"/>
      <c r="G591" s="113"/>
      <c r="H591" s="113"/>
      <c r="I591" s="113"/>
      <c r="J591" s="113"/>
      <c r="K591" s="113"/>
      <c r="L591" s="113"/>
      <c r="M591" s="113"/>
      <c r="N591" s="113"/>
      <c r="O591" s="113"/>
      <c r="P591" s="113"/>
      <c r="Q591" s="113"/>
      <c r="R591" s="113"/>
      <c r="S591" s="113"/>
      <c r="T591" s="113"/>
      <c r="U591" s="113"/>
      <c r="V591" s="113"/>
      <c r="W591" s="113"/>
      <c r="X591" s="113"/>
      <c r="Y591" s="113"/>
      <c r="Z591" s="113"/>
      <c r="AA591" s="113"/>
      <c r="AB591" s="113"/>
      <c r="AC591" s="113"/>
      <c r="AD591" s="113"/>
      <c r="AE591" s="113"/>
      <c r="AF591" s="113"/>
      <c r="AG591" s="113"/>
    </row>
    <row r="592" spans="1:33" ht="13.8">
      <c r="A592" s="113"/>
      <c r="B592" s="113"/>
      <c r="C592" s="113"/>
      <c r="D592" s="113"/>
      <c r="E592" s="113"/>
      <c r="F592" s="113"/>
      <c r="G592" s="113"/>
      <c r="H592" s="113"/>
      <c r="I592" s="113"/>
      <c r="J592" s="113"/>
      <c r="K592" s="113"/>
      <c r="L592" s="113"/>
      <c r="M592" s="113"/>
      <c r="N592" s="113"/>
      <c r="O592" s="113"/>
      <c r="P592" s="113"/>
      <c r="Q592" s="113"/>
      <c r="R592" s="113"/>
      <c r="S592" s="113"/>
      <c r="T592" s="113"/>
      <c r="U592" s="113"/>
      <c r="V592" s="113"/>
      <c r="W592" s="113"/>
      <c r="X592" s="113"/>
      <c r="Y592" s="113"/>
      <c r="Z592" s="113"/>
      <c r="AA592" s="113"/>
      <c r="AB592" s="113"/>
      <c r="AC592" s="113"/>
      <c r="AD592" s="113"/>
      <c r="AE592" s="113"/>
      <c r="AF592" s="113"/>
      <c r="AG592" s="113"/>
    </row>
    <row r="593" spans="1:33" ht="13.8">
      <c r="A593" s="113"/>
      <c r="B593" s="113"/>
      <c r="C593" s="113"/>
      <c r="D593" s="113"/>
      <c r="E593" s="113"/>
      <c r="F593" s="113"/>
      <c r="G593" s="113"/>
      <c r="H593" s="113"/>
      <c r="I593" s="113"/>
      <c r="J593" s="113"/>
      <c r="K593" s="113"/>
      <c r="L593" s="113"/>
      <c r="M593" s="113"/>
      <c r="N593" s="113"/>
      <c r="O593" s="113"/>
      <c r="P593" s="113"/>
      <c r="Q593" s="113"/>
      <c r="R593" s="113"/>
      <c r="S593" s="113"/>
      <c r="T593" s="113"/>
      <c r="U593" s="113"/>
      <c r="V593" s="113"/>
      <c r="W593" s="113"/>
      <c r="X593" s="113"/>
      <c r="Y593" s="113"/>
      <c r="Z593" s="113"/>
      <c r="AA593" s="113"/>
      <c r="AB593" s="113"/>
      <c r="AC593" s="113"/>
      <c r="AD593" s="113"/>
      <c r="AE593" s="113"/>
      <c r="AF593" s="113"/>
      <c r="AG593" s="113"/>
    </row>
    <row r="594" spans="1:33" ht="13.8">
      <c r="A594" s="113"/>
      <c r="B594" s="113"/>
      <c r="C594" s="113"/>
      <c r="D594" s="113"/>
      <c r="E594" s="113"/>
      <c r="F594" s="113"/>
      <c r="G594" s="113"/>
      <c r="H594" s="113"/>
      <c r="I594" s="113"/>
      <c r="J594" s="113"/>
      <c r="K594" s="113"/>
      <c r="L594" s="113"/>
      <c r="M594" s="113"/>
      <c r="N594" s="113"/>
      <c r="O594" s="113"/>
      <c r="P594" s="113"/>
      <c r="Q594" s="113"/>
      <c r="R594" s="113"/>
      <c r="S594" s="113"/>
      <c r="T594" s="113"/>
      <c r="U594" s="113"/>
      <c r="V594" s="113"/>
      <c r="W594" s="113"/>
      <c r="X594" s="113"/>
      <c r="Y594" s="113"/>
      <c r="Z594" s="113"/>
      <c r="AA594" s="113"/>
      <c r="AB594" s="113"/>
      <c r="AC594" s="113"/>
      <c r="AD594" s="113"/>
      <c r="AE594" s="113"/>
      <c r="AF594" s="113"/>
      <c r="AG594" s="113"/>
    </row>
    <row r="595" spans="1:33" ht="13.8">
      <c r="A595" s="113"/>
      <c r="B595" s="113"/>
      <c r="C595" s="113"/>
      <c r="D595" s="113"/>
      <c r="E595" s="113"/>
      <c r="F595" s="113"/>
      <c r="G595" s="113"/>
      <c r="H595" s="113"/>
      <c r="I595" s="113"/>
      <c r="J595" s="113"/>
      <c r="K595" s="113"/>
      <c r="L595" s="113"/>
      <c r="M595" s="113"/>
      <c r="N595" s="113"/>
      <c r="O595" s="113"/>
      <c r="P595" s="113"/>
      <c r="Q595" s="113"/>
      <c r="R595" s="113"/>
      <c r="S595" s="113"/>
      <c r="T595" s="113"/>
      <c r="U595" s="113"/>
      <c r="V595" s="113"/>
      <c r="W595" s="113"/>
      <c r="X595" s="113"/>
      <c r="Y595" s="113"/>
      <c r="Z595" s="113"/>
      <c r="AA595" s="113"/>
      <c r="AB595" s="113"/>
      <c r="AC595" s="113"/>
      <c r="AD595" s="113"/>
      <c r="AE595" s="113"/>
      <c r="AF595" s="113"/>
      <c r="AG595" s="113"/>
    </row>
    <row r="596" spans="1:33" ht="13.8">
      <c r="A596" s="113"/>
      <c r="B596" s="113"/>
      <c r="C596" s="113"/>
      <c r="D596" s="113"/>
      <c r="E596" s="113"/>
      <c r="F596" s="113"/>
      <c r="G596" s="113"/>
      <c r="H596" s="113"/>
      <c r="I596" s="113"/>
      <c r="J596" s="113"/>
      <c r="K596" s="113"/>
      <c r="L596" s="113"/>
      <c r="M596" s="113"/>
      <c r="N596" s="113"/>
      <c r="O596" s="113"/>
      <c r="P596" s="113"/>
      <c r="Q596" s="113"/>
      <c r="R596" s="113"/>
      <c r="S596" s="113"/>
      <c r="T596" s="113"/>
      <c r="U596" s="113"/>
      <c r="V596" s="113"/>
      <c r="W596" s="113"/>
      <c r="X596" s="113"/>
      <c r="Y596" s="113"/>
      <c r="Z596" s="113"/>
      <c r="AA596" s="113"/>
      <c r="AB596" s="113"/>
      <c r="AC596" s="113"/>
      <c r="AD596" s="113"/>
      <c r="AE596" s="113"/>
      <c r="AF596" s="113"/>
      <c r="AG596" s="113"/>
    </row>
    <row r="597" spans="1:33" ht="13.8">
      <c r="A597" s="113"/>
      <c r="B597" s="113"/>
      <c r="C597" s="113"/>
      <c r="D597" s="113"/>
      <c r="E597" s="113"/>
      <c r="F597" s="113"/>
      <c r="G597" s="113"/>
      <c r="H597" s="113"/>
      <c r="I597" s="113"/>
      <c r="J597" s="113"/>
      <c r="K597" s="113"/>
      <c r="L597" s="113"/>
      <c r="M597" s="113"/>
      <c r="N597" s="113"/>
      <c r="O597" s="113"/>
      <c r="P597" s="113"/>
      <c r="Q597" s="113"/>
      <c r="R597" s="113"/>
      <c r="S597" s="113"/>
      <c r="T597" s="113"/>
      <c r="U597" s="113"/>
      <c r="V597" s="113"/>
      <c r="W597" s="113"/>
      <c r="X597" s="113"/>
      <c r="Y597" s="113"/>
      <c r="Z597" s="113"/>
      <c r="AA597" s="113"/>
      <c r="AB597" s="113"/>
      <c r="AC597" s="113"/>
      <c r="AD597" s="113"/>
      <c r="AE597" s="113"/>
      <c r="AF597" s="113"/>
      <c r="AG597" s="113"/>
    </row>
    <row r="598" spans="1:33" ht="13.8">
      <c r="A598" s="113"/>
      <c r="B598" s="113"/>
      <c r="C598" s="113"/>
      <c r="D598" s="113"/>
      <c r="E598" s="113"/>
      <c r="F598" s="113"/>
      <c r="G598" s="113"/>
      <c r="H598" s="113"/>
      <c r="I598" s="113"/>
      <c r="J598" s="113"/>
      <c r="K598" s="113"/>
      <c r="L598" s="113"/>
      <c r="M598" s="113"/>
      <c r="N598" s="113"/>
      <c r="O598" s="113"/>
      <c r="P598" s="113"/>
      <c r="Q598" s="113"/>
      <c r="R598" s="113"/>
      <c r="S598" s="113"/>
      <c r="T598" s="113"/>
      <c r="U598" s="113"/>
      <c r="V598" s="113"/>
      <c r="W598" s="113"/>
      <c r="X598" s="113"/>
      <c r="Y598" s="113"/>
      <c r="Z598" s="113"/>
      <c r="AA598" s="113"/>
      <c r="AB598" s="113"/>
      <c r="AC598" s="113"/>
      <c r="AD598" s="113"/>
      <c r="AE598" s="113"/>
      <c r="AF598" s="113"/>
      <c r="AG598" s="113"/>
    </row>
    <row r="599" spans="1:33" ht="13.8">
      <c r="A599" s="113"/>
      <c r="B599" s="113"/>
      <c r="C599" s="113"/>
      <c r="D599" s="113"/>
      <c r="E599" s="113"/>
      <c r="F599" s="113"/>
      <c r="G599" s="113"/>
      <c r="H599" s="113"/>
      <c r="I599" s="113"/>
      <c r="J599" s="113"/>
      <c r="K599" s="113"/>
      <c r="L599" s="113"/>
      <c r="M599" s="113"/>
      <c r="N599" s="113"/>
      <c r="O599" s="113"/>
      <c r="P599" s="113"/>
      <c r="Q599" s="113"/>
      <c r="R599" s="113"/>
      <c r="S599" s="113"/>
      <c r="T599" s="113"/>
      <c r="U599" s="113"/>
      <c r="V599" s="113"/>
      <c r="W599" s="113"/>
      <c r="X599" s="113"/>
      <c r="Y599" s="113"/>
      <c r="Z599" s="113"/>
      <c r="AA599" s="113"/>
      <c r="AB599" s="113"/>
      <c r="AC599" s="113"/>
      <c r="AD599" s="113"/>
      <c r="AE599" s="113"/>
      <c r="AF599" s="113"/>
      <c r="AG599" s="113"/>
    </row>
    <row r="600" spans="1:33" ht="13.8">
      <c r="A600" s="113"/>
      <c r="B600" s="113"/>
      <c r="C600" s="113"/>
      <c r="D600" s="113"/>
      <c r="E600" s="113"/>
      <c r="F600" s="113"/>
      <c r="G600" s="113"/>
      <c r="H600" s="113"/>
      <c r="I600" s="113"/>
      <c r="J600" s="113"/>
      <c r="K600" s="113"/>
      <c r="L600" s="113"/>
      <c r="M600" s="113"/>
      <c r="N600" s="113"/>
      <c r="O600" s="113"/>
      <c r="P600" s="113"/>
      <c r="Q600" s="113"/>
      <c r="R600" s="113"/>
      <c r="S600" s="113"/>
      <c r="T600" s="113"/>
      <c r="U600" s="113"/>
      <c r="V600" s="113"/>
      <c r="W600" s="113"/>
      <c r="X600" s="113"/>
      <c r="Y600" s="113"/>
      <c r="Z600" s="113"/>
      <c r="AA600" s="113"/>
      <c r="AB600" s="113"/>
      <c r="AC600" s="113"/>
      <c r="AD600" s="113"/>
      <c r="AE600" s="113"/>
      <c r="AF600" s="113"/>
      <c r="AG600" s="113"/>
    </row>
    <row r="601" spans="1:33" ht="13.8">
      <c r="A601" s="113"/>
      <c r="B601" s="113"/>
      <c r="C601" s="113"/>
      <c r="D601" s="113"/>
      <c r="E601" s="113"/>
      <c r="F601" s="113"/>
      <c r="G601" s="113"/>
      <c r="H601" s="113"/>
      <c r="I601" s="113"/>
      <c r="J601" s="113"/>
      <c r="K601" s="113"/>
      <c r="L601" s="113"/>
      <c r="M601" s="113"/>
      <c r="N601" s="113"/>
      <c r="O601" s="113"/>
      <c r="P601" s="113"/>
      <c r="Q601" s="113"/>
      <c r="R601" s="113"/>
      <c r="S601" s="113"/>
      <c r="T601" s="113"/>
      <c r="U601" s="113"/>
      <c r="V601" s="113"/>
      <c r="W601" s="113"/>
      <c r="X601" s="113"/>
      <c r="Y601" s="113"/>
      <c r="Z601" s="113"/>
      <c r="AA601" s="113"/>
      <c r="AB601" s="113"/>
      <c r="AC601" s="113"/>
      <c r="AD601" s="113"/>
      <c r="AE601" s="113"/>
      <c r="AF601" s="113"/>
      <c r="AG601" s="113"/>
    </row>
    <row r="602" spans="1:33" ht="13.8">
      <c r="A602" s="113"/>
      <c r="B602" s="113"/>
      <c r="C602" s="113"/>
      <c r="D602" s="113"/>
      <c r="E602" s="113"/>
      <c r="F602" s="113"/>
      <c r="G602" s="113"/>
      <c r="H602" s="113"/>
      <c r="I602" s="113"/>
      <c r="J602" s="113"/>
      <c r="K602" s="113"/>
      <c r="L602" s="113"/>
      <c r="M602" s="113"/>
      <c r="N602" s="113"/>
      <c r="O602" s="113"/>
      <c r="P602" s="113"/>
      <c r="Q602" s="113"/>
      <c r="R602" s="113"/>
      <c r="S602" s="113"/>
      <c r="T602" s="113"/>
      <c r="U602" s="113"/>
      <c r="V602" s="113"/>
      <c r="W602" s="113"/>
      <c r="X602" s="113"/>
      <c r="Y602" s="113"/>
      <c r="Z602" s="113"/>
      <c r="AA602" s="113"/>
      <c r="AB602" s="113"/>
      <c r="AC602" s="113"/>
      <c r="AD602" s="113"/>
      <c r="AE602" s="113"/>
      <c r="AF602" s="113"/>
      <c r="AG602" s="113"/>
    </row>
    <row r="603" spans="1:33" ht="13.8">
      <c r="A603" s="113"/>
      <c r="B603" s="113"/>
      <c r="C603" s="113"/>
      <c r="D603" s="113"/>
      <c r="E603" s="113"/>
      <c r="F603" s="113"/>
      <c r="G603" s="113"/>
      <c r="H603" s="113"/>
      <c r="I603" s="113"/>
      <c r="J603" s="113"/>
      <c r="K603" s="113"/>
      <c r="L603" s="113"/>
      <c r="M603" s="113"/>
      <c r="N603" s="113"/>
      <c r="O603" s="113"/>
      <c r="P603" s="113"/>
      <c r="Q603" s="113"/>
      <c r="R603" s="113"/>
      <c r="S603" s="113"/>
      <c r="T603" s="113"/>
      <c r="U603" s="113"/>
      <c r="V603" s="113"/>
      <c r="W603" s="113"/>
      <c r="X603" s="113"/>
      <c r="Y603" s="113"/>
      <c r="Z603" s="113"/>
      <c r="AA603" s="113"/>
      <c r="AB603" s="113"/>
      <c r="AC603" s="113"/>
      <c r="AD603" s="113"/>
      <c r="AE603" s="113"/>
      <c r="AF603" s="113"/>
      <c r="AG603" s="113"/>
    </row>
    <row r="604" spans="1:33" ht="13.8">
      <c r="A604" s="113"/>
      <c r="B604" s="113"/>
      <c r="C604" s="113"/>
      <c r="D604" s="113"/>
      <c r="E604" s="113"/>
      <c r="F604" s="113"/>
      <c r="G604" s="113"/>
      <c r="H604" s="113"/>
      <c r="I604" s="113"/>
      <c r="J604" s="113"/>
      <c r="K604" s="113"/>
      <c r="L604" s="113"/>
      <c r="M604" s="113"/>
      <c r="N604" s="113"/>
      <c r="O604" s="113"/>
      <c r="P604" s="113"/>
      <c r="Q604" s="113"/>
      <c r="R604" s="113"/>
      <c r="S604" s="113"/>
      <c r="T604" s="113"/>
      <c r="U604" s="113"/>
      <c r="V604" s="113"/>
      <c r="W604" s="113"/>
      <c r="X604" s="113"/>
      <c r="Y604" s="113"/>
      <c r="Z604" s="113"/>
      <c r="AA604" s="113"/>
      <c r="AB604" s="113"/>
      <c r="AC604" s="113"/>
      <c r="AD604" s="113"/>
      <c r="AE604" s="113"/>
      <c r="AF604" s="113"/>
      <c r="AG604" s="113"/>
    </row>
    <row r="605" spans="1:33" ht="13.8">
      <c r="A605" s="113"/>
      <c r="B605" s="113"/>
      <c r="C605" s="113"/>
      <c r="D605" s="113"/>
      <c r="E605" s="113"/>
      <c r="F605" s="113"/>
      <c r="G605" s="113"/>
      <c r="H605" s="113"/>
      <c r="I605" s="113"/>
      <c r="J605" s="113"/>
      <c r="K605" s="113"/>
      <c r="L605" s="113"/>
      <c r="M605" s="113"/>
      <c r="N605" s="113"/>
      <c r="O605" s="113"/>
      <c r="P605" s="113"/>
      <c r="Q605" s="113"/>
      <c r="R605" s="113"/>
      <c r="S605" s="113"/>
      <c r="T605" s="113"/>
      <c r="U605" s="113"/>
      <c r="V605" s="113"/>
      <c r="W605" s="113"/>
      <c r="X605" s="113"/>
      <c r="Y605" s="113"/>
      <c r="Z605" s="113"/>
      <c r="AA605" s="113"/>
      <c r="AB605" s="113"/>
      <c r="AC605" s="113"/>
      <c r="AD605" s="113"/>
      <c r="AE605" s="113"/>
      <c r="AF605" s="113"/>
      <c r="AG605" s="113"/>
    </row>
    <row r="606" spans="1:33" ht="13.8">
      <c r="A606" s="113"/>
      <c r="B606" s="113"/>
      <c r="C606" s="113"/>
      <c r="D606" s="113"/>
      <c r="E606" s="113"/>
      <c r="F606" s="113"/>
      <c r="G606" s="113"/>
      <c r="H606" s="113"/>
      <c r="I606" s="113"/>
      <c r="J606" s="113"/>
      <c r="K606" s="113"/>
      <c r="L606" s="113"/>
      <c r="M606" s="113"/>
      <c r="N606" s="113"/>
      <c r="O606" s="113"/>
      <c r="P606" s="113"/>
      <c r="Q606" s="113"/>
      <c r="R606" s="113"/>
      <c r="S606" s="113"/>
      <c r="T606" s="113"/>
      <c r="U606" s="113"/>
      <c r="V606" s="113"/>
      <c r="W606" s="113"/>
      <c r="X606" s="113"/>
      <c r="Y606" s="113"/>
      <c r="Z606" s="113"/>
      <c r="AA606" s="113"/>
      <c r="AB606" s="113"/>
      <c r="AC606" s="113"/>
      <c r="AD606" s="113"/>
      <c r="AE606" s="113"/>
      <c r="AF606" s="113"/>
      <c r="AG606" s="113"/>
    </row>
    <row r="607" spans="1:33" ht="13.8">
      <c r="A607" s="113"/>
      <c r="B607" s="113"/>
      <c r="C607" s="113"/>
      <c r="D607" s="113"/>
      <c r="E607" s="113"/>
      <c r="F607" s="113"/>
      <c r="G607" s="113"/>
      <c r="H607" s="113"/>
      <c r="I607" s="113"/>
      <c r="J607" s="113"/>
      <c r="K607" s="113"/>
      <c r="L607" s="113"/>
      <c r="M607" s="113"/>
      <c r="N607" s="113"/>
      <c r="O607" s="113"/>
      <c r="P607" s="113"/>
      <c r="Q607" s="113"/>
      <c r="R607" s="113"/>
      <c r="S607" s="113"/>
      <c r="T607" s="113"/>
      <c r="U607" s="113"/>
      <c r="V607" s="113"/>
      <c r="W607" s="113"/>
      <c r="X607" s="113"/>
      <c r="Y607" s="113"/>
      <c r="Z607" s="113"/>
      <c r="AA607" s="113"/>
      <c r="AB607" s="113"/>
      <c r="AC607" s="113"/>
      <c r="AD607" s="113"/>
      <c r="AE607" s="113"/>
      <c r="AF607" s="113"/>
      <c r="AG607" s="113"/>
    </row>
    <row r="608" spans="1:33" ht="13.8">
      <c r="A608" s="113"/>
      <c r="B608" s="113"/>
      <c r="C608" s="113"/>
      <c r="D608" s="113"/>
      <c r="E608" s="113"/>
      <c r="F608" s="113"/>
      <c r="G608" s="113"/>
      <c r="H608" s="113"/>
      <c r="I608" s="113"/>
      <c r="J608" s="113"/>
      <c r="K608" s="113"/>
      <c r="L608" s="113"/>
      <c r="M608" s="113"/>
      <c r="N608" s="113"/>
      <c r="O608" s="113"/>
      <c r="P608" s="113"/>
      <c r="Q608" s="113"/>
      <c r="R608" s="113"/>
      <c r="S608" s="113"/>
      <c r="T608" s="113"/>
      <c r="U608" s="113"/>
      <c r="V608" s="113"/>
      <c r="W608" s="113"/>
      <c r="X608" s="113"/>
      <c r="Y608" s="113"/>
      <c r="Z608" s="113"/>
      <c r="AA608" s="113"/>
      <c r="AB608" s="113"/>
      <c r="AC608" s="113"/>
      <c r="AD608" s="113"/>
      <c r="AE608" s="113"/>
      <c r="AF608" s="113"/>
      <c r="AG608" s="113"/>
    </row>
    <row r="609" spans="1:33" ht="13.8">
      <c r="A609" s="113"/>
      <c r="B609" s="113"/>
      <c r="C609" s="113"/>
      <c r="D609" s="113"/>
      <c r="E609" s="113"/>
      <c r="F609" s="113"/>
      <c r="G609" s="113"/>
      <c r="H609" s="113"/>
      <c r="I609" s="113"/>
      <c r="J609" s="113"/>
      <c r="K609" s="113"/>
      <c r="L609" s="113"/>
      <c r="M609" s="113"/>
      <c r="N609" s="113"/>
      <c r="O609" s="113"/>
      <c r="P609" s="113"/>
      <c r="Q609" s="113"/>
      <c r="R609" s="113"/>
      <c r="S609" s="113"/>
      <c r="T609" s="113"/>
      <c r="U609" s="113"/>
      <c r="V609" s="113"/>
      <c r="W609" s="113"/>
      <c r="X609" s="113"/>
      <c r="Y609" s="113"/>
      <c r="Z609" s="113"/>
      <c r="AA609" s="113"/>
      <c r="AB609" s="113"/>
      <c r="AC609" s="113"/>
      <c r="AD609" s="113"/>
      <c r="AE609" s="113"/>
      <c r="AF609" s="113"/>
      <c r="AG609" s="113"/>
    </row>
    <row r="610" spans="1:33" ht="13.8">
      <c r="A610" s="113"/>
      <c r="B610" s="113"/>
      <c r="C610" s="113"/>
      <c r="D610" s="113"/>
      <c r="E610" s="113"/>
      <c r="F610" s="113"/>
      <c r="G610" s="113"/>
      <c r="H610" s="113"/>
      <c r="I610" s="113"/>
      <c r="J610" s="113"/>
      <c r="K610" s="113"/>
      <c r="L610" s="113"/>
      <c r="M610" s="113"/>
      <c r="N610" s="113"/>
      <c r="O610" s="113"/>
      <c r="P610" s="113"/>
      <c r="Q610" s="113"/>
      <c r="R610" s="113"/>
      <c r="S610" s="113"/>
      <c r="T610" s="113"/>
      <c r="U610" s="113"/>
      <c r="V610" s="113"/>
      <c r="W610" s="113"/>
      <c r="X610" s="113"/>
      <c r="Y610" s="113"/>
      <c r="Z610" s="113"/>
      <c r="AA610" s="113"/>
      <c r="AB610" s="113"/>
      <c r="AC610" s="113"/>
      <c r="AD610" s="113"/>
      <c r="AE610" s="113"/>
      <c r="AF610" s="113"/>
      <c r="AG610" s="113"/>
    </row>
    <row r="611" spans="1:33" ht="13.8">
      <c r="A611" s="113"/>
      <c r="B611" s="113"/>
      <c r="C611" s="113"/>
      <c r="D611" s="113"/>
      <c r="E611" s="113"/>
      <c r="F611" s="113"/>
      <c r="G611" s="113"/>
      <c r="H611" s="113"/>
      <c r="I611" s="113"/>
      <c r="J611" s="113"/>
      <c r="K611" s="113"/>
      <c r="L611" s="113"/>
      <c r="M611" s="113"/>
      <c r="N611" s="113"/>
      <c r="O611" s="113"/>
      <c r="P611" s="113"/>
      <c r="Q611" s="113"/>
      <c r="R611" s="113"/>
      <c r="S611" s="113"/>
      <c r="T611" s="113"/>
      <c r="U611" s="113"/>
      <c r="V611" s="113"/>
      <c r="W611" s="113"/>
      <c r="X611" s="113"/>
      <c r="Y611" s="113"/>
      <c r="Z611" s="113"/>
      <c r="AA611" s="113"/>
      <c r="AB611" s="113"/>
      <c r="AC611" s="113"/>
      <c r="AD611" s="113"/>
      <c r="AE611" s="113"/>
      <c r="AF611" s="113"/>
      <c r="AG611" s="113"/>
    </row>
    <row r="612" spans="1:33" ht="13.8">
      <c r="A612" s="113"/>
      <c r="B612" s="113"/>
      <c r="C612" s="113"/>
      <c r="D612" s="113"/>
      <c r="E612" s="113"/>
      <c r="F612" s="113"/>
      <c r="G612" s="113"/>
      <c r="H612" s="113"/>
      <c r="I612" s="113"/>
      <c r="J612" s="113"/>
      <c r="K612" s="113"/>
      <c r="L612" s="113"/>
      <c r="M612" s="113"/>
      <c r="N612" s="113"/>
      <c r="O612" s="113"/>
      <c r="P612" s="113"/>
      <c r="Q612" s="113"/>
      <c r="R612" s="113"/>
      <c r="S612" s="113"/>
      <c r="T612" s="113"/>
      <c r="U612" s="113"/>
      <c r="V612" s="113"/>
      <c r="W612" s="113"/>
      <c r="X612" s="113"/>
      <c r="Y612" s="113"/>
      <c r="Z612" s="113"/>
      <c r="AA612" s="113"/>
      <c r="AB612" s="113"/>
      <c r="AC612" s="113"/>
      <c r="AD612" s="113"/>
      <c r="AE612" s="113"/>
      <c r="AF612" s="113"/>
      <c r="AG612" s="113"/>
    </row>
    <row r="613" spans="1:33" ht="13.8">
      <c r="A613" s="113"/>
      <c r="B613" s="113"/>
      <c r="C613" s="113"/>
      <c r="D613" s="113"/>
      <c r="E613" s="113"/>
      <c r="F613" s="113"/>
      <c r="G613" s="113"/>
      <c r="H613" s="113"/>
      <c r="I613" s="113"/>
      <c r="J613" s="113"/>
      <c r="K613" s="113"/>
      <c r="L613" s="113"/>
      <c r="M613" s="113"/>
      <c r="N613" s="113"/>
      <c r="O613" s="113"/>
      <c r="P613" s="113"/>
      <c r="Q613" s="113"/>
      <c r="R613" s="113"/>
      <c r="S613" s="113"/>
      <c r="T613" s="113"/>
      <c r="U613" s="113"/>
      <c r="V613" s="113"/>
      <c r="W613" s="113"/>
      <c r="X613" s="113"/>
      <c r="Y613" s="113"/>
      <c r="Z613" s="113"/>
      <c r="AA613" s="113"/>
      <c r="AB613" s="113"/>
      <c r="AC613" s="113"/>
      <c r="AD613" s="113"/>
      <c r="AE613" s="113"/>
      <c r="AF613" s="113"/>
      <c r="AG613" s="113"/>
    </row>
    <row r="614" spans="1:33" ht="13.8">
      <c r="A614" s="113"/>
      <c r="B614" s="113"/>
      <c r="C614" s="113"/>
      <c r="D614" s="113"/>
      <c r="E614" s="113"/>
      <c r="F614" s="113"/>
      <c r="G614" s="113"/>
      <c r="H614" s="113"/>
      <c r="I614" s="113"/>
      <c r="J614" s="113"/>
      <c r="K614" s="113"/>
      <c r="L614" s="113"/>
      <c r="M614" s="113"/>
      <c r="N614" s="113"/>
      <c r="O614" s="113"/>
      <c r="P614" s="113"/>
      <c r="Q614" s="113"/>
      <c r="R614" s="113"/>
      <c r="S614" s="113"/>
      <c r="T614" s="113"/>
      <c r="U614" s="113"/>
      <c r="V614" s="113"/>
      <c r="W614" s="113"/>
      <c r="X614" s="113"/>
      <c r="Y614" s="113"/>
      <c r="Z614" s="113"/>
      <c r="AA614" s="113"/>
      <c r="AB614" s="113"/>
      <c r="AC614" s="113"/>
      <c r="AD614" s="113"/>
      <c r="AE614" s="113"/>
      <c r="AF614" s="113"/>
      <c r="AG614" s="113"/>
    </row>
    <row r="615" spans="1:33" ht="13.8">
      <c r="A615" s="113"/>
      <c r="B615" s="113"/>
      <c r="C615" s="113"/>
      <c r="D615" s="113"/>
      <c r="E615" s="113"/>
      <c r="F615" s="113"/>
      <c r="G615" s="113"/>
      <c r="H615" s="113"/>
      <c r="I615" s="113"/>
      <c r="J615" s="113"/>
      <c r="K615" s="113"/>
      <c r="L615" s="113"/>
      <c r="M615" s="113"/>
      <c r="N615" s="113"/>
      <c r="O615" s="113"/>
      <c r="P615" s="113"/>
      <c r="Q615" s="113"/>
      <c r="R615" s="113"/>
      <c r="S615" s="113"/>
      <c r="T615" s="113"/>
      <c r="U615" s="113"/>
      <c r="V615" s="113"/>
      <c r="W615" s="113"/>
      <c r="X615" s="113"/>
      <c r="Y615" s="113"/>
      <c r="Z615" s="113"/>
      <c r="AA615" s="113"/>
      <c r="AB615" s="113"/>
      <c r="AC615" s="113"/>
      <c r="AD615" s="113"/>
      <c r="AE615" s="113"/>
      <c r="AF615" s="113"/>
      <c r="AG615" s="113"/>
    </row>
    <row r="616" spans="1:33" ht="13.8">
      <c r="A616" s="113"/>
      <c r="B616" s="113"/>
      <c r="C616" s="113"/>
      <c r="D616" s="113"/>
      <c r="E616" s="113"/>
      <c r="F616" s="113"/>
      <c r="G616" s="113"/>
      <c r="H616" s="113"/>
      <c r="I616" s="113"/>
      <c r="J616" s="113"/>
      <c r="K616" s="113"/>
      <c r="L616" s="113"/>
      <c r="M616" s="113"/>
      <c r="N616" s="113"/>
      <c r="O616" s="113"/>
      <c r="P616" s="113"/>
      <c r="Q616" s="113"/>
      <c r="R616" s="113"/>
      <c r="S616" s="113"/>
      <c r="T616" s="113"/>
      <c r="U616" s="113"/>
      <c r="V616" s="113"/>
      <c r="W616" s="113"/>
      <c r="X616" s="113"/>
      <c r="Y616" s="113"/>
      <c r="Z616" s="113"/>
      <c r="AA616" s="113"/>
      <c r="AB616" s="113"/>
      <c r="AC616" s="113"/>
      <c r="AD616" s="113"/>
      <c r="AE616" s="113"/>
      <c r="AF616" s="113"/>
      <c r="AG616" s="113"/>
    </row>
    <row r="617" spans="1:33" ht="13.8">
      <c r="A617" s="113"/>
      <c r="B617" s="113"/>
      <c r="C617" s="113"/>
      <c r="D617" s="113"/>
      <c r="E617" s="113"/>
      <c r="F617" s="113"/>
      <c r="G617" s="113"/>
      <c r="H617" s="113"/>
      <c r="I617" s="113"/>
      <c r="J617" s="113"/>
      <c r="K617" s="113"/>
      <c r="L617" s="113"/>
      <c r="M617" s="113"/>
      <c r="N617" s="113"/>
      <c r="O617" s="113"/>
      <c r="P617" s="113"/>
      <c r="Q617" s="113"/>
      <c r="R617" s="113"/>
      <c r="S617" s="113"/>
      <c r="T617" s="113"/>
      <c r="U617" s="113"/>
      <c r="V617" s="113"/>
      <c r="W617" s="113"/>
      <c r="X617" s="113"/>
      <c r="Y617" s="113"/>
      <c r="Z617" s="113"/>
      <c r="AA617" s="113"/>
      <c r="AB617" s="113"/>
      <c r="AC617" s="113"/>
      <c r="AD617" s="113"/>
      <c r="AE617" s="113"/>
      <c r="AF617" s="113"/>
      <c r="AG617" s="113"/>
    </row>
    <row r="618" spans="1:33" ht="13.8">
      <c r="A618" s="113"/>
      <c r="B618" s="113"/>
      <c r="C618" s="113"/>
      <c r="D618" s="113"/>
      <c r="E618" s="113"/>
      <c r="F618" s="113"/>
      <c r="G618" s="113"/>
      <c r="H618" s="113"/>
      <c r="I618" s="113"/>
      <c r="J618" s="113"/>
      <c r="K618" s="113"/>
      <c r="L618" s="113"/>
      <c r="M618" s="113"/>
      <c r="N618" s="113"/>
      <c r="O618" s="113"/>
      <c r="P618" s="113"/>
      <c r="Q618" s="113"/>
      <c r="R618" s="113"/>
      <c r="S618" s="113"/>
      <c r="T618" s="113"/>
      <c r="U618" s="113"/>
      <c r="V618" s="113"/>
      <c r="W618" s="113"/>
      <c r="X618" s="113"/>
      <c r="Y618" s="113"/>
      <c r="Z618" s="113"/>
      <c r="AA618" s="113"/>
      <c r="AB618" s="113"/>
      <c r="AC618" s="113"/>
      <c r="AD618" s="113"/>
      <c r="AE618" s="113"/>
      <c r="AF618" s="113"/>
      <c r="AG618" s="113"/>
    </row>
    <row r="619" spans="1:33" ht="13.8">
      <c r="A619" s="113"/>
      <c r="B619" s="113"/>
      <c r="C619" s="113"/>
      <c r="D619" s="113"/>
      <c r="E619" s="113"/>
      <c r="F619" s="113"/>
      <c r="G619" s="113"/>
      <c r="H619" s="113"/>
      <c r="I619" s="113"/>
      <c r="J619" s="113"/>
      <c r="K619" s="113"/>
      <c r="L619" s="113"/>
      <c r="M619" s="113"/>
      <c r="N619" s="113"/>
      <c r="O619" s="113"/>
      <c r="P619" s="113"/>
      <c r="Q619" s="113"/>
      <c r="R619" s="113"/>
      <c r="S619" s="113"/>
      <c r="T619" s="113"/>
      <c r="U619" s="113"/>
      <c r="V619" s="113"/>
      <c r="W619" s="113"/>
      <c r="X619" s="113"/>
      <c r="Y619" s="113"/>
      <c r="Z619" s="113"/>
      <c r="AA619" s="113"/>
      <c r="AB619" s="113"/>
      <c r="AC619" s="113"/>
      <c r="AD619" s="113"/>
      <c r="AE619" s="113"/>
      <c r="AF619" s="113"/>
      <c r="AG619" s="113"/>
    </row>
    <row r="620" spans="1:33" ht="13.8">
      <c r="A620" s="113"/>
      <c r="B620" s="113"/>
      <c r="C620" s="113"/>
      <c r="D620" s="113"/>
      <c r="E620" s="113"/>
      <c r="F620" s="113"/>
      <c r="G620" s="113"/>
      <c r="H620" s="113"/>
      <c r="I620" s="113"/>
      <c r="J620" s="113"/>
      <c r="K620" s="113"/>
      <c r="L620" s="113"/>
      <c r="M620" s="113"/>
      <c r="N620" s="113"/>
      <c r="O620" s="113"/>
      <c r="P620" s="113"/>
      <c r="Q620" s="113"/>
      <c r="R620" s="113"/>
      <c r="S620" s="113"/>
      <c r="T620" s="113"/>
      <c r="U620" s="113"/>
      <c r="V620" s="113"/>
      <c r="W620" s="113"/>
      <c r="X620" s="113"/>
      <c r="Y620" s="113"/>
      <c r="Z620" s="113"/>
      <c r="AA620" s="113"/>
      <c r="AB620" s="113"/>
      <c r="AC620" s="113"/>
      <c r="AD620" s="113"/>
      <c r="AE620" s="113"/>
      <c r="AF620" s="113"/>
      <c r="AG620" s="113"/>
    </row>
    <row r="621" spans="1:33" ht="13.8">
      <c r="A621" s="113"/>
      <c r="B621" s="113"/>
      <c r="C621" s="113"/>
      <c r="D621" s="113"/>
      <c r="E621" s="113"/>
      <c r="F621" s="113"/>
      <c r="G621" s="113"/>
      <c r="H621" s="113"/>
      <c r="I621" s="113"/>
      <c r="J621" s="113"/>
      <c r="K621" s="113"/>
      <c r="L621" s="113"/>
      <c r="M621" s="113"/>
      <c r="N621" s="113"/>
      <c r="O621" s="113"/>
      <c r="P621" s="113"/>
      <c r="Q621" s="113"/>
      <c r="R621" s="113"/>
      <c r="S621" s="113"/>
      <c r="T621" s="113"/>
      <c r="U621" s="113"/>
      <c r="V621" s="113"/>
      <c r="W621" s="113"/>
      <c r="X621" s="113"/>
      <c r="Y621" s="113"/>
      <c r="Z621" s="113"/>
      <c r="AA621" s="113"/>
      <c r="AB621" s="113"/>
      <c r="AC621" s="113"/>
      <c r="AD621" s="113"/>
      <c r="AE621" s="113"/>
      <c r="AF621" s="113"/>
      <c r="AG621" s="113"/>
    </row>
    <row r="622" spans="1:33" ht="13.8">
      <c r="A622" s="113"/>
      <c r="B622" s="113"/>
      <c r="C622" s="113"/>
      <c r="D622" s="113"/>
      <c r="E622" s="113"/>
      <c r="F622" s="113"/>
      <c r="G622" s="113"/>
      <c r="H622" s="113"/>
      <c r="I622" s="113"/>
      <c r="J622" s="113"/>
      <c r="K622" s="113"/>
      <c r="L622" s="113"/>
      <c r="M622" s="113"/>
      <c r="N622" s="113"/>
      <c r="O622" s="113"/>
      <c r="P622" s="113"/>
      <c r="Q622" s="113"/>
      <c r="R622" s="113"/>
      <c r="S622" s="113"/>
      <c r="T622" s="113"/>
      <c r="U622" s="113"/>
      <c r="V622" s="113"/>
      <c r="W622" s="113"/>
      <c r="X622" s="113"/>
      <c r="Y622" s="113"/>
      <c r="Z622" s="113"/>
      <c r="AA622" s="113"/>
      <c r="AB622" s="113"/>
      <c r="AC622" s="113"/>
      <c r="AD622" s="113"/>
      <c r="AE622" s="113"/>
      <c r="AF622" s="113"/>
      <c r="AG622" s="113"/>
    </row>
    <row r="623" spans="1:33" ht="13.8">
      <c r="A623" s="113"/>
      <c r="B623" s="113"/>
      <c r="C623" s="113"/>
      <c r="D623" s="113"/>
      <c r="E623" s="113"/>
      <c r="F623" s="113"/>
      <c r="G623" s="113"/>
      <c r="H623" s="113"/>
      <c r="I623" s="113"/>
      <c r="J623" s="113"/>
      <c r="K623" s="113"/>
      <c r="L623" s="113"/>
      <c r="M623" s="113"/>
      <c r="N623" s="113"/>
      <c r="O623" s="113"/>
      <c r="P623" s="113"/>
      <c r="Q623" s="113"/>
      <c r="R623" s="113"/>
      <c r="S623" s="113"/>
      <c r="T623" s="113"/>
      <c r="U623" s="113"/>
      <c r="V623" s="113"/>
      <c r="W623" s="113"/>
      <c r="X623" s="113"/>
      <c r="Y623" s="113"/>
      <c r="Z623" s="113"/>
      <c r="AA623" s="113"/>
      <c r="AB623" s="113"/>
      <c r="AC623" s="113"/>
      <c r="AD623" s="113"/>
      <c r="AE623" s="113"/>
      <c r="AF623" s="113"/>
      <c r="AG623" s="113"/>
    </row>
    <row r="624" spans="1:33" ht="13.8">
      <c r="A624" s="113"/>
      <c r="B624" s="113"/>
      <c r="C624" s="113"/>
      <c r="D624" s="113"/>
      <c r="E624" s="113"/>
      <c r="F624" s="113"/>
      <c r="G624" s="113"/>
      <c r="H624" s="113"/>
      <c r="I624" s="113"/>
      <c r="J624" s="113"/>
      <c r="K624" s="113"/>
      <c r="L624" s="113"/>
      <c r="M624" s="113"/>
      <c r="N624" s="113"/>
      <c r="O624" s="113"/>
      <c r="P624" s="113"/>
      <c r="Q624" s="113"/>
      <c r="R624" s="113"/>
      <c r="S624" s="113"/>
      <c r="T624" s="113"/>
      <c r="U624" s="113"/>
      <c r="V624" s="113"/>
      <c r="W624" s="113"/>
      <c r="X624" s="113"/>
      <c r="Y624" s="113"/>
      <c r="Z624" s="113"/>
      <c r="AA624" s="113"/>
      <c r="AB624" s="113"/>
      <c r="AC624" s="113"/>
      <c r="AD624" s="113"/>
      <c r="AE624" s="113"/>
      <c r="AF624" s="113"/>
      <c r="AG624" s="113"/>
    </row>
    <row r="625" spans="1:33" ht="13.8">
      <c r="A625" s="113"/>
      <c r="B625" s="113"/>
      <c r="C625" s="113"/>
      <c r="D625" s="113"/>
      <c r="E625" s="113"/>
      <c r="F625" s="113"/>
      <c r="G625" s="113"/>
      <c r="H625" s="113"/>
      <c r="I625" s="113"/>
      <c r="J625" s="113"/>
      <c r="K625" s="113"/>
      <c r="L625" s="113"/>
      <c r="M625" s="113"/>
      <c r="N625" s="113"/>
      <c r="O625" s="113"/>
      <c r="P625" s="113"/>
      <c r="Q625" s="113"/>
      <c r="R625" s="113"/>
      <c r="S625" s="113"/>
      <c r="T625" s="113"/>
      <c r="U625" s="113"/>
      <c r="V625" s="113"/>
      <c r="W625" s="113"/>
      <c r="X625" s="113"/>
      <c r="Y625" s="113"/>
      <c r="Z625" s="113"/>
      <c r="AA625" s="113"/>
      <c r="AB625" s="113"/>
      <c r="AC625" s="113"/>
      <c r="AD625" s="113"/>
      <c r="AE625" s="113"/>
      <c r="AF625" s="113"/>
      <c r="AG625" s="113"/>
    </row>
    <row r="626" spans="1:33" ht="13.8">
      <c r="A626" s="113"/>
      <c r="B626" s="113"/>
      <c r="C626" s="113"/>
      <c r="D626" s="113"/>
      <c r="E626" s="113"/>
      <c r="F626" s="113"/>
      <c r="G626" s="113"/>
      <c r="H626" s="113"/>
      <c r="I626" s="113"/>
      <c r="J626" s="113"/>
      <c r="K626" s="113"/>
      <c r="L626" s="113"/>
      <c r="M626" s="113"/>
      <c r="N626" s="113"/>
      <c r="O626" s="113"/>
      <c r="P626" s="113"/>
      <c r="Q626" s="113"/>
      <c r="R626" s="113"/>
      <c r="S626" s="113"/>
      <c r="T626" s="113"/>
      <c r="U626" s="113"/>
      <c r="V626" s="113"/>
      <c r="W626" s="113"/>
      <c r="X626" s="113"/>
      <c r="Y626" s="113"/>
      <c r="Z626" s="113"/>
      <c r="AA626" s="113"/>
      <c r="AB626" s="113"/>
      <c r="AC626" s="113"/>
      <c r="AD626" s="113"/>
      <c r="AE626" s="113"/>
      <c r="AF626" s="113"/>
      <c r="AG626" s="113"/>
    </row>
    <row r="627" spans="1:33" ht="13.8">
      <c r="A627" s="113"/>
      <c r="B627" s="113"/>
      <c r="C627" s="113"/>
      <c r="D627" s="113"/>
      <c r="E627" s="113"/>
      <c r="F627" s="113"/>
      <c r="G627" s="113"/>
      <c r="H627" s="113"/>
      <c r="I627" s="113"/>
      <c r="J627" s="113"/>
      <c r="K627" s="113"/>
      <c r="L627" s="113"/>
      <c r="M627" s="113"/>
      <c r="N627" s="113"/>
      <c r="O627" s="113"/>
      <c r="P627" s="113"/>
      <c r="Q627" s="113"/>
      <c r="R627" s="113"/>
      <c r="S627" s="113"/>
      <c r="T627" s="113"/>
      <c r="U627" s="113"/>
      <c r="V627" s="113"/>
      <c r="W627" s="113"/>
      <c r="X627" s="113"/>
      <c r="Y627" s="113"/>
      <c r="Z627" s="113"/>
      <c r="AA627" s="113"/>
      <c r="AB627" s="113"/>
      <c r="AC627" s="113"/>
      <c r="AD627" s="113"/>
      <c r="AE627" s="113"/>
      <c r="AF627" s="113"/>
      <c r="AG627" s="113"/>
    </row>
    <row r="628" spans="1:33" ht="13.8">
      <c r="A628" s="113"/>
      <c r="B628" s="113"/>
      <c r="C628" s="113"/>
      <c r="D628" s="113"/>
      <c r="E628" s="113"/>
      <c r="F628" s="113"/>
      <c r="G628" s="113"/>
      <c r="H628" s="113"/>
      <c r="I628" s="113"/>
      <c r="J628" s="113"/>
      <c r="K628" s="113"/>
      <c r="L628" s="113"/>
      <c r="M628" s="113"/>
      <c r="N628" s="113"/>
      <c r="O628" s="113"/>
      <c r="P628" s="113"/>
      <c r="Q628" s="113"/>
      <c r="R628" s="113"/>
      <c r="S628" s="113"/>
      <c r="T628" s="113"/>
      <c r="U628" s="113"/>
      <c r="V628" s="113"/>
      <c r="W628" s="113"/>
      <c r="X628" s="113"/>
      <c r="Y628" s="113"/>
      <c r="Z628" s="113"/>
      <c r="AA628" s="113"/>
      <c r="AB628" s="113"/>
      <c r="AC628" s="113"/>
      <c r="AD628" s="113"/>
      <c r="AE628" s="113"/>
      <c r="AF628" s="113"/>
      <c r="AG628" s="113"/>
    </row>
    <row r="629" spans="1:33" ht="13.8">
      <c r="A629" s="113"/>
      <c r="B629" s="113"/>
      <c r="C629" s="113"/>
      <c r="D629" s="113"/>
      <c r="E629" s="113"/>
      <c r="F629" s="113"/>
      <c r="G629" s="113"/>
      <c r="H629" s="113"/>
      <c r="I629" s="113"/>
      <c r="J629" s="113"/>
      <c r="K629" s="113"/>
      <c r="L629" s="113"/>
      <c r="M629" s="113"/>
      <c r="N629" s="113"/>
      <c r="O629" s="113"/>
      <c r="P629" s="113"/>
      <c r="Q629" s="113"/>
      <c r="R629" s="113"/>
      <c r="S629" s="113"/>
      <c r="T629" s="113"/>
      <c r="U629" s="113"/>
      <c r="V629" s="113"/>
      <c r="W629" s="113"/>
      <c r="X629" s="113"/>
      <c r="Y629" s="113"/>
      <c r="Z629" s="113"/>
      <c r="AA629" s="113"/>
      <c r="AB629" s="113"/>
      <c r="AC629" s="113"/>
      <c r="AD629" s="113"/>
      <c r="AE629" s="113"/>
      <c r="AF629" s="113"/>
      <c r="AG629" s="113"/>
    </row>
    <row r="630" spans="1:33" ht="13.8">
      <c r="A630" s="113"/>
      <c r="B630" s="113"/>
      <c r="C630" s="113"/>
      <c r="D630" s="113"/>
      <c r="E630" s="113"/>
      <c r="F630" s="113"/>
      <c r="G630" s="113"/>
      <c r="H630" s="113"/>
      <c r="I630" s="113"/>
      <c r="J630" s="113"/>
      <c r="K630" s="113"/>
      <c r="L630" s="113"/>
      <c r="M630" s="113"/>
      <c r="N630" s="113"/>
      <c r="O630" s="113"/>
      <c r="P630" s="113"/>
      <c r="Q630" s="113"/>
      <c r="R630" s="113"/>
      <c r="S630" s="113"/>
      <c r="T630" s="113"/>
      <c r="U630" s="113"/>
      <c r="V630" s="113"/>
      <c r="W630" s="113"/>
      <c r="X630" s="113"/>
      <c r="Y630" s="113"/>
      <c r="Z630" s="113"/>
      <c r="AA630" s="113"/>
      <c r="AB630" s="113"/>
      <c r="AC630" s="113"/>
      <c r="AD630" s="113"/>
      <c r="AE630" s="113"/>
      <c r="AF630" s="113"/>
      <c r="AG630" s="113"/>
    </row>
    <row r="631" spans="1:33" ht="13.8">
      <c r="A631" s="113"/>
      <c r="B631" s="113"/>
      <c r="C631" s="113"/>
      <c r="D631" s="113"/>
      <c r="E631" s="113"/>
      <c r="F631" s="113"/>
      <c r="G631" s="113"/>
      <c r="H631" s="113"/>
      <c r="I631" s="113"/>
      <c r="J631" s="113"/>
      <c r="K631" s="113"/>
      <c r="L631" s="113"/>
      <c r="M631" s="113"/>
      <c r="N631" s="113"/>
      <c r="O631" s="113"/>
      <c r="P631" s="113"/>
      <c r="Q631" s="113"/>
      <c r="R631" s="113"/>
      <c r="S631" s="113"/>
      <c r="T631" s="113"/>
      <c r="U631" s="113"/>
      <c r="V631" s="113"/>
      <c r="W631" s="113"/>
      <c r="X631" s="113"/>
      <c r="Y631" s="113"/>
      <c r="Z631" s="113"/>
      <c r="AA631" s="113"/>
      <c r="AB631" s="113"/>
      <c r="AC631" s="113"/>
      <c r="AD631" s="113"/>
      <c r="AE631" s="113"/>
      <c r="AF631" s="113"/>
      <c r="AG631" s="113"/>
    </row>
    <row r="632" spans="1:33" ht="13.8">
      <c r="A632" s="113"/>
      <c r="B632" s="113"/>
      <c r="C632" s="113"/>
      <c r="D632" s="113"/>
      <c r="E632" s="113"/>
      <c r="F632" s="113"/>
      <c r="G632" s="113"/>
      <c r="H632" s="113"/>
      <c r="I632" s="113"/>
      <c r="J632" s="113"/>
      <c r="K632" s="113"/>
      <c r="L632" s="113"/>
      <c r="M632" s="113"/>
      <c r="N632" s="113"/>
      <c r="O632" s="113"/>
      <c r="P632" s="113"/>
      <c r="Q632" s="113"/>
      <c r="R632" s="113"/>
      <c r="S632" s="113"/>
      <c r="T632" s="113"/>
      <c r="U632" s="113"/>
      <c r="V632" s="113"/>
      <c r="W632" s="113"/>
      <c r="X632" s="113"/>
      <c r="Y632" s="113"/>
      <c r="Z632" s="113"/>
      <c r="AA632" s="113"/>
      <c r="AB632" s="113"/>
      <c r="AC632" s="113"/>
      <c r="AD632" s="113"/>
      <c r="AE632" s="113"/>
      <c r="AF632" s="113"/>
      <c r="AG632" s="113"/>
    </row>
    <row r="633" spans="1:33" ht="13.8">
      <c r="A633" s="113"/>
      <c r="B633" s="113"/>
      <c r="C633" s="113"/>
      <c r="D633" s="113"/>
      <c r="E633" s="113"/>
      <c r="F633" s="113"/>
      <c r="G633" s="113"/>
      <c r="H633" s="113"/>
      <c r="I633" s="113"/>
      <c r="J633" s="113"/>
      <c r="K633" s="113"/>
      <c r="L633" s="113"/>
      <c r="M633" s="113"/>
      <c r="N633" s="113"/>
      <c r="O633" s="113"/>
      <c r="P633" s="113"/>
      <c r="Q633" s="113"/>
      <c r="R633" s="113"/>
      <c r="S633" s="113"/>
      <c r="T633" s="113"/>
      <c r="U633" s="113"/>
      <c r="V633" s="113"/>
      <c r="W633" s="113"/>
      <c r="X633" s="113"/>
      <c r="Y633" s="113"/>
      <c r="Z633" s="113"/>
      <c r="AA633" s="113"/>
      <c r="AB633" s="113"/>
      <c r="AC633" s="113"/>
      <c r="AD633" s="113"/>
      <c r="AE633" s="113"/>
      <c r="AF633" s="113"/>
      <c r="AG633" s="113"/>
    </row>
    <row r="634" spans="1:33" ht="13.8">
      <c r="A634" s="113"/>
      <c r="B634" s="113"/>
      <c r="C634" s="113"/>
      <c r="D634" s="113"/>
      <c r="E634" s="113"/>
      <c r="F634" s="113"/>
      <c r="G634" s="113"/>
      <c r="H634" s="113"/>
      <c r="I634" s="113"/>
      <c r="J634" s="113"/>
      <c r="K634" s="113"/>
      <c r="L634" s="113"/>
      <c r="M634" s="113"/>
      <c r="N634" s="113"/>
      <c r="O634" s="113"/>
      <c r="P634" s="113"/>
      <c r="Q634" s="113"/>
      <c r="R634" s="113"/>
      <c r="S634" s="113"/>
      <c r="T634" s="113"/>
      <c r="U634" s="113"/>
      <c r="V634" s="113"/>
      <c r="W634" s="113"/>
      <c r="X634" s="113"/>
      <c r="Y634" s="113"/>
      <c r="Z634" s="113"/>
      <c r="AA634" s="113"/>
      <c r="AB634" s="113"/>
      <c r="AC634" s="113"/>
      <c r="AD634" s="113"/>
      <c r="AE634" s="113"/>
      <c r="AF634" s="113"/>
      <c r="AG634" s="113"/>
    </row>
    <row r="635" spans="1:33" ht="13.8">
      <c r="A635" s="113"/>
      <c r="B635" s="113"/>
      <c r="C635" s="113"/>
      <c r="D635" s="113"/>
      <c r="E635" s="113"/>
      <c r="F635" s="113"/>
      <c r="G635" s="113"/>
      <c r="H635" s="113"/>
      <c r="I635" s="113"/>
      <c r="J635" s="113"/>
      <c r="K635" s="113"/>
      <c r="L635" s="113"/>
      <c r="M635" s="113"/>
      <c r="N635" s="113"/>
      <c r="O635" s="113"/>
      <c r="P635" s="113"/>
      <c r="Q635" s="113"/>
      <c r="R635" s="113"/>
      <c r="S635" s="113"/>
      <c r="T635" s="113"/>
      <c r="U635" s="113"/>
      <c r="V635" s="113"/>
      <c r="W635" s="113"/>
      <c r="X635" s="113"/>
      <c r="Y635" s="113"/>
      <c r="Z635" s="113"/>
      <c r="AA635" s="113"/>
      <c r="AB635" s="113"/>
      <c r="AC635" s="113"/>
      <c r="AD635" s="113"/>
      <c r="AE635" s="113"/>
      <c r="AF635" s="113"/>
      <c r="AG635" s="113"/>
    </row>
    <row r="636" spans="1:33" ht="13.8">
      <c r="A636" s="113"/>
      <c r="B636" s="113"/>
      <c r="C636" s="113"/>
      <c r="D636" s="113"/>
      <c r="E636" s="113"/>
      <c r="F636" s="113"/>
      <c r="G636" s="113"/>
      <c r="H636" s="113"/>
      <c r="I636" s="113"/>
      <c r="J636" s="113"/>
      <c r="K636" s="113"/>
      <c r="L636" s="113"/>
      <c r="M636" s="113"/>
      <c r="N636" s="113"/>
      <c r="O636" s="113"/>
      <c r="P636" s="113"/>
      <c r="Q636" s="113"/>
      <c r="R636" s="113"/>
      <c r="S636" s="113"/>
      <c r="T636" s="113"/>
      <c r="U636" s="113"/>
      <c r="V636" s="113"/>
      <c r="W636" s="113"/>
      <c r="X636" s="113"/>
      <c r="Y636" s="113"/>
      <c r="Z636" s="113"/>
      <c r="AA636" s="113"/>
      <c r="AB636" s="113"/>
      <c r="AC636" s="113"/>
      <c r="AD636" s="113"/>
      <c r="AE636" s="113"/>
      <c r="AF636" s="113"/>
      <c r="AG636" s="113"/>
    </row>
    <row r="637" spans="1:33" ht="13.8">
      <c r="A637" s="113"/>
      <c r="B637" s="113"/>
      <c r="C637" s="113"/>
      <c r="D637" s="113"/>
      <c r="E637" s="113"/>
      <c r="F637" s="113"/>
      <c r="G637" s="113"/>
      <c r="H637" s="113"/>
      <c r="I637" s="113"/>
      <c r="J637" s="113"/>
      <c r="K637" s="113"/>
      <c r="L637" s="113"/>
      <c r="M637" s="113"/>
      <c r="N637" s="113"/>
      <c r="O637" s="113"/>
      <c r="P637" s="113"/>
      <c r="Q637" s="113"/>
      <c r="R637" s="113"/>
      <c r="S637" s="113"/>
      <c r="T637" s="113"/>
      <c r="U637" s="113"/>
      <c r="V637" s="113"/>
      <c r="W637" s="113"/>
      <c r="X637" s="113"/>
      <c r="Y637" s="113"/>
      <c r="Z637" s="113"/>
      <c r="AA637" s="113"/>
      <c r="AB637" s="113"/>
      <c r="AC637" s="113"/>
      <c r="AD637" s="113"/>
      <c r="AE637" s="113"/>
      <c r="AF637" s="113"/>
      <c r="AG637" s="113"/>
    </row>
    <row r="638" spans="1:33" ht="13.8">
      <c r="A638" s="113"/>
      <c r="B638" s="113"/>
      <c r="C638" s="113"/>
      <c r="D638" s="113"/>
      <c r="E638" s="113"/>
      <c r="F638" s="113"/>
      <c r="G638" s="113"/>
      <c r="H638" s="113"/>
      <c r="I638" s="113"/>
      <c r="J638" s="113"/>
      <c r="K638" s="113"/>
      <c r="L638" s="113"/>
      <c r="M638" s="113"/>
      <c r="N638" s="113"/>
      <c r="O638" s="113"/>
      <c r="P638" s="113"/>
      <c r="Q638" s="113"/>
      <c r="R638" s="113"/>
      <c r="S638" s="113"/>
      <c r="T638" s="113"/>
      <c r="U638" s="113"/>
      <c r="V638" s="113"/>
      <c r="W638" s="113"/>
      <c r="X638" s="113"/>
      <c r="Y638" s="113"/>
      <c r="Z638" s="113"/>
      <c r="AA638" s="113"/>
      <c r="AB638" s="113"/>
      <c r="AC638" s="113"/>
      <c r="AD638" s="113"/>
      <c r="AE638" s="113"/>
      <c r="AF638" s="113"/>
      <c r="AG638" s="113"/>
    </row>
    <row r="639" spans="1:33" ht="13.8">
      <c r="A639" s="113"/>
      <c r="B639" s="113"/>
      <c r="C639" s="113"/>
      <c r="D639" s="113"/>
      <c r="E639" s="113"/>
      <c r="F639" s="113"/>
      <c r="G639" s="113"/>
      <c r="H639" s="113"/>
      <c r="I639" s="113"/>
      <c r="J639" s="113"/>
      <c r="K639" s="113"/>
      <c r="L639" s="113"/>
      <c r="M639" s="113"/>
      <c r="N639" s="113"/>
      <c r="O639" s="113"/>
      <c r="P639" s="113"/>
      <c r="Q639" s="113"/>
      <c r="R639" s="113"/>
      <c r="S639" s="113"/>
      <c r="T639" s="113"/>
      <c r="U639" s="113"/>
      <c r="V639" s="113"/>
      <c r="W639" s="113"/>
      <c r="X639" s="113"/>
      <c r="Y639" s="113"/>
      <c r="Z639" s="113"/>
      <c r="AA639" s="113"/>
      <c r="AB639" s="113"/>
      <c r="AC639" s="113"/>
      <c r="AD639" s="113"/>
      <c r="AE639" s="113"/>
      <c r="AF639" s="113"/>
      <c r="AG639" s="113"/>
    </row>
    <row r="640" spans="1:33" ht="13.8">
      <c r="A640" s="113"/>
      <c r="B640" s="113"/>
      <c r="C640" s="113"/>
      <c r="D640" s="113"/>
      <c r="E640" s="113"/>
      <c r="F640" s="113"/>
      <c r="G640" s="113"/>
      <c r="H640" s="113"/>
      <c r="I640" s="113"/>
      <c r="J640" s="113"/>
      <c r="K640" s="113"/>
      <c r="L640" s="113"/>
      <c r="M640" s="113"/>
      <c r="N640" s="113"/>
      <c r="O640" s="113"/>
      <c r="P640" s="113"/>
      <c r="Q640" s="113"/>
      <c r="R640" s="113"/>
      <c r="S640" s="113"/>
      <c r="T640" s="113"/>
      <c r="U640" s="113"/>
      <c r="V640" s="113"/>
      <c r="W640" s="113"/>
      <c r="X640" s="113"/>
      <c r="Y640" s="113"/>
      <c r="Z640" s="113"/>
      <c r="AA640" s="113"/>
      <c r="AB640" s="113"/>
      <c r="AC640" s="113"/>
      <c r="AD640" s="113"/>
      <c r="AE640" s="113"/>
      <c r="AF640" s="113"/>
      <c r="AG640" s="113"/>
    </row>
    <row r="641" spans="1:33" ht="13.8">
      <c r="A641" s="113"/>
      <c r="B641" s="113"/>
      <c r="C641" s="113"/>
      <c r="D641" s="113"/>
      <c r="E641" s="113"/>
      <c r="F641" s="113"/>
      <c r="G641" s="113"/>
      <c r="H641" s="113"/>
      <c r="I641" s="113"/>
      <c r="J641" s="113"/>
      <c r="K641" s="113"/>
      <c r="L641" s="113"/>
      <c r="M641" s="113"/>
      <c r="N641" s="113"/>
      <c r="O641" s="113"/>
      <c r="P641" s="113"/>
      <c r="Q641" s="113"/>
      <c r="R641" s="113"/>
      <c r="S641" s="113"/>
      <c r="T641" s="113"/>
      <c r="U641" s="113"/>
      <c r="V641" s="113"/>
      <c r="W641" s="113"/>
      <c r="X641" s="113"/>
      <c r="Y641" s="113"/>
      <c r="Z641" s="113"/>
      <c r="AA641" s="113"/>
      <c r="AB641" s="113"/>
      <c r="AC641" s="113"/>
      <c r="AD641" s="113"/>
      <c r="AE641" s="113"/>
      <c r="AF641" s="113"/>
      <c r="AG641" s="113"/>
    </row>
    <row r="642" spans="1:33" ht="13.8">
      <c r="A642" s="113"/>
      <c r="B642" s="113"/>
      <c r="C642" s="113"/>
      <c r="D642" s="113"/>
      <c r="E642" s="113"/>
      <c r="F642" s="113"/>
      <c r="G642" s="113"/>
      <c r="H642" s="113"/>
      <c r="I642" s="113"/>
      <c r="J642" s="113"/>
      <c r="K642" s="113"/>
      <c r="L642" s="113"/>
      <c r="M642" s="113"/>
      <c r="N642" s="113"/>
      <c r="O642" s="113"/>
      <c r="P642" s="113"/>
      <c r="Q642" s="113"/>
      <c r="R642" s="113"/>
      <c r="S642" s="113"/>
      <c r="T642" s="113"/>
      <c r="U642" s="113"/>
      <c r="V642" s="113"/>
      <c r="W642" s="113"/>
      <c r="X642" s="113"/>
      <c r="Y642" s="113"/>
      <c r="Z642" s="113"/>
      <c r="AA642" s="113"/>
      <c r="AB642" s="113"/>
      <c r="AC642" s="113"/>
      <c r="AD642" s="113"/>
      <c r="AE642" s="113"/>
      <c r="AF642" s="113"/>
      <c r="AG642" s="113"/>
    </row>
    <row r="643" spans="1:33" ht="13.8">
      <c r="A643" s="113"/>
      <c r="B643" s="113"/>
      <c r="C643" s="113"/>
      <c r="D643" s="113"/>
      <c r="E643" s="113"/>
      <c r="F643" s="113"/>
      <c r="G643" s="113"/>
      <c r="H643" s="113"/>
      <c r="I643" s="113"/>
      <c r="J643" s="113"/>
      <c r="K643" s="113"/>
      <c r="L643" s="113"/>
      <c r="M643" s="113"/>
      <c r="N643" s="113"/>
      <c r="O643" s="113"/>
      <c r="P643" s="113"/>
      <c r="Q643" s="113"/>
      <c r="R643" s="113"/>
      <c r="S643" s="113"/>
      <c r="T643" s="113"/>
      <c r="U643" s="113"/>
      <c r="V643" s="113"/>
      <c r="W643" s="113"/>
      <c r="X643" s="113"/>
      <c r="Y643" s="113"/>
      <c r="Z643" s="113"/>
      <c r="AA643" s="113"/>
      <c r="AB643" s="113"/>
      <c r="AC643" s="113"/>
      <c r="AD643" s="113"/>
      <c r="AE643" s="113"/>
      <c r="AF643" s="113"/>
      <c r="AG643" s="113"/>
    </row>
    <row r="644" spans="1:33" ht="13.8">
      <c r="A644" s="113"/>
      <c r="B644" s="113"/>
      <c r="C644" s="113"/>
      <c r="D644" s="113"/>
      <c r="E644" s="113"/>
      <c r="F644" s="113"/>
      <c r="G644" s="113"/>
      <c r="H644" s="113"/>
      <c r="I644" s="113"/>
      <c r="J644" s="113"/>
      <c r="K644" s="113"/>
      <c r="L644" s="113"/>
      <c r="M644" s="113"/>
      <c r="N644" s="113"/>
      <c r="O644" s="113"/>
      <c r="P644" s="113"/>
      <c r="Q644" s="113"/>
      <c r="R644" s="113"/>
      <c r="S644" s="113"/>
      <c r="T644" s="113"/>
      <c r="U644" s="113"/>
      <c r="V644" s="113"/>
      <c r="W644" s="113"/>
      <c r="X644" s="113"/>
      <c r="Y644" s="113"/>
      <c r="Z644" s="113"/>
      <c r="AA644" s="113"/>
      <c r="AB644" s="113"/>
      <c r="AC644" s="113"/>
      <c r="AD644" s="113"/>
      <c r="AE644" s="113"/>
      <c r="AF644" s="113"/>
      <c r="AG644" s="113"/>
    </row>
    <row r="645" spans="1:33" ht="13.8">
      <c r="A645" s="113"/>
      <c r="B645" s="113"/>
      <c r="C645" s="113"/>
      <c r="D645" s="113"/>
      <c r="E645" s="113"/>
      <c r="F645" s="113"/>
      <c r="G645" s="113"/>
      <c r="H645" s="113"/>
      <c r="I645" s="113"/>
      <c r="J645" s="113"/>
      <c r="K645" s="113"/>
      <c r="L645" s="113"/>
      <c r="M645" s="113"/>
      <c r="N645" s="113"/>
      <c r="O645" s="113"/>
      <c r="P645" s="113"/>
      <c r="Q645" s="113"/>
      <c r="R645" s="113"/>
      <c r="S645" s="113"/>
      <c r="T645" s="113"/>
      <c r="U645" s="113"/>
      <c r="V645" s="113"/>
      <c r="W645" s="113"/>
      <c r="X645" s="113"/>
      <c r="Y645" s="113"/>
      <c r="Z645" s="113"/>
      <c r="AA645" s="113"/>
      <c r="AB645" s="113"/>
      <c r="AC645" s="113"/>
      <c r="AD645" s="113"/>
      <c r="AE645" s="113"/>
      <c r="AF645" s="113"/>
      <c r="AG645" s="113"/>
    </row>
    <row r="646" spans="1:33" ht="13.8">
      <c r="A646" s="113"/>
      <c r="B646" s="113"/>
      <c r="C646" s="113"/>
      <c r="D646" s="113"/>
      <c r="E646" s="113"/>
      <c r="F646" s="113"/>
      <c r="G646" s="113"/>
      <c r="H646" s="113"/>
      <c r="I646" s="113"/>
      <c r="J646" s="113"/>
      <c r="K646" s="113"/>
      <c r="L646" s="113"/>
      <c r="M646" s="113"/>
      <c r="N646" s="113"/>
      <c r="O646" s="113"/>
      <c r="P646" s="113"/>
      <c r="Q646" s="113"/>
      <c r="R646" s="113"/>
      <c r="S646" s="113"/>
      <c r="T646" s="113"/>
      <c r="U646" s="113"/>
      <c r="V646" s="113"/>
      <c r="W646" s="113"/>
      <c r="X646" s="113"/>
      <c r="Y646" s="113"/>
      <c r="Z646" s="113"/>
      <c r="AA646" s="113"/>
      <c r="AB646" s="113"/>
      <c r="AC646" s="113"/>
      <c r="AD646" s="113"/>
      <c r="AE646" s="113"/>
      <c r="AF646" s="113"/>
      <c r="AG646" s="113"/>
    </row>
    <row r="647" spans="1:33" ht="13.8">
      <c r="A647" s="113"/>
      <c r="B647" s="113"/>
      <c r="C647" s="113"/>
      <c r="D647" s="113"/>
      <c r="E647" s="113"/>
      <c r="F647" s="113"/>
      <c r="G647" s="113"/>
      <c r="H647" s="113"/>
      <c r="I647" s="113"/>
      <c r="J647" s="113"/>
      <c r="K647" s="113"/>
      <c r="L647" s="113"/>
      <c r="M647" s="113"/>
      <c r="N647" s="113"/>
      <c r="O647" s="113"/>
      <c r="P647" s="113"/>
      <c r="Q647" s="113"/>
      <c r="R647" s="113"/>
      <c r="S647" s="113"/>
      <c r="T647" s="113"/>
      <c r="U647" s="113"/>
      <c r="V647" s="113"/>
      <c r="W647" s="113"/>
      <c r="X647" s="113"/>
      <c r="Y647" s="113"/>
      <c r="Z647" s="113"/>
      <c r="AA647" s="113"/>
      <c r="AB647" s="113"/>
      <c r="AC647" s="113"/>
      <c r="AD647" s="113"/>
      <c r="AE647" s="113"/>
      <c r="AF647" s="113"/>
      <c r="AG647" s="113"/>
    </row>
    <row r="648" spans="1:33" ht="13.8">
      <c r="A648" s="113"/>
      <c r="B648" s="113"/>
      <c r="C648" s="113"/>
      <c r="D648" s="113"/>
      <c r="E648" s="113"/>
      <c r="F648" s="113"/>
      <c r="G648" s="113"/>
      <c r="H648" s="113"/>
      <c r="I648" s="113"/>
      <c r="J648" s="113"/>
      <c r="K648" s="113"/>
      <c r="L648" s="113"/>
      <c r="M648" s="113"/>
      <c r="N648" s="113"/>
      <c r="O648" s="113"/>
      <c r="P648" s="113"/>
      <c r="Q648" s="113"/>
      <c r="R648" s="113"/>
      <c r="S648" s="113"/>
      <c r="T648" s="113"/>
      <c r="U648" s="113"/>
      <c r="V648" s="113"/>
      <c r="W648" s="113"/>
      <c r="X648" s="113"/>
      <c r="Y648" s="113"/>
      <c r="Z648" s="113"/>
      <c r="AA648" s="113"/>
      <c r="AB648" s="113"/>
      <c r="AC648" s="113"/>
      <c r="AD648" s="113"/>
      <c r="AE648" s="113"/>
      <c r="AF648" s="113"/>
      <c r="AG648" s="113"/>
    </row>
    <row r="649" spans="1:33" ht="13.8">
      <c r="A649" s="113"/>
      <c r="B649" s="113"/>
      <c r="C649" s="113"/>
      <c r="D649" s="113"/>
      <c r="E649" s="113"/>
      <c r="F649" s="113"/>
      <c r="G649" s="113"/>
      <c r="H649" s="113"/>
      <c r="I649" s="113"/>
      <c r="J649" s="113"/>
      <c r="K649" s="113"/>
      <c r="L649" s="113"/>
      <c r="M649" s="113"/>
      <c r="N649" s="113"/>
      <c r="O649" s="113"/>
      <c r="P649" s="113"/>
      <c r="Q649" s="113"/>
      <c r="R649" s="113"/>
      <c r="S649" s="113"/>
      <c r="T649" s="113"/>
      <c r="U649" s="113"/>
      <c r="V649" s="113"/>
      <c r="W649" s="113"/>
      <c r="X649" s="113"/>
      <c r="Y649" s="113"/>
      <c r="Z649" s="113"/>
      <c r="AA649" s="113"/>
      <c r="AB649" s="113"/>
      <c r="AC649" s="113"/>
      <c r="AD649" s="113"/>
      <c r="AE649" s="113"/>
      <c r="AF649" s="113"/>
      <c r="AG649" s="113"/>
    </row>
    <row r="650" spans="1:33" ht="13.8">
      <c r="A650" s="113"/>
      <c r="B650" s="113"/>
      <c r="C650" s="113"/>
      <c r="D650" s="113"/>
      <c r="E650" s="113"/>
      <c r="F650" s="113"/>
      <c r="G650" s="113"/>
      <c r="H650" s="113"/>
      <c r="I650" s="113"/>
      <c r="J650" s="113"/>
      <c r="K650" s="113"/>
      <c r="L650" s="113"/>
      <c r="M650" s="113"/>
      <c r="N650" s="113"/>
      <c r="O650" s="113"/>
      <c r="P650" s="113"/>
      <c r="Q650" s="113"/>
      <c r="R650" s="113"/>
      <c r="S650" s="113"/>
      <c r="T650" s="113"/>
      <c r="U650" s="113"/>
      <c r="V650" s="113"/>
      <c r="W650" s="113"/>
      <c r="X650" s="113"/>
      <c r="Y650" s="113"/>
      <c r="Z650" s="113"/>
      <c r="AA650" s="113"/>
      <c r="AB650" s="113"/>
      <c r="AC650" s="113"/>
      <c r="AD650" s="113"/>
      <c r="AE650" s="113"/>
      <c r="AF650" s="113"/>
      <c r="AG650" s="113"/>
    </row>
    <row r="651" spans="1:33" ht="13.8">
      <c r="A651" s="113"/>
      <c r="B651" s="113"/>
      <c r="C651" s="113"/>
      <c r="D651" s="113"/>
      <c r="E651" s="113"/>
      <c r="F651" s="113"/>
      <c r="G651" s="113"/>
      <c r="H651" s="113"/>
      <c r="I651" s="113"/>
      <c r="J651" s="113"/>
      <c r="K651" s="113"/>
      <c r="L651" s="113"/>
      <c r="M651" s="113"/>
      <c r="N651" s="113"/>
      <c r="O651" s="113"/>
      <c r="P651" s="113"/>
      <c r="Q651" s="113"/>
      <c r="R651" s="113"/>
      <c r="S651" s="113"/>
      <c r="T651" s="113"/>
      <c r="U651" s="113"/>
      <c r="V651" s="113"/>
      <c r="W651" s="113"/>
      <c r="X651" s="113"/>
      <c r="Y651" s="113"/>
      <c r="Z651" s="113"/>
      <c r="AA651" s="113"/>
      <c r="AB651" s="113"/>
      <c r="AC651" s="113"/>
      <c r="AD651" s="113"/>
      <c r="AE651" s="113"/>
      <c r="AF651" s="113"/>
      <c r="AG651" s="113"/>
    </row>
    <row r="652" spans="1:33" ht="13.8">
      <c r="A652" s="113"/>
      <c r="B652" s="113"/>
      <c r="C652" s="113"/>
      <c r="D652" s="113"/>
      <c r="E652" s="113"/>
      <c r="F652" s="113"/>
      <c r="G652" s="113"/>
      <c r="H652" s="113"/>
      <c r="I652" s="113"/>
      <c r="J652" s="113"/>
      <c r="K652" s="113"/>
      <c r="L652" s="113"/>
      <c r="M652" s="113"/>
      <c r="N652" s="113"/>
      <c r="O652" s="113"/>
      <c r="P652" s="113"/>
      <c r="Q652" s="113"/>
      <c r="R652" s="113"/>
      <c r="S652" s="113"/>
      <c r="T652" s="113"/>
      <c r="U652" s="113"/>
      <c r="V652" s="113"/>
      <c r="W652" s="113"/>
      <c r="X652" s="113"/>
      <c r="Y652" s="113"/>
      <c r="Z652" s="113"/>
      <c r="AA652" s="113"/>
      <c r="AB652" s="113"/>
      <c r="AC652" s="113"/>
      <c r="AD652" s="113"/>
      <c r="AE652" s="113"/>
      <c r="AF652" s="113"/>
      <c r="AG652" s="113"/>
    </row>
    <row r="653" spans="1:33" ht="13.8">
      <c r="A653" s="113"/>
      <c r="B653" s="113"/>
      <c r="C653" s="113"/>
      <c r="D653" s="113"/>
      <c r="E653" s="113"/>
      <c r="F653" s="113"/>
      <c r="G653" s="113"/>
      <c r="H653" s="113"/>
      <c r="I653" s="113"/>
      <c r="J653" s="113"/>
      <c r="K653" s="113"/>
      <c r="L653" s="113"/>
      <c r="M653" s="113"/>
      <c r="N653" s="113"/>
      <c r="O653" s="113"/>
      <c r="P653" s="113"/>
      <c r="Q653" s="113"/>
      <c r="R653" s="113"/>
      <c r="S653" s="113"/>
      <c r="T653" s="113"/>
      <c r="U653" s="113"/>
      <c r="V653" s="113"/>
      <c r="W653" s="113"/>
      <c r="X653" s="113"/>
      <c r="Y653" s="113"/>
      <c r="Z653" s="113"/>
      <c r="AA653" s="113"/>
      <c r="AB653" s="113"/>
      <c r="AC653" s="113"/>
      <c r="AD653" s="113"/>
      <c r="AE653" s="113"/>
      <c r="AF653" s="113"/>
      <c r="AG653" s="113"/>
    </row>
    <row r="654" spans="1:33" ht="13.8">
      <c r="A654" s="113"/>
      <c r="B654" s="113"/>
      <c r="C654" s="113"/>
      <c r="D654" s="113"/>
      <c r="E654" s="113"/>
      <c r="F654" s="113"/>
      <c r="G654" s="113"/>
      <c r="H654" s="113"/>
      <c r="I654" s="113"/>
      <c r="J654" s="113"/>
      <c r="K654" s="113"/>
      <c r="L654" s="113"/>
      <c r="M654" s="113"/>
      <c r="N654" s="113"/>
      <c r="O654" s="113"/>
      <c r="P654" s="113"/>
      <c r="Q654" s="113"/>
      <c r="R654" s="113"/>
      <c r="S654" s="113"/>
      <c r="T654" s="113"/>
      <c r="U654" s="113"/>
      <c r="V654" s="113"/>
      <c r="W654" s="113"/>
      <c r="X654" s="113"/>
      <c r="Y654" s="113"/>
      <c r="Z654" s="113"/>
      <c r="AA654" s="113"/>
      <c r="AB654" s="113"/>
      <c r="AC654" s="113"/>
      <c r="AD654" s="113"/>
      <c r="AE654" s="113"/>
      <c r="AF654" s="113"/>
      <c r="AG654" s="113"/>
    </row>
    <row r="655" spans="1:33" ht="13.8">
      <c r="A655" s="113"/>
      <c r="B655" s="113"/>
      <c r="C655" s="113"/>
      <c r="D655" s="113"/>
      <c r="E655" s="113"/>
      <c r="F655" s="113"/>
      <c r="G655" s="113"/>
      <c r="H655" s="113"/>
      <c r="I655" s="113"/>
      <c r="J655" s="113"/>
      <c r="K655" s="113"/>
      <c r="L655" s="113"/>
      <c r="M655" s="113"/>
      <c r="N655" s="113"/>
      <c r="O655" s="113"/>
      <c r="P655" s="113"/>
      <c r="Q655" s="113"/>
      <c r="R655" s="113"/>
      <c r="S655" s="113"/>
      <c r="T655" s="113"/>
      <c r="U655" s="113"/>
      <c r="V655" s="113"/>
      <c r="W655" s="113"/>
      <c r="X655" s="113"/>
      <c r="Y655" s="113"/>
      <c r="Z655" s="113"/>
      <c r="AA655" s="113"/>
      <c r="AB655" s="113"/>
      <c r="AC655" s="113"/>
      <c r="AD655" s="113"/>
      <c r="AE655" s="113"/>
      <c r="AF655" s="113"/>
      <c r="AG655" s="113"/>
    </row>
    <row r="656" spans="1:33" ht="13.8">
      <c r="A656" s="113"/>
      <c r="B656" s="113"/>
      <c r="C656" s="113"/>
      <c r="D656" s="113"/>
      <c r="E656" s="113"/>
      <c r="F656" s="113"/>
      <c r="G656" s="113"/>
      <c r="H656" s="113"/>
      <c r="I656" s="113"/>
      <c r="J656" s="113"/>
      <c r="K656" s="113"/>
      <c r="L656" s="113"/>
      <c r="M656" s="113"/>
      <c r="N656" s="113"/>
      <c r="O656" s="113"/>
      <c r="P656" s="113"/>
      <c r="Q656" s="113"/>
      <c r="R656" s="113"/>
      <c r="S656" s="113"/>
      <c r="T656" s="113"/>
      <c r="U656" s="113"/>
      <c r="V656" s="113"/>
      <c r="W656" s="113"/>
      <c r="X656" s="113"/>
      <c r="Y656" s="113"/>
      <c r="Z656" s="113"/>
      <c r="AA656" s="113"/>
      <c r="AB656" s="113"/>
      <c r="AC656" s="113"/>
      <c r="AD656" s="113"/>
      <c r="AE656" s="113"/>
      <c r="AF656" s="113"/>
      <c r="AG656" s="113"/>
    </row>
    <row r="657" spans="1:33" ht="13.8">
      <c r="A657" s="113"/>
      <c r="B657" s="113"/>
      <c r="C657" s="113"/>
      <c r="D657" s="113"/>
      <c r="E657" s="113"/>
      <c r="F657" s="113"/>
      <c r="G657" s="113"/>
      <c r="H657" s="113"/>
      <c r="I657" s="113"/>
      <c r="J657" s="113"/>
      <c r="K657" s="113"/>
      <c r="L657" s="113"/>
      <c r="M657" s="113"/>
      <c r="N657" s="113"/>
      <c r="O657" s="113"/>
      <c r="P657" s="113"/>
      <c r="Q657" s="113"/>
      <c r="R657" s="113"/>
      <c r="S657" s="113"/>
      <c r="T657" s="113"/>
      <c r="U657" s="113"/>
      <c r="V657" s="113"/>
      <c r="W657" s="113"/>
      <c r="X657" s="113"/>
      <c r="Y657" s="113"/>
      <c r="Z657" s="113"/>
      <c r="AA657" s="113"/>
      <c r="AB657" s="113"/>
      <c r="AC657" s="113"/>
      <c r="AD657" s="113"/>
      <c r="AE657" s="113"/>
      <c r="AF657" s="113"/>
      <c r="AG657" s="113"/>
    </row>
    <row r="658" spans="1:33" ht="13.8">
      <c r="A658" s="113"/>
      <c r="B658" s="113"/>
      <c r="C658" s="113"/>
      <c r="D658" s="113"/>
      <c r="E658" s="113"/>
      <c r="F658" s="113"/>
      <c r="G658" s="113"/>
      <c r="H658" s="113"/>
      <c r="I658" s="113"/>
      <c r="J658" s="113"/>
      <c r="K658" s="113"/>
      <c r="L658" s="113"/>
      <c r="M658" s="113"/>
      <c r="N658" s="113"/>
      <c r="O658" s="113"/>
      <c r="P658" s="113"/>
      <c r="Q658" s="113"/>
      <c r="R658" s="113"/>
      <c r="S658" s="113"/>
      <c r="T658" s="113"/>
      <c r="U658" s="113"/>
      <c r="V658" s="113"/>
      <c r="W658" s="113"/>
      <c r="X658" s="113"/>
      <c r="Y658" s="113"/>
      <c r="Z658" s="113"/>
      <c r="AA658" s="113"/>
      <c r="AB658" s="113"/>
      <c r="AC658" s="113"/>
      <c r="AD658" s="113"/>
      <c r="AE658" s="113"/>
      <c r="AF658" s="113"/>
      <c r="AG658" s="113"/>
    </row>
    <row r="659" spans="1:33" ht="13.8">
      <c r="A659" s="113"/>
      <c r="B659" s="113"/>
      <c r="C659" s="113"/>
      <c r="D659" s="113"/>
      <c r="E659" s="113"/>
      <c r="F659" s="113"/>
      <c r="G659" s="113"/>
      <c r="H659" s="113"/>
      <c r="I659" s="113"/>
      <c r="J659" s="113"/>
      <c r="K659" s="113"/>
      <c r="L659" s="113"/>
      <c r="M659" s="113"/>
      <c r="N659" s="113"/>
      <c r="O659" s="113"/>
      <c r="P659" s="113"/>
      <c r="Q659" s="113"/>
      <c r="R659" s="113"/>
      <c r="S659" s="113"/>
      <c r="T659" s="113"/>
      <c r="U659" s="113"/>
      <c r="V659" s="113"/>
      <c r="W659" s="113"/>
      <c r="X659" s="113"/>
      <c r="Y659" s="113"/>
      <c r="Z659" s="113"/>
      <c r="AA659" s="113"/>
      <c r="AB659" s="113"/>
      <c r="AC659" s="113"/>
      <c r="AD659" s="113"/>
      <c r="AE659" s="113"/>
      <c r="AF659" s="113"/>
      <c r="AG659" s="113"/>
    </row>
    <row r="660" spans="1:33" ht="13.8">
      <c r="A660" s="113"/>
      <c r="B660" s="113"/>
      <c r="C660" s="113"/>
      <c r="D660" s="113"/>
      <c r="E660" s="113"/>
      <c r="F660" s="113"/>
      <c r="G660" s="113"/>
      <c r="H660" s="113"/>
      <c r="I660" s="113"/>
      <c r="J660" s="113"/>
      <c r="K660" s="113"/>
      <c r="L660" s="113"/>
      <c r="M660" s="113"/>
      <c r="N660" s="113"/>
      <c r="O660" s="113"/>
      <c r="P660" s="113"/>
      <c r="Q660" s="113"/>
      <c r="R660" s="113"/>
      <c r="S660" s="113"/>
      <c r="T660" s="113"/>
      <c r="U660" s="113"/>
      <c r="V660" s="113"/>
      <c r="W660" s="113"/>
      <c r="X660" s="113"/>
      <c r="Y660" s="113"/>
      <c r="Z660" s="113"/>
      <c r="AA660" s="113"/>
      <c r="AB660" s="113"/>
      <c r="AC660" s="113"/>
      <c r="AD660" s="113"/>
      <c r="AE660" s="113"/>
      <c r="AF660" s="113"/>
      <c r="AG660" s="113"/>
    </row>
    <row r="661" spans="1:33" ht="13.8">
      <c r="A661" s="113"/>
      <c r="B661" s="113"/>
      <c r="C661" s="113"/>
      <c r="D661" s="113"/>
      <c r="E661" s="113"/>
      <c r="F661" s="113"/>
      <c r="G661" s="113"/>
      <c r="H661" s="113"/>
      <c r="I661" s="113"/>
      <c r="J661" s="113"/>
      <c r="K661" s="113"/>
      <c r="L661" s="113"/>
      <c r="M661" s="113"/>
      <c r="N661" s="113"/>
      <c r="O661" s="113"/>
      <c r="P661" s="113"/>
      <c r="Q661" s="113"/>
      <c r="R661" s="113"/>
      <c r="S661" s="113"/>
      <c r="T661" s="113"/>
      <c r="U661" s="113"/>
      <c r="V661" s="113"/>
      <c r="W661" s="113"/>
      <c r="X661" s="113"/>
      <c r="Y661" s="113"/>
      <c r="Z661" s="113"/>
      <c r="AA661" s="113"/>
      <c r="AB661" s="113"/>
      <c r="AC661" s="113"/>
      <c r="AD661" s="113"/>
      <c r="AE661" s="113"/>
      <c r="AF661" s="113"/>
      <c r="AG661" s="113"/>
    </row>
    <row r="662" spans="1:33" ht="13.8">
      <c r="A662" s="113"/>
      <c r="B662" s="113"/>
      <c r="C662" s="113"/>
      <c r="D662" s="113"/>
      <c r="E662" s="113"/>
      <c r="F662" s="113"/>
      <c r="G662" s="113"/>
      <c r="H662" s="113"/>
      <c r="I662" s="113"/>
      <c r="J662" s="113"/>
      <c r="K662" s="113"/>
      <c r="L662" s="113"/>
      <c r="M662" s="113"/>
      <c r="N662" s="113"/>
      <c r="O662" s="113"/>
      <c r="P662" s="113"/>
      <c r="Q662" s="113"/>
      <c r="R662" s="113"/>
      <c r="S662" s="113"/>
      <c r="T662" s="113"/>
      <c r="U662" s="113"/>
      <c r="V662" s="113"/>
      <c r="W662" s="113"/>
      <c r="X662" s="113"/>
      <c r="Y662" s="113"/>
      <c r="Z662" s="113"/>
      <c r="AA662" s="113"/>
      <c r="AB662" s="113"/>
      <c r="AC662" s="113"/>
      <c r="AD662" s="113"/>
      <c r="AE662" s="113"/>
      <c r="AF662" s="113"/>
      <c r="AG662" s="113"/>
    </row>
    <row r="663" spans="1:33" ht="13.8">
      <c r="A663" s="113"/>
      <c r="B663" s="113"/>
      <c r="C663" s="113"/>
      <c r="D663" s="113"/>
      <c r="E663" s="113"/>
      <c r="F663" s="113"/>
      <c r="G663" s="113"/>
      <c r="H663" s="113"/>
      <c r="I663" s="113"/>
      <c r="J663" s="113"/>
      <c r="K663" s="113"/>
      <c r="L663" s="113"/>
      <c r="M663" s="113"/>
      <c r="N663" s="113"/>
      <c r="O663" s="113"/>
      <c r="P663" s="113"/>
      <c r="Q663" s="113"/>
      <c r="R663" s="113"/>
      <c r="S663" s="113"/>
      <c r="T663" s="113"/>
      <c r="U663" s="113"/>
      <c r="V663" s="113"/>
      <c r="W663" s="113"/>
      <c r="X663" s="113"/>
      <c r="Y663" s="113"/>
      <c r="Z663" s="113"/>
      <c r="AA663" s="113"/>
      <c r="AB663" s="113"/>
      <c r="AC663" s="113"/>
      <c r="AD663" s="113"/>
      <c r="AE663" s="113"/>
      <c r="AF663" s="113"/>
      <c r="AG663" s="113"/>
    </row>
    <row r="664" spans="1:33" ht="13.8">
      <c r="A664" s="113"/>
      <c r="B664" s="113"/>
      <c r="C664" s="113"/>
      <c r="D664" s="113"/>
      <c r="E664" s="113"/>
      <c r="F664" s="113"/>
      <c r="G664" s="113"/>
      <c r="H664" s="113"/>
      <c r="I664" s="113"/>
      <c r="J664" s="113"/>
      <c r="K664" s="113"/>
      <c r="L664" s="113"/>
      <c r="M664" s="113"/>
      <c r="N664" s="113"/>
      <c r="O664" s="113"/>
      <c r="P664" s="113"/>
      <c r="Q664" s="113"/>
      <c r="R664" s="113"/>
      <c r="S664" s="113"/>
      <c r="T664" s="113"/>
      <c r="U664" s="113"/>
      <c r="V664" s="113"/>
      <c r="W664" s="113"/>
      <c r="X664" s="113"/>
      <c r="Y664" s="113"/>
      <c r="Z664" s="113"/>
      <c r="AA664" s="113"/>
      <c r="AB664" s="113"/>
      <c r="AC664" s="113"/>
      <c r="AD664" s="113"/>
      <c r="AE664" s="113"/>
      <c r="AF664" s="113"/>
      <c r="AG664" s="113"/>
    </row>
    <row r="665" spans="1:33" ht="13.8">
      <c r="A665" s="113"/>
      <c r="B665" s="113"/>
      <c r="C665" s="113"/>
      <c r="D665" s="113"/>
      <c r="E665" s="113"/>
      <c r="F665" s="113"/>
      <c r="G665" s="113"/>
      <c r="H665" s="113"/>
      <c r="I665" s="113"/>
      <c r="J665" s="113"/>
      <c r="K665" s="113"/>
      <c r="L665" s="113"/>
      <c r="M665" s="113"/>
      <c r="N665" s="113"/>
      <c r="O665" s="113"/>
      <c r="P665" s="113"/>
      <c r="Q665" s="113"/>
      <c r="R665" s="113"/>
      <c r="S665" s="113"/>
      <c r="T665" s="113"/>
      <c r="U665" s="113"/>
      <c r="V665" s="113"/>
      <c r="W665" s="113"/>
      <c r="X665" s="113"/>
      <c r="Y665" s="113"/>
      <c r="Z665" s="113"/>
      <c r="AA665" s="113"/>
      <c r="AB665" s="113"/>
      <c r="AC665" s="113"/>
      <c r="AD665" s="113"/>
      <c r="AE665" s="113"/>
      <c r="AF665" s="113"/>
      <c r="AG665" s="113"/>
    </row>
    <row r="666" spans="1:33" ht="13.8">
      <c r="A666" s="113"/>
      <c r="B666" s="113"/>
      <c r="C666" s="113"/>
      <c r="D666" s="113"/>
      <c r="E666" s="113"/>
      <c r="F666" s="113"/>
      <c r="G666" s="113"/>
      <c r="H666" s="113"/>
      <c r="I666" s="113"/>
      <c r="J666" s="113"/>
      <c r="K666" s="113"/>
      <c r="L666" s="113"/>
      <c r="M666" s="113"/>
      <c r="N666" s="113"/>
      <c r="O666" s="113"/>
      <c r="P666" s="113"/>
      <c r="Q666" s="113"/>
      <c r="R666" s="113"/>
      <c r="S666" s="113"/>
      <c r="T666" s="113"/>
      <c r="U666" s="113"/>
      <c r="V666" s="113"/>
      <c r="W666" s="113"/>
      <c r="X666" s="113"/>
      <c r="Y666" s="113"/>
      <c r="Z666" s="113"/>
      <c r="AA666" s="113"/>
      <c r="AB666" s="113"/>
      <c r="AC666" s="113"/>
      <c r="AD666" s="113"/>
      <c r="AE666" s="113"/>
      <c r="AF666" s="113"/>
      <c r="AG666" s="113"/>
    </row>
    <row r="667" spans="1:33" ht="13.8">
      <c r="A667" s="113"/>
      <c r="B667" s="113"/>
      <c r="C667" s="113"/>
      <c r="D667" s="113"/>
      <c r="E667" s="113"/>
      <c r="F667" s="113"/>
      <c r="G667" s="113"/>
      <c r="H667" s="113"/>
      <c r="I667" s="113"/>
      <c r="J667" s="113"/>
      <c r="K667" s="113"/>
      <c r="L667" s="113"/>
      <c r="M667" s="113"/>
      <c r="N667" s="113"/>
      <c r="O667" s="113"/>
      <c r="P667" s="113"/>
      <c r="Q667" s="113"/>
      <c r="R667" s="113"/>
      <c r="S667" s="113"/>
      <c r="T667" s="113"/>
      <c r="U667" s="113"/>
      <c r="V667" s="113"/>
      <c r="W667" s="113"/>
      <c r="X667" s="113"/>
      <c r="Y667" s="113"/>
      <c r="Z667" s="113"/>
      <c r="AA667" s="113"/>
      <c r="AB667" s="113"/>
      <c r="AC667" s="113"/>
      <c r="AD667" s="113"/>
      <c r="AE667" s="113"/>
      <c r="AF667" s="113"/>
      <c r="AG667" s="113"/>
    </row>
    <row r="668" spans="1:33" ht="13.8">
      <c r="A668" s="113"/>
      <c r="B668" s="113"/>
      <c r="C668" s="113"/>
      <c r="D668" s="113"/>
      <c r="E668" s="113"/>
      <c r="F668" s="113"/>
      <c r="G668" s="113"/>
      <c r="H668" s="113"/>
      <c r="I668" s="113"/>
      <c r="J668" s="113"/>
      <c r="K668" s="113"/>
      <c r="L668" s="113"/>
      <c r="M668" s="113"/>
      <c r="N668" s="113"/>
      <c r="O668" s="113"/>
      <c r="P668" s="113"/>
      <c r="Q668" s="113"/>
      <c r="R668" s="113"/>
      <c r="S668" s="113"/>
      <c r="T668" s="113"/>
      <c r="U668" s="113"/>
      <c r="V668" s="113"/>
      <c r="W668" s="113"/>
      <c r="X668" s="113"/>
      <c r="Y668" s="113"/>
      <c r="Z668" s="113"/>
      <c r="AA668" s="113"/>
      <c r="AB668" s="113"/>
      <c r="AC668" s="113"/>
      <c r="AD668" s="113"/>
      <c r="AE668" s="113"/>
      <c r="AF668" s="113"/>
      <c r="AG668" s="113"/>
    </row>
    <row r="669" spans="1:33" ht="13.8">
      <c r="A669" s="113"/>
      <c r="B669" s="113"/>
      <c r="C669" s="113"/>
      <c r="D669" s="113"/>
      <c r="E669" s="113"/>
      <c r="F669" s="113"/>
      <c r="G669" s="113"/>
      <c r="H669" s="113"/>
      <c r="I669" s="113"/>
      <c r="J669" s="113"/>
      <c r="K669" s="113"/>
      <c r="L669" s="113"/>
      <c r="M669" s="113"/>
      <c r="N669" s="113"/>
      <c r="O669" s="113"/>
      <c r="P669" s="113"/>
      <c r="Q669" s="113"/>
      <c r="R669" s="113"/>
      <c r="S669" s="113"/>
      <c r="T669" s="113"/>
      <c r="U669" s="113"/>
      <c r="V669" s="113"/>
      <c r="W669" s="113"/>
      <c r="X669" s="113"/>
      <c r="Y669" s="113"/>
      <c r="Z669" s="113"/>
      <c r="AA669" s="113"/>
      <c r="AB669" s="113"/>
      <c r="AC669" s="113"/>
      <c r="AD669" s="113"/>
      <c r="AE669" s="113"/>
      <c r="AF669" s="113"/>
      <c r="AG669" s="113"/>
    </row>
    <row r="670" spans="1:33" ht="13.8">
      <c r="A670" s="113"/>
      <c r="B670" s="113"/>
      <c r="C670" s="113"/>
      <c r="D670" s="113"/>
      <c r="E670" s="113"/>
      <c r="F670" s="113"/>
      <c r="G670" s="113"/>
      <c r="H670" s="113"/>
      <c r="I670" s="113"/>
      <c r="J670" s="113"/>
      <c r="K670" s="113"/>
      <c r="L670" s="113"/>
      <c r="M670" s="113"/>
      <c r="N670" s="113"/>
      <c r="O670" s="113"/>
      <c r="P670" s="113"/>
      <c r="Q670" s="113"/>
      <c r="R670" s="113"/>
      <c r="S670" s="113"/>
      <c r="T670" s="113"/>
      <c r="U670" s="113"/>
      <c r="V670" s="113"/>
      <c r="W670" s="113"/>
      <c r="X670" s="113"/>
      <c r="Y670" s="113"/>
      <c r="Z670" s="113"/>
      <c r="AA670" s="113"/>
      <c r="AB670" s="113"/>
      <c r="AC670" s="113"/>
      <c r="AD670" s="113"/>
      <c r="AE670" s="113"/>
      <c r="AF670" s="113"/>
      <c r="AG670" s="113"/>
    </row>
    <row r="671" spans="1:33" ht="13.8">
      <c r="A671" s="113"/>
      <c r="B671" s="113"/>
      <c r="C671" s="113"/>
      <c r="D671" s="113"/>
      <c r="E671" s="113"/>
      <c r="F671" s="113"/>
      <c r="G671" s="113"/>
      <c r="H671" s="113"/>
      <c r="I671" s="113"/>
      <c r="J671" s="113"/>
      <c r="K671" s="113"/>
      <c r="L671" s="113"/>
      <c r="M671" s="113"/>
      <c r="N671" s="113"/>
      <c r="O671" s="113"/>
      <c r="P671" s="113"/>
      <c r="Q671" s="113"/>
      <c r="R671" s="113"/>
      <c r="S671" s="113"/>
      <c r="T671" s="113"/>
      <c r="U671" s="113"/>
      <c r="V671" s="113"/>
      <c r="W671" s="113"/>
      <c r="X671" s="113"/>
      <c r="Y671" s="113"/>
      <c r="Z671" s="113"/>
      <c r="AA671" s="113"/>
      <c r="AB671" s="113"/>
      <c r="AC671" s="113"/>
      <c r="AD671" s="113"/>
      <c r="AE671" s="113"/>
      <c r="AF671" s="113"/>
      <c r="AG671" s="113"/>
    </row>
    <row r="672" spans="1:33" ht="13.8">
      <c r="A672" s="113"/>
      <c r="B672" s="113"/>
      <c r="C672" s="113"/>
      <c r="D672" s="113"/>
      <c r="E672" s="113"/>
      <c r="F672" s="113"/>
      <c r="G672" s="113"/>
      <c r="H672" s="113"/>
      <c r="I672" s="113"/>
      <c r="J672" s="113"/>
      <c r="K672" s="113"/>
      <c r="L672" s="113"/>
      <c r="M672" s="113"/>
      <c r="N672" s="113"/>
      <c r="O672" s="113"/>
      <c r="P672" s="113"/>
      <c r="Q672" s="113"/>
      <c r="R672" s="113"/>
      <c r="S672" s="113"/>
      <c r="T672" s="113"/>
      <c r="U672" s="113"/>
      <c r="V672" s="113"/>
      <c r="W672" s="113"/>
      <c r="X672" s="113"/>
      <c r="Y672" s="113"/>
      <c r="Z672" s="113"/>
      <c r="AA672" s="113"/>
      <c r="AB672" s="113"/>
      <c r="AC672" s="113"/>
      <c r="AD672" s="113"/>
      <c r="AE672" s="113"/>
      <c r="AF672" s="113"/>
      <c r="AG672" s="113"/>
    </row>
    <row r="673" spans="1:33" ht="13.8">
      <c r="A673" s="113"/>
      <c r="B673" s="113"/>
      <c r="C673" s="113"/>
      <c r="D673" s="113"/>
      <c r="E673" s="113"/>
      <c r="F673" s="113"/>
      <c r="G673" s="113"/>
      <c r="H673" s="113"/>
      <c r="I673" s="113"/>
      <c r="J673" s="113"/>
      <c r="K673" s="113"/>
      <c r="L673" s="113"/>
      <c r="M673" s="113"/>
      <c r="N673" s="113"/>
      <c r="O673" s="113"/>
      <c r="P673" s="113"/>
      <c r="Q673" s="113"/>
      <c r="R673" s="113"/>
      <c r="S673" s="113"/>
      <c r="T673" s="113"/>
      <c r="U673" s="113"/>
      <c r="V673" s="113"/>
      <c r="W673" s="113"/>
      <c r="X673" s="113"/>
      <c r="Y673" s="113"/>
      <c r="Z673" s="113"/>
      <c r="AA673" s="113"/>
      <c r="AB673" s="113"/>
      <c r="AC673" s="113"/>
      <c r="AD673" s="113"/>
      <c r="AE673" s="113"/>
      <c r="AF673" s="113"/>
      <c r="AG673" s="113"/>
    </row>
    <row r="674" spans="1:33" ht="13.8">
      <c r="A674" s="113"/>
      <c r="B674" s="113"/>
      <c r="C674" s="113"/>
      <c r="D674" s="113"/>
      <c r="E674" s="113"/>
      <c r="F674" s="113"/>
      <c r="G674" s="113"/>
      <c r="H674" s="113"/>
      <c r="I674" s="113"/>
      <c r="J674" s="113"/>
      <c r="K674" s="113"/>
      <c r="L674" s="113"/>
      <c r="M674" s="113"/>
      <c r="N674" s="113"/>
      <c r="O674" s="113"/>
      <c r="P674" s="113"/>
      <c r="Q674" s="113"/>
      <c r="R674" s="113"/>
      <c r="S674" s="113"/>
      <c r="T674" s="113"/>
      <c r="U674" s="113"/>
      <c r="V674" s="113"/>
      <c r="W674" s="113"/>
      <c r="X674" s="113"/>
      <c r="Y674" s="113"/>
      <c r="Z674" s="113"/>
      <c r="AA674" s="113"/>
      <c r="AB674" s="113"/>
      <c r="AC674" s="113"/>
      <c r="AD674" s="113"/>
      <c r="AE674" s="113"/>
      <c r="AF674" s="113"/>
      <c r="AG674" s="113"/>
    </row>
    <row r="675" spans="1:33" ht="13.8">
      <c r="A675" s="113"/>
      <c r="B675" s="113"/>
      <c r="C675" s="113"/>
      <c r="D675" s="113"/>
      <c r="E675" s="113"/>
      <c r="F675" s="113"/>
      <c r="G675" s="113"/>
      <c r="H675" s="113"/>
      <c r="I675" s="113"/>
      <c r="J675" s="113"/>
      <c r="K675" s="113"/>
      <c r="L675" s="113"/>
      <c r="M675" s="113"/>
      <c r="N675" s="113"/>
      <c r="O675" s="113"/>
      <c r="P675" s="113"/>
      <c r="Q675" s="113"/>
      <c r="R675" s="113"/>
      <c r="S675" s="113"/>
      <c r="T675" s="113"/>
      <c r="U675" s="113"/>
      <c r="V675" s="113"/>
      <c r="W675" s="113"/>
      <c r="X675" s="113"/>
      <c r="Y675" s="113"/>
      <c r="Z675" s="113"/>
      <c r="AA675" s="113"/>
      <c r="AB675" s="113"/>
      <c r="AC675" s="113"/>
      <c r="AD675" s="113"/>
      <c r="AE675" s="113"/>
      <c r="AF675" s="113"/>
      <c r="AG675" s="113"/>
    </row>
    <row r="676" spans="1:33" ht="13.8">
      <c r="A676" s="113"/>
      <c r="B676" s="113"/>
      <c r="C676" s="113"/>
      <c r="D676" s="113"/>
      <c r="E676" s="113"/>
      <c r="F676" s="113"/>
      <c r="G676" s="113"/>
      <c r="H676" s="113"/>
      <c r="I676" s="113"/>
      <c r="J676" s="113"/>
      <c r="K676" s="113"/>
      <c r="L676" s="113"/>
      <c r="M676" s="113"/>
      <c r="N676" s="113"/>
      <c r="O676" s="113"/>
      <c r="P676" s="113"/>
      <c r="Q676" s="113"/>
      <c r="R676" s="113"/>
      <c r="S676" s="113"/>
      <c r="T676" s="113"/>
      <c r="U676" s="113"/>
      <c r="V676" s="113"/>
      <c r="W676" s="113"/>
      <c r="X676" s="113"/>
      <c r="Y676" s="113"/>
      <c r="Z676" s="113"/>
      <c r="AA676" s="113"/>
      <c r="AB676" s="113"/>
      <c r="AC676" s="113"/>
      <c r="AD676" s="113"/>
      <c r="AE676" s="113"/>
      <c r="AF676" s="113"/>
      <c r="AG676" s="113"/>
    </row>
    <row r="677" spans="1:33" ht="13.8">
      <c r="A677" s="113"/>
      <c r="B677" s="113"/>
      <c r="C677" s="113"/>
      <c r="D677" s="113"/>
      <c r="E677" s="113"/>
      <c r="F677" s="113"/>
      <c r="G677" s="113"/>
      <c r="H677" s="113"/>
      <c r="I677" s="113"/>
      <c r="J677" s="113"/>
      <c r="K677" s="113"/>
      <c r="L677" s="113"/>
      <c r="M677" s="113"/>
      <c r="N677" s="113"/>
      <c r="O677" s="113"/>
      <c r="P677" s="113"/>
      <c r="Q677" s="113"/>
      <c r="R677" s="113"/>
      <c r="S677" s="113"/>
      <c r="T677" s="113"/>
      <c r="U677" s="113"/>
      <c r="V677" s="113"/>
      <c r="W677" s="113"/>
      <c r="X677" s="113"/>
      <c r="Y677" s="113"/>
      <c r="Z677" s="113"/>
      <c r="AA677" s="113"/>
      <c r="AB677" s="113"/>
      <c r="AC677" s="113"/>
      <c r="AD677" s="113"/>
      <c r="AE677" s="113"/>
      <c r="AF677" s="113"/>
      <c r="AG677" s="113"/>
    </row>
    <row r="678" spans="1:33" ht="13.8">
      <c r="A678" s="113"/>
      <c r="B678" s="113"/>
      <c r="C678" s="113"/>
      <c r="D678" s="113"/>
      <c r="E678" s="113"/>
      <c r="F678" s="113"/>
      <c r="G678" s="113"/>
      <c r="H678" s="113"/>
      <c r="I678" s="113"/>
      <c r="J678" s="113"/>
      <c r="K678" s="113"/>
      <c r="L678" s="113"/>
      <c r="M678" s="113"/>
      <c r="N678" s="113"/>
      <c r="O678" s="113"/>
      <c r="P678" s="113"/>
      <c r="Q678" s="113"/>
      <c r="R678" s="113"/>
      <c r="S678" s="113"/>
      <c r="T678" s="113"/>
      <c r="U678" s="113"/>
      <c r="V678" s="113"/>
      <c r="W678" s="113"/>
      <c r="X678" s="113"/>
      <c r="Y678" s="113"/>
      <c r="Z678" s="113"/>
      <c r="AA678" s="113"/>
      <c r="AB678" s="113"/>
      <c r="AC678" s="113"/>
      <c r="AD678" s="113"/>
      <c r="AE678" s="113"/>
      <c r="AF678" s="113"/>
      <c r="AG678" s="113"/>
    </row>
    <row r="679" spans="1:33" ht="13.8">
      <c r="A679" s="113"/>
      <c r="B679" s="113"/>
      <c r="C679" s="113"/>
      <c r="D679" s="113"/>
      <c r="E679" s="113"/>
      <c r="F679" s="113"/>
      <c r="G679" s="113"/>
      <c r="H679" s="113"/>
      <c r="I679" s="113"/>
      <c r="J679" s="113"/>
      <c r="K679" s="113"/>
      <c r="L679" s="113"/>
      <c r="M679" s="113"/>
      <c r="N679" s="113"/>
      <c r="O679" s="113"/>
      <c r="P679" s="113"/>
      <c r="Q679" s="113"/>
      <c r="R679" s="113"/>
      <c r="S679" s="113"/>
      <c r="T679" s="113"/>
      <c r="U679" s="113"/>
      <c r="V679" s="113"/>
      <c r="W679" s="113"/>
      <c r="X679" s="113"/>
      <c r="Y679" s="113"/>
      <c r="Z679" s="113"/>
      <c r="AA679" s="113"/>
      <c r="AB679" s="113"/>
      <c r="AC679" s="113"/>
      <c r="AD679" s="113"/>
      <c r="AE679" s="113"/>
      <c r="AF679" s="113"/>
      <c r="AG679" s="113"/>
    </row>
    <row r="680" spans="1:33" ht="13.8">
      <c r="A680" s="113"/>
      <c r="B680" s="113"/>
      <c r="C680" s="113"/>
      <c r="D680" s="113"/>
      <c r="E680" s="113"/>
      <c r="F680" s="113"/>
      <c r="G680" s="113"/>
      <c r="H680" s="113"/>
      <c r="I680" s="113"/>
      <c r="J680" s="113"/>
      <c r="K680" s="113"/>
      <c r="L680" s="113"/>
      <c r="M680" s="113"/>
      <c r="N680" s="113"/>
      <c r="O680" s="113"/>
      <c r="P680" s="113"/>
      <c r="Q680" s="113"/>
      <c r="R680" s="113"/>
      <c r="S680" s="113"/>
      <c r="T680" s="113"/>
      <c r="U680" s="113"/>
      <c r="V680" s="113"/>
      <c r="W680" s="113"/>
      <c r="X680" s="113"/>
      <c r="Y680" s="113"/>
      <c r="Z680" s="113"/>
      <c r="AA680" s="113"/>
      <c r="AB680" s="113"/>
      <c r="AC680" s="113"/>
      <c r="AD680" s="113"/>
      <c r="AE680" s="113"/>
      <c r="AF680" s="113"/>
      <c r="AG680" s="113"/>
    </row>
    <row r="681" spans="1:33" ht="13.8">
      <c r="A681" s="113"/>
      <c r="B681" s="113"/>
      <c r="C681" s="113"/>
      <c r="D681" s="113"/>
      <c r="E681" s="113"/>
      <c r="F681" s="113"/>
      <c r="G681" s="113"/>
      <c r="H681" s="113"/>
      <c r="I681" s="113"/>
      <c r="J681" s="113"/>
      <c r="K681" s="113"/>
      <c r="L681" s="113"/>
      <c r="M681" s="113"/>
      <c r="N681" s="113"/>
      <c r="O681" s="113"/>
      <c r="P681" s="113"/>
      <c r="Q681" s="113"/>
      <c r="R681" s="113"/>
      <c r="S681" s="113"/>
      <c r="T681" s="113"/>
      <c r="U681" s="113"/>
      <c r="V681" s="113"/>
      <c r="W681" s="113"/>
      <c r="X681" s="113"/>
      <c r="Y681" s="113"/>
      <c r="Z681" s="113"/>
      <c r="AA681" s="113"/>
      <c r="AB681" s="113"/>
      <c r="AC681" s="113"/>
      <c r="AD681" s="113"/>
      <c r="AE681" s="113"/>
      <c r="AF681" s="113"/>
      <c r="AG681" s="113"/>
    </row>
    <row r="682" spans="1:33" ht="13.8">
      <c r="A682" s="113"/>
      <c r="B682" s="113"/>
      <c r="C682" s="113"/>
      <c r="D682" s="113"/>
      <c r="E682" s="113"/>
      <c r="F682" s="113"/>
      <c r="G682" s="113"/>
      <c r="H682" s="113"/>
      <c r="I682" s="113"/>
      <c r="J682" s="113"/>
      <c r="K682" s="113"/>
      <c r="L682" s="113"/>
      <c r="M682" s="113"/>
      <c r="N682" s="113"/>
      <c r="O682" s="113"/>
      <c r="P682" s="113"/>
      <c r="Q682" s="113"/>
      <c r="R682" s="113"/>
      <c r="S682" s="113"/>
      <c r="T682" s="113"/>
      <c r="U682" s="113"/>
      <c r="V682" s="113"/>
      <c r="W682" s="113"/>
      <c r="X682" s="113"/>
      <c r="Y682" s="113"/>
      <c r="Z682" s="113"/>
      <c r="AA682" s="113"/>
      <c r="AB682" s="113"/>
      <c r="AC682" s="113"/>
      <c r="AD682" s="113"/>
      <c r="AE682" s="113"/>
      <c r="AF682" s="113"/>
      <c r="AG682" s="113"/>
    </row>
    <row r="683" spans="1:33" ht="13.8">
      <c r="A683" s="113"/>
      <c r="B683" s="113"/>
      <c r="C683" s="113"/>
      <c r="D683" s="113"/>
      <c r="E683" s="113"/>
      <c r="F683" s="113"/>
      <c r="G683" s="113"/>
      <c r="H683" s="113"/>
      <c r="I683" s="113"/>
      <c r="J683" s="113"/>
      <c r="K683" s="113"/>
      <c r="L683" s="113"/>
      <c r="M683" s="113"/>
      <c r="N683" s="113"/>
      <c r="O683" s="113"/>
      <c r="P683" s="113"/>
      <c r="Q683" s="113"/>
      <c r="R683" s="113"/>
      <c r="S683" s="113"/>
      <c r="T683" s="113"/>
      <c r="U683" s="113"/>
      <c r="V683" s="113"/>
      <c r="W683" s="113"/>
      <c r="X683" s="113"/>
      <c r="Y683" s="113"/>
      <c r="Z683" s="113"/>
      <c r="AA683" s="113"/>
      <c r="AB683" s="113"/>
      <c r="AC683" s="113"/>
      <c r="AD683" s="113"/>
      <c r="AE683" s="113"/>
      <c r="AF683" s="113"/>
      <c r="AG683" s="113"/>
    </row>
    <row r="684" spans="1:33" ht="13.8">
      <c r="A684" s="113"/>
      <c r="B684" s="113"/>
      <c r="C684" s="113"/>
      <c r="D684" s="113"/>
      <c r="E684" s="113"/>
      <c r="F684" s="113"/>
      <c r="G684" s="113"/>
      <c r="H684" s="113"/>
      <c r="I684" s="113"/>
      <c r="J684" s="113"/>
      <c r="K684" s="113"/>
      <c r="L684" s="113"/>
      <c r="M684" s="113"/>
      <c r="N684" s="113"/>
      <c r="O684" s="113"/>
      <c r="P684" s="113"/>
      <c r="Q684" s="113"/>
      <c r="R684" s="113"/>
      <c r="S684" s="113"/>
      <c r="T684" s="113"/>
      <c r="U684" s="113"/>
      <c r="V684" s="113"/>
      <c r="W684" s="113"/>
      <c r="X684" s="113"/>
      <c r="Y684" s="113"/>
      <c r="Z684" s="113"/>
      <c r="AA684" s="113"/>
      <c r="AB684" s="113"/>
      <c r="AC684" s="113"/>
      <c r="AD684" s="113"/>
      <c r="AE684" s="113"/>
      <c r="AF684" s="113"/>
      <c r="AG684" s="113"/>
    </row>
    <row r="685" spans="1:33" ht="13.8">
      <c r="A685" s="113"/>
      <c r="B685" s="113"/>
      <c r="C685" s="113"/>
      <c r="D685" s="113"/>
      <c r="E685" s="113"/>
      <c r="F685" s="113"/>
      <c r="G685" s="113"/>
      <c r="H685" s="113"/>
      <c r="I685" s="113"/>
      <c r="J685" s="113"/>
      <c r="K685" s="113"/>
      <c r="L685" s="113"/>
      <c r="M685" s="113"/>
      <c r="N685" s="113"/>
      <c r="O685" s="113"/>
      <c r="P685" s="113"/>
      <c r="Q685" s="113"/>
      <c r="R685" s="113"/>
      <c r="S685" s="113"/>
      <c r="T685" s="113"/>
      <c r="U685" s="113"/>
      <c r="V685" s="113"/>
      <c r="W685" s="113"/>
      <c r="X685" s="113"/>
      <c r="Y685" s="113"/>
      <c r="Z685" s="113"/>
      <c r="AA685" s="113"/>
      <c r="AB685" s="113"/>
      <c r="AC685" s="113"/>
      <c r="AD685" s="113"/>
      <c r="AE685" s="113"/>
      <c r="AF685" s="113"/>
      <c r="AG685" s="113"/>
    </row>
    <row r="686" spans="1:33" ht="13.8">
      <c r="A686" s="113"/>
      <c r="B686" s="113"/>
      <c r="C686" s="113"/>
      <c r="D686" s="113"/>
      <c r="E686" s="113"/>
      <c r="F686" s="113"/>
      <c r="G686" s="113"/>
      <c r="H686" s="113"/>
      <c r="I686" s="113"/>
      <c r="J686" s="113"/>
      <c r="K686" s="113"/>
      <c r="L686" s="113"/>
      <c r="M686" s="113"/>
      <c r="N686" s="113"/>
      <c r="O686" s="113"/>
      <c r="P686" s="113"/>
      <c r="Q686" s="113"/>
      <c r="R686" s="113"/>
      <c r="S686" s="113"/>
      <c r="T686" s="113"/>
      <c r="U686" s="113"/>
      <c r="V686" s="113"/>
      <c r="W686" s="113"/>
      <c r="X686" s="113"/>
      <c r="Y686" s="113"/>
      <c r="Z686" s="113"/>
      <c r="AA686" s="113"/>
      <c r="AB686" s="113"/>
      <c r="AC686" s="113"/>
      <c r="AD686" s="113"/>
      <c r="AE686" s="113"/>
      <c r="AF686" s="113"/>
      <c r="AG686" s="113"/>
    </row>
    <row r="687" spans="1:33" ht="13.8">
      <c r="A687" s="113"/>
      <c r="B687" s="113"/>
      <c r="C687" s="113"/>
      <c r="D687" s="113"/>
      <c r="E687" s="113"/>
      <c r="F687" s="113"/>
      <c r="G687" s="113"/>
      <c r="H687" s="113"/>
      <c r="I687" s="113"/>
      <c r="J687" s="113"/>
      <c r="K687" s="113"/>
      <c r="L687" s="113"/>
      <c r="M687" s="113"/>
      <c r="N687" s="113"/>
      <c r="O687" s="113"/>
      <c r="P687" s="113"/>
      <c r="Q687" s="113"/>
      <c r="R687" s="113"/>
      <c r="S687" s="113"/>
      <c r="T687" s="113"/>
      <c r="U687" s="113"/>
      <c r="V687" s="113"/>
      <c r="W687" s="113"/>
      <c r="X687" s="113"/>
      <c r="Y687" s="113"/>
      <c r="Z687" s="113"/>
      <c r="AA687" s="113"/>
      <c r="AB687" s="113"/>
      <c r="AC687" s="113"/>
      <c r="AD687" s="113"/>
      <c r="AE687" s="113"/>
      <c r="AF687" s="113"/>
      <c r="AG687" s="113"/>
    </row>
    <row r="688" spans="1:33" ht="13.8">
      <c r="A688" s="113"/>
      <c r="B688" s="113"/>
      <c r="C688" s="113"/>
      <c r="D688" s="113"/>
      <c r="E688" s="113"/>
      <c r="F688" s="113"/>
      <c r="G688" s="113"/>
      <c r="H688" s="113"/>
      <c r="I688" s="113"/>
      <c r="J688" s="113"/>
      <c r="K688" s="113"/>
      <c r="L688" s="113"/>
      <c r="M688" s="113"/>
      <c r="N688" s="113"/>
      <c r="O688" s="113"/>
      <c r="P688" s="113"/>
      <c r="Q688" s="113"/>
      <c r="R688" s="113"/>
      <c r="S688" s="113"/>
      <c r="T688" s="113"/>
      <c r="U688" s="113"/>
      <c r="V688" s="113"/>
      <c r="W688" s="113"/>
      <c r="X688" s="113"/>
      <c r="Y688" s="113"/>
      <c r="Z688" s="113"/>
      <c r="AA688" s="113"/>
      <c r="AB688" s="113"/>
      <c r="AC688" s="113"/>
      <c r="AD688" s="113"/>
      <c r="AE688" s="113"/>
      <c r="AF688" s="113"/>
      <c r="AG688" s="113"/>
    </row>
    <row r="689" spans="1:33" ht="13.8">
      <c r="A689" s="113"/>
      <c r="B689" s="113"/>
      <c r="C689" s="113"/>
      <c r="D689" s="113"/>
      <c r="E689" s="113"/>
      <c r="F689" s="113"/>
      <c r="G689" s="113"/>
      <c r="H689" s="113"/>
      <c r="I689" s="113"/>
      <c r="J689" s="113"/>
      <c r="K689" s="113"/>
      <c r="L689" s="113"/>
      <c r="M689" s="113"/>
      <c r="N689" s="113"/>
      <c r="O689" s="113"/>
      <c r="P689" s="113"/>
      <c r="Q689" s="113"/>
      <c r="R689" s="113"/>
      <c r="S689" s="113"/>
      <c r="T689" s="113"/>
      <c r="U689" s="113"/>
      <c r="V689" s="113"/>
      <c r="W689" s="113"/>
      <c r="X689" s="113"/>
      <c r="Y689" s="113"/>
      <c r="Z689" s="113"/>
      <c r="AA689" s="113"/>
      <c r="AB689" s="113"/>
      <c r="AC689" s="113"/>
      <c r="AD689" s="113"/>
      <c r="AE689" s="113"/>
      <c r="AF689" s="113"/>
      <c r="AG689" s="113"/>
    </row>
    <row r="690" spans="1:33" ht="13.8">
      <c r="A690" s="113"/>
      <c r="B690" s="113"/>
      <c r="C690" s="113"/>
      <c r="D690" s="113"/>
      <c r="E690" s="113"/>
      <c r="F690" s="113"/>
      <c r="G690" s="113"/>
      <c r="H690" s="113"/>
      <c r="I690" s="113"/>
      <c r="J690" s="113"/>
      <c r="K690" s="113"/>
      <c r="L690" s="113"/>
      <c r="M690" s="113"/>
      <c r="N690" s="113"/>
      <c r="O690" s="113"/>
      <c r="P690" s="113"/>
      <c r="Q690" s="113"/>
      <c r="R690" s="113"/>
      <c r="S690" s="113"/>
      <c r="T690" s="113"/>
      <c r="U690" s="113"/>
      <c r="V690" s="113"/>
      <c r="W690" s="113"/>
      <c r="X690" s="113"/>
      <c r="Y690" s="113"/>
      <c r="Z690" s="113"/>
      <c r="AA690" s="113"/>
      <c r="AB690" s="113"/>
      <c r="AC690" s="113"/>
      <c r="AD690" s="113"/>
      <c r="AE690" s="113"/>
      <c r="AF690" s="113"/>
      <c r="AG690" s="113"/>
    </row>
    <row r="691" spans="1:33" ht="13.8">
      <c r="A691" s="113"/>
      <c r="B691" s="113"/>
      <c r="C691" s="113"/>
      <c r="D691" s="113"/>
      <c r="E691" s="113"/>
      <c r="F691" s="113"/>
      <c r="G691" s="113"/>
      <c r="H691" s="113"/>
      <c r="I691" s="113"/>
      <c r="J691" s="113"/>
      <c r="K691" s="113"/>
      <c r="L691" s="113"/>
      <c r="M691" s="113"/>
      <c r="N691" s="113"/>
      <c r="O691" s="113"/>
      <c r="P691" s="113"/>
      <c r="Q691" s="113"/>
      <c r="R691" s="113"/>
      <c r="S691" s="113"/>
      <c r="T691" s="113"/>
      <c r="U691" s="113"/>
      <c r="V691" s="113"/>
      <c r="W691" s="113"/>
      <c r="X691" s="113"/>
      <c r="Y691" s="113"/>
      <c r="Z691" s="113"/>
      <c r="AA691" s="113"/>
      <c r="AB691" s="113"/>
      <c r="AC691" s="113"/>
      <c r="AD691" s="113"/>
      <c r="AE691" s="113"/>
      <c r="AF691" s="113"/>
      <c r="AG691" s="113"/>
    </row>
    <row r="692" spans="1:33" ht="13.8">
      <c r="A692" s="113"/>
      <c r="B692" s="113"/>
      <c r="C692" s="113"/>
      <c r="D692" s="113"/>
      <c r="E692" s="113"/>
      <c r="F692" s="113"/>
      <c r="G692" s="113"/>
      <c r="H692" s="113"/>
      <c r="I692" s="113"/>
      <c r="J692" s="113"/>
      <c r="K692" s="113"/>
      <c r="L692" s="113"/>
      <c r="M692" s="113"/>
      <c r="N692" s="113"/>
      <c r="O692" s="113"/>
      <c r="P692" s="113"/>
      <c r="Q692" s="113"/>
      <c r="R692" s="113"/>
      <c r="S692" s="113"/>
      <c r="T692" s="113"/>
      <c r="U692" s="113"/>
      <c r="V692" s="113"/>
      <c r="W692" s="113"/>
      <c r="X692" s="113"/>
      <c r="Y692" s="113"/>
      <c r="Z692" s="113"/>
      <c r="AA692" s="113"/>
      <c r="AB692" s="113"/>
      <c r="AC692" s="113"/>
      <c r="AD692" s="113"/>
      <c r="AE692" s="113"/>
      <c r="AF692" s="113"/>
      <c r="AG692" s="113"/>
    </row>
    <row r="693" spans="1:33" ht="13.8">
      <c r="A693" s="113"/>
      <c r="B693" s="113"/>
      <c r="C693" s="113"/>
      <c r="D693" s="113"/>
      <c r="E693" s="113"/>
      <c r="F693" s="113"/>
      <c r="G693" s="113"/>
      <c r="H693" s="113"/>
      <c r="I693" s="113"/>
      <c r="J693" s="113"/>
      <c r="K693" s="113"/>
      <c r="L693" s="113"/>
      <c r="M693" s="113"/>
      <c r="N693" s="113"/>
      <c r="O693" s="113"/>
      <c r="P693" s="113"/>
      <c r="Q693" s="113"/>
      <c r="R693" s="113"/>
      <c r="S693" s="113"/>
      <c r="T693" s="113"/>
      <c r="U693" s="113"/>
      <c r="V693" s="113"/>
      <c r="W693" s="113"/>
      <c r="X693" s="113"/>
      <c r="Y693" s="113"/>
      <c r="Z693" s="113"/>
      <c r="AA693" s="113"/>
      <c r="AB693" s="113"/>
      <c r="AC693" s="113"/>
      <c r="AD693" s="113"/>
      <c r="AE693" s="113"/>
      <c r="AF693" s="113"/>
      <c r="AG693" s="113"/>
    </row>
    <row r="694" spans="1:33" ht="13.8">
      <c r="A694" s="113"/>
      <c r="B694" s="113"/>
      <c r="C694" s="113"/>
      <c r="D694" s="113"/>
      <c r="E694" s="113"/>
      <c r="F694" s="113"/>
      <c r="G694" s="113"/>
      <c r="H694" s="113"/>
      <c r="I694" s="113"/>
      <c r="J694" s="113"/>
      <c r="K694" s="113"/>
      <c r="L694" s="113"/>
      <c r="M694" s="113"/>
      <c r="N694" s="113"/>
      <c r="O694" s="113"/>
      <c r="P694" s="113"/>
      <c r="Q694" s="113"/>
      <c r="R694" s="113"/>
      <c r="S694" s="113"/>
      <c r="T694" s="113"/>
      <c r="U694" s="113"/>
      <c r="V694" s="113"/>
      <c r="W694" s="113"/>
      <c r="X694" s="113"/>
      <c r="Y694" s="113"/>
      <c r="Z694" s="113"/>
      <c r="AA694" s="113"/>
      <c r="AB694" s="113"/>
      <c r="AC694" s="113"/>
      <c r="AD694" s="113"/>
      <c r="AE694" s="113"/>
      <c r="AF694" s="113"/>
      <c r="AG694" s="113"/>
    </row>
    <row r="695" spans="1:33" ht="13.8">
      <c r="A695" s="113"/>
      <c r="B695" s="113"/>
      <c r="C695" s="113"/>
      <c r="D695" s="113"/>
      <c r="E695" s="113"/>
      <c r="F695" s="113"/>
      <c r="G695" s="113"/>
      <c r="H695" s="113"/>
      <c r="I695" s="113"/>
      <c r="J695" s="113"/>
      <c r="K695" s="113"/>
      <c r="L695" s="113"/>
      <c r="M695" s="113"/>
      <c r="N695" s="113"/>
      <c r="O695" s="113"/>
      <c r="P695" s="113"/>
      <c r="Q695" s="113"/>
      <c r="R695" s="113"/>
      <c r="S695" s="113"/>
      <c r="T695" s="113"/>
      <c r="U695" s="113"/>
      <c r="V695" s="113"/>
      <c r="W695" s="113"/>
      <c r="X695" s="113"/>
      <c r="Y695" s="113"/>
      <c r="Z695" s="113"/>
      <c r="AA695" s="113"/>
      <c r="AB695" s="113"/>
      <c r="AC695" s="113"/>
      <c r="AD695" s="113"/>
      <c r="AE695" s="113"/>
      <c r="AF695" s="113"/>
      <c r="AG695" s="113"/>
    </row>
    <row r="696" spans="1:33" ht="13.8">
      <c r="A696" s="113"/>
      <c r="B696" s="113"/>
      <c r="C696" s="113"/>
      <c r="D696" s="113"/>
      <c r="E696" s="113"/>
      <c r="F696" s="113"/>
      <c r="G696" s="113"/>
      <c r="H696" s="113"/>
      <c r="I696" s="113"/>
      <c r="J696" s="113"/>
      <c r="K696" s="113"/>
      <c r="L696" s="113"/>
      <c r="M696" s="113"/>
      <c r="N696" s="113"/>
      <c r="O696" s="113"/>
      <c r="P696" s="113"/>
      <c r="Q696" s="113"/>
      <c r="R696" s="113"/>
      <c r="S696" s="113"/>
      <c r="T696" s="113"/>
      <c r="U696" s="113"/>
      <c r="V696" s="113"/>
      <c r="W696" s="113"/>
      <c r="X696" s="113"/>
      <c r="Y696" s="113"/>
      <c r="Z696" s="113"/>
      <c r="AA696" s="113"/>
      <c r="AB696" s="113"/>
      <c r="AC696" s="113"/>
      <c r="AD696" s="113"/>
      <c r="AE696" s="113"/>
      <c r="AF696" s="113"/>
      <c r="AG696" s="113"/>
    </row>
    <row r="697" spans="1:33" ht="13.8">
      <c r="A697" s="113"/>
      <c r="B697" s="113"/>
      <c r="C697" s="113"/>
      <c r="D697" s="113"/>
      <c r="E697" s="113"/>
      <c r="F697" s="113"/>
      <c r="G697" s="113"/>
      <c r="H697" s="113"/>
      <c r="I697" s="113"/>
      <c r="J697" s="113"/>
      <c r="K697" s="113"/>
      <c r="L697" s="113"/>
      <c r="M697" s="113"/>
      <c r="N697" s="113"/>
      <c r="O697" s="113"/>
      <c r="P697" s="113"/>
      <c r="Q697" s="113"/>
      <c r="R697" s="113"/>
      <c r="S697" s="113"/>
      <c r="T697" s="113"/>
      <c r="U697" s="113"/>
      <c r="V697" s="113"/>
      <c r="W697" s="113"/>
      <c r="X697" s="113"/>
      <c r="Y697" s="113"/>
      <c r="Z697" s="113"/>
      <c r="AA697" s="113"/>
      <c r="AB697" s="113"/>
      <c r="AC697" s="113"/>
      <c r="AD697" s="113"/>
      <c r="AE697" s="113"/>
      <c r="AF697" s="113"/>
      <c r="AG697" s="113"/>
    </row>
    <row r="698" spans="1:33" ht="13.8">
      <c r="A698" s="113"/>
      <c r="B698" s="113"/>
      <c r="C698" s="113"/>
      <c r="D698" s="113"/>
      <c r="E698" s="113"/>
      <c r="F698" s="113"/>
      <c r="G698" s="113"/>
      <c r="H698" s="113"/>
      <c r="I698" s="113"/>
      <c r="J698" s="113"/>
      <c r="K698" s="113"/>
      <c r="L698" s="113"/>
      <c r="M698" s="113"/>
      <c r="N698" s="113"/>
      <c r="O698" s="113"/>
      <c r="P698" s="113"/>
      <c r="Q698" s="113"/>
      <c r="R698" s="113"/>
      <c r="S698" s="113"/>
      <c r="T698" s="113"/>
      <c r="U698" s="113"/>
      <c r="V698" s="113"/>
      <c r="W698" s="113"/>
      <c r="X698" s="113"/>
      <c r="Y698" s="113"/>
      <c r="Z698" s="113"/>
      <c r="AA698" s="113"/>
      <c r="AB698" s="113"/>
      <c r="AC698" s="113"/>
      <c r="AD698" s="113"/>
      <c r="AE698" s="113"/>
      <c r="AF698" s="113"/>
      <c r="AG698" s="113"/>
    </row>
    <row r="699" spans="1:33" ht="13.8">
      <c r="A699" s="113"/>
      <c r="B699" s="113"/>
      <c r="C699" s="113"/>
      <c r="D699" s="113"/>
      <c r="E699" s="113"/>
      <c r="F699" s="113"/>
      <c r="G699" s="113"/>
      <c r="H699" s="113"/>
      <c r="I699" s="113"/>
      <c r="J699" s="113"/>
      <c r="K699" s="113"/>
      <c r="L699" s="113"/>
      <c r="M699" s="113"/>
      <c r="N699" s="113"/>
      <c r="O699" s="113"/>
      <c r="P699" s="113"/>
      <c r="Q699" s="113"/>
      <c r="R699" s="113"/>
      <c r="S699" s="113"/>
      <c r="T699" s="113"/>
      <c r="U699" s="113"/>
      <c r="V699" s="113"/>
      <c r="W699" s="113"/>
      <c r="X699" s="113"/>
      <c r="Y699" s="113"/>
      <c r="Z699" s="113"/>
      <c r="AA699" s="113"/>
      <c r="AB699" s="113"/>
      <c r="AC699" s="113"/>
      <c r="AD699" s="113"/>
      <c r="AE699" s="113"/>
      <c r="AF699" s="113"/>
      <c r="AG699" s="113"/>
    </row>
    <row r="700" spans="1:33" ht="13.8">
      <c r="A700" s="113"/>
      <c r="B700" s="113"/>
      <c r="C700" s="113"/>
      <c r="D700" s="113"/>
      <c r="E700" s="113"/>
      <c r="F700" s="113"/>
      <c r="G700" s="113"/>
      <c r="H700" s="113"/>
      <c r="I700" s="113"/>
      <c r="J700" s="113"/>
      <c r="K700" s="113"/>
      <c r="L700" s="113"/>
      <c r="M700" s="113"/>
      <c r="N700" s="113"/>
      <c r="O700" s="113"/>
      <c r="P700" s="113"/>
      <c r="Q700" s="113"/>
      <c r="R700" s="113"/>
      <c r="S700" s="113"/>
      <c r="T700" s="113"/>
      <c r="U700" s="113"/>
      <c r="V700" s="113"/>
      <c r="W700" s="113"/>
      <c r="X700" s="113"/>
      <c r="Y700" s="113"/>
      <c r="Z700" s="113"/>
      <c r="AA700" s="113"/>
      <c r="AB700" s="113"/>
      <c r="AC700" s="113"/>
      <c r="AD700" s="113"/>
      <c r="AE700" s="113"/>
      <c r="AF700" s="113"/>
      <c r="AG700" s="113"/>
    </row>
    <row r="701" spans="1:33" ht="13.8">
      <c r="A701" s="113"/>
      <c r="B701" s="113"/>
      <c r="C701" s="113"/>
      <c r="D701" s="113"/>
      <c r="E701" s="113"/>
      <c r="F701" s="113"/>
      <c r="G701" s="113"/>
      <c r="H701" s="113"/>
      <c r="I701" s="113"/>
      <c r="J701" s="113"/>
      <c r="K701" s="113"/>
      <c r="L701" s="113"/>
      <c r="M701" s="113"/>
      <c r="N701" s="113"/>
      <c r="O701" s="113"/>
      <c r="P701" s="113"/>
      <c r="Q701" s="113"/>
      <c r="R701" s="113"/>
      <c r="S701" s="113"/>
      <c r="T701" s="113"/>
      <c r="U701" s="113"/>
      <c r="V701" s="113"/>
      <c r="W701" s="113"/>
      <c r="X701" s="113"/>
      <c r="Y701" s="113"/>
      <c r="Z701" s="113"/>
      <c r="AA701" s="113"/>
      <c r="AB701" s="113"/>
      <c r="AC701" s="113"/>
      <c r="AD701" s="113"/>
      <c r="AE701" s="113"/>
      <c r="AF701" s="113"/>
      <c r="AG701" s="113"/>
    </row>
    <row r="702" spans="1:33" ht="13.8">
      <c r="A702" s="113"/>
      <c r="B702" s="113"/>
      <c r="C702" s="113"/>
      <c r="D702" s="113"/>
      <c r="E702" s="113"/>
      <c r="F702" s="113"/>
      <c r="G702" s="113"/>
      <c r="H702" s="113"/>
      <c r="I702" s="113"/>
      <c r="J702" s="113"/>
      <c r="K702" s="113"/>
      <c r="L702" s="113"/>
      <c r="M702" s="113"/>
      <c r="N702" s="113"/>
      <c r="O702" s="113"/>
      <c r="P702" s="113"/>
      <c r="Q702" s="113"/>
      <c r="R702" s="113"/>
      <c r="S702" s="113"/>
      <c r="T702" s="113"/>
      <c r="U702" s="113"/>
      <c r="V702" s="113"/>
      <c r="W702" s="113"/>
      <c r="X702" s="113"/>
      <c r="Y702" s="113"/>
      <c r="Z702" s="113"/>
      <c r="AA702" s="113"/>
      <c r="AB702" s="113"/>
      <c r="AC702" s="113"/>
      <c r="AD702" s="113"/>
      <c r="AE702" s="113"/>
      <c r="AF702" s="113"/>
      <c r="AG702" s="113"/>
    </row>
    <row r="703" spans="1:33" ht="13.8">
      <c r="A703" s="113"/>
      <c r="B703" s="113"/>
      <c r="C703" s="113"/>
      <c r="D703" s="113"/>
      <c r="E703" s="113"/>
      <c r="F703" s="113"/>
      <c r="G703" s="113"/>
      <c r="H703" s="113"/>
      <c r="I703" s="113"/>
      <c r="J703" s="113"/>
      <c r="K703" s="113"/>
      <c r="L703" s="113"/>
      <c r="M703" s="113"/>
      <c r="N703" s="113"/>
      <c r="O703" s="113"/>
      <c r="P703" s="113"/>
      <c r="Q703" s="113"/>
      <c r="R703" s="113"/>
      <c r="S703" s="113"/>
      <c r="T703" s="113"/>
      <c r="U703" s="113"/>
      <c r="V703" s="113"/>
      <c r="W703" s="113"/>
      <c r="X703" s="113"/>
      <c r="Y703" s="113"/>
      <c r="Z703" s="113"/>
      <c r="AA703" s="113"/>
      <c r="AB703" s="113"/>
      <c r="AC703" s="113"/>
      <c r="AD703" s="113"/>
      <c r="AE703" s="113"/>
      <c r="AF703" s="113"/>
      <c r="AG703" s="113"/>
    </row>
    <row r="704" spans="1:33" ht="13.8">
      <c r="A704" s="113"/>
      <c r="B704" s="113"/>
      <c r="C704" s="113"/>
      <c r="D704" s="113"/>
      <c r="E704" s="113"/>
      <c r="F704" s="113"/>
      <c r="G704" s="113"/>
      <c r="H704" s="113"/>
      <c r="I704" s="113"/>
      <c r="J704" s="113"/>
      <c r="K704" s="113"/>
      <c r="L704" s="113"/>
      <c r="M704" s="113"/>
      <c r="N704" s="113"/>
      <c r="O704" s="113"/>
      <c r="P704" s="113"/>
      <c r="Q704" s="113"/>
      <c r="R704" s="113"/>
      <c r="S704" s="113"/>
      <c r="T704" s="113"/>
      <c r="U704" s="113"/>
      <c r="V704" s="113"/>
      <c r="W704" s="113"/>
      <c r="X704" s="113"/>
      <c r="Y704" s="113"/>
      <c r="Z704" s="113"/>
      <c r="AA704" s="113"/>
      <c r="AB704" s="113"/>
      <c r="AC704" s="113"/>
      <c r="AD704" s="113"/>
      <c r="AE704" s="113"/>
      <c r="AF704" s="113"/>
      <c r="AG704" s="113"/>
    </row>
    <row r="705" spans="1:33" ht="13.8">
      <c r="A705" s="113"/>
      <c r="B705" s="113"/>
      <c r="C705" s="113"/>
      <c r="D705" s="113"/>
      <c r="E705" s="113"/>
      <c r="F705" s="113"/>
      <c r="G705" s="113"/>
      <c r="H705" s="113"/>
      <c r="I705" s="113"/>
      <c r="J705" s="113"/>
      <c r="K705" s="113"/>
      <c r="L705" s="113"/>
      <c r="M705" s="113"/>
      <c r="N705" s="113"/>
      <c r="O705" s="113"/>
      <c r="P705" s="113"/>
      <c r="Q705" s="113"/>
      <c r="R705" s="113"/>
      <c r="S705" s="113"/>
      <c r="T705" s="113"/>
      <c r="U705" s="113"/>
      <c r="V705" s="113"/>
      <c r="W705" s="113"/>
      <c r="X705" s="113"/>
      <c r="Y705" s="113"/>
      <c r="Z705" s="113"/>
      <c r="AA705" s="113"/>
      <c r="AB705" s="113"/>
      <c r="AC705" s="113"/>
      <c r="AD705" s="113"/>
      <c r="AE705" s="113"/>
      <c r="AF705" s="113"/>
      <c r="AG705" s="113"/>
    </row>
    <row r="706" spans="1:33" ht="13.8">
      <c r="A706" s="113"/>
      <c r="B706" s="113"/>
      <c r="C706" s="113"/>
      <c r="D706" s="113"/>
      <c r="E706" s="113"/>
      <c r="F706" s="113"/>
      <c r="G706" s="113"/>
      <c r="H706" s="113"/>
      <c r="I706" s="113"/>
      <c r="J706" s="113"/>
      <c r="K706" s="113"/>
      <c r="L706" s="113"/>
      <c r="M706" s="113"/>
      <c r="N706" s="113"/>
      <c r="O706" s="113"/>
      <c r="P706" s="113"/>
      <c r="Q706" s="113"/>
      <c r="R706" s="113"/>
      <c r="S706" s="113"/>
      <c r="T706" s="113"/>
      <c r="U706" s="113"/>
      <c r="V706" s="113"/>
      <c r="W706" s="113"/>
      <c r="X706" s="113"/>
      <c r="Y706" s="113"/>
      <c r="Z706" s="113"/>
      <c r="AA706" s="113"/>
      <c r="AB706" s="113"/>
      <c r="AC706" s="113"/>
      <c r="AD706" s="113"/>
      <c r="AE706" s="113"/>
      <c r="AF706" s="113"/>
      <c r="AG706" s="113"/>
    </row>
    <row r="707" spans="1:33" ht="13.8">
      <c r="A707" s="113"/>
      <c r="B707" s="113"/>
      <c r="C707" s="113"/>
      <c r="D707" s="113"/>
      <c r="E707" s="113"/>
      <c r="F707" s="113"/>
      <c r="G707" s="113"/>
      <c r="H707" s="113"/>
      <c r="I707" s="113"/>
      <c r="J707" s="113"/>
      <c r="K707" s="113"/>
      <c r="L707" s="113"/>
      <c r="M707" s="113"/>
      <c r="N707" s="113"/>
      <c r="O707" s="113"/>
      <c r="P707" s="113"/>
      <c r="Q707" s="113"/>
      <c r="R707" s="113"/>
      <c r="S707" s="113"/>
      <c r="T707" s="113"/>
      <c r="U707" s="113"/>
      <c r="V707" s="113"/>
      <c r="W707" s="113"/>
      <c r="X707" s="113"/>
      <c r="Y707" s="113"/>
      <c r="Z707" s="113"/>
      <c r="AA707" s="113"/>
      <c r="AB707" s="113"/>
      <c r="AC707" s="113"/>
      <c r="AD707" s="113"/>
      <c r="AE707" s="113"/>
      <c r="AF707" s="113"/>
      <c r="AG707" s="113"/>
    </row>
    <row r="708" spans="1:33" ht="13.8">
      <c r="A708" s="113"/>
      <c r="B708" s="113"/>
      <c r="C708" s="113"/>
      <c r="D708" s="113"/>
      <c r="E708" s="113"/>
      <c r="F708" s="113"/>
      <c r="G708" s="113"/>
      <c r="H708" s="113"/>
      <c r="I708" s="113"/>
      <c r="J708" s="113"/>
      <c r="K708" s="113"/>
      <c r="L708" s="113"/>
      <c r="M708" s="113"/>
      <c r="N708" s="113"/>
      <c r="O708" s="113"/>
      <c r="P708" s="113"/>
      <c r="Q708" s="113"/>
      <c r="R708" s="113"/>
      <c r="S708" s="113"/>
      <c r="T708" s="113"/>
      <c r="U708" s="113"/>
      <c r="V708" s="113"/>
      <c r="W708" s="113"/>
      <c r="X708" s="113"/>
      <c r="Y708" s="113"/>
      <c r="Z708" s="113"/>
      <c r="AA708" s="113"/>
      <c r="AB708" s="113"/>
      <c r="AC708" s="113"/>
      <c r="AD708" s="113"/>
      <c r="AE708" s="113"/>
      <c r="AF708" s="113"/>
      <c r="AG708" s="113"/>
    </row>
    <row r="709" spans="1:33" ht="13.8">
      <c r="A709" s="113"/>
      <c r="B709" s="113"/>
      <c r="C709" s="113"/>
      <c r="D709" s="113"/>
      <c r="E709" s="113"/>
      <c r="F709" s="113"/>
      <c r="G709" s="113"/>
      <c r="H709" s="113"/>
      <c r="I709" s="113"/>
      <c r="J709" s="113"/>
      <c r="K709" s="113"/>
      <c r="L709" s="113"/>
      <c r="M709" s="113"/>
      <c r="N709" s="113"/>
      <c r="O709" s="113"/>
      <c r="P709" s="113"/>
      <c r="Q709" s="113"/>
      <c r="R709" s="113"/>
      <c r="S709" s="113"/>
      <c r="T709" s="113"/>
      <c r="U709" s="113"/>
      <c r="V709" s="113"/>
      <c r="W709" s="113"/>
      <c r="X709" s="113"/>
      <c r="Y709" s="113"/>
      <c r="Z709" s="113"/>
      <c r="AA709" s="113"/>
      <c r="AB709" s="113"/>
      <c r="AC709" s="113"/>
      <c r="AD709" s="113"/>
      <c r="AE709" s="113"/>
      <c r="AF709" s="113"/>
      <c r="AG709" s="113"/>
    </row>
    <row r="710" spans="1:33" ht="13.8">
      <c r="A710" s="113"/>
      <c r="B710" s="113"/>
      <c r="C710" s="113"/>
      <c r="D710" s="113"/>
      <c r="E710" s="113"/>
      <c r="F710" s="113"/>
      <c r="G710" s="113"/>
      <c r="H710" s="113"/>
      <c r="I710" s="113"/>
      <c r="J710" s="113"/>
      <c r="K710" s="113"/>
      <c r="L710" s="113"/>
      <c r="M710" s="113"/>
      <c r="N710" s="113"/>
      <c r="O710" s="113"/>
      <c r="P710" s="113"/>
      <c r="Q710" s="113"/>
      <c r="R710" s="113"/>
      <c r="S710" s="113"/>
      <c r="T710" s="113"/>
      <c r="U710" s="113"/>
      <c r="V710" s="113"/>
      <c r="W710" s="113"/>
      <c r="X710" s="113"/>
      <c r="Y710" s="113"/>
      <c r="Z710" s="113"/>
      <c r="AA710" s="113"/>
      <c r="AB710" s="113"/>
      <c r="AC710" s="113"/>
      <c r="AD710" s="113"/>
      <c r="AE710" s="113"/>
      <c r="AF710" s="113"/>
      <c r="AG710" s="113"/>
    </row>
    <row r="711" spans="1:33" ht="13.8">
      <c r="A711" s="113"/>
      <c r="B711" s="113"/>
      <c r="C711" s="113"/>
      <c r="D711" s="113"/>
      <c r="E711" s="113"/>
      <c r="F711" s="113"/>
      <c r="G711" s="113"/>
      <c r="H711" s="113"/>
      <c r="I711" s="113"/>
      <c r="J711" s="113"/>
      <c r="K711" s="113"/>
      <c r="L711" s="113"/>
      <c r="M711" s="113"/>
      <c r="N711" s="113"/>
      <c r="O711" s="113"/>
      <c r="P711" s="113"/>
      <c r="Q711" s="113"/>
      <c r="R711" s="113"/>
      <c r="S711" s="113"/>
      <c r="T711" s="113"/>
      <c r="U711" s="113"/>
      <c r="V711" s="113"/>
      <c r="W711" s="113"/>
      <c r="X711" s="113"/>
      <c r="Y711" s="113"/>
      <c r="Z711" s="113"/>
      <c r="AA711" s="113"/>
      <c r="AB711" s="113"/>
      <c r="AC711" s="113"/>
      <c r="AD711" s="113"/>
      <c r="AE711" s="113"/>
      <c r="AF711" s="113"/>
      <c r="AG711" s="113"/>
    </row>
    <row r="712" spans="1:33" ht="13.8">
      <c r="A712" s="113"/>
      <c r="B712" s="113"/>
      <c r="C712" s="113"/>
      <c r="D712" s="113"/>
      <c r="E712" s="113"/>
      <c r="F712" s="113"/>
      <c r="G712" s="113"/>
      <c r="H712" s="113"/>
      <c r="I712" s="113"/>
      <c r="J712" s="113"/>
      <c r="K712" s="113"/>
      <c r="L712" s="113"/>
      <c r="M712" s="113"/>
      <c r="N712" s="113"/>
      <c r="O712" s="113"/>
      <c r="P712" s="113"/>
      <c r="Q712" s="113"/>
      <c r="R712" s="113"/>
      <c r="S712" s="113"/>
      <c r="T712" s="113"/>
      <c r="U712" s="113"/>
      <c r="V712" s="113"/>
      <c r="W712" s="113"/>
      <c r="X712" s="113"/>
      <c r="Y712" s="113"/>
      <c r="Z712" s="113"/>
      <c r="AA712" s="113"/>
      <c r="AB712" s="113"/>
      <c r="AC712" s="113"/>
      <c r="AD712" s="113"/>
      <c r="AE712" s="113"/>
      <c r="AF712" s="113"/>
      <c r="AG712" s="113"/>
    </row>
    <row r="713" spans="1:33" ht="13.8">
      <c r="A713" s="113"/>
      <c r="B713" s="113"/>
      <c r="C713" s="113"/>
      <c r="D713" s="113"/>
      <c r="E713" s="113"/>
      <c r="F713" s="113"/>
      <c r="G713" s="113"/>
      <c r="H713" s="113"/>
      <c r="I713" s="113"/>
      <c r="J713" s="113"/>
      <c r="K713" s="113"/>
      <c r="L713" s="113"/>
      <c r="M713" s="113"/>
      <c r="N713" s="113"/>
      <c r="O713" s="113"/>
      <c r="P713" s="113"/>
      <c r="Q713" s="113"/>
      <c r="R713" s="113"/>
      <c r="S713" s="113"/>
      <c r="T713" s="113"/>
      <c r="U713" s="113"/>
      <c r="V713" s="113"/>
      <c r="W713" s="113"/>
      <c r="X713" s="113"/>
      <c r="Y713" s="113"/>
      <c r="Z713" s="113"/>
      <c r="AA713" s="113"/>
      <c r="AB713" s="113"/>
      <c r="AC713" s="113"/>
      <c r="AD713" s="113"/>
      <c r="AE713" s="113"/>
      <c r="AF713" s="113"/>
      <c r="AG713" s="113"/>
    </row>
    <row r="714" spans="1:33" ht="13.8">
      <c r="A714" s="113"/>
      <c r="B714" s="113"/>
      <c r="C714" s="113"/>
      <c r="D714" s="113"/>
      <c r="E714" s="113"/>
      <c r="F714" s="113"/>
      <c r="G714" s="113"/>
      <c r="H714" s="113"/>
      <c r="I714" s="113"/>
      <c r="J714" s="113"/>
      <c r="K714" s="113"/>
      <c r="L714" s="113"/>
      <c r="M714" s="113"/>
      <c r="N714" s="113"/>
      <c r="O714" s="113"/>
      <c r="P714" s="113"/>
      <c r="Q714" s="113"/>
      <c r="R714" s="113"/>
      <c r="S714" s="113"/>
      <c r="T714" s="113"/>
      <c r="U714" s="113"/>
      <c r="V714" s="113"/>
      <c r="W714" s="113"/>
      <c r="X714" s="113"/>
      <c r="Y714" s="113"/>
      <c r="Z714" s="113"/>
      <c r="AA714" s="113"/>
      <c r="AB714" s="113"/>
      <c r="AC714" s="113"/>
      <c r="AD714" s="113"/>
      <c r="AE714" s="113"/>
      <c r="AF714" s="113"/>
      <c r="AG714" s="113"/>
    </row>
    <row r="715" spans="1:33" ht="13.8">
      <c r="A715" s="113"/>
      <c r="B715" s="113"/>
      <c r="C715" s="113"/>
      <c r="D715" s="113"/>
      <c r="E715" s="113"/>
      <c r="F715" s="113"/>
      <c r="G715" s="113"/>
      <c r="H715" s="113"/>
      <c r="I715" s="113"/>
      <c r="J715" s="113"/>
      <c r="K715" s="113"/>
      <c r="L715" s="113"/>
      <c r="M715" s="113"/>
      <c r="N715" s="113"/>
      <c r="O715" s="113"/>
      <c r="P715" s="113"/>
      <c r="Q715" s="113"/>
      <c r="R715" s="113"/>
      <c r="S715" s="113"/>
      <c r="T715" s="113"/>
      <c r="U715" s="113"/>
      <c r="V715" s="113"/>
      <c r="W715" s="113"/>
      <c r="X715" s="113"/>
      <c r="Y715" s="113"/>
      <c r="Z715" s="113"/>
      <c r="AA715" s="113"/>
      <c r="AB715" s="113"/>
      <c r="AC715" s="113"/>
      <c r="AD715" s="113"/>
      <c r="AE715" s="113"/>
      <c r="AF715" s="113"/>
      <c r="AG715" s="113"/>
    </row>
    <row r="716" spans="1:33" ht="13.8">
      <c r="A716" s="113"/>
      <c r="B716" s="113"/>
      <c r="C716" s="113"/>
      <c r="D716" s="113"/>
      <c r="E716" s="113"/>
      <c r="F716" s="113"/>
      <c r="G716" s="113"/>
      <c r="H716" s="113"/>
      <c r="I716" s="113"/>
      <c r="J716" s="113"/>
      <c r="K716" s="113"/>
      <c r="L716" s="113"/>
      <c r="M716" s="113"/>
      <c r="N716" s="113"/>
      <c r="O716" s="113"/>
      <c r="P716" s="113"/>
      <c r="Q716" s="113"/>
      <c r="R716" s="113"/>
      <c r="S716" s="113"/>
      <c r="T716" s="113"/>
      <c r="U716" s="113"/>
      <c r="V716" s="113"/>
      <c r="W716" s="113"/>
      <c r="X716" s="113"/>
      <c r="Y716" s="113"/>
      <c r="Z716" s="113"/>
      <c r="AA716" s="113"/>
      <c r="AB716" s="113"/>
      <c r="AC716" s="113"/>
      <c r="AD716" s="113"/>
      <c r="AE716" s="113"/>
      <c r="AF716" s="113"/>
      <c r="AG716" s="113"/>
    </row>
    <row r="717" spans="1:33" ht="13.8">
      <c r="A717" s="113"/>
      <c r="B717" s="113"/>
      <c r="C717" s="113"/>
      <c r="D717" s="113"/>
      <c r="E717" s="113"/>
      <c r="F717" s="113"/>
      <c r="G717" s="113"/>
      <c r="H717" s="113"/>
      <c r="I717" s="113"/>
      <c r="J717" s="113"/>
      <c r="K717" s="113"/>
      <c r="L717" s="113"/>
      <c r="M717" s="113"/>
      <c r="N717" s="113"/>
      <c r="O717" s="113"/>
      <c r="P717" s="113"/>
      <c r="Q717" s="113"/>
      <c r="R717" s="113"/>
      <c r="S717" s="113"/>
      <c r="T717" s="113"/>
      <c r="U717" s="113"/>
      <c r="V717" s="113"/>
      <c r="W717" s="113"/>
      <c r="X717" s="113"/>
      <c r="Y717" s="113"/>
      <c r="Z717" s="113"/>
      <c r="AA717" s="113"/>
      <c r="AB717" s="113"/>
      <c r="AC717" s="113"/>
      <c r="AD717" s="113"/>
      <c r="AE717" s="113"/>
      <c r="AF717" s="113"/>
      <c r="AG717" s="113"/>
    </row>
    <row r="718" spans="1:33" ht="13.8">
      <c r="A718" s="113"/>
      <c r="B718" s="113"/>
      <c r="C718" s="113"/>
      <c r="D718" s="113"/>
      <c r="E718" s="113"/>
      <c r="F718" s="113"/>
      <c r="G718" s="113"/>
      <c r="H718" s="113"/>
      <c r="I718" s="113"/>
      <c r="J718" s="113"/>
      <c r="K718" s="113"/>
      <c r="L718" s="113"/>
      <c r="M718" s="113"/>
      <c r="N718" s="113"/>
      <c r="O718" s="113"/>
      <c r="P718" s="113"/>
      <c r="Q718" s="113"/>
      <c r="R718" s="113"/>
      <c r="S718" s="113"/>
      <c r="T718" s="113"/>
      <c r="U718" s="113"/>
      <c r="V718" s="113"/>
      <c r="W718" s="113"/>
      <c r="X718" s="113"/>
      <c r="Y718" s="113"/>
      <c r="Z718" s="113"/>
      <c r="AA718" s="113"/>
      <c r="AB718" s="113"/>
      <c r="AC718" s="113"/>
      <c r="AD718" s="113"/>
      <c r="AE718" s="113"/>
      <c r="AF718" s="113"/>
      <c r="AG718" s="113"/>
    </row>
    <row r="719" spans="1:33" ht="13.8">
      <c r="A719" s="113"/>
      <c r="B719" s="113"/>
      <c r="C719" s="113"/>
      <c r="D719" s="113"/>
      <c r="E719" s="113"/>
      <c r="F719" s="113"/>
      <c r="G719" s="113"/>
      <c r="H719" s="113"/>
      <c r="I719" s="113"/>
      <c r="J719" s="113"/>
      <c r="K719" s="113"/>
      <c r="L719" s="113"/>
      <c r="M719" s="113"/>
      <c r="N719" s="113"/>
      <c r="O719" s="113"/>
      <c r="P719" s="113"/>
      <c r="Q719" s="113"/>
      <c r="R719" s="113"/>
      <c r="S719" s="113"/>
      <c r="T719" s="113"/>
      <c r="U719" s="113"/>
      <c r="V719" s="113"/>
      <c r="W719" s="113"/>
      <c r="X719" s="113"/>
      <c r="Y719" s="113"/>
      <c r="Z719" s="113"/>
      <c r="AA719" s="113"/>
      <c r="AB719" s="113"/>
      <c r="AC719" s="113"/>
      <c r="AD719" s="113"/>
      <c r="AE719" s="113"/>
      <c r="AF719" s="113"/>
      <c r="AG719" s="113"/>
    </row>
    <row r="720" spans="1:33" ht="13.8">
      <c r="A720" s="113"/>
      <c r="B720" s="113"/>
      <c r="C720" s="113"/>
      <c r="D720" s="113"/>
      <c r="E720" s="113"/>
      <c r="F720" s="113"/>
      <c r="G720" s="113"/>
      <c r="H720" s="113"/>
      <c r="I720" s="113"/>
      <c r="J720" s="113"/>
      <c r="K720" s="113"/>
      <c r="L720" s="113"/>
      <c r="M720" s="113"/>
      <c r="N720" s="113"/>
      <c r="O720" s="113"/>
      <c r="P720" s="113"/>
      <c r="Q720" s="113"/>
      <c r="R720" s="113"/>
      <c r="S720" s="113"/>
      <c r="T720" s="113"/>
      <c r="U720" s="113"/>
      <c r="V720" s="113"/>
      <c r="W720" s="113"/>
      <c r="X720" s="113"/>
      <c r="Y720" s="113"/>
      <c r="Z720" s="113"/>
      <c r="AA720" s="113"/>
      <c r="AB720" s="113"/>
      <c r="AC720" s="113"/>
      <c r="AD720" s="113"/>
      <c r="AE720" s="113"/>
      <c r="AF720" s="113"/>
      <c r="AG720" s="113"/>
    </row>
    <row r="721" spans="1:33" ht="13.8">
      <c r="A721" s="113"/>
      <c r="B721" s="113"/>
      <c r="C721" s="113"/>
      <c r="D721" s="113"/>
      <c r="E721" s="113"/>
      <c r="F721" s="113"/>
      <c r="G721" s="113"/>
      <c r="H721" s="113"/>
      <c r="I721" s="113"/>
      <c r="J721" s="113"/>
      <c r="K721" s="113"/>
      <c r="L721" s="113"/>
      <c r="M721" s="113"/>
      <c r="N721" s="113"/>
      <c r="O721" s="113"/>
      <c r="P721" s="113"/>
      <c r="Q721" s="113"/>
      <c r="R721" s="113"/>
      <c r="S721" s="113"/>
      <c r="T721" s="113"/>
      <c r="U721" s="113"/>
      <c r="V721" s="113"/>
      <c r="W721" s="113"/>
      <c r="X721" s="113"/>
      <c r="Y721" s="113"/>
      <c r="Z721" s="113"/>
      <c r="AA721" s="113"/>
      <c r="AB721" s="113"/>
      <c r="AC721" s="113"/>
      <c r="AD721" s="113"/>
      <c r="AE721" s="113"/>
      <c r="AF721" s="113"/>
      <c r="AG721" s="113"/>
    </row>
    <row r="722" spans="1:33" ht="13.8">
      <c r="A722" s="113"/>
      <c r="B722" s="113"/>
      <c r="C722" s="113"/>
      <c r="D722" s="113"/>
      <c r="E722" s="113"/>
      <c r="F722" s="113"/>
      <c r="G722" s="113"/>
      <c r="H722" s="113"/>
      <c r="I722" s="113"/>
      <c r="J722" s="113"/>
      <c r="K722" s="113"/>
      <c r="L722" s="113"/>
      <c r="M722" s="113"/>
      <c r="N722" s="113"/>
      <c r="O722" s="113"/>
      <c r="P722" s="113"/>
      <c r="Q722" s="113"/>
      <c r="R722" s="113"/>
      <c r="S722" s="113"/>
      <c r="T722" s="113"/>
      <c r="U722" s="113"/>
      <c r="V722" s="113"/>
      <c r="W722" s="113"/>
      <c r="X722" s="113"/>
      <c r="Y722" s="113"/>
      <c r="Z722" s="113"/>
      <c r="AA722" s="113"/>
      <c r="AB722" s="113"/>
      <c r="AC722" s="113"/>
      <c r="AD722" s="113"/>
      <c r="AE722" s="113"/>
      <c r="AF722" s="113"/>
      <c r="AG722" s="113"/>
    </row>
    <row r="723" spans="1:33" ht="13.8">
      <c r="A723" s="113"/>
      <c r="B723" s="113"/>
      <c r="C723" s="113"/>
      <c r="D723" s="113"/>
      <c r="E723" s="113"/>
      <c r="F723" s="113"/>
      <c r="G723" s="113"/>
      <c r="H723" s="113"/>
      <c r="I723" s="113"/>
      <c r="J723" s="113"/>
      <c r="K723" s="113"/>
      <c r="L723" s="113"/>
      <c r="M723" s="113"/>
      <c r="N723" s="113"/>
      <c r="O723" s="113"/>
      <c r="P723" s="113"/>
      <c r="Q723" s="113"/>
      <c r="R723" s="113"/>
      <c r="S723" s="113"/>
      <c r="T723" s="113"/>
      <c r="U723" s="113"/>
      <c r="V723" s="113"/>
      <c r="W723" s="113"/>
      <c r="X723" s="113"/>
      <c r="Y723" s="113"/>
      <c r="Z723" s="113"/>
      <c r="AA723" s="113"/>
      <c r="AB723" s="113"/>
      <c r="AC723" s="113"/>
      <c r="AD723" s="113"/>
      <c r="AE723" s="113"/>
      <c r="AF723" s="113"/>
      <c r="AG723" s="113"/>
    </row>
    <row r="724" spans="1:33" ht="13.8">
      <c r="A724" s="113"/>
      <c r="B724" s="113"/>
      <c r="C724" s="113"/>
      <c r="D724" s="113"/>
      <c r="E724" s="113"/>
      <c r="F724" s="113"/>
      <c r="G724" s="113"/>
      <c r="H724" s="113"/>
      <c r="I724" s="113"/>
      <c r="J724" s="113"/>
      <c r="K724" s="113"/>
      <c r="L724" s="113"/>
      <c r="M724" s="113"/>
      <c r="N724" s="113"/>
      <c r="O724" s="113"/>
      <c r="P724" s="113"/>
      <c r="Q724" s="113"/>
      <c r="R724" s="113"/>
      <c r="S724" s="113"/>
      <c r="T724" s="113"/>
      <c r="U724" s="113"/>
      <c r="V724" s="113"/>
      <c r="W724" s="113"/>
      <c r="X724" s="113"/>
      <c r="Y724" s="113"/>
      <c r="Z724" s="113"/>
      <c r="AA724" s="113"/>
      <c r="AB724" s="113"/>
      <c r="AC724" s="113"/>
      <c r="AD724" s="113"/>
      <c r="AE724" s="113"/>
      <c r="AF724" s="113"/>
      <c r="AG724" s="113"/>
    </row>
    <row r="725" spans="1:33" ht="13.8">
      <c r="A725" s="113"/>
      <c r="B725" s="113"/>
      <c r="C725" s="113"/>
      <c r="D725" s="113"/>
      <c r="E725" s="113"/>
      <c r="F725" s="113"/>
      <c r="G725" s="113"/>
      <c r="H725" s="113"/>
      <c r="I725" s="113"/>
      <c r="J725" s="113"/>
      <c r="K725" s="113"/>
      <c r="L725" s="113"/>
      <c r="M725" s="113"/>
      <c r="N725" s="113"/>
      <c r="O725" s="113"/>
      <c r="P725" s="113"/>
      <c r="Q725" s="113"/>
      <c r="R725" s="113"/>
      <c r="S725" s="113"/>
      <c r="T725" s="113"/>
      <c r="U725" s="113"/>
      <c r="V725" s="113"/>
      <c r="W725" s="113"/>
      <c r="X725" s="113"/>
      <c r="Y725" s="113"/>
      <c r="Z725" s="113"/>
      <c r="AA725" s="113"/>
      <c r="AB725" s="113"/>
      <c r="AC725" s="113"/>
      <c r="AD725" s="113"/>
      <c r="AE725" s="113"/>
      <c r="AF725" s="113"/>
      <c r="AG725" s="113"/>
    </row>
    <row r="726" spans="1:33" ht="13.8">
      <c r="A726" s="113"/>
      <c r="B726" s="113"/>
      <c r="C726" s="113"/>
      <c r="D726" s="113"/>
      <c r="E726" s="113"/>
      <c r="F726" s="113"/>
      <c r="G726" s="113"/>
      <c r="H726" s="113"/>
      <c r="I726" s="113"/>
      <c r="J726" s="113"/>
      <c r="K726" s="113"/>
      <c r="L726" s="113"/>
      <c r="M726" s="113"/>
      <c r="N726" s="113"/>
      <c r="O726" s="113"/>
      <c r="P726" s="113"/>
      <c r="Q726" s="113"/>
      <c r="R726" s="113"/>
      <c r="S726" s="113"/>
      <c r="T726" s="113"/>
      <c r="U726" s="113"/>
      <c r="V726" s="113"/>
      <c r="W726" s="113"/>
      <c r="X726" s="113"/>
      <c r="Y726" s="113"/>
      <c r="Z726" s="113"/>
      <c r="AA726" s="113"/>
      <c r="AB726" s="113"/>
      <c r="AC726" s="113"/>
      <c r="AD726" s="113"/>
      <c r="AE726" s="113"/>
      <c r="AF726" s="113"/>
      <c r="AG726" s="113"/>
    </row>
    <row r="727" spans="1:33" ht="13.8">
      <c r="A727" s="113"/>
      <c r="B727" s="113"/>
      <c r="C727" s="113"/>
      <c r="D727" s="113"/>
      <c r="E727" s="113"/>
      <c r="F727" s="113"/>
      <c r="G727" s="113"/>
      <c r="H727" s="113"/>
      <c r="I727" s="113"/>
      <c r="J727" s="113"/>
      <c r="K727" s="113"/>
      <c r="L727" s="113"/>
      <c r="M727" s="113"/>
      <c r="N727" s="113"/>
      <c r="O727" s="113"/>
      <c r="P727" s="113"/>
      <c r="Q727" s="113"/>
      <c r="R727" s="113"/>
      <c r="S727" s="113"/>
      <c r="T727" s="113"/>
      <c r="U727" s="113"/>
      <c r="V727" s="113"/>
      <c r="W727" s="113"/>
      <c r="X727" s="113"/>
      <c r="Y727" s="113"/>
      <c r="Z727" s="113"/>
      <c r="AA727" s="113"/>
      <c r="AB727" s="113"/>
      <c r="AC727" s="113"/>
      <c r="AD727" s="113"/>
      <c r="AE727" s="113"/>
      <c r="AF727" s="113"/>
      <c r="AG727" s="113"/>
    </row>
    <row r="728" spans="1:33" ht="13.8">
      <c r="A728" s="113"/>
      <c r="B728" s="113"/>
      <c r="C728" s="113"/>
      <c r="D728" s="113"/>
      <c r="E728" s="113"/>
      <c r="F728" s="113"/>
      <c r="G728" s="113"/>
      <c r="H728" s="113"/>
      <c r="I728" s="113"/>
      <c r="J728" s="113"/>
      <c r="K728" s="113"/>
      <c r="L728" s="113"/>
      <c r="M728" s="113"/>
      <c r="N728" s="113"/>
      <c r="O728" s="113"/>
      <c r="P728" s="113"/>
      <c r="Q728" s="113"/>
      <c r="R728" s="113"/>
      <c r="S728" s="113"/>
      <c r="T728" s="113"/>
      <c r="U728" s="113"/>
      <c r="V728" s="113"/>
      <c r="W728" s="113"/>
      <c r="X728" s="113"/>
      <c r="Y728" s="113"/>
      <c r="Z728" s="113"/>
      <c r="AA728" s="113"/>
      <c r="AB728" s="113"/>
      <c r="AC728" s="113"/>
      <c r="AD728" s="113"/>
      <c r="AE728" s="113"/>
      <c r="AF728" s="113"/>
      <c r="AG728" s="113"/>
    </row>
    <row r="729" spans="1:33" ht="13.8">
      <c r="A729" s="113"/>
      <c r="B729" s="113"/>
      <c r="C729" s="113"/>
      <c r="D729" s="113"/>
      <c r="E729" s="113"/>
      <c r="F729" s="113"/>
      <c r="G729" s="113"/>
      <c r="H729" s="113"/>
      <c r="I729" s="113"/>
      <c r="J729" s="113"/>
      <c r="K729" s="113"/>
      <c r="L729" s="113"/>
      <c r="M729" s="113"/>
      <c r="N729" s="113"/>
      <c r="O729" s="113"/>
      <c r="P729" s="113"/>
      <c r="Q729" s="113"/>
      <c r="R729" s="113"/>
      <c r="S729" s="113"/>
      <c r="T729" s="113"/>
      <c r="U729" s="113"/>
      <c r="V729" s="113"/>
      <c r="W729" s="113"/>
      <c r="X729" s="113"/>
      <c r="Y729" s="113"/>
      <c r="Z729" s="113"/>
      <c r="AA729" s="113"/>
      <c r="AB729" s="113"/>
      <c r="AC729" s="113"/>
      <c r="AD729" s="113"/>
      <c r="AE729" s="113"/>
      <c r="AF729" s="113"/>
      <c r="AG729" s="113"/>
    </row>
    <row r="730" spans="1:33" ht="13.8">
      <c r="A730" s="113"/>
      <c r="B730" s="113"/>
      <c r="C730" s="113"/>
      <c r="D730" s="113"/>
      <c r="E730" s="113"/>
      <c r="F730" s="113"/>
      <c r="G730" s="113"/>
      <c r="H730" s="113"/>
      <c r="I730" s="113"/>
      <c r="J730" s="113"/>
      <c r="K730" s="113"/>
      <c r="L730" s="113"/>
      <c r="M730" s="113"/>
      <c r="N730" s="113"/>
      <c r="O730" s="113"/>
      <c r="P730" s="113"/>
      <c r="Q730" s="113"/>
      <c r="R730" s="113"/>
      <c r="S730" s="113"/>
      <c r="T730" s="113"/>
      <c r="U730" s="113"/>
      <c r="V730" s="113"/>
      <c r="W730" s="113"/>
      <c r="X730" s="113"/>
      <c r="Y730" s="113"/>
      <c r="Z730" s="113"/>
      <c r="AA730" s="113"/>
      <c r="AB730" s="113"/>
      <c r="AC730" s="113"/>
      <c r="AD730" s="113"/>
      <c r="AE730" s="113"/>
      <c r="AF730" s="113"/>
      <c r="AG730" s="113"/>
    </row>
    <row r="731" spans="1:33" ht="13.8">
      <c r="A731" s="113"/>
      <c r="B731" s="113"/>
      <c r="C731" s="113"/>
      <c r="D731" s="113"/>
      <c r="E731" s="113"/>
      <c r="F731" s="113"/>
      <c r="G731" s="113"/>
      <c r="H731" s="113"/>
      <c r="I731" s="113"/>
      <c r="J731" s="113"/>
      <c r="K731" s="113"/>
      <c r="L731" s="113"/>
      <c r="M731" s="113"/>
      <c r="N731" s="113"/>
      <c r="O731" s="113"/>
      <c r="P731" s="113"/>
      <c r="Q731" s="113"/>
      <c r="R731" s="113"/>
      <c r="S731" s="113"/>
      <c r="T731" s="113"/>
      <c r="U731" s="113"/>
      <c r="V731" s="113"/>
      <c r="W731" s="113"/>
      <c r="X731" s="113"/>
      <c r="Y731" s="113"/>
      <c r="Z731" s="113"/>
      <c r="AA731" s="113"/>
      <c r="AB731" s="113"/>
      <c r="AC731" s="113"/>
      <c r="AD731" s="113"/>
      <c r="AE731" s="113"/>
      <c r="AF731" s="113"/>
      <c r="AG731" s="113"/>
    </row>
    <row r="732" spans="1:33" ht="13.8">
      <c r="A732" s="113"/>
      <c r="B732" s="113"/>
      <c r="C732" s="113"/>
      <c r="D732" s="113"/>
      <c r="E732" s="113"/>
      <c r="F732" s="113"/>
      <c r="G732" s="113"/>
      <c r="H732" s="113"/>
      <c r="I732" s="113"/>
      <c r="J732" s="113"/>
      <c r="K732" s="113"/>
      <c r="L732" s="113"/>
      <c r="M732" s="113"/>
      <c r="N732" s="113"/>
      <c r="O732" s="113"/>
      <c r="P732" s="113"/>
      <c r="Q732" s="113"/>
      <c r="R732" s="113"/>
      <c r="S732" s="113"/>
      <c r="T732" s="113"/>
      <c r="U732" s="113"/>
      <c r="V732" s="113"/>
      <c r="W732" s="113"/>
      <c r="X732" s="113"/>
      <c r="Y732" s="113"/>
      <c r="Z732" s="113"/>
      <c r="AA732" s="113"/>
      <c r="AB732" s="113"/>
      <c r="AC732" s="113"/>
      <c r="AD732" s="113"/>
      <c r="AE732" s="113"/>
      <c r="AF732" s="113"/>
      <c r="AG732" s="113"/>
    </row>
    <row r="733" spans="1:33" ht="13.8">
      <c r="A733" s="113"/>
      <c r="B733" s="113"/>
      <c r="C733" s="113"/>
      <c r="D733" s="113"/>
      <c r="E733" s="113"/>
      <c r="F733" s="113"/>
      <c r="G733" s="113"/>
      <c r="H733" s="113"/>
      <c r="I733" s="113"/>
      <c r="J733" s="113"/>
      <c r="K733" s="113"/>
      <c r="L733" s="113"/>
      <c r="M733" s="113"/>
      <c r="N733" s="113"/>
      <c r="O733" s="113"/>
      <c r="P733" s="113"/>
      <c r="Q733" s="113"/>
      <c r="R733" s="113"/>
      <c r="S733" s="113"/>
      <c r="T733" s="113"/>
      <c r="U733" s="113"/>
      <c r="V733" s="113"/>
      <c r="W733" s="113"/>
      <c r="X733" s="113"/>
      <c r="Y733" s="113"/>
      <c r="Z733" s="113"/>
      <c r="AA733" s="113"/>
      <c r="AB733" s="113"/>
      <c r="AC733" s="113"/>
      <c r="AD733" s="113"/>
      <c r="AE733" s="113"/>
      <c r="AF733" s="113"/>
      <c r="AG733" s="113"/>
    </row>
    <row r="734" spans="1:33" ht="13.8">
      <c r="A734" s="113"/>
      <c r="B734" s="113"/>
      <c r="C734" s="113"/>
      <c r="D734" s="113"/>
      <c r="E734" s="113"/>
      <c r="F734" s="113"/>
      <c r="G734" s="113"/>
      <c r="H734" s="113"/>
      <c r="I734" s="113"/>
      <c r="J734" s="113"/>
      <c r="K734" s="113"/>
      <c r="L734" s="113"/>
      <c r="M734" s="113"/>
      <c r="N734" s="113"/>
      <c r="O734" s="113"/>
      <c r="P734" s="113"/>
      <c r="Q734" s="113"/>
      <c r="R734" s="113"/>
      <c r="S734" s="113"/>
      <c r="T734" s="113"/>
      <c r="U734" s="113"/>
      <c r="V734" s="113"/>
      <c r="W734" s="113"/>
      <c r="X734" s="113"/>
      <c r="Y734" s="113"/>
      <c r="Z734" s="113"/>
      <c r="AA734" s="113"/>
      <c r="AB734" s="113"/>
      <c r="AC734" s="113"/>
      <c r="AD734" s="113"/>
      <c r="AE734" s="113"/>
      <c r="AF734" s="113"/>
      <c r="AG734" s="113"/>
    </row>
    <row r="735" spans="1:33" ht="13.8">
      <c r="A735" s="113"/>
      <c r="B735" s="113"/>
      <c r="C735" s="113"/>
      <c r="D735" s="113"/>
      <c r="E735" s="113"/>
      <c r="F735" s="113"/>
      <c r="G735" s="113"/>
      <c r="H735" s="113"/>
      <c r="I735" s="113"/>
      <c r="J735" s="113"/>
      <c r="K735" s="113"/>
      <c r="L735" s="113"/>
      <c r="M735" s="113"/>
      <c r="N735" s="113"/>
      <c r="O735" s="113"/>
      <c r="P735" s="113"/>
      <c r="Q735" s="113"/>
      <c r="R735" s="113"/>
      <c r="S735" s="113"/>
      <c r="T735" s="113"/>
      <c r="U735" s="113"/>
      <c r="V735" s="113"/>
      <c r="W735" s="113"/>
      <c r="X735" s="113"/>
      <c r="Y735" s="113"/>
      <c r="Z735" s="113"/>
      <c r="AA735" s="113"/>
      <c r="AB735" s="113"/>
      <c r="AC735" s="113"/>
      <c r="AD735" s="113"/>
      <c r="AE735" s="113"/>
      <c r="AF735" s="113"/>
      <c r="AG735" s="113"/>
    </row>
    <row r="736" spans="1:33" ht="13.8">
      <c r="A736" s="113"/>
      <c r="B736" s="113"/>
      <c r="C736" s="113"/>
      <c r="D736" s="113"/>
      <c r="E736" s="113"/>
      <c r="F736" s="113"/>
      <c r="G736" s="113"/>
      <c r="H736" s="113"/>
      <c r="I736" s="113"/>
      <c r="J736" s="113"/>
      <c r="K736" s="113"/>
      <c r="L736" s="113"/>
      <c r="M736" s="113"/>
      <c r="N736" s="113"/>
      <c r="O736" s="113"/>
      <c r="P736" s="113"/>
      <c r="Q736" s="113"/>
      <c r="R736" s="113"/>
      <c r="S736" s="113"/>
      <c r="T736" s="113"/>
      <c r="U736" s="113"/>
      <c r="V736" s="113"/>
      <c r="W736" s="113"/>
      <c r="X736" s="113"/>
      <c r="Y736" s="113"/>
      <c r="Z736" s="113"/>
      <c r="AA736" s="113"/>
      <c r="AB736" s="113"/>
      <c r="AC736" s="113"/>
      <c r="AD736" s="113"/>
      <c r="AE736" s="113"/>
      <c r="AF736" s="113"/>
      <c r="AG736" s="113"/>
    </row>
    <row r="737" spans="1:33" ht="13.8">
      <c r="A737" s="113"/>
      <c r="B737" s="113"/>
      <c r="C737" s="113"/>
      <c r="D737" s="113"/>
      <c r="E737" s="113"/>
      <c r="F737" s="113"/>
      <c r="G737" s="113"/>
      <c r="H737" s="113"/>
      <c r="I737" s="113"/>
      <c r="J737" s="113"/>
      <c r="K737" s="113"/>
      <c r="L737" s="113"/>
      <c r="M737" s="113"/>
      <c r="N737" s="113"/>
      <c r="O737" s="113"/>
      <c r="P737" s="113"/>
      <c r="Q737" s="113"/>
      <c r="R737" s="113"/>
      <c r="S737" s="113"/>
      <c r="T737" s="113"/>
      <c r="U737" s="113"/>
      <c r="V737" s="113"/>
      <c r="W737" s="113"/>
      <c r="X737" s="113"/>
      <c r="Y737" s="113"/>
      <c r="Z737" s="113"/>
      <c r="AA737" s="113"/>
      <c r="AB737" s="113"/>
      <c r="AC737" s="113"/>
      <c r="AD737" s="113"/>
      <c r="AE737" s="113"/>
      <c r="AF737" s="113"/>
      <c r="AG737" s="113"/>
    </row>
    <row r="738" spans="1:33" ht="13.8">
      <c r="A738" s="113"/>
      <c r="B738" s="113"/>
      <c r="C738" s="113"/>
      <c r="D738" s="113"/>
      <c r="E738" s="113"/>
      <c r="F738" s="113"/>
      <c r="G738" s="113"/>
      <c r="H738" s="113"/>
      <c r="I738" s="113"/>
      <c r="J738" s="113"/>
      <c r="K738" s="113"/>
      <c r="L738" s="113"/>
      <c r="M738" s="113"/>
      <c r="N738" s="113"/>
      <c r="O738" s="113"/>
      <c r="P738" s="113"/>
      <c r="Q738" s="113"/>
      <c r="R738" s="113"/>
      <c r="S738" s="113"/>
      <c r="T738" s="113"/>
      <c r="U738" s="113"/>
      <c r="V738" s="113"/>
      <c r="W738" s="113"/>
      <c r="X738" s="113"/>
      <c r="Y738" s="113"/>
      <c r="Z738" s="113"/>
      <c r="AA738" s="113"/>
      <c r="AB738" s="113"/>
      <c r="AC738" s="113"/>
      <c r="AD738" s="113"/>
      <c r="AE738" s="113"/>
      <c r="AF738" s="113"/>
      <c r="AG738" s="113"/>
    </row>
    <row r="739" spans="1:33" ht="13.8">
      <c r="A739" s="113"/>
      <c r="B739" s="113"/>
      <c r="C739" s="113"/>
      <c r="D739" s="113"/>
      <c r="E739" s="113"/>
      <c r="F739" s="113"/>
      <c r="G739" s="113"/>
      <c r="H739" s="113"/>
      <c r="I739" s="113"/>
      <c r="J739" s="113"/>
      <c r="K739" s="113"/>
      <c r="L739" s="113"/>
      <c r="M739" s="113"/>
      <c r="N739" s="113"/>
      <c r="O739" s="113"/>
      <c r="P739" s="113"/>
      <c r="Q739" s="113"/>
      <c r="R739" s="113"/>
      <c r="S739" s="113"/>
      <c r="T739" s="113"/>
      <c r="U739" s="113"/>
      <c r="V739" s="113"/>
      <c r="W739" s="113"/>
      <c r="X739" s="113"/>
      <c r="Y739" s="113"/>
      <c r="Z739" s="113"/>
      <c r="AA739" s="113"/>
      <c r="AB739" s="113"/>
      <c r="AC739" s="113"/>
      <c r="AD739" s="113"/>
      <c r="AE739" s="113"/>
      <c r="AF739" s="113"/>
      <c r="AG739" s="113"/>
    </row>
    <row r="740" spans="1:33" ht="13.8">
      <c r="A740" s="113"/>
      <c r="B740" s="113"/>
      <c r="C740" s="113"/>
      <c r="D740" s="113"/>
      <c r="E740" s="113"/>
      <c r="F740" s="113"/>
      <c r="G740" s="113"/>
      <c r="H740" s="113"/>
      <c r="I740" s="113"/>
      <c r="J740" s="113"/>
      <c r="K740" s="113"/>
      <c r="L740" s="113"/>
      <c r="M740" s="113"/>
      <c r="N740" s="113"/>
      <c r="O740" s="113"/>
      <c r="P740" s="113"/>
      <c r="Q740" s="113"/>
      <c r="R740" s="113"/>
      <c r="S740" s="113"/>
      <c r="T740" s="113"/>
      <c r="U740" s="113"/>
      <c r="V740" s="113"/>
      <c r="W740" s="113"/>
      <c r="X740" s="113"/>
      <c r="Y740" s="113"/>
      <c r="Z740" s="113"/>
      <c r="AA740" s="113"/>
      <c r="AB740" s="113"/>
      <c r="AC740" s="113"/>
      <c r="AD740" s="113"/>
      <c r="AE740" s="113"/>
      <c r="AF740" s="113"/>
      <c r="AG740" s="113"/>
    </row>
    <row r="741" spans="1:33" ht="13.8">
      <c r="A741" s="113"/>
      <c r="B741" s="113"/>
      <c r="C741" s="113"/>
      <c r="D741" s="113"/>
      <c r="E741" s="113"/>
      <c r="F741" s="113"/>
      <c r="G741" s="113"/>
      <c r="H741" s="113"/>
      <c r="I741" s="113"/>
      <c r="J741" s="113"/>
      <c r="K741" s="113"/>
      <c r="L741" s="113"/>
      <c r="M741" s="113"/>
      <c r="N741" s="113"/>
      <c r="O741" s="113"/>
      <c r="P741" s="113"/>
      <c r="Q741" s="113"/>
      <c r="R741" s="113"/>
      <c r="S741" s="113"/>
      <c r="T741" s="113"/>
      <c r="U741" s="113"/>
      <c r="V741" s="113"/>
      <c r="W741" s="113"/>
      <c r="X741" s="113"/>
      <c r="Y741" s="113"/>
      <c r="Z741" s="113"/>
      <c r="AA741" s="113"/>
      <c r="AB741" s="113"/>
      <c r="AC741" s="113"/>
      <c r="AD741" s="113"/>
      <c r="AE741" s="113"/>
      <c r="AF741" s="113"/>
      <c r="AG741" s="113"/>
    </row>
    <row r="742" spans="1:33" ht="13.8">
      <c r="A742" s="113"/>
      <c r="B742" s="113"/>
      <c r="C742" s="113"/>
      <c r="D742" s="113"/>
      <c r="E742" s="113"/>
      <c r="F742" s="113"/>
      <c r="G742" s="113"/>
      <c r="H742" s="113"/>
      <c r="I742" s="113"/>
      <c r="J742" s="113"/>
      <c r="K742" s="113"/>
      <c r="L742" s="113"/>
      <c r="M742" s="113"/>
      <c r="N742" s="113"/>
      <c r="O742" s="113"/>
      <c r="P742" s="113"/>
      <c r="Q742" s="113"/>
      <c r="R742" s="113"/>
      <c r="S742" s="113"/>
      <c r="T742" s="113"/>
      <c r="U742" s="113"/>
      <c r="V742" s="113"/>
      <c r="W742" s="113"/>
      <c r="X742" s="113"/>
      <c r="Y742" s="113"/>
      <c r="Z742" s="113"/>
      <c r="AA742" s="113"/>
      <c r="AB742" s="113"/>
      <c r="AC742" s="113"/>
      <c r="AD742" s="113"/>
      <c r="AE742" s="113"/>
      <c r="AF742" s="113"/>
      <c r="AG742" s="113"/>
    </row>
    <row r="743" spans="1:33" ht="13.8">
      <c r="A743" s="113"/>
      <c r="B743" s="113"/>
      <c r="C743" s="113"/>
      <c r="D743" s="113"/>
      <c r="E743" s="113"/>
      <c r="F743" s="113"/>
      <c r="G743" s="113"/>
      <c r="H743" s="113"/>
      <c r="I743" s="113"/>
      <c r="J743" s="113"/>
      <c r="K743" s="113"/>
      <c r="L743" s="113"/>
      <c r="M743" s="113"/>
      <c r="N743" s="113"/>
      <c r="O743" s="113"/>
      <c r="P743" s="113"/>
      <c r="Q743" s="113"/>
      <c r="R743" s="113"/>
      <c r="S743" s="113"/>
      <c r="T743" s="113"/>
      <c r="U743" s="113"/>
      <c r="V743" s="113"/>
      <c r="W743" s="113"/>
      <c r="X743" s="113"/>
      <c r="Y743" s="113"/>
      <c r="Z743" s="113"/>
      <c r="AA743" s="113"/>
      <c r="AB743" s="113"/>
      <c r="AC743" s="113"/>
      <c r="AD743" s="113"/>
      <c r="AE743" s="113"/>
      <c r="AF743" s="113"/>
      <c r="AG743" s="113"/>
    </row>
    <row r="744" spans="1:33" ht="13.8">
      <c r="A744" s="113"/>
      <c r="B744" s="113"/>
      <c r="C744" s="113"/>
      <c r="D744" s="113"/>
      <c r="E744" s="113"/>
      <c r="F744" s="113"/>
      <c r="G744" s="113"/>
      <c r="H744" s="113"/>
      <c r="I744" s="113"/>
      <c r="J744" s="113"/>
      <c r="K744" s="113"/>
      <c r="L744" s="113"/>
      <c r="M744" s="113"/>
      <c r="N744" s="113"/>
      <c r="O744" s="113"/>
      <c r="P744" s="113"/>
      <c r="Q744" s="113"/>
      <c r="R744" s="113"/>
      <c r="S744" s="113"/>
      <c r="T744" s="113"/>
      <c r="U744" s="113"/>
      <c r="V744" s="113"/>
      <c r="W744" s="113"/>
      <c r="X744" s="113"/>
      <c r="Y744" s="113"/>
      <c r="Z744" s="113"/>
      <c r="AA744" s="113"/>
      <c r="AB744" s="113"/>
      <c r="AC744" s="113"/>
      <c r="AD744" s="113"/>
      <c r="AE744" s="113"/>
      <c r="AF744" s="113"/>
      <c r="AG744" s="113"/>
    </row>
    <row r="745" spans="1:33" ht="13.8">
      <c r="A745" s="113"/>
      <c r="B745" s="113"/>
      <c r="C745" s="113"/>
      <c r="D745" s="113"/>
      <c r="E745" s="113"/>
      <c r="F745" s="113"/>
      <c r="G745" s="113"/>
      <c r="H745" s="113"/>
      <c r="I745" s="113"/>
      <c r="J745" s="113"/>
      <c r="K745" s="113"/>
      <c r="L745" s="113"/>
      <c r="M745" s="113"/>
      <c r="N745" s="113"/>
      <c r="O745" s="113"/>
      <c r="P745" s="113"/>
      <c r="Q745" s="113"/>
      <c r="R745" s="113"/>
      <c r="S745" s="113"/>
      <c r="T745" s="113"/>
      <c r="U745" s="113"/>
      <c r="V745" s="113"/>
      <c r="W745" s="113"/>
      <c r="X745" s="113"/>
      <c r="Y745" s="113"/>
      <c r="Z745" s="113"/>
      <c r="AA745" s="113"/>
      <c r="AB745" s="113"/>
      <c r="AC745" s="113"/>
      <c r="AD745" s="113"/>
      <c r="AE745" s="113"/>
      <c r="AF745" s="113"/>
      <c r="AG745" s="113"/>
    </row>
    <row r="746" spans="1:33" ht="13.8">
      <c r="A746" s="113"/>
      <c r="B746" s="113"/>
      <c r="C746" s="113"/>
      <c r="D746" s="113"/>
      <c r="E746" s="113"/>
      <c r="F746" s="113"/>
      <c r="G746" s="113"/>
      <c r="H746" s="113"/>
      <c r="I746" s="113"/>
      <c r="J746" s="113"/>
      <c r="K746" s="113"/>
      <c r="L746" s="113"/>
      <c r="M746" s="113"/>
      <c r="N746" s="113"/>
      <c r="O746" s="113"/>
      <c r="P746" s="113"/>
      <c r="Q746" s="113"/>
      <c r="R746" s="113"/>
      <c r="S746" s="113"/>
      <c r="T746" s="113"/>
      <c r="U746" s="113"/>
      <c r="V746" s="113"/>
      <c r="W746" s="113"/>
      <c r="X746" s="113"/>
      <c r="Y746" s="113"/>
      <c r="Z746" s="113"/>
      <c r="AA746" s="113"/>
      <c r="AB746" s="113"/>
      <c r="AC746" s="113"/>
      <c r="AD746" s="113"/>
      <c r="AE746" s="113"/>
      <c r="AF746" s="113"/>
      <c r="AG746" s="113"/>
    </row>
    <row r="747" spans="1:33" ht="13.8">
      <c r="A747" s="113"/>
      <c r="B747" s="113"/>
      <c r="C747" s="113"/>
      <c r="D747" s="113"/>
      <c r="E747" s="113"/>
      <c r="F747" s="113"/>
      <c r="G747" s="113"/>
      <c r="H747" s="113"/>
      <c r="I747" s="113"/>
      <c r="J747" s="113"/>
      <c r="K747" s="113"/>
      <c r="L747" s="113"/>
      <c r="M747" s="113"/>
      <c r="N747" s="113"/>
      <c r="O747" s="113"/>
      <c r="P747" s="113"/>
      <c r="Q747" s="113"/>
      <c r="R747" s="113"/>
      <c r="S747" s="113"/>
      <c r="T747" s="113"/>
      <c r="U747" s="113"/>
      <c r="V747" s="113"/>
      <c r="W747" s="113"/>
      <c r="X747" s="113"/>
      <c r="Y747" s="113"/>
      <c r="Z747" s="113"/>
      <c r="AA747" s="113"/>
      <c r="AB747" s="113"/>
      <c r="AC747" s="113"/>
      <c r="AD747" s="113"/>
      <c r="AE747" s="113"/>
      <c r="AF747" s="113"/>
      <c r="AG747" s="113"/>
    </row>
    <row r="748" spans="1:33" ht="13.8">
      <c r="A748" s="113"/>
      <c r="B748" s="113"/>
      <c r="C748" s="113"/>
      <c r="D748" s="113"/>
      <c r="E748" s="113"/>
      <c r="F748" s="113"/>
      <c r="G748" s="113"/>
      <c r="H748" s="113"/>
      <c r="I748" s="113"/>
      <c r="J748" s="113"/>
      <c r="K748" s="113"/>
      <c r="L748" s="113"/>
      <c r="M748" s="113"/>
      <c r="N748" s="113"/>
      <c r="O748" s="113"/>
      <c r="P748" s="113"/>
      <c r="Q748" s="113"/>
      <c r="R748" s="113"/>
      <c r="S748" s="113"/>
      <c r="T748" s="113"/>
      <c r="U748" s="113"/>
      <c r="V748" s="113"/>
      <c r="W748" s="113"/>
      <c r="X748" s="113"/>
      <c r="Y748" s="113"/>
      <c r="Z748" s="113"/>
      <c r="AA748" s="113"/>
      <c r="AB748" s="113"/>
      <c r="AC748" s="113"/>
      <c r="AD748" s="113"/>
      <c r="AE748" s="113"/>
      <c r="AF748" s="113"/>
      <c r="AG748" s="113"/>
    </row>
    <row r="749" spans="1:33" ht="13.8">
      <c r="A749" s="113"/>
      <c r="B749" s="113"/>
      <c r="C749" s="113"/>
      <c r="D749" s="113"/>
      <c r="E749" s="113"/>
      <c r="F749" s="113"/>
      <c r="G749" s="113"/>
      <c r="H749" s="113"/>
      <c r="I749" s="113"/>
      <c r="J749" s="113"/>
      <c r="K749" s="113"/>
      <c r="L749" s="113"/>
      <c r="M749" s="113"/>
      <c r="N749" s="113"/>
      <c r="O749" s="113"/>
      <c r="P749" s="113"/>
      <c r="Q749" s="113"/>
      <c r="R749" s="113"/>
      <c r="S749" s="113"/>
      <c r="T749" s="113"/>
      <c r="U749" s="113"/>
      <c r="V749" s="113"/>
      <c r="W749" s="113"/>
      <c r="X749" s="113"/>
      <c r="Y749" s="113"/>
      <c r="Z749" s="113"/>
      <c r="AA749" s="113"/>
      <c r="AB749" s="113"/>
      <c r="AC749" s="113"/>
      <c r="AD749" s="113"/>
      <c r="AE749" s="113"/>
      <c r="AF749" s="113"/>
      <c r="AG749" s="113"/>
    </row>
    <row r="750" spans="1:33" ht="13.8">
      <c r="A750" s="113"/>
      <c r="B750" s="113"/>
      <c r="C750" s="113"/>
      <c r="D750" s="113"/>
      <c r="E750" s="113"/>
      <c r="F750" s="113"/>
      <c r="G750" s="113"/>
      <c r="H750" s="113"/>
      <c r="I750" s="113"/>
      <c r="J750" s="113"/>
      <c r="K750" s="113"/>
      <c r="L750" s="113"/>
      <c r="M750" s="113"/>
      <c r="N750" s="113"/>
      <c r="O750" s="113"/>
      <c r="P750" s="113"/>
      <c r="Q750" s="113"/>
      <c r="R750" s="113"/>
      <c r="S750" s="113"/>
      <c r="T750" s="113"/>
      <c r="U750" s="113"/>
      <c r="V750" s="113"/>
      <c r="W750" s="113"/>
      <c r="X750" s="113"/>
      <c r="Y750" s="113"/>
      <c r="Z750" s="113"/>
      <c r="AA750" s="113"/>
      <c r="AB750" s="113"/>
      <c r="AC750" s="113"/>
      <c r="AD750" s="113"/>
      <c r="AE750" s="113"/>
      <c r="AF750" s="113"/>
      <c r="AG750" s="113"/>
    </row>
    <row r="751" spans="1:33" ht="13.8">
      <c r="A751" s="113"/>
      <c r="B751" s="113"/>
      <c r="C751" s="113"/>
      <c r="D751" s="113"/>
      <c r="E751" s="113"/>
      <c r="F751" s="113"/>
      <c r="G751" s="113"/>
      <c r="H751" s="113"/>
      <c r="I751" s="113"/>
      <c r="J751" s="113"/>
      <c r="K751" s="113"/>
      <c r="L751" s="113"/>
      <c r="M751" s="113"/>
      <c r="N751" s="113"/>
      <c r="O751" s="113"/>
      <c r="P751" s="113"/>
      <c r="Q751" s="113"/>
      <c r="R751" s="113"/>
      <c r="S751" s="113"/>
      <c r="T751" s="113"/>
      <c r="U751" s="113"/>
      <c r="V751" s="113"/>
      <c r="W751" s="113"/>
      <c r="X751" s="113"/>
      <c r="Y751" s="113"/>
      <c r="Z751" s="113"/>
      <c r="AA751" s="113"/>
      <c r="AB751" s="113"/>
      <c r="AC751" s="113"/>
      <c r="AD751" s="113"/>
      <c r="AE751" s="113"/>
      <c r="AF751" s="113"/>
      <c r="AG751" s="113"/>
    </row>
    <row r="752" spans="1:33" ht="13.8">
      <c r="A752" s="113"/>
      <c r="B752" s="113"/>
      <c r="C752" s="113"/>
      <c r="D752" s="113"/>
      <c r="E752" s="113"/>
      <c r="F752" s="113"/>
      <c r="G752" s="113"/>
      <c r="H752" s="113"/>
      <c r="I752" s="113"/>
      <c r="J752" s="113"/>
      <c r="K752" s="113"/>
      <c r="L752" s="113"/>
      <c r="M752" s="113"/>
      <c r="N752" s="113"/>
      <c r="O752" s="113"/>
      <c r="P752" s="113"/>
      <c r="Q752" s="113"/>
      <c r="R752" s="113"/>
      <c r="S752" s="113"/>
      <c r="T752" s="113"/>
      <c r="U752" s="113"/>
      <c r="V752" s="113"/>
      <c r="W752" s="113"/>
      <c r="X752" s="113"/>
      <c r="Y752" s="113"/>
      <c r="Z752" s="113"/>
      <c r="AA752" s="113"/>
      <c r="AB752" s="113"/>
      <c r="AC752" s="113"/>
      <c r="AD752" s="113"/>
      <c r="AE752" s="113"/>
      <c r="AF752" s="113"/>
      <c r="AG752" s="113"/>
    </row>
    <row r="753" spans="1:33" ht="13.8">
      <c r="A753" s="113"/>
      <c r="B753" s="113"/>
      <c r="C753" s="113"/>
      <c r="D753" s="113"/>
      <c r="E753" s="113"/>
      <c r="F753" s="113"/>
      <c r="G753" s="113"/>
      <c r="H753" s="113"/>
      <c r="I753" s="113"/>
      <c r="J753" s="113"/>
      <c r="K753" s="113"/>
      <c r="L753" s="113"/>
      <c r="M753" s="113"/>
      <c r="N753" s="113"/>
      <c r="O753" s="113"/>
      <c r="P753" s="113"/>
      <c r="Q753" s="113"/>
      <c r="R753" s="113"/>
      <c r="S753" s="113"/>
      <c r="T753" s="113"/>
      <c r="U753" s="113"/>
      <c r="V753" s="113"/>
      <c r="W753" s="113"/>
      <c r="X753" s="113"/>
      <c r="Y753" s="113"/>
      <c r="Z753" s="113"/>
      <c r="AA753" s="113"/>
      <c r="AB753" s="113"/>
      <c r="AC753" s="113"/>
      <c r="AD753" s="113"/>
      <c r="AE753" s="113"/>
      <c r="AF753" s="113"/>
      <c r="AG753" s="113"/>
    </row>
    <row r="754" spans="1:33" ht="13.8">
      <c r="A754" s="113"/>
      <c r="B754" s="113"/>
      <c r="C754" s="113"/>
      <c r="D754" s="113"/>
      <c r="E754" s="113"/>
      <c r="F754" s="113"/>
      <c r="G754" s="113"/>
      <c r="H754" s="113"/>
      <c r="I754" s="113"/>
      <c r="J754" s="113"/>
      <c r="K754" s="113"/>
      <c r="L754" s="113"/>
      <c r="M754" s="113"/>
      <c r="N754" s="113"/>
      <c r="O754" s="113"/>
      <c r="P754" s="113"/>
      <c r="Q754" s="113"/>
      <c r="R754" s="113"/>
      <c r="S754" s="113"/>
      <c r="T754" s="113"/>
      <c r="U754" s="113"/>
      <c r="V754" s="113"/>
      <c r="W754" s="113"/>
      <c r="X754" s="113"/>
      <c r="Y754" s="113"/>
      <c r="Z754" s="113"/>
      <c r="AA754" s="113"/>
      <c r="AB754" s="113"/>
      <c r="AC754" s="113"/>
      <c r="AD754" s="113"/>
      <c r="AE754" s="113"/>
      <c r="AF754" s="113"/>
      <c r="AG754" s="113"/>
    </row>
    <row r="755" spans="1:33" ht="13.8">
      <c r="A755" s="113"/>
      <c r="B755" s="113"/>
      <c r="C755" s="113"/>
      <c r="D755" s="113"/>
      <c r="E755" s="113"/>
      <c r="F755" s="113"/>
      <c r="G755" s="113"/>
      <c r="H755" s="113"/>
      <c r="I755" s="113"/>
      <c r="J755" s="113"/>
      <c r="K755" s="113"/>
      <c r="L755" s="113"/>
      <c r="M755" s="113"/>
      <c r="N755" s="113"/>
      <c r="O755" s="113"/>
      <c r="P755" s="113"/>
      <c r="Q755" s="113"/>
      <c r="R755" s="113"/>
      <c r="S755" s="113"/>
      <c r="T755" s="113"/>
      <c r="U755" s="113"/>
      <c r="V755" s="113"/>
      <c r="W755" s="113"/>
      <c r="X755" s="113"/>
      <c r="Y755" s="113"/>
      <c r="Z755" s="113"/>
      <c r="AA755" s="113"/>
      <c r="AB755" s="113"/>
      <c r="AC755" s="113"/>
      <c r="AD755" s="113"/>
      <c r="AE755" s="113"/>
      <c r="AF755" s="113"/>
      <c r="AG755" s="113"/>
    </row>
    <row r="756" spans="1:33" ht="13.8">
      <c r="A756" s="113"/>
      <c r="B756" s="113"/>
      <c r="C756" s="113"/>
      <c r="D756" s="113"/>
      <c r="E756" s="113"/>
      <c r="F756" s="113"/>
      <c r="G756" s="113"/>
      <c r="H756" s="113"/>
      <c r="I756" s="113"/>
      <c r="J756" s="113"/>
      <c r="K756" s="113"/>
      <c r="L756" s="113"/>
      <c r="M756" s="113"/>
      <c r="N756" s="113"/>
      <c r="O756" s="113"/>
      <c r="P756" s="113"/>
      <c r="Q756" s="113"/>
      <c r="R756" s="113"/>
      <c r="S756" s="113"/>
      <c r="T756" s="113"/>
      <c r="U756" s="113"/>
      <c r="V756" s="113"/>
      <c r="W756" s="113"/>
      <c r="X756" s="113"/>
      <c r="Y756" s="113"/>
      <c r="Z756" s="113"/>
      <c r="AA756" s="113"/>
      <c r="AB756" s="113"/>
      <c r="AC756" s="113"/>
      <c r="AD756" s="113"/>
      <c r="AE756" s="113"/>
      <c r="AF756" s="113"/>
      <c r="AG756" s="113"/>
    </row>
    <row r="757" spans="1:33" ht="13.8">
      <c r="A757" s="113"/>
      <c r="B757" s="113"/>
      <c r="C757" s="113"/>
      <c r="D757" s="113"/>
      <c r="E757" s="113"/>
      <c r="F757" s="113"/>
      <c r="G757" s="113"/>
      <c r="H757" s="113"/>
      <c r="I757" s="113"/>
      <c r="J757" s="113"/>
      <c r="K757" s="113"/>
      <c r="L757" s="113"/>
      <c r="M757" s="113"/>
      <c r="N757" s="113"/>
      <c r="O757" s="113"/>
      <c r="P757" s="113"/>
      <c r="Q757" s="113"/>
      <c r="R757" s="113"/>
      <c r="S757" s="113"/>
      <c r="T757" s="113"/>
      <c r="U757" s="113"/>
      <c r="V757" s="113"/>
      <c r="W757" s="113"/>
      <c r="X757" s="113"/>
      <c r="Y757" s="113"/>
      <c r="Z757" s="113"/>
      <c r="AA757" s="113"/>
      <c r="AB757" s="113"/>
      <c r="AC757" s="113"/>
      <c r="AD757" s="113"/>
      <c r="AE757" s="113"/>
      <c r="AF757" s="113"/>
      <c r="AG757" s="113"/>
    </row>
    <row r="758" spans="1:33" ht="13.8">
      <c r="A758" s="113"/>
      <c r="B758" s="113"/>
      <c r="C758" s="113"/>
      <c r="D758" s="113"/>
      <c r="E758" s="113"/>
      <c r="F758" s="113"/>
      <c r="G758" s="113"/>
      <c r="H758" s="113"/>
      <c r="I758" s="113"/>
      <c r="J758" s="113"/>
      <c r="K758" s="113"/>
      <c r="L758" s="113"/>
      <c r="M758" s="113"/>
      <c r="N758" s="113"/>
      <c r="O758" s="113"/>
      <c r="P758" s="113"/>
      <c r="Q758" s="113"/>
      <c r="R758" s="113"/>
      <c r="S758" s="113"/>
      <c r="T758" s="113"/>
      <c r="U758" s="113"/>
      <c r="V758" s="113"/>
      <c r="W758" s="113"/>
      <c r="X758" s="113"/>
      <c r="Y758" s="113"/>
      <c r="Z758" s="113"/>
      <c r="AA758" s="113"/>
      <c r="AB758" s="113"/>
      <c r="AC758" s="113"/>
      <c r="AD758" s="113"/>
      <c r="AE758" s="113"/>
      <c r="AF758" s="113"/>
      <c r="AG758" s="113"/>
    </row>
    <row r="759" spans="1:33" ht="13.8">
      <c r="A759" s="113"/>
      <c r="B759" s="113"/>
      <c r="C759" s="113"/>
      <c r="D759" s="113"/>
      <c r="E759" s="113"/>
      <c r="F759" s="113"/>
      <c r="G759" s="113"/>
      <c r="H759" s="113"/>
      <c r="I759" s="113"/>
      <c r="J759" s="113"/>
      <c r="K759" s="113"/>
      <c r="L759" s="113"/>
      <c r="M759" s="113"/>
      <c r="N759" s="113"/>
      <c r="O759" s="113"/>
      <c r="P759" s="113"/>
      <c r="Q759" s="113"/>
      <c r="R759" s="113"/>
      <c r="S759" s="113"/>
      <c r="T759" s="113"/>
      <c r="U759" s="113"/>
      <c r="V759" s="113"/>
      <c r="W759" s="113"/>
      <c r="X759" s="113"/>
      <c r="Y759" s="113"/>
      <c r="Z759" s="113"/>
      <c r="AA759" s="113"/>
      <c r="AB759" s="113"/>
      <c r="AC759" s="113"/>
      <c r="AD759" s="113"/>
      <c r="AE759" s="113"/>
      <c r="AF759" s="113"/>
      <c r="AG759" s="113"/>
    </row>
    <row r="760" spans="1:33" ht="13.8">
      <c r="A760" s="113"/>
      <c r="B760" s="113"/>
      <c r="C760" s="113"/>
      <c r="D760" s="113"/>
      <c r="E760" s="113"/>
      <c r="F760" s="113"/>
      <c r="G760" s="113"/>
      <c r="H760" s="113"/>
      <c r="I760" s="113"/>
      <c r="J760" s="113"/>
      <c r="K760" s="113"/>
      <c r="L760" s="113"/>
      <c r="M760" s="113"/>
      <c r="N760" s="113"/>
      <c r="O760" s="113"/>
      <c r="P760" s="113"/>
      <c r="Q760" s="113"/>
      <c r="R760" s="113"/>
      <c r="S760" s="113"/>
      <c r="T760" s="113"/>
      <c r="U760" s="113"/>
      <c r="V760" s="113"/>
      <c r="W760" s="113"/>
      <c r="X760" s="113"/>
      <c r="Y760" s="113"/>
      <c r="Z760" s="113"/>
      <c r="AA760" s="113"/>
      <c r="AB760" s="113"/>
      <c r="AC760" s="113"/>
      <c r="AD760" s="113"/>
      <c r="AE760" s="113"/>
      <c r="AF760" s="113"/>
      <c r="AG760" s="113"/>
    </row>
    <row r="761" spans="1:33" ht="13.8">
      <c r="A761" s="113"/>
      <c r="B761" s="113"/>
      <c r="C761" s="113"/>
      <c r="D761" s="113"/>
      <c r="E761" s="113"/>
      <c r="F761" s="113"/>
      <c r="G761" s="113"/>
      <c r="H761" s="113"/>
      <c r="I761" s="113"/>
      <c r="J761" s="113"/>
      <c r="K761" s="113"/>
      <c r="L761" s="113"/>
      <c r="M761" s="113"/>
      <c r="N761" s="113"/>
      <c r="O761" s="113"/>
      <c r="P761" s="113"/>
      <c r="Q761" s="113"/>
      <c r="R761" s="113"/>
      <c r="S761" s="113"/>
      <c r="T761" s="113"/>
      <c r="U761" s="113"/>
      <c r="V761" s="113"/>
      <c r="W761" s="113"/>
      <c r="X761" s="113"/>
      <c r="Y761" s="113"/>
      <c r="Z761" s="113"/>
      <c r="AA761" s="113"/>
      <c r="AB761" s="113"/>
      <c r="AC761" s="113"/>
      <c r="AD761" s="113"/>
      <c r="AE761" s="113"/>
      <c r="AF761" s="113"/>
      <c r="AG761" s="113"/>
    </row>
    <row r="762" spans="1:33" ht="13.8">
      <c r="A762" s="113"/>
      <c r="B762" s="113"/>
      <c r="C762" s="113"/>
      <c r="D762" s="113"/>
      <c r="E762" s="113"/>
      <c r="F762" s="113"/>
      <c r="G762" s="113"/>
      <c r="H762" s="113"/>
      <c r="I762" s="113"/>
      <c r="J762" s="113"/>
      <c r="K762" s="113"/>
      <c r="L762" s="113"/>
      <c r="M762" s="113"/>
      <c r="N762" s="113"/>
      <c r="O762" s="113"/>
      <c r="P762" s="113"/>
      <c r="Q762" s="113"/>
      <c r="R762" s="113"/>
      <c r="S762" s="113"/>
      <c r="T762" s="113"/>
      <c r="U762" s="113"/>
      <c r="V762" s="113"/>
      <c r="W762" s="113"/>
      <c r="X762" s="113"/>
      <c r="Y762" s="113"/>
      <c r="Z762" s="113"/>
      <c r="AA762" s="113"/>
      <c r="AB762" s="113"/>
      <c r="AC762" s="113"/>
      <c r="AD762" s="113"/>
      <c r="AE762" s="113"/>
      <c r="AF762" s="113"/>
      <c r="AG762" s="113"/>
    </row>
    <row r="763" spans="1:33" ht="13.8">
      <c r="A763" s="113"/>
      <c r="B763" s="113"/>
      <c r="C763" s="113"/>
      <c r="D763" s="113"/>
      <c r="E763" s="113"/>
      <c r="F763" s="113"/>
      <c r="G763" s="113"/>
      <c r="H763" s="113"/>
      <c r="I763" s="113"/>
      <c r="J763" s="113"/>
      <c r="K763" s="113"/>
      <c r="L763" s="113"/>
      <c r="M763" s="113"/>
      <c r="N763" s="113"/>
      <c r="O763" s="113"/>
      <c r="P763" s="113"/>
      <c r="Q763" s="113"/>
      <c r="R763" s="113"/>
      <c r="S763" s="113"/>
      <c r="T763" s="113"/>
      <c r="U763" s="113"/>
      <c r="V763" s="113"/>
      <c r="W763" s="113"/>
      <c r="X763" s="113"/>
      <c r="Y763" s="113"/>
      <c r="Z763" s="113"/>
      <c r="AA763" s="113"/>
      <c r="AB763" s="113"/>
      <c r="AC763" s="113"/>
      <c r="AD763" s="113"/>
      <c r="AE763" s="113"/>
      <c r="AF763" s="113"/>
      <c r="AG763" s="113"/>
    </row>
    <row r="764" spans="1:33" ht="13.8">
      <c r="A764" s="113"/>
      <c r="B764" s="113"/>
      <c r="C764" s="113"/>
      <c r="D764" s="113"/>
      <c r="E764" s="113"/>
      <c r="F764" s="113"/>
      <c r="G764" s="113"/>
      <c r="H764" s="113"/>
      <c r="I764" s="113"/>
      <c r="J764" s="113"/>
      <c r="K764" s="113"/>
      <c r="L764" s="113"/>
      <c r="M764" s="113"/>
      <c r="N764" s="113"/>
      <c r="O764" s="113"/>
      <c r="P764" s="113"/>
      <c r="Q764" s="113"/>
      <c r="R764" s="113"/>
      <c r="S764" s="113"/>
      <c r="T764" s="113"/>
      <c r="U764" s="113"/>
      <c r="V764" s="113"/>
      <c r="W764" s="113"/>
      <c r="X764" s="113"/>
      <c r="Y764" s="113"/>
      <c r="Z764" s="113"/>
      <c r="AA764" s="113"/>
      <c r="AB764" s="113"/>
      <c r="AC764" s="113"/>
      <c r="AD764" s="113"/>
      <c r="AE764" s="113"/>
      <c r="AF764" s="113"/>
      <c r="AG764" s="113"/>
    </row>
    <row r="765" spans="1:33" ht="13.8">
      <c r="A765" s="113"/>
      <c r="B765" s="113"/>
      <c r="C765" s="113"/>
      <c r="D765" s="113"/>
      <c r="E765" s="113"/>
      <c r="F765" s="113"/>
      <c r="G765" s="113"/>
      <c r="H765" s="113"/>
      <c r="I765" s="113"/>
      <c r="J765" s="113"/>
      <c r="K765" s="113"/>
      <c r="L765" s="113"/>
      <c r="M765" s="113"/>
      <c r="N765" s="113"/>
      <c r="O765" s="113"/>
      <c r="P765" s="113"/>
      <c r="Q765" s="113"/>
      <c r="R765" s="113"/>
      <c r="S765" s="113"/>
      <c r="T765" s="113"/>
      <c r="U765" s="113"/>
      <c r="V765" s="113"/>
      <c r="W765" s="113"/>
      <c r="X765" s="113"/>
      <c r="Y765" s="113"/>
      <c r="Z765" s="113"/>
      <c r="AA765" s="113"/>
      <c r="AB765" s="113"/>
      <c r="AC765" s="113"/>
      <c r="AD765" s="113"/>
      <c r="AE765" s="113"/>
      <c r="AF765" s="113"/>
      <c r="AG765" s="113"/>
    </row>
    <row r="766" spans="1:33" ht="13.8">
      <c r="A766" s="113"/>
      <c r="B766" s="113"/>
      <c r="C766" s="113"/>
      <c r="D766" s="113"/>
      <c r="E766" s="113"/>
      <c r="F766" s="113"/>
      <c r="G766" s="113"/>
      <c r="H766" s="113"/>
      <c r="I766" s="113"/>
      <c r="J766" s="113"/>
      <c r="K766" s="113"/>
      <c r="L766" s="113"/>
      <c r="M766" s="113"/>
      <c r="N766" s="113"/>
      <c r="O766" s="113"/>
      <c r="P766" s="113"/>
      <c r="Q766" s="113"/>
      <c r="R766" s="113"/>
      <c r="S766" s="113"/>
      <c r="T766" s="113"/>
      <c r="U766" s="113"/>
      <c r="V766" s="113"/>
      <c r="W766" s="113"/>
      <c r="X766" s="113"/>
      <c r="Y766" s="113"/>
      <c r="Z766" s="113"/>
      <c r="AA766" s="113"/>
      <c r="AB766" s="113"/>
      <c r="AC766" s="113"/>
      <c r="AD766" s="113"/>
      <c r="AE766" s="113"/>
      <c r="AF766" s="113"/>
      <c r="AG766" s="113"/>
    </row>
    <row r="767" spans="1:33" ht="13.8">
      <c r="A767" s="113"/>
      <c r="B767" s="113"/>
      <c r="C767" s="113"/>
      <c r="D767" s="113"/>
      <c r="E767" s="113"/>
      <c r="F767" s="113"/>
      <c r="G767" s="113"/>
      <c r="H767" s="113"/>
      <c r="I767" s="113"/>
      <c r="J767" s="113"/>
      <c r="K767" s="113"/>
      <c r="L767" s="113"/>
      <c r="M767" s="113"/>
      <c r="N767" s="113"/>
      <c r="O767" s="113"/>
      <c r="P767" s="113"/>
      <c r="Q767" s="113"/>
      <c r="R767" s="113"/>
      <c r="S767" s="113"/>
      <c r="T767" s="113"/>
      <c r="U767" s="113"/>
      <c r="V767" s="113"/>
      <c r="W767" s="113"/>
      <c r="X767" s="113"/>
      <c r="Y767" s="113"/>
      <c r="Z767" s="113"/>
      <c r="AA767" s="113"/>
      <c r="AB767" s="113"/>
      <c r="AC767" s="113"/>
      <c r="AD767" s="113"/>
      <c r="AE767" s="113"/>
      <c r="AF767" s="113"/>
      <c r="AG767" s="113"/>
    </row>
    <row r="768" spans="1:33" ht="13.8">
      <c r="A768" s="113"/>
      <c r="B768" s="113"/>
      <c r="C768" s="113"/>
      <c r="D768" s="113"/>
      <c r="E768" s="113"/>
      <c r="F768" s="113"/>
      <c r="G768" s="113"/>
      <c r="H768" s="113"/>
      <c r="I768" s="113"/>
      <c r="J768" s="113"/>
      <c r="K768" s="113"/>
      <c r="L768" s="113"/>
      <c r="M768" s="113"/>
      <c r="N768" s="113"/>
      <c r="O768" s="113"/>
      <c r="P768" s="113"/>
      <c r="Q768" s="113"/>
      <c r="R768" s="113"/>
      <c r="S768" s="113"/>
      <c r="T768" s="113"/>
      <c r="U768" s="113"/>
      <c r="V768" s="113"/>
      <c r="W768" s="113"/>
      <c r="X768" s="113"/>
      <c r="Y768" s="113"/>
      <c r="Z768" s="113"/>
      <c r="AA768" s="113"/>
      <c r="AB768" s="113"/>
      <c r="AC768" s="113"/>
      <c r="AD768" s="113"/>
      <c r="AE768" s="113"/>
      <c r="AF768" s="113"/>
      <c r="AG768" s="113"/>
    </row>
    <row r="769" spans="1:33" ht="13.8">
      <c r="A769" s="113"/>
      <c r="B769" s="113"/>
      <c r="C769" s="113"/>
      <c r="D769" s="113"/>
      <c r="E769" s="113"/>
      <c r="F769" s="113"/>
      <c r="G769" s="113"/>
      <c r="H769" s="113"/>
      <c r="I769" s="113"/>
      <c r="J769" s="113"/>
      <c r="K769" s="113"/>
      <c r="L769" s="113"/>
      <c r="M769" s="113"/>
      <c r="N769" s="113"/>
      <c r="O769" s="113"/>
      <c r="P769" s="113"/>
      <c r="Q769" s="113"/>
      <c r="R769" s="113"/>
      <c r="S769" s="113"/>
      <c r="T769" s="113"/>
      <c r="U769" s="113"/>
      <c r="V769" s="113"/>
      <c r="W769" s="113"/>
      <c r="X769" s="113"/>
      <c r="Y769" s="113"/>
      <c r="Z769" s="113"/>
      <c r="AA769" s="113"/>
      <c r="AB769" s="113"/>
      <c r="AC769" s="113"/>
      <c r="AD769" s="113"/>
      <c r="AE769" s="113"/>
      <c r="AF769" s="113"/>
      <c r="AG769" s="113"/>
    </row>
    <row r="770" spans="1:33" ht="13.8">
      <c r="A770" s="113"/>
      <c r="B770" s="113"/>
      <c r="C770" s="113"/>
      <c r="D770" s="113"/>
      <c r="E770" s="113"/>
      <c r="F770" s="113"/>
      <c r="G770" s="113"/>
      <c r="H770" s="113"/>
      <c r="I770" s="113"/>
      <c r="J770" s="113"/>
      <c r="K770" s="113"/>
      <c r="L770" s="113"/>
      <c r="M770" s="113"/>
      <c r="N770" s="113"/>
      <c r="O770" s="113"/>
      <c r="P770" s="113"/>
      <c r="Q770" s="113"/>
      <c r="R770" s="113"/>
      <c r="S770" s="113"/>
      <c r="T770" s="113"/>
      <c r="U770" s="113"/>
      <c r="V770" s="113"/>
      <c r="W770" s="113"/>
      <c r="X770" s="113"/>
      <c r="Y770" s="113"/>
      <c r="Z770" s="113"/>
      <c r="AA770" s="113"/>
      <c r="AB770" s="113"/>
      <c r="AC770" s="113"/>
      <c r="AD770" s="113"/>
      <c r="AE770" s="113"/>
      <c r="AF770" s="113"/>
      <c r="AG770" s="113"/>
    </row>
    <row r="771" spans="1:33" ht="13.8">
      <c r="A771" s="113"/>
      <c r="B771" s="113"/>
      <c r="C771" s="113"/>
      <c r="D771" s="113"/>
      <c r="E771" s="113"/>
      <c r="F771" s="113"/>
      <c r="G771" s="113"/>
      <c r="H771" s="113"/>
      <c r="I771" s="113"/>
      <c r="J771" s="113"/>
      <c r="K771" s="113"/>
      <c r="L771" s="113"/>
      <c r="M771" s="113"/>
      <c r="N771" s="113"/>
      <c r="O771" s="113"/>
      <c r="P771" s="113"/>
      <c r="Q771" s="113"/>
      <c r="R771" s="113"/>
      <c r="S771" s="113"/>
      <c r="T771" s="113"/>
      <c r="U771" s="113"/>
      <c r="V771" s="113"/>
      <c r="W771" s="113"/>
      <c r="X771" s="113"/>
      <c r="Y771" s="113"/>
      <c r="Z771" s="113"/>
      <c r="AA771" s="113"/>
      <c r="AB771" s="113"/>
      <c r="AC771" s="113"/>
      <c r="AD771" s="113"/>
      <c r="AE771" s="113"/>
      <c r="AF771" s="113"/>
      <c r="AG771" s="113"/>
    </row>
    <row r="772" spans="1:33" ht="13.8">
      <c r="A772" s="113"/>
      <c r="B772" s="113"/>
      <c r="C772" s="113"/>
      <c r="D772" s="113"/>
      <c r="E772" s="113"/>
      <c r="F772" s="113"/>
      <c r="G772" s="113"/>
      <c r="H772" s="113"/>
      <c r="I772" s="113"/>
      <c r="J772" s="113"/>
      <c r="K772" s="113"/>
      <c r="L772" s="113"/>
      <c r="M772" s="113"/>
      <c r="N772" s="113"/>
      <c r="O772" s="113"/>
      <c r="P772" s="113"/>
      <c r="Q772" s="113"/>
      <c r="R772" s="113"/>
      <c r="S772" s="113"/>
      <c r="T772" s="113"/>
      <c r="U772" s="113"/>
      <c r="V772" s="113"/>
      <c r="W772" s="113"/>
      <c r="X772" s="113"/>
      <c r="Y772" s="113"/>
      <c r="Z772" s="113"/>
      <c r="AA772" s="113"/>
      <c r="AB772" s="113"/>
      <c r="AC772" s="113"/>
      <c r="AD772" s="113"/>
      <c r="AE772" s="113"/>
      <c r="AF772" s="113"/>
      <c r="AG772" s="113"/>
    </row>
    <row r="773" spans="1:33" ht="13.8">
      <c r="A773" s="113"/>
      <c r="B773" s="113"/>
      <c r="C773" s="113"/>
      <c r="D773" s="113"/>
      <c r="E773" s="113"/>
      <c r="F773" s="113"/>
      <c r="G773" s="113"/>
      <c r="H773" s="113"/>
      <c r="I773" s="113"/>
      <c r="J773" s="113"/>
      <c r="K773" s="113"/>
      <c r="L773" s="113"/>
      <c r="M773" s="113"/>
      <c r="N773" s="113"/>
      <c r="O773" s="113"/>
      <c r="P773" s="113"/>
      <c r="Q773" s="113"/>
      <c r="R773" s="113"/>
      <c r="S773" s="113"/>
      <c r="T773" s="113"/>
      <c r="U773" s="113"/>
      <c r="V773" s="113"/>
      <c r="W773" s="113"/>
      <c r="X773" s="113"/>
      <c r="Y773" s="113"/>
      <c r="Z773" s="113"/>
      <c r="AA773" s="113"/>
      <c r="AB773" s="113"/>
      <c r="AC773" s="113"/>
      <c r="AD773" s="113"/>
      <c r="AE773" s="113"/>
      <c r="AF773" s="113"/>
      <c r="AG773" s="113"/>
    </row>
    <row r="774" spans="1:33" ht="13.8">
      <c r="A774" s="113"/>
      <c r="B774" s="113"/>
      <c r="C774" s="113"/>
      <c r="D774" s="113"/>
      <c r="E774" s="113"/>
      <c r="F774" s="113"/>
      <c r="G774" s="113"/>
      <c r="H774" s="113"/>
      <c r="I774" s="113"/>
      <c r="J774" s="113"/>
      <c r="K774" s="113"/>
      <c r="L774" s="113"/>
      <c r="M774" s="113"/>
      <c r="N774" s="113"/>
      <c r="O774" s="113"/>
      <c r="P774" s="113"/>
      <c r="Q774" s="113"/>
      <c r="R774" s="113"/>
      <c r="S774" s="113"/>
      <c r="T774" s="113"/>
      <c r="U774" s="113"/>
      <c r="V774" s="113"/>
      <c r="W774" s="113"/>
      <c r="X774" s="113"/>
      <c r="Y774" s="113"/>
      <c r="Z774" s="113"/>
      <c r="AA774" s="113"/>
      <c r="AB774" s="113"/>
      <c r="AC774" s="113"/>
      <c r="AD774" s="113"/>
      <c r="AE774" s="113"/>
      <c r="AF774" s="113"/>
      <c r="AG774" s="113"/>
    </row>
    <row r="775" spans="1:33" ht="13.8">
      <c r="A775" s="113"/>
      <c r="B775" s="113"/>
      <c r="C775" s="113"/>
      <c r="D775" s="113"/>
      <c r="E775" s="113"/>
      <c r="F775" s="113"/>
      <c r="G775" s="113"/>
      <c r="H775" s="113"/>
      <c r="I775" s="113"/>
      <c r="J775" s="113"/>
      <c r="K775" s="113"/>
      <c r="L775" s="113"/>
      <c r="M775" s="113"/>
      <c r="N775" s="113"/>
      <c r="O775" s="113"/>
      <c r="P775" s="113"/>
      <c r="Q775" s="113"/>
      <c r="R775" s="113"/>
      <c r="S775" s="113"/>
      <c r="T775" s="113"/>
      <c r="U775" s="113"/>
      <c r="V775" s="113"/>
      <c r="W775" s="113"/>
      <c r="X775" s="113"/>
      <c r="Y775" s="113"/>
      <c r="Z775" s="113"/>
      <c r="AA775" s="113"/>
      <c r="AB775" s="113"/>
      <c r="AC775" s="113"/>
      <c r="AD775" s="113"/>
      <c r="AE775" s="113"/>
      <c r="AF775" s="113"/>
      <c r="AG775" s="113"/>
    </row>
    <row r="776" spans="1:33" ht="13.8">
      <c r="A776" s="113"/>
      <c r="B776" s="113"/>
      <c r="C776" s="113"/>
      <c r="D776" s="113"/>
      <c r="E776" s="113"/>
      <c r="F776" s="113"/>
      <c r="G776" s="113"/>
      <c r="H776" s="113"/>
      <c r="I776" s="113"/>
      <c r="J776" s="113"/>
      <c r="K776" s="113"/>
      <c r="L776" s="113"/>
      <c r="M776" s="113"/>
      <c r="N776" s="113"/>
      <c r="O776" s="113"/>
      <c r="P776" s="113"/>
      <c r="Q776" s="113"/>
      <c r="R776" s="113"/>
      <c r="S776" s="113"/>
      <c r="T776" s="113"/>
      <c r="U776" s="113"/>
      <c r="V776" s="113"/>
      <c r="W776" s="113"/>
      <c r="X776" s="113"/>
      <c r="Y776" s="113"/>
      <c r="Z776" s="113"/>
      <c r="AA776" s="113"/>
      <c r="AB776" s="113"/>
      <c r="AC776" s="113"/>
      <c r="AD776" s="113"/>
      <c r="AE776" s="113"/>
      <c r="AF776" s="113"/>
      <c r="AG776" s="113"/>
    </row>
    <row r="777" spans="1:33" ht="13.8">
      <c r="A777" s="113"/>
      <c r="B777" s="113"/>
      <c r="C777" s="113"/>
      <c r="D777" s="113"/>
      <c r="E777" s="113"/>
      <c r="F777" s="113"/>
      <c r="G777" s="113"/>
      <c r="H777" s="113"/>
      <c r="I777" s="113"/>
      <c r="J777" s="113"/>
      <c r="K777" s="113"/>
      <c r="L777" s="113"/>
      <c r="M777" s="113"/>
      <c r="N777" s="113"/>
      <c r="O777" s="113"/>
      <c r="P777" s="113"/>
      <c r="Q777" s="113"/>
      <c r="R777" s="113"/>
      <c r="S777" s="113"/>
      <c r="T777" s="113"/>
      <c r="U777" s="113"/>
      <c r="V777" s="113"/>
      <c r="W777" s="113"/>
      <c r="X777" s="113"/>
      <c r="Y777" s="113"/>
      <c r="Z777" s="113"/>
      <c r="AA777" s="113"/>
      <c r="AB777" s="113"/>
      <c r="AC777" s="113"/>
      <c r="AD777" s="113"/>
      <c r="AE777" s="113"/>
      <c r="AF777" s="113"/>
      <c r="AG777" s="113"/>
    </row>
    <row r="778" spans="1:33" ht="13.8">
      <c r="A778" s="113"/>
      <c r="B778" s="113"/>
      <c r="C778" s="113"/>
      <c r="D778" s="113"/>
      <c r="E778" s="113"/>
      <c r="F778" s="113"/>
      <c r="G778" s="113"/>
      <c r="H778" s="113"/>
      <c r="I778" s="113"/>
      <c r="J778" s="113"/>
      <c r="K778" s="113"/>
      <c r="L778" s="113"/>
      <c r="M778" s="113"/>
      <c r="N778" s="113"/>
      <c r="O778" s="113"/>
      <c r="P778" s="113"/>
      <c r="Q778" s="113"/>
      <c r="R778" s="113"/>
      <c r="S778" s="113"/>
      <c r="T778" s="113"/>
      <c r="U778" s="113"/>
      <c r="V778" s="113"/>
      <c r="W778" s="113"/>
      <c r="X778" s="113"/>
      <c r="Y778" s="113"/>
      <c r="Z778" s="113"/>
      <c r="AA778" s="113"/>
      <c r="AB778" s="113"/>
      <c r="AC778" s="113"/>
      <c r="AD778" s="113"/>
      <c r="AE778" s="113"/>
      <c r="AF778" s="113"/>
      <c r="AG778" s="113"/>
    </row>
    <row r="779" spans="1:33" ht="13.8">
      <c r="A779" s="113"/>
      <c r="B779" s="113"/>
      <c r="C779" s="113"/>
      <c r="D779" s="113"/>
      <c r="E779" s="113"/>
      <c r="F779" s="113"/>
      <c r="G779" s="113"/>
      <c r="H779" s="113"/>
      <c r="I779" s="113"/>
      <c r="J779" s="113"/>
      <c r="K779" s="113"/>
      <c r="L779" s="113"/>
      <c r="M779" s="113"/>
      <c r="N779" s="113"/>
      <c r="O779" s="113"/>
      <c r="P779" s="113"/>
      <c r="Q779" s="113"/>
      <c r="R779" s="113"/>
      <c r="S779" s="113"/>
      <c r="T779" s="113"/>
      <c r="U779" s="113"/>
      <c r="V779" s="113"/>
      <c r="W779" s="113"/>
      <c r="X779" s="113"/>
      <c r="Y779" s="113"/>
      <c r="Z779" s="113"/>
      <c r="AA779" s="113"/>
      <c r="AB779" s="113"/>
      <c r="AC779" s="113"/>
      <c r="AD779" s="113"/>
      <c r="AE779" s="113"/>
      <c r="AF779" s="113"/>
      <c r="AG779" s="113"/>
    </row>
    <row r="780" spans="1:33" ht="13.8">
      <c r="A780" s="113"/>
      <c r="B780" s="113"/>
      <c r="C780" s="113"/>
      <c r="D780" s="113"/>
      <c r="E780" s="113"/>
      <c r="F780" s="113"/>
      <c r="G780" s="113"/>
      <c r="H780" s="113"/>
      <c r="I780" s="113"/>
      <c r="J780" s="113"/>
      <c r="K780" s="113"/>
      <c r="L780" s="113"/>
      <c r="M780" s="113"/>
      <c r="N780" s="113"/>
      <c r="O780" s="113"/>
      <c r="P780" s="113"/>
      <c r="Q780" s="113"/>
      <c r="R780" s="113"/>
      <c r="S780" s="113"/>
      <c r="T780" s="113"/>
      <c r="U780" s="113"/>
      <c r="V780" s="113"/>
      <c r="W780" s="113"/>
      <c r="X780" s="113"/>
      <c r="Y780" s="113"/>
      <c r="Z780" s="113"/>
      <c r="AA780" s="113"/>
      <c r="AB780" s="113"/>
      <c r="AC780" s="113"/>
      <c r="AD780" s="113"/>
      <c r="AE780" s="113"/>
      <c r="AF780" s="113"/>
      <c r="AG780" s="113"/>
    </row>
    <row r="781" spans="1:33" ht="13.8">
      <c r="A781" s="113"/>
      <c r="B781" s="113"/>
      <c r="C781" s="113"/>
      <c r="D781" s="113"/>
      <c r="E781" s="113"/>
      <c r="F781" s="113"/>
      <c r="G781" s="113"/>
      <c r="H781" s="113"/>
      <c r="I781" s="113"/>
      <c r="J781" s="113"/>
      <c r="K781" s="113"/>
      <c r="L781" s="113"/>
      <c r="M781" s="113"/>
      <c r="N781" s="113"/>
      <c r="O781" s="113"/>
      <c r="P781" s="113"/>
      <c r="Q781" s="113"/>
      <c r="R781" s="113"/>
      <c r="S781" s="113"/>
      <c r="T781" s="113"/>
      <c r="U781" s="113"/>
      <c r="V781" s="113"/>
      <c r="W781" s="113"/>
      <c r="X781" s="113"/>
      <c r="Y781" s="113"/>
      <c r="Z781" s="113"/>
      <c r="AA781" s="113"/>
      <c r="AB781" s="113"/>
      <c r="AC781" s="113"/>
      <c r="AD781" s="113"/>
      <c r="AE781" s="113"/>
      <c r="AF781" s="113"/>
      <c r="AG781" s="113"/>
    </row>
    <row r="782" spans="1:33" ht="13.8">
      <c r="A782" s="113"/>
      <c r="B782" s="113"/>
      <c r="C782" s="113"/>
      <c r="D782" s="113"/>
      <c r="E782" s="113"/>
      <c r="F782" s="113"/>
      <c r="G782" s="113"/>
      <c r="H782" s="113"/>
      <c r="I782" s="113"/>
      <c r="J782" s="113"/>
      <c r="K782" s="113"/>
      <c r="L782" s="113"/>
      <c r="M782" s="113"/>
      <c r="N782" s="113"/>
      <c r="O782" s="113"/>
      <c r="P782" s="113"/>
      <c r="Q782" s="113"/>
      <c r="R782" s="113"/>
      <c r="S782" s="113"/>
      <c r="T782" s="113"/>
      <c r="U782" s="113"/>
      <c r="V782" s="113"/>
      <c r="W782" s="113"/>
      <c r="X782" s="113"/>
      <c r="Y782" s="113"/>
      <c r="Z782" s="113"/>
      <c r="AA782" s="113"/>
      <c r="AB782" s="113"/>
      <c r="AC782" s="113"/>
      <c r="AD782" s="113"/>
      <c r="AE782" s="113"/>
      <c r="AF782" s="113"/>
      <c r="AG782" s="113"/>
    </row>
    <row r="783" spans="1:33" ht="13.8">
      <c r="A783" s="113"/>
      <c r="B783" s="113"/>
      <c r="C783" s="113"/>
      <c r="D783" s="113"/>
      <c r="E783" s="113"/>
      <c r="F783" s="113"/>
      <c r="G783" s="113"/>
      <c r="H783" s="113"/>
      <c r="I783" s="113"/>
      <c r="J783" s="113"/>
      <c r="K783" s="113"/>
      <c r="L783" s="113"/>
      <c r="M783" s="113"/>
      <c r="N783" s="113"/>
      <c r="O783" s="113"/>
      <c r="P783" s="113"/>
      <c r="Q783" s="113"/>
      <c r="R783" s="113"/>
      <c r="S783" s="113"/>
      <c r="T783" s="113"/>
      <c r="U783" s="113"/>
      <c r="V783" s="113"/>
      <c r="W783" s="113"/>
      <c r="X783" s="113"/>
      <c r="Y783" s="113"/>
      <c r="Z783" s="113"/>
      <c r="AA783" s="113"/>
      <c r="AB783" s="113"/>
      <c r="AC783" s="113"/>
      <c r="AD783" s="113"/>
      <c r="AE783" s="113"/>
      <c r="AF783" s="113"/>
      <c r="AG783" s="113"/>
    </row>
    <row r="784" spans="1:33" ht="13.8">
      <c r="A784" s="113"/>
      <c r="B784" s="113"/>
      <c r="C784" s="113"/>
      <c r="D784" s="113"/>
      <c r="E784" s="113"/>
      <c r="F784" s="113"/>
      <c r="G784" s="113"/>
      <c r="H784" s="113"/>
      <c r="I784" s="113"/>
      <c r="J784" s="113"/>
      <c r="K784" s="113"/>
      <c r="L784" s="113"/>
      <c r="M784" s="113"/>
      <c r="N784" s="113"/>
      <c r="O784" s="113"/>
      <c r="P784" s="113"/>
      <c r="Q784" s="113"/>
      <c r="R784" s="113"/>
      <c r="S784" s="113"/>
      <c r="T784" s="113"/>
      <c r="U784" s="113"/>
      <c r="V784" s="113"/>
      <c r="W784" s="113"/>
      <c r="X784" s="113"/>
      <c r="Y784" s="113"/>
      <c r="Z784" s="113"/>
      <c r="AA784" s="113"/>
      <c r="AB784" s="113"/>
      <c r="AC784" s="113"/>
      <c r="AD784" s="113"/>
      <c r="AE784" s="113"/>
      <c r="AF784" s="113"/>
      <c r="AG784" s="113"/>
    </row>
    <row r="785" spans="1:33" ht="13.8">
      <c r="A785" s="113"/>
      <c r="B785" s="113"/>
      <c r="C785" s="113"/>
      <c r="D785" s="113"/>
      <c r="E785" s="113"/>
      <c r="F785" s="113"/>
      <c r="G785" s="113"/>
      <c r="H785" s="113"/>
      <c r="I785" s="113"/>
      <c r="J785" s="113"/>
      <c r="K785" s="113"/>
      <c r="L785" s="113"/>
      <c r="M785" s="113"/>
      <c r="N785" s="113"/>
      <c r="O785" s="113"/>
      <c r="P785" s="113"/>
      <c r="Q785" s="113"/>
      <c r="R785" s="113"/>
      <c r="S785" s="113"/>
      <c r="T785" s="113"/>
      <c r="U785" s="113"/>
      <c r="V785" s="113"/>
      <c r="W785" s="113"/>
      <c r="X785" s="113"/>
      <c r="Y785" s="113"/>
      <c r="Z785" s="113"/>
      <c r="AA785" s="113"/>
      <c r="AB785" s="113"/>
      <c r="AC785" s="113"/>
      <c r="AD785" s="113"/>
      <c r="AE785" s="113"/>
      <c r="AF785" s="113"/>
      <c r="AG785" s="113"/>
    </row>
    <row r="786" spans="1:33" ht="13.8">
      <c r="A786" s="113"/>
      <c r="B786" s="113"/>
      <c r="C786" s="113"/>
      <c r="D786" s="113"/>
      <c r="E786" s="113"/>
      <c r="F786" s="113"/>
      <c r="G786" s="113"/>
      <c r="H786" s="113"/>
      <c r="I786" s="113"/>
      <c r="J786" s="113"/>
      <c r="K786" s="113"/>
      <c r="L786" s="113"/>
      <c r="M786" s="113"/>
      <c r="N786" s="113"/>
      <c r="O786" s="113"/>
      <c r="P786" s="113"/>
      <c r="Q786" s="113"/>
      <c r="R786" s="113"/>
      <c r="S786" s="113"/>
      <c r="T786" s="113"/>
      <c r="U786" s="113"/>
      <c r="V786" s="113"/>
      <c r="W786" s="113"/>
      <c r="X786" s="113"/>
      <c r="Y786" s="113"/>
      <c r="Z786" s="113"/>
      <c r="AA786" s="113"/>
      <c r="AB786" s="113"/>
      <c r="AC786" s="113"/>
      <c r="AD786" s="113"/>
      <c r="AE786" s="113"/>
      <c r="AF786" s="113"/>
      <c r="AG786" s="113"/>
    </row>
    <row r="787" spans="1:33" ht="13.8">
      <c r="A787" s="113"/>
      <c r="B787" s="113"/>
      <c r="C787" s="113"/>
      <c r="D787" s="113"/>
      <c r="E787" s="113"/>
      <c r="F787" s="113"/>
      <c r="G787" s="113"/>
      <c r="H787" s="113"/>
      <c r="I787" s="113"/>
      <c r="J787" s="113"/>
      <c r="K787" s="113"/>
      <c r="L787" s="113"/>
      <c r="M787" s="113"/>
      <c r="N787" s="113"/>
      <c r="O787" s="113"/>
      <c r="P787" s="113"/>
      <c r="Q787" s="113"/>
      <c r="R787" s="113"/>
      <c r="S787" s="113"/>
      <c r="T787" s="113"/>
      <c r="U787" s="113"/>
      <c r="V787" s="113"/>
      <c r="W787" s="113"/>
      <c r="X787" s="113"/>
      <c r="Y787" s="113"/>
      <c r="Z787" s="113"/>
      <c r="AA787" s="113"/>
      <c r="AB787" s="113"/>
      <c r="AC787" s="113"/>
      <c r="AD787" s="113"/>
      <c r="AE787" s="113"/>
      <c r="AF787" s="113"/>
      <c r="AG787" s="113"/>
    </row>
    <row r="788" spans="1:33" ht="13.8">
      <c r="A788" s="113"/>
      <c r="B788" s="113"/>
      <c r="C788" s="113"/>
      <c r="D788" s="113"/>
      <c r="E788" s="113"/>
      <c r="F788" s="113"/>
      <c r="G788" s="113"/>
      <c r="H788" s="113"/>
      <c r="I788" s="113"/>
      <c r="J788" s="113"/>
      <c r="K788" s="113"/>
      <c r="L788" s="113"/>
      <c r="M788" s="113"/>
      <c r="N788" s="113"/>
      <c r="O788" s="113"/>
      <c r="P788" s="113"/>
      <c r="Q788" s="113"/>
      <c r="R788" s="113"/>
      <c r="S788" s="113"/>
      <c r="T788" s="113"/>
      <c r="U788" s="113"/>
      <c r="V788" s="113"/>
      <c r="W788" s="113"/>
      <c r="X788" s="113"/>
      <c r="Y788" s="113"/>
      <c r="Z788" s="113"/>
      <c r="AA788" s="113"/>
      <c r="AB788" s="113"/>
      <c r="AC788" s="113"/>
      <c r="AD788" s="113"/>
      <c r="AE788" s="113"/>
      <c r="AF788" s="113"/>
      <c r="AG788" s="113"/>
    </row>
    <row r="789" spans="1:33" ht="13.8">
      <c r="A789" s="113"/>
      <c r="B789" s="113"/>
      <c r="C789" s="113"/>
      <c r="D789" s="113"/>
      <c r="E789" s="113"/>
      <c r="F789" s="113"/>
      <c r="G789" s="113"/>
      <c r="H789" s="113"/>
      <c r="I789" s="113"/>
      <c r="J789" s="113"/>
      <c r="K789" s="113"/>
      <c r="L789" s="113"/>
      <c r="M789" s="113"/>
      <c r="N789" s="113"/>
      <c r="O789" s="113"/>
      <c r="P789" s="113"/>
      <c r="Q789" s="113"/>
      <c r="R789" s="113"/>
      <c r="S789" s="113"/>
      <c r="T789" s="113"/>
      <c r="U789" s="113"/>
      <c r="V789" s="113"/>
      <c r="W789" s="113"/>
      <c r="X789" s="113"/>
      <c r="Y789" s="113"/>
      <c r="Z789" s="113"/>
      <c r="AA789" s="113"/>
      <c r="AB789" s="113"/>
      <c r="AC789" s="113"/>
      <c r="AD789" s="113"/>
      <c r="AE789" s="113"/>
      <c r="AF789" s="113"/>
      <c r="AG789" s="113"/>
    </row>
    <row r="790" spans="1:33" ht="13.8">
      <c r="A790" s="113"/>
      <c r="B790" s="113"/>
      <c r="C790" s="113"/>
      <c r="D790" s="113"/>
      <c r="E790" s="113"/>
      <c r="F790" s="113"/>
      <c r="G790" s="113"/>
      <c r="H790" s="113"/>
      <c r="I790" s="113"/>
      <c r="J790" s="113"/>
      <c r="K790" s="113"/>
      <c r="L790" s="113"/>
      <c r="M790" s="113"/>
      <c r="N790" s="113"/>
      <c r="O790" s="113"/>
      <c r="P790" s="113"/>
      <c r="Q790" s="113"/>
      <c r="R790" s="113"/>
      <c r="S790" s="113"/>
      <c r="T790" s="113"/>
      <c r="U790" s="113"/>
      <c r="V790" s="113"/>
      <c r="W790" s="113"/>
      <c r="X790" s="113"/>
      <c r="Y790" s="113"/>
      <c r="Z790" s="113"/>
      <c r="AA790" s="113"/>
      <c r="AB790" s="113"/>
      <c r="AC790" s="113"/>
      <c r="AD790" s="113"/>
      <c r="AE790" s="113"/>
      <c r="AF790" s="113"/>
      <c r="AG790" s="113"/>
    </row>
    <row r="791" spans="1:33" ht="13.8">
      <c r="A791" s="113"/>
      <c r="B791" s="113"/>
      <c r="C791" s="113"/>
      <c r="D791" s="113"/>
      <c r="E791" s="113"/>
      <c r="F791" s="113"/>
      <c r="G791" s="113"/>
      <c r="H791" s="113"/>
      <c r="I791" s="113"/>
      <c r="J791" s="113"/>
      <c r="K791" s="113"/>
      <c r="L791" s="113"/>
      <c r="M791" s="113"/>
      <c r="N791" s="113"/>
      <c r="O791" s="113"/>
      <c r="P791" s="113"/>
      <c r="Q791" s="113"/>
      <c r="R791" s="113"/>
      <c r="S791" s="113"/>
      <c r="T791" s="113"/>
      <c r="U791" s="113"/>
      <c r="V791" s="113"/>
      <c r="W791" s="113"/>
      <c r="X791" s="113"/>
      <c r="Y791" s="113"/>
      <c r="Z791" s="113"/>
      <c r="AA791" s="113"/>
      <c r="AB791" s="113"/>
      <c r="AC791" s="113"/>
      <c r="AD791" s="113"/>
      <c r="AE791" s="113"/>
      <c r="AF791" s="113"/>
      <c r="AG791" s="113"/>
    </row>
    <row r="792" spans="1:33" ht="13.8">
      <c r="A792" s="113"/>
      <c r="B792" s="113"/>
      <c r="C792" s="113"/>
      <c r="D792" s="113"/>
      <c r="E792" s="113"/>
      <c r="F792" s="113"/>
      <c r="G792" s="113"/>
      <c r="H792" s="113"/>
      <c r="I792" s="113"/>
      <c r="J792" s="113"/>
      <c r="K792" s="113"/>
      <c r="L792" s="113"/>
      <c r="M792" s="113"/>
      <c r="N792" s="113"/>
      <c r="O792" s="113"/>
      <c r="P792" s="113"/>
      <c r="Q792" s="113"/>
      <c r="R792" s="113"/>
      <c r="S792" s="113"/>
      <c r="T792" s="113"/>
      <c r="U792" s="113"/>
      <c r="V792" s="113"/>
      <c r="W792" s="113"/>
      <c r="X792" s="113"/>
      <c r="Y792" s="113"/>
      <c r="Z792" s="113"/>
      <c r="AA792" s="113"/>
      <c r="AB792" s="113"/>
      <c r="AC792" s="113"/>
      <c r="AD792" s="113"/>
      <c r="AE792" s="113"/>
      <c r="AF792" s="113"/>
      <c r="AG792" s="113"/>
    </row>
    <row r="793" spans="1:33" ht="13.8">
      <c r="A793" s="113"/>
      <c r="B793" s="113"/>
      <c r="C793" s="113"/>
      <c r="D793" s="113"/>
      <c r="E793" s="113"/>
      <c r="F793" s="113"/>
      <c r="G793" s="113"/>
      <c r="H793" s="113"/>
      <c r="I793" s="113"/>
      <c r="J793" s="113"/>
      <c r="K793" s="113"/>
      <c r="L793" s="113"/>
      <c r="M793" s="113"/>
      <c r="N793" s="113"/>
      <c r="O793" s="113"/>
      <c r="P793" s="113"/>
      <c r="Q793" s="113"/>
      <c r="R793" s="113"/>
      <c r="S793" s="113"/>
      <c r="T793" s="113"/>
      <c r="U793" s="113"/>
      <c r="V793" s="113"/>
      <c r="W793" s="113"/>
      <c r="X793" s="113"/>
      <c r="Y793" s="113"/>
      <c r="Z793" s="113"/>
      <c r="AA793" s="113"/>
      <c r="AB793" s="113"/>
      <c r="AC793" s="113"/>
      <c r="AD793" s="113"/>
      <c r="AE793" s="113"/>
      <c r="AF793" s="113"/>
      <c r="AG793" s="113"/>
    </row>
    <row r="794" spans="1:33" ht="13.8">
      <c r="A794" s="113"/>
      <c r="B794" s="113"/>
      <c r="C794" s="113"/>
      <c r="D794" s="113"/>
      <c r="E794" s="113"/>
      <c r="F794" s="113"/>
      <c r="G794" s="113"/>
      <c r="H794" s="113"/>
      <c r="I794" s="113"/>
      <c r="J794" s="113"/>
      <c r="K794" s="113"/>
      <c r="L794" s="113"/>
      <c r="M794" s="113"/>
      <c r="N794" s="113"/>
      <c r="O794" s="113"/>
      <c r="P794" s="113"/>
      <c r="Q794" s="113"/>
      <c r="R794" s="113"/>
      <c r="S794" s="113"/>
      <c r="T794" s="113"/>
      <c r="U794" s="113"/>
      <c r="V794" s="113"/>
      <c r="W794" s="113"/>
      <c r="X794" s="113"/>
      <c r="Y794" s="113"/>
      <c r="Z794" s="113"/>
      <c r="AA794" s="113"/>
      <c r="AB794" s="113"/>
      <c r="AC794" s="113"/>
      <c r="AD794" s="113"/>
      <c r="AE794" s="113"/>
      <c r="AF794" s="113"/>
      <c r="AG794" s="113"/>
    </row>
    <row r="795" spans="1:33" ht="13.8">
      <c r="A795" s="113"/>
      <c r="B795" s="113"/>
      <c r="C795" s="113"/>
      <c r="D795" s="113"/>
      <c r="E795" s="113"/>
      <c r="F795" s="113"/>
      <c r="G795" s="113"/>
      <c r="H795" s="113"/>
      <c r="I795" s="113"/>
      <c r="J795" s="113"/>
      <c r="K795" s="113"/>
      <c r="L795" s="113"/>
      <c r="M795" s="113"/>
      <c r="N795" s="113"/>
      <c r="O795" s="113"/>
      <c r="P795" s="113"/>
      <c r="Q795" s="113"/>
      <c r="R795" s="113"/>
      <c r="S795" s="113"/>
      <c r="T795" s="113"/>
      <c r="U795" s="113"/>
      <c r="V795" s="113"/>
      <c r="W795" s="113"/>
      <c r="X795" s="113"/>
      <c r="Y795" s="113"/>
      <c r="Z795" s="113"/>
      <c r="AA795" s="113"/>
      <c r="AB795" s="113"/>
      <c r="AC795" s="113"/>
      <c r="AD795" s="113"/>
      <c r="AE795" s="113"/>
      <c r="AF795" s="113"/>
      <c r="AG795" s="113"/>
    </row>
    <row r="796" spans="1:33" ht="13.8">
      <c r="A796" s="113"/>
      <c r="B796" s="113"/>
      <c r="C796" s="113"/>
      <c r="D796" s="113"/>
      <c r="E796" s="113"/>
      <c r="F796" s="113"/>
      <c r="G796" s="113"/>
      <c r="H796" s="113"/>
      <c r="I796" s="113"/>
      <c r="J796" s="113"/>
      <c r="K796" s="113"/>
      <c r="L796" s="113"/>
      <c r="M796" s="113"/>
      <c r="N796" s="113"/>
      <c r="O796" s="113"/>
      <c r="P796" s="113"/>
      <c r="Q796" s="113"/>
      <c r="R796" s="113"/>
      <c r="S796" s="113"/>
      <c r="T796" s="113"/>
      <c r="U796" s="113"/>
      <c r="V796" s="113"/>
      <c r="W796" s="113"/>
      <c r="X796" s="113"/>
      <c r="Y796" s="113"/>
      <c r="Z796" s="113"/>
      <c r="AA796" s="113"/>
      <c r="AB796" s="113"/>
      <c r="AC796" s="113"/>
      <c r="AD796" s="113"/>
      <c r="AE796" s="113"/>
      <c r="AF796" s="113"/>
      <c r="AG796" s="113"/>
    </row>
    <row r="797" spans="1:33" ht="13.8">
      <c r="A797" s="113"/>
      <c r="B797" s="113"/>
      <c r="C797" s="113"/>
      <c r="D797" s="113"/>
      <c r="E797" s="113"/>
      <c r="F797" s="113"/>
      <c r="G797" s="113"/>
      <c r="H797" s="113"/>
      <c r="I797" s="113"/>
      <c r="J797" s="113"/>
      <c r="K797" s="113"/>
      <c r="L797" s="113"/>
      <c r="M797" s="113"/>
      <c r="N797" s="113"/>
      <c r="O797" s="113"/>
      <c r="P797" s="113"/>
      <c r="Q797" s="113"/>
      <c r="R797" s="113"/>
      <c r="S797" s="113"/>
      <c r="T797" s="113"/>
      <c r="U797" s="113"/>
      <c r="V797" s="113"/>
      <c r="W797" s="113"/>
      <c r="X797" s="113"/>
      <c r="Y797" s="113"/>
      <c r="Z797" s="113"/>
      <c r="AA797" s="113"/>
      <c r="AB797" s="113"/>
      <c r="AC797" s="113"/>
      <c r="AD797" s="113"/>
      <c r="AE797" s="113"/>
      <c r="AF797" s="113"/>
      <c r="AG797" s="113"/>
    </row>
    <row r="798" spans="1:33" ht="13.8">
      <c r="A798" s="113"/>
      <c r="B798" s="113"/>
      <c r="C798" s="113"/>
      <c r="D798" s="113"/>
      <c r="E798" s="113"/>
      <c r="F798" s="113"/>
      <c r="G798" s="113"/>
      <c r="H798" s="113"/>
      <c r="I798" s="113"/>
      <c r="J798" s="113"/>
      <c r="K798" s="113"/>
      <c r="L798" s="113"/>
      <c r="M798" s="113"/>
      <c r="N798" s="113"/>
      <c r="O798" s="113"/>
      <c r="P798" s="113"/>
      <c r="Q798" s="113"/>
      <c r="R798" s="113"/>
      <c r="S798" s="113"/>
      <c r="T798" s="113"/>
      <c r="U798" s="113"/>
      <c r="V798" s="113"/>
      <c r="W798" s="113"/>
      <c r="X798" s="113"/>
      <c r="Y798" s="113"/>
      <c r="Z798" s="113"/>
      <c r="AA798" s="113"/>
      <c r="AB798" s="113"/>
      <c r="AC798" s="113"/>
      <c r="AD798" s="113"/>
      <c r="AE798" s="113"/>
      <c r="AF798" s="113"/>
      <c r="AG798" s="113"/>
    </row>
    <row r="799" spans="1:33" ht="13.8">
      <c r="A799" s="113"/>
      <c r="B799" s="113"/>
      <c r="C799" s="113"/>
      <c r="D799" s="113"/>
      <c r="E799" s="113"/>
      <c r="F799" s="113"/>
      <c r="G799" s="113"/>
      <c r="H799" s="113"/>
      <c r="I799" s="113"/>
      <c r="J799" s="113"/>
      <c r="K799" s="113"/>
      <c r="L799" s="113"/>
      <c r="M799" s="113"/>
      <c r="N799" s="113"/>
      <c r="O799" s="113"/>
      <c r="P799" s="113"/>
      <c r="Q799" s="113"/>
      <c r="R799" s="113"/>
      <c r="S799" s="113"/>
      <c r="T799" s="113"/>
      <c r="U799" s="113"/>
      <c r="V799" s="113"/>
      <c r="W799" s="113"/>
      <c r="X799" s="113"/>
      <c r="Y799" s="113"/>
      <c r="Z799" s="113"/>
      <c r="AA799" s="113"/>
      <c r="AB799" s="113"/>
      <c r="AC799" s="113"/>
      <c r="AD799" s="113"/>
      <c r="AE799" s="113"/>
      <c r="AF799" s="113"/>
      <c r="AG799" s="113"/>
    </row>
    <row r="800" spans="1:33" ht="13.8">
      <c r="A800" s="113"/>
      <c r="B800" s="113"/>
      <c r="C800" s="113"/>
      <c r="D800" s="113"/>
      <c r="E800" s="113"/>
      <c r="F800" s="113"/>
      <c r="G800" s="113"/>
      <c r="H800" s="113"/>
      <c r="I800" s="113"/>
      <c r="J800" s="113"/>
      <c r="K800" s="113"/>
      <c r="L800" s="113"/>
      <c r="M800" s="113"/>
      <c r="N800" s="113"/>
      <c r="O800" s="113"/>
      <c r="P800" s="113"/>
      <c r="Q800" s="113"/>
      <c r="R800" s="113"/>
      <c r="S800" s="113"/>
      <c r="T800" s="113"/>
      <c r="U800" s="113"/>
      <c r="V800" s="113"/>
      <c r="W800" s="113"/>
      <c r="X800" s="113"/>
      <c r="Y800" s="113"/>
      <c r="Z800" s="113"/>
      <c r="AA800" s="113"/>
      <c r="AB800" s="113"/>
      <c r="AC800" s="113"/>
      <c r="AD800" s="113"/>
      <c r="AE800" s="113"/>
      <c r="AF800" s="113"/>
      <c r="AG800" s="113"/>
    </row>
    <row r="801" spans="1:33" ht="13.8">
      <c r="A801" s="113"/>
      <c r="B801" s="113"/>
      <c r="C801" s="113"/>
      <c r="D801" s="113"/>
      <c r="E801" s="113"/>
      <c r="F801" s="113"/>
      <c r="G801" s="113"/>
      <c r="H801" s="113"/>
      <c r="I801" s="113"/>
      <c r="J801" s="113"/>
      <c r="K801" s="113"/>
      <c r="L801" s="113"/>
      <c r="M801" s="113"/>
      <c r="N801" s="113"/>
      <c r="O801" s="113"/>
      <c r="P801" s="113"/>
      <c r="Q801" s="113"/>
      <c r="R801" s="113"/>
      <c r="S801" s="113"/>
      <c r="T801" s="113"/>
      <c r="U801" s="113"/>
      <c r="V801" s="113"/>
      <c r="W801" s="113"/>
      <c r="X801" s="113"/>
      <c r="Y801" s="113"/>
      <c r="Z801" s="113"/>
      <c r="AA801" s="113"/>
      <c r="AB801" s="113"/>
      <c r="AC801" s="113"/>
      <c r="AD801" s="113"/>
      <c r="AE801" s="113"/>
      <c r="AF801" s="113"/>
      <c r="AG801" s="113"/>
    </row>
    <row r="802" spans="1:33" ht="13.8">
      <c r="A802" s="113"/>
      <c r="B802" s="113"/>
      <c r="C802" s="113"/>
      <c r="D802" s="113"/>
      <c r="E802" s="113"/>
      <c r="F802" s="113"/>
      <c r="G802" s="113"/>
      <c r="H802" s="113"/>
      <c r="I802" s="113"/>
      <c r="J802" s="113"/>
      <c r="K802" s="113"/>
      <c r="L802" s="113"/>
      <c r="M802" s="113"/>
      <c r="N802" s="113"/>
      <c r="O802" s="113"/>
      <c r="P802" s="113"/>
      <c r="Q802" s="113"/>
      <c r="R802" s="113"/>
      <c r="S802" s="113"/>
      <c r="T802" s="113"/>
      <c r="U802" s="113"/>
      <c r="V802" s="113"/>
      <c r="W802" s="113"/>
      <c r="X802" s="113"/>
      <c r="Y802" s="113"/>
      <c r="Z802" s="113"/>
      <c r="AA802" s="113"/>
      <c r="AB802" s="113"/>
      <c r="AC802" s="113"/>
      <c r="AD802" s="113"/>
      <c r="AE802" s="113"/>
      <c r="AF802" s="113"/>
      <c r="AG802" s="113"/>
    </row>
    <row r="803" spans="1:33" ht="13.8">
      <c r="A803" s="113"/>
      <c r="B803" s="113"/>
      <c r="C803" s="113"/>
      <c r="D803" s="113"/>
      <c r="E803" s="113"/>
      <c r="F803" s="113"/>
      <c r="G803" s="113"/>
      <c r="H803" s="113"/>
      <c r="I803" s="113"/>
      <c r="J803" s="113"/>
      <c r="K803" s="113"/>
      <c r="L803" s="113"/>
      <c r="M803" s="113"/>
      <c r="N803" s="113"/>
      <c r="O803" s="113"/>
      <c r="P803" s="113"/>
      <c r="Q803" s="113"/>
      <c r="R803" s="113"/>
      <c r="S803" s="113"/>
      <c r="T803" s="113"/>
      <c r="U803" s="113"/>
      <c r="V803" s="113"/>
      <c r="W803" s="113"/>
      <c r="X803" s="113"/>
      <c r="Y803" s="113"/>
      <c r="Z803" s="113"/>
      <c r="AA803" s="113"/>
      <c r="AB803" s="113"/>
      <c r="AC803" s="113"/>
      <c r="AD803" s="113"/>
      <c r="AE803" s="113"/>
      <c r="AF803" s="113"/>
      <c r="AG803" s="113"/>
    </row>
    <row r="804" spans="1:33" ht="13.8">
      <c r="A804" s="113"/>
      <c r="B804" s="113"/>
      <c r="C804" s="113"/>
      <c r="D804" s="113"/>
      <c r="E804" s="113"/>
      <c r="F804" s="113"/>
      <c r="G804" s="113"/>
      <c r="H804" s="113"/>
      <c r="I804" s="113"/>
      <c r="J804" s="113"/>
      <c r="K804" s="113"/>
      <c r="L804" s="113"/>
      <c r="M804" s="113"/>
      <c r="N804" s="113"/>
      <c r="O804" s="113"/>
      <c r="P804" s="113"/>
      <c r="Q804" s="113"/>
      <c r="R804" s="113"/>
      <c r="S804" s="113"/>
      <c r="T804" s="113"/>
      <c r="U804" s="113"/>
      <c r="V804" s="113"/>
      <c r="W804" s="113"/>
      <c r="X804" s="113"/>
      <c r="Y804" s="113"/>
      <c r="Z804" s="113"/>
      <c r="AA804" s="113"/>
      <c r="AB804" s="113"/>
      <c r="AC804" s="113"/>
      <c r="AD804" s="113"/>
      <c r="AE804" s="113"/>
      <c r="AF804" s="113"/>
      <c r="AG804" s="113"/>
    </row>
    <row r="805" spans="1:33" ht="13.8">
      <c r="A805" s="113"/>
      <c r="B805" s="113"/>
      <c r="C805" s="113"/>
      <c r="D805" s="113"/>
      <c r="E805" s="113"/>
      <c r="F805" s="113"/>
      <c r="G805" s="113"/>
      <c r="H805" s="113"/>
      <c r="I805" s="113"/>
      <c r="J805" s="113"/>
      <c r="K805" s="113"/>
      <c r="L805" s="113"/>
      <c r="M805" s="113"/>
      <c r="N805" s="113"/>
      <c r="O805" s="113"/>
      <c r="P805" s="113"/>
      <c r="Q805" s="113"/>
      <c r="R805" s="113"/>
      <c r="S805" s="113"/>
      <c r="T805" s="113"/>
      <c r="U805" s="113"/>
      <c r="V805" s="113"/>
      <c r="W805" s="113"/>
      <c r="X805" s="113"/>
      <c r="Y805" s="113"/>
      <c r="Z805" s="113"/>
      <c r="AA805" s="113"/>
      <c r="AB805" s="113"/>
      <c r="AC805" s="113"/>
      <c r="AD805" s="113"/>
      <c r="AE805" s="113"/>
      <c r="AF805" s="113"/>
      <c r="AG805" s="113"/>
    </row>
    <row r="806" spans="1:33" ht="13.8">
      <c r="A806" s="113"/>
      <c r="B806" s="113"/>
      <c r="C806" s="113"/>
      <c r="D806" s="113"/>
      <c r="E806" s="113"/>
      <c r="F806" s="113"/>
      <c r="G806" s="113"/>
      <c r="H806" s="113"/>
      <c r="I806" s="113"/>
      <c r="J806" s="113"/>
      <c r="K806" s="113"/>
      <c r="L806" s="113"/>
      <c r="M806" s="113"/>
      <c r="N806" s="113"/>
      <c r="O806" s="113"/>
      <c r="P806" s="113"/>
      <c r="Q806" s="113"/>
      <c r="R806" s="113"/>
      <c r="S806" s="113"/>
      <c r="T806" s="113"/>
      <c r="U806" s="113"/>
      <c r="V806" s="113"/>
      <c r="W806" s="113"/>
      <c r="X806" s="113"/>
      <c r="Y806" s="113"/>
      <c r="Z806" s="113"/>
      <c r="AA806" s="113"/>
      <c r="AB806" s="113"/>
      <c r="AC806" s="113"/>
      <c r="AD806" s="113"/>
      <c r="AE806" s="113"/>
      <c r="AF806" s="113"/>
      <c r="AG806" s="113"/>
    </row>
    <row r="807" spans="1:33" ht="13.8">
      <c r="A807" s="113"/>
      <c r="B807" s="113"/>
      <c r="C807" s="113"/>
      <c r="D807" s="113"/>
      <c r="E807" s="113"/>
      <c r="F807" s="113"/>
      <c r="G807" s="113"/>
      <c r="H807" s="113"/>
      <c r="I807" s="113"/>
      <c r="J807" s="113"/>
      <c r="K807" s="113"/>
      <c r="L807" s="113"/>
      <c r="M807" s="113"/>
      <c r="N807" s="113"/>
      <c r="O807" s="113"/>
      <c r="P807" s="113"/>
      <c r="Q807" s="113"/>
      <c r="R807" s="113"/>
      <c r="S807" s="113"/>
      <c r="T807" s="113"/>
      <c r="U807" s="113"/>
      <c r="V807" s="113"/>
      <c r="W807" s="113"/>
      <c r="X807" s="113"/>
      <c r="Y807" s="113"/>
      <c r="Z807" s="113"/>
      <c r="AA807" s="113"/>
      <c r="AB807" s="113"/>
      <c r="AC807" s="113"/>
      <c r="AD807" s="113"/>
      <c r="AE807" s="113"/>
      <c r="AF807" s="113"/>
      <c r="AG807" s="113"/>
    </row>
    <row r="808" spans="1:33" ht="13.8">
      <c r="A808" s="113"/>
      <c r="B808" s="113"/>
      <c r="C808" s="113"/>
      <c r="D808" s="113"/>
      <c r="E808" s="113"/>
      <c r="F808" s="113"/>
      <c r="G808" s="113"/>
      <c r="H808" s="113"/>
      <c r="I808" s="113"/>
      <c r="J808" s="113"/>
      <c r="K808" s="113"/>
      <c r="L808" s="113"/>
      <c r="M808" s="113"/>
      <c r="N808" s="113"/>
      <c r="O808" s="113"/>
      <c r="P808" s="113"/>
      <c r="Q808" s="113"/>
      <c r="R808" s="113"/>
      <c r="S808" s="113"/>
      <c r="T808" s="113"/>
      <c r="U808" s="113"/>
      <c r="V808" s="113"/>
      <c r="W808" s="113"/>
      <c r="X808" s="113"/>
      <c r="Y808" s="113"/>
      <c r="Z808" s="113"/>
      <c r="AA808" s="113"/>
      <c r="AB808" s="113"/>
      <c r="AC808" s="113"/>
      <c r="AD808" s="113"/>
      <c r="AE808" s="113"/>
      <c r="AF808" s="113"/>
      <c r="AG808" s="113"/>
    </row>
    <row r="809" spans="1:33" ht="13.8">
      <c r="A809" s="113"/>
      <c r="B809" s="113"/>
      <c r="C809" s="113"/>
      <c r="D809" s="113"/>
      <c r="E809" s="113"/>
      <c r="F809" s="113"/>
      <c r="G809" s="113"/>
      <c r="H809" s="113"/>
      <c r="I809" s="113"/>
      <c r="J809" s="113"/>
      <c r="K809" s="113"/>
      <c r="L809" s="113"/>
      <c r="M809" s="113"/>
      <c r="N809" s="113"/>
      <c r="O809" s="113"/>
      <c r="P809" s="113"/>
      <c r="Q809" s="113"/>
      <c r="R809" s="113"/>
      <c r="S809" s="113"/>
      <c r="T809" s="113"/>
      <c r="U809" s="113"/>
      <c r="V809" s="113"/>
      <c r="W809" s="113"/>
      <c r="X809" s="113"/>
      <c r="Y809" s="113"/>
      <c r="Z809" s="113"/>
      <c r="AA809" s="113"/>
      <c r="AB809" s="113"/>
      <c r="AC809" s="113"/>
      <c r="AD809" s="113"/>
      <c r="AE809" s="113"/>
      <c r="AF809" s="113"/>
      <c r="AG809" s="113"/>
    </row>
    <row r="810" spans="1:33" ht="13.8">
      <c r="A810" s="113"/>
      <c r="B810" s="113"/>
      <c r="C810" s="113"/>
      <c r="D810" s="113"/>
      <c r="E810" s="113"/>
      <c r="F810" s="113"/>
      <c r="G810" s="113"/>
      <c r="H810" s="113"/>
      <c r="I810" s="113"/>
      <c r="J810" s="113"/>
      <c r="K810" s="113"/>
      <c r="L810" s="113"/>
      <c r="M810" s="113"/>
      <c r="N810" s="113"/>
      <c r="O810" s="113"/>
      <c r="P810" s="113"/>
      <c r="Q810" s="113"/>
      <c r="R810" s="113"/>
      <c r="S810" s="113"/>
      <c r="T810" s="113"/>
      <c r="U810" s="113"/>
      <c r="V810" s="113"/>
      <c r="W810" s="113"/>
      <c r="X810" s="113"/>
      <c r="Y810" s="113"/>
      <c r="Z810" s="113"/>
      <c r="AA810" s="113"/>
      <c r="AB810" s="113"/>
      <c r="AC810" s="113"/>
      <c r="AD810" s="113"/>
      <c r="AE810" s="113"/>
      <c r="AF810" s="113"/>
      <c r="AG810" s="113"/>
    </row>
    <row r="811" spans="1:33" ht="13.8">
      <c r="A811" s="113"/>
      <c r="B811" s="113"/>
      <c r="C811" s="113"/>
      <c r="D811" s="113"/>
      <c r="E811" s="113"/>
      <c r="F811" s="113"/>
      <c r="G811" s="113"/>
      <c r="H811" s="113"/>
      <c r="I811" s="113"/>
      <c r="J811" s="113"/>
      <c r="K811" s="113"/>
      <c r="L811" s="113"/>
      <c r="M811" s="113"/>
      <c r="N811" s="113"/>
      <c r="O811" s="113"/>
      <c r="P811" s="113"/>
      <c r="Q811" s="113"/>
      <c r="R811" s="113"/>
      <c r="S811" s="113"/>
      <c r="T811" s="113"/>
      <c r="U811" s="113"/>
      <c r="V811" s="113"/>
      <c r="W811" s="113"/>
      <c r="X811" s="113"/>
      <c r="Y811" s="113"/>
      <c r="Z811" s="113"/>
      <c r="AA811" s="113"/>
      <c r="AB811" s="113"/>
      <c r="AC811" s="113"/>
      <c r="AD811" s="113"/>
      <c r="AE811" s="113"/>
      <c r="AF811" s="113"/>
      <c r="AG811" s="113"/>
    </row>
    <row r="812" spans="1:33" ht="13.8">
      <c r="A812" s="113"/>
      <c r="B812" s="113"/>
      <c r="C812" s="113"/>
      <c r="D812" s="113"/>
      <c r="E812" s="113"/>
      <c r="F812" s="113"/>
      <c r="G812" s="113"/>
      <c r="H812" s="113"/>
      <c r="I812" s="113"/>
      <c r="J812" s="113"/>
      <c r="K812" s="113"/>
      <c r="L812" s="113"/>
      <c r="M812" s="113"/>
      <c r="N812" s="113"/>
      <c r="O812" s="113"/>
      <c r="P812" s="113"/>
      <c r="Q812" s="113"/>
      <c r="R812" s="113"/>
      <c r="S812" s="113"/>
      <c r="T812" s="113"/>
      <c r="U812" s="113"/>
      <c r="V812" s="113"/>
      <c r="W812" s="113"/>
      <c r="X812" s="113"/>
      <c r="Y812" s="113"/>
      <c r="Z812" s="113"/>
      <c r="AA812" s="113"/>
      <c r="AB812" s="113"/>
      <c r="AC812" s="113"/>
      <c r="AD812" s="113"/>
      <c r="AE812" s="113"/>
      <c r="AF812" s="113"/>
      <c r="AG812" s="113"/>
    </row>
    <row r="813" spans="1:33" ht="13.8">
      <c r="A813" s="113"/>
      <c r="B813" s="113"/>
      <c r="C813" s="113"/>
      <c r="D813" s="113"/>
      <c r="E813" s="113"/>
      <c r="F813" s="113"/>
      <c r="G813" s="113"/>
      <c r="H813" s="113"/>
      <c r="I813" s="113"/>
      <c r="J813" s="113"/>
      <c r="K813" s="113"/>
      <c r="L813" s="113"/>
      <c r="M813" s="113"/>
      <c r="N813" s="113"/>
      <c r="O813" s="113"/>
      <c r="P813" s="113"/>
      <c r="Q813" s="113"/>
      <c r="R813" s="113"/>
      <c r="S813" s="113"/>
      <c r="T813" s="113"/>
      <c r="U813" s="113"/>
      <c r="V813" s="113"/>
      <c r="W813" s="113"/>
      <c r="X813" s="113"/>
      <c r="Y813" s="113"/>
      <c r="Z813" s="113"/>
      <c r="AA813" s="113"/>
      <c r="AB813" s="113"/>
      <c r="AC813" s="113"/>
      <c r="AD813" s="113"/>
      <c r="AE813" s="113"/>
      <c r="AF813" s="113"/>
      <c r="AG813" s="113"/>
    </row>
    <row r="814" spans="1:33" ht="13.8">
      <c r="A814" s="113"/>
      <c r="B814" s="113"/>
      <c r="C814" s="113"/>
      <c r="D814" s="113"/>
      <c r="E814" s="113"/>
      <c r="F814" s="113"/>
      <c r="G814" s="113"/>
      <c r="H814" s="113"/>
      <c r="I814" s="113"/>
      <c r="J814" s="113"/>
      <c r="K814" s="113"/>
      <c r="L814" s="113"/>
      <c r="M814" s="113"/>
      <c r="N814" s="113"/>
      <c r="O814" s="113"/>
      <c r="P814" s="113"/>
      <c r="Q814" s="113"/>
      <c r="R814" s="113"/>
      <c r="S814" s="113"/>
      <c r="T814" s="113"/>
      <c r="U814" s="113"/>
      <c r="V814" s="113"/>
      <c r="W814" s="113"/>
      <c r="X814" s="113"/>
      <c r="Y814" s="113"/>
      <c r="Z814" s="113"/>
      <c r="AA814" s="113"/>
      <c r="AB814" s="113"/>
      <c r="AC814" s="113"/>
      <c r="AD814" s="113"/>
      <c r="AE814" s="113"/>
      <c r="AF814" s="113"/>
      <c r="AG814" s="113"/>
    </row>
    <row r="815" spans="1:33" ht="13.8">
      <c r="A815" s="113"/>
      <c r="B815" s="113"/>
      <c r="C815" s="113"/>
      <c r="D815" s="113"/>
      <c r="E815" s="113"/>
      <c r="F815" s="113"/>
      <c r="G815" s="113"/>
      <c r="H815" s="113"/>
      <c r="I815" s="113"/>
      <c r="J815" s="113"/>
      <c r="K815" s="113"/>
      <c r="L815" s="113"/>
      <c r="M815" s="113"/>
      <c r="N815" s="113"/>
      <c r="O815" s="113"/>
      <c r="P815" s="113"/>
      <c r="Q815" s="113"/>
      <c r="R815" s="113"/>
      <c r="S815" s="113"/>
      <c r="T815" s="113"/>
      <c r="U815" s="113"/>
      <c r="V815" s="113"/>
      <c r="W815" s="113"/>
      <c r="X815" s="113"/>
      <c r="Y815" s="113"/>
      <c r="Z815" s="113"/>
      <c r="AA815" s="113"/>
      <c r="AB815" s="113"/>
      <c r="AC815" s="113"/>
      <c r="AD815" s="113"/>
      <c r="AE815" s="113"/>
      <c r="AF815" s="113"/>
      <c r="AG815" s="113"/>
    </row>
    <row r="816" spans="1:33" ht="13.8">
      <c r="A816" s="113"/>
      <c r="B816" s="113"/>
      <c r="C816" s="113"/>
      <c r="D816" s="113"/>
      <c r="E816" s="113"/>
      <c r="F816" s="113"/>
      <c r="G816" s="113"/>
      <c r="H816" s="113"/>
      <c r="I816" s="113"/>
      <c r="J816" s="113"/>
      <c r="K816" s="113"/>
      <c r="L816" s="113"/>
      <c r="M816" s="113"/>
      <c r="N816" s="113"/>
      <c r="O816" s="113"/>
      <c r="P816" s="113"/>
      <c r="Q816" s="113"/>
      <c r="R816" s="113"/>
      <c r="S816" s="113"/>
      <c r="T816" s="113"/>
      <c r="U816" s="113"/>
      <c r="V816" s="113"/>
      <c r="W816" s="113"/>
      <c r="X816" s="113"/>
      <c r="Y816" s="113"/>
      <c r="Z816" s="113"/>
      <c r="AA816" s="113"/>
      <c r="AB816" s="113"/>
      <c r="AC816" s="113"/>
      <c r="AD816" s="113"/>
      <c r="AE816" s="113"/>
      <c r="AF816" s="113"/>
      <c r="AG816" s="113"/>
    </row>
    <row r="817" spans="1:33" ht="13.8">
      <c r="A817" s="113"/>
      <c r="B817" s="113"/>
      <c r="C817" s="113"/>
      <c r="D817" s="113"/>
      <c r="E817" s="113"/>
      <c r="F817" s="113"/>
      <c r="G817" s="113"/>
      <c r="H817" s="113"/>
      <c r="I817" s="113"/>
      <c r="J817" s="113"/>
      <c r="K817" s="113"/>
      <c r="L817" s="113"/>
      <c r="M817" s="113"/>
      <c r="N817" s="113"/>
      <c r="O817" s="113"/>
      <c r="P817" s="113"/>
      <c r="Q817" s="113"/>
      <c r="R817" s="113"/>
      <c r="S817" s="113"/>
      <c r="T817" s="113"/>
      <c r="U817" s="113"/>
      <c r="V817" s="113"/>
      <c r="W817" s="113"/>
      <c r="X817" s="113"/>
      <c r="Y817" s="113"/>
      <c r="Z817" s="113"/>
      <c r="AA817" s="113"/>
      <c r="AB817" s="113"/>
      <c r="AC817" s="113"/>
      <c r="AD817" s="113"/>
      <c r="AE817" s="113"/>
      <c r="AF817" s="113"/>
      <c r="AG817" s="113"/>
    </row>
    <row r="818" spans="1:33" ht="13.8">
      <c r="A818" s="113"/>
      <c r="B818" s="113"/>
      <c r="C818" s="113"/>
      <c r="D818" s="113"/>
      <c r="E818" s="113"/>
      <c r="F818" s="113"/>
      <c r="G818" s="113"/>
      <c r="H818" s="113"/>
      <c r="I818" s="113"/>
      <c r="J818" s="113"/>
      <c r="K818" s="113"/>
      <c r="L818" s="113"/>
      <c r="M818" s="113"/>
      <c r="N818" s="113"/>
      <c r="O818" s="113"/>
      <c r="P818" s="113"/>
      <c r="Q818" s="113"/>
      <c r="R818" s="113"/>
      <c r="S818" s="113"/>
      <c r="T818" s="113"/>
      <c r="U818" s="113"/>
      <c r="V818" s="113"/>
      <c r="W818" s="113"/>
      <c r="X818" s="113"/>
      <c r="Y818" s="113"/>
      <c r="Z818" s="113"/>
      <c r="AA818" s="113"/>
      <c r="AB818" s="113"/>
      <c r="AC818" s="113"/>
      <c r="AD818" s="113"/>
      <c r="AE818" s="113"/>
      <c r="AF818" s="113"/>
      <c r="AG818" s="113"/>
    </row>
    <row r="819" spans="1:33" ht="13.8">
      <c r="A819" s="113"/>
      <c r="B819" s="113"/>
      <c r="C819" s="113"/>
      <c r="D819" s="113"/>
      <c r="E819" s="113"/>
      <c r="F819" s="113"/>
      <c r="G819" s="113"/>
      <c r="H819" s="113"/>
      <c r="I819" s="113"/>
      <c r="J819" s="113"/>
      <c r="K819" s="113"/>
      <c r="L819" s="113"/>
      <c r="M819" s="113"/>
      <c r="N819" s="113"/>
      <c r="O819" s="113"/>
      <c r="P819" s="113"/>
      <c r="Q819" s="113"/>
      <c r="R819" s="113"/>
      <c r="S819" s="113"/>
      <c r="T819" s="113"/>
      <c r="U819" s="113"/>
      <c r="V819" s="113"/>
      <c r="W819" s="113"/>
      <c r="X819" s="113"/>
      <c r="Y819" s="113"/>
      <c r="Z819" s="113"/>
      <c r="AA819" s="113"/>
      <c r="AB819" s="113"/>
      <c r="AC819" s="113"/>
      <c r="AD819" s="113"/>
      <c r="AE819" s="113"/>
      <c r="AF819" s="113"/>
      <c r="AG819" s="113"/>
    </row>
    <row r="820" spans="1:33" ht="13.8">
      <c r="A820" s="113"/>
      <c r="B820" s="113"/>
      <c r="C820" s="113"/>
      <c r="D820" s="113"/>
      <c r="E820" s="113"/>
      <c r="F820" s="113"/>
      <c r="G820" s="113"/>
      <c r="H820" s="113"/>
      <c r="I820" s="113"/>
      <c r="J820" s="113"/>
      <c r="K820" s="113"/>
      <c r="L820" s="113"/>
      <c r="M820" s="113"/>
      <c r="N820" s="113"/>
      <c r="O820" s="113"/>
      <c r="P820" s="113"/>
      <c r="Q820" s="113"/>
      <c r="R820" s="113"/>
      <c r="S820" s="113"/>
      <c r="T820" s="113"/>
      <c r="U820" s="113"/>
      <c r="V820" s="113"/>
      <c r="W820" s="113"/>
      <c r="X820" s="113"/>
      <c r="Y820" s="113"/>
      <c r="Z820" s="113"/>
      <c r="AA820" s="113"/>
      <c r="AB820" s="113"/>
      <c r="AC820" s="113"/>
      <c r="AD820" s="113"/>
      <c r="AE820" s="113"/>
      <c r="AF820" s="113"/>
      <c r="AG820" s="113"/>
    </row>
    <row r="821" spans="1:33" ht="13.8">
      <c r="A821" s="113"/>
      <c r="B821" s="113"/>
      <c r="C821" s="113"/>
      <c r="D821" s="113"/>
      <c r="E821" s="113"/>
      <c r="F821" s="113"/>
      <c r="G821" s="113"/>
      <c r="H821" s="113"/>
      <c r="I821" s="113"/>
      <c r="J821" s="113"/>
      <c r="K821" s="113"/>
      <c r="L821" s="113"/>
      <c r="M821" s="113"/>
      <c r="N821" s="113"/>
      <c r="O821" s="113"/>
      <c r="P821" s="113"/>
      <c r="Q821" s="113"/>
      <c r="R821" s="113"/>
      <c r="S821" s="113"/>
      <c r="T821" s="113"/>
      <c r="U821" s="113"/>
      <c r="V821" s="113"/>
      <c r="W821" s="113"/>
      <c r="X821" s="113"/>
      <c r="Y821" s="113"/>
      <c r="Z821" s="113"/>
      <c r="AA821" s="113"/>
      <c r="AB821" s="113"/>
      <c r="AC821" s="113"/>
      <c r="AD821" s="113"/>
      <c r="AE821" s="113"/>
      <c r="AF821" s="113"/>
      <c r="AG821" s="113"/>
    </row>
    <row r="822" spans="1:33" ht="13.8">
      <c r="A822" s="113"/>
      <c r="B822" s="113"/>
      <c r="C822" s="113"/>
      <c r="D822" s="113"/>
      <c r="E822" s="113"/>
      <c r="F822" s="113"/>
      <c r="G822" s="113"/>
      <c r="H822" s="113"/>
      <c r="I822" s="113"/>
      <c r="J822" s="113"/>
      <c r="K822" s="113"/>
      <c r="L822" s="113"/>
      <c r="M822" s="113"/>
      <c r="N822" s="113"/>
      <c r="O822" s="113"/>
      <c r="P822" s="113"/>
      <c r="Q822" s="113"/>
      <c r="R822" s="113"/>
      <c r="S822" s="113"/>
      <c r="T822" s="113"/>
      <c r="U822" s="113"/>
      <c r="V822" s="113"/>
      <c r="W822" s="113"/>
      <c r="X822" s="113"/>
      <c r="Y822" s="113"/>
      <c r="Z822" s="113"/>
      <c r="AA822" s="113"/>
      <c r="AB822" s="113"/>
      <c r="AC822" s="113"/>
      <c r="AD822" s="113"/>
      <c r="AE822" s="113"/>
      <c r="AF822" s="113"/>
      <c r="AG822" s="113"/>
    </row>
    <row r="823" spans="1:33" ht="13.8">
      <c r="A823" s="113"/>
      <c r="B823" s="113"/>
      <c r="C823" s="113"/>
      <c r="D823" s="113"/>
      <c r="E823" s="113"/>
      <c r="F823" s="113"/>
      <c r="G823" s="113"/>
      <c r="H823" s="113"/>
      <c r="I823" s="113"/>
      <c r="J823" s="113"/>
      <c r="K823" s="113"/>
      <c r="L823" s="113"/>
      <c r="M823" s="113"/>
      <c r="N823" s="113"/>
      <c r="O823" s="113"/>
      <c r="P823" s="113"/>
      <c r="Q823" s="113"/>
      <c r="R823" s="113"/>
      <c r="S823" s="113"/>
      <c r="T823" s="113"/>
      <c r="U823" s="113"/>
      <c r="V823" s="113"/>
      <c r="W823" s="113"/>
      <c r="X823" s="113"/>
      <c r="Y823" s="113"/>
      <c r="Z823" s="113"/>
      <c r="AA823" s="113"/>
      <c r="AB823" s="113"/>
      <c r="AC823" s="113"/>
      <c r="AD823" s="113"/>
      <c r="AE823" s="113"/>
      <c r="AF823" s="113"/>
      <c r="AG823" s="113"/>
    </row>
    <row r="824" spans="1:33" ht="13.8">
      <c r="A824" s="113"/>
      <c r="B824" s="113"/>
      <c r="C824" s="113"/>
      <c r="D824" s="113"/>
      <c r="E824" s="113"/>
      <c r="F824" s="113"/>
      <c r="G824" s="113"/>
      <c r="H824" s="113"/>
      <c r="I824" s="113"/>
      <c r="J824" s="113"/>
      <c r="K824" s="113"/>
      <c r="L824" s="113"/>
      <c r="M824" s="113"/>
      <c r="N824" s="113"/>
      <c r="O824" s="113"/>
      <c r="P824" s="113"/>
      <c r="Q824" s="113"/>
      <c r="R824" s="113"/>
      <c r="S824" s="113"/>
      <c r="T824" s="113"/>
      <c r="U824" s="113"/>
      <c r="V824" s="113"/>
      <c r="W824" s="113"/>
      <c r="X824" s="113"/>
      <c r="Y824" s="113"/>
      <c r="Z824" s="113"/>
      <c r="AA824" s="113"/>
      <c r="AB824" s="113"/>
      <c r="AC824" s="113"/>
      <c r="AD824" s="113"/>
      <c r="AE824" s="113"/>
      <c r="AF824" s="113"/>
      <c r="AG824" s="113"/>
    </row>
    <row r="825" spans="1:33" ht="13.8">
      <c r="A825" s="113"/>
      <c r="B825" s="113"/>
      <c r="C825" s="113"/>
      <c r="D825" s="113"/>
      <c r="E825" s="113"/>
      <c r="F825" s="113"/>
      <c r="G825" s="113"/>
      <c r="H825" s="113"/>
      <c r="I825" s="113"/>
      <c r="J825" s="113"/>
      <c r="K825" s="113"/>
      <c r="L825" s="113"/>
      <c r="M825" s="113"/>
      <c r="N825" s="113"/>
      <c r="O825" s="113"/>
      <c r="P825" s="113"/>
      <c r="Q825" s="113"/>
      <c r="R825" s="113"/>
      <c r="S825" s="113"/>
      <c r="T825" s="113"/>
      <c r="U825" s="113"/>
      <c r="V825" s="113"/>
      <c r="W825" s="113"/>
      <c r="X825" s="113"/>
      <c r="Y825" s="113"/>
      <c r="Z825" s="113"/>
      <c r="AA825" s="113"/>
      <c r="AB825" s="113"/>
      <c r="AC825" s="113"/>
      <c r="AD825" s="113"/>
      <c r="AE825" s="113"/>
      <c r="AF825" s="113"/>
      <c r="AG825" s="113"/>
    </row>
    <row r="826" spans="1:33" ht="13.8">
      <c r="A826" s="113"/>
      <c r="B826" s="113"/>
      <c r="C826" s="113"/>
      <c r="D826" s="113"/>
      <c r="E826" s="113"/>
      <c r="F826" s="113"/>
      <c r="G826" s="113"/>
      <c r="H826" s="113"/>
      <c r="I826" s="113"/>
      <c r="J826" s="113"/>
      <c r="K826" s="113"/>
      <c r="L826" s="113"/>
      <c r="M826" s="113"/>
      <c r="N826" s="113"/>
      <c r="O826" s="113"/>
      <c r="P826" s="113"/>
      <c r="Q826" s="113"/>
      <c r="R826" s="113"/>
      <c r="S826" s="113"/>
      <c r="T826" s="113"/>
      <c r="U826" s="113"/>
      <c r="V826" s="113"/>
      <c r="W826" s="113"/>
      <c r="X826" s="113"/>
      <c r="Y826" s="113"/>
      <c r="Z826" s="113"/>
      <c r="AA826" s="113"/>
      <c r="AB826" s="113"/>
      <c r="AC826" s="113"/>
      <c r="AD826" s="113"/>
      <c r="AE826" s="113"/>
      <c r="AF826" s="113"/>
      <c r="AG826" s="113"/>
    </row>
    <row r="827" spans="1:33" ht="13.8">
      <c r="A827" s="113"/>
      <c r="B827" s="113"/>
      <c r="C827" s="113"/>
      <c r="D827" s="113"/>
      <c r="E827" s="113"/>
      <c r="F827" s="113"/>
      <c r="G827" s="113"/>
      <c r="H827" s="113"/>
      <c r="I827" s="113"/>
      <c r="J827" s="113"/>
      <c r="K827" s="113"/>
      <c r="L827" s="113"/>
      <c r="M827" s="113"/>
      <c r="N827" s="113"/>
      <c r="O827" s="113"/>
      <c r="P827" s="113"/>
      <c r="Q827" s="113"/>
      <c r="R827" s="113"/>
      <c r="S827" s="113"/>
      <c r="T827" s="113"/>
      <c r="U827" s="113"/>
      <c r="V827" s="113"/>
      <c r="W827" s="113"/>
      <c r="X827" s="113"/>
      <c r="Y827" s="113"/>
      <c r="Z827" s="113"/>
      <c r="AA827" s="113"/>
      <c r="AB827" s="113"/>
      <c r="AC827" s="113"/>
      <c r="AD827" s="113"/>
      <c r="AE827" s="113"/>
      <c r="AF827" s="113"/>
      <c r="AG827" s="113"/>
    </row>
    <row r="828" spans="1:33" ht="13.8">
      <c r="A828" s="113"/>
      <c r="B828" s="113"/>
      <c r="C828" s="113"/>
      <c r="D828" s="113"/>
      <c r="E828" s="113"/>
      <c r="F828" s="113"/>
      <c r="G828" s="113"/>
      <c r="H828" s="113"/>
      <c r="I828" s="113"/>
      <c r="J828" s="113"/>
      <c r="K828" s="113"/>
      <c r="L828" s="113"/>
      <c r="M828" s="113"/>
      <c r="N828" s="113"/>
      <c r="O828" s="113"/>
      <c r="P828" s="113"/>
      <c r="Q828" s="113"/>
      <c r="R828" s="113"/>
      <c r="S828" s="113"/>
      <c r="T828" s="113"/>
      <c r="U828" s="113"/>
      <c r="V828" s="113"/>
      <c r="W828" s="113"/>
      <c r="X828" s="113"/>
      <c r="Y828" s="113"/>
      <c r="Z828" s="113"/>
      <c r="AA828" s="113"/>
      <c r="AB828" s="113"/>
      <c r="AC828" s="113"/>
      <c r="AD828" s="113"/>
      <c r="AE828" s="113"/>
      <c r="AF828" s="113"/>
      <c r="AG828" s="113"/>
    </row>
    <row r="829" spans="1:33" ht="13.8">
      <c r="A829" s="113"/>
      <c r="B829" s="113"/>
      <c r="C829" s="113"/>
      <c r="D829" s="113"/>
      <c r="E829" s="113"/>
      <c r="F829" s="113"/>
      <c r="G829" s="113"/>
      <c r="H829" s="113"/>
      <c r="I829" s="113"/>
      <c r="J829" s="113"/>
      <c r="K829" s="113"/>
      <c r="L829" s="113"/>
      <c r="M829" s="113"/>
      <c r="N829" s="113"/>
      <c r="O829" s="113"/>
      <c r="P829" s="113"/>
      <c r="Q829" s="113"/>
      <c r="R829" s="113"/>
      <c r="S829" s="113"/>
      <c r="T829" s="113"/>
      <c r="U829" s="113"/>
      <c r="V829" s="113"/>
      <c r="W829" s="113"/>
      <c r="X829" s="113"/>
      <c r="Y829" s="113"/>
      <c r="Z829" s="113"/>
      <c r="AA829" s="113"/>
      <c r="AB829" s="113"/>
      <c r="AC829" s="113"/>
      <c r="AD829" s="113"/>
      <c r="AE829" s="113"/>
      <c r="AF829" s="113"/>
      <c r="AG829" s="113"/>
    </row>
    <row r="830" spans="1:33" ht="13.8">
      <c r="A830" s="113"/>
      <c r="B830" s="113"/>
      <c r="C830" s="113"/>
      <c r="D830" s="113"/>
      <c r="E830" s="113"/>
      <c r="F830" s="113"/>
      <c r="G830" s="113"/>
      <c r="H830" s="113"/>
      <c r="I830" s="113"/>
      <c r="J830" s="113"/>
      <c r="K830" s="113"/>
      <c r="L830" s="113"/>
      <c r="M830" s="113"/>
      <c r="N830" s="113"/>
      <c r="O830" s="113"/>
      <c r="P830" s="113"/>
      <c r="Q830" s="113"/>
      <c r="R830" s="113"/>
      <c r="S830" s="113"/>
      <c r="T830" s="113"/>
      <c r="U830" s="113"/>
      <c r="V830" s="113"/>
      <c r="W830" s="113"/>
      <c r="X830" s="113"/>
      <c r="Y830" s="113"/>
      <c r="Z830" s="113"/>
      <c r="AA830" s="113"/>
      <c r="AB830" s="113"/>
      <c r="AC830" s="113"/>
      <c r="AD830" s="113"/>
      <c r="AE830" s="113"/>
      <c r="AF830" s="113"/>
      <c r="AG830" s="113"/>
    </row>
    <row r="831" spans="1:33" ht="13.8">
      <c r="A831" s="113"/>
      <c r="B831" s="113"/>
      <c r="C831" s="113"/>
      <c r="D831" s="113"/>
      <c r="E831" s="113"/>
      <c r="F831" s="113"/>
      <c r="G831" s="113"/>
      <c r="H831" s="113"/>
      <c r="I831" s="113"/>
      <c r="J831" s="113"/>
      <c r="K831" s="113"/>
      <c r="L831" s="113"/>
      <c r="M831" s="113"/>
      <c r="N831" s="113"/>
      <c r="O831" s="113"/>
      <c r="P831" s="113"/>
      <c r="Q831" s="113"/>
      <c r="R831" s="113"/>
      <c r="S831" s="113"/>
      <c r="T831" s="113"/>
      <c r="U831" s="113"/>
      <c r="V831" s="113"/>
      <c r="W831" s="113"/>
      <c r="X831" s="113"/>
      <c r="Y831" s="113"/>
      <c r="Z831" s="113"/>
      <c r="AA831" s="113"/>
      <c r="AB831" s="113"/>
      <c r="AC831" s="113"/>
      <c r="AD831" s="113"/>
      <c r="AE831" s="113"/>
      <c r="AF831" s="113"/>
      <c r="AG831" s="113"/>
    </row>
    <row r="832" spans="1:33" ht="13.8">
      <c r="A832" s="113"/>
      <c r="B832" s="113"/>
      <c r="C832" s="113"/>
      <c r="D832" s="113"/>
      <c r="E832" s="113"/>
      <c r="F832" s="113"/>
      <c r="G832" s="113"/>
      <c r="H832" s="113"/>
      <c r="I832" s="113"/>
      <c r="J832" s="113"/>
      <c r="K832" s="113"/>
      <c r="L832" s="113"/>
      <c r="M832" s="113"/>
      <c r="N832" s="113"/>
      <c r="O832" s="113"/>
      <c r="P832" s="113"/>
      <c r="Q832" s="113"/>
      <c r="R832" s="113"/>
      <c r="S832" s="113"/>
      <c r="T832" s="113"/>
      <c r="U832" s="113"/>
      <c r="V832" s="113"/>
      <c r="W832" s="113"/>
      <c r="X832" s="113"/>
      <c r="Y832" s="113"/>
      <c r="Z832" s="113"/>
      <c r="AA832" s="113"/>
      <c r="AB832" s="113"/>
      <c r="AC832" s="113"/>
      <c r="AD832" s="113"/>
      <c r="AE832" s="113"/>
      <c r="AF832" s="113"/>
      <c r="AG832" s="113"/>
    </row>
    <row r="833" spans="1:33" ht="13.8">
      <c r="A833" s="113"/>
      <c r="B833" s="113"/>
      <c r="C833" s="113"/>
      <c r="D833" s="113"/>
      <c r="E833" s="113"/>
      <c r="F833" s="113"/>
      <c r="G833" s="113"/>
      <c r="H833" s="113"/>
      <c r="I833" s="113"/>
      <c r="J833" s="113"/>
      <c r="K833" s="113"/>
      <c r="L833" s="113"/>
      <c r="M833" s="113"/>
      <c r="N833" s="113"/>
      <c r="O833" s="113"/>
      <c r="P833" s="113"/>
      <c r="Q833" s="113"/>
      <c r="R833" s="113"/>
      <c r="S833" s="113"/>
      <c r="T833" s="113"/>
      <c r="U833" s="113"/>
      <c r="V833" s="113"/>
      <c r="W833" s="113"/>
      <c r="X833" s="113"/>
      <c r="Y833" s="113"/>
      <c r="Z833" s="113"/>
      <c r="AA833" s="113"/>
      <c r="AB833" s="113"/>
      <c r="AC833" s="113"/>
      <c r="AD833" s="113"/>
      <c r="AE833" s="113"/>
      <c r="AF833" s="113"/>
      <c r="AG833" s="113"/>
    </row>
    <row r="834" spans="1:33" ht="13.8">
      <c r="A834" s="113"/>
      <c r="B834" s="113"/>
      <c r="C834" s="113"/>
      <c r="D834" s="113"/>
      <c r="E834" s="113"/>
      <c r="F834" s="113"/>
      <c r="G834" s="113"/>
      <c r="H834" s="113"/>
      <c r="I834" s="113"/>
      <c r="J834" s="113"/>
      <c r="K834" s="113"/>
      <c r="L834" s="113"/>
      <c r="M834" s="113"/>
      <c r="N834" s="113"/>
      <c r="O834" s="113"/>
      <c r="P834" s="113"/>
      <c r="Q834" s="113"/>
      <c r="R834" s="113"/>
      <c r="S834" s="113"/>
      <c r="T834" s="113"/>
      <c r="U834" s="113"/>
      <c r="V834" s="113"/>
      <c r="W834" s="113"/>
      <c r="X834" s="113"/>
      <c r="Y834" s="113"/>
      <c r="Z834" s="113"/>
      <c r="AA834" s="113"/>
      <c r="AB834" s="113"/>
      <c r="AC834" s="113"/>
      <c r="AD834" s="113"/>
      <c r="AE834" s="113"/>
      <c r="AF834" s="113"/>
      <c r="AG834" s="113"/>
    </row>
    <row r="835" spans="1:33" ht="13.8">
      <c r="A835" s="113"/>
      <c r="B835" s="113"/>
      <c r="C835" s="113"/>
      <c r="D835" s="113"/>
      <c r="E835" s="113"/>
      <c r="F835" s="113"/>
      <c r="G835" s="113"/>
      <c r="H835" s="113"/>
      <c r="I835" s="113"/>
      <c r="J835" s="113"/>
      <c r="K835" s="113"/>
      <c r="L835" s="113"/>
      <c r="M835" s="113"/>
      <c r="N835" s="113"/>
      <c r="O835" s="113"/>
      <c r="P835" s="113"/>
      <c r="Q835" s="113"/>
      <c r="R835" s="113"/>
      <c r="S835" s="113"/>
      <c r="T835" s="113"/>
      <c r="U835" s="113"/>
      <c r="V835" s="113"/>
      <c r="W835" s="113"/>
      <c r="X835" s="113"/>
      <c r="Y835" s="113"/>
      <c r="Z835" s="113"/>
      <c r="AA835" s="113"/>
      <c r="AB835" s="113"/>
      <c r="AC835" s="113"/>
      <c r="AD835" s="113"/>
      <c r="AE835" s="113"/>
      <c r="AF835" s="113"/>
      <c r="AG835" s="113"/>
    </row>
    <row r="836" spans="1:33" ht="13.8">
      <c r="A836" s="113"/>
      <c r="B836" s="113"/>
      <c r="C836" s="113"/>
      <c r="D836" s="113"/>
      <c r="E836" s="113"/>
      <c r="F836" s="113"/>
      <c r="G836" s="113"/>
      <c r="H836" s="113"/>
      <c r="I836" s="113"/>
      <c r="J836" s="113"/>
      <c r="K836" s="113"/>
      <c r="L836" s="113"/>
      <c r="M836" s="113"/>
      <c r="N836" s="113"/>
      <c r="O836" s="113"/>
      <c r="P836" s="113"/>
      <c r="Q836" s="113"/>
      <c r="R836" s="113"/>
      <c r="S836" s="113"/>
      <c r="T836" s="113"/>
      <c r="U836" s="113"/>
      <c r="V836" s="113"/>
      <c r="W836" s="113"/>
      <c r="X836" s="113"/>
      <c r="Y836" s="113"/>
      <c r="Z836" s="113"/>
      <c r="AA836" s="113"/>
      <c r="AB836" s="113"/>
      <c r="AC836" s="113"/>
      <c r="AD836" s="113"/>
      <c r="AE836" s="113"/>
      <c r="AF836" s="113"/>
      <c r="AG836" s="113"/>
    </row>
    <row r="837" spans="1:33" ht="13.8">
      <c r="A837" s="113"/>
      <c r="B837" s="113"/>
      <c r="C837" s="113"/>
      <c r="D837" s="113"/>
      <c r="E837" s="113"/>
      <c r="F837" s="113"/>
      <c r="G837" s="113"/>
      <c r="H837" s="113"/>
      <c r="I837" s="113"/>
      <c r="J837" s="113"/>
      <c r="K837" s="113"/>
      <c r="L837" s="113"/>
      <c r="M837" s="113"/>
      <c r="N837" s="113"/>
      <c r="O837" s="113"/>
      <c r="P837" s="113"/>
      <c r="Q837" s="113"/>
      <c r="R837" s="113"/>
      <c r="S837" s="113"/>
      <c r="T837" s="113"/>
      <c r="U837" s="113"/>
      <c r="V837" s="113"/>
      <c r="W837" s="113"/>
      <c r="X837" s="113"/>
      <c r="Y837" s="113"/>
      <c r="Z837" s="113"/>
      <c r="AA837" s="113"/>
      <c r="AB837" s="113"/>
      <c r="AC837" s="113"/>
      <c r="AD837" s="113"/>
      <c r="AE837" s="113"/>
      <c r="AF837" s="113"/>
      <c r="AG837" s="113"/>
    </row>
    <row r="838" spans="1:33" ht="13.8">
      <c r="A838" s="113"/>
      <c r="B838" s="113"/>
      <c r="C838" s="113"/>
      <c r="D838" s="113"/>
      <c r="E838" s="113"/>
      <c r="F838" s="113"/>
      <c r="G838" s="113"/>
      <c r="H838" s="113"/>
      <c r="I838" s="113"/>
      <c r="J838" s="113"/>
      <c r="K838" s="113"/>
      <c r="L838" s="113"/>
      <c r="M838" s="113"/>
      <c r="N838" s="113"/>
      <c r="O838" s="113"/>
      <c r="P838" s="113"/>
      <c r="Q838" s="113"/>
      <c r="R838" s="113"/>
      <c r="S838" s="113"/>
      <c r="T838" s="113"/>
      <c r="U838" s="113"/>
      <c r="V838" s="113"/>
      <c r="W838" s="113"/>
      <c r="X838" s="113"/>
      <c r="Y838" s="113"/>
      <c r="Z838" s="113"/>
      <c r="AA838" s="113"/>
      <c r="AB838" s="113"/>
      <c r="AC838" s="113"/>
      <c r="AD838" s="113"/>
      <c r="AE838" s="113"/>
      <c r="AF838" s="113"/>
      <c r="AG838" s="113"/>
    </row>
    <row r="839" spans="1:33" ht="13.8">
      <c r="A839" s="113"/>
      <c r="B839" s="113"/>
      <c r="C839" s="113"/>
      <c r="D839" s="113"/>
      <c r="E839" s="113"/>
      <c r="F839" s="113"/>
      <c r="G839" s="113"/>
      <c r="H839" s="113"/>
      <c r="I839" s="113"/>
      <c r="J839" s="113"/>
      <c r="K839" s="113"/>
      <c r="L839" s="113"/>
      <c r="M839" s="113"/>
      <c r="N839" s="113"/>
      <c r="O839" s="113"/>
      <c r="P839" s="113"/>
      <c r="Q839" s="113"/>
      <c r="R839" s="113"/>
      <c r="S839" s="113"/>
      <c r="T839" s="113"/>
      <c r="U839" s="113"/>
      <c r="V839" s="113"/>
      <c r="W839" s="113"/>
      <c r="X839" s="113"/>
      <c r="Y839" s="113"/>
      <c r="Z839" s="113"/>
      <c r="AA839" s="113"/>
      <c r="AB839" s="113"/>
      <c r="AC839" s="113"/>
      <c r="AD839" s="113"/>
      <c r="AE839" s="113"/>
      <c r="AF839" s="113"/>
      <c r="AG839" s="113"/>
    </row>
    <row r="840" spans="1:33" ht="13.8">
      <c r="A840" s="113"/>
      <c r="B840" s="113"/>
      <c r="C840" s="113"/>
      <c r="D840" s="113"/>
      <c r="E840" s="113"/>
      <c r="F840" s="113"/>
      <c r="G840" s="113"/>
      <c r="H840" s="113"/>
      <c r="I840" s="113"/>
      <c r="J840" s="113"/>
      <c r="K840" s="113"/>
      <c r="L840" s="113"/>
      <c r="M840" s="113"/>
      <c r="N840" s="113"/>
      <c r="O840" s="113"/>
      <c r="P840" s="113"/>
      <c r="Q840" s="113"/>
      <c r="R840" s="113"/>
      <c r="S840" s="113"/>
      <c r="T840" s="113"/>
      <c r="U840" s="113"/>
      <c r="V840" s="113"/>
      <c r="W840" s="113"/>
      <c r="X840" s="113"/>
      <c r="Y840" s="113"/>
      <c r="Z840" s="113"/>
      <c r="AA840" s="113"/>
      <c r="AB840" s="113"/>
      <c r="AC840" s="113"/>
      <c r="AD840" s="113"/>
      <c r="AE840" s="113"/>
      <c r="AF840" s="113"/>
      <c r="AG840" s="113"/>
    </row>
    <row r="841" spans="1:33" ht="13.8">
      <c r="A841" s="113"/>
      <c r="B841" s="113"/>
      <c r="C841" s="113"/>
      <c r="D841" s="113"/>
      <c r="E841" s="113"/>
      <c r="F841" s="113"/>
      <c r="G841" s="113"/>
      <c r="H841" s="113"/>
      <c r="I841" s="113"/>
      <c r="J841" s="113"/>
      <c r="K841" s="113"/>
      <c r="L841" s="113"/>
      <c r="M841" s="113"/>
      <c r="N841" s="113"/>
      <c r="O841" s="113"/>
      <c r="P841" s="113"/>
      <c r="Q841" s="113"/>
      <c r="R841" s="113"/>
      <c r="S841" s="113"/>
      <c r="T841" s="113"/>
      <c r="U841" s="113"/>
      <c r="V841" s="113"/>
      <c r="W841" s="113"/>
      <c r="X841" s="113"/>
      <c r="Y841" s="113"/>
      <c r="Z841" s="113"/>
      <c r="AA841" s="113"/>
      <c r="AB841" s="113"/>
      <c r="AC841" s="113"/>
      <c r="AD841" s="113"/>
      <c r="AE841" s="113"/>
      <c r="AF841" s="113"/>
      <c r="AG841" s="113"/>
    </row>
    <row r="842" spans="1:33" ht="13.8">
      <c r="A842" s="113"/>
      <c r="B842" s="113"/>
      <c r="C842" s="113"/>
      <c r="D842" s="113"/>
      <c r="E842" s="113"/>
      <c r="F842" s="113"/>
      <c r="G842" s="113"/>
      <c r="H842" s="113"/>
      <c r="I842" s="113"/>
      <c r="J842" s="113"/>
      <c r="K842" s="113"/>
      <c r="L842" s="113"/>
      <c r="M842" s="113"/>
      <c r="N842" s="113"/>
      <c r="O842" s="113"/>
      <c r="P842" s="113"/>
      <c r="Q842" s="113"/>
      <c r="R842" s="113"/>
      <c r="S842" s="113"/>
      <c r="T842" s="113"/>
      <c r="U842" s="113"/>
      <c r="V842" s="113"/>
      <c r="W842" s="113"/>
      <c r="X842" s="113"/>
      <c r="Y842" s="113"/>
      <c r="Z842" s="113"/>
      <c r="AA842" s="113"/>
      <c r="AB842" s="113"/>
      <c r="AC842" s="113"/>
      <c r="AD842" s="113"/>
      <c r="AE842" s="113"/>
      <c r="AF842" s="113"/>
      <c r="AG842" s="113"/>
    </row>
    <row r="843" spans="1:33" ht="13.8">
      <c r="A843" s="113"/>
      <c r="B843" s="113"/>
      <c r="C843" s="113"/>
      <c r="D843" s="113"/>
      <c r="E843" s="113"/>
      <c r="F843" s="113"/>
      <c r="G843" s="113"/>
      <c r="H843" s="113"/>
      <c r="I843" s="113"/>
      <c r="J843" s="113"/>
      <c r="K843" s="113"/>
      <c r="L843" s="113"/>
      <c r="M843" s="113"/>
      <c r="N843" s="113"/>
      <c r="O843" s="113"/>
      <c r="P843" s="113"/>
      <c r="Q843" s="113"/>
      <c r="R843" s="113"/>
      <c r="S843" s="113"/>
      <c r="T843" s="113"/>
      <c r="U843" s="113"/>
      <c r="V843" s="113"/>
      <c r="W843" s="113"/>
      <c r="X843" s="113"/>
      <c r="Y843" s="113"/>
      <c r="Z843" s="113"/>
      <c r="AA843" s="113"/>
      <c r="AB843" s="113"/>
      <c r="AC843" s="113"/>
      <c r="AD843" s="113"/>
      <c r="AE843" s="113"/>
      <c r="AF843" s="113"/>
      <c r="AG843" s="113"/>
    </row>
    <row r="844" spans="1:33" ht="13.8">
      <c r="A844" s="113"/>
      <c r="B844" s="113"/>
      <c r="C844" s="113"/>
      <c r="D844" s="113"/>
      <c r="E844" s="113"/>
      <c r="F844" s="113"/>
      <c r="G844" s="113"/>
      <c r="H844" s="113"/>
      <c r="I844" s="113"/>
      <c r="J844" s="113"/>
      <c r="K844" s="113"/>
      <c r="L844" s="113"/>
      <c r="M844" s="113"/>
      <c r="N844" s="113"/>
      <c r="O844" s="113"/>
      <c r="P844" s="113"/>
      <c r="Q844" s="113"/>
      <c r="R844" s="113"/>
      <c r="S844" s="113"/>
      <c r="T844" s="113"/>
      <c r="U844" s="113"/>
      <c r="V844" s="113"/>
      <c r="W844" s="113"/>
      <c r="X844" s="113"/>
      <c r="Y844" s="113"/>
      <c r="Z844" s="113"/>
      <c r="AA844" s="113"/>
      <c r="AB844" s="113"/>
      <c r="AC844" s="113"/>
      <c r="AD844" s="113"/>
      <c r="AE844" s="113"/>
      <c r="AF844" s="113"/>
      <c r="AG844" s="113"/>
    </row>
    <row r="845" spans="1:33" ht="13.8">
      <c r="A845" s="113"/>
      <c r="B845" s="113"/>
      <c r="C845" s="113"/>
      <c r="D845" s="113"/>
      <c r="E845" s="113"/>
      <c r="F845" s="113"/>
      <c r="G845" s="113"/>
      <c r="H845" s="113"/>
      <c r="I845" s="113"/>
      <c r="J845" s="113"/>
      <c r="K845" s="113"/>
      <c r="L845" s="113"/>
      <c r="M845" s="113"/>
      <c r="N845" s="113"/>
      <c r="O845" s="113"/>
      <c r="P845" s="113"/>
      <c r="Q845" s="113"/>
      <c r="R845" s="113"/>
      <c r="S845" s="113"/>
      <c r="T845" s="113"/>
      <c r="U845" s="113"/>
      <c r="V845" s="113"/>
      <c r="W845" s="113"/>
      <c r="X845" s="113"/>
      <c r="Y845" s="113"/>
      <c r="Z845" s="113"/>
      <c r="AA845" s="113"/>
      <c r="AB845" s="113"/>
      <c r="AC845" s="113"/>
      <c r="AD845" s="113"/>
      <c r="AE845" s="113"/>
      <c r="AF845" s="113"/>
      <c r="AG845" s="113"/>
    </row>
    <row r="846" spans="1:33" ht="13.8">
      <c r="A846" s="113"/>
      <c r="B846" s="113"/>
      <c r="C846" s="113"/>
      <c r="D846" s="113"/>
      <c r="E846" s="113"/>
      <c r="F846" s="113"/>
      <c r="G846" s="113"/>
      <c r="H846" s="113"/>
      <c r="I846" s="113"/>
      <c r="J846" s="113"/>
      <c r="K846" s="113"/>
      <c r="L846" s="113"/>
      <c r="M846" s="113"/>
      <c r="N846" s="113"/>
      <c r="O846" s="113"/>
      <c r="P846" s="113"/>
      <c r="Q846" s="113"/>
      <c r="R846" s="113"/>
      <c r="S846" s="113"/>
      <c r="T846" s="113"/>
      <c r="U846" s="113"/>
      <c r="V846" s="113"/>
      <c r="W846" s="113"/>
      <c r="X846" s="113"/>
      <c r="Y846" s="113"/>
      <c r="Z846" s="113"/>
      <c r="AA846" s="113"/>
      <c r="AB846" s="113"/>
      <c r="AC846" s="113"/>
      <c r="AD846" s="113"/>
      <c r="AE846" s="113"/>
      <c r="AF846" s="113"/>
      <c r="AG846" s="113"/>
    </row>
    <row r="847" spans="1:33" ht="13.8">
      <c r="A847" s="113"/>
      <c r="B847" s="113"/>
      <c r="C847" s="113"/>
      <c r="D847" s="113"/>
      <c r="E847" s="113"/>
      <c r="F847" s="113"/>
      <c r="G847" s="113"/>
      <c r="H847" s="113"/>
      <c r="I847" s="113"/>
      <c r="J847" s="113"/>
      <c r="K847" s="113"/>
      <c r="L847" s="113"/>
      <c r="M847" s="113"/>
      <c r="N847" s="113"/>
      <c r="O847" s="113"/>
      <c r="P847" s="113"/>
      <c r="Q847" s="113"/>
      <c r="R847" s="113"/>
      <c r="S847" s="113"/>
      <c r="T847" s="113"/>
      <c r="U847" s="113"/>
      <c r="V847" s="113"/>
      <c r="W847" s="113"/>
      <c r="X847" s="113"/>
      <c r="Y847" s="113"/>
      <c r="Z847" s="113"/>
      <c r="AA847" s="113"/>
      <c r="AB847" s="113"/>
      <c r="AC847" s="113"/>
      <c r="AD847" s="113"/>
      <c r="AE847" s="113"/>
      <c r="AF847" s="113"/>
      <c r="AG847" s="113"/>
    </row>
    <row r="848" spans="1:33" ht="13.8">
      <c r="A848" s="113"/>
      <c r="B848" s="113"/>
      <c r="C848" s="113"/>
      <c r="D848" s="113"/>
      <c r="E848" s="113"/>
      <c r="F848" s="113"/>
      <c r="G848" s="113"/>
      <c r="H848" s="113"/>
      <c r="I848" s="113"/>
      <c r="J848" s="113"/>
      <c r="K848" s="113"/>
      <c r="L848" s="113"/>
      <c r="M848" s="113"/>
      <c r="N848" s="113"/>
      <c r="O848" s="113"/>
      <c r="P848" s="113"/>
      <c r="Q848" s="113"/>
      <c r="R848" s="113"/>
      <c r="S848" s="113"/>
      <c r="T848" s="113"/>
      <c r="U848" s="113"/>
      <c r="V848" s="113"/>
      <c r="W848" s="113"/>
      <c r="X848" s="113"/>
      <c r="Y848" s="113"/>
      <c r="Z848" s="113"/>
      <c r="AA848" s="113"/>
      <c r="AB848" s="113"/>
      <c r="AC848" s="113"/>
      <c r="AD848" s="113"/>
      <c r="AE848" s="113"/>
      <c r="AF848" s="113"/>
      <c r="AG848" s="113"/>
    </row>
    <row r="849" spans="1:33" ht="13.8">
      <c r="A849" s="113"/>
      <c r="B849" s="113"/>
      <c r="C849" s="113"/>
      <c r="D849" s="113"/>
      <c r="E849" s="113"/>
      <c r="F849" s="113"/>
      <c r="G849" s="113"/>
      <c r="H849" s="113"/>
      <c r="I849" s="113"/>
      <c r="J849" s="113"/>
      <c r="K849" s="113"/>
      <c r="L849" s="113"/>
      <c r="M849" s="113"/>
      <c r="N849" s="113"/>
      <c r="O849" s="113"/>
      <c r="P849" s="113"/>
      <c r="Q849" s="113"/>
      <c r="R849" s="113"/>
      <c r="S849" s="113"/>
      <c r="T849" s="113"/>
      <c r="U849" s="113"/>
      <c r="V849" s="113"/>
      <c r="W849" s="113"/>
      <c r="X849" s="113"/>
      <c r="Y849" s="113"/>
      <c r="Z849" s="113"/>
      <c r="AA849" s="113"/>
      <c r="AB849" s="113"/>
      <c r="AC849" s="113"/>
      <c r="AD849" s="113"/>
      <c r="AE849" s="113"/>
      <c r="AF849" s="113"/>
      <c r="AG849" s="113"/>
    </row>
    <row r="850" spans="1:33" ht="13.8">
      <c r="A850" s="113"/>
      <c r="B850" s="113"/>
      <c r="C850" s="113"/>
      <c r="D850" s="113"/>
      <c r="E850" s="113"/>
      <c r="F850" s="113"/>
      <c r="G850" s="113"/>
      <c r="H850" s="113"/>
      <c r="I850" s="113"/>
      <c r="J850" s="113"/>
      <c r="K850" s="113"/>
      <c r="L850" s="113"/>
      <c r="M850" s="113"/>
      <c r="N850" s="113"/>
      <c r="O850" s="113"/>
      <c r="P850" s="113"/>
      <c r="Q850" s="113"/>
      <c r="R850" s="113"/>
      <c r="S850" s="113"/>
      <c r="T850" s="113"/>
      <c r="U850" s="113"/>
      <c r="V850" s="113"/>
      <c r="W850" s="113"/>
      <c r="X850" s="113"/>
      <c r="Y850" s="113"/>
      <c r="Z850" s="113"/>
      <c r="AA850" s="113"/>
      <c r="AB850" s="113"/>
      <c r="AC850" s="113"/>
      <c r="AD850" s="113"/>
      <c r="AE850" s="113"/>
      <c r="AF850" s="113"/>
      <c r="AG850" s="113"/>
    </row>
    <row r="851" spans="1:33" ht="13.8">
      <c r="A851" s="113"/>
      <c r="B851" s="113"/>
      <c r="C851" s="113"/>
      <c r="D851" s="113"/>
      <c r="E851" s="113"/>
      <c r="F851" s="113"/>
      <c r="G851" s="113"/>
      <c r="H851" s="113"/>
      <c r="I851" s="113"/>
      <c r="J851" s="113"/>
      <c r="K851" s="113"/>
      <c r="L851" s="113"/>
      <c r="M851" s="113"/>
      <c r="N851" s="113"/>
      <c r="O851" s="113"/>
      <c r="P851" s="113"/>
      <c r="Q851" s="113"/>
      <c r="R851" s="113"/>
      <c r="S851" s="113"/>
      <c r="T851" s="113"/>
      <c r="U851" s="113"/>
      <c r="V851" s="113"/>
      <c r="W851" s="113"/>
      <c r="X851" s="113"/>
      <c r="Y851" s="113"/>
      <c r="Z851" s="113"/>
      <c r="AA851" s="113"/>
      <c r="AB851" s="113"/>
      <c r="AC851" s="113"/>
      <c r="AD851" s="113"/>
      <c r="AE851" s="113"/>
      <c r="AF851" s="113"/>
      <c r="AG851" s="113"/>
    </row>
    <row r="852" spans="1:33" ht="13.8">
      <c r="A852" s="113"/>
      <c r="B852" s="113"/>
      <c r="C852" s="113"/>
      <c r="D852" s="113"/>
      <c r="E852" s="113"/>
      <c r="F852" s="113"/>
      <c r="G852" s="113"/>
      <c r="H852" s="113"/>
      <c r="I852" s="113"/>
      <c r="J852" s="113"/>
      <c r="K852" s="113"/>
      <c r="L852" s="113"/>
      <c r="M852" s="113"/>
      <c r="N852" s="113"/>
      <c r="O852" s="113"/>
      <c r="P852" s="113"/>
      <c r="Q852" s="113"/>
      <c r="R852" s="113"/>
      <c r="S852" s="113"/>
      <c r="T852" s="113"/>
      <c r="U852" s="113"/>
      <c r="V852" s="113"/>
      <c r="W852" s="113"/>
      <c r="X852" s="113"/>
      <c r="Y852" s="113"/>
      <c r="Z852" s="113"/>
      <c r="AA852" s="113"/>
      <c r="AB852" s="113"/>
      <c r="AC852" s="113"/>
      <c r="AD852" s="113"/>
      <c r="AE852" s="113"/>
      <c r="AF852" s="113"/>
      <c r="AG852" s="113"/>
    </row>
    <row r="853" spans="1:33" ht="13.8">
      <c r="A853" s="113"/>
      <c r="B853" s="113"/>
      <c r="C853" s="113"/>
      <c r="D853" s="113"/>
      <c r="E853" s="113"/>
      <c r="F853" s="113"/>
      <c r="G853" s="113"/>
      <c r="H853" s="113"/>
      <c r="I853" s="113"/>
      <c r="J853" s="113"/>
      <c r="K853" s="113"/>
      <c r="L853" s="113"/>
      <c r="M853" s="113"/>
      <c r="N853" s="113"/>
      <c r="O853" s="113"/>
      <c r="P853" s="113"/>
      <c r="Q853" s="113"/>
      <c r="R853" s="113"/>
      <c r="S853" s="113"/>
      <c r="T853" s="113"/>
      <c r="U853" s="113"/>
      <c r="V853" s="113"/>
      <c r="W853" s="113"/>
      <c r="X853" s="113"/>
      <c r="Y853" s="113"/>
      <c r="Z853" s="113"/>
      <c r="AA853" s="113"/>
      <c r="AB853" s="113"/>
      <c r="AC853" s="113"/>
      <c r="AD853" s="113"/>
      <c r="AE853" s="113"/>
      <c r="AF853" s="113"/>
      <c r="AG853" s="113"/>
    </row>
    <row r="854" spans="1:33" ht="13.8">
      <c r="A854" s="113"/>
      <c r="B854" s="113"/>
      <c r="C854" s="113"/>
      <c r="D854" s="113"/>
      <c r="E854" s="113"/>
      <c r="F854" s="113"/>
      <c r="G854" s="113"/>
      <c r="H854" s="113"/>
      <c r="I854" s="113"/>
      <c r="J854" s="113"/>
      <c r="K854" s="113"/>
      <c r="L854" s="113"/>
      <c r="M854" s="113"/>
      <c r="N854" s="113"/>
      <c r="O854" s="113"/>
      <c r="P854" s="113"/>
      <c r="Q854" s="113"/>
      <c r="R854" s="113"/>
      <c r="S854" s="113"/>
      <c r="T854" s="113"/>
      <c r="U854" s="113"/>
      <c r="V854" s="113"/>
      <c r="W854" s="113"/>
      <c r="X854" s="113"/>
      <c r="Y854" s="113"/>
      <c r="Z854" s="113"/>
      <c r="AA854" s="113"/>
      <c r="AB854" s="113"/>
      <c r="AC854" s="113"/>
      <c r="AD854" s="113"/>
      <c r="AE854" s="113"/>
      <c r="AF854" s="113"/>
      <c r="AG854" s="113"/>
    </row>
    <row r="855" spans="1:33" ht="13.8">
      <c r="A855" s="113"/>
      <c r="B855" s="113"/>
      <c r="C855" s="113"/>
      <c r="D855" s="113"/>
      <c r="E855" s="113"/>
      <c r="F855" s="113"/>
      <c r="G855" s="113"/>
      <c r="H855" s="113"/>
      <c r="I855" s="113"/>
      <c r="J855" s="113"/>
      <c r="K855" s="113"/>
      <c r="L855" s="113"/>
      <c r="M855" s="113"/>
      <c r="N855" s="113"/>
      <c r="O855" s="113"/>
      <c r="P855" s="113"/>
      <c r="Q855" s="113"/>
      <c r="R855" s="113"/>
      <c r="S855" s="113"/>
      <c r="T855" s="113"/>
      <c r="U855" s="113"/>
      <c r="V855" s="113"/>
      <c r="W855" s="113"/>
      <c r="X855" s="113"/>
      <c r="Y855" s="113"/>
      <c r="Z855" s="113"/>
      <c r="AA855" s="113"/>
      <c r="AB855" s="113"/>
      <c r="AC855" s="113"/>
      <c r="AD855" s="113"/>
      <c r="AE855" s="113"/>
      <c r="AF855" s="113"/>
      <c r="AG855" s="113"/>
    </row>
    <row r="856" spans="1:33" ht="13.8">
      <c r="A856" s="113"/>
      <c r="B856" s="113"/>
      <c r="C856" s="113"/>
      <c r="D856" s="113"/>
      <c r="E856" s="113"/>
      <c r="F856" s="113"/>
      <c r="G856" s="113"/>
      <c r="H856" s="113"/>
      <c r="I856" s="113"/>
      <c r="J856" s="113"/>
      <c r="K856" s="113"/>
      <c r="L856" s="113"/>
      <c r="M856" s="113"/>
      <c r="N856" s="113"/>
      <c r="O856" s="113"/>
      <c r="P856" s="113"/>
      <c r="Q856" s="113"/>
      <c r="R856" s="113"/>
      <c r="S856" s="113"/>
      <c r="T856" s="113"/>
      <c r="U856" s="113"/>
      <c r="V856" s="113"/>
      <c r="W856" s="113"/>
      <c r="X856" s="113"/>
      <c r="Y856" s="113"/>
      <c r="Z856" s="113"/>
      <c r="AA856" s="113"/>
      <c r="AB856" s="113"/>
      <c r="AC856" s="113"/>
      <c r="AD856" s="113"/>
      <c r="AE856" s="113"/>
      <c r="AF856" s="113"/>
      <c r="AG856" s="113"/>
    </row>
    <row r="857" spans="1:33" ht="13.8">
      <c r="A857" s="113"/>
      <c r="B857" s="113"/>
      <c r="C857" s="113"/>
      <c r="D857" s="113"/>
      <c r="E857" s="113"/>
      <c r="F857" s="113"/>
      <c r="G857" s="113"/>
      <c r="H857" s="113"/>
      <c r="I857" s="113"/>
      <c r="J857" s="113"/>
      <c r="K857" s="113"/>
      <c r="L857" s="113"/>
      <c r="M857" s="113"/>
      <c r="N857" s="113"/>
      <c r="O857" s="113"/>
      <c r="P857" s="113"/>
      <c r="Q857" s="113"/>
      <c r="R857" s="113"/>
      <c r="S857" s="113"/>
      <c r="T857" s="113"/>
      <c r="U857" s="113"/>
      <c r="V857" s="113"/>
      <c r="W857" s="113"/>
      <c r="X857" s="113"/>
      <c r="Y857" s="113"/>
      <c r="Z857" s="113"/>
      <c r="AA857" s="113"/>
      <c r="AB857" s="113"/>
      <c r="AC857" s="113"/>
      <c r="AD857" s="113"/>
      <c r="AE857" s="113"/>
      <c r="AF857" s="113"/>
      <c r="AG857" s="113"/>
    </row>
    <row r="858" spans="1:33" ht="13.8">
      <c r="A858" s="113"/>
      <c r="B858" s="113"/>
      <c r="C858" s="113"/>
      <c r="D858" s="113"/>
      <c r="E858" s="113"/>
      <c r="F858" s="113"/>
      <c r="G858" s="113"/>
      <c r="H858" s="113"/>
      <c r="I858" s="113"/>
      <c r="J858" s="113"/>
      <c r="K858" s="113"/>
      <c r="L858" s="113"/>
      <c r="M858" s="113"/>
      <c r="N858" s="113"/>
      <c r="O858" s="113"/>
      <c r="P858" s="113"/>
      <c r="Q858" s="113"/>
      <c r="R858" s="113"/>
      <c r="S858" s="113"/>
      <c r="T858" s="113"/>
      <c r="U858" s="113"/>
      <c r="V858" s="113"/>
      <c r="W858" s="113"/>
      <c r="X858" s="113"/>
      <c r="Y858" s="113"/>
      <c r="Z858" s="113"/>
      <c r="AA858" s="113"/>
      <c r="AB858" s="113"/>
      <c r="AC858" s="113"/>
      <c r="AD858" s="113"/>
      <c r="AE858" s="113"/>
      <c r="AF858" s="113"/>
      <c r="AG858" s="113"/>
    </row>
    <row r="859" spans="1:33" ht="13.8">
      <c r="A859" s="113"/>
      <c r="B859" s="113"/>
      <c r="C859" s="113"/>
      <c r="D859" s="113"/>
      <c r="E859" s="113"/>
      <c r="F859" s="113"/>
      <c r="G859" s="113"/>
      <c r="H859" s="113"/>
      <c r="I859" s="113"/>
      <c r="J859" s="113"/>
      <c r="K859" s="113"/>
      <c r="L859" s="113"/>
      <c r="M859" s="113"/>
      <c r="N859" s="113"/>
      <c r="O859" s="113"/>
      <c r="P859" s="113"/>
      <c r="Q859" s="113"/>
      <c r="R859" s="113"/>
      <c r="S859" s="113"/>
      <c r="T859" s="113"/>
      <c r="U859" s="113"/>
      <c r="V859" s="113"/>
      <c r="W859" s="113"/>
      <c r="X859" s="113"/>
      <c r="Y859" s="113"/>
      <c r="Z859" s="113"/>
      <c r="AA859" s="113"/>
      <c r="AB859" s="113"/>
      <c r="AC859" s="113"/>
      <c r="AD859" s="113"/>
      <c r="AE859" s="113"/>
      <c r="AF859" s="113"/>
      <c r="AG859" s="113"/>
    </row>
    <row r="860" spans="1:33" ht="13.8">
      <c r="A860" s="113"/>
      <c r="B860" s="113"/>
      <c r="C860" s="113"/>
      <c r="D860" s="113"/>
      <c r="E860" s="113"/>
      <c r="F860" s="113"/>
      <c r="G860" s="113"/>
      <c r="H860" s="113"/>
      <c r="I860" s="113"/>
      <c r="J860" s="113"/>
      <c r="K860" s="113"/>
      <c r="L860" s="113"/>
      <c r="M860" s="113"/>
      <c r="N860" s="113"/>
      <c r="O860" s="113"/>
      <c r="P860" s="113"/>
      <c r="Q860" s="113"/>
      <c r="R860" s="113"/>
      <c r="S860" s="113"/>
      <c r="T860" s="113"/>
      <c r="U860" s="113"/>
      <c r="V860" s="113"/>
      <c r="W860" s="113"/>
      <c r="X860" s="113"/>
      <c r="Y860" s="113"/>
      <c r="Z860" s="113"/>
      <c r="AA860" s="113"/>
      <c r="AB860" s="113"/>
      <c r="AC860" s="113"/>
      <c r="AD860" s="113"/>
      <c r="AE860" s="113"/>
      <c r="AF860" s="113"/>
      <c r="AG860" s="113"/>
    </row>
    <row r="861" spans="1:33" ht="13.8">
      <c r="A861" s="113"/>
      <c r="B861" s="113"/>
      <c r="C861" s="113"/>
      <c r="D861" s="113"/>
      <c r="E861" s="113"/>
      <c r="F861" s="113"/>
      <c r="G861" s="113"/>
      <c r="H861" s="113"/>
      <c r="I861" s="113"/>
      <c r="J861" s="113"/>
      <c r="K861" s="113"/>
      <c r="L861" s="113"/>
      <c r="M861" s="113"/>
      <c r="N861" s="113"/>
      <c r="O861" s="113"/>
      <c r="P861" s="113"/>
      <c r="Q861" s="113"/>
      <c r="R861" s="113"/>
      <c r="S861" s="113"/>
      <c r="T861" s="113"/>
      <c r="U861" s="113"/>
      <c r="V861" s="113"/>
      <c r="W861" s="113"/>
      <c r="X861" s="113"/>
      <c r="Y861" s="113"/>
      <c r="Z861" s="113"/>
      <c r="AA861" s="113"/>
      <c r="AB861" s="113"/>
      <c r="AC861" s="113"/>
      <c r="AD861" s="113"/>
      <c r="AE861" s="113"/>
      <c r="AF861" s="113"/>
      <c r="AG861" s="113"/>
    </row>
    <row r="862" spans="1:33" ht="13.8">
      <c r="A862" s="113"/>
      <c r="B862" s="113"/>
      <c r="C862" s="113"/>
      <c r="D862" s="113"/>
      <c r="E862" s="113"/>
      <c r="F862" s="113"/>
      <c r="G862" s="113"/>
      <c r="H862" s="113"/>
      <c r="I862" s="113"/>
      <c r="J862" s="113"/>
      <c r="K862" s="113"/>
      <c r="L862" s="113"/>
      <c r="M862" s="113"/>
      <c r="N862" s="113"/>
      <c r="O862" s="113"/>
      <c r="P862" s="113"/>
      <c r="Q862" s="113"/>
      <c r="R862" s="113"/>
      <c r="S862" s="113"/>
      <c r="T862" s="113"/>
      <c r="U862" s="113"/>
      <c r="V862" s="113"/>
      <c r="W862" s="113"/>
      <c r="X862" s="113"/>
      <c r="Y862" s="113"/>
      <c r="Z862" s="113"/>
      <c r="AA862" s="113"/>
      <c r="AB862" s="113"/>
      <c r="AC862" s="113"/>
      <c r="AD862" s="113"/>
      <c r="AE862" s="113"/>
      <c r="AF862" s="113"/>
      <c r="AG862" s="113"/>
    </row>
    <row r="863" spans="1:33" ht="13.8">
      <c r="A863" s="113"/>
      <c r="B863" s="113"/>
      <c r="C863" s="113"/>
      <c r="D863" s="113"/>
      <c r="E863" s="113"/>
      <c r="F863" s="113"/>
      <c r="G863" s="113"/>
      <c r="H863" s="113"/>
      <c r="I863" s="113"/>
      <c r="J863" s="113"/>
      <c r="K863" s="113"/>
      <c r="L863" s="113"/>
      <c r="M863" s="113"/>
      <c r="N863" s="113"/>
      <c r="O863" s="113"/>
      <c r="P863" s="113"/>
      <c r="Q863" s="113"/>
      <c r="R863" s="113"/>
      <c r="S863" s="113"/>
      <c r="T863" s="113"/>
      <c r="U863" s="113"/>
      <c r="V863" s="113"/>
      <c r="W863" s="113"/>
      <c r="X863" s="113"/>
      <c r="Y863" s="113"/>
      <c r="Z863" s="113"/>
      <c r="AA863" s="113"/>
      <c r="AB863" s="113"/>
      <c r="AC863" s="113"/>
      <c r="AD863" s="113"/>
      <c r="AE863" s="113"/>
      <c r="AF863" s="113"/>
      <c r="AG863" s="113"/>
    </row>
    <row r="864" spans="1:33" ht="13.8">
      <c r="A864" s="113"/>
      <c r="B864" s="113"/>
      <c r="C864" s="113"/>
      <c r="D864" s="113"/>
      <c r="E864" s="113"/>
      <c r="F864" s="113"/>
      <c r="G864" s="113"/>
      <c r="H864" s="113"/>
      <c r="I864" s="113"/>
      <c r="J864" s="113"/>
      <c r="K864" s="113"/>
      <c r="L864" s="113"/>
      <c r="M864" s="113"/>
      <c r="N864" s="113"/>
      <c r="O864" s="113"/>
      <c r="P864" s="113"/>
      <c r="Q864" s="113"/>
      <c r="R864" s="113"/>
      <c r="S864" s="113"/>
      <c r="T864" s="113"/>
      <c r="U864" s="113"/>
      <c r="V864" s="113"/>
      <c r="W864" s="113"/>
      <c r="X864" s="113"/>
      <c r="Y864" s="113"/>
      <c r="Z864" s="113"/>
      <c r="AA864" s="113"/>
      <c r="AB864" s="113"/>
      <c r="AC864" s="113"/>
      <c r="AD864" s="113"/>
      <c r="AE864" s="113"/>
      <c r="AF864" s="113"/>
      <c r="AG864" s="113"/>
    </row>
    <row r="865" spans="1:33" ht="13.8">
      <c r="A865" s="113"/>
      <c r="B865" s="113"/>
      <c r="C865" s="113"/>
      <c r="D865" s="113"/>
      <c r="E865" s="113"/>
      <c r="F865" s="113"/>
      <c r="G865" s="113"/>
      <c r="H865" s="113"/>
      <c r="I865" s="113"/>
      <c r="J865" s="113"/>
      <c r="K865" s="113"/>
      <c r="L865" s="113"/>
      <c r="M865" s="113"/>
      <c r="N865" s="113"/>
      <c r="O865" s="113"/>
      <c r="P865" s="113"/>
      <c r="Q865" s="113"/>
      <c r="R865" s="113"/>
      <c r="S865" s="113"/>
      <c r="T865" s="113"/>
      <c r="U865" s="113"/>
      <c r="V865" s="113"/>
      <c r="W865" s="113"/>
      <c r="X865" s="113"/>
      <c r="Y865" s="113"/>
      <c r="Z865" s="113"/>
      <c r="AA865" s="113"/>
      <c r="AB865" s="113"/>
      <c r="AC865" s="113"/>
      <c r="AD865" s="113"/>
      <c r="AE865" s="113"/>
      <c r="AF865" s="113"/>
      <c r="AG865" s="113"/>
    </row>
    <row r="866" spans="1:33" ht="13.8">
      <c r="A866" s="113"/>
      <c r="B866" s="113"/>
      <c r="C866" s="113"/>
      <c r="D866" s="113"/>
      <c r="E866" s="113"/>
      <c r="F866" s="113"/>
      <c r="G866" s="113"/>
      <c r="H866" s="113"/>
      <c r="I866" s="113"/>
      <c r="J866" s="113"/>
      <c r="K866" s="113"/>
      <c r="L866" s="113"/>
      <c r="M866" s="113"/>
      <c r="N866" s="113"/>
      <c r="O866" s="113"/>
      <c r="P866" s="113"/>
      <c r="Q866" s="113"/>
      <c r="R866" s="113"/>
      <c r="S866" s="113"/>
      <c r="T866" s="113"/>
      <c r="U866" s="113"/>
      <c r="V866" s="113"/>
      <c r="W866" s="113"/>
      <c r="X866" s="113"/>
      <c r="Y866" s="113"/>
      <c r="Z866" s="113"/>
      <c r="AA866" s="113"/>
      <c r="AB866" s="113"/>
      <c r="AC866" s="113"/>
      <c r="AD866" s="113"/>
      <c r="AE866" s="113"/>
      <c r="AF866" s="113"/>
      <c r="AG866" s="113"/>
    </row>
    <row r="867" spans="1:33" ht="13.8">
      <c r="A867" s="113"/>
      <c r="B867" s="113"/>
      <c r="C867" s="113"/>
      <c r="D867" s="113"/>
      <c r="E867" s="113"/>
      <c r="F867" s="113"/>
      <c r="G867" s="113"/>
      <c r="H867" s="113"/>
      <c r="I867" s="113"/>
      <c r="J867" s="113"/>
      <c r="K867" s="113"/>
      <c r="L867" s="113"/>
      <c r="M867" s="113"/>
      <c r="N867" s="113"/>
      <c r="O867" s="113"/>
      <c r="P867" s="113"/>
      <c r="Q867" s="113"/>
      <c r="R867" s="113"/>
      <c r="S867" s="113"/>
      <c r="T867" s="113"/>
      <c r="U867" s="113"/>
      <c r="V867" s="113"/>
      <c r="W867" s="113"/>
      <c r="X867" s="113"/>
      <c r="Y867" s="113"/>
      <c r="Z867" s="113"/>
      <c r="AA867" s="113"/>
      <c r="AB867" s="113"/>
      <c r="AC867" s="113"/>
      <c r="AD867" s="113"/>
      <c r="AE867" s="113"/>
      <c r="AF867" s="113"/>
      <c r="AG867" s="113"/>
    </row>
    <row r="868" spans="1:33" ht="13.8">
      <c r="A868" s="113"/>
      <c r="B868" s="113"/>
      <c r="C868" s="113"/>
      <c r="D868" s="113"/>
      <c r="E868" s="113"/>
      <c r="F868" s="113"/>
      <c r="G868" s="113"/>
      <c r="H868" s="113"/>
      <c r="I868" s="113"/>
      <c r="J868" s="113"/>
      <c r="K868" s="113"/>
      <c r="L868" s="113"/>
      <c r="M868" s="113"/>
      <c r="N868" s="113"/>
      <c r="O868" s="113"/>
      <c r="P868" s="113"/>
      <c r="Q868" s="113"/>
      <c r="R868" s="113"/>
      <c r="S868" s="113"/>
      <c r="T868" s="113"/>
      <c r="U868" s="113"/>
      <c r="V868" s="113"/>
      <c r="W868" s="113"/>
      <c r="X868" s="113"/>
      <c r="Y868" s="113"/>
      <c r="Z868" s="113"/>
      <c r="AA868" s="113"/>
      <c r="AB868" s="113"/>
      <c r="AC868" s="113"/>
      <c r="AD868" s="113"/>
      <c r="AE868" s="113"/>
      <c r="AF868" s="113"/>
      <c r="AG868" s="113"/>
    </row>
    <row r="869" spans="1:33" ht="13.8">
      <c r="A869" s="113"/>
      <c r="B869" s="113"/>
      <c r="C869" s="113"/>
      <c r="D869" s="113"/>
      <c r="E869" s="113"/>
      <c r="F869" s="113"/>
      <c r="G869" s="113"/>
      <c r="H869" s="113"/>
      <c r="I869" s="113"/>
      <c r="J869" s="113"/>
      <c r="K869" s="113"/>
      <c r="L869" s="113"/>
      <c r="M869" s="113"/>
      <c r="N869" s="113"/>
      <c r="O869" s="113"/>
      <c r="P869" s="113"/>
      <c r="Q869" s="113"/>
      <c r="R869" s="113"/>
      <c r="S869" s="113"/>
      <c r="T869" s="113"/>
      <c r="U869" s="113"/>
      <c r="V869" s="113"/>
      <c r="W869" s="113"/>
      <c r="X869" s="113"/>
      <c r="Y869" s="113"/>
      <c r="Z869" s="113"/>
      <c r="AA869" s="113"/>
      <c r="AB869" s="113"/>
      <c r="AC869" s="113"/>
      <c r="AD869" s="113"/>
      <c r="AE869" s="113"/>
      <c r="AF869" s="113"/>
      <c r="AG869" s="113"/>
    </row>
    <row r="870" spans="1:33" ht="13.8">
      <c r="A870" s="113"/>
      <c r="B870" s="113"/>
      <c r="C870" s="113"/>
      <c r="D870" s="113"/>
      <c r="E870" s="113"/>
      <c r="F870" s="113"/>
      <c r="G870" s="113"/>
      <c r="H870" s="113"/>
      <c r="I870" s="113"/>
      <c r="J870" s="113"/>
      <c r="K870" s="113"/>
      <c r="L870" s="113"/>
      <c r="M870" s="113"/>
      <c r="N870" s="113"/>
      <c r="O870" s="113"/>
      <c r="P870" s="113"/>
      <c r="Q870" s="113"/>
      <c r="R870" s="113"/>
      <c r="S870" s="113"/>
      <c r="T870" s="113"/>
      <c r="U870" s="113"/>
      <c r="V870" s="113"/>
      <c r="W870" s="113"/>
      <c r="X870" s="113"/>
      <c r="Y870" s="113"/>
      <c r="Z870" s="113"/>
      <c r="AA870" s="113"/>
      <c r="AB870" s="113"/>
      <c r="AC870" s="113"/>
      <c r="AD870" s="113"/>
      <c r="AE870" s="113"/>
      <c r="AF870" s="113"/>
      <c r="AG870" s="113"/>
    </row>
    <row r="871" spans="1:33" ht="13.8">
      <c r="A871" s="113"/>
      <c r="B871" s="113"/>
      <c r="C871" s="113"/>
      <c r="D871" s="113"/>
      <c r="E871" s="113"/>
      <c r="F871" s="113"/>
      <c r="G871" s="113"/>
      <c r="H871" s="113"/>
      <c r="I871" s="113"/>
      <c r="J871" s="113"/>
      <c r="K871" s="113"/>
      <c r="L871" s="113"/>
      <c r="M871" s="113"/>
      <c r="N871" s="113"/>
      <c r="O871" s="113"/>
      <c r="P871" s="113"/>
      <c r="Q871" s="113"/>
      <c r="R871" s="113"/>
      <c r="S871" s="113"/>
      <c r="T871" s="113"/>
      <c r="U871" s="113"/>
      <c r="V871" s="113"/>
      <c r="W871" s="113"/>
      <c r="X871" s="113"/>
      <c r="Y871" s="113"/>
      <c r="Z871" s="113"/>
      <c r="AA871" s="113"/>
      <c r="AB871" s="113"/>
      <c r="AC871" s="113"/>
      <c r="AD871" s="113"/>
      <c r="AE871" s="113"/>
      <c r="AF871" s="113"/>
      <c r="AG871" s="113"/>
    </row>
    <row r="872" spans="1:33" ht="13.8">
      <c r="A872" s="113"/>
      <c r="B872" s="113"/>
      <c r="C872" s="113"/>
      <c r="D872" s="113"/>
      <c r="E872" s="113"/>
      <c r="F872" s="113"/>
      <c r="G872" s="113"/>
      <c r="H872" s="113"/>
      <c r="I872" s="113"/>
      <c r="J872" s="113"/>
      <c r="K872" s="113"/>
      <c r="L872" s="113"/>
      <c r="M872" s="113"/>
      <c r="N872" s="113"/>
      <c r="O872" s="113"/>
      <c r="P872" s="113"/>
      <c r="Q872" s="113"/>
      <c r="R872" s="113"/>
      <c r="S872" s="113"/>
      <c r="T872" s="113"/>
      <c r="U872" s="113"/>
      <c r="V872" s="113"/>
      <c r="W872" s="113"/>
      <c r="X872" s="113"/>
      <c r="Y872" s="113"/>
      <c r="Z872" s="113"/>
      <c r="AA872" s="113"/>
      <c r="AB872" s="113"/>
      <c r="AC872" s="113"/>
      <c r="AD872" s="113"/>
      <c r="AE872" s="113"/>
      <c r="AF872" s="113"/>
      <c r="AG872" s="113"/>
    </row>
    <row r="873" spans="1:33" ht="13.8">
      <c r="A873" s="113"/>
      <c r="B873" s="113"/>
      <c r="C873" s="113"/>
      <c r="D873" s="113"/>
      <c r="E873" s="113"/>
      <c r="F873" s="113"/>
      <c r="G873" s="113"/>
      <c r="H873" s="113"/>
      <c r="I873" s="113"/>
      <c r="J873" s="113"/>
      <c r="K873" s="113"/>
      <c r="L873" s="113"/>
      <c r="M873" s="113"/>
      <c r="N873" s="113"/>
      <c r="O873" s="113"/>
      <c r="P873" s="113"/>
      <c r="Q873" s="113"/>
      <c r="R873" s="113"/>
      <c r="S873" s="113"/>
      <c r="T873" s="113"/>
      <c r="U873" s="113"/>
      <c r="V873" s="113"/>
      <c r="W873" s="113"/>
      <c r="X873" s="113"/>
      <c r="Y873" s="113"/>
      <c r="Z873" s="113"/>
      <c r="AA873" s="113"/>
      <c r="AB873" s="113"/>
      <c r="AC873" s="113"/>
      <c r="AD873" s="113"/>
      <c r="AE873" s="113"/>
      <c r="AF873" s="113"/>
      <c r="AG873" s="113"/>
    </row>
    <row r="874" spans="1:33" ht="13.8">
      <c r="A874" s="113"/>
      <c r="B874" s="113"/>
      <c r="C874" s="113"/>
      <c r="D874" s="113"/>
      <c r="E874" s="113"/>
      <c r="F874" s="113"/>
      <c r="G874" s="113"/>
      <c r="H874" s="113"/>
      <c r="I874" s="113"/>
      <c r="J874" s="113"/>
      <c r="K874" s="113"/>
      <c r="L874" s="113"/>
      <c r="M874" s="113"/>
      <c r="N874" s="113"/>
      <c r="O874" s="113"/>
      <c r="P874" s="113"/>
      <c r="Q874" s="113"/>
      <c r="R874" s="113"/>
      <c r="S874" s="113"/>
      <c r="T874" s="113"/>
      <c r="U874" s="113"/>
      <c r="V874" s="113"/>
      <c r="W874" s="113"/>
      <c r="X874" s="113"/>
      <c r="Y874" s="113"/>
      <c r="Z874" s="113"/>
      <c r="AA874" s="113"/>
      <c r="AB874" s="113"/>
      <c r="AC874" s="113"/>
      <c r="AD874" s="113"/>
      <c r="AE874" s="113"/>
      <c r="AF874" s="113"/>
      <c r="AG874" s="113"/>
    </row>
    <row r="875" spans="1:33" ht="13.8">
      <c r="A875" s="113"/>
      <c r="B875" s="113"/>
      <c r="C875" s="113"/>
      <c r="D875" s="113"/>
      <c r="E875" s="113"/>
      <c r="F875" s="113"/>
      <c r="G875" s="113"/>
      <c r="H875" s="113"/>
      <c r="I875" s="113"/>
      <c r="J875" s="113"/>
      <c r="K875" s="113"/>
      <c r="L875" s="113"/>
      <c r="M875" s="113"/>
      <c r="N875" s="113"/>
      <c r="O875" s="113"/>
      <c r="P875" s="113"/>
      <c r="Q875" s="113"/>
      <c r="R875" s="113"/>
      <c r="S875" s="113"/>
      <c r="T875" s="113"/>
      <c r="U875" s="113"/>
      <c r="V875" s="113"/>
      <c r="W875" s="113"/>
      <c r="X875" s="113"/>
      <c r="Y875" s="113"/>
      <c r="Z875" s="113"/>
      <c r="AA875" s="113"/>
      <c r="AB875" s="113"/>
      <c r="AC875" s="113"/>
      <c r="AD875" s="113"/>
      <c r="AE875" s="113"/>
      <c r="AF875" s="113"/>
      <c r="AG875" s="113"/>
    </row>
    <row r="876" spans="1:33" ht="13.8">
      <c r="A876" s="113"/>
      <c r="B876" s="113"/>
      <c r="C876" s="113"/>
      <c r="D876" s="113"/>
      <c r="E876" s="113"/>
      <c r="F876" s="113"/>
      <c r="G876" s="113"/>
      <c r="H876" s="113"/>
      <c r="I876" s="113"/>
      <c r="J876" s="113"/>
      <c r="K876" s="113"/>
      <c r="L876" s="113"/>
      <c r="M876" s="113"/>
      <c r="N876" s="113"/>
      <c r="O876" s="113"/>
      <c r="P876" s="113"/>
      <c r="Q876" s="113"/>
      <c r="R876" s="113"/>
      <c r="S876" s="113"/>
      <c r="T876" s="113"/>
      <c r="U876" s="113"/>
      <c r="V876" s="113"/>
      <c r="W876" s="113"/>
      <c r="X876" s="113"/>
      <c r="Y876" s="113"/>
      <c r="Z876" s="113"/>
      <c r="AA876" s="113"/>
      <c r="AB876" s="113"/>
      <c r="AC876" s="113"/>
      <c r="AD876" s="113"/>
      <c r="AE876" s="113"/>
      <c r="AF876" s="113"/>
      <c r="AG876" s="113"/>
    </row>
    <row r="877" spans="1:33" ht="13.8">
      <c r="A877" s="113"/>
      <c r="B877" s="113"/>
      <c r="C877" s="113"/>
      <c r="D877" s="113"/>
      <c r="E877" s="113"/>
      <c r="F877" s="113"/>
      <c r="G877" s="113"/>
      <c r="H877" s="113"/>
      <c r="I877" s="113"/>
      <c r="J877" s="113"/>
      <c r="K877" s="113"/>
      <c r="L877" s="113"/>
      <c r="M877" s="113"/>
      <c r="N877" s="113"/>
      <c r="O877" s="113"/>
      <c r="P877" s="113"/>
      <c r="Q877" s="113"/>
      <c r="R877" s="113"/>
      <c r="S877" s="113"/>
      <c r="T877" s="113"/>
      <c r="U877" s="113"/>
      <c r="V877" s="113"/>
      <c r="W877" s="113"/>
      <c r="X877" s="113"/>
      <c r="Y877" s="113"/>
      <c r="Z877" s="113"/>
      <c r="AA877" s="113"/>
      <c r="AB877" s="113"/>
      <c r="AC877" s="113"/>
      <c r="AD877" s="113"/>
      <c r="AE877" s="113"/>
      <c r="AF877" s="113"/>
      <c r="AG877" s="113"/>
    </row>
    <row r="878" spans="1:33" ht="13.8">
      <c r="A878" s="113"/>
      <c r="B878" s="113"/>
      <c r="C878" s="113"/>
      <c r="D878" s="113"/>
      <c r="E878" s="113"/>
      <c r="F878" s="113"/>
      <c r="G878" s="113"/>
      <c r="H878" s="113"/>
      <c r="I878" s="113"/>
      <c r="J878" s="113"/>
      <c r="K878" s="113"/>
      <c r="L878" s="113"/>
      <c r="M878" s="113"/>
      <c r="N878" s="113"/>
      <c r="O878" s="113"/>
      <c r="P878" s="113"/>
      <c r="Q878" s="113"/>
      <c r="R878" s="113"/>
      <c r="S878" s="113"/>
      <c r="T878" s="113"/>
      <c r="U878" s="113"/>
      <c r="V878" s="113"/>
      <c r="W878" s="113"/>
      <c r="X878" s="113"/>
      <c r="Y878" s="113"/>
      <c r="Z878" s="113"/>
      <c r="AA878" s="113"/>
      <c r="AB878" s="113"/>
      <c r="AC878" s="113"/>
      <c r="AD878" s="113"/>
      <c r="AE878" s="113"/>
      <c r="AF878" s="113"/>
      <c r="AG878" s="113"/>
    </row>
    <row r="879" spans="1:33" ht="13.8">
      <c r="A879" s="113"/>
      <c r="B879" s="113"/>
      <c r="C879" s="113"/>
      <c r="D879" s="113"/>
      <c r="E879" s="113"/>
      <c r="F879" s="113"/>
      <c r="G879" s="113"/>
      <c r="H879" s="113"/>
      <c r="I879" s="113"/>
      <c r="J879" s="113"/>
      <c r="K879" s="113"/>
      <c r="L879" s="113"/>
      <c r="M879" s="113"/>
      <c r="N879" s="113"/>
      <c r="O879" s="113"/>
      <c r="P879" s="113"/>
      <c r="Q879" s="113"/>
      <c r="R879" s="113"/>
      <c r="S879" s="113"/>
      <c r="T879" s="113"/>
      <c r="U879" s="113"/>
      <c r="V879" s="113"/>
      <c r="W879" s="113"/>
      <c r="X879" s="113"/>
      <c r="Y879" s="113"/>
      <c r="Z879" s="113"/>
      <c r="AA879" s="113"/>
      <c r="AB879" s="113"/>
      <c r="AC879" s="113"/>
      <c r="AD879" s="113"/>
      <c r="AE879" s="113"/>
      <c r="AF879" s="113"/>
      <c r="AG879" s="113"/>
    </row>
    <row r="880" spans="1:33" ht="13.8">
      <c r="A880" s="113"/>
      <c r="B880" s="113"/>
      <c r="C880" s="113"/>
      <c r="D880" s="113"/>
      <c r="E880" s="113"/>
      <c r="F880" s="113"/>
      <c r="G880" s="113"/>
      <c r="H880" s="113"/>
      <c r="I880" s="113"/>
      <c r="J880" s="113"/>
      <c r="K880" s="113"/>
      <c r="L880" s="113"/>
      <c r="M880" s="113"/>
      <c r="N880" s="113"/>
      <c r="O880" s="113"/>
      <c r="P880" s="113"/>
      <c r="Q880" s="113"/>
      <c r="R880" s="113"/>
      <c r="S880" s="113"/>
      <c r="T880" s="113"/>
      <c r="U880" s="113"/>
      <c r="V880" s="113"/>
      <c r="W880" s="113"/>
      <c r="X880" s="113"/>
      <c r="Y880" s="113"/>
      <c r="Z880" s="113"/>
      <c r="AA880" s="113"/>
      <c r="AB880" s="113"/>
      <c r="AC880" s="113"/>
      <c r="AD880" s="113"/>
      <c r="AE880" s="113"/>
      <c r="AF880" s="113"/>
      <c r="AG880" s="113"/>
    </row>
    <row r="881" spans="1:33" ht="13.8">
      <c r="A881" s="113"/>
      <c r="B881" s="113"/>
      <c r="C881" s="113"/>
      <c r="D881" s="113"/>
      <c r="E881" s="113"/>
      <c r="F881" s="113"/>
      <c r="G881" s="113"/>
      <c r="H881" s="113"/>
      <c r="I881" s="113"/>
      <c r="J881" s="113"/>
      <c r="K881" s="113"/>
      <c r="L881" s="113"/>
      <c r="M881" s="113"/>
      <c r="N881" s="113"/>
      <c r="O881" s="113"/>
      <c r="P881" s="113"/>
      <c r="Q881" s="113"/>
      <c r="R881" s="113"/>
      <c r="S881" s="113"/>
      <c r="T881" s="113"/>
      <c r="U881" s="113"/>
      <c r="V881" s="113"/>
      <c r="W881" s="113"/>
      <c r="X881" s="113"/>
      <c r="Y881" s="113"/>
      <c r="Z881" s="113"/>
      <c r="AA881" s="113"/>
      <c r="AB881" s="113"/>
      <c r="AC881" s="113"/>
      <c r="AD881" s="113"/>
      <c r="AE881" s="113"/>
      <c r="AF881" s="113"/>
      <c r="AG881" s="113"/>
    </row>
    <row r="882" spans="1:33" ht="13.8">
      <c r="A882" s="113"/>
      <c r="B882" s="113"/>
      <c r="C882" s="113"/>
      <c r="D882" s="113"/>
      <c r="E882" s="113"/>
      <c r="F882" s="113"/>
      <c r="G882" s="113"/>
      <c r="H882" s="113"/>
      <c r="I882" s="113"/>
      <c r="J882" s="113"/>
      <c r="K882" s="113"/>
      <c r="L882" s="113"/>
      <c r="M882" s="113"/>
      <c r="N882" s="113"/>
      <c r="O882" s="113"/>
      <c r="P882" s="113"/>
      <c r="Q882" s="113"/>
      <c r="R882" s="113"/>
      <c r="S882" s="113"/>
      <c r="T882" s="113"/>
      <c r="U882" s="113"/>
      <c r="V882" s="113"/>
      <c r="W882" s="113"/>
      <c r="X882" s="113"/>
      <c r="Y882" s="113"/>
      <c r="Z882" s="113"/>
      <c r="AA882" s="113"/>
      <c r="AB882" s="113"/>
      <c r="AC882" s="113"/>
      <c r="AD882" s="113"/>
      <c r="AE882" s="113"/>
      <c r="AF882" s="113"/>
      <c r="AG882" s="113"/>
    </row>
    <row r="883" spans="1:33" ht="13.8">
      <c r="A883" s="113"/>
      <c r="B883" s="113"/>
      <c r="C883" s="113"/>
      <c r="D883" s="113"/>
      <c r="E883" s="113"/>
      <c r="F883" s="113"/>
      <c r="G883" s="113"/>
      <c r="H883" s="113"/>
      <c r="I883" s="113"/>
      <c r="J883" s="113"/>
      <c r="K883" s="113"/>
      <c r="L883" s="113"/>
      <c r="M883" s="113"/>
      <c r="N883" s="113"/>
      <c r="O883" s="113"/>
      <c r="P883" s="113"/>
      <c r="Q883" s="113"/>
      <c r="R883" s="113"/>
      <c r="S883" s="113"/>
      <c r="T883" s="113"/>
      <c r="U883" s="113"/>
      <c r="V883" s="113"/>
      <c r="W883" s="113"/>
      <c r="X883" s="113"/>
      <c r="Y883" s="113"/>
      <c r="Z883" s="113"/>
      <c r="AA883" s="113"/>
      <c r="AB883" s="113"/>
      <c r="AC883" s="113"/>
      <c r="AD883" s="113"/>
      <c r="AE883" s="113"/>
      <c r="AF883" s="113"/>
      <c r="AG883" s="113"/>
    </row>
    <row r="884" spans="1:33" ht="13.8">
      <c r="A884" s="113"/>
      <c r="B884" s="113"/>
      <c r="C884" s="113"/>
      <c r="D884" s="113"/>
      <c r="E884" s="113"/>
      <c r="F884" s="113"/>
      <c r="G884" s="113"/>
      <c r="H884" s="113"/>
      <c r="I884" s="113"/>
      <c r="J884" s="113"/>
      <c r="K884" s="113"/>
      <c r="L884" s="113"/>
      <c r="M884" s="113"/>
      <c r="N884" s="113"/>
      <c r="O884" s="113"/>
      <c r="P884" s="113"/>
      <c r="Q884" s="113"/>
      <c r="R884" s="113"/>
      <c r="S884" s="113"/>
      <c r="T884" s="113"/>
      <c r="U884" s="113"/>
      <c r="V884" s="113"/>
      <c r="W884" s="113"/>
      <c r="X884" s="113"/>
      <c r="Y884" s="113"/>
      <c r="Z884" s="113"/>
      <c r="AA884" s="113"/>
      <c r="AB884" s="113"/>
      <c r="AC884" s="113"/>
      <c r="AD884" s="113"/>
      <c r="AE884" s="113"/>
      <c r="AF884" s="113"/>
      <c r="AG884" s="113"/>
    </row>
    <row r="885" spans="1:33" ht="13.8">
      <c r="A885" s="113"/>
      <c r="B885" s="113"/>
      <c r="C885" s="113"/>
      <c r="D885" s="113"/>
      <c r="E885" s="113"/>
      <c r="F885" s="113"/>
      <c r="G885" s="113"/>
      <c r="H885" s="113"/>
      <c r="I885" s="113"/>
      <c r="J885" s="113"/>
      <c r="K885" s="113"/>
      <c r="L885" s="113"/>
      <c r="M885" s="113"/>
      <c r="N885" s="113"/>
      <c r="O885" s="113"/>
      <c r="P885" s="113"/>
      <c r="Q885" s="113"/>
      <c r="R885" s="113"/>
      <c r="S885" s="113"/>
      <c r="T885" s="113"/>
      <c r="U885" s="113"/>
      <c r="V885" s="113"/>
      <c r="W885" s="113"/>
      <c r="X885" s="113"/>
      <c r="Y885" s="113"/>
      <c r="Z885" s="113"/>
      <c r="AA885" s="113"/>
      <c r="AB885" s="113"/>
      <c r="AC885" s="113"/>
      <c r="AD885" s="113"/>
      <c r="AE885" s="113"/>
      <c r="AF885" s="113"/>
      <c r="AG885" s="113"/>
    </row>
    <row r="886" spans="1:33" ht="13.8">
      <c r="A886" s="113"/>
      <c r="B886" s="113"/>
      <c r="C886" s="113"/>
      <c r="D886" s="113"/>
      <c r="E886" s="113"/>
      <c r="F886" s="113"/>
      <c r="G886" s="113"/>
      <c r="H886" s="113"/>
      <c r="I886" s="113"/>
      <c r="J886" s="113"/>
      <c r="K886" s="113"/>
      <c r="L886" s="113"/>
      <c r="M886" s="113"/>
      <c r="N886" s="113"/>
      <c r="O886" s="113"/>
      <c r="P886" s="113"/>
      <c r="Q886" s="113"/>
      <c r="R886" s="113"/>
      <c r="S886" s="113"/>
      <c r="T886" s="113"/>
      <c r="U886" s="113"/>
      <c r="V886" s="113"/>
      <c r="W886" s="113"/>
      <c r="X886" s="113"/>
      <c r="Y886" s="113"/>
      <c r="Z886" s="113"/>
      <c r="AA886" s="113"/>
      <c r="AB886" s="113"/>
      <c r="AC886" s="113"/>
      <c r="AD886" s="113"/>
      <c r="AE886" s="113"/>
      <c r="AF886" s="113"/>
      <c r="AG886" s="113"/>
    </row>
    <row r="887" spans="1:33" ht="13.8">
      <c r="A887" s="113"/>
      <c r="B887" s="113"/>
      <c r="C887" s="113"/>
      <c r="D887" s="113"/>
      <c r="E887" s="113"/>
      <c r="F887" s="113"/>
      <c r="G887" s="113"/>
      <c r="H887" s="113"/>
      <c r="I887" s="113"/>
      <c r="J887" s="113"/>
      <c r="K887" s="113"/>
      <c r="L887" s="113"/>
      <c r="M887" s="113"/>
      <c r="N887" s="113"/>
      <c r="O887" s="113"/>
      <c r="P887" s="113"/>
      <c r="Q887" s="113"/>
      <c r="R887" s="113"/>
      <c r="S887" s="113"/>
      <c r="T887" s="113"/>
      <c r="U887" s="113"/>
      <c r="V887" s="113"/>
      <c r="W887" s="113"/>
      <c r="X887" s="113"/>
      <c r="Y887" s="113"/>
      <c r="Z887" s="113"/>
      <c r="AA887" s="113"/>
      <c r="AB887" s="113"/>
      <c r="AC887" s="113"/>
      <c r="AD887" s="113"/>
      <c r="AE887" s="113"/>
      <c r="AF887" s="113"/>
      <c r="AG887" s="113"/>
    </row>
    <row r="888" spans="1:33" ht="13.8">
      <c r="A888" s="113"/>
      <c r="B888" s="113"/>
      <c r="C888" s="113"/>
      <c r="D888" s="113"/>
      <c r="E888" s="113"/>
      <c r="F888" s="113"/>
      <c r="G888" s="113"/>
      <c r="H888" s="113"/>
      <c r="I888" s="113"/>
      <c r="J888" s="113"/>
      <c r="K888" s="113"/>
      <c r="L888" s="113"/>
      <c r="M888" s="113"/>
      <c r="N888" s="113"/>
      <c r="O888" s="113"/>
      <c r="P888" s="113"/>
      <c r="Q888" s="113"/>
      <c r="R888" s="113"/>
      <c r="S888" s="113"/>
      <c r="T888" s="113"/>
      <c r="U888" s="113"/>
      <c r="V888" s="113"/>
      <c r="W888" s="113"/>
      <c r="X888" s="113"/>
      <c r="Y888" s="113"/>
      <c r="Z888" s="113"/>
      <c r="AA888" s="113"/>
      <c r="AB888" s="113"/>
      <c r="AC888" s="113"/>
      <c r="AD888" s="113"/>
      <c r="AE888" s="113"/>
      <c r="AF888" s="113"/>
      <c r="AG888" s="113"/>
    </row>
    <row r="889" spans="1:33" ht="13.8">
      <c r="A889" s="113"/>
      <c r="B889" s="113"/>
      <c r="C889" s="113"/>
      <c r="D889" s="113"/>
      <c r="E889" s="113"/>
      <c r="F889" s="113"/>
      <c r="G889" s="113"/>
      <c r="H889" s="113"/>
      <c r="I889" s="113"/>
      <c r="J889" s="113"/>
      <c r="K889" s="113"/>
      <c r="L889" s="113"/>
      <c r="M889" s="113"/>
      <c r="N889" s="113"/>
      <c r="O889" s="113"/>
      <c r="P889" s="113"/>
      <c r="Q889" s="113"/>
      <c r="R889" s="113"/>
      <c r="S889" s="113"/>
      <c r="T889" s="113"/>
      <c r="U889" s="113"/>
      <c r="V889" s="113"/>
      <c r="W889" s="113"/>
      <c r="X889" s="113"/>
      <c r="Y889" s="113"/>
      <c r="Z889" s="113"/>
      <c r="AA889" s="113"/>
      <c r="AB889" s="113"/>
      <c r="AC889" s="113"/>
      <c r="AD889" s="113"/>
      <c r="AE889" s="113"/>
      <c r="AF889" s="113"/>
      <c r="AG889" s="113"/>
    </row>
    <row r="890" spans="1:33" ht="13.8">
      <c r="A890" s="113"/>
      <c r="B890" s="113"/>
      <c r="C890" s="113"/>
      <c r="D890" s="113"/>
      <c r="E890" s="113"/>
      <c r="F890" s="113"/>
      <c r="G890" s="113"/>
      <c r="H890" s="113"/>
      <c r="I890" s="113"/>
      <c r="J890" s="113"/>
      <c r="K890" s="113"/>
      <c r="L890" s="113"/>
      <c r="M890" s="113"/>
      <c r="N890" s="113"/>
      <c r="O890" s="113"/>
      <c r="P890" s="113"/>
      <c r="Q890" s="113"/>
      <c r="R890" s="113"/>
      <c r="S890" s="113"/>
      <c r="T890" s="113"/>
      <c r="U890" s="113"/>
      <c r="V890" s="113"/>
      <c r="W890" s="113"/>
      <c r="X890" s="113"/>
      <c r="Y890" s="113"/>
      <c r="Z890" s="113"/>
      <c r="AA890" s="113"/>
      <c r="AB890" s="113"/>
      <c r="AC890" s="113"/>
      <c r="AD890" s="113"/>
      <c r="AE890" s="113"/>
      <c r="AF890" s="113"/>
      <c r="AG890" s="113"/>
    </row>
    <row r="891" spans="1:33" ht="13.8">
      <c r="A891" s="113"/>
      <c r="B891" s="113"/>
      <c r="C891" s="113"/>
      <c r="D891" s="113"/>
      <c r="E891" s="113"/>
      <c r="F891" s="113"/>
      <c r="G891" s="113"/>
      <c r="H891" s="113"/>
      <c r="I891" s="113"/>
      <c r="J891" s="113"/>
      <c r="K891" s="113"/>
      <c r="L891" s="113"/>
      <c r="M891" s="113"/>
      <c r="N891" s="113"/>
      <c r="O891" s="113"/>
      <c r="P891" s="113"/>
      <c r="Q891" s="113"/>
      <c r="R891" s="113"/>
      <c r="S891" s="113"/>
      <c r="T891" s="113"/>
      <c r="U891" s="113"/>
      <c r="V891" s="113"/>
      <c r="W891" s="113"/>
      <c r="X891" s="113"/>
      <c r="Y891" s="113"/>
      <c r="Z891" s="113"/>
      <c r="AA891" s="113"/>
      <c r="AB891" s="113"/>
      <c r="AC891" s="113"/>
      <c r="AD891" s="113"/>
      <c r="AE891" s="113"/>
      <c r="AF891" s="113"/>
      <c r="AG891" s="113"/>
    </row>
    <row r="892" spans="1:33" ht="13.8">
      <c r="A892" s="113"/>
      <c r="B892" s="113"/>
      <c r="C892" s="113"/>
      <c r="D892" s="113"/>
      <c r="E892" s="113"/>
      <c r="F892" s="113"/>
      <c r="G892" s="113"/>
      <c r="H892" s="113"/>
      <c r="I892" s="113"/>
      <c r="J892" s="113"/>
      <c r="K892" s="113"/>
      <c r="L892" s="113"/>
      <c r="M892" s="113"/>
      <c r="N892" s="113"/>
      <c r="O892" s="113"/>
      <c r="P892" s="113"/>
      <c r="Q892" s="113"/>
      <c r="R892" s="113"/>
      <c r="S892" s="113"/>
      <c r="T892" s="113"/>
      <c r="U892" s="113"/>
      <c r="V892" s="113"/>
      <c r="W892" s="113"/>
      <c r="X892" s="113"/>
      <c r="Y892" s="113"/>
      <c r="Z892" s="113"/>
      <c r="AA892" s="113"/>
      <c r="AB892" s="113"/>
      <c r="AC892" s="113"/>
      <c r="AD892" s="113"/>
      <c r="AE892" s="113"/>
      <c r="AF892" s="113"/>
      <c r="AG892" s="113"/>
    </row>
    <row r="893" spans="1:33" ht="13.8">
      <c r="A893" s="113"/>
      <c r="B893" s="113"/>
      <c r="C893" s="113"/>
      <c r="D893" s="113"/>
      <c r="E893" s="113"/>
      <c r="F893" s="113"/>
      <c r="G893" s="113"/>
      <c r="H893" s="113"/>
      <c r="I893" s="113"/>
      <c r="J893" s="113"/>
      <c r="K893" s="113"/>
      <c r="L893" s="113"/>
      <c r="M893" s="113"/>
      <c r="N893" s="113"/>
      <c r="O893" s="113"/>
      <c r="P893" s="113"/>
      <c r="Q893" s="113"/>
      <c r="R893" s="113"/>
      <c r="S893" s="113"/>
      <c r="T893" s="113"/>
      <c r="U893" s="113"/>
      <c r="V893" s="113"/>
      <c r="W893" s="113"/>
      <c r="X893" s="113"/>
      <c r="Y893" s="113"/>
      <c r="Z893" s="113"/>
      <c r="AA893" s="113"/>
      <c r="AB893" s="113"/>
      <c r="AC893" s="113"/>
      <c r="AD893" s="113"/>
      <c r="AE893" s="113"/>
      <c r="AF893" s="113"/>
      <c r="AG893" s="113"/>
    </row>
    <row r="894" spans="1:33" ht="13.8">
      <c r="A894" s="113"/>
      <c r="B894" s="113"/>
      <c r="C894" s="113"/>
      <c r="D894" s="113"/>
      <c r="E894" s="113"/>
      <c r="F894" s="113"/>
      <c r="G894" s="113"/>
      <c r="H894" s="113"/>
      <c r="I894" s="113"/>
      <c r="J894" s="113"/>
      <c r="K894" s="113"/>
      <c r="L894" s="113"/>
      <c r="M894" s="113"/>
      <c r="N894" s="113"/>
      <c r="O894" s="113"/>
      <c r="P894" s="113"/>
      <c r="Q894" s="113"/>
      <c r="R894" s="113"/>
      <c r="S894" s="113"/>
      <c r="T894" s="113"/>
      <c r="U894" s="113"/>
      <c r="V894" s="113"/>
      <c r="W894" s="113"/>
      <c r="X894" s="113"/>
      <c r="Y894" s="113"/>
      <c r="Z894" s="113"/>
      <c r="AA894" s="113"/>
      <c r="AB894" s="113"/>
      <c r="AC894" s="113"/>
      <c r="AD894" s="113"/>
      <c r="AE894" s="113"/>
      <c r="AF894" s="113"/>
      <c r="AG894" s="113"/>
    </row>
    <row r="895" spans="1:33" ht="13.8">
      <c r="A895" s="113"/>
      <c r="B895" s="113"/>
      <c r="C895" s="113"/>
      <c r="D895" s="113"/>
      <c r="E895" s="113"/>
      <c r="F895" s="113"/>
      <c r="G895" s="113"/>
      <c r="H895" s="113"/>
      <c r="I895" s="113"/>
      <c r="J895" s="113"/>
      <c r="K895" s="113"/>
      <c r="L895" s="113"/>
      <c r="M895" s="113"/>
      <c r="N895" s="113"/>
      <c r="O895" s="113"/>
      <c r="P895" s="113"/>
      <c r="Q895" s="113"/>
      <c r="R895" s="113"/>
      <c r="S895" s="113"/>
      <c r="T895" s="113"/>
      <c r="U895" s="113"/>
      <c r="V895" s="113"/>
      <c r="W895" s="113"/>
      <c r="X895" s="113"/>
      <c r="Y895" s="113"/>
      <c r="Z895" s="113"/>
      <c r="AA895" s="113"/>
      <c r="AB895" s="113"/>
      <c r="AC895" s="113"/>
      <c r="AD895" s="113"/>
      <c r="AE895" s="113"/>
      <c r="AF895" s="113"/>
      <c r="AG895" s="113"/>
    </row>
    <row r="896" spans="1:33" ht="13.8">
      <c r="A896" s="113"/>
      <c r="B896" s="113"/>
      <c r="C896" s="113"/>
      <c r="D896" s="113"/>
      <c r="E896" s="113"/>
      <c r="F896" s="113"/>
      <c r="G896" s="113"/>
      <c r="H896" s="113"/>
      <c r="I896" s="113"/>
      <c r="J896" s="113"/>
      <c r="K896" s="113"/>
      <c r="L896" s="113"/>
      <c r="M896" s="113"/>
      <c r="N896" s="113"/>
      <c r="O896" s="113"/>
      <c r="P896" s="113"/>
      <c r="Q896" s="113"/>
      <c r="R896" s="113"/>
      <c r="S896" s="113"/>
      <c r="T896" s="113"/>
      <c r="U896" s="113"/>
      <c r="V896" s="113"/>
      <c r="W896" s="113"/>
      <c r="X896" s="113"/>
      <c r="Y896" s="113"/>
      <c r="Z896" s="113"/>
      <c r="AA896" s="113"/>
      <c r="AB896" s="113"/>
      <c r="AC896" s="113"/>
      <c r="AD896" s="113"/>
      <c r="AE896" s="113"/>
      <c r="AF896" s="113"/>
      <c r="AG896" s="113"/>
    </row>
    <row r="897" spans="1:33" ht="13.8">
      <c r="A897" s="113"/>
      <c r="B897" s="113"/>
      <c r="C897" s="113"/>
      <c r="D897" s="113"/>
      <c r="E897" s="113"/>
      <c r="F897" s="113"/>
      <c r="G897" s="113"/>
      <c r="H897" s="113"/>
      <c r="I897" s="113"/>
      <c r="J897" s="113"/>
      <c r="K897" s="113"/>
      <c r="L897" s="113"/>
      <c r="M897" s="113"/>
      <c r="N897" s="113"/>
      <c r="O897" s="113"/>
      <c r="P897" s="113"/>
      <c r="Q897" s="113"/>
      <c r="R897" s="113"/>
      <c r="S897" s="113"/>
      <c r="T897" s="113"/>
      <c r="U897" s="113"/>
      <c r="V897" s="113"/>
      <c r="W897" s="113"/>
      <c r="X897" s="113"/>
      <c r="Y897" s="113"/>
      <c r="Z897" s="113"/>
      <c r="AA897" s="113"/>
      <c r="AB897" s="113"/>
      <c r="AC897" s="113"/>
      <c r="AD897" s="113"/>
      <c r="AE897" s="113"/>
      <c r="AF897" s="113"/>
      <c r="AG897" s="113"/>
    </row>
    <row r="898" spans="1:33" ht="13.8">
      <c r="A898" s="113"/>
      <c r="B898" s="113"/>
      <c r="C898" s="113"/>
      <c r="D898" s="113"/>
      <c r="E898" s="113"/>
      <c r="F898" s="113"/>
      <c r="G898" s="113"/>
      <c r="H898" s="113"/>
      <c r="I898" s="113"/>
      <c r="J898" s="113"/>
      <c r="K898" s="113"/>
      <c r="L898" s="113"/>
      <c r="M898" s="113"/>
      <c r="N898" s="113"/>
      <c r="O898" s="113"/>
      <c r="P898" s="113"/>
      <c r="Q898" s="113"/>
      <c r="R898" s="113"/>
      <c r="S898" s="113"/>
      <c r="T898" s="113"/>
      <c r="U898" s="113"/>
      <c r="V898" s="113"/>
      <c r="W898" s="113"/>
      <c r="X898" s="113"/>
      <c r="Y898" s="113"/>
      <c r="Z898" s="113"/>
      <c r="AA898" s="113"/>
      <c r="AB898" s="113"/>
      <c r="AC898" s="113"/>
      <c r="AD898" s="113"/>
      <c r="AE898" s="113"/>
      <c r="AF898" s="113"/>
      <c r="AG898" s="113"/>
    </row>
    <row r="899" spans="1:33" ht="13.8">
      <c r="A899" s="113"/>
      <c r="B899" s="113"/>
      <c r="C899" s="113"/>
      <c r="D899" s="113"/>
      <c r="E899" s="113"/>
      <c r="F899" s="113"/>
      <c r="G899" s="113"/>
      <c r="H899" s="113"/>
      <c r="I899" s="113"/>
      <c r="J899" s="113"/>
      <c r="K899" s="113"/>
      <c r="L899" s="113"/>
      <c r="M899" s="113"/>
      <c r="N899" s="113"/>
      <c r="O899" s="113"/>
      <c r="P899" s="113"/>
      <c r="Q899" s="113"/>
      <c r="R899" s="113"/>
      <c r="S899" s="113"/>
      <c r="T899" s="113"/>
      <c r="U899" s="113"/>
      <c r="V899" s="113"/>
      <c r="W899" s="113"/>
      <c r="X899" s="113"/>
      <c r="Y899" s="113"/>
      <c r="Z899" s="113"/>
      <c r="AA899" s="113"/>
      <c r="AB899" s="113"/>
      <c r="AC899" s="113"/>
      <c r="AD899" s="113"/>
      <c r="AE899" s="113"/>
      <c r="AF899" s="113"/>
      <c r="AG899" s="113"/>
    </row>
    <row r="900" spans="1:33" ht="13.8">
      <c r="A900" s="113"/>
      <c r="B900" s="113"/>
      <c r="C900" s="113"/>
      <c r="D900" s="113"/>
      <c r="E900" s="113"/>
      <c r="F900" s="113"/>
      <c r="G900" s="113"/>
      <c r="H900" s="113"/>
      <c r="I900" s="113"/>
      <c r="J900" s="113"/>
      <c r="K900" s="113"/>
      <c r="L900" s="113"/>
      <c r="M900" s="113"/>
      <c r="N900" s="113"/>
      <c r="O900" s="113"/>
      <c r="P900" s="113"/>
      <c r="Q900" s="113"/>
      <c r="R900" s="113"/>
      <c r="S900" s="113"/>
      <c r="T900" s="113"/>
      <c r="U900" s="113"/>
      <c r="V900" s="113"/>
      <c r="W900" s="113"/>
      <c r="X900" s="113"/>
      <c r="Y900" s="113"/>
      <c r="Z900" s="113"/>
      <c r="AA900" s="113"/>
      <c r="AB900" s="113"/>
      <c r="AC900" s="113"/>
      <c r="AD900" s="113"/>
      <c r="AE900" s="113"/>
      <c r="AF900" s="113"/>
      <c r="AG900" s="113"/>
    </row>
    <row r="901" spans="1:33" ht="13.8">
      <c r="A901" s="113"/>
      <c r="B901" s="113"/>
      <c r="C901" s="113"/>
      <c r="D901" s="113"/>
      <c r="E901" s="113"/>
      <c r="F901" s="113"/>
      <c r="G901" s="113"/>
      <c r="H901" s="113"/>
      <c r="I901" s="113"/>
      <c r="J901" s="113"/>
      <c r="K901" s="113"/>
      <c r="L901" s="113"/>
      <c r="M901" s="113"/>
      <c r="N901" s="113"/>
      <c r="O901" s="113"/>
      <c r="P901" s="113"/>
      <c r="Q901" s="113"/>
      <c r="R901" s="113"/>
      <c r="S901" s="113"/>
      <c r="T901" s="113"/>
      <c r="U901" s="113"/>
      <c r="V901" s="113"/>
      <c r="W901" s="113"/>
      <c r="X901" s="113"/>
      <c r="Y901" s="113"/>
      <c r="Z901" s="113"/>
      <c r="AA901" s="113"/>
      <c r="AB901" s="113"/>
      <c r="AC901" s="113"/>
      <c r="AD901" s="113"/>
      <c r="AE901" s="113"/>
      <c r="AF901" s="113"/>
      <c r="AG901" s="113"/>
    </row>
    <row r="902" spans="1:33" ht="13.8">
      <c r="A902" s="113"/>
      <c r="B902" s="113"/>
      <c r="C902" s="113"/>
      <c r="D902" s="113"/>
      <c r="E902" s="113"/>
      <c r="F902" s="113"/>
      <c r="G902" s="113"/>
      <c r="H902" s="113"/>
      <c r="I902" s="113"/>
      <c r="J902" s="113"/>
      <c r="K902" s="113"/>
      <c r="L902" s="113"/>
      <c r="M902" s="113"/>
      <c r="N902" s="113"/>
      <c r="O902" s="113"/>
      <c r="P902" s="113"/>
      <c r="Q902" s="113"/>
      <c r="R902" s="113"/>
      <c r="S902" s="113"/>
      <c r="T902" s="113"/>
      <c r="U902" s="113"/>
      <c r="V902" s="113"/>
      <c r="W902" s="113"/>
      <c r="X902" s="113"/>
      <c r="Y902" s="113"/>
      <c r="Z902" s="113"/>
      <c r="AA902" s="113"/>
      <c r="AB902" s="113"/>
      <c r="AC902" s="113"/>
      <c r="AD902" s="113"/>
      <c r="AE902" s="113"/>
      <c r="AF902" s="113"/>
      <c r="AG902" s="113"/>
    </row>
    <row r="903" spans="1:33" ht="13.8">
      <c r="A903" s="113"/>
      <c r="B903" s="113"/>
      <c r="C903" s="113"/>
      <c r="D903" s="113"/>
      <c r="E903" s="113"/>
      <c r="F903" s="113"/>
      <c r="G903" s="113"/>
      <c r="H903" s="113"/>
      <c r="I903" s="113"/>
      <c r="J903" s="113"/>
      <c r="K903" s="113"/>
      <c r="L903" s="113"/>
      <c r="M903" s="113"/>
      <c r="N903" s="113"/>
      <c r="O903" s="113"/>
      <c r="P903" s="113"/>
      <c r="Q903" s="113"/>
      <c r="R903" s="113"/>
      <c r="S903" s="113"/>
      <c r="T903" s="113"/>
      <c r="U903" s="113"/>
      <c r="V903" s="113"/>
      <c r="W903" s="113"/>
      <c r="X903" s="113"/>
      <c r="Y903" s="113"/>
      <c r="Z903" s="113"/>
      <c r="AA903" s="113"/>
      <c r="AB903" s="113"/>
      <c r="AC903" s="113"/>
      <c r="AD903" s="113"/>
      <c r="AE903" s="113"/>
      <c r="AF903" s="113"/>
      <c r="AG903" s="113"/>
    </row>
    <row r="904" spans="1:33" ht="13.8">
      <c r="A904" s="113"/>
      <c r="B904" s="113"/>
      <c r="C904" s="113"/>
      <c r="D904" s="113"/>
      <c r="E904" s="113"/>
      <c r="F904" s="113"/>
      <c r="G904" s="113"/>
      <c r="H904" s="113"/>
      <c r="I904" s="113"/>
      <c r="J904" s="113"/>
      <c r="K904" s="113"/>
      <c r="L904" s="113"/>
      <c r="M904" s="113"/>
      <c r="N904" s="113"/>
      <c r="O904" s="113"/>
      <c r="P904" s="113"/>
      <c r="Q904" s="113"/>
      <c r="R904" s="113"/>
      <c r="S904" s="113"/>
      <c r="T904" s="113"/>
      <c r="U904" s="113"/>
      <c r="V904" s="113"/>
      <c r="W904" s="113"/>
      <c r="X904" s="113"/>
      <c r="Y904" s="113"/>
      <c r="Z904" s="113"/>
      <c r="AA904" s="113"/>
      <c r="AB904" s="113"/>
      <c r="AC904" s="113"/>
      <c r="AD904" s="113"/>
      <c r="AE904" s="113"/>
      <c r="AF904" s="113"/>
      <c r="AG904" s="113"/>
    </row>
    <row r="905" spans="1:33" ht="13.8">
      <c r="A905" s="113"/>
      <c r="B905" s="113"/>
      <c r="C905" s="113"/>
      <c r="D905" s="113"/>
      <c r="E905" s="113"/>
      <c r="F905" s="113"/>
      <c r="G905" s="113"/>
      <c r="H905" s="113"/>
      <c r="I905" s="113"/>
      <c r="J905" s="113"/>
      <c r="K905" s="113"/>
      <c r="L905" s="113"/>
      <c r="M905" s="113"/>
      <c r="N905" s="113"/>
      <c r="O905" s="113"/>
      <c r="P905" s="113"/>
      <c r="Q905" s="113"/>
      <c r="R905" s="113"/>
      <c r="S905" s="113"/>
      <c r="T905" s="113"/>
      <c r="U905" s="113"/>
      <c r="V905" s="113"/>
      <c r="W905" s="113"/>
      <c r="X905" s="113"/>
      <c r="Y905" s="113"/>
      <c r="Z905" s="113"/>
      <c r="AA905" s="113"/>
      <c r="AB905" s="113"/>
      <c r="AC905" s="113"/>
      <c r="AD905" s="113"/>
      <c r="AE905" s="113"/>
      <c r="AF905" s="113"/>
      <c r="AG905" s="113"/>
    </row>
    <row r="906" spans="1:33" ht="13.8">
      <c r="A906" s="113"/>
      <c r="B906" s="113"/>
      <c r="C906" s="113"/>
      <c r="D906" s="113"/>
      <c r="E906" s="113"/>
      <c r="F906" s="113"/>
      <c r="G906" s="113"/>
      <c r="H906" s="113"/>
      <c r="I906" s="113"/>
      <c r="J906" s="113"/>
      <c r="K906" s="113"/>
      <c r="L906" s="113"/>
      <c r="M906" s="113"/>
      <c r="N906" s="113"/>
      <c r="O906" s="113"/>
      <c r="P906" s="113"/>
      <c r="Q906" s="113"/>
      <c r="R906" s="113"/>
      <c r="S906" s="113"/>
      <c r="T906" s="113"/>
      <c r="U906" s="113"/>
      <c r="V906" s="113"/>
      <c r="W906" s="113"/>
      <c r="X906" s="113"/>
      <c r="Y906" s="113"/>
      <c r="Z906" s="113"/>
      <c r="AA906" s="113"/>
      <c r="AB906" s="113"/>
      <c r="AC906" s="113"/>
      <c r="AD906" s="113"/>
      <c r="AE906" s="113"/>
      <c r="AF906" s="113"/>
      <c r="AG906" s="113"/>
    </row>
    <row r="907" spans="1:33" ht="13.8">
      <c r="A907" s="113"/>
      <c r="B907" s="113"/>
      <c r="C907" s="113"/>
      <c r="D907" s="113"/>
      <c r="E907" s="113"/>
      <c r="F907" s="113"/>
      <c r="G907" s="113"/>
      <c r="H907" s="113"/>
      <c r="I907" s="113"/>
      <c r="J907" s="113"/>
      <c r="K907" s="113"/>
      <c r="L907" s="113"/>
      <c r="M907" s="113"/>
      <c r="N907" s="113"/>
      <c r="O907" s="113"/>
      <c r="P907" s="113"/>
      <c r="Q907" s="113"/>
      <c r="R907" s="113"/>
      <c r="S907" s="113"/>
      <c r="T907" s="113"/>
      <c r="U907" s="113"/>
      <c r="V907" s="113"/>
      <c r="W907" s="113"/>
      <c r="X907" s="113"/>
      <c r="Y907" s="113"/>
      <c r="Z907" s="113"/>
      <c r="AA907" s="113"/>
      <c r="AB907" s="113"/>
      <c r="AC907" s="113"/>
      <c r="AD907" s="113"/>
      <c r="AE907" s="113"/>
      <c r="AF907" s="113"/>
      <c r="AG907" s="113"/>
    </row>
    <row r="908" spans="1:33" ht="13.8">
      <c r="A908" s="113"/>
      <c r="B908" s="113"/>
      <c r="C908" s="113"/>
      <c r="D908" s="113"/>
      <c r="E908" s="113"/>
      <c r="F908" s="113"/>
      <c r="G908" s="113"/>
      <c r="H908" s="113"/>
      <c r="I908" s="113"/>
      <c r="J908" s="113"/>
      <c r="K908" s="113"/>
      <c r="L908" s="113"/>
      <c r="M908" s="113"/>
      <c r="N908" s="113"/>
      <c r="O908" s="113"/>
      <c r="P908" s="113"/>
      <c r="Q908" s="113"/>
      <c r="R908" s="113"/>
      <c r="S908" s="113"/>
      <c r="T908" s="113"/>
      <c r="U908" s="113"/>
      <c r="V908" s="113"/>
      <c r="W908" s="113"/>
      <c r="X908" s="113"/>
      <c r="Y908" s="113"/>
      <c r="Z908" s="113"/>
      <c r="AA908" s="113"/>
      <c r="AB908" s="113"/>
      <c r="AC908" s="113"/>
      <c r="AD908" s="113"/>
      <c r="AE908" s="113"/>
      <c r="AF908" s="113"/>
      <c r="AG908" s="113"/>
    </row>
    <row r="909" spans="1:33" ht="13.8">
      <c r="A909" s="113"/>
      <c r="B909" s="113"/>
      <c r="C909" s="113"/>
      <c r="D909" s="113"/>
      <c r="E909" s="113"/>
      <c r="F909" s="113"/>
      <c r="G909" s="113"/>
      <c r="H909" s="113"/>
      <c r="I909" s="113"/>
      <c r="J909" s="113"/>
      <c r="K909" s="113"/>
      <c r="L909" s="113"/>
      <c r="M909" s="113"/>
      <c r="N909" s="113"/>
      <c r="O909" s="113"/>
      <c r="P909" s="113"/>
      <c r="Q909" s="113"/>
      <c r="R909" s="113"/>
      <c r="S909" s="113"/>
      <c r="T909" s="113"/>
      <c r="U909" s="113"/>
      <c r="V909" s="113"/>
      <c r="W909" s="113"/>
      <c r="X909" s="113"/>
      <c r="Y909" s="113"/>
      <c r="Z909" s="113"/>
      <c r="AA909" s="113"/>
      <c r="AB909" s="113"/>
      <c r="AC909" s="113"/>
      <c r="AD909" s="113"/>
      <c r="AE909" s="113"/>
      <c r="AF909" s="113"/>
      <c r="AG909" s="113"/>
    </row>
    <row r="910" spans="1:33" ht="13.8">
      <c r="A910" s="113"/>
      <c r="B910" s="113"/>
      <c r="C910" s="113"/>
      <c r="D910" s="113"/>
      <c r="E910" s="113"/>
      <c r="F910" s="113"/>
      <c r="G910" s="113"/>
      <c r="H910" s="113"/>
      <c r="I910" s="113"/>
      <c r="J910" s="113"/>
      <c r="K910" s="113"/>
      <c r="L910" s="113"/>
      <c r="M910" s="113"/>
      <c r="N910" s="113"/>
      <c r="O910" s="113"/>
      <c r="P910" s="113"/>
      <c r="Q910" s="113"/>
      <c r="R910" s="113"/>
      <c r="S910" s="113"/>
      <c r="T910" s="113"/>
      <c r="U910" s="113"/>
      <c r="V910" s="113"/>
      <c r="W910" s="113"/>
      <c r="X910" s="113"/>
      <c r="Y910" s="113"/>
      <c r="Z910" s="113"/>
      <c r="AA910" s="113"/>
      <c r="AB910" s="113"/>
      <c r="AC910" s="113"/>
      <c r="AD910" s="113"/>
      <c r="AE910" s="113"/>
      <c r="AF910" s="113"/>
      <c r="AG910" s="113"/>
    </row>
    <row r="911" spans="1:33" ht="13.8">
      <c r="A911" s="113"/>
      <c r="B911" s="113"/>
      <c r="C911" s="113"/>
      <c r="D911" s="113"/>
      <c r="E911" s="113"/>
      <c r="F911" s="113"/>
      <c r="G911" s="113"/>
      <c r="H911" s="113"/>
      <c r="I911" s="113"/>
      <c r="J911" s="113"/>
      <c r="K911" s="113"/>
      <c r="L911" s="113"/>
      <c r="M911" s="113"/>
      <c r="N911" s="113"/>
      <c r="O911" s="113"/>
      <c r="P911" s="113"/>
      <c r="Q911" s="113"/>
      <c r="R911" s="113"/>
      <c r="S911" s="113"/>
      <c r="T911" s="113"/>
      <c r="U911" s="113"/>
      <c r="V911" s="113"/>
      <c r="W911" s="113"/>
      <c r="X911" s="113"/>
      <c r="Y911" s="113"/>
      <c r="Z911" s="113"/>
      <c r="AA911" s="113"/>
      <c r="AB911" s="113"/>
      <c r="AC911" s="113"/>
      <c r="AD911" s="113"/>
      <c r="AE911" s="113"/>
      <c r="AF911" s="113"/>
      <c r="AG911" s="113"/>
    </row>
    <row r="912" spans="1:33" ht="13.8">
      <c r="A912" s="113"/>
      <c r="B912" s="113"/>
      <c r="C912" s="113"/>
      <c r="D912" s="113"/>
      <c r="E912" s="113"/>
      <c r="F912" s="113"/>
      <c r="G912" s="113"/>
      <c r="H912" s="113"/>
      <c r="I912" s="113"/>
      <c r="J912" s="113"/>
      <c r="K912" s="113"/>
      <c r="L912" s="113"/>
      <c r="M912" s="113"/>
      <c r="N912" s="113"/>
      <c r="O912" s="113"/>
      <c r="P912" s="113"/>
      <c r="Q912" s="113"/>
      <c r="R912" s="113"/>
      <c r="S912" s="113"/>
      <c r="T912" s="113"/>
      <c r="U912" s="113"/>
      <c r="V912" s="113"/>
      <c r="W912" s="113"/>
      <c r="X912" s="113"/>
      <c r="Y912" s="113"/>
      <c r="Z912" s="113"/>
      <c r="AA912" s="113"/>
      <c r="AB912" s="113"/>
      <c r="AC912" s="113"/>
      <c r="AD912" s="113"/>
      <c r="AE912" s="113"/>
      <c r="AF912" s="113"/>
      <c r="AG912" s="113"/>
    </row>
    <row r="913" spans="1:33" ht="13.8">
      <c r="A913" s="113"/>
      <c r="B913" s="113"/>
      <c r="C913" s="113"/>
      <c r="D913" s="113"/>
      <c r="E913" s="113"/>
      <c r="F913" s="113"/>
      <c r="G913" s="113"/>
      <c r="H913" s="113"/>
      <c r="I913" s="113"/>
      <c r="J913" s="113"/>
      <c r="K913" s="113"/>
      <c r="L913" s="113"/>
      <c r="M913" s="113"/>
      <c r="N913" s="113"/>
      <c r="O913" s="113"/>
      <c r="P913" s="113"/>
      <c r="Q913" s="113"/>
      <c r="R913" s="113"/>
      <c r="S913" s="113"/>
      <c r="T913" s="113"/>
      <c r="U913" s="113"/>
      <c r="V913" s="113"/>
      <c r="W913" s="113"/>
      <c r="X913" s="113"/>
      <c r="Y913" s="113"/>
      <c r="Z913" s="113"/>
      <c r="AA913" s="113"/>
      <c r="AB913" s="113"/>
      <c r="AC913" s="113"/>
      <c r="AD913" s="113"/>
      <c r="AE913" s="113"/>
      <c r="AF913" s="113"/>
      <c r="AG913" s="113"/>
    </row>
    <row r="914" spans="1:33" ht="13.8">
      <c r="A914" s="113"/>
      <c r="B914" s="113"/>
      <c r="C914" s="113"/>
      <c r="D914" s="113"/>
      <c r="E914" s="113"/>
      <c r="F914" s="113"/>
      <c r="G914" s="113"/>
      <c r="H914" s="113"/>
      <c r="I914" s="113"/>
      <c r="J914" s="113"/>
      <c r="K914" s="113"/>
      <c r="L914" s="113"/>
      <c r="M914" s="113"/>
      <c r="N914" s="113"/>
      <c r="O914" s="113"/>
      <c r="P914" s="113"/>
      <c r="Q914" s="113"/>
      <c r="R914" s="113"/>
      <c r="S914" s="113"/>
      <c r="T914" s="113"/>
      <c r="U914" s="113"/>
      <c r="V914" s="113"/>
      <c r="W914" s="113"/>
      <c r="X914" s="113"/>
      <c r="Y914" s="113"/>
      <c r="Z914" s="113"/>
      <c r="AA914" s="113"/>
      <c r="AB914" s="113"/>
      <c r="AC914" s="113"/>
      <c r="AD914" s="113"/>
      <c r="AE914" s="113"/>
      <c r="AF914" s="113"/>
      <c r="AG914" s="113"/>
    </row>
    <row r="915" spans="1:33" ht="13.8">
      <c r="A915" s="113"/>
      <c r="B915" s="113"/>
      <c r="C915" s="113"/>
      <c r="D915" s="113"/>
      <c r="E915" s="113"/>
      <c r="F915" s="113"/>
      <c r="G915" s="113"/>
      <c r="H915" s="113"/>
      <c r="I915" s="113"/>
      <c r="J915" s="113"/>
      <c r="K915" s="113"/>
      <c r="L915" s="113"/>
      <c r="M915" s="113"/>
      <c r="N915" s="113"/>
      <c r="O915" s="113"/>
      <c r="P915" s="113"/>
      <c r="Q915" s="113"/>
      <c r="R915" s="113"/>
      <c r="S915" s="113"/>
      <c r="T915" s="113"/>
      <c r="U915" s="113"/>
      <c r="V915" s="113"/>
      <c r="W915" s="113"/>
      <c r="X915" s="113"/>
      <c r="Y915" s="113"/>
      <c r="Z915" s="113"/>
      <c r="AA915" s="113"/>
      <c r="AB915" s="113"/>
      <c r="AC915" s="113"/>
      <c r="AD915" s="113"/>
      <c r="AE915" s="113"/>
      <c r="AF915" s="113"/>
      <c r="AG915" s="113"/>
    </row>
    <row r="916" spans="1:33" ht="13.8">
      <c r="A916" s="113"/>
      <c r="B916" s="113"/>
      <c r="C916" s="113"/>
      <c r="D916" s="113"/>
      <c r="E916" s="113"/>
      <c r="F916" s="113"/>
      <c r="G916" s="113"/>
      <c r="H916" s="113"/>
      <c r="I916" s="113"/>
      <c r="J916" s="113"/>
      <c r="K916" s="113"/>
      <c r="L916" s="113"/>
      <c r="M916" s="113"/>
      <c r="N916" s="113"/>
      <c r="O916" s="113"/>
      <c r="P916" s="113"/>
      <c r="Q916" s="113"/>
      <c r="R916" s="113"/>
      <c r="S916" s="113"/>
      <c r="T916" s="113"/>
      <c r="U916" s="113"/>
      <c r="V916" s="113"/>
      <c r="W916" s="113"/>
      <c r="X916" s="113"/>
      <c r="Y916" s="113"/>
      <c r="Z916" s="113"/>
      <c r="AA916" s="113"/>
      <c r="AB916" s="113"/>
      <c r="AC916" s="113"/>
      <c r="AD916" s="113"/>
      <c r="AE916" s="113"/>
      <c r="AF916" s="113"/>
      <c r="AG916" s="113"/>
    </row>
    <row r="917" spans="1:33" ht="13.8">
      <c r="A917" s="113"/>
      <c r="B917" s="113"/>
      <c r="C917" s="113"/>
      <c r="D917" s="113"/>
      <c r="E917" s="113"/>
      <c r="F917" s="113"/>
      <c r="G917" s="113"/>
      <c r="H917" s="113"/>
      <c r="I917" s="113"/>
      <c r="J917" s="113"/>
      <c r="K917" s="113"/>
      <c r="L917" s="113"/>
      <c r="M917" s="113"/>
      <c r="N917" s="113"/>
      <c r="O917" s="113"/>
      <c r="P917" s="113"/>
      <c r="Q917" s="113"/>
      <c r="R917" s="113"/>
      <c r="S917" s="113"/>
      <c r="T917" s="113"/>
      <c r="U917" s="113"/>
      <c r="V917" s="113"/>
      <c r="W917" s="113"/>
      <c r="X917" s="113"/>
      <c r="Y917" s="113"/>
      <c r="Z917" s="113"/>
      <c r="AA917" s="113"/>
      <c r="AB917" s="113"/>
      <c r="AC917" s="113"/>
      <c r="AD917" s="113"/>
      <c r="AE917" s="113"/>
      <c r="AF917" s="113"/>
      <c r="AG917" s="113"/>
    </row>
    <row r="918" spans="1:33" ht="13.8">
      <c r="A918" s="113"/>
      <c r="B918" s="113"/>
      <c r="C918" s="113"/>
      <c r="D918" s="113"/>
      <c r="E918" s="113"/>
      <c r="F918" s="113"/>
      <c r="G918" s="113"/>
      <c r="H918" s="113"/>
      <c r="I918" s="113"/>
      <c r="J918" s="113"/>
      <c r="K918" s="113"/>
      <c r="L918" s="113"/>
      <c r="M918" s="113"/>
      <c r="N918" s="113"/>
      <c r="O918" s="113"/>
      <c r="P918" s="113"/>
      <c r="Q918" s="113"/>
      <c r="R918" s="113"/>
      <c r="S918" s="113"/>
      <c r="T918" s="113"/>
      <c r="U918" s="113"/>
      <c r="V918" s="113"/>
      <c r="W918" s="113"/>
      <c r="X918" s="113"/>
      <c r="Y918" s="113"/>
      <c r="Z918" s="113"/>
      <c r="AA918" s="113"/>
      <c r="AB918" s="113"/>
      <c r="AC918" s="113"/>
      <c r="AD918" s="113"/>
      <c r="AE918" s="113"/>
      <c r="AF918" s="113"/>
      <c r="AG918" s="113"/>
    </row>
    <row r="919" spans="1:33" ht="13.8">
      <c r="A919" s="113"/>
      <c r="B919" s="113"/>
      <c r="C919" s="113"/>
      <c r="D919" s="113"/>
      <c r="E919" s="113"/>
      <c r="F919" s="113"/>
      <c r="G919" s="113"/>
      <c r="H919" s="113"/>
      <c r="I919" s="113"/>
      <c r="J919" s="113"/>
      <c r="K919" s="113"/>
      <c r="L919" s="113"/>
      <c r="M919" s="113"/>
      <c r="N919" s="113"/>
      <c r="O919" s="113"/>
      <c r="P919" s="113"/>
      <c r="Q919" s="113"/>
      <c r="R919" s="113"/>
      <c r="S919" s="113"/>
      <c r="T919" s="113"/>
      <c r="U919" s="113"/>
      <c r="V919" s="113"/>
      <c r="W919" s="113"/>
      <c r="X919" s="113"/>
      <c r="Y919" s="113"/>
      <c r="Z919" s="113"/>
      <c r="AA919" s="113"/>
      <c r="AB919" s="113"/>
      <c r="AC919" s="113"/>
      <c r="AD919" s="113"/>
      <c r="AE919" s="113"/>
      <c r="AF919" s="113"/>
      <c r="AG919" s="113"/>
    </row>
    <row r="920" spans="1:33" ht="13.8">
      <c r="A920" s="113"/>
      <c r="B920" s="113"/>
      <c r="C920" s="113"/>
      <c r="D920" s="113"/>
      <c r="E920" s="113"/>
      <c r="F920" s="113"/>
      <c r="G920" s="113"/>
      <c r="H920" s="113"/>
      <c r="I920" s="113"/>
      <c r="J920" s="113"/>
      <c r="K920" s="113"/>
      <c r="L920" s="113"/>
      <c r="M920" s="113"/>
      <c r="N920" s="113"/>
      <c r="O920" s="113"/>
      <c r="P920" s="113"/>
      <c r="Q920" s="113"/>
      <c r="R920" s="113"/>
      <c r="S920" s="113"/>
      <c r="T920" s="113"/>
      <c r="U920" s="113"/>
      <c r="V920" s="113"/>
      <c r="W920" s="113"/>
      <c r="X920" s="113"/>
      <c r="Y920" s="113"/>
      <c r="Z920" s="113"/>
      <c r="AA920" s="113"/>
      <c r="AB920" s="113"/>
      <c r="AC920" s="113"/>
      <c r="AD920" s="113"/>
      <c r="AE920" s="113"/>
      <c r="AF920" s="113"/>
      <c r="AG920" s="113"/>
    </row>
    <row r="921" spans="1:33" ht="13.8">
      <c r="A921" s="113"/>
      <c r="B921" s="113"/>
      <c r="C921" s="113"/>
      <c r="D921" s="113"/>
      <c r="E921" s="113"/>
      <c r="F921" s="113"/>
      <c r="G921" s="113"/>
      <c r="H921" s="113"/>
      <c r="I921" s="113"/>
      <c r="J921" s="113"/>
      <c r="K921" s="113"/>
      <c r="L921" s="113"/>
      <c r="M921" s="113"/>
      <c r="N921" s="113"/>
      <c r="O921" s="113"/>
      <c r="P921" s="113"/>
      <c r="Q921" s="113"/>
      <c r="R921" s="113"/>
      <c r="S921" s="113"/>
      <c r="T921" s="113"/>
      <c r="U921" s="113"/>
      <c r="V921" s="113"/>
      <c r="W921" s="113"/>
      <c r="X921" s="113"/>
      <c r="Y921" s="113"/>
      <c r="Z921" s="113"/>
      <c r="AA921" s="113"/>
      <c r="AB921" s="113"/>
      <c r="AC921" s="113"/>
      <c r="AD921" s="113"/>
      <c r="AE921" s="113"/>
      <c r="AF921" s="113"/>
      <c r="AG921" s="113"/>
    </row>
    <row r="922" spans="1:33" ht="13.8">
      <c r="A922" s="113"/>
      <c r="B922" s="113"/>
      <c r="C922" s="113"/>
      <c r="D922" s="113"/>
      <c r="E922" s="113"/>
      <c r="F922" s="113"/>
      <c r="G922" s="113"/>
      <c r="H922" s="113"/>
      <c r="I922" s="113"/>
      <c r="J922" s="113"/>
      <c r="K922" s="113"/>
      <c r="L922" s="113"/>
      <c r="M922" s="113"/>
      <c r="N922" s="113"/>
      <c r="O922" s="113"/>
      <c r="P922" s="113"/>
      <c r="Q922" s="113"/>
      <c r="R922" s="113"/>
      <c r="S922" s="113"/>
      <c r="T922" s="113"/>
      <c r="U922" s="113"/>
      <c r="V922" s="113"/>
      <c r="W922" s="113"/>
      <c r="X922" s="113"/>
      <c r="Y922" s="113"/>
      <c r="Z922" s="113"/>
      <c r="AA922" s="113"/>
      <c r="AB922" s="113"/>
      <c r="AC922" s="113"/>
      <c r="AD922" s="113"/>
      <c r="AE922" s="113"/>
      <c r="AF922" s="113"/>
      <c r="AG922" s="113"/>
    </row>
    <row r="923" spans="1:33" ht="13.8">
      <c r="A923" s="113"/>
      <c r="B923" s="113"/>
      <c r="C923" s="113"/>
      <c r="D923" s="113"/>
      <c r="E923" s="113"/>
      <c r="F923" s="113"/>
      <c r="G923" s="113"/>
      <c r="H923" s="113"/>
      <c r="I923" s="113"/>
      <c r="J923" s="113"/>
      <c r="K923" s="113"/>
      <c r="L923" s="113"/>
      <c r="M923" s="113"/>
      <c r="N923" s="113"/>
      <c r="O923" s="113"/>
      <c r="P923" s="113"/>
      <c r="Q923" s="113"/>
      <c r="R923" s="113"/>
      <c r="S923" s="113"/>
      <c r="T923" s="113"/>
      <c r="U923" s="113"/>
      <c r="V923" s="113"/>
      <c r="W923" s="113"/>
      <c r="X923" s="113"/>
      <c r="Y923" s="113"/>
      <c r="Z923" s="113"/>
      <c r="AA923" s="113"/>
      <c r="AB923" s="113"/>
      <c r="AC923" s="113"/>
      <c r="AD923" s="113"/>
      <c r="AE923" s="113"/>
      <c r="AF923" s="113"/>
      <c r="AG923" s="113"/>
    </row>
    <row r="924" spans="1:33" ht="13.8">
      <c r="A924" s="113"/>
      <c r="B924" s="113"/>
      <c r="C924" s="113"/>
      <c r="D924" s="113"/>
      <c r="E924" s="113"/>
      <c r="F924" s="113"/>
      <c r="G924" s="113"/>
      <c r="H924" s="113"/>
      <c r="I924" s="113"/>
      <c r="J924" s="113"/>
      <c r="K924" s="113"/>
      <c r="L924" s="113"/>
      <c r="M924" s="113"/>
      <c r="N924" s="113"/>
      <c r="O924" s="113"/>
      <c r="P924" s="113"/>
      <c r="Q924" s="113"/>
      <c r="R924" s="113"/>
      <c r="S924" s="113"/>
      <c r="T924" s="113"/>
      <c r="U924" s="113"/>
      <c r="V924" s="113"/>
      <c r="W924" s="113"/>
      <c r="X924" s="113"/>
      <c r="Y924" s="113"/>
      <c r="Z924" s="113"/>
      <c r="AA924" s="113"/>
      <c r="AB924" s="113"/>
      <c r="AC924" s="113"/>
      <c r="AD924" s="113"/>
      <c r="AE924" s="113"/>
      <c r="AF924" s="113"/>
      <c r="AG924" s="113"/>
    </row>
    <row r="925" spans="1:33" ht="13.8">
      <c r="A925" s="113"/>
      <c r="B925" s="113"/>
      <c r="C925" s="113"/>
      <c r="D925" s="113"/>
      <c r="E925" s="113"/>
      <c r="F925" s="113"/>
      <c r="G925" s="113"/>
      <c r="H925" s="113"/>
      <c r="I925" s="113"/>
      <c r="J925" s="113"/>
      <c r="K925" s="113"/>
      <c r="L925" s="113"/>
      <c r="M925" s="113"/>
      <c r="N925" s="113"/>
      <c r="O925" s="113"/>
      <c r="P925" s="113"/>
      <c r="Q925" s="113"/>
      <c r="R925" s="113"/>
      <c r="S925" s="113"/>
      <c r="T925" s="113"/>
      <c r="U925" s="113"/>
      <c r="V925" s="113"/>
      <c r="W925" s="113"/>
      <c r="X925" s="113"/>
      <c r="Y925" s="113"/>
      <c r="Z925" s="113"/>
      <c r="AA925" s="113"/>
      <c r="AB925" s="113"/>
      <c r="AC925" s="113"/>
      <c r="AD925" s="113"/>
      <c r="AE925" s="113"/>
      <c r="AF925" s="113"/>
      <c r="AG925" s="113"/>
    </row>
    <row r="926" spans="1:33" ht="13.8">
      <c r="A926" s="113"/>
      <c r="B926" s="113"/>
      <c r="C926" s="113"/>
      <c r="D926" s="113"/>
      <c r="E926" s="113"/>
      <c r="F926" s="113"/>
      <c r="G926" s="113"/>
      <c r="H926" s="113"/>
      <c r="I926" s="113"/>
      <c r="J926" s="113"/>
      <c r="K926" s="113"/>
      <c r="L926" s="113"/>
      <c r="M926" s="113"/>
      <c r="N926" s="113"/>
      <c r="O926" s="113"/>
      <c r="P926" s="113"/>
      <c r="Q926" s="113"/>
      <c r="R926" s="113"/>
      <c r="S926" s="113"/>
      <c r="T926" s="113"/>
      <c r="U926" s="113"/>
      <c r="V926" s="113"/>
      <c r="W926" s="113"/>
      <c r="X926" s="113"/>
      <c r="Y926" s="113"/>
      <c r="Z926" s="113"/>
      <c r="AA926" s="113"/>
      <c r="AB926" s="113"/>
      <c r="AC926" s="113"/>
      <c r="AD926" s="113"/>
      <c r="AE926" s="113"/>
      <c r="AF926" s="113"/>
      <c r="AG926" s="113"/>
    </row>
    <row r="927" spans="1:33" ht="13.8">
      <c r="A927" s="113"/>
      <c r="B927" s="113"/>
      <c r="C927" s="113"/>
      <c r="D927" s="113"/>
      <c r="E927" s="113"/>
      <c r="F927" s="113"/>
      <c r="G927" s="113"/>
      <c r="H927" s="113"/>
      <c r="I927" s="113"/>
      <c r="J927" s="113"/>
      <c r="K927" s="113"/>
      <c r="L927" s="113"/>
      <c r="M927" s="113"/>
      <c r="N927" s="113"/>
      <c r="O927" s="113"/>
      <c r="P927" s="113"/>
      <c r="Q927" s="113"/>
      <c r="R927" s="113"/>
      <c r="S927" s="113"/>
      <c r="T927" s="113"/>
      <c r="U927" s="113"/>
      <c r="V927" s="113"/>
      <c r="W927" s="113"/>
      <c r="X927" s="113"/>
      <c r="Y927" s="113"/>
      <c r="Z927" s="113"/>
      <c r="AA927" s="113"/>
      <c r="AB927" s="113"/>
      <c r="AC927" s="113"/>
      <c r="AD927" s="113"/>
      <c r="AE927" s="113"/>
      <c r="AF927" s="113"/>
      <c r="AG927" s="113"/>
    </row>
    <row r="928" spans="1:33" ht="13.8">
      <c r="A928" s="113"/>
      <c r="B928" s="113"/>
      <c r="C928" s="113"/>
      <c r="D928" s="113"/>
      <c r="E928" s="113"/>
      <c r="F928" s="113"/>
      <c r="G928" s="113"/>
      <c r="H928" s="113"/>
      <c r="I928" s="113"/>
      <c r="J928" s="113"/>
      <c r="K928" s="113"/>
      <c r="L928" s="113"/>
      <c r="M928" s="113"/>
      <c r="N928" s="113"/>
      <c r="O928" s="113"/>
      <c r="P928" s="113"/>
      <c r="Q928" s="113"/>
      <c r="R928" s="113"/>
      <c r="S928" s="113"/>
      <c r="T928" s="113"/>
      <c r="U928" s="113"/>
      <c r="V928" s="113"/>
      <c r="W928" s="113"/>
      <c r="X928" s="113"/>
      <c r="Y928" s="113"/>
      <c r="Z928" s="113"/>
      <c r="AA928" s="113"/>
      <c r="AB928" s="113"/>
      <c r="AC928" s="113"/>
      <c r="AD928" s="113"/>
      <c r="AE928" s="113"/>
      <c r="AF928" s="113"/>
      <c r="AG928" s="113"/>
    </row>
    <row r="929" spans="1:33" ht="13.8">
      <c r="A929" s="113"/>
      <c r="B929" s="113"/>
      <c r="C929" s="113"/>
      <c r="D929" s="113"/>
      <c r="E929" s="113"/>
      <c r="F929" s="113"/>
      <c r="G929" s="113"/>
      <c r="H929" s="113"/>
      <c r="I929" s="113"/>
      <c r="J929" s="113"/>
      <c r="K929" s="113"/>
      <c r="L929" s="113"/>
      <c r="M929" s="113"/>
      <c r="N929" s="113"/>
      <c r="O929" s="113"/>
      <c r="P929" s="113"/>
      <c r="Q929" s="113"/>
      <c r="R929" s="113"/>
      <c r="S929" s="113"/>
      <c r="T929" s="113"/>
      <c r="U929" s="113"/>
      <c r="V929" s="113"/>
      <c r="W929" s="113"/>
      <c r="X929" s="113"/>
      <c r="Y929" s="113"/>
      <c r="Z929" s="113"/>
      <c r="AA929" s="113"/>
      <c r="AB929" s="113"/>
      <c r="AC929" s="113"/>
      <c r="AD929" s="113"/>
      <c r="AE929" s="113"/>
      <c r="AF929" s="113"/>
      <c r="AG929" s="113"/>
    </row>
    <row r="930" spans="1:33" ht="13.8">
      <c r="A930" s="113"/>
      <c r="B930" s="113"/>
      <c r="C930" s="113"/>
      <c r="D930" s="113"/>
      <c r="E930" s="113"/>
      <c r="F930" s="113"/>
      <c r="G930" s="113"/>
      <c r="H930" s="113"/>
      <c r="I930" s="113"/>
      <c r="J930" s="113"/>
      <c r="K930" s="113"/>
      <c r="L930" s="113"/>
      <c r="M930" s="113"/>
      <c r="N930" s="113"/>
      <c r="O930" s="113"/>
      <c r="P930" s="113"/>
      <c r="Q930" s="113"/>
      <c r="R930" s="113"/>
      <c r="S930" s="113"/>
      <c r="T930" s="113"/>
      <c r="U930" s="113"/>
      <c r="V930" s="113"/>
      <c r="W930" s="113"/>
      <c r="X930" s="113"/>
      <c r="Y930" s="113"/>
      <c r="Z930" s="113"/>
      <c r="AA930" s="113"/>
      <c r="AB930" s="113"/>
      <c r="AC930" s="113"/>
      <c r="AD930" s="113"/>
      <c r="AE930" s="113"/>
      <c r="AF930" s="113"/>
      <c r="AG930" s="113"/>
    </row>
    <row r="931" spans="1:33" ht="13.8">
      <c r="A931" s="113"/>
      <c r="B931" s="113"/>
      <c r="C931" s="113"/>
      <c r="D931" s="113"/>
      <c r="E931" s="113"/>
      <c r="F931" s="113"/>
      <c r="G931" s="113"/>
      <c r="H931" s="113"/>
      <c r="I931" s="113"/>
      <c r="J931" s="113"/>
      <c r="K931" s="113"/>
      <c r="L931" s="113"/>
      <c r="M931" s="113"/>
      <c r="N931" s="113"/>
      <c r="O931" s="113"/>
      <c r="P931" s="113"/>
      <c r="Q931" s="113"/>
      <c r="R931" s="113"/>
      <c r="S931" s="113"/>
      <c r="T931" s="113"/>
      <c r="U931" s="113"/>
      <c r="V931" s="113"/>
      <c r="W931" s="113"/>
      <c r="X931" s="113"/>
      <c r="Y931" s="113"/>
      <c r="Z931" s="113"/>
      <c r="AA931" s="113"/>
      <c r="AB931" s="113"/>
      <c r="AC931" s="113"/>
      <c r="AD931" s="113"/>
      <c r="AE931" s="113"/>
      <c r="AF931" s="113"/>
      <c r="AG931" s="113"/>
    </row>
    <row r="932" spans="1:33" ht="13.8">
      <c r="A932" s="113"/>
      <c r="B932" s="113"/>
      <c r="C932" s="113"/>
      <c r="D932" s="113"/>
      <c r="E932" s="113"/>
      <c r="F932" s="113"/>
      <c r="G932" s="113"/>
      <c r="H932" s="113"/>
      <c r="I932" s="113"/>
      <c r="J932" s="113"/>
      <c r="K932" s="113"/>
      <c r="L932" s="113"/>
      <c r="M932" s="113"/>
      <c r="N932" s="113"/>
      <c r="O932" s="113"/>
      <c r="P932" s="113"/>
      <c r="Q932" s="113"/>
      <c r="R932" s="113"/>
      <c r="S932" s="113"/>
      <c r="T932" s="113"/>
      <c r="U932" s="113"/>
      <c r="V932" s="113"/>
      <c r="W932" s="113"/>
      <c r="X932" s="113"/>
      <c r="Y932" s="113"/>
      <c r="Z932" s="113"/>
      <c r="AA932" s="113"/>
      <c r="AB932" s="113"/>
      <c r="AC932" s="113"/>
      <c r="AD932" s="113"/>
      <c r="AE932" s="113"/>
      <c r="AF932" s="113"/>
      <c r="AG932" s="113"/>
    </row>
    <row r="933" spans="1:33" ht="13.8">
      <c r="A933" s="113"/>
      <c r="B933" s="113"/>
      <c r="C933" s="113"/>
      <c r="D933" s="113"/>
      <c r="E933" s="113"/>
      <c r="F933" s="113"/>
      <c r="G933" s="113"/>
      <c r="H933" s="113"/>
      <c r="I933" s="113"/>
      <c r="J933" s="113"/>
      <c r="K933" s="113"/>
      <c r="L933" s="113"/>
      <c r="M933" s="113"/>
      <c r="N933" s="113"/>
      <c r="O933" s="113"/>
      <c r="P933" s="113"/>
      <c r="Q933" s="113"/>
      <c r="R933" s="113"/>
      <c r="S933" s="113"/>
      <c r="T933" s="113"/>
      <c r="U933" s="113"/>
      <c r="V933" s="113"/>
      <c r="W933" s="113"/>
      <c r="X933" s="113"/>
      <c r="Y933" s="113"/>
      <c r="Z933" s="113"/>
      <c r="AA933" s="113"/>
      <c r="AB933" s="113"/>
      <c r="AC933" s="113"/>
      <c r="AD933" s="113"/>
      <c r="AE933" s="113"/>
      <c r="AF933" s="113"/>
      <c r="AG933" s="113"/>
    </row>
    <row r="934" spans="1:33" ht="13.8">
      <c r="A934" s="113"/>
      <c r="B934" s="113"/>
      <c r="C934" s="113"/>
      <c r="D934" s="113"/>
      <c r="E934" s="113"/>
      <c r="F934" s="113"/>
      <c r="G934" s="113"/>
      <c r="H934" s="113"/>
      <c r="I934" s="113"/>
      <c r="J934" s="113"/>
      <c r="K934" s="113"/>
      <c r="L934" s="113"/>
      <c r="M934" s="113"/>
      <c r="N934" s="113"/>
      <c r="O934" s="113"/>
      <c r="P934" s="113"/>
      <c r="Q934" s="113"/>
      <c r="R934" s="113"/>
      <c r="S934" s="113"/>
      <c r="T934" s="113"/>
      <c r="U934" s="113"/>
      <c r="V934" s="113"/>
      <c r="W934" s="113"/>
      <c r="X934" s="113"/>
      <c r="Y934" s="113"/>
      <c r="Z934" s="113"/>
      <c r="AA934" s="113"/>
      <c r="AB934" s="113"/>
      <c r="AC934" s="113"/>
      <c r="AD934" s="113"/>
      <c r="AE934" s="113"/>
      <c r="AF934" s="113"/>
      <c r="AG934" s="113"/>
    </row>
    <row r="935" spans="1:33" ht="13.8">
      <c r="A935" s="113"/>
      <c r="B935" s="113"/>
      <c r="C935" s="113"/>
      <c r="D935" s="113"/>
      <c r="E935" s="113"/>
      <c r="F935" s="113"/>
      <c r="G935" s="113"/>
      <c r="H935" s="113"/>
      <c r="I935" s="113"/>
      <c r="J935" s="113"/>
      <c r="K935" s="113"/>
      <c r="L935" s="113"/>
      <c r="M935" s="113"/>
      <c r="N935" s="113"/>
      <c r="O935" s="113"/>
      <c r="P935" s="113"/>
      <c r="Q935" s="113"/>
      <c r="R935" s="113"/>
      <c r="S935" s="113"/>
      <c r="T935" s="113"/>
      <c r="U935" s="113"/>
      <c r="V935" s="113"/>
      <c r="W935" s="113"/>
      <c r="X935" s="113"/>
      <c r="Y935" s="113"/>
      <c r="Z935" s="113"/>
      <c r="AA935" s="113"/>
      <c r="AB935" s="113"/>
      <c r="AC935" s="113"/>
      <c r="AD935" s="113"/>
      <c r="AE935" s="113"/>
      <c r="AF935" s="113"/>
      <c r="AG935" s="113"/>
    </row>
    <row r="936" spans="1:33" ht="13.8">
      <c r="A936" s="113"/>
      <c r="B936" s="113"/>
      <c r="C936" s="113"/>
      <c r="D936" s="113"/>
      <c r="E936" s="113"/>
      <c r="F936" s="113"/>
      <c r="G936" s="113"/>
      <c r="H936" s="113"/>
      <c r="I936" s="113"/>
      <c r="J936" s="113"/>
      <c r="K936" s="113"/>
      <c r="L936" s="113"/>
      <c r="M936" s="113"/>
      <c r="N936" s="113"/>
      <c r="O936" s="113"/>
      <c r="P936" s="113"/>
      <c r="Q936" s="113"/>
      <c r="R936" s="113"/>
      <c r="S936" s="113"/>
      <c r="T936" s="113"/>
      <c r="U936" s="113"/>
      <c r="V936" s="113"/>
      <c r="W936" s="113"/>
      <c r="X936" s="113"/>
      <c r="Y936" s="113"/>
      <c r="Z936" s="113"/>
      <c r="AA936" s="113"/>
      <c r="AB936" s="113"/>
      <c r="AC936" s="113"/>
      <c r="AD936" s="113"/>
      <c r="AE936" s="113"/>
      <c r="AF936" s="113"/>
      <c r="AG936" s="113"/>
    </row>
    <row r="937" spans="1:33" ht="13.8">
      <c r="A937" s="113"/>
      <c r="B937" s="113"/>
      <c r="C937" s="113"/>
      <c r="D937" s="113"/>
      <c r="E937" s="113"/>
      <c r="F937" s="113"/>
      <c r="G937" s="113"/>
      <c r="H937" s="113"/>
      <c r="I937" s="113"/>
      <c r="J937" s="113"/>
      <c r="K937" s="113"/>
      <c r="L937" s="113"/>
      <c r="M937" s="113"/>
      <c r="N937" s="113"/>
      <c r="O937" s="113"/>
      <c r="P937" s="113"/>
      <c r="Q937" s="113"/>
      <c r="R937" s="113"/>
      <c r="S937" s="113"/>
      <c r="T937" s="113"/>
      <c r="U937" s="113"/>
      <c r="V937" s="113"/>
      <c r="W937" s="113"/>
      <c r="X937" s="113"/>
      <c r="Y937" s="113"/>
      <c r="Z937" s="113"/>
      <c r="AA937" s="113"/>
      <c r="AB937" s="113"/>
      <c r="AC937" s="113"/>
      <c r="AD937" s="113"/>
      <c r="AE937" s="113"/>
      <c r="AF937" s="113"/>
      <c r="AG937" s="113"/>
    </row>
    <row r="938" spans="1:33" ht="13.8">
      <c r="A938" s="113"/>
      <c r="B938" s="113"/>
      <c r="C938" s="113"/>
      <c r="D938" s="113"/>
      <c r="E938" s="113"/>
      <c r="F938" s="113"/>
      <c r="G938" s="113"/>
      <c r="H938" s="113"/>
      <c r="I938" s="113"/>
      <c r="J938" s="113"/>
      <c r="K938" s="113"/>
      <c r="L938" s="113"/>
      <c r="M938" s="113"/>
      <c r="N938" s="113"/>
      <c r="O938" s="113"/>
      <c r="P938" s="113"/>
      <c r="Q938" s="113"/>
      <c r="R938" s="113"/>
      <c r="S938" s="113"/>
      <c r="T938" s="113"/>
      <c r="U938" s="113"/>
      <c r="V938" s="113"/>
      <c r="W938" s="113"/>
      <c r="X938" s="113"/>
      <c r="Y938" s="113"/>
      <c r="Z938" s="113"/>
      <c r="AA938" s="113"/>
      <c r="AB938" s="113"/>
      <c r="AC938" s="113"/>
      <c r="AD938" s="113"/>
      <c r="AE938" s="113"/>
      <c r="AF938" s="113"/>
      <c r="AG938" s="113"/>
    </row>
    <row r="939" spans="1:33" ht="13.8">
      <c r="A939" s="113"/>
      <c r="B939" s="113"/>
      <c r="C939" s="113"/>
      <c r="D939" s="113"/>
      <c r="E939" s="113"/>
      <c r="F939" s="113"/>
      <c r="G939" s="113"/>
      <c r="H939" s="113"/>
      <c r="I939" s="113"/>
      <c r="J939" s="113"/>
      <c r="K939" s="113"/>
      <c r="L939" s="113"/>
      <c r="M939" s="113"/>
      <c r="N939" s="113"/>
      <c r="O939" s="113"/>
      <c r="P939" s="113"/>
      <c r="Q939" s="113"/>
      <c r="R939" s="113"/>
      <c r="S939" s="113"/>
      <c r="T939" s="113"/>
      <c r="U939" s="113"/>
      <c r="V939" s="113"/>
      <c r="W939" s="113"/>
      <c r="X939" s="113"/>
      <c r="Y939" s="113"/>
      <c r="Z939" s="113"/>
      <c r="AA939" s="113"/>
      <c r="AB939" s="113"/>
      <c r="AC939" s="113"/>
      <c r="AD939" s="113"/>
      <c r="AE939" s="113"/>
      <c r="AF939" s="113"/>
      <c r="AG939" s="113"/>
    </row>
    <row r="940" spans="1:33" ht="13.8">
      <c r="A940" s="113"/>
      <c r="B940" s="113"/>
      <c r="C940" s="113"/>
      <c r="D940" s="113"/>
      <c r="E940" s="113"/>
      <c r="F940" s="113"/>
      <c r="G940" s="113"/>
      <c r="H940" s="113"/>
      <c r="I940" s="113"/>
      <c r="J940" s="113"/>
      <c r="K940" s="113"/>
      <c r="L940" s="113"/>
      <c r="M940" s="113"/>
      <c r="N940" s="113"/>
      <c r="O940" s="113"/>
      <c r="P940" s="113"/>
      <c r="Q940" s="113"/>
      <c r="R940" s="113"/>
      <c r="S940" s="113"/>
      <c r="T940" s="113"/>
      <c r="U940" s="113"/>
      <c r="V940" s="113"/>
      <c r="W940" s="113"/>
      <c r="X940" s="113"/>
      <c r="Y940" s="113"/>
      <c r="Z940" s="113"/>
      <c r="AA940" s="113"/>
      <c r="AB940" s="113"/>
      <c r="AC940" s="113"/>
      <c r="AD940" s="113"/>
      <c r="AE940" s="113"/>
      <c r="AF940" s="113"/>
      <c r="AG940" s="113"/>
    </row>
    <row r="941" spans="1:33" ht="13.8">
      <c r="A941" s="113"/>
      <c r="B941" s="113"/>
      <c r="C941" s="113"/>
      <c r="D941" s="113"/>
      <c r="E941" s="113"/>
      <c r="F941" s="113"/>
      <c r="G941" s="113"/>
      <c r="H941" s="113"/>
      <c r="I941" s="113"/>
      <c r="J941" s="113"/>
      <c r="K941" s="113"/>
      <c r="L941" s="113"/>
      <c r="M941" s="113"/>
      <c r="N941" s="113"/>
      <c r="O941" s="113"/>
      <c r="P941" s="113"/>
      <c r="Q941" s="113"/>
      <c r="R941" s="113"/>
      <c r="S941" s="113"/>
      <c r="T941" s="113"/>
      <c r="U941" s="113"/>
      <c r="V941" s="113"/>
      <c r="W941" s="113"/>
      <c r="X941" s="113"/>
      <c r="Y941" s="113"/>
      <c r="Z941" s="113"/>
      <c r="AA941" s="113"/>
      <c r="AB941" s="113"/>
      <c r="AC941" s="113"/>
      <c r="AD941" s="113"/>
      <c r="AE941" s="113"/>
      <c r="AF941" s="113"/>
      <c r="AG941" s="113"/>
    </row>
    <row r="942" spans="1:33" ht="13.8">
      <c r="A942" s="113"/>
      <c r="B942" s="113"/>
      <c r="C942" s="113"/>
      <c r="D942" s="113"/>
      <c r="E942" s="113"/>
      <c r="F942" s="113"/>
      <c r="G942" s="113"/>
      <c r="H942" s="113"/>
      <c r="I942" s="113"/>
      <c r="J942" s="113"/>
      <c r="K942" s="113"/>
      <c r="L942" s="113"/>
      <c r="M942" s="113"/>
      <c r="N942" s="113"/>
      <c r="O942" s="113"/>
      <c r="P942" s="113"/>
      <c r="Q942" s="113"/>
      <c r="R942" s="113"/>
      <c r="S942" s="113"/>
      <c r="T942" s="113"/>
      <c r="U942" s="113"/>
      <c r="V942" s="113"/>
      <c r="W942" s="113"/>
      <c r="X942" s="113"/>
      <c r="Y942" s="113"/>
      <c r="Z942" s="113"/>
      <c r="AA942" s="113"/>
      <c r="AB942" s="113"/>
      <c r="AC942" s="113"/>
      <c r="AD942" s="113"/>
      <c r="AE942" s="113"/>
      <c r="AF942" s="113"/>
      <c r="AG942" s="113"/>
    </row>
    <row r="943" spans="1:33" ht="13.8">
      <c r="A943" s="113"/>
      <c r="B943" s="113"/>
      <c r="C943" s="113"/>
      <c r="D943" s="113"/>
      <c r="E943" s="113"/>
      <c r="F943" s="113"/>
      <c r="G943" s="113"/>
      <c r="H943" s="113"/>
      <c r="I943" s="113"/>
      <c r="J943" s="113"/>
      <c r="K943" s="113"/>
      <c r="L943" s="113"/>
      <c r="M943" s="113"/>
      <c r="N943" s="113"/>
      <c r="O943" s="113"/>
      <c r="P943" s="113"/>
      <c r="Q943" s="113"/>
      <c r="R943" s="113"/>
      <c r="S943" s="113"/>
      <c r="T943" s="113"/>
      <c r="U943" s="113"/>
      <c r="V943" s="113"/>
      <c r="W943" s="113"/>
      <c r="X943" s="113"/>
      <c r="Y943" s="113"/>
      <c r="Z943" s="113"/>
      <c r="AA943" s="113"/>
      <c r="AB943" s="113"/>
      <c r="AC943" s="113"/>
      <c r="AD943" s="113"/>
      <c r="AE943" s="113"/>
      <c r="AF943" s="113"/>
      <c r="AG943" s="113"/>
    </row>
    <row r="944" spans="1:33" ht="13.8">
      <c r="A944" s="113"/>
      <c r="B944" s="113"/>
      <c r="C944" s="113"/>
      <c r="D944" s="113"/>
      <c r="E944" s="113"/>
      <c r="F944" s="113"/>
      <c r="G944" s="113"/>
      <c r="H944" s="113"/>
      <c r="I944" s="113"/>
      <c r="J944" s="113"/>
      <c r="K944" s="113"/>
      <c r="L944" s="113"/>
      <c r="M944" s="113"/>
      <c r="N944" s="113"/>
      <c r="O944" s="113"/>
      <c r="P944" s="113"/>
      <c r="Q944" s="113"/>
      <c r="R944" s="113"/>
      <c r="S944" s="113"/>
      <c r="T944" s="113"/>
      <c r="U944" s="113"/>
      <c r="V944" s="113"/>
      <c r="W944" s="113"/>
      <c r="X944" s="113"/>
      <c r="Y944" s="113"/>
      <c r="Z944" s="113"/>
      <c r="AA944" s="113"/>
      <c r="AB944" s="113"/>
      <c r="AC944" s="113"/>
      <c r="AD944" s="113"/>
      <c r="AE944" s="113"/>
      <c r="AF944" s="113"/>
      <c r="AG944" s="113"/>
    </row>
    <row r="945" spans="1:33" ht="13.8">
      <c r="A945" s="113"/>
      <c r="B945" s="113"/>
      <c r="C945" s="113"/>
      <c r="D945" s="113"/>
      <c r="E945" s="113"/>
      <c r="F945" s="113"/>
      <c r="G945" s="113"/>
      <c r="H945" s="113"/>
      <c r="I945" s="113"/>
      <c r="J945" s="113"/>
      <c r="K945" s="113"/>
      <c r="L945" s="113"/>
      <c r="M945" s="113"/>
      <c r="N945" s="113"/>
      <c r="O945" s="113"/>
      <c r="P945" s="113"/>
      <c r="Q945" s="113"/>
      <c r="R945" s="113"/>
      <c r="S945" s="113"/>
      <c r="T945" s="113"/>
      <c r="U945" s="113"/>
      <c r="V945" s="113"/>
      <c r="W945" s="113"/>
      <c r="X945" s="113"/>
      <c r="Y945" s="113"/>
      <c r="Z945" s="113"/>
      <c r="AA945" s="113"/>
      <c r="AB945" s="113"/>
      <c r="AC945" s="113"/>
      <c r="AD945" s="113"/>
      <c r="AE945" s="113"/>
      <c r="AF945" s="113"/>
      <c r="AG945" s="113"/>
    </row>
    <row r="946" spans="1:33" ht="13.8">
      <c r="A946" s="113"/>
      <c r="B946" s="113"/>
      <c r="C946" s="113"/>
      <c r="D946" s="113"/>
      <c r="E946" s="113"/>
      <c r="F946" s="113"/>
      <c r="G946" s="113"/>
      <c r="H946" s="113"/>
      <c r="I946" s="113"/>
      <c r="J946" s="113"/>
      <c r="K946" s="113"/>
      <c r="L946" s="113"/>
      <c r="M946" s="113"/>
      <c r="N946" s="113"/>
      <c r="O946" s="113"/>
      <c r="P946" s="113"/>
      <c r="Q946" s="113"/>
      <c r="R946" s="113"/>
      <c r="S946" s="113"/>
      <c r="T946" s="113"/>
      <c r="U946" s="113"/>
      <c r="V946" s="113"/>
      <c r="W946" s="113"/>
      <c r="X946" s="113"/>
      <c r="Y946" s="113"/>
      <c r="Z946" s="113"/>
      <c r="AA946" s="113"/>
      <c r="AB946" s="113"/>
      <c r="AC946" s="113"/>
      <c r="AD946" s="113"/>
      <c r="AE946" s="113"/>
      <c r="AF946" s="113"/>
      <c r="AG946" s="113"/>
    </row>
    <row r="947" spans="1:33" ht="13.8">
      <c r="A947" s="113"/>
      <c r="B947" s="113"/>
      <c r="C947" s="113"/>
      <c r="D947" s="113"/>
      <c r="E947" s="113"/>
      <c r="F947" s="113"/>
      <c r="G947" s="113"/>
      <c r="H947" s="113"/>
      <c r="I947" s="113"/>
      <c r="J947" s="113"/>
      <c r="K947" s="113"/>
      <c r="L947" s="113"/>
      <c r="M947" s="113"/>
      <c r="N947" s="113"/>
      <c r="O947" s="113"/>
      <c r="P947" s="113"/>
      <c r="Q947" s="113"/>
      <c r="R947" s="113"/>
      <c r="S947" s="113"/>
      <c r="T947" s="113"/>
      <c r="U947" s="113"/>
      <c r="V947" s="113"/>
      <c r="W947" s="113"/>
      <c r="X947" s="113"/>
      <c r="Y947" s="113"/>
      <c r="Z947" s="113"/>
      <c r="AA947" s="113"/>
      <c r="AB947" s="113"/>
      <c r="AC947" s="113"/>
      <c r="AD947" s="113"/>
      <c r="AE947" s="113"/>
      <c r="AF947" s="113"/>
      <c r="AG947" s="113"/>
    </row>
    <row r="948" spans="1:33" ht="13.8">
      <c r="A948" s="113"/>
      <c r="B948" s="113"/>
      <c r="C948" s="113"/>
      <c r="D948" s="113"/>
      <c r="E948" s="113"/>
      <c r="F948" s="113"/>
      <c r="G948" s="113"/>
      <c r="H948" s="113"/>
      <c r="I948" s="113"/>
      <c r="J948" s="113"/>
      <c r="K948" s="113"/>
      <c r="L948" s="113"/>
      <c r="M948" s="113"/>
      <c r="N948" s="113"/>
      <c r="O948" s="113"/>
      <c r="P948" s="113"/>
      <c r="Q948" s="113"/>
      <c r="R948" s="113"/>
      <c r="S948" s="113"/>
      <c r="T948" s="113"/>
      <c r="U948" s="113"/>
      <c r="V948" s="113"/>
      <c r="W948" s="113"/>
      <c r="X948" s="113"/>
      <c r="Y948" s="113"/>
      <c r="Z948" s="113"/>
      <c r="AA948" s="113"/>
      <c r="AB948" s="113"/>
      <c r="AC948" s="113"/>
      <c r="AD948" s="113"/>
      <c r="AE948" s="113"/>
      <c r="AF948" s="113"/>
      <c r="AG948" s="113"/>
    </row>
    <row r="949" spans="1:33" ht="13.8">
      <c r="A949" s="113"/>
      <c r="B949" s="113"/>
      <c r="C949" s="113"/>
      <c r="D949" s="113"/>
      <c r="E949" s="113"/>
      <c r="F949" s="113"/>
      <c r="G949" s="113"/>
      <c r="H949" s="113"/>
      <c r="I949" s="113"/>
      <c r="J949" s="113"/>
      <c r="K949" s="113"/>
      <c r="L949" s="113"/>
      <c r="M949" s="113"/>
      <c r="N949" s="113"/>
      <c r="O949" s="113"/>
      <c r="P949" s="113"/>
      <c r="Q949" s="113"/>
      <c r="R949" s="113"/>
      <c r="S949" s="113"/>
      <c r="T949" s="113"/>
      <c r="U949" s="113"/>
      <c r="V949" s="113"/>
      <c r="W949" s="113"/>
      <c r="X949" s="113"/>
      <c r="Y949" s="113"/>
      <c r="Z949" s="113"/>
      <c r="AA949" s="113"/>
      <c r="AB949" s="113"/>
      <c r="AC949" s="113"/>
      <c r="AD949" s="113"/>
      <c r="AE949" s="113"/>
      <c r="AF949" s="113"/>
      <c r="AG949" s="113"/>
    </row>
    <row r="950" spans="1:33" ht="13.8">
      <c r="A950" s="113"/>
      <c r="B950" s="113"/>
      <c r="C950" s="113"/>
      <c r="D950" s="113"/>
      <c r="E950" s="113"/>
      <c r="F950" s="113"/>
      <c r="G950" s="113"/>
      <c r="H950" s="113"/>
      <c r="I950" s="113"/>
      <c r="J950" s="113"/>
      <c r="K950" s="113"/>
      <c r="L950" s="113"/>
      <c r="M950" s="113"/>
      <c r="N950" s="113"/>
      <c r="O950" s="113"/>
      <c r="P950" s="113"/>
      <c r="Q950" s="113"/>
      <c r="R950" s="113"/>
      <c r="S950" s="113"/>
      <c r="T950" s="113"/>
      <c r="U950" s="113"/>
      <c r="V950" s="113"/>
      <c r="W950" s="113"/>
      <c r="X950" s="113"/>
      <c r="Y950" s="113"/>
      <c r="Z950" s="113"/>
      <c r="AA950" s="113"/>
      <c r="AB950" s="113"/>
      <c r="AC950" s="113"/>
      <c r="AD950" s="113"/>
      <c r="AE950" s="113"/>
      <c r="AF950" s="113"/>
      <c r="AG950" s="113"/>
    </row>
    <row r="951" spans="1:33" ht="13.8">
      <c r="A951" s="113"/>
      <c r="B951" s="113"/>
      <c r="C951" s="113"/>
      <c r="D951" s="113"/>
      <c r="E951" s="113"/>
      <c r="F951" s="113"/>
      <c r="G951" s="113"/>
      <c r="H951" s="113"/>
      <c r="I951" s="113"/>
      <c r="J951" s="113"/>
      <c r="K951" s="113"/>
      <c r="L951" s="113"/>
      <c r="M951" s="113"/>
      <c r="N951" s="113"/>
      <c r="O951" s="113"/>
      <c r="P951" s="113"/>
      <c r="Q951" s="113"/>
      <c r="R951" s="113"/>
      <c r="S951" s="113"/>
      <c r="T951" s="113"/>
      <c r="U951" s="113"/>
      <c r="V951" s="113"/>
      <c r="W951" s="113"/>
      <c r="X951" s="113"/>
      <c r="Y951" s="113"/>
      <c r="Z951" s="113"/>
      <c r="AA951" s="113"/>
      <c r="AB951" s="113"/>
      <c r="AC951" s="113"/>
      <c r="AD951" s="113"/>
      <c r="AE951" s="113"/>
      <c r="AF951" s="113"/>
      <c r="AG951" s="113"/>
    </row>
    <row r="952" spans="1:33" ht="13.8">
      <c r="A952" s="113"/>
      <c r="B952" s="113"/>
      <c r="C952" s="113"/>
      <c r="D952" s="113"/>
      <c r="E952" s="113"/>
      <c r="F952" s="113"/>
      <c r="G952" s="113"/>
      <c r="H952" s="113"/>
      <c r="I952" s="113"/>
      <c r="J952" s="113"/>
      <c r="K952" s="113"/>
      <c r="L952" s="113"/>
      <c r="M952" s="113"/>
      <c r="N952" s="113"/>
      <c r="O952" s="113"/>
      <c r="P952" s="113"/>
      <c r="Q952" s="113"/>
      <c r="R952" s="113"/>
      <c r="S952" s="113"/>
      <c r="T952" s="113"/>
      <c r="U952" s="113"/>
      <c r="V952" s="113"/>
      <c r="W952" s="113"/>
      <c r="X952" s="113"/>
      <c r="Y952" s="113"/>
      <c r="Z952" s="113"/>
      <c r="AA952" s="113"/>
      <c r="AB952" s="113"/>
      <c r="AC952" s="113"/>
      <c r="AD952" s="113"/>
      <c r="AE952" s="113"/>
      <c r="AF952" s="113"/>
      <c r="AG952" s="113"/>
    </row>
    <row r="953" spans="1:33" ht="13.8">
      <c r="A953" s="113"/>
      <c r="B953" s="113"/>
      <c r="C953" s="113"/>
      <c r="D953" s="113"/>
      <c r="E953" s="113"/>
      <c r="F953" s="113"/>
      <c r="G953" s="113"/>
      <c r="H953" s="113"/>
      <c r="I953" s="113"/>
      <c r="J953" s="113"/>
      <c r="K953" s="113"/>
      <c r="L953" s="113"/>
      <c r="M953" s="113"/>
      <c r="N953" s="113"/>
      <c r="O953" s="113"/>
      <c r="P953" s="113"/>
      <c r="Q953" s="113"/>
      <c r="R953" s="113"/>
      <c r="S953" s="113"/>
      <c r="T953" s="113"/>
      <c r="U953" s="113"/>
      <c r="V953" s="113"/>
      <c r="W953" s="113"/>
      <c r="X953" s="113"/>
      <c r="Y953" s="113"/>
      <c r="Z953" s="113"/>
      <c r="AA953" s="113"/>
      <c r="AB953" s="113"/>
      <c r="AC953" s="113"/>
      <c r="AD953" s="113"/>
      <c r="AE953" s="113"/>
      <c r="AF953" s="113"/>
      <c r="AG953" s="113"/>
    </row>
    <row r="954" spans="1:33" ht="13.8">
      <c r="A954" s="113"/>
      <c r="B954" s="113"/>
      <c r="C954" s="113"/>
      <c r="D954" s="113"/>
      <c r="E954" s="113"/>
      <c r="F954" s="113"/>
      <c r="G954" s="113"/>
      <c r="H954" s="113"/>
      <c r="I954" s="113"/>
      <c r="J954" s="113"/>
      <c r="K954" s="113"/>
      <c r="L954" s="113"/>
      <c r="M954" s="113"/>
      <c r="N954" s="113"/>
      <c r="O954" s="113"/>
      <c r="P954" s="113"/>
      <c r="Q954" s="113"/>
      <c r="R954" s="113"/>
      <c r="S954" s="113"/>
      <c r="T954" s="113"/>
      <c r="U954" s="113"/>
      <c r="V954" s="113"/>
      <c r="W954" s="113"/>
      <c r="X954" s="113"/>
      <c r="Y954" s="113"/>
      <c r="Z954" s="113"/>
      <c r="AA954" s="113"/>
      <c r="AB954" s="113"/>
      <c r="AC954" s="113"/>
      <c r="AD954" s="113"/>
      <c r="AE954" s="113"/>
      <c r="AF954" s="113"/>
      <c r="AG954" s="113"/>
    </row>
    <row r="955" spans="1:33" ht="13.8">
      <c r="A955" s="113"/>
      <c r="B955" s="113"/>
      <c r="C955" s="113"/>
      <c r="D955" s="113"/>
      <c r="E955" s="113"/>
      <c r="F955" s="113"/>
      <c r="G955" s="113"/>
      <c r="H955" s="113"/>
      <c r="I955" s="113"/>
      <c r="J955" s="113"/>
      <c r="K955" s="113"/>
      <c r="L955" s="113"/>
      <c r="M955" s="113"/>
      <c r="N955" s="113"/>
      <c r="O955" s="113"/>
      <c r="P955" s="113"/>
      <c r="Q955" s="113"/>
      <c r="R955" s="113"/>
      <c r="S955" s="113"/>
      <c r="T955" s="113"/>
      <c r="U955" s="113"/>
      <c r="V955" s="113"/>
      <c r="W955" s="113"/>
      <c r="X955" s="113"/>
      <c r="Y955" s="113"/>
      <c r="Z955" s="113"/>
      <c r="AA955" s="113"/>
      <c r="AB955" s="113"/>
      <c r="AC955" s="113"/>
      <c r="AD955" s="113"/>
      <c r="AE955" s="113"/>
      <c r="AF955" s="113"/>
      <c r="AG955" s="113"/>
    </row>
    <row r="956" spans="1:33" ht="13.8">
      <c r="A956" s="113"/>
      <c r="B956" s="113"/>
      <c r="C956" s="113"/>
      <c r="D956" s="113"/>
      <c r="E956" s="113"/>
      <c r="F956" s="113"/>
      <c r="G956" s="113"/>
      <c r="H956" s="113"/>
      <c r="I956" s="113"/>
      <c r="J956" s="113"/>
      <c r="K956" s="113"/>
      <c r="L956" s="113"/>
      <c r="M956" s="113"/>
      <c r="N956" s="113"/>
      <c r="O956" s="113"/>
      <c r="P956" s="113"/>
      <c r="Q956" s="113"/>
      <c r="R956" s="113"/>
      <c r="S956" s="113"/>
      <c r="T956" s="113"/>
      <c r="U956" s="113"/>
      <c r="V956" s="113"/>
      <c r="W956" s="113"/>
      <c r="X956" s="113"/>
      <c r="Y956" s="113"/>
      <c r="Z956" s="113"/>
      <c r="AA956" s="113"/>
      <c r="AB956" s="113"/>
      <c r="AC956" s="113"/>
      <c r="AD956" s="113"/>
      <c r="AE956" s="113"/>
      <c r="AF956" s="113"/>
      <c r="AG956" s="113"/>
    </row>
    <row r="957" spans="1:33" ht="13.8">
      <c r="A957" s="113"/>
      <c r="B957" s="113"/>
      <c r="C957" s="113"/>
      <c r="D957" s="113"/>
      <c r="E957" s="113"/>
      <c r="F957" s="113"/>
      <c r="G957" s="113"/>
      <c r="H957" s="113"/>
      <c r="I957" s="113"/>
      <c r="J957" s="113"/>
      <c r="K957" s="113"/>
      <c r="L957" s="113"/>
      <c r="M957" s="113"/>
      <c r="N957" s="113"/>
      <c r="O957" s="113"/>
      <c r="P957" s="113"/>
      <c r="Q957" s="113"/>
      <c r="R957" s="113"/>
      <c r="S957" s="113"/>
      <c r="T957" s="113"/>
      <c r="U957" s="113"/>
      <c r="V957" s="113"/>
      <c r="W957" s="113"/>
      <c r="X957" s="113"/>
      <c r="Y957" s="113"/>
      <c r="Z957" s="113"/>
      <c r="AA957" s="113"/>
      <c r="AB957" s="113"/>
      <c r="AC957" s="113"/>
      <c r="AD957" s="113"/>
      <c r="AE957" s="113"/>
      <c r="AF957" s="113"/>
      <c r="AG957" s="113"/>
    </row>
    <row r="958" spans="1:33" ht="13.8">
      <c r="A958" s="113"/>
      <c r="B958" s="113"/>
      <c r="C958" s="113"/>
      <c r="D958" s="113"/>
      <c r="E958" s="113"/>
      <c r="F958" s="113"/>
      <c r="G958" s="113"/>
      <c r="H958" s="113"/>
      <c r="I958" s="113"/>
      <c r="J958" s="113"/>
      <c r="K958" s="113"/>
      <c r="L958" s="113"/>
      <c r="M958" s="113"/>
      <c r="N958" s="113"/>
      <c r="O958" s="113"/>
      <c r="P958" s="113"/>
      <c r="Q958" s="113"/>
      <c r="R958" s="113"/>
      <c r="S958" s="113"/>
      <c r="T958" s="113"/>
      <c r="U958" s="113"/>
      <c r="V958" s="113"/>
      <c r="W958" s="113"/>
      <c r="X958" s="113"/>
      <c r="Y958" s="113"/>
      <c r="Z958" s="113"/>
      <c r="AA958" s="113"/>
      <c r="AB958" s="113"/>
      <c r="AC958" s="113"/>
      <c r="AD958" s="113"/>
      <c r="AE958" s="113"/>
      <c r="AF958" s="113"/>
      <c r="AG958" s="113"/>
    </row>
    <row r="959" spans="1:33" ht="13.8">
      <c r="A959" s="113"/>
      <c r="B959" s="113"/>
      <c r="C959" s="113"/>
      <c r="D959" s="113"/>
      <c r="E959" s="113"/>
      <c r="F959" s="113"/>
      <c r="G959" s="113"/>
      <c r="H959" s="113"/>
      <c r="I959" s="113"/>
      <c r="J959" s="113"/>
      <c r="K959" s="113"/>
      <c r="L959" s="113"/>
      <c r="M959" s="113"/>
      <c r="N959" s="113"/>
      <c r="O959" s="113"/>
      <c r="P959" s="113"/>
      <c r="Q959" s="113"/>
      <c r="R959" s="113"/>
      <c r="S959" s="113"/>
      <c r="T959" s="113"/>
      <c r="U959" s="113"/>
      <c r="V959" s="113"/>
      <c r="W959" s="113"/>
      <c r="X959" s="113"/>
      <c r="Y959" s="113"/>
      <c r="Z959" s="113"/>
      <c r="AA959" s="113"/>
      <c r="AB959" s="113"/>
      <c r="AC959" s="113"/>
      <c r="AD959" s="113"/>
      <c r="AE959" s="113"/>
      <c r="AF959" s="113"/>
      <c r="AG959" s="113"/>
    </row>
    <row r="960" spans="1:33" ht="13.8">
      <c r="A960" s="113"/>
      <c r="B960" s="113"/>
      <c r="C960" s="113"/>
      <c r="D960" s="113"/>
      <c r="E960" s="113"/>
      <c r="F960" s="113"/>
      <c r="G960" s="113"/>
      <c r="H960" s="113"/>
      <c r="I960" s="113"/>
      <c r="J960" s="113"/>
      <c r="K960" s="113"/>
      <c r="L960" s="113"/>
      <c r="M960" s="113"/>
      <c r="N960" s="113"/>
      <c r="O960" s="113"/>
      <c r="P960" s="113"/>
      <c r="Q960" s="113"/>
      <c r="R960" s="113"/>
      <c r="S960" s="113"/>
      <c r="T960" s="113"/>
      <c r="U960" s="113"/>
      <c r="V960" s="113"/>
      <c r="W960" s="113"/>
      <c r="X960" s="113"/>
      <c r="Y960" s="113"/>
      <c r="Z960" s="113"/>
      <c r="AA960" s="113"/>
      <c r="AB960" s="113"/>
      <c r="AC960" s="113"/>
      <c r="AD960" s="113"/>
      <c r="AE960" s="113"/>
      <c r="AF960" s="113"/>
      <c r="AG960" s="113"/>
    </row>
    <row r="961" spans="1:33" ht="13.8">
      <c r="A961" s="113"/>
      <c r="B961" s="113"/>
      <c r="C961" s="113"/>
      <c r="D961" s="113"/>
      <c r="E961" s="113"/>
      <c r="F961" s="113"/>
      <c r="G961" s="113"/>
      <c r="H961" s="113"/>
      <c r="I961" s="113"/>
      <c r="J961" s="113"/>
      <c r="K961" s="113"/>
      <c r="L961" s="113"/>
      <c r="M961" s="113"/>
      <c r="N961" s="113"/>
      <c r="O961" s="113"/>
      <c r="P961" s="113"/>
      <c r="Q961" s="113"/>
      <c r="R961" s="113"/>
      <c r="S961" s="113"/>
      <c r="T961" s="113"/>
      <c r="U961" s="113"/>
      <c r="V961" s="113"/>
      <c r="W961" s="113"/>
      <c r="X961" s="113"/>
      <c r="Y961" s="113"/>
      <c r="Z961" s="113"/>
      <c r="AA961" s="113"/>
      <c r="AB961" s="113"/>
      <c r="AC961" s="113"/>
      <c r="AD961" s="113"/>
      <c r="AE961" s="113"/>
      <c r="AF961" s="113"/>
      <c r="AG961" s="113"/>
    </row>
    <row r="962" spans="1:33" ht="13.8">
      <c r="A962" s="113"/>
      <c r="B962" s="113"/>
      <c r="C962" s="113"/>
      <c r="D962" s="113"/>
      <c r="E962" s="113"/>
      <c r="F962" s="113"/>
      <c r="G962" s="113"/>
      <c r="H962" s="113"/>
      <c r="I962" s="113"/>
      <c r="J962" s="113"/>
      <c r="K962" s="113"/>
      <c r="L962" s="113"/>
      <c r="M962" s="113"/>
      <c r="N962" s="113"/>
      <c r="O962" s="113"/>
      <c r="P962" s="113"/>
      <c r="Q962" s="113"/>
      <c r="R962" s="113"/>
      <c r="S962" s="113"/>
      <c r="T962" s="113"/>
      <c r="U962" s="113"/>
      <c r="V962" s="113"/>
      <c r="W962" s="113"/>
      <c r="X962" s="113"/>
      <c r="Y962" s="113"/>
      <c r="Z962" s="113"/>
      <c r="AA962" s="113"/>
      <c r="AB962" s="113"/>
      <c r="AC962" s="113"/>
      <c r="AD962" s="113"/>
      <c r="AE962" s="113"/>
      <c r="AF962" s="113"/>
      <c r="AG962" s="113"/>
    </row>
    <row r="963" spans="1:33" ht="13.8">
      <c r="A963" s="113"/>
      <c r="B963" s="113"/>
      <c r="C963" s="113"/>
      <c r="D963" s="113"/>
      <c r="E963" s="113"/>
      <c r="F963" s="113"/>
      <c r="G963" s="113"/>
      <c r="H963" s="113"/>
      <c r="I963" s="113"/>
      <c r="J963" s="113"/>
      <c r="K963" s="113"/>
      <c r="L963" s="113"/>
      <c r="M963" s="113"/>
      <c r="N963" s="113"/>
      <c r="O963" s="113"/>
      <c r="P963" s="113"/>
      <c r="Q963" s="113"/>
      <c r="R963" s="113"/>
      <c r="S963" s="113"/>
      <c r="T963" s="113"/>
      <c r="U963" s="113"/>
      <c r="V963" s="113"/>
      <c r="W963" s="113"/>
      <c r="X963" s="113"/>
      <c r="Y963" s="113"/>
      <c r="Z963" s="113"/>
      <c r="AA963" s="113"/>
      <c r="AB963" s="113"/>
      <c r="AC963" s="113"/>
      <c r="AD963" s="113"/>
      <c r="AE963" s="113"/>
      <c r="AF963" s="113"/>
      <c r="AG963" s="113"/>
    </row>
    <row r="964" spans="1:33" ht="13.8">
      <c r="A964" s="113"/>
      <c r="B964" s="113"/>
      <c r="C964" s="113"/>
      <c r="D964" s="113"/>
      <c r="E964" s="113"/>
      <c r="F964" s="113"/>
      <c r="G964" s="113"/>
      <c r="H964" s="113"/>
      <c r="I964" s="113"/>
      <c r="J964" s="113"/>
      <c r="K964" s="113"/>
      <c r="L964" s="113"/>
      <c r="M964" s="113"/>
      <c r="N964" s="113"/>
      <c r="O964" s="113"/>
      <c r="P964" s="113"/>
      <c r="Q964" s="113"/>
      <c r="R964" s="113"/>
      <c r="S964" s="113"/>
      <c r="T964" s="113"/>
      <c r="U964" s="113"/>
      <c r="V964" s="113"/>
      <c r="W964" s="113"/>
      <c r="X964" s="113"/>
      <c r="Y964" s="113"/>
      <c r="Z964" s="113"/>
      <c r="AA964" s="113"/>
      <c r="AB964" s="113"/>
      <c r="AC964" s="113"/>
      <c r="AD964" s="113"/>
      <c r="AE964" s="113"/>
      <c r="AF964" s="113"/>
      <c r="AG964" s="113"/>
    </row>
  </sheetData>
  <dataValidations count="2">
    <dataValidation type="list" allowBlank="1" showErrorMessage="1" sqref="C2:C38" xr:uid="{00000000-0002-0000-0C00-000000000000}">
      <formula1>"6,7,8"</formula1>
      <formula2>0</formula2>
    </dataValidation>
    <dataValidation type="list" allowBlank="1" showErrorMessage="1" sqref="E2:E38" xr:uid="{00000000-0002-0000-0C00-000001000000}">
      <formula1>"Physics,Biology,Chemistry"</formula1>
      <formula2>0</formula2>
    </dataValidation>
  </dataValidations>
  <pageMargins left="0.74791666666666701" right="0.74791666666666701" top="0.98402777777777795" bottom="0.98402777777777795" header="0.511811023622047" footer="0.511811023622047"/>
  <pageSetup paperSize="9" orientation="portrait" horizontalDpi="300" verticalDpi="300"/>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G972"/>
  <sheetViews>
    <sheetView zoomScaleNormal="100" workbookViewId="0">
      <pane ySplit="1" topLeftCell="A8" activePane="bottomLeft" state="frozen"/>
      <selection pane="bottomLeft" activeCell="E3" sqref="E3"/>
    </sheetView>
  </sheetViews>
  <sheetFormatPr defaultColWidth="12.6640625" defaultRowHeight="13.2"/>
  <cols>
    <col min="1" max="2" width="13.44140625" customWidth="1"/>
    <col min="4" max="4" width="20.21875" customWidth="1"/>
    <col min="5" max="5" width="15.109375" customWidth="1"/>
    <col min="6" max="6" width="19.33203125" customWidth="1"/>
    <col min="8" max="8" width="35.109375" customWidth="1"/>
    <col min="9" max="9" width="25.5546875" hidden="1" customWidth="1"/>
    <col min="11" max="11" width="39.88671875" customWidth="1"/>
    <col min="13" max="13" width="37.6640625" customWidth="1"/>
    <col min="15" max="15" width="33.88671875" customWidth="1"/>
    <col min="17" max="17" width="35.33203125" customWidth="1"/>
    <col min="19" max="19" width="34.88671875" customWidth="1"/>
    <col min="21" max="21" width="24.88671875" customWidth="1"/>
  </cols>
  <sheetData>
    <row r="1" spans="1:33" ht="27.6">
      <c r="A1" s="3" t="s">
        <v>0</v>
      </c>
      <c r="B1" s="114" t="s">
        <v>1</v>
      </c>
      <c r="C1" s="114" t="s">
        <v>3</v>
      </c>
      <c r="D1" s="109" t="s">
        <v>1280</v>
      </c>
      <c r="E1" s="114" t="s">
        <v>2</v>
      </c>
      <c r="F1" s="110" t="s">
        <v>4</v>
      </c>
      <c r="G1" s="115" t="s">
        <v>1844</v>
      </c>
      <c r="H1" s="110" t="s">
        <v>307</v>
      </c>
      <c r="I1" s="113" t="s">
        <v>1670</v>
      </c>
      <c r="J1" s="20" t="s">
        <v>5</v>
      </c>
      <c r="K1" s="20" t="s">
        <v>6</v>
      </c>
      <c r="L1" s="20" t="s">
        <v>7</v>
      </c>
      <c r="M1" s="20" t="s">
        <v>8</v>
      </c>
      <c r="N1" s="20" t="s">
        <v>9</v>
      </c>
      <c r="O1" s="20" t="s">
        <v>10</v>
      </c>
      <c r="P1" s="20" t="s">
        <v>11</v>
      </c>
      <c r="Q1" s="20" t="s">
        <v>12</v>
      </c>
      <c r="R1" s="20" t="s">
        <v>13</v>
      </c>
      <c r="S1" s="20" t="s">
        <v>14</v>
      </c>
      <c r="T1" s="20" t="s">
        <v>15</v>
      </c>
      <c r="U1" s="20" t="s">
        <v>16</v>
      </c>
      <c r="V1" s="9" t="s">
        <v>17</v>
      </c>
      <c r="W1" s="9" t="s">
        <v>18</v>
      </c>
      <c r="X1" s="9" t="s">
        <v>19</v>
      </c>
      <c r="Y1" s="9" t="s">
        <v>20</v>
      </c>
      <c r="Z1" s="9" t="s">
        <v>21</v>
      </c>
      <c r="AA1" s="9" t="s">
        <v>22</v>
      </c>
      <c r="AB1" s="9" t="s">
        <v>23</v>
      </c>
      <c r="AC1" s="10" t="s">
        <v>24</v>
      </c>
      <c r="AD1" s="11" t="s">
        <v>25</v>
      </c>
      <c r="AE1" s="11" t="s">
        <v>26</v>
      </c>
      <c r="AF1" s="11" t="s">
        <v>27</v>
      </c>
      <c r="AG1" s="12" t="s">
        <v>28</v>
      </c>
    </row>
    <row r="2" spans="1:33" ht="55.2">
      <c r="A2" s="113"/>
      <c r="B2" s="113" t="s">
        <v>29</v>
      </c>
      <c r="C2" s="113">
        <v>7</v>
      </c>
      <c r="D2" s="111" t="s">
        <v>1671</v>
      </c>
      <c r="E2" s="113" t="s">
        <v>1613</v>
      </c>
      <c r="F2" s="111" t="s">
        <v>32</v>
      </c>
      <c r="G2" s="1" t="s">
        <v>1672</v>
      </c>
      <c r="H2" s="111" t="str">
        <f ca="1">IFERROR(__xludf.dummyfunction("IFERROR(
  VLOOKUP(G2, IMPORTRANGE(""https://docs.google.com/spreadsheets/d/14deopnvwcrKtEGCKuYXdUHJbeLDZlkiSSWWT0g7x2pM/edit#gid=849066331"", ""LU List Maths (Filter)!A:B""), 2, FALSE),
  IFERROR(
    VLOOKUP(G2, IMPORTRANGE(""https://docs.google.com/spr"&amp;"eadsheets/d/14deopnvwcrKtEGCKuYXdUHJbeLDZlkiSSWWT0g7x2pM/edit#gid=849066331"", ""LU List Science (Filter)!A:B""), 2, FALSE),
    ""Not Found""
  )
)
"),"How materials are alike")</f>
        <v>How materials are alike</v>
      </c>
      <c r="I2" s="113" t="s">
        <v>1633</v>
      </c>
      <c r="J2" s="1" t="str">
        <f t="shared" ref="J2:J33" si="0">G2 &amp; ".001"</f>
        <v>LU006081.001</v>
      </c>
      <c r="K2" s="1" t="str">
        <f ca="1">IFERROR(__xludf.dummyfunction("VLOOKUP(J2, IMPORTRANGE(""https://docs.google.com/spreadsheets/d/1yDAaXNsi4Mr5FtRQL4tbmSdIzhx6_m4wkOD7IG-k_eo/edit#gid=1336395716"", ""Science!M:N""), 2, FALSE)"),"Identify that all materials, including air, occupy space and have mass.")</f>
        <v>Identify that all materials, including air, occupy space and have mass.</v>
      </c>
      <c r="L2" s="1" t="str">
        <f t="shared" ref="L2:L33" si="1">G2 &amp; ".002"</f>
        <v>LU006081.002</v>
      </c>
      <c r="M2" s="1" t="str">
        <f ca="1">IFERROR(__xludf.dummyfunction("VLOOKUP(L2, IMPORTRANGE(""https://docs.google.com/spreadsheets/d/1yDAaXNsi4Mr5FtRQL4tbmSdIzhx6_m4wkOD7IG-k_eo/edit#gid=1336395716"", ""Science!M:N""), 2, FALSE)"),"Describe the properties common to all materials, such as volume and mass.")</f>
        <v>Describe the properties common to all materials, such as volume and mass.</v>
      </c>
      <c r="N2" s="1" t="str">
        <f t="shared" ref="N2:N33" si="2">G2 &amp; ".003"</f>
        <v>LU006081.003</v>
      </c>
      <c r="O2" s="1" t="str">
        <f ca="1">IFERROR(__xludf.dummyfunction("VLOOKUP(N2, IMPORTRANGE(""https://docs.google.com/spreadsheets/d/1yDAaXNsi4Mr5FtRQL4tbmSdIzhx6_m4wkOD7IG-k_eo/edit#gid=1336395716"", ""Science!M:N""), 2, FALSE)"),"Demonstrate understanding by giving examples of different materials and their shared properties of volume and mass.")</f>
        <v>Demonstrate understanding by giving examples of different materials and their shared properties of volume and mass.</v>
      </c>
      <c r="P2" s="1" t="str">
        <f t="shared" ref="P2:P33" si="3">G2 &amp; ".004"</f>
        <v>LU006081.004</v>
      </c>
      <c r="Q2" s="15" t="str">
        <f ca="1">IFERROR(__xludf.dummyfunction("VLOOKUP(P2, IMPORTRANGE(""https://docs.google.com/spreadsheets/d/1yDAaXNsi4Mr5FtRQL4tbmSdIzhx6_m4wkOD7IG-k_eo/edit#gid=1336395716"", ""Science!M:N""), 2, FALSE)"),"Compare the volume and mass of different materials, like air versus a solid object.")</f>
        <v>Compare the volume and mass of different materials, like air versus a solid object.</v>
      </c>
      <c r="R2" s="1" t="str">
        <f t="shared" ref="R2:R33" si="4">G2 &amp; ".005"</f>
        <v>LU006081.005</v>
      </c>
      <c r="S2" s="15" t="str">
        <f ca="1">IFERROR(__xludf.dummyfunction("VLOOKUP(R2, IMPORTRANGE(""https://docs.google.com/spreadsheets/d/1yDAaXNsi4Mr5FtRQL4tbmSdIzhx6_m4wkOD7IG-k_eo/edit#gid=1336395716"", ""Science!M:N""), 2, FALSE)"),"Assess why understanding that all materials have volume and mass is important in various scientific contexts.")</f>
        <v>Assess why understanding that all materials have volume and mass is important in various scientific contexts.</v>
      </c>
      <c r="T2" s="1" t="str">
        <f t="shared" ref="T2:T33" si="5">G2 &amp; ".006"</f>
        <v>LU006081.006</v>
      </c>
      <c r="U2" s="15" t="str">
        <f ca="1">IFERROR(__xludf.dummyfunction("VLOOKUP(T2, IMPORTRANGE(""https://docs.google.com/spreadsheets/d/1yDAaXNsi4Mr5FtRQL4tbmSdIzhx6_m4wkOD7IG-k_eo/edit#gid=1336395716"", ""Science!M:N""), 2, FALSE)"),"#N/A")</f>
        <v>#N/A</v>
      </c>
      <c r="V2" s="16">
        <f ca="1">IFERROR(__xludf.dummyfunction("ArrayFormula(VLOOKUP(G2, IMPORTRANGE(""https://docs.google.com/spreadsheets/d/1p7R4vtkWt5VOBim4ltsDG9KTzSjrtKXsMtQGXPHyND0/edit#gid=795171502"", ""'Filter 30_05_2024'!A1:M2000""), {2, 3, 4, 5,6,7,8,9,10,11,12,13}, 0))"),4)</f>
        <v>4</v>
      </c>
      <c r="W2" s="16">
        <f ca="1">IFERROR(__xludf.dummyfunction("""COMPUTED_VALUE"""),6)</f>
        <v>6</v>
      </c>
      <c r="X2" s="16">
        <f ca="1">IFERROR(__xludf.dummyfunction("""COMPUTED_VALUE"""),2)</f>
        <v>2</v>
      </c>
      <c r="Y2" s="16">
        <f ca="1">IFERROR(__xludf.dummyfunction("""COMPUTED_VALUE"""),12)</f>
        <v>12</v>
      </c>
      <c r="Z2" s="16">
        <f ca="1">IFERROR(__xludf.dummyfunction("""COMPUTED_VALUE"""),4)</f>
        <v>4</v>
      </c>
      <c r="AA2" s="17">
        <f ca="1">IFERROR(__xludf.dummyfunction("""COMPUTED_VALUE"""),3)</f>
        <v>3</v>
      </c>
      <c r="AB2" s="17">
        <f ca="1">IFERROR(__xludf.dummyfunction("""COMPUTED_VALUE"""),1)</f>
        <v>1</v>
      </c>
      <c r="AC2" s="17">
        <f ca="1">IFERROR(__xludf.dummyfunction("""COMPUTED_VALUE"""),8)</f>
        <v>8</v>
      </c>
      <c r="AD2" s="2"/>
      <c r="AE2" s="2"/>
      <c r="AF2" s="2"/>
      <c r="AG2" s="2"/>
    </row>
    <row r="3" spans="1:33" ht="110.4">
      <c r="A3" s="113"/>
      <c r="B3" s="113" t="s">
        <v>29</v>
      </c>
      <c r="C3" s="113">
        <v>7</v>
      </c>
      <c r="D3" s="111" t="s">
        <v>1671</v>
      </c>
      <c r="E3" s="113" t="s">
        <v>1613</v>
      </c>
      <c r="F3" s="111" t="s">
        <v>1673</v>
      </c>
      <c r="G3" s="14" t="s">
        <v>1674</v>
      </c>
      <c r="H3" s="111" t="str">
        <f ca="1">IFERROR(__xludf.dummyfunction("IFERROR(
  VLOOKUP(G3, IMPORTRANGE(""https://docs.google.com/spreadsheets/d/14deopnvwcrKtEGCKuYXdUHJbeLDZlkiSSWWT0g7x2pM/edit#gid=849066331"", ""LU List Maths (Filter)!A:B""), 2, FALSE),
  IFERROR(
    VLOOKUP(G3, IMPORTRANGE(""https://docs.google.com/spr"&amp;"eadsheets/d/14deopnvwcrKtEGCKuYXdUHJbeLDZlkiSSWWT0g7x2pM/edit#gid=849066331"", ""LU List Science (Filter)!A:B""), 2, FALSE),
    ""Not Found""
  )
)
"),"Characteristics of Particles of Matter")</f>
        <v>Characteristics of Particles of Matter</v>
      </c>
      <c r="I3" s="113" t="s">
        <v>1675</v>
      </c>
      <c r="J3" s="1" t="str">
        <f t="shared" si="0"/>
        <v>LU006710.001</v>
      </c>
      <c r="K3" s="1" t="str">
        <f ca="1">IFERROR(__xludf.dummyfunction("VLOOKUP(J3, IMPORTRANGE(""https://docs.google.com/spreadsheets/d/1yDAaXNsi4Mr5FtRQL4tbmSdIzhx6_m4wkOD7IG-k_eo/edit#gid=1336395716"", ""Science!M:N""), 2, FALSE)"),"(LU006710.001); Default - Remember")</f>
        <v>(LU006710.001); Default - Remember</v>
      </c>
      <c r="L3" s="1" t="str">
        <f t="shared" si="1"/>
        <v>LU006710.002</v>
      </c>
      <c r="M3" s="1" t="str">
        <f ca="1">IFERROR(__xludf.dummyfunction("VLOOKUP(L3, IMPORTRANGE(""https://docs.google.com/spreadsheets/d/1yDAaXNsi4Mr5FtRQL4tbmSdIzhx6_m4wkOD7IG-k_eo/edit#gid=1336395716"", ""Science!M:N""), 2, FALSE)"),"(LU006710.002); Default - Understand")</f>
        <v>(LU006710.002); Default - Understand</v>
      </c>
      <c r="N3" s="1" t="str">
        <f t="shared" si="2"/>
        <v>LU006710.003</v>
      </c>
      <c r="O3" s="1" t="str">
        <f ca="1">IFERROR(__xludf.dummyfunction("VLOOKUP(N3, IMPORTRANGE(""https://docs.google.com/spreadsheets/d/1yDAaXNsi4Mr5FtRQL4tbmSdIzhx6_m4wkOD7IG-k_eo/edit#gid=1336395716"", ""Science!M:N""), 2, FALSE)"),"(LU006710.003); Default - Apply")</f>
        <v>(LU006710.003); Default - Apply</v>
      </c>
      <c r="P3" s="1" t="str">
        <f t="shared" si="3"/>
        <v>LU006710.004</v>
      </c>
      <c r="Q3" s="15" t="str">
        <f ca="1">IFERROR(__xludf.dummyfunction("VLOOKUP(P3, IMPORTRANGE(""https://docs.google.com/spreadsheets/d/1yDAaXNsi4Mr5FtRQL4tbmSdIzhx6_m4wkOD7IG-k_eo/edit#gid=1336395716"", ""Science!M:N""), 2, FALSE)"),"(LU006710.004); Default - Analyse")</f>
        <v>(LU006710.004); Default - Analyse</v>
      </c>
      <c r="R3" s="1" t="str">
        <f t="shared" si="4"/>
        <v>LU006710.005</v>
      </c>
      <c r="S3" s="15" t="str">
        <f ca="1">IFERROR(__xludf.dummyfunction("VLOOKUP(R3, IMPORTRANGE(""https://docs.google.com/spreadsheets/d/1yDAaXNsi4Mr5FtRQL4tbmSdIzhx6_m4wkOD7IG-k_eo/edit#gid=1336395716"", ""Science!M:N""), 2, FALSE)"),"(LU006710.005); Default - Evaluate")</f>
        <v>(LU006710.005); Default - Evaluate</v>
      </c>
      <c r="T3" s="1" t="str">
        <f t="shared" si="5"/>
        <v>LU006710.006</v>
      </c>
      <c r="U3" s="15" t="str">
        <f ca="1">IFERROR(__xludf.dummyfunction("VLOOKUP(T3, IMPORTRANGE(""https://docs.google.com/spreadsheets/d/1yDAaXNsi4Mr5FtRQL4tbmSdIzhx6_m4wkOD7IG-k_eo/edit#gid=1336395716"", ""Science!M:N""), 2, FALSE)"),"(LU006710.006); Default - Create")</f>
        <v>(LU006710.006); Default - Create</v>
      </c>
      <c r="V3" s="113"/>
      <c r="W3" s="113"/>
      <c r="X3" s="113"/>
      <c r="Y3" s="113"/>
      <c r="Z3" s="113"/>
      <c r="AA3" s="113"/>
      <c r="AB3" s="113"/>
      <c r="AC3" s="113"/>
      <c r="AD3" s="113"/>
      <c r="AE3" s="113"/>
      <c r="AF3" s="113"/>
      <c r="AG3" s="113"/>
    </row>
    <row r="4" spans="1:33" ht="55.2">
      <c r="A4" s="113"/>
      <c r="B4" s="113" t="s">
        <v>29</v>
      </c>
      <c r="C4" s="113">
        <v>7</v>
      </c>
      <c r="D4" s="111" t="s">
        <v>1671</v>
      </c>
      <c r="E4" s="113" t="s">
        <v>1613</v>
      </c>
      <c r="F4" s="111" t="s">
        <v>1673</v>
      </c>
      <c r="G4" s="14" t="s">
        <v>1676</v>
      </c>
      <c r="H4" s="111" t="str">
        <f ca="1">IFERROR(__xludf.dummyfunction("IFERROR(
  VLOOKUP(G4, IMPORTRANGE(""https://docs.google.com/spreadsheets/d/14deopnvwcrKtEGCKuYXdUHJbeLDZlkiSSWWT0g7x2pM/edit#gid=849066331"", ""LU List Maths (Filter)!A:B""), 2, FALSE),
  IFERROR(
    VLOOKUP(G4, IMPORTRANGE(""https://docs.google.com/spr"&amp;"eadsheets/d/14deopnvwcrKtEGCKuYXdUHJbeLDZlkiSSWWT0g7x2pM/edit#gid=849066331"", ""LU List Science (Filter)!A:B""), 2, FALSE),
    ""Not Found""
  )
)
"),"States of Matter")</f>
        <v>States of Matter</v>
      </c>
      <c r="I4" s="113" t="s">
        <v>1677</v>
      </c>
      <c r="J4" s="1" t="str">
        <f t="shared" si="0"/>
        <v>LU006711.001</v>
      </c>
      <c r="K4" s="1" t="str">
        <f ca="1">IFERROR(__xludf.dummyfunction("VLOOKUP(J4, IMPORTRANGE(""https://docs.google.com/spreadsheets/d/1yDAaXNsi4Mr5FtRQL4tbmSdIzhx6_m4wkOD7IG-k_eo/edit#gid=1336395716"", ""Science!M:N""), 2, FALSE)"),"(LU006711.001); Default - Remember")</f>
        <v>(LU006711.001); Default - Remember</v>
      </c>
      <c r="L4" s="1" t="str">
        <f t="shared" si="1"/>
        <v>LU006711.002</v>
      </c>
      <c r="M4" s="1" t="str">
        <f ca="1">IFERROR(__xludf.dummyfunction("VLOOKUP(L4, IMPORTRANGE(""https://docs.google.com/spreadsheets/d/1yDAaXNsi4Mr5FtRQL4tbmSdIzhx6_m4wkOD7IG-k_eo/edit#gid=1336395716"", ""Science!M:N""), 2, FALSE)"),"(LU006711.002); Default - Understand")</f>
        <v>(LU006711.002); Default - Understand</v>
      </c>
      <c r="N4" s="1" t="str">
        <f t="shared" si="2"/>
        <v>LU006711.003</v>
      </c>
      <c r="O4" s="1" t="str">
        <f ca="1">IFERROR(__xludf.dummyfunction("VLOOKUP(N4, IMPORTRANGE(""https://docs.google.com/spreadsheets/d/1yDAaXNsi4Mr5FtRQL4tbmSdIzhx6_m4wkOD7IG-k_eo/edit#gid=1336395716"", ""Science!M:N""), 2, FALSE)"),"(LU006711.003); Default - Apply")</f>
        <v>(LU006711.003); Default - Apply</v>
      </c>
      <c r="P4" s="1" t="str">
        <f t="shared" si="3"/>
        <v>LU006711.004</v>
      </c>
      <c r="Q4" s="15" t="str">
        <f ca="1">IFERROR(__xludf.dummyfunction("VLOOKUP(P4, IMPORTRANGE(""https://docs.google.com/spreadsheets/d/1yDAaXNsi4Mr5FtRQL4tbmSdIzhx6_m4wkOD7IG-k_eo/edit#gid=1336395716"", ""Science!M:N""), 2, FALSE)"),"(LU006711.004); Default - Analyse")</f>
        <v>(LU006711.004); Default - Analyse</v>
      </c>
      <c r="R4" s="1" t="str">
        <f t="shared" si="4"/>
        <v>LU006711.005</v>
      </c>
      <c r="S4" s="15" t="str">
        <f ca="1">IFERROR(__xludf.dummyfunction("VLOOKUP(R4, IMPORTRANGE(""https://docs.google.com/spreadsheets/d/1yDAaXNsi4Mr5FtRQL4tbmSdIzhx6_m4wkOD7IG-k_eo/edit#gid=1336395716"", ""Science!M:N""), 2, FALSE)"),"(LU006711.005); Default - Evaluate")</f>
        <v>(LU006711.005); Default - Evaluate</v>
      </c>
      <c r="T4" s="1" t="str">
        <f t="shared" si="5"/>
        <v>LU006711.006</v>
      </c>
      <c r="U4" s="15" t="str">
        <f ca="1">IFERROR(__xludf.dummyfunction("VLOOKUP(T4, IMPORTRANGE(""https://docs.google.com/spreadsheets/d/1yDAaXNsi4Mr5FtRQL4tbmSdIzhx6_m4wkOD7IG-k_eo/edit#gid=1336395716"", ""Science!M:N""), 2, FALSE)"),"(LU006711.006); Default - Create")</f>
        <v>(LU006711.006); Default - Create</v>
      </c>
      <c r="V4" s="113"/>
      <c r="W4" s="113"/>
      <c r="X4" s="113"/>
      <c r="Y4" s="113"/>
      <c r="Z4" s="113"/>
      <c r="AA4" s="113"/>
      <c r="AB4" s="113"/>
      <c r="AC4" s="113"/>
      <c r="AD4" s="113"/>
      <c r="AE4" s="113"/>
      <c r="AF4" s="113"/>
      <c r="AG4" s="113"/>
    </row>
    <row r="5" spans="1:33" ht="41.4">
      <c r="A5" s="113"/>
      <c r="B5" s="113" t="s">
        <v>29</v>
      </c>
      <c r="C5" s="113">
        <v>7</v>
      </c>
      <c r="D5" s="111" t="s">
        <v>1678</v>
      </c>
      <c r="E5" s="113" t="s">
        <v>1613</v>
      </c>
      <c r="F5" s="111" t="s">
        <v>1679</v>
      </c>
      <c r="G5" s="1" t="s">
        <v>1680</v>
      </c>
      <c r="H5" s="111" t="str">
        <f ca="1">IFERROR(__xludf.dummyfunction("IFERROR(
  VLOOKUP(G5, IMPORTRANGE(""https://docs.google.com/spreadsheets/d/14deopnvwcrKtEGCKuYXdUHJbeLDZlkiSSWWT0g7x2pM/edit#gid=849066331"", ""LU List Maths (Filter)!A:B""), 2, FALSE),
  IFERROR(
    VLOOKUP(G5, IMPORTRANGE(""https://docs.google.com/spr"&amp;"eadsheets/d/14deopnvwcrKtEGCKuYXdUHJbeLDZlkiSSWWT0g7x2pM/edit#gid=849066331"", ""LU List Science (Filter)!A:B""), 2, FALSE),
    ""Not Found""
  )
)
"),"Definition and Causes of Changes around us")</f>
        <v>Definition and Causes of Changes around us</v>
      </c>
      <c r="I5" s="116"/>
      <c r="J5" s="1" t="str">
        <f t="shared" si="0"/>
        <v>LU005905.001</v>
      </c>
      <c r="K5" s="1" t="str">
        <f ca="1">IFERROR(__xludf.dummyfunction("VLOOKUP(J5, IMPORTRANGE(""https://docs.google.com/spreadsheets/d/1yDAaXNsi4Mr5FtRQL4tbmSdIzhx6_m4wkOD7IG-k_eo/edit#gid=1336395716"", ""Science!M:N""), 2, FALSE)"),"Define what a change is in the context of their surroundings.")</f>
        <v>Define what a change is in the context of their surroundings.</v>
      </c>
      <c r="L5" s="1" t="str">
        <f t="shared" si="1"/>
        <v>LU005905.002</v>
      </c>
      <c r="M5" s="1" t="str">
        <f ca="1">IFERROR(__xludf.dummyfunction("VLOOKUP(L5, IMPORTRANGE(""https://docs.google.com/spreadsheets/d/1yDAaXNsi4Mr5FtRQL4tbmSdIzhx6_m4wkOD7IG-k_eo/edit#gid=1336395716"", ""Science!M:N""), 2, FALSE)"),"Describe the different factors that can lead to changes in the environment.")</f>
        <v>Describe the different factors that can lead to changes in the environment.</v>
      </c>
      <c r="N5" s="1" t="str">
        <f t="shared" si="2"/>
        <v>LU005905.003</v>
      </c>
      <c r="O5" s="1" t="str">
        <f ca="1">IFERROR(__xludf.dummyfunction("VLOOKUP(N5, IMPORTRANGE(""https://docs.google.com/spreadsheets/d/1yDAaXNsi4Mr5FtRQL4tbmSdIzhx6_m4wkOD7IG-k_eo/edit#gid=1336395716"", ""Science!M:N""), 2, FALSE)"),"#N/A")</f>
        <v>#N/A</v>
      </c>
      <c r="P5" s="1" t="str">
        <f t="shared" si="3"/>
        <v>LU005905.004</v>
      </c>
      <c r="Q5" s="15" t="str">
        <f ca="1">IFERROR(__xludf.dummyfunction("VLOOKUP(P5, IMPORTRANGE(""https://docs.google.com/spreadsheets/d/1yDAaXNsi4Mr5FtRQL4tbmSdIzhx6_m4wkOD7IG-k_eo/edit#gid=1336395716"", ""Science!M:N""), 2, FALSE)"),"Differentiate between natural and human-induced changes.")</f>
        <v>Differentiate between natural and human-induced changes.</v>
      </c>
      <c r="R5" s="1" t="str">
        <f t="shared" si="4"/>
        <v>LU005905.005</v>
      </c>
      <c r="S5" s="15" t="str">
        <f ca="1">IFERROR(__xludf.dummyfunction("VLOOKUP(R5, IMPORTRANGE(""https://docs.google.com/spreadsheets/d/1yDAaXNsi4Mr5FtRQL4tbmSdIzhx6_m4wkOD7IG-k_eo/edit#gid=1336395716"", ""Science!M:N""), 2, FALSE)"),"Evaluate the positive and negative impacts of specific changes on the environment.")</f>
        <v>Evaluate the positive and negative impacts of specific changes on the environment.</v>
      </c>
      <c r="T5" s="1" t="str">
        <f t="shared" si="5"/>
        <v>LU005905.006</v>
      </c>
      <c r="U5" s="15" t="str">
        <f ca="1">IFERROR(__xludf.dummyfunction("VLOOKUP(T5, IMPORTRANGE(""https://docs.google.com/spreadsheets/d/1yDAaXNsi4Mr5FtRQL4tbmSdIzhx6_m4wkOD7IG-k_eo/edit#gid=1336395716"", ""Science!M:N""), 2, FALSE)"),"#N/A")</f>
        <v>#N/A</v>
      </c>
      <c r="V5" s="113"/>
      <c r="W5" s="113"/>
      <c r="X5" s="113"/>
      <c r="Y5" s="113"/>
      <c r="Z5" s="113"/>
      <c r="AA5" s="113"/>
      <c r="AB5" s="113"/>
      <c r="AC5" s="113"/>
      <c r="AD5" s="113"/>
      <c r="AE5" s="113"/>
      <c r="AF5" s="113"/>
      <c r="AG5" s="113"/>
    </row>
    <row r="6" spans="1:33" ht="69">
      <c r="A6" s="113"/>
      <c r="B6" s="113" t="s">
        <v>29</v>
      </c>
      <c r="C6" s="113">
        <v>7</v>
      </c>
      <c r="D6" s="111" t="s">
        <v>1678</v>
      </c>
      <c r="E6" s="113" t="s">
        <v>1613</v>
      </c>
      <c r="F6" s="111" t="s">
        <v>1681</v>
      </c>
      <c r="G6" s="1" t="s">
        <v>1682</v>
      </c>
      <c r="H6" s="111" t="str">
        <f ca="1">IFERROR(__xludf.dummyfunction("IFERROR(
  VLOOKUP(G6, IMPORTRANGE(""https://docs.google.com/spreadsheets/d/14deopnvwcrKtEGCKuYXdUHJbeLDZlkiSSWWT0g7x2pM/edit#gid=849066331"", ""LU List Maths (Filter)!A:B""), 2, FALSE),
  IFERROR(
    VLOOKUP(G6, IMPORTRANGE(""https://docs.google.com/spr"&amp;"eadsheets/d/14deopnvwcrKtEGCKuYXdUHJbeLDZlkiSSWWT0g7x2pM/edit#gid=849066331"", ""LU List Science (Filter)!A:B""), 2, FALSE),
    ""Not Found""
  )
)
"),"Introduction to Physical Changes")</f>
        <v>Introduction to Physical Changes</v>
      </c>
      <c r="I6" s="116"/>
      <c r="J6" s="1" t="str">
        <f t="shared" si="0"/>
        <v>LU005494.001</v>
      </c>
      <c r="K6" s="1" t="str">
        <f ca="1">IFERROR(__xludf.dummyfunction("VLOOKUP(J6, IMPORTRANGE(""https://docs.google.com/spreadsheets/d/1yDAaXNsi4Mr5FtRQL4tbmSdIzhx6_m4wkOD7IG-k_eo/edit#gid=1336395716"", ""Science!M:N""), 2, FALSE)"),"List examples of physical changes encountered in daily life.")</f>
        <v>List examples of physical changes encountered in daily life.</v>
      </c>
      <c r="L6" s="1" t="str">
        <f t="shared" si="1"/>
        <v>LU005494.002</v>
      </c>
      <c r="M6" s="1" t="str">
        <f ca="1">IFERROR(__xludf.dummyfunction("VLOOKUP(L6, IMPORTRANGE(""https://docs.google.com/spreadsheets/d/1yDAaXNsi4Mr5FtRQL4tbmSdIzhx6_m4wkOD7IG-k_eo/edit#gid=1336395716"", ""Science!M:N""), 2, FALSE)"),"Describe the characteristics of a physical change.")</f>
        <v>Describe the characteristics of a physical change.</v>
      </c>
      <c r="N6" s="1" t="str">
        <f t="shared" si="2"/>
        <v>LU005494.003</v>
      </c>
      <c r="O6" s="1" t="str">
        <f ca="1">IFERROR(__xludf.dummyfunction("VLOOKUP(N6, IMPORTRANGE(""https://docs.google.com/spreadsheets/d/1yDAaXNsi4Mr5FtRQL4tbmSdIzhx6_m4wkOD7IG-k_eo/edit#gid=1336395716"", ""Science!M:N""), 2, FALSE)"),"Demonstrate the process of a physical change by using various examples.")</f>
        <v>Demonstrate the process of a physical change by using various examples.</v>
      </c>
      <c r="P6" s="1" t="str">
        <f t="shared" si="3"/>
        <v>LU005494.004</v>
      </c>
      <c r="Q6" s="15" t="str">
        <f ca="1">IFERROR(__xludf.dummyfunction("VLOOKUP(P6, IMPORTRANGE(""https://docs.google.com/spreadsheets/d/1yDAaXNsi4Mr5FtRQL4tbmSdIzhx6_m4wkOD7IG-k_eo/edit#gid=1336395716"", ""Science!M:N""), 2, FALSE)"),"Analyse given scenarios in the light of the characteristics of the physical changes.")</f>
        <v>Analyse given scenarios in the light of the characteristics of the physical changes.</v>
      </c>
      <c r="R6" s="1" t="str">
        <f t="shared" si="4"/>
        <v>LU005494.005</v>
      </c>
      <c r="S6" s="15" t="str">
        <f ca="1">IFERROR(__xludf.dummyfunction("VLOOKUP(R6, IMPORTRANGE(""https://docs.google.com/spreadsheets/d/1yDAaXNsi4Mr5FtRQL4tbmSdIzhx6_m4wkOD7IG-k_eo/edit#gid=1336395716"", ""Science!M:N""), 2, FALSE)"),"#N/A")</f>
        <v>#N/A</v>
      </c>
      <c r="T6" s="1" t="str">
        <f t="shared" si="5"/>
        <v>LU005494.006</v>
      </c>
      <c r="U6" s="15" t="str">
        <f ca="1">IFERROR(__xludf.dummyfunction("VLOOKUP(T6, IMPORTRANGE(""https://docs.google.com/spreadsheets/d/1yDAaXNsi4Mr5FtRQL4tbmSdIzhx6_m4wkOD7IG-k_eo/edit#gid=1336395716"", ""Science!M:N""), 2, FALSE)"),"Design an experiment to determine the relationship between temperature and the rate of physical changes.")</f>
        <v>Design an experiment to determine the relationship between temperature and the rate of physical changes.</v>
      </c>
      <c r="V6" s="113"/>
      <c r="W6" s="113"/>
      <c r="X6" s="113"/>
      <c r="Y6" s="113"/>
      <c r="Z6" s="113"/>
      <c r="AA6" s="113"/>
      <c r="AB6" s="113"/>
      <c r="AC6" s="113"/>
      <c r="AD6" s="113"/>
      <c r="AE6" s="113"/>
      <c r="AF6" s="113"/>
      <c r="AG6" s="113"/>
    </row>
    <row r="7" spans="1:33" ht="41.4">
      <c r="A7" s="113"/>
      <c r="B7" s="113" t="s">
        <v>29</v>
      </c>
      <c r="C7" s="113">
        <v>7</v>
      </c>
      <c r="D7" s="111" t="s">
        <v>1678</v>
      </c>
      <c r="E7" s="113" t="s">
        <v>1613</v>
      </c>
      <c r="F7" s="111" t="s">
        <v>1681</v>
      </c>
      <c r="G7" s="1" t="s">
        <v>1683</v>
      </c>
      <c r="H7" s="111" t="str">
        <f ca="1">IFERROR(__xludf.dummyfunction("IFERROR(
  VLOOKUP(G7, IMPORTRANGE(""https://docs.google.com/spreadsheets/d/14deopnvwcrKtEGCKuYXdUHJbeLDZlkiSSWWT0g7x2pM/edit#gid=849066331"", ""LU List Maths (Filter)!A:B""), 2, FALSE),
  IFERROR(
    VLOOKUP(G7, IMPORTRANGE(""https://docs.google.com/spr"&amp;"eadsheets/d/14deopnvwcrKtEGCKuYXdUHJbeLDZlkiSSWWT0g7x2pM/edit#gid=849066331"", ""LU List Science (Filter)!A:B""), 2, FALSE),
    ""Not Found""
  )
)
"),"Effects Indicating Physical Changes")</f>
        <v>Effects Indicating Physical Changes</v>
      </c>
      <c r="I7" s="116"/>
      <c r="J7" s="1" t="str">
        <f t="shared" si="0"/>
        <v>LU005489.001</v>
      </c>
      <c r="K7" s="1" t="str">
        <f ca="1">IFERROR(__xludf.dummyfunction("VLOOKUP(J7, IMPORTRANGE(""https://docs.google.com/spreadsheets/d/1yDAaXNsi4Mr5FtRQL4tbmSdIzhx6_m4wkOD7IG-k_eo/edit#gid=1336395716"", ""Science!M:N""), 2, FALSE)"),"Identify observable effects that indicate a physical change.")</f>
        <v>Identify observable effects that indicate a physical change.</v>
      </c>
      <c r="L7" s="1" t="str">
        <f t="shared" si="1"/>
        <v>LU005489.002</v>
      </c>
      <c r="M7" s="1" t="str">
        <f ca="1">IFERROR(__xludf.dummyfunction("VLOOKUP(L7, IMPORTRANGE(""https://docs.google.com/spreadsheets/d/1yDAaXNsi4Mr5FtRQL4tbmSdIzhx6_m4wkOD7IG-k_eo/edit#gid=1336395716"", ""Science!M:N""), 2, FALSE)"),"Explain how changes in state, size, shape, and color can signal a physical change.")</f>
        <v>Explain how changes in state, size, shape, and color can signal a physical change.</v>
      </c>
      <c r="N7" s="1" t="str">
        <f t="shared" si="2"/>
        <v>LU005489.003</v>
      </c>
      <c r="O7" s="1" t="str">
        <f ca="1">IFERROR(__xludf.dummyfunction("VLOOKUP(N7, IMPORTRANGE(""https://docs.google.com/spreadsheets/d/1yDAaXNsi4Mr5FtRQL4tbmSdIzhx6_m4wkOD7IG-k_eo/edit#gid=1336395716"", ""Science!M:N""), 2, FALSE)"),"Apply the concept of physical change indicators to real-world scenarios.")</f>
        <v>Apply the concept of physical change indicators to real-world scenarios.</v>
      </c>
      <c r="P7" s="1" t="str">
        <f t="shared" si="3"/>
        <v>LU005489.004</v>
      </c>
      <c r="Q7" s="15" t="str">
        <f ca="1">IFERROR(__xludf.dummyfunction("VLOOKUP(P7, IMPORTRANGE(""https://docs.google.com/spreadsheets/d/1yDAaXNsi4Mr5FtRQL4tbmSdIzhx6_m4wkOD7IG-k_eo/edit#gid=1336395716"", ""Science!M:N""), 2, FALSE)"),"Analyze the effects of temperature and pressure changes on materials undergoing physical changes.")</f>
        <v>Analyze the effects of temperature and pressure changes on materials undergoing physical changes.</v>
      </c>
      <c r="R7" s="1" t="str">
        <f t="shared" si="4"/>
        <v>LU005489.005</v>
      </c>
      <c r="S7" s="15" t="str">
        <f ca="1">IFERROR(__xludf.dummyfunction("VLOOKUP(R7, IMPORTRANGE(""https://docs.google.com/spreadsheets/d/1yDAaXNsi4Mr5FtRQL4tbmSdIzhx6_m4wkOD7IG-k_eo/edit#gid=1336395716"", ""Science!M:N""), 2, FALSE)"),"Evaluate the reliability of different effects in determining whether a change is physical or chemical.")</f>
        <v>Evaluate the reliability of different effects in determining whether a change is physical or chemical.</v>
      </c>
      <c r="T7" s="1" t="str">
        <f t="shared" si="5"/>
        <v>LU005489.006</v>
      </c>
      <c r="U7" s="15" t="str">
        <f ca="1">IFERROR(__xludf.dummyfunction("VLOOKUP(T7, IMPORTRANGE(""https://docs.google.com/spreadsheets/d/1yDAaXNsi4Mr5FtRQL4tbmSdIzhx6_m4wkOD7IG-k_eo/edit#gid=1336395716"", ""Science!M:N""), 2, FALSE)"),"#N/A")</f>
        <v>#N/A</v>
      </c>
      <c r="V7" s="113"/>
      <c r="W7" s="113"/>
      <c r="X7" s="113"/>
      <c r="Y7" s="113"/>
      <c r="Z7" s="113"/>
      <c r="AA7" s="113"/>
      <c r="AB7" s="113"/>
      <c r="AC7" s="113"/>
      <c r="AD7" s="113"/>
      <c r="AE7" s="113"/>
      <c r="AF7" s="113"/>
      <c r="AG7" s="113"/>
    </row>
    <row r="8" spans="1:33" ht="41.4">
      <c r="A8" s="113"/>
      <c r="B8" s="113" t="s">
        <v>29</v>
      </c>
      <c r="C8" s="113">
        <v>7</v>
      </c>
      <c r="D8" s="111" t="s">
        <v>1678</v>
      </c>
      <c r="E8" s="113" t="s">
        <v>1613</v>
      </c>
      <c r="F8" s="111" t="s">
        <v>1684</v>
      </c>
      <c r="G8" s="1" t="s">
        <v>1685</v>
      </c>
      <c r="H8" s="111" t="str">
        <f ca="1">IFERROR(__xludf.dummyfunction("IFERROR(
  VLOOKUP(G8, IMPORTRANGE(""https://docs.google.com/spreadsheets/d/14deopnvwcrKtEGCKuYXdUHJbeLDZlkiSSWWT0g7x2pM/edit#gid=849066331"", ""LU List Maths (Filter)!A:B""), 2, FALSE),
  IFERROR(
    VLOOKUP(G8, IMPORTRANGE(""https://docs.google.com/spr"&amp;"eadsheets/d/14deopnvwcrKtEGCKuYXdUHJbeLDZlkiSSWWT0g7x2pM/edit#gid=849066331"", ""LU List Science (Filter)!A:B""), 2, FALSE),
    ""Not Found""
  )
)
"),"Introduction to Chemical Changes")</f>
        <v>Introduction to Chemical Changes</v>
      </c>
      <c r="I8" s="113"/>
      <c r="J8" s="1" t="str">
        <f t="shared" si="0"/>
        <v>LU005493.001</v>
      </c>
      <c r="K8" s="1" t="str">
        <f ca="1">IFERROR(__xludf.dummyfunction("VLOOKUP(J8, IMPORTRANGE(""https://docs.google.com/spreadsheets/d/1yDAaXNsi4Mr5FtRQL4tbmSdIzhx6_m4wkOD7IG-k_eo/edit#gid=1336395716"", ""Science!M:N""), 2, FALSE)"),"Define chemical changes and their characteristics.")</f>
        <v>Define chemical changes and their characteristics.</v>
      </c>
      <c r="L8" s="1" t="str">
        <f t="shared" si="1"/>
        <v>LU005493.002</v>
      </c>
      <c r="M8" s="1" t="str">
        <f ca="1">IFERROR(__xludf.dummyfunction("VLOOKUP(L8, IMPORTRANGE(""https://docs.google.com/spreadsheets/d/1yDAaXNsi4Mr5FtRQL4tbmSdIzhx6_m4wkOD7IG-k_eo/edit#gid=1336395716"", ""Science!M:N""), 2, FALSE)"),"List examples of common chemical changes in everyday life.")</f>
        <v>List examples of common chemical changes in everyday life.</v>
      </c>
      <c r="N8" s="1" t="str">
        <f t="shared" si="2"/>
        <v>LU005493.003</v>
      </c>
      <c r="O8" s="1" t="str">
        <f ca="1">IFERROR(__xludf.dummyfunction("VLOOKUP(N8, IMPORTRANGE(""https://docs.google.com/spreadsheets/d/1yDAaXNsi4Mr5FtRQL4tbmSdIzhx6_m4wkOD7IG-k_eo/edit#gid=1336395716"", ""Science!M:N""), 2, FALSE)"),"Explain why chemical changes result in the formation of new substances with distinct properties.")</f>
        <v>Explain why chemical changes result in the formation of new substances with distinct properties.</v>
      </c>
      <c r="P8" s="1" t="str">
        <f t="shared" si="3"/>
        <v>LU005493.004</v>
      </c>
      <c r="Q8" s="15" t="str">
        <f ca="1">IFERROR(__xludf.dummyfunction("VLOOKUP(P8, IMPORTRANGE(""https://docs.google.com/spreadsheets/d/1yDAaXNsi4Mr5FtRQL4tbmSdIzhx6_m4wkOD7IG-k_eo/edit#gid=1336395716"", ""Science!M:N""), 2, FALSE)"),"Apply the concept of chemical changes to differentiate between physical and chemical processes.")</f>
        <v>Apply the concept of chemical changes to differentiate between physical and chemical processes.</v>
      </c>
      <c r="R8" s="1" t="str">
        <f t="shared" si="4"/>
        <v>LU005493.005</v>
      </c>
      <c r="S8" s="15" t="str">
        <f ca="1">IFERROR(__xludf.dummyfunction("VLOOKUP(R8, IMPORTRANGE(""https://docs.google.com/spreadsheets/d/1yDAaXNsi4Mr5FtRQL4tbmSdIzhx6_m4wkOD7IG-k_eo/edit#gid=1336395716"", ""Science!M:N""), 2, FALSE)"),"Analyze the role of energy changes and reactants in chemical changes.")</f>
        <v>Analyze the role of energy changes and reactants in chemical changes.</v>
      </c>
      <c r="T8" s="1" t="str">
        <f t="shared" si="5"/>
        <v>LU005493.006</v>
      </c>
      <c r="U8" s="15" t="str">
        <f ca="1">IFERROR(__xludf.dummyfunction("VLOOKUP(T8, IMPORTRANGE(""https://docs.google.com/spreadsheets/d/1yDAaXNsi4Mr5FtRQL4tbmSdIzhx6_m4wkOD7IG-k_eo/edit#gid=1336395716"", ""Science!M:N""), 2, FALSE)"),"#N/A")</f>
        <v>#N/A</v>
      </c>
      <c r="V8" s="113"/>
      <c r="W8" s="113"/>
      <c r="X8" s="113"/>
      <c r="Y8" s="113"/>
      <c r="Z8" s="113"/>
      <c r="AA8" s="113"/>
      <c r="AB8" s="113"/>
      <c r="AC8" s="113"/>
      <c r="AD8" s="113"/>
      <c r="AE8" s="113"/>
      <c r="AF8" s="113"/>
      <c r="AG8" s="113"/>
    </row>
    <row r="9" spans="1:33" ht="55.2">
      <c r="A9" s="113"/>
      <c r="B9" s="113" t="s">
        <v>29</v>
      </c>
      <c r="C9" s="113">
        <v>7</v>
      </c>
      <c r="D9" s="111" t="s">
        <v>1678</v>
      </c>
      <c r="E9" s="113" t="s">
        <v>1613</v>
      </c>
      <c r="F9" s="111" t="s">
        <v>1684</v>
      </c>
      <c r="G9" s="1" t="s">
        <v>1686</v>
      </c>
      <c r="H9" s="111" t="str">
        <f ca="1">IFERROR(__xludf.dummyfunction("IFERROR(
  VLOOKUP(G9, IMPORTRANGE(""https://docs.google.com/spreadsheets/d/14deopnvwcrKtEGCKuYXdUHJbeLDZlkiSSWWT0g7x2pM/edit#gid=849066331"", ""LU List Maths (Filter)!A:B""), 2, FALSE),
  IFERROR(
    VLOOKUP(G9, IMPORTRANGE(""https://docs.google.com/spr"&amp;"eadsheets/d/14deopnvwcrKtEGCKuYXdUHJbeLDZlkiSSWWT0g7x2pM/edit#gid=849066331"", ""LU List Science (Filter)!A:B""), 2, FALSE),
    ""Not Found""
  )
)
"),"Effects Indicating Chemical Changes")</f>
        <v>Effects Indicating Chemical Changes</v>
      </c>
      <c r="I9" s="113"/>
      <c r="J9" s="1" t="str">
        <f t="shared" si="0"/>
        <v>LU005488.001</v>
      </c>
      <c r="K9" s="1" t="str">
        <f ca="1">IFERROR(__xludf.dummyfunction("VLOOKUP(J9, IMPORTRANGE(""https://docs.google.com/spreadsheets/d/1yDAaXNsi4Mr5FtRQL4tbmSdIzhx6_m4wkOD7IG-k_eo/edit#gid=1336395716"", ""Science!M:N""), 2, FALSE)"),"Identify observable effects that indicate a chemical change has occurred.")</f>
        <v>Identify observable effects that indicate a chemical change has occurred.</v>
      </c>
      <c r="L9" s="1" t="str">
        <f t="shared" si="1"/>
        <v>LU005488.002</v>
      </c>
      <c r="M9" s="1" t="str">
        <f ca="1">IFERROR(__xludf.dummyfunction("VLOOKUP(L9, IMPORTRANGE(""https://docs.google.com/spreadsheets/d/1yDAaXNsi4Mr5FtRQL4tbmSdIzhx6_m4wkOD7IG-k_eo/edit#gid=1336395716"", ""Science!M:N""), 2, FALSE)"),"Explain how the release of gas, color change, formation of precipitate, and energy changes can signal a chemical change.")</f>
        <v>Explain how the release of gas, color change, formation of precipitate, and energy changes can signal a chemical change.</v>
      </c>
      <c r="N9" s="1" t="str">
        <f t="shared" si="2"/>
        <v>LU005488.003</v>
      </c>
      <c r="O9" s="1" t="str">
        <f ca="1">IFERROR(__xludf.dummyfunction("VLOOKUP(N9, IMPORTRANGE(""https://docs.google.com/spreadsheets/d/1yDAaXNsi4Mr5FtRQL4tbmSdIzhx6_m4wkOD7IG-k_eo/edit#gid=1336395716"", ""Science!M:N""), 2, FALSE)"),"Apply the concept of chemical change indicators to real-world scenarios.")</f>
        <v>Apply the concept of chemical change indicators to real-world scenarios.</v>
      </c>
      <c r="P9" s="1" t="str">
        <f t="shared" si="3"/>
        <v>LU005488.004</v>
      </c>
      <c r="Q9" s="15" t="str">
        <f ca="1">IFERROR(__xludf.dummyfunction("VLOOKUP(P9, IMPORTRANGE(""https://docs.google.com/spreadsheets/d/1yDAaXNsi4Mr5FtRQL4tbmSdIzhx6_m4wkOD7IG-k_eo/edit#gid=1336395716"", ""Science!M:N""), 2, FALSE)"),"Analyze the role of catalysts and environmental factors in chemical changes.")</f>
        <v>Analyze the role of catalysts and environmental factors in chemical changes.</v>
      </c>
      <c r="R9" s="1" t="str">
        <f t="shared" si="4"/>
        <v>LU005488.005</v>
      </c>
      <c r="S9" s="15" t="str">
        <f ca="1">IFERROR(__xludf.dummyfunction("VLOOKUP(R9, IMPORTRANGE(""https://docs.google.com/spreadsheets/d/1yDAaXNsi4Mr5FtRQL4tbmSdIzhx6_m4wkOD7IG-k_eo/edit#gid=1336395716"", ""Science!M:N""), 2, FALSE)"),"Evaluate the potential hazards associated with chemical changes in different contexts.")</f>
        <v>Evaluate the potential hazards associated with chemical changes in different contexts.</v>
      </c>
      <c r="T9" s="1" t="str">
        <f t="shared" si="5"/>
        <v>LU005488.006</v>
      </c>
      <c r="U9" s="15" t="str">
        <f ca="1">IFERROR(__xludf.dummyfunction("VLOOKUP(T9, IMPORTRANGE(""https://docs.google.com/spreadsheets/d/1yDAaXNsi4Mr5FtRQL4tbmSdIzhx6_m4wkOD7IG-k_eo/edit#gid=1336395716"", ""Science!M:N""), 2, FALSE)"),"#N/A")</f>
        <v>#N/A</v>
      </c>
      <c r="V9" s="113"/>
      <c r="W9" s="113"/>
      <c r="X9" s="113"/>
      <c r="Y9" s="113"/>
      <c r="Z9" s="113"/>
      <c r="AA9" s="113"/>
      <c r="AB9" s="113"/>
      <c r="AC9" s="113"/>
      <c r="AD9" s="113"/>
      <c r="AE9" s="113"/>
      <c r="AF9" s="113"/>
      <c r="AG9" s="113"/>
    </row>
    <row r="10" spans="1:33" ht="41.4">
      <c r="A10" s="113"/>
      <c r="B10" s="113" t="s">
        <v>29</v>
      </c>
      <c r="C10" s="113">
        <v>7</v>
      </c>
      <c r="D10" s="111" t="s">
        <v>1678</v>
      </c>
      <c r="E10" s="113" t="s">
        <v>1613</v>
      </c>
      <c r="F10" s="111" t="s">
        <v>1684</v>
      </c>
      <c r="G10" s="1" t="s">
        <v>1687</v>
      </c>
      <c r="H10" s="111" t="str">
        <f ca="1">IFERROR(__xludf.dummyfunction("IFERROR(
  VLOOKUP(G10, IMPORTRANGE(""https://docs.google.com/spreadsheets/d/14deopnvwcrKtEGCKuYXdUHJbeLDZlkiSSWWT0g7x2pM/edit#gid=849066331"", ""LU List Maths (Filter)!A:B""), 2, FALSE),
  IFERROR(
    VLOOKUP(G10, IMPORTRANGE(""https://docs.google.com/s"&amp;"preadsheets/d/14deopnvwcrKtEGCKuYXdUHJbeLDZlkiSSWWT0g7x2pM/edit#gid=849066331"", ""LU List Science (Filter)!A:B""), 2, FALSE),
    ""Not Found""
  )
)
"),"Distinguishing Physical and Chemical Changes")</f>
        <v>Distinguishing Physical and Chemical Changes</v>
      </c>
      <c r="I10" s="113"/>
      <c r="J10" s="1" t="str">
        <f t="shared" si="0"/>
        <v>LU005486.001</v>
      </c>
      <c r="K10" s="1" t="str">
        <f ca="1">IFERROR(__xludf.dummyfunction("VLOOKUP(J10, IMPORTRANGE(""https://docs.google.com/spreadsheets/d/1yDAaXNsi4Mr5FtRQL4tbmSdIzhx6_m4wkOD7IG-k_eo/edit#gid=1336395716"", ""Science!M:N""), 2, FALSE)"),"Differentiate between physical changes and chemical changes.")</f>
        <v>Differentiate between physical changes and chemical changes.</v>
      </c>
      <c r="L10" s="1" t="str">
        <f t="shared" si="1"/>
        <v>LU005486.002</v>
      </c>
      <c r="M10" s="1" t="str">
        <f ca="1">IFERROR(__xludf.dummyfunction("VLOOKUP(L10, IMPORTRANGE(""https://docs.google.com/spreadsheets/d/1yDAaXNsi4Mr5FtRQL4tbmSdIzhx6_m4wkOD7IG-k_eo/edit#gid=1336395716"", ""Science!M:N""), 2, FALSE)"),"Explain the characteristics of each type of change and their implications.")</f>
        <v>Explain the characteristics of each type of change and their implications.</v>
      </c>
      <c r="N10" s="1" t="str">
        <f t="shared" si="2"/>
        <v>LU005486.003</v>
      </c>
      <c r="O10" s="1" t="str">
        <f ca="1">IFERROR(__xludf.dummyfunction("VLOOKUP(N10, IMPORTRANGE(""https://docs.google.com/spreadsheets/d/1yDAaXNsi4Mr5FtRQL4tbmSdIzhx6_m4wkOD7IG-k_eo/edit#gid=1336395716"", ""Science!M:N""), 2, FALSE)"),"Apply the knowledge of physical and chemical changes to classify given examples.")</f>
        <v>Apply the knowledge of physical and chemical changes to classify given examples.</v>
      </c>
      <c r="P10" s="1" t="str">
        <f t="shared" si="3"/>
        <v>LU005486.004</v>
      </c>
      <c r="Q10" s="15" t="str">
        <f ca="1">IFERROR(__xludf.dummyfunction("VLOOKUP(P10, IMPORTRANGE(""https://docs.google.com/spreadsheets/d/1yDAaXNsi4Mr5FtRQL4tbmSdIzhx6_m4wkOD7IG-k_eo/edit#gid=1336395716"", ""Science!M:N""), 2, FALSE)"),"Analyze real-world scenarios to determine whether they involve physical or chemical changes.")</f>
        <v>Analyze real-world scenarios to determine whether they involve physical or chemical changes.</v>
      </c>
      <c r="R10" s="1" t="str">
        <f t="shared" si="4"/>
        <v>LU005486.005</v>
      </c>
      <c r="S10" s="15" t="str">
        <f ca="1">IFERROR(__xludf.dummyfunction("VLOOKUP(R10, IMPORTRANGE(""https://docs.google.com/spreadsheets/d/1yDAaXNsi4Mr5FtRQL4tbmSdIzhx6_m4wkOD7IG-k_eo/edit#gid=1336395716"", ""Science!M:N""), 2, FALSE)"),"Evaluate the importance of correctly identifying the type of change for safety and scientific understanding.")</f>
        <v>Evaluate the importance of correctly identifying the type of change for safety and scientific understanding.</v>
      </c>
      <c r="T10" s="1" t="str">
        <f t="shared" si="5"/>
        <v>LU005486.006</v>
      </c>
      <c r="U10" s="15" t="str">
        <f ca="1">IFERROR(__xludf.dummyfunction("VLOOKUP(T10, IMPORTRANGE(""https://docs.google.com/spreadsheets/d/1yDAaXNsi4Mr5FtRQL4tbmSdIzhx6_m4wkOD7IG-k_eo/edit#gid=1336395716"", ""Science!M:N""), 2, FALSE)"),"#N/A")</f>
        <v>#N/A</v>
      </c>
      <c r="V10" s="113"/>
      <c r="W10" s="113"/>
      <c r="X10" s="113"/>
      <c r="Y10" s="113"/>
      <c r="Z10" s="113"/>
      <c r="AA10" s="113"/>
      <c r="AB10" s="113"/>
      <c r="AC10" s="113"/>
      <c r="AD10" s="113"/>
      <c r="AE10" s="113"/>
      <c r="AF10" s="113"/>
      <c r="AG10" s="113"/>
    </row>
    <row r="11" spans="1:33" ht="69">
      <c r="A11" s="113"/>
      <c r="B11" s="113" t="s">
        <v>29</v>
      </c>
      <c r="C11" s="113">
        <v>7</v>
      </c>
      <c r="D11" s="111" t="s">
        <v>1678</v>
      </c>
      <c r="E11" s="113" t="s">
        <v>1613</v>
      </c>
      <c r="F11" s="111" t="s">
        <v>1688</v>
      </c>
      <c r="G11" s="1" t="s">
        <v>1689</v>
      </c>
      <c r="H11" s="111" t="str">
        <f ca="1">IFERROR(__xludf.dummyfunction("IFERROR(
  VLOOKUP(G11, IMPORTRANGE(""https://docs.google.com/spreadsheets/d/14deopnvwcrKtEGCKuYXdUHJbeLDZlkiSSWWT0g7x2pM/edit#gid=849066331"", ""LU List Maths (Filter)!A:B""), 2, FALSE),
  IFERROR(
    VLOOKUP(G11, IMPORTRANGE(""https://docs.google.com/s"&amp;"preadsheets/d/14deopnvwcrKtEGCKuYXdUHJbeLDZlkiSSWWT0g7x2pM/edit#gid=849066331"", ""LU List Science (Filter)!A:B""), 2, FALSE),
    ""Not Found""
  )
)
"),"Definition of reversible and irreversible changes")</f>
        <v>Definition of reversible and irreversible changes</v>
      </c>
      <c r="I11" s="113"/>
      <c r="J11" s="1" t="str">
        <f t="shared" si="0"/>
        <v>LU005906.001</v>
      </c>
      <c r="K11" s="1" t="str">
        <f ca="1">IFERROR(__xludf.dummyfunction("VLOOKUP(J11, IMPORTRANGE(""https://docs.google.com/spreadsheets/d/1yDAaXNsi4Mr5FtRQL4tbmSdIzhx6_m4wkOD7IG-k_eo/edit#gid=1336395716"", ""Science!M:N""), 2, FALSE)"),"Define reversible and irreversible changes.")</f>
        <v>Define reversible and irreversible changes.</v>
      </c>
      <c r="L11" s="1" t="str">
        <f t="shared" si="1"/>
        <v>LU005906.002</v>
      </c>
      <c r="M11" s="1" t="str">
        <f ca="1">IFERROR(__xludf.dummyfunction("VLOOKUP(L11, IMPORTRANGE(""https://docs.google.com/spreadsheets/d/1yDAaXNsi4Mr5FtRQL4tbmSdIzhx6_m4wkOD7IG-k_eo/edit#gid=1336395716"", ""Science!M:N""), 2, FALSE)"),"Explain the difference between reversible and irreversible changes using the everyday examples.")</f>
        <v>Explain the difference between reversible and irreversible changes using the everyday examples.</v>
      </c>
      <c r="N11" s="1" t="str">
        <f t="shared" si="2"/>
        <v>LU005906.003</v>
      </c>
      <c r="O11" s="1" t="str">
        <f ca="1">IFERROR(__xludf.dummyfunction("VLOOKUP(N11, IMPORTRANGE(""https://docs.google.com/spreadsheets/d/1yDAaXNsi4Mr5FtRQL4tbmSdIzhx6_m4wkOD7IG-k_eo/edit#gid=1336395716"", ""Science!M:N""), 2, FALSE)"),"Classify the given processes (like the dissolution of salt/sugar in water, folding a paper, etc.) as reversible or irreversible changes.")</f>
        <v>Classify the given processes (like the dissolution of salt/sugar in water, folding a paper, etc.) as reversible or irreversible changes.</v>
      </c>
      <c r="P11" s="1" t="str">
        <f t="shared" si="3"/>
        <v>LU005906.004</v>
      </c>
      <c r="Q11" s="15" t="str">
        <f ca="1">IFERROR(__xludf.dummyfunction("VLOOKUP(P11, IMPORTRANGE(""https://docs.google.com/spreadsheets/d/1yDAaXNsi4Mr5FtRQL4tbmSdIzhx6_m4wkOD7IG-k_eo/edit#gid=1336395716"", ""Science!M:N""), 2, FALSE)"),"Differentiate between the changes involved in the making of tools such as an iron blade (through heating and molding) and a wheel (through carving and shaping).")</f>
        <v>Differentiate between the changes involved in the making of tools such as an iron blade (through heating and molding) and a wheel (through carving and shaping).</v>
      </c>
      <c r="R11" s="1" t="str">
        <f t="shared" si="4"/>
        <v>LU005906.005</v>
      </c>
      <c r="S11" s="15" t="str">
        <f ca="1">IFERROR(__xludf.dummyfunction("VLOOKUP(R11, IMPORTRANGE(""https://docs.google.com/spreadsheets/d/1yDAaXNsi4Mr5FtRQL4tbmSdIzhx6_m4wkOD7IG-k_eo/edit#gid=1336395716"", ""Science!M:N""), 2, FALSE)"),"Justify why certain processes (like the melting of ice or burning of wood) are categorized as reversible or irreversible.")</f>
        <v>Justify why certain processes (like the melting of ice or burning of wood) are categorized as reversible or irreversible.</v>
      </c>
      <c r="T11" s="1" t="str">
        <f t="shared" si="5"/>
        <v>LU005906.006</v>
      </c>
      <c r="U11" s="15" t="str">
        <f ca="1">IFERROR(__xludf.dummyfunction("VLOOKUP(T11, IMPORTRANGE(""https://docs.google.com/spreadsheets/d/1yDAaXNsi4Mr5FtRQL4tbmSdIzhx6_m4wkOD7IG-k_eo/edit#gid=1336395716"", ""Science!M:N""), 2, FALSE)"),"#N/A")</f>
        <v>#N/A</v>
      </c>
      <c r="V11" s="113"/>
      <c r="W11" s="113"/>
      <c r="X11" s="113"/>
      <c r="Y11" s="113"/>
      <c r="Z11" s="113"/>
      <c r="AA11" s="113"/>
      <c r="AB11" s="113"/>
      <c r="AC11" s="113"/>
      <c r="AD11" s="113"/>
      <c r="AE11" s="113"/>
      <c r="AF11" s="113"/>
      <c r="AG11" s="113"/>
    </row>
    <row r="12" spans="1:33" ht="27.6">
      <c r="A12" s="113"/>
      <c r="B12" s="113" t="s">
        <v>29</v>
      </c>
      <c r="C12" s="113">
        <v>7</v>
      </c>
      <c r="D12" s="111" t="s">
        <v>1678</v>
      </c>
      <c r="E12" s="113" t="s">
        <v>1613</v>
      </c>
      <c r="F12" s="111" t="s">
        <v>1688</v>
      </c>
      <c r="G12" s="14" t="s">
        <v>1690</v>
      </c>
      <c r="H12" s="111" t="str">
        <f ca="1">IFERROR(__xludf.dummyfunction("IFERROR(
  VLOOKUP(G12, IMPORTRANGE(""https://docs.google.com/spreadsheets/d/14deopnvwcrKtEGCKuYXdUHJbeLDZlkiSSWWT0g7x2pM/edit#gid=849066331"", ""LU List Maths (Filter)!A:B""), 2, FALSE),
  IFERROR(
    VLOOKUP(G12, IMPORTRANGE(""https://docs.google.com/s"&amp;"preadsheets/d/14deopnvwcrKtEGCKuYXdUHJbeLDZlkiSSWWT0g7x2pM/edit#gid=849066331"", ""LU List Science (Filter)!A:B""), 2, FALSE),
    ""Not Found""
  )
)
"),"Changes Involved During Change of State of Matter")</f>
        <v>Changes Involved During Change of State of Matter</v>
      </c>
      <c r="I12" s="113"/>
      <c r="J12" s="1" t="str">
        <f t="shared" si="0"/>
        <v>LU006712.001</v>
      </c>
      <c r="K12" s="1" t="str">
        <f ca="1">IFERROR(__xludf.dummyfunction("VLOOKUP(J12, IMPORTRANGE(""https://docs.google.com/spreadsheets/d/1yDAaXNsi4Mr5FtRQL4tbmSdIzhx6_m4wkOD7IG-k_eo/edit#gid=1336395716"", ""Science!M:N""), 2, FALSE)"),"(LU006712.001); Default - Remember")</f>
        <v>(LU006712.001); Default - Remember</v>
      </c>
      <c r="L12" s="1" t="str">
        <f t="shared" si="1"/>
        <v>LU006712.002</v>
      </c>
      <c r="M12" s="1" t="str">
        <f ca="1">IFERROR(__xludf.dummyfunction("VLOOKUP(L12, IMPORTRANGE(""https://docs.google.com/spreadsheets/d/1yDAaXNsi4Mr5FtRQL4tbmSdIzhx6_m4wkOD7IG-k_eo/edit#gid=1336395716"", ""Science!M:N""), 2, FALSE)"),"(LU006712.002); Default - Understand")</f>
        <v>(LU006712.002); Default - Understand</v>
      </c>
      <c r="N12" s="1" t="str">
        <f t="shared" si="2"/>
        <v>LU006712.003</v>
      </c>
      <c r="O12" s="1" t="str">
        <f ca="1">IFERROR(__xludf.dummyfunction("VLOOKUP(N12, IMPORTRANGE(""https://docs.google.com/spreadsheets/d/1yDAaXNsi4Mr5FtRQL4tbmSdIzhx6_m4wkOD7IG-k_eo/edit#gid=1336395716"", ""Science!M:N""), 2, FALSE)"),"(LU006712.003); Default - Apply")</f>
        <v>(LU006712.003); Default - Apply</v>
      </c>
      <c r="P12" s="1" t="str">
        <f t="shared" si="3"/>
        <v>LU006712.004</v>
      </c>
      <c r="Q12" s="15" t="str">
        <f ca="1">IFERROR(__xludf.dummyfunction("VLOOKUP(P12, IMPORTRANGE(""https://docs.google.com/spreadsheets/d/1yDAaXNsi4Mr5FtRQL4tbmSdIzhx6_m4wkOD7IG-k_eo/edit#gid=1336395716"", ""Science!M:N""), 2, FALSE)"),"(LU006712.004); Default - Analyse")</f>
        <v>(LU006712.004); Default - Analyse</v>
      </c>
      <c r="R12" s="1" t="str">
        <f t="shared" si="4"/>
        <v>LU006712.005</v>
      </c>
      <c r="S12" s="15" t="str">
        <f ca="1">IFERROR(__xludf.dummyfunction("VLOOKUP(R12, IMPORTRANGE(""https://docs.google.com/spreadsheets/d/1yDAaXNsi4Mr5FtRQL4tbmSdIzhx6_m4wkOD7IG-k_eo/edit#gid=1336395716"", ""Science!M:N""), 2, FALSE)"),"(LU006712.005); Default - Evaluate")</f>
        <v>(LU006712.005); Default - Evaluate</v>
      </c>
      <c r="T12" s="1" t="str">
        <f t="shared" si="5"/>
        <v>LU006712.006</v>
      </c>
      <c r="U12" s="15" t="str">
        <f ca="1">IFERROR(__xludf.dummyfunction("VLOOKUP(T12, IMPORTRANGE(""https://docs.google.com/spreadsheets/d/1yDAaXNsi4Mr5FtRQL4tbmSdIzhx6_m4wkOD7IG-k_eo/edit#gid=1336395716"", ""Science!M:N""), 2, FALSE)"),"(LU006712.006); Default - Create")</f>
        <v>(LU006712.006); Default - Create</v>
      </c>
      <c r="V12" s="113"/>
      <c r="W12" s="113"/>
      <c r="X12" s="113"/>
      <c r="Y12" s="113"/>
      <c r="Z12" s="113"/>
      <c r="AA12" s="113"/>
      <c r="AB12" s="113"/>
      <c r="AC12" s="113"/>
      <c r="AD12" s="113"/>
      <c r="AE12" s="113"/>
      <c r="AF12" s="113"/>
      <c r="AG12" s="113"/>
    </row>
    <row r="13" spans="1:33" ht="41.4">
      <c r="A13" s="113"/>
      <c r="B13" s="113" t="s">
        <v>29</v>
      </c>
      <c r="C13" s="113">
        <v>7</v>
      </c>
      <c r="D13" s="111" t="s">
        <v>1678</v>
      </c>
      <c r="E13" s="113" t="s">
        <v>1613</v>
      </c>
      <c r="F13" s="111" t="s">
        <v>1688</v>
      </c>
      <c r="G13" s="1" t="s">
        <v>1691</v>
      </c>
      <c r="H13" s="111" t="str">
        <f ca="1">IFERROR(__xludf.dummyfunction("IFERROR(
  VLOOKUP(G13, IMPORTRANGE(""https://docs.google.com/spreadsheets/d/14deopnvwcrKtEGCKuYXdUHJbeLDZlkiSSWWT0g7x2pM/edit#gid=849066331"", ""LU List Maths (Filter)!A:B""), 2, FALSE),
  IFERROR(
    VLOOKUP(G13, IMPORTRANGE(""https://docs.google.com/s"&amp;"preadsheets/d/14deopnvwcrKtEGCKuYXdUHJbeLDZlkiSSWWT0g7x2pM/edit#gid=849066331"", ""LU List Science (Filter)!A:B""), 2, FALSE),
    ""Not Found""
  )
)
"),"Definition of Exothermic and Endothermic changes ")</f>
        <v xml:space="preserve">Definition of Exothermic and Endothermic changes </v>
      </c>
      <c r="I13" s="113"/>
      <c r="J13" s="1" t="str">
        <f t="shared" si="0"/>
        <v>LU006062.001</v>
      </c>
      <c r="K13" s="1" t="str">
        <f ca="1">IFERROR(__xludf.dummyfunction("VLOOKUP(J13, IMPORTRANGE(""https://docs.google.com/spreadsheets/d/1yDAaXNsi4Mr5FtRQL4tbmSdIzhx6_m4wkOD7IG-k_eo/edit#gid=1336395716"", ""Science!M:N""), 2, FALSE)"),"Identify the two types of energy changes: endothermic and exothermic.")</f>
        <v>Identify the two types of energy changes: endothermic and exothermic.</v>
      </c>
      <c r="L13" s="1" t="str">
        <f t="shared" si="1"/>
        <v>LU006062.002</v>
      </c>
      <c r="M13" s="1" t="str">
        <f ca="1">IFERROR(__xludf.dummyfunction("VLOOKUP(L13, IMPORTRANGE(""https://docs.google.com/spreadsheets/d/1yDAaXNsi4Mr5FtRQL4tbmSdIzhx6_m4wkOD7IG-k_eo/edit#gid=1336395716"", ""Science!M:N""), 2, FALSE)"),"Describe what happens during endothermic changes, like melting ice or cooking food.")</f>
        <v>Describe what happens during endothermic changes, like melting ice or cooking food.</v>
      </c>
      <c r="N13" s="1" t="str">
        <f t="shared" si="2"/>
        <v>LU006062.003</v>
      </c>
      <c r="O13" s="1" t="str">
        <f ca="1">IFERROR(__xludf.dummyfunction("VLOOKUP(N13, IMPORTRANGE(""https://docs.google.com/spreadsheets/d/1yDAaXNsi4Mr5FtRQL4tbmSdIzhx6_m4wkOD7IG-k_eo/edit#gid=1336395716"", ""Science!M:N""), 2, FALSE)"),"Illustrate the process of energy absorption in an endothermic reaction with a diagram.")</f>
        <v>Illustrate the process of energy absorption in an endothermic reaction with a diagram.</v>
      </c>
      <c r="P13" s="1" t="str">
        <f t="shared" si="3"/>
        <v>LU006062.004</v>
      </c>
      <c r="Q13" s="15" t="str">
        <f ca="1">IFERROR(__xludf.dummyfunction("VLOOKUP(P13, IMPORTRANGE(""https://docs.google.com/spreadsheets/d/1yDAaXNsi4Mr5FtRQL4tbmSdIzhx6_m4wkOD7IG-k_eo/edit#gid=1336395716"", ""Science!M:N""), 2, FALSE)"),"Differentiate between endothermic and exothermic changes by giving real-life examples.")</f>
        <v>Differentiate between endothermic and exothermic changes by giving real-life examples.</v>
      </c>
      <c r="R13" s="1" t="str">
        <f t="shared" si="4"/>
        <v>LU006062.005</v>
      </c>
      <c r="S13" s="15" t="str">
        <f ca="1">IFERROR(__xludf.dummyfunction("VLOOKUP(R13, IMPORTRANGE(""https://docs.google.com/spreadsheets/d/1yDAaXNsi4Mr5FtRQL4tbmSdIzhx6_m4wkOD7IG-k_eo/edit#gid=1336395716"", ""Science!M:N""), 2, FALSE)"),"Predict the temperature change in an endothermic reaction, such as dissolving salt in water.")</f>
        <v>Predict the temperature change in an endothermic reaction, such as dissolving salt in water.</v>
      </c>
      <c r="T13" s="1" t="str">
        <f t="shared" si="5"/>
        <v>LU006062.006</v>
      </c>
      <c r="U13" s="15" t="str">
        <f ca="1">IFERROR(__xludf.dummyfunction("VLOOKUP(T13, IMPORTRANGE(""https://docs.google.com/spreadsheets/d/1yDAaXNsi4Mr5FtRQL4tbmSdIzhx6_m4wkOD7IG-k_eo/edit#gid=1336395716"", ""Science!M:N""), 2, FALSE)"),"#N/A")</f>
        <v>#N/A</v>
      </c>
      <c r="V13" s="113"/>
      <c r="W13" s="113"/>
      <c r="X13" s="113"/>
      <c r="Y13" s="113"/>
      <c r="Z13" s="113"/>
      <c r="AA13" s="113"/>
      <c r="AB13" s="113"/>
      <c r="AC13" s="113"/>
      <c r="AD13" s="113"/>
      <c r="AE13" s="113"/>
      <c r="AF13" s="113"/>
      <c r="AG13" s="113"/>
    </row>
    <row r="14" spans="1:33" ht="96.6">
      <c r="A14" s="113"/>
      <c r="B14" s="113" t="s">
        <v>29</v>
      </c>
      <c r="C14" s="113">
        <v>7</v>
      </c>
      <c r="D14" s="111" t="s">
        <v>1692</v>
      </c>
      <c r="E14" s="113" t="s">
        <v>1613</v>
      </c>
      <c r="F14" s="111" t="s">
        <v>1693</v>
      </c>
      <c r="G14" s="1" t="s">
        <v>1694</v>
      </c>
      <c r="H14" s="111" t="str">
        <f ca="1">IFERROR(__xludf.dummyfunction("IFERROR(
  VLOOKUP(G14, IMPORTRANGE(""https://docs.google.com/spreadsheets/d/14deopnvwcrKtEGCKuYXdUHJbeLDZlkiSSWWT0g7x2pM/edit#gid=849066331"", ""LU List Maths (Filter)!A:B""), 2, FALSE),
  IFERROR(
    VLOOKUP(G14, IMPORTRANGE(""https://docs.google.com/s"&amp;"preadsheets/d/14deopnvwcrKtEGCKuYXdUHJbeLDZlkiSSWWT0g7x2pM/edit#gid=849066331"", ""LU List Science (Filter)!A:B""), 2, FALSE),
    ""Not Found""
  )
)
"),"Elements and Their Classification")</f>
        <v>Elements and Their Classification</v>
      </c>
      <c r="I14" s="113" t="s">
        <v>1633</v>
      </c>
      <c r="J14" s="1" t="str">
        <f t="shared" si="0"/>
        <v>LU006226.001</v>
      </c>
      <c r="K14" s="1" t="str">
        <f ca="1">IFERROR(__xludf.dummyfunction("VLOOKUP(J14, IMPORTRANGE(""https://docs.google.com/spreadsheets/d/1yDAaXNsi4Mr5FtRQL4tbmSdIzhx6_m4wkOD7IG-k_eo/edit#gid=1336395716"", ""Science!M:N""), 2, FALSE)"),"Define an element and identify the differences between metals, non-metals, and metalloids.")</f>
        <v>Define an element and identify the differences between metals, non-metals, and metalloids.</v>
      </c>
      <c r="L14" s="1" t="str">
        <f t="shared" si="1"/>
        <v>LU006226.002</v>
      </c>
      <c r="M14" s="1" t="str">
        <f ca="1">IFERROR(__xludf.dummyfunction("VLOOKUP(L14, IMPORTRANGE(""https://docs.google.com/spreadsheets/d/1yDAaXNsi4Mr5FtRQL4tbmSdIzhx6_m4wkOD7IG-k_eo/edit#gid=1336395716"", ""Science!M:N""), 2, FALSE)"),"Explain the properties of metals, non-metals, and metalloids with examples.")</f>
        <v>Explain the properties of metals, non-metals, and metalloids with examples.</v>
      </c>
      <c r="N14" s="1" t="str">
        <f t="shared" si="2"/>
        <v>LU006226.003</v>
      </c>
      <c r="O14" s="1" t="str">
        <f ca="1">IFERROR(__xludf.dummyfunction("VLOOKUP(N14, IMPORTRANGE(""https://docs.google.com/spreadsheets/d/1yDAaXNsi4Mr5FtRQL4tbmSdIzhx6_m4wkOD7IG-k_eo/edit#gid=1336395716"", ""Science!M:N""), 2, FALSE)"),"Demonstrate the properties of metals such as malleability and ductility using appropriate materials.")</f>
        <v>Demonstrate the properties of metals such as malleability and ductility using appropriate materials.</v>
      </c>
      <c r="P14" s="1" t="str">
        <f t="shared" si="3"/>
        <v>LU006226.004</v>
      </c>
      <c r="Q14" s="15" t="str">
        <f ca="1">IFERROR(__xludf.dummyfunction("VLOOKUP(P14, IMPORTRANGE(""https://docs.google.com/spreadsheets/d/1yDAaXNsi4Mr5FtRQL4tbmSdIzhx6_m4wkOD7IG-k_eo/edit#gid=1336395716"", ""Science!M:N""), 2, FALSE)"),"Compare the conductivity of metals and non-metals by setting up a simple circuit.")</f>
        <v>Compare the conductivity of metals and non-metals by setting up a simple circuit.</v>
      </c>
      <c r="R14" s="1" t="str">
        <f t="shared" si="4"/>
        <v>LU006226.005</v>
      </c>
      <c r="S14" s="15" t="str">
        <f ca="1">IFERROR(__xludf.dummyfunction("VLOOKUP(R14, IMPORTRANGE(""https://docs.google.com/spreadsheets/d/1yDAaXNsi4Mr5FtRQL4tbmSdIzhx6_m4wkOD7IG-k_eo/edit#gid=1336395716"", ""Science!M:N""), 2, FALSE)"),"Evaluate the usefulness of classifying elements into metals, non-metals, and metalloids based on their properties.")</f>
        <v>Evaluate the usefulness of classifying elements into metals, non-metals, and metalloids based on their properties.</v>
      </c>
      <c r="T14" s="1" t="str">
        <f t="shared" si="5"/>
        <v>LU006226.006</v>
      </c>
      <c r="U14" s="15" t="str">
        <f ca="1">IFERROR(__xludf.dummyfunction("VLOOKUP(T14, IMPORTRANGE(""https://docs.google.com/spreadsheets/d/1yDAaXNsi4Mr5FtRQL4tbmSdIzhx6_m4wkOD7IG-k_eo/edit#gid=1336395716"", ""Science!M:N""), 2, FALSE)"),"Design an experiment to test and observe the physical properties of metals, non-metals, and metalloids, and classify given samples accordingly.")</f>
        <v>Design an experiment to test and observe the physical properties of metals, non-metals, and metalloids, and classify given samples accordingly.</v>
      </c>
      <c r="V14" s="113"/>
      <c r="W14" s="113"/>
      <c r="X14" s="113"/>
      <c r="Y14" s="113"/>
      <c r="Z14" s="113"/>
      <c r="AA14" s="113"/>
      <c r="AB14" s="113"/>
      <c r="AC14" s="113"/>
      <c r="AD14" s="113"/>
      <c r="AE14" s="113"/>
      <c r="AF14" s="113"/>
      <c r="AG14" s="113"/>
    </row>
    <row r="15" spans="1:33" ht="69">
      <c r="A15" s="113"/>
      <c r="B15" s="113" t="s">
        <v>29</v>
      </c>
      <c r="C15" s="113">
        <v>7</v>
      </c>
      <c r="D15" s="111" t="s">
        <v>1692</v>
      </c>
      <c r="E15" s="113" t="s">
        <v>1613</v>
      </c>
      <c r="F15" s="111" t="s">
        <v>1693</v>
      </c>
      <c r="G15" s="14" t="s">
        <v>1695</v>
      </c>
      <c r="H15" s="111" t="str">
        <f ca="1">IFERROR(__xludf.dummyfunction("IFERROR(
  VLOOKUP(G15, IMPORTRANGE(""https://docs.google.com/spreadsheets/d/14deopnvwcrKtEGCKuYXdUHJbeLDZlkiSSWWT0g7x2pM/edit#gid=849066331"", ""LU List Maths (Filter)!A:B""), 2, FALSE),
  IFERROR(
    VLOOKUP(G15, IMPORTRANGE(""https://docs.google.com/s"&amp;"preadsheets/d/14deopnvwcrKtEGCKuYXdUHJbeLDZlkiSSWWT0g7x2pM/edit#gid=849066331"", ""LU List Science (Filter)!A:B""), 2, FALSE),
    ""Not Found""
  )
)
"),"Symbols of Elements")</f>
        <v>Symbols of Elements</v>
      </c>
      <c r="I15" s="113"/>
      <c r="J15" s="1" t="str">
        <f t="shared" si="0"/>
        <v>LU006713.001</v>
      </c>
      <c r="K15" s="1" t="str">
        <f ca="1">IFERROR(__xludf.dummyfunction("VLOOKUP(J15, IMPORTRANGE(""https://docs.google.com/spreadsheets/d/1yDAaXNsi4Mr5FtRQL4tbmSdIzhx6_m4wkOD7IG-k_eo/edit#gid=1336395716"", ""Science!M:N""), 2, FALSE)"),"(LU006713.001); Default - Remember")</f>
        <v>(LU006713.001); Default - Remember</v>
      </c>
      <c r="L15" s="1" t="str">
        <f t="shared" si="1"/>
        <v>LU006713.002</v>
      </c>
      <c r="M15" s="1" t="str">
        <f ca="1">IFERROR(__xludf.dummyfunction("VLOOKUP(L15, IMPORTRANGE(""https://docs.google.com/spreadsheets/d/1yDAaXNsi4Mr5FtRQL4tbmSdIzhx6_m4wkOD7IG-k_eo/edit#gid=1336395716"", ""Science!M:N""), 2, FALSE)"),"(LU006713.002); Default - Understand")</f>
        <v>(LU006713.002); Default - Understand</v>
      </c>
      <c r="N15" s="1" t="str">
        <f t="shared" si="2"/>
        <v>LU006713.003</v>
      </c>
      <c r="O15" s="1" t="str">
        <f ca="1">IFERROR(__xludf.dummyfunction("VLOOKUP(N15, IMPORTRANGE(""https://docs.google.com/spreadsheets/d/1yDAaXNsi4Mr5FtRQL4tbmSdIzhx6_m4wkOD7IG-k_eo/edit#gid=1336395716"", ""Science!M:N""), 2, FALSE)"),"(LU006713.003); Default - Apply")</f>
        <v>(LU006713.003); Default - Apply</v>
      </c>
      <c r="P15" s="1" t="str">
        <f t="shared" si="3"/>
        <v>LU006713.004</v>
      </c>
      <c r="Q15" s="15" t="str">
        <f ca="1">IFERROR(__xludf.dummyfunction("VLOOKUP(P15, IMPORTRANGE(""https://docs.google.com/spreadsheets/d/1yDAaXNsi4Mr5FtRQL4tbmSdIzhx6_m4wkOD7IG-k_eo/edit#gid=1336395716"", ""Science!M:N""), 2, FALSE)"),"(LU006713.004); Default - Analyse")</f>
        <v>(LU006713.004); Default - Analyse</v>
      </c>
      <c r="R15" s="1" t="str">
        <f t="shared" si="4"/>
        <v>LU006713.005</v>
      </c>
      <c r="S15" s="15" t="str">
        <f ca="1">IFERROR(__xludf.dummyfunction("VLOOKUP(R15, IMPORTRANGE(""https://docs.google.com/spreadsheets/d/1yDAaXNsi4Mr5FtRQL4tbmSdIzhx6_m4wkOD7IG-k_eo/edit#gid=1336395716"", ""Science!M:N""), 2, FALSE)"),"(LU006713.005); Default - Evaluate")</f>
        <v>(LU006713.005); Default - Evaluate</v>
      </c>
      <c r="T15" s="1" t="str">
        <f t="shared" si="5"/>
        <v>LU006713.006</v>
      </c>
      <c r="U15" s="15" t="str">
        <f ca="1">IFERROR(__xludf.dummyfunction("VLOOKUP(T15, IMPORTRANGE(""https://docs.google.com/spreadsheets/d/1yDAaXNsi4Mr5FtRQL4tbmSdIzhx6_m4wkOD7IG-k_eo/edit#gid=1336395716"", ""Science!M:N""), 2, FALSE)"),"(LU006713.006); Default - Create")</f>
        <v>(LU006713.006); Default - Create</v>
      </c>
      <c r="V15" s="113"/>
      <c r="W15" s="113"/>
      <c r="X15" s="113"/>
      <c r="Y15" s="113"/>
      <c r="Z15" s="113"/>
      <c r="AA15" s="113"/>
      <c r="AB15" s="113"/>
      <c r="AC15" s="113"/>
      <c r="AD15" s="113"/>
      <c r="AE15" s="113"/>
      <c r="AF15" s="113"/>
      <c r="AG15" s="113"/>
    </row>
    <row r="16" spans="1:33" ht="69">
      <c r="A16" s="113"/>
      <c r="B16" s="113" t="s">
        <v>29</v>
      </c>
      <c r="C16" s="113">
        <v>7</v>
      </c>
      <c r="D16" s="111" t="s">
        <v>1692</v>
      </c>
      <c r="E16" s="113" t="s">
        <v>1613</v>
      </c>
      <c r="F16" s="111" t="s">
        <v>1696</v>
      </c>
      <c r="G16" s="1" t="s">
        <v>1697</v>
      </c>
      <c r="H16" s="111" t="str">
        <f ca="1">IFERROR(__xludf.dummyfunction("IFERROR(
  VLOOKUP(G16, IMPORTRANGE(""https://docs.google.com/spreadsheets/d/14deopnvwcrKtEGCKuYXdUHJbeLDZlkiSSWWT0g7x2pM/edit#gid=849066331"", ""LU List Maths (Filter)!A:B""), 2, FALSE),
  IFERROR(
    VLOOKUP(G16, IMPORTRANGE(""https://docs.google.com/s"&amp;"preadsheets/d/14deopnvwcrKtEGCKuYXdUHJbeLDZlkiSSWWT0g7x2pM/edit#gid=849066331"", ""LU List Science (Filter)!A:B""), 2, FALSE),
    ""Not Found""
  )
)
"),"Definition of mixtures, components of mixture, and pure substance.")</f>
        <v>Definition of mixtures, components of mixture, and pure substance.</v>
      </c>
      <c r="I16" s="113" t="s">
        <v>1633</v>
      </c>
      <c r="J16" s="1" t="str">
        <f t="shared" si="0"/>
        <v>LU005299.001</v>
      </c>
      <c r="K16" s="1" t="str">
        <f ca="1">IFERROR(__xludf.dummyfunction("VLOOKUP(J16, IMPORTRANGE(""https://docs.google.com/spreadsheets/d/1yDAaXNsi4Mr5FtRQL4tbmSdIzhx6_m4wkOD7IG-k_eo/edit#gid=1336395716"", ""Science!M:N""), 2, FALSE)"),"Recall the definitions of mixtures, components of a mixture, and pure substances.")</f>
        <v>Recall the definitions of mixtures, components of a mixture, and pure substances.</v>
      </c>
      <c r="L16" s="1" t="str">
        <f t="shared" si="1"/>
        <v>LU005299.002</v>
      </c>
      <c r="M16" s="1" t="str">
        <f ca="1">IFERROR(__xludf.dummyfunction("VLOOKUP(L16, IMPORTRANGE(""https://docs.google.com/spreadsheets/d/1yDAaXNsi4Mr5FtRQL4tbmSdIzhx6_m4wkOD7IG-k_eo/edit#gid=1336395716"", ""Science!M:N""), 2, FALSE)"),"Explain the differences between mixtures and pure substances.")</f>
        <v>Explain the differences between mixtures and pure substances.</v>
      </c>
      <c r="N16" s="1" t="str">
        <f t="shared" si="2"/>
        <v>LU005299.003</v>
      </c>
      <c r="O16" s="1" t="str">
        <f ca="1">IFERROR(__xludf.dummyfunction("VLOOKUP(N16, IMPORTRANGE(""https://docs.google.com/spreadsheets/d/1yDAaXNsi4Mr5FtRQL4tbmSdIzhx6_m4wkOD7IG-k_eo/edit#gid=1336395716"", ""Science!M:N""), 2, FALSE)"),"Classify various substances as mixtures or pure substances.")</f>
        <v>Classify various substances as mixtures or pure substances.</v>
      </c>
      <c r="P16" s="1" t="str">
        <f t="shared" si="3"/>
        <v>LU005299.004</v>
      </c>
      <c r="Q16" s="15" t="str">
        <f ca="1">IFERROR(__xludf.dummyfunction("VLOOKUP(P16, IMPORTRANGE(""https://docs.google.com/spreadsheets/d/1yDAaXNsi4Mr5FtRQL4tbmSdIzhx6_m4wkOD7IG-k_eo/edit#gid=1336395716"", ""Science!M:N""), 2, FALSE)"),"Analyze the composition of different mixtures to identify their components.")</f>
        <v>Analyze the composition of different mixtures to identify their components.</v>
      </c>
      <c r="R16" s="1" t="str">
        <f t="shared" si="4"/>
        <v>LU005299.005</v>
      </c>
      <c r="S16" s="15" t="str">
        <f ca="1">IFERROR(__xludf.dummyfunction("VLOOKUP(R16, IMPORTRANGE(""https://docs.google.com/spreadsheets/d/1yDAaXNsi4Mr5FtRQL4tbmSdIzhx6_m4wkOD7IG-k_eo/edit#gid=1336395716"", ""Science!M:N""), 2, FALSE)"),"Evaluate the properties of a given substance to determine if it is a mixture or a pure substance.")</f>
        <v>Evaluate the properties of a given substance to determine if it is a mixture or a pure substance.</v>
      </c>
      <c r="T16" s="1" t="str">
        <f t="shared" si="5"/>
        <v>LU005299.006</v>
      </c>
      <c r="U16" s="15" t="str">
        <f ca="1">IFERROR(__xludf.dummyfunction("VLOOKUP(T16, IMPORTRANGE(""https://docs.google.com/spreadsheets/d/1yDAaXNsi4Mr5FtRQL4tbmSdIzhx6_m4wkOD7IG-k_eo/edit#gid=1336395716"", ""Science!M:N""), 2, FALSE)"),"#N/A")</f>
        <v>#N/A</v>
      </c>
      <c r="V16" s="113"/>
      <c r="W16" s="113"/>
      <c r="X16" s="113"/>
      <c r="Y16" s="113"/>
      <c r="Z16" s="113"/>
      <c r="AA16" s="113"/>
      <c r="AB16" s="113"/>
      <c r="AC16" s="113"/>
      <c r="AD16" s="113"/>
      <c r="AE16" s="113"/>
      <c r="AF16" s="113"/>
      <c r="AG16" s="113"/>
    </row>
    <row r="17" spans="1:33" ht="69">
      <c r="A17" s="113"/>
      <c r="B17" s="113" t="s">
        <v>29</v>
      </c>
      <c r="C17" s="113">
        <v>7</v>
      </c>
      <c r="D17" s="111" t="s">
        <v>1692</v>
      </c>
      <c r="E17" s="113" t="s">
        <v>1613</v>
      </c>
      <c r="F17" s="111" t="s">
        <v>1696</v>
      </c>
      <c r="G17" s="1" t="s">
        <v>1698</v>
      </c>
      <c r="H17" s="111" t="str">
        <f ca="1">IFERROR(__xludf.dummyfunction("IFERROR(
  VLOOKUP(G17, IMPORTRANGE(""https://docs.google.com/spreadsheets/d/14deopnvwcrKtEGCKuYXdUHJbeLDZlkiSSWWT0g7x2pM/edit#gid=849066331"", ""LU List Maths (Filter)!A:B""), 2, FALSE),
  IFERROR(
    VLOOKUP(G17, IMPORTRANGE(""https://docs.google.com/s"&amp;"preadsheets/d/14deopnvwcrKtEGCKuYXdUHJbeLDZlkiSSWWT0g7x2pM/edit#gid=849066331"", ""LU List Science (Filter)!A:B""), 2, FALSE),
    ""Not Found""
  )
)
"),"Definition of Heterogenous and Homogenous mixtures")</f>
        <v>Definition of Heterogenous and Homogenous mixtures</v>
      </c>
      <c r="I17" s="113" t="s">
        <v>1633</v>
      </c>
      <c r="J17" s="1" t="str">
        <f t="shared" si="0"/>
        <v>LU006082.001</v>
      </c>
      <c r="K17" s="1" t="str">
        <f ca="1">IFERROR(__xludf.dummyfunction("VLOOKUP(J17, IMPORTRANGE(""https://docs.google.com/spreadsheets/d/1yDAaXNsi4Mr5FtRQL4tbmSdIzhx6_m4wkOD7IG-k_eo/edit#gid=1336395716"", ""Science!M:N""), 2, FALSE)"),"Define heterogenous and homogenous mixtures.")</f>
        <v>Define heterogenous and homogenous mixtures.</v>
      </c>
      <c r="L17" s="1" t="str">
        <f t="shared" si="1"/>
        <v>LU006082.002</v>
      </c>
      <c r="M17" s="1" t="str">
        <f ca="1">IFERROR(__xludf.dummyfunction("VLOOKUP(L17, IMPORTRANGE(""https://docs.google.com/spreadsheets/d/1yDAaXNsi4Mr5FtRQL4tbmSdIzhx6_m4wkOD7IG-k_eo/edit#gid=1336395716"", ""Science!M:N""), 2, FALSE)"),"Describe the characteristics that distinguish heterogenous and homogenous mixtures.")</f>
        <v>Describe the characteristics that distinguish heterogenous and homogenous mixtures.</v>
      </c>
      <c r="N17" s="1" t="str">
        <f t="shared" si="2"/>
        <v>LU006082.003</v>
      </c>
      <c r="O17" s="1" t="str">
        <f ca="1">IFERROR(__xludf.dummyfunction("VLOOKUP(N17, IMPORTRANGE(""https://docs.google.com/spreadsheets/d/1yDAaXNsi4Mr5FtRQL4tbmSdIzhx6_m4wkOD7IG-k_eo/edit#gid=1336395716"", ""Science!M:N""), 2, FALSE)"),"Classify given examples of mixtures as either heterogenous or homogenous and explain the reasoning behind the classification.")</f>
        <v>Classify given examples of mixtures as either heterogenous or homogenous and explain the reasoning behind the classification.</v>
      </c>
      <c r="P17" s="1" t="str">
        <f t="shared" si="3"/>
        <v>LU006082.004</v>
      </c>
      <c r="Q17" s="15" t="str">
        <f ca="1">IFERROR(__xludf.dummyfunction("VLOOKUP(P17, IMPORTRANGE(""https://docs.google.com/spreadsheets/d/1yDAaXNsi4Mr5FtRQL4tbmSdIzhx6_m4wkOD7IG-k_eo/edit#gid=1336395716"", ""Science!M:N""), 2, FALSE)"),"Compare and contrast the properties of heterogenous and homogenous mixtures, including their appearance, composition, and uniformity.")</f>
        <v>Compare and contrast the properties of heterogenous and homogenous mixtures, including their appearance, composition, and uniformity.</v>
      </c>
      <c r="R17" s="1" t="str">
        <f t="shared" si="4"/>
        <v>LU006082.005</v>
      </c>
      <c r="S17" s="15" t="str">
        <f ca="1">IFERROR(__xludf.dummyfunction("VLOOKUP(R17, IMPORTRANGE(""https://docs.google.com/spreadsheets/d/1yDAaXNsi4Mr5FtRQL4tbmSdIzhx6_m4wkOD7IG-k_eo/edit#gid=1336395716"", ""Science!M:N""), 2, FALSE)"),"Evaluate the effectiveness of different separation techniques for heterogenous and homogenous mixtures based on their physical properties.")</f>
        <v>Evaluate the effectiveness of different separation techniques for heterogenous and homogenous mixtures based on their physical properties.</v>
      </c>
      <c r="T17" s="1" t="str">
        <f t="shared" si="5"/>
        <v>LU006082.006</v>
      </c>
      <c r="U17" s="15" t="str">
        <f ca="1">IFERROR(__xludf.dummyfunction("VLOOKUP(T17, IMPORTRANGE(""https://docs.google.com/spreadsheets/d/1yDAaXNsi4Mr5FtRQL4tbmSdIzhx6_m4wkOD7IG-k_eo/edit#gid=1336395716"", ""Science!M:N""), 2, FALSE)"),"#N/A")</f>
        <v>#N/A</v>
      </c>
      <c r="V17" s="113"/>
      <c r="W17" s="113"/>
      <c r="X17" s="113"/>
      <c r="Y17" s="113"/>
      <c r="Z17" s="113"/>
      <c r="AA17" s="113"/>
      <c r="AB17" s="113"/>
      <c r="AC17" s="113"/>
      <c r="AD17" s="113"/>
      <c r="AE17" s="113"/>
      <c r="AF17" s="113"/>
      <c r="AG17" s="113"/>
    </row>
    <row r="18" spans="1:33" ht="69">
      <c r="A18" s="113"/>
      <c r="B18" s="113" t="s">
        <v>29</v>
      </c>
      <c r="C18" s="113">
        <v>7</v>
      </c>
      <c r="D18" s="111" t="s">
        <v>1692</v>
      </c>
      <c r="E18" s="113" t="s">
        <v>1613</v>
      </c>
      <c r="F18" s="111" t="s">
        <v>1696</v>
      </c>
      <c r="G18" s="14" t="s">
        <v>1699</v>
      </c>
      <c r="H18" s="111" t="str">
        <f ca="1">IFERROR(__xludf.dummyfunction("IFERROR(
  VLOOKUP(G18, IMPORTRANGE(""https://docs.google.com/spreadsheets/d/14deopnvwcrKtEGCKuYXdUHJbeLDZlkiSSWWT0g7x2pM/edit#gid=849066331"", ""LU List Maths (Filter)!A:B""), 2, FALSE),
  IFERROR(
    VLOOKUP(G18, IMPORTRANGE(""https://docs.google.com/s"&amp;"preadsheets/d/14deopnvwcrKtEGCKuYXdUHJbeLDZlkiSSWWT0g7x2pM/edit#gid=849066331"", ""LU List Science (Filter)!A:B""), 2, FALSE),
    ""Not Found""
  )
)
"),"Types of Mixtures Based on the State")</f>
        <v>Types of Mixtures Based on the State</v>
      </c>
      <c r="I18" s="113"/>
      <c r="J18" s="1" t="str">
        <f t="shared" si="0"/>
        <v>LU006714.001</v>
      </c>
      <c r="K18" s="1" t="str">
        <f ca="1">IFERROR(__xludf.dummyfunction("VLOOKUP(J18, IMPORTRANGE(""https://docs.google.com/spreadsheets/d/1yDAaXNsi4Mr5FtRQL4tbmSdIzhx6_m4wkOD7IG-k_eo/edit#gid=1336395716"", ""Science!M:N""), 2, FALSE)"),"(LU006714.001); Default - Remember")</f>
        <v>(LU006714.001); Default - Remember</v>
      </c>
      <c r="L18" s="1" t="str">
        <f t="shared" si="1"/>
        <v>LU006714.002</v>
      </c>
      <c r="M18" s="1" t="str">
        <f ca="1">IFERROR(__xludf.dummyfunction("VLOOKUP(L18, IMPORTRANGE(""https://docs.google.com/spreadsheets/d/1yDAaXNsi4Mr5FtRQL4tbmSdIzhx6_m4wkOD7IG-k_eo/edit#gid=1336395716"", ""Science!M:N""), 2, FALSE)"),"(LU006714.002); Default - Understand")</f>
        <v>(LU006714.002); Default - Understand</v>
      </c>
      <c r="N18" s="1" t="str">
        <f t="shared" si="2"/>
        <v>LU006714.003</v>
      </c>
      <c r="O18" s="1" t="str">
        <f ca="1">IFERROR(__xludf.dummyfunction("VLOOKUP(N18, IMPORTRANGE(""https://docs.google.com/spreadsheets/d/1yDAaXNsi4Mr5FtRQL4tbmSdIzhx6_m4wkOD7IG-k_eo/edit#gid=1336395716"", ""Science!M:N""), 2, FALSE)"),"(LU006714.003); Default - Apply")</f>
        <v>(LU006714.003); Default - Apply</v>
      </c>
      <c r="P18" s="1" t="str">
        <f t="shared" si="3"/>
        <v>LU006714.004</v>
      </c>
      <c r="Q18" s="15" t="str">
        <f ca="1">IFERROR(__xludf.dummyfunction("VLOOKUP(P18, IMPORTRANGE(""https://docs.google.com/spreadsheets/d/1yDAaXNsi4Mr5FtRQL4tbmSdIzhx6_m4wkOD7IG-k_eo/edit#gid=1336395716"", ""Science!M:N""), 2, FALSE)"),"(LU006714.004); Default - Analyse")</f>
        <v>(LU006714.004); Default - Analyse</v>
      </c>
      <c r="R18" s="1" t="str">
        <f t="shared" si="4"/>
        <v>LU006714.005</v>
      </c>
      <c r="S18" s="15" t="str">
        <f ca="1">IFERROR(__xludf.dummyfunction("VLOOKUP(R18, IMPORTRANGE(""https://docs.google.com/spreadsheets/d/1yDAaXNsi4Mr5FtRQL4tbmSdIzhx6_m4wkOD7IG-k_eo/edit#gid=1336395716"", ""Science!M:N""), 2, FALSE)"),"(LU006714.005); Default - Evaluate")</f>
        <v>(LU006714.005); Default - Evaluate</v>
      </c>
      <c r="T18" s="1" t="str">
        <f t="shared" si="5"/>
        <v>LU006714.006</v>
      </c>
      <c r="U18" s="15" t="str">
        <f ca="1">IFERROR(__xludf.dummyfunction("VLOOKUP(T18, IMPORTRANGE(""https://docs.google.com/spreadsheets/d/1yDAaXNsi4Mr5FtRQL4tbmSdIzhx6_m4wkOD7IG-k_eo/edit#gid=1336395716"", ""Science!M:N""), 2, FALSE)"),"(LU006714.006); Default - Create")</f>
        <v>(LU006714.006); Default - Create</v>
      </c>
      <c r="V18" s="113"/>
      <c r="W18" s="113"/>
      <c r="X18" s="113"/>
      <c r="Y18" s="113"/>
      <c r="Z18" s="113"/>
      <c r="AA18" s="113"/>
      <c r="AB18" s="113"/>
      <c r="AC18" s="113"/>
      <c r="AD18" s="113"/>
      <c r="AE18" s="113"/>
      <c r="AF18" s="113"/>
      <c r="AG18" s="113"/>
    </row>
    <row r="19" spans="1:33" ht="96.6">
      <c r="A19" s="113"/>
      <c r="B19" s="113" t="s">
        <v>29</v>
      </c>
      <c r="C19" s="113">
        <v>7</v>
      </c>
      <c r="D19" s="111" t="s">
        <v>1692</v>
      </c>
      <c r="E19" s="113" t="s">
        <v>1613</v>
      </c>
      <c r="F19" s="111" t="s">
        <v>1700</v>
      </c>
      <c r="G19" s="1" t="s">
        <v>1701</v>
      </c>
      <c r="H19" s="111" t="str">
        <f ca="1">IFERROR(__xludf.dummyfunction("IFERROR(
  VLOOKUP(G19, IMPORTRANGE(""https://docs.google.com/spreadsheets/d/14deopnvwcrKtEGCKuYXdUHJbeLDZlkiSSWWT0g7x2pM/edit#gid=849066331"", ""LU List Maths (Filter)!A:B""), 2, FALSE),
  IFERROR(
    VLOOKUP(G19, IMPORTRANGE(""https://docs.google.com/s"&amp;"preadsheets/d/14deopnvwcrKtEGCKuYXdUHJbeLDZlkiSSWWT0g7x2pM/edit#gid=849066331"", ""LU List Science (Filter)!A:B""), 2, FALSE),
    ""Not Found""
  )
)
"),"Compounds and Their Properties")</f>
        <v>Compounds and Their Properties</v>
      </c>
      <c r="I19" s="113" t="s">
        <v>1633</v>
      </c>
      <c r="J19" s="1" t="str">
        <f t="shared" si="0"/>
        <v>LU006227.001</v>
      </c>
      <c r="K19" s="1" t="str">
        <f ca="1">IFERROR(__xludf.dummyfunction("VLOOKUP(J19, IMPORTRANGE(""https://docs.google.com/spreadsheets/d/1yDAaXNsi4Mr5FtRQL4tbmSdIzhx6_m4wkOD7IG-k_eo/edit#gid=1336395716"", ""Science!M:N""), 2, FALSE)"),"Identify compounds as a type of pure matter.")</f>
        <v>Identify compounds as a type of pure matter.</v>
      </c>
      <c r="L19" s="1" t="str">
        <f t="shared" si="1"/>
        <v>LU006227.002</v>
      </c>
      <c r="M19" s="1" t="str">
        <f ca="1">IFERROR(__xludf.dummyfunction("VLOOKUP(L19, IMPORTRANGE(""https://docs.google.com/spreadsheets/d/1yDAaXNsi4Mr5FtRQL4tbmSdIzhx6_m4wkOD7IG-k_eo/edit#gid=1336395716"", ""Science!M:N""), 2, FALSE)"),"Explain the characteristics that differentiate compounds from mixtures.")</f>
        <v>Explain the characteristics that differentiate compounds from mixtures.</v>
      </c>
      <c r="N19" s="1" t="str">
        <f t="shared" si="2"/>
        <v>LU006227.003</v>
      </c>
      <c r="O19" s="1" t="str">
        <f ca="1">IFERROR(__xludf.dummyfunction("VLOOKUP(N19, IMPORTRANGE(""https://docs.google.com/spreadsheets/d/1yDAaXNsi4Mr5FtRQL4tbmSdIzhx6_m4wkOD7IG-k_eo/edit#gid=1336395716"", ""Science!M:N""), 2, FALSE)"),"Demonstrate the formation of a compound by combining elements in a chemical reaction, such as creating water from hydrogen and oxygen.")</f>
        <v>Demonstrate the formation of a compound by combining elements in a chemical reaction, such as creating water from hydrogen and oxygen.</v>
      </c>
      <c r="P19" s="1" t="str">
        <f t="shared" si="3"/>
        <v>LU006227.004</v>
      </c>
      <c r="Q19" s="15" t="str">
        <f ca="1">IFERROR(__xludf.dummyfunction("VLOOKUP(P19, IMPORTRANGE(""https://docs.google.com/spreadsheets/d/1yDAaXNsi4Mr5FtRQL4tbmSdIzhx6_m4wkOD7IG-k_eo/edit#gid=1336395716"", ""Science!M:N""), 2, FALSE)"),"Compare compounds with elements and mixtures in terms of their composition and properties.")</f>
        <v>Compare compounds with elements and mixtures in terms of their composition and properties.</v>
      </c>
      <c r="R19" s="1" t="str">
        <f t="shared" si="4"/>
        <v>LU006227.005</v>
      </c>
      <c r="S19" s="15" t="str">
        <f ca="1">IFERROR(__xludf.dummyfunction("VLOOKUP(R19, IMPORTRANGE(""https://docs.google.com/spreadsheets/d/1yDAaXNsi4Mr5FtRQL4tbmSdIzhx6_m4wkOD7IG-k_eo/edit#gid=1336395716"", ""Science!M:N""), 2, FALSE)"),"Evaluate the purity of a substance by determining whether it is a compound or a mixture based on its properties and behavior in chemical reactions.")</f>
        <v>Evaluate the purity of a substance by determining whether it is a compound or a mixture based on its properties and behavior in chemical reactions.</v>
      </c>
      <c r="T19" s="1" t="str">
        <f t="shared" si="5"/>
        <v>LU006227.006</v>
      </c>
      <c r="U19" s="15" t="str">
        <f ca="1">IFERROR(__xludf.dummyfunction("VLOOKUP(T19, IMPORTRANGE(""https://docs.google.com/spreadsheets/d/1yDAaXNsi4Mr5FtRQL4tbmSdIzhx6_m4wkOD7IG-k_eo/edit#gid=1336395716"", ""Science!M:N""), 2, FALSE)"),"Design an experiment to distinguish between a compound and a mixture, using techniques such as heating and chemical reactions to observe differences in behavior.")</f>
        <v>Design an experiment to distinguish between a compound and a mixture, using techniques such as heating and chemical reactions to observe differences in behavior.</v>
      </c>
      <c r="V19" s="113"/>
      <c r="W19" s="113"/>
      <c r="X19" s="113"/>
      <c r="Y19" s="113"/>
      <c r="Z19" s="113"/>
      <c r="AA19" s="113"/>
      <c r="AB19" s="113"/>
      <c r="AC19" s="113"/>
      <c r="AD19" s="113"/>
      <c r="AE19" s="113"/>
      <c r="AF19" s="113"/>
      <c r="AG19" s="113"/>
    </row>
    <row r="20" spans="1:33" ht="69">
      <c r="A20" s="113"/>
      <c r="B20" s="113" t="s">
        <v>29</v>
      </c>
      <c r="C20" s="113">
        <v>7</v>
      </c>
      <c r="D20" s="111" t="s">
        <v>1692</v>
      </c>
      <c r="E20" s="113" t="s">
        <v>1613</v>
      </c>
      <c r="F20" s="111" t="s">
        <v>1700</v>
      </c>
      <c r="G20" s="14" t="s">
        <v>1702</v>
      </c>
      <c r="H20" s="111" t="str">
        <f ca="1">IFERROR(__xludf.dummyfunction("IFERROR(
  VLOOKUP(G20, IMPORTRANGE(""https://docs.google.com/spreadsheets/d/14deopnvwcrKtEGCKuYXdUHJbeLDZlkiSSWWT0g7x2pM/edit#gid=849066331"", ""LU List Maths (Filter)!A:B""), 2, FALSE),
  IFERROR(
    VLOOKUP(G20, IMPORTRANGE(""https://docs.google.com/s"&amp;"preadsheets/d/14deopnvwcrKtEGCKuYXdUHJbeLDZlkiSSWWT0g7x2pM/edit#gid=849066331"", ""LU List Science (Filter)!A:B""), 2, FALSE),
    ""Not Found""
  )
)
"),"Comparison of Elements, Compounds and Mixtures")</f>
        <v>Comparison of Elements, Compounds and Mixtures</v>
      </c>
      <c r="I20" s="113"/>
      <c r="J20" s="1" t="str">
        <f t="shared" si="0"/>
        <v>LU006715.001</v>
      </c>
      <c r="K20" s="1" t="str">
        <f ca="1">IFERROR(__xludf.dummyfunction("VLOOKUP(J20, IMPORTRANGE(""https://docs.google.com/spreadsheets/d/1yDAaXNsi4Mr5FtRQL4tbmSdIzhx6_m4wkOD7IG-k_eo/edit#gid=1336395716"", ""Science!M:N""), 2, FALSE)"),"(LU006715.001); Default - Remember")</f>
        <v>(LU006715.001); Default - Remember</v>
      </c>
      <c r="L20" s="1" t="str">
        <f t="shared" si="1"/>
        <v>LU006715.002</v>
      </c>
      <c r="M20" s="1" t="str">
        <f ca="1">IFERROR(__xludf.dummyfunction("VLOOKUP(L20, IMPORTRANGE(""https://docs.google.com/spreadsheets/d/1yDAaXNsi4Mr5FtRQL4tbmSdIzhx6_m4wkOD7IG-k_eo/edit#gid=1336395716"", ""Science!M:N""), 2, FALSE)"),"(LU006715.002); Default - Understand")</f>
        <v>(LU006715.002); Default - Understand</v>
      </c>
      <c r="N20" s="1" t="str">
        <f t="shared" si="2"/>
        <v>LU006715.003</v>
      </c>
      <c r="O20" s="1" t="str">
        <f ca="1">IFERROR(__xludf.dummyfunction("VLOOKUP(N20, IMPORTRANGE(""https://docs.google.com/spreadsheets/d/1yDAaXNsi4Mr5FtRQL4tbmSdIzhx6_m4wkOD7IG-k_eo/edit#gid=1336395716"", ""Science!M:N""), 2, FALSE)"),"(LU006715.003); Default - Apply")</f>
        <v>(LU006715.003); Default - Apply</v>
      </c>
      <c r="P20" s="1" t="str">
        <f t="shared" si="3"/>
        <v>LU006715.004</v>
      </c>
      <c r="Q20" s="15" t="str">
        <f ca="1">IFERROR(__xludf.dummyfunction("VLOOKUP(P20, IMPORTRANGE(""https://docs.google.com/spreadsheets/d/1yDAaXNsi4Mr5FtRQL4tbmSdIzhx6_m4wkOD7IG-k_eo/edit#gid=1336395716"", ""Science!M:N""), 2, FALSE)"),"(LU006715.004); Default - Analyse")</f>
        <v>(LU006715.004); Default - Analyse</v>
      </c>
      <c r="R20" s="1" t="str">
        <f t="shared" si="4"/>
        <v>LU006715.005</v>
      </c>
      <c r="S20" s="15" t="str">
        <f ca="1">IFERROR(__xludf.dummyfunction("VLOOKUP(R20, IMPORTRANGE(""https://docs.google.com/spreadsheets/d/1yDAaXNsi4Mr5FtRQL4tbmSdIzhx6_m4wkOD7IG-k_eo/edit#gid=1336395716"", ""Science!M:N""), 2, FALSE)"),"(LU006715.005); Default - Evaluate")</f>
        <v>(LU006715.005); Default - Evaluate</v>
      </c>
      <c r="T20" s="1" t="str">
        <f t="shared" si="5"/>
        <v>LU006715.006</v>
      </c>
      <c r="U20" s="15" t="str">
        <f ca="1">IFERROR(__xludf.dummyfunction("VLOOKUP(T20, IMPORTRANGE(""https://docs.google.com/spreadsheets/d/1yDAaXNsi4Mr5FtRQL4tbmSdIzhx6_m4wkOD7IG-k_eo/edit#gid=1336395716"", ""Science!M:N""), 2, FALSE)"),"(LU006715.006); Default - Create")</f>
        <v>(LU006715.006); Default - Create</v>
      </c>
      <c r="V20" s="113"/>
      <c r="W20" s="113"/>
      <c r="X20" s="113"/>
      <c r="Y20" s="113"/>
      <c r="Z20" s="113"/>
      <c r="AA20" s="113"/>
      <c r="AB20" s="113"/>
      <c r="AC20" s="113"/>
      <c r="AD20" s="113"/>
      <c r="AE20" s="113"/>
      <c r="AF20" s="113"/>
      <c r="AG20" s="113"/>
    </row>
    <row r="21" spans="1:33" ht="69">
      <c r="A21" s="113"/>
      <c r="B21" s="113" t="s">
        <v>29</v>
      </c>
      <c r="C21" s="113">
        <v>7</v>
      </c>
      <c r="D21" s="111" t="s">
        <v>1692</v>
      </c>
      <c r="E21" s="113" t="s">
        <v>1613</v>
      </c>
      <c r="F21" s="111" t="s">
        <v>1703</v>
      </c>
      <c r="G21" s="1" t="s">
        <v>1704</v>
      </c>
      <c r="H21" s="111" t="str">
        <f ca="1">IFERROR(__xludf.dummyfunction("IFERROR(
  VLOOKUP(G21, IMPORTRANGE(""https://docs.google.com/spreadsheets/d/14deopnvwcrKtEGCKuYXdUHJbeLDZlkiSSWWT0g7x2pM/edit#gid=849066331"", ""LU List Maths (Filter)!A:B""), 2, FALSE),
  IFERROR(
    VLOOKUP(G21, IMPORTRANGE(""https://docs.google.com/s"&amp;"preadsheets/d/14deopnvwcrKtEGCKuYXdUHJbeLDZlkiSSWWT0g7x2pM/edit#gid=849066331"", ""LU List Science (Filter)!A:B""), 2, FALSE),
    ""Not Found""
  )
)
"),"Handpicking, threshing, winnowing, and sieving")</f>
        <v>Handpicking, threshing, winnowing, and sieving</v>
      </c>
      <c r="I21" s="113"/>
      <c r="J21" s="1" t="str">
        <f t="shared" si="0"/>
        <v>LU005294.001</v>
      </c>
      <c r="K21" s="1" t="str">
        <f ca="1">IFERROR(__xludf.dummyfunction("VLOOKUP(J21, IMPORTRANGE(""https://docs.google.com/spreadsheets/d/1yDAaXNsi4Mr5FtRQL4tbmSdIzhx6_m4wkOD7IG-k_eo/edit#gid=1336395716"", ""Science!M:N""), 2, FALSE)"),"Students will identify handpicking, threshing, winnowing, and sieving as methods of separating substances.")</f>
        <v>Students will identify handpicking, threshing, winnowing, and sieving as methods of separating substances.</v>
      </c>
      <c r="L21" s="1" t="str">
        <f t="shared" si="1"/>
        <v>LU005294.002</v>
      </c>
      <c r="M21" s="1" t="str">
        <f ca="1">IFERROR(__xludf.dummyfunction("VLOOKUP(L21, IMPORTRANGE(""https://docs.google.com/spreadsheets/d/1yDAaXNsi4Mr5FtRQL4tbmSdIzhx6_m4wkOD7IG-k_eo/edit#gid=1336395716"", ""Science!M:N""), 2, FALSE)"),"Students will describe the principle behind each method of separation.")</f>
        <v>Students will describe the principle behind each method of separation.</v>
      </c>
      <c r="N21" s="1" t="str">
        <f t="shared" si="2"/>
        <v>LU005294.003</v>
      </c>
      <c r="O21" s="1" t="str">
        <f ca="1">IFERROR(__xludf.dummyfunction("VLOOKUP(N21, IMPORTRANGE(""https://docs.google.com/spreadsheets/d/1yDAaXNsi4Mr5FtRQL4tbmSdIzhx6_m4wkOD7IG-k_eo/edit#gid=1336395716"", ""Science!M:N""), 2, FALSE)"),"Students will apply the appropriate method of separation to a mixture of substances.")</f>
        <v>Students will apply the appropriate method of separation to a mixture of substances.</v>
      </c>
      <c r="P21" s="1" t="str">
        <f t="shared" si="3"/>
        <v>LU005294.004</v>
      </c>
      <c r="Q21" s="15" t="str">
        <f ca="1">IFERROR(__xludf.dummyfunction("VLOOKUP(P21, IMPORTRANGE(""https://docs.google.com/spreadsheets/d/1yDAaXNsi4Mr5FtRQL4tbmSdIzhx6_m4wkOD7IG-k_eo/edit#gid=1336395716"", ""Science!M:N""), 2, FALSE)"),"Students will analyze a mixture and choose the most effective method of separation, explaining why it is suitable.")</f>
        <v>Students will analyze a mixture and choose the most effective method of separation, explaining why it is suitable.</v>
      </c>
      <c r="R21" s="1" t="str">
        <f t="shared" si="4"/>
        <v>LU005294.005</v>
      </c>
      <c r="S21" s="15" t="str">
        <f ca="1">IFERROR(__xludf.dummyfunction("VLOOKUP(R21, IMPORTRANGE(""https://docs.google.com/spreadsheets/d/1yDAaXNsi4Mr5FtRQL4tbmSdIzhx6_m4wkOD7IG-k_eo/edit#gid=1336395716"", ""Science!M:N""), 2, FALSE)"),"Students will evaluate the efficiency and practicality of different separation methods in various scenarios.")</f>
        <v>Students will evaluate the efficiency and practicality of different separation methods in various scenarios.</v>
      </c>
      <c r="T21" s="1" t="str">
        <f t="shared" si="5"/>
        <v>LU005294.006</v>
      </c>
      <c r="U21" s="15" t="str">
        <f ca="1">IFERROR(__xludf.dummyfunction("VLOOKUP(T21, IMPORTRANGE(""https://docs.google.com/spreadsheets/d/1yDAaXNsi4Mr5FtRQL4tbmSdIzhx6_m4wkOD7IG-k_eo/edit#gid=1336395716"", ""Science!M:N""), 2, FALSE)"),"#N/A")</f>
        <v>#N/A</v>
      </c>
      <c r="V21" s="113"/>
      <c r="W21" s="113"/>
      <c r="X21" s="113"/>
      <c r="Y21" s="113"/>
      <c r="Z21" s="113"/>
      <c r="AA21" s="113"/>
      <c r="AB21" s="113"/>
      <c r="AC21" s="113"/>
      <c r="AD21" s="113"/>
      <c r="AE21" s="113"/>
      <c r="AF21" s="113"/>
      <c r="AG21" s="113"/>
    </row>
    <row r="22" spans="1:33" ht="69">
      <c r="A22" s="113"/>
      <c r="B22" s="113" t="s">
        <v>29</v>
      </c>
      <c r="C22" s="113">
        <v>7</v>
      </c>
      <c r="D22" s="111" t="s">
        <v>1692</v>
      </c>
      <c r="E22" s="113" t="s">
        <v>1613</v>
      </c>
      <c r="F22" s="111" t="s">
        <v>1703</v>
      </c>
      <c r="G22" s="14" t="s">
        <v>1705</v>
      </c>
      <c r="H22" s="111" t="str">
        <f ca="1">IFERROR(__xludf.dummyfunction("IFERROR(
  VLOOKUP(G22, IMPORTRANGE(""https://docs.google.com/spreadsheets/d/14deopnvwcrKtEGCKuYXdUHJbeLDZlkiSSWWT0g7x2pM/edit#gid=849066331"", ""LU List Maths (Filter)!A:B""), 2, FALSE),
  IFERROR(
    VLOOKUP(G22, IMPORTRANGE(""https://docs.google.com/s"&amp;"preadsheets/d/14deopnvwcrKtEGCKuYXdUHJbeLDZlkiSSWWT0g7x2pM/edit#gid=849066331"", ""LU List Science (Filter)!A:B""), 2, FALSE),
    ""Not Found""
  )
)
"),"Gravity Separation Method")</f>
        <v>Gravity Separation Method</v>
      </c>
      <c r="I22" s="113"/>
      <c r="J22" s="1" t="str">
        <f t="shared" si="0"/>
        <v>LU006716.001</v>
      </c>
      <c r="K22" s="1" t="str">
        <f ca="1">IFERROR(__xludf.dummyfunction("VLOOKUP(J22, IMPORTRANGE(""https://docs.google.com/spreadsheets/d/1yDAaXNsi4Mr5FtRQL4tbmSdIzhx6_m4wkOD7IG-k_eo/edit#gid=1336395716"", ""Science!M:N""), 2, FALSE)"),"(LU006716.001); Default - Remember")</f>
        <v>(LU006716.001); Default - Remember</v>
      </c>
      <c r="L22" s="1" t="str">
        <f t="shared" si="1"/>
        <v>LU006716.002</v>
      </c>
      <c r="M22" s="1" t="str">
        <f ca="1">IFERROR(__xludf.dummyfunction("VLOOKUP(L22, IMPORTRANGE(""https://docs.google.com/spreadsheets/d/1yDAaXNsi4Mr5FtRQL4tbmSdIzhx6_m4wkOD7IG-k_eo/edit#gid=1336395716"", ""Science!M:N""), 2, FALSE)"),"(LU006716.002); Default - Understand")</f>
        <v>(LU006716.002); Default - Understand</v>
      </c>
      <c r="N22" s="1" t="str">
        <f t="shared" si="2"/>
        <v>LU006716.003</v>
      </c>
      <c r="O22" s="1" t="str">
        <f ca="1">IFERROR(__xludf.dummyfunction("VLOOKUP(N22, IMPORTRANGE(""https://docs.google.com/spreadsheets/d/1yDAaXNsi4Mr5FtRQL4tbmSdIzhx6_m4wkOD7IG-k_eo/edit#gid=1336395716"", ""Science!M:N""), 2, FALSE)"),"(LU006716.003); Default - Apply")</f>
        <v>(LU006716.003); Default - Apply</v>
      </c>
      <c r="P22" s="1" t="str">
        <f t="shared" si="3"/>
        <v>LU006716.004</v>
      </c>
      <c r="Q22" s="15" t="str">
        <f ca="1">IFERROR(__xludf.dummyfunction("VLOOKUP(P22, IMPORTRANGE(""https://docs.google.com/spreadsheets/d/1yDAaXNsi4Mr5FtRQL4tbmSdIzhx6_m4wkOD7IG-k_eo/edit#gid=1336395716"", ""Science!M:N""), 2, FALSE)"),"(LU006716.004); Default - Analyse")</f>
        <v>(LU006716.004); Default - Analyse</v>
      </c>
      <c r="R22" s="1" t="str">
        <f t="shared" si="4"/>
        <v>LU006716.005</v>
      </c>
      <c r="S22" s="15" t="str">
        <f ca="1">IFERROR(__xludf.dummyfunction("VLOOKUP(R22, IMPORTRANGE(""https://docs.google.com/spreadsheets/d/1yDAaXNsi4Mr5FtRQL4tbmSdIzhx6_m4wkOD7IG-k_eo/edit#gid=1336395716"", ""Science!M:N""), 2, FALSE)"),"(LU006716.005); Default - Evaluate")</f>
        <v>(LU006716.005); Default - Evaluate</v>
      </c>
      <c r="T22" s="1" t="str">
        <f t="shared" si="5"/>
        <v>LU006716.006</v>
      </c>
      <c r="U22" s="15" t="str">
        <f ca="1">IFERROR(__xludf.dummyfunction("VLOOKUP(T22, IMPORTRANGE(""https://docs.google.com/spreadsheets/d/1yDAaXNsi4Mr5FtRQL4tbmSdIzhx6_m4wkOD7IG-k_eo/edit#gid=1336395716"", ""Science!M:N""), 2, FALSE)"),"(LU006716.006); Default - Create")</f>
        <v>(LU006716.006); Default - Create</v>
      </c>
      <c r="V22" s="113"/>
      <c r="W22" s="113"/>
      <c r="X22" s="113"/>
      <c r="Y22" s="113"/>
      <c r="Z22" s="113"/>
      <c r="AA22" s="113"/>
      <c r="AB22" s="113"/>
      <c r="AC22" s="113"/>
      <c r="AD22" s="113"/>
      <c r="AE22" s="113"/>
      <c r="AF22" s="113"/>
      <c r="AG22" s="113"/>
    </row>
    <row r="23" spans="1:33" ht="69">
      <c r="A23" s="113"/>
      <c r="B23" s="113" t="s">
        <v>29</v>
      </c>
      <c r="C23" s="113">
        <v>7</v>
      </c>
      <c r="D23" s="111" t="s">
        <v>1692</v>
      </c>
      <c r="E23" s="113" t="s">
        <v>1613</v>
      </c>
      <c r="F23" s="111" t="s">
        <v>1703</v>
      </c>
      <c r="G23" s="14" t="s">
        <v>1706</v>
      </c>
      <c r="H23" s="111" t="str">
        <f ca="1">IFERROR(__xludf.dummyfunction("IFERROR(
  VLOOKUP(G23, IMPORTRANGE(""https://docs.google.com/spreadsheets/d/14deopnvwcrKtEGCKuYXdUHJbeLDZlkiSSWWT0g7x2pM/edit#gid=849066331"", ""LU List Maths (Filter)!A:B""), 2, FALSE),
  IFERROR(
    VLOOKUP(G23, IMPORTRANGE(""https://docs.google.com/s"&amp;"preadsheets/d/14deopnvwcrKtEGCKuYXdUHJbeLDZlkiSSWWT0g7x2pM/edit#gid=849066331"", ""LU List Science (Filter)!A:B""), 2, FALSE),
    ""Not Found""
  )
)
"),"Solvent Extraction Method")</f>
        <v>Solvent Extraction Method</v>
      </c>
      <c r="I23" s="113"/>
      <c r="J23" s="1" t="str">
        <f t="shared" si="0"/>
        <v>LU006717.001</v>
      </c>
      <c r="K23" s="1" t="str">
        <f ca="1">IFERROR(__xludf.dummyfunction("VLOOKUP(J23, IMPORTRANGE(""https://docs.google.com/spreadsheets/d/1yDAaXNsi4Mr5FtRQL4tbmSdIzhx6_m4wkOD7IG-k_eo/edit#gid=1336395716"", ""Science!M:N""), 2, FALSE)"),"(LU006717.001); Default - Remember")</f>
        <v>(LU006717.001); Default - Remember</v>
      </c>
      <c r="L23" s="1" t="str">
        <f t="shared" si="1"/>
        <v>LU006717.002</v>
      </c>
      <c r="M23" s="1" t="str">
        <f ca="1">IFERROR(__xludf.dummyfunction("VLOOKUP(L23, IMPORTRANGE(""https://docs.google.com/spreadsheets/d/1yDAaXNsi4Mr5FtRQL4tbmSdIzhx6_m4wkOD7IG-k_eo/edit#gid=1336395716"", ""Science!M:N""), 2, FALSE)"),"(LU006717.002); Default - Understand")</f>
        <v>(LU006717.002); Default - Understand</v>
      </c>
      <c r="N23" s="1" t="str">
        <f t="shared" si="2"/>
        <v>LU006717.003</v>
      </c>
      <c r="O23" s="1" t="str">
        <f ca="1">IFERROR(__xludf.dummyfunction("VLOOKUP(N23, IMPORTRANGE(""https://docs.google.com/spreadsheets/d/1yDAaXNsi4Mr5FtRQL4tbmSdIzhx6_m4wkOD7IG-k_eo/edit#gid=1336395716"", ""Science!M:N""), 2, FALSE)"),"(LU006717.003); Default - Apply")</f>
        <v>(LU006717.003); Default - Apply</v>
      </c>
      <c r="P23" s="1" t="str">
        <f t="shared" si="3"/>
        <v>LU006717.004</v>
      </c>
      <c r="Q23" s="15" t="str">
        <f ca="1">IFERROR(__xludf.dummyfunction("VLOOKUP(P23, IMPORTRANGE(""https://docs.google.com/spreadsheets/d/1yDAaXNsi4Mr5FtRQL4tbmSdIzhx6_m4wkOD7IG-k_eo/edit#gid=1336395716"", ""Science!M:N""), 2, FALSE)"),"(LU006717.004); Default - Analyse")</f>
        <v>(LU006717.004); Default - Analyse</v>
      </c>
      <c r="R23" s="1" t="str">
        <f t="shared" si="4"/>
        <v>LU006717.005</v>
      </c>
      <c r="S23" s="15" t="str">
        <f ca="1">IFERROR(__xludf.dummyfunction("VLOOKUP(R23, IMPORTRANGE(""https://docs.google.com/spreadsheets/d/1yDAaXNsi4Mr5FtRQL4tbmSdIzhx6_m4wkOD7IG-k_eo/edit#gid=1336395716"", ""Science!M:N""), 2, FALSE)"),"(LU006717.005); Default - Evaluate")</f>
        <v>(LU006717.005); Default - Evaluate</v>
      </c>
      <c r="T23" s="1" t="str">
        <f t="shared" si="5"/>
        <v>LU006717.006</v>
      </c>
      <c r="U23" s="15" t="str">
        <f ca="1">IFERROR(__xludf.dummyfunction("VLOOKUP(T23, IMPORTRANGE(""https://docs.google.com/spreadsheets/d/1yDAaXNsi4Mr5FtRQL4tbmSdIzhx6_m4wkOD7IG-k_eo/edit#gid=1336395716"", ""Science!M:N""), 2, FALSE)"),"(LU006717.006); Default - Create")</f>
        <v>(LU006717.006); Default - Create</v>
      </c>
      <c r="V23" s="113"/>
      <c r="W23" s="113"/>
      <c r="X23" s="113"/>
      <c r="Y23" s="113"/>
      <c r="Z23" s="113"/>
      <c r="AA23" s="113"/>
      <c r="AB23" s="113"/>
      <c r="AC23" s="113"/>
      <c r="AD23" s="113"/>
      <c r="AE23" s="113"/>
      <c r="AF23" s="113"/>
      <c r="AG23" s="113"/>
    </row>
    <row r="24" spans="1:33" ht="69">
      <c r="A24" s="113"/>
      <c r="B24" s="113" t="s">
        <v>29</v>
      </c>
      <c r="C24" s="113">
        <v>7</v>
      </c>
      <c r="D24" s="111" t="s">
        <v>1692</v>
      </c>
      <c r="E24" s="113" t="s">
        <v>1613</v>
      </c>
      <c r="F24" s="111" t="s">
        <v>1707</v>
      </c>
      <c r="G24" s="1" t="s">
        <v>1708</v>
      </c>
      <c r="H24" s="111" t="str">
        <f ca="1">IFERROR(__xludf.dummyfunction("IFERROR(
  VLOOKUP(G24, IMPORTRANGE(""https://docs.google.com/spreadsheets/d/14deopnvwcrKtEGCKuYXdUHJbeLDZlkiSSWWT0g7x2pM/edit#gid=849066331"", ""LU List Maths (Filter)!A:B""), 2, FALSE),
  IFERROR(
    VLOOKUP(G24, IMPORTRANGE(""https://docs.google.com/s"&amp;"preadsheets/d/14deopnvwcrKtEGCKuYXdUHJbeLDZlkiSSWWT0g7x2pM/edit#gid=849066331"", ""LU List Science (Filter)!A:B""), 2, FALSE),
    ""Not Found""
  )
)
"),"Distillation for Separation of Two Miscible Liquids")</f>
        <v>Distillation for Separation of Two Miscible Liquids</v>
      </c>
      <c r="I24" s="113"/>
      <c r="J24" s="1" t="str">
        <f t="shared" si="0"/>
        <v>LU006222.001</v>
      </c>
      <c r="K24" s="1" t="str">
        <f ca="1">IFERROR(__xludf.dummyfunction("VLOOKUP(J24, IMPORTRANGE(""https://docs.google.com/spreadsheets/d/1yDAaXNsi4Mr5FtRQL4tbmSdIzhx6_m4wkOD7IG-k_eo/edit#gid=1336395716"", ""Science!M:N""), 2, FALSE)"),"Define the process of distillation used for separating two miscible liquids.")</f>
        <v>Define the process of distillation used for separating two miscible liquids.</v>
      </c>
      <c r="L24" s="1" t="str">
        <f t="shared" si="1"/>
        <v>LU006222.002</v>
      </c>
      <c r="M24" s="1" t="str">
        <f ca="1">IFERROR(__xludf.dummyfunction("VLOOKUP(L24, IMPORTRANGE(""https://docs.google.com/spreadsheets/d/1yDAaXNsi4Mr5FtRQL4tbmSdIzhx6_m4wkOD7IG-k_eo/edit#gid=1336395716"", ""Science!M:N""), 2, FALSE)"),"Explain the principle behind distillation, focusing on the different boiling points of the liquids.")</f>
        <v>Explain the principle behind distillation, focusing on the different boiling points of the liquids.</v>
      </c>
      <c r="N24" s="1" t="str">
        <f t="shared" si="2"/>
        <v>LU006222.003</v>
      </c>
      <c r="O24" s="1" t="str">
        <f ca="1">IFERROR(__xludf.dummyfunction("VLOOKUP(N24, IMPORTRANGE(""https://docs.google.com/spreadsheets/d/1yDAaXNsi4Mr5FtRQL4tbmSdIzhx6_m4wkOD7IG-k_eo/edit#gid=1336395716"", ""Science!M:N""), 2, FALSE)"),"Demonstrate the setup and procedure for distillation to separate a mixture of alcohol and water.")</f>
        <v>Demonstrate the setup and procedure for distillation to separate a mixture of alcohol and water.</v>
      </c>
      <c r="P24" s="1" t="str">
        <f t="shared" si="3"/>
        <v>LU006222.004</v>
      </c>
      <c r="Q24" s="15" t="str">
        <f ca="1">IFERROR(__xludf.dummyfunction("VLOOKUP(P24, IMPORTRANGE(""https://docs.google.com/spreadsheets/d/1yDAaXNsi4Mr5FtRQL4tbmSdIzhx6_m4wkOD7IG-k_eo/edit#gid=1336395716"", ""Science!M:N""), 2, FALSE)"),"Compare distillation with other separation techniques like filtration and evaporation in terms of effectiveness for miscible liquids.")</f>
        <v>Compare distillation with other separation techniques like filtration and evaporation in terms of effectiveness for miscible liquids.</v>
      </c>
      <c r="R24" s="1" t="str">
        <f t="shared" si="4"/>
        <v>LU006222.005</v>
      </c>
      <c r="S24" s="15" t="str">
        <f ca="1">IFERROR(__xludf.dummyfunction("VLOOKUP(R24, IMPORTRANGE(""https://docs.google.com/spreadsheets/d/1yDAaXNsi4Mr5FtRQL4tbmSdIzhx6_m4wkOD7IG-k_eo/edit#gid=1336395716"", ""Science!M:N""), 2, FALSE)"),"Evaluate the efficiency of distillation in separating two miscible liquids with close boiling points.")</f>
        <v>Evaluate the efficiency of distillation in separating two miscible liquids with close boiling points.</v>
      </c>
      <c r="T24" s="1" t="str">
        <f t="shared" si="5"/>
        <v>LU006222.006</v>
      </c>
      <c r="U24" s="15" t="str">
        <f ca="1">IFERROR(__xludf.dummyfunction("VLOOKUP(T24, IMPORTRANGE(""https://docs.google.com/spreadsheets/d/1yDAaXNsi4Mr5FtRQL4tbmSdIzhx6_m4wkOD7IG-k_eo/edit#gid=1336395716"", ""Science!M:N""), 2, FALSE)"),"Design an experiment to separate two miscible liquids using distillation and report the results and observations.")</f>
        <v>Design an experiment to separate two miscible liquids using distillation and report the results and observations.</v>
      </c>
      <c r="V24" s="113"/>
      <c r="W24" s="113"/>
      <c r="X24" s="113"/>
      <c r="Y24" s="113"/>
      <c r="Z24" s="113"/>
      <c r="AA24" s="113"/>
      <c r="AB24" s="113"/>
      <c r="AC24" s="113"/>
      <c r="AD24" s="113"/>
      <c r="AE24" s="113"/>
      <c r="AF24" s="113"/>
      <c r="AG24" s="113"/>
    </row>
    <row r="25" spans="1:33" ht="96.6">
      <c r="A25" s="113"/>
      <c r="B25" s="113" t="s">
        <v>29</v>
      </c>
      <c r="C25" s="113">
        <v>7</v>
      </c>
      <c r="D25" s="111" t="s">
        <v>1692</v>
      </c>
      <c r="E25" s="113" t="s">
        <v>1613</v>
      </c>
      <c r="F25" s="111" t="s">
        <v>1709</v>
      </c>
      <c r="G25" s="1" t="s">
        <v>1710</v>
      </c>
      <c r="H25" s="111" t="str">
        <f ca="1">IFERROR(__xludf.dummyfunction("IFERROR(
  VLOOKUP(G25, IMPORTRANGE(""https://docs.google.com/spreadsheets/d/14deopnvwcrKtEGCKuYXdUHJbeLDZlkiSSWWT0g7x2pM/edit#gid=849066331"", ""LU List Maths (Filter)!A:B""), 2, FALSE),
  IFERROR(
    VLOOKUP(G25, IMPORTRANGE(""https://docs.google.com/s"&amp;"preadsheets/d/14deopnvwcrKtEGCKuYXdUHJbeLDZlkiSSWWT0g7x2pM/edit#gid=849066331"", ""LU List Science (Filter)!A:B""), 2, FALSE),
    ""Not Found""
  )
)
"),"Fractional Distillation for Separation of More Than Two Miscible Liquids")</f>
        <v>Fractional Distillation for Separation of More Than Two Miscible Liquids</v>
      </c>
      <c r="I25" s="113"/>
      <c r="J25" s="1" t="str">
        <f t="shared" si="0"/>
        <v>LU006223.001</v>
      </c>
      <c r="K25" s="1" t="str">
        <f ca="1">IFERROR(__xludf.dummyfunction("VLOOKUP(J25, IMPORTRANGE(""https://docs.google.com/spreadsheets/d/1yDAaXNsi4Mr5FtRQL4tbmSdIzhx6_m4wkOD7IG-k_eo/edit#gid=1336395716"", ""Science!M:N""), 2, FALSE)"),"Describe the process of fractional distillation for separating more than two miscible liquids.")</f>
        <v>Describe the process of fractional distillation for separating more than two miscible liquids.</v>
      </c>
      <c r="L25" s="1" t="str">
        <f t="shared" si="1"/>
        <v>LU006223.002</v>
      </c>
      <c r="M25" s="1" t="str">
        <f ca="1">IFERROR(__xludf.dummyfunction("VLOOKUP(L25, IMPORTRANGE(""https://docs.google.com/spreadsheets/d/1yDAaXNsi4Mr5FtRQL4tbmSdIzhx6_m4wkOD7IG-k_eo/edit#gid=1336395716"", ""Science!M:N""), 2, FALSE)"),"Explain the principle behind fractional distillation and how it separates liquids based on differences in boiling points.")</f>
        <v>Explain the principle behind fractional distillation and how it separates liquids based on differences in boiling points.</v>
      </c>
      <c r="N25" s="1" t="str">
        <f t="shared" si="2"/>
        <v>LU006223.003</v>
      </c>
      <c r="O25" s="1" t="str">
        <f ca="1">IFERROR(__xludf.dummyfunction("VLOOKUP(N25, IMPORTRANGE(""https://docs.google.com/spreadsheets/d/1yDAaXNsi4Mr5FtRQL4tbmSdIzhx6_m4wkOD7IG-k_eo/edit#gid=1336395716"", ""Science!M:N""), 2, FALSE)"),"Demonstrate the setup and procedure of fractional distillation to separate a mixture of three miscible liquids.")</f>
        <v>Demonstrate the setup and procedure of fractional distillation to separate a mixture of three miscible liquids.</v>
      </c>
      <c r="P25" s="1" t="str">
        <f t="shared" si="3"/>
        <v>LU006223.004</v>
      </c>
      <c r="Q25" s="15" t="str">
        <f ca="1">IFERROR(__xludf.dummyfunction("VLOOKUP(P25, IMPORTRANGE(""https://docs.google.com/spreadsheets/d/1yDAaXNsi4Mr5FtRQL4tbmSdIzhx6_m4wkOD7IG-k_eo/edit#gid=1336395716"", ""Science!M:N""), 2, FALSE)"),"Compare fractional distillation with simple distillation, focusing on its effectiveness in separating mixtures with multiple components.")</f>
        <v>Compare fractional distillation with simple distillation, focusing on its effectiveness in separating mixtures with multiple components.</v>
      </c>
      <c r="R25" s="1" t="str">
        <f t="shared" si="4"/>
        <v>LU006223.005</v>
      </c>
      <c r="S25" s="15" t="str">
        <f ca="1">IFERROR(__xludf.dummyfunction("VLOOKUP(R25, IMPORTRANGE(""https://docs.google.com/spreadsheets/d/1yDAaXNsi4Mr5FtRQL4tbmSdIzhx6_m4wkOD7IG-k_eo/edit#gid=1336395716"", ""Science!M:N""), 2, FALSE)"),"Evaluate the effectiveness of fractional distillation in separating a mixture of ethanol, water, and acetone by considering their boiling points.")</f>
        <v>Evaluate the effectiveness of fractional distillation in separating a mixture of ethanol, water, and acetone by considering their boiling points.</v>
      </c>
      <c r="T25" s="1" t="str">
        <f t="shared" si="5"/>
        <v>LU006223.006</v>
      </c>
      <c r="U25" s="15" t="str">
        <f ca="1">IFERROR(__xludf.dummyfunction("VLOOKUP(T25, IMPORTRANGE(""https://docs.google.com/spreadsheets/d/1yDAaXNsi4Mr5FtRQL4tbmSdIzhx6_m4wkOD7IG-k_eo/edit#gid=1336395716"", ""Science!M:N""), 2, FALSE)"),"Design an experiment to perform fractional distillation on a mixture of three miscible liquids and analyze the results to confirm the separation of each component.")</f>
        <v>Design an experiment to perform fractional distillation on a mixture of three miscible liquids and analyze the results to confirm the separation of each component.</v>
      </c>
      <c r="V25" s="113"/>
      <c r="W25" s="113"/>
      <c r="X25" s="113"/>
      <c r="Y25" s="113"/>
      <c r="Z25" s="113"/>
      <c r="AA25" s="113"/>
      <c r="AB25" s="113"/>
      <c r="AC25" s="113"/>
      <c r="AD25" s="113"/>
      <c r="AE25" s="113"/>
      <c r="AF25" s="113"/>
      <c r="AG25" s="113"/>
    </row>
    <row r="26" spans="1:33" ht="69">
      <c r="A26" s="113"/>
      <c r="B26" s="113" t="s">
        <v>29</v>
      </c>
      <c r="C26" s="113">
        <v>7</v>
      </c>
      <c r="D26" s="111" t="s">
        <v>1692</v>
      </c>
      <c r="E26" s="113" t="s">
        <v>1613</v>
      </c>
      <c r="F26" s="111" t="s">
        <v>1709</v>
      </c>
      <c r="G26" s="14" t="s">
        <v>1711</v>
      </c>
      <c r="H26" s="111" t="str">
        <f ca="1">IFERROR(__xludf.dummyfunction("IFERROR(
  VLOOKUP(G26, IMPORTRANGE(""https://docs.google.com/spreadsheets/d/14deopnvwcrKtEGCKuYXdUHJbeLDZlkiSSWWT0g7x2pM/edit#gid=849066331"", ""LU List Maths (Filter)!A:B""), 2, FALSE),
  IFERROR(
    VLOOKUP(G26, IMPORTRANGE(""https://docs.google.com/s"&amp;"preadsheets/d/14deopnvwcrKtEGCKuYXdUHJbeLDZlkiSSWWT0g7x2pM/edit#gid=849066331"", ""LU List Science (Filter)!A:B""), 2, FALSE),
    ""Not Found""
  )
)
"),"Use of Separating Funnel")</f>
        <v>Use of Separating Funnel</v>
      </c>
      <c r="I26" s="113"/>
      <c r="J26" s="1" t="str">
        <f t="shared" si="0"/>
        <v>LU006718.001</v>
      </c>
      <c r="K26" s="1" t="str">
        <f ca="1">IFERROR(__xludf.dummyfunction("VLOOKUP(J26, IMPORTRANGE(""https://docs.google.com/spreadsheets/d/1yDAaXNsi4Mr5FtRQL4tbmSdIzhx6_m4wkOD7IG-k_eo/edit#gid=1336395716"", ""Science!M:N""), 2, FALSE)"),"(LU006718.001); Default - Remember")</f>
        <v>(LU006718.001); Default - Remember</v>
      </c>
      <c r="L26" s="1" t="str">
        <f t="shared" si="1"/>
        <v>LU006718.002</v>
      </c>
      <c r="M26" s="1" t="str">
        <f ca="1">IFERROR(__xludf.dummyfunction("VLOOKUP(L26, IMPORTRANGE(""https://docs.google.com/spreadsheets/d/1yDAaXNsi4Mr5FtRQL4tbmSdIzhx6_m4wkOD7IG-k_eo/edit#gid=1336395716"", ""Science!M:N""), 2, FALSE)"),"(LU006718.002); Default - Understand")</f>
        <v>(LU006718.002); Default - Understand</v>
      </c>
      <c r="N26" s="1" t="str">
        <f t="shared" si="2"/>
        <v>LU006718.003</v>
      </c>
      <c r="O26" s="1" t="str">
        <f ca="1">IFERROR(__xludf.dummyfunction("VLOOKUP(N26, IMPORTRANGE(""https://docs.google.com/spreadsheets/d/1yDAaXNsi4Mr5FtRQL4tbmSdIzhx6_m4wkOD7IG-k_eo/edit#gid=1336395716"", ""Science!M:N""), 2, FALSE)"),"(LU006718.003); Default - Apply")</f>
        <v>(LU006718.003); Default - Apply</v>
      </c>
      <c r="P26" s="1" t="str">
        <f t="shared" si="3"/>
        <v>LU006718.004</v>
      </c>
      <c r="Q26" s="15" t="str">
        <f ca="1">IFERROR(__xludf.dummyfunction("VLOOKUP(P26, IMPORTRANGE(""https://docs.google.com/spreadsheets/d/1yDAaXNsi4Mr5FtRQL4tbmSdIzhx6_m4wkOD7IG-k_eo/edit#gid=1336395716"", ""Science!M:N""), 2, FALSE)"),"(LU006718.004); Default - Analyse")</f>
        <v>(LU006718.004); Default - Analyse</v>
      </c>
      <c r="R26" s="1" t="str">
        <f t="shared" si="4"/>
        <v>LU006718.005</v>
      </c>
      <c r="S26" s="15" t="str">
        <f ca="1">IFERROR(__xludf.dummyfunction("VLOOKUP(R26, IMPORTRANGE(""https://docs.google.com/spreadsheets/d/1yDAaXNsi4Mr5FtRQL4tbmSdIzhx6_m4wkOD7IG-k_eo/edit#gid=1336395716"", ""Science!M:N""), 2, FALSE)"),"(LU006718.005); Default - Evaluate")</f>
        <v>(LU006718.005); Default - Evaluate</v>
      </c>
      <c r="T26" s="1" t="str">
        <f t="shared" si="5"/>
        <v>LU006718.006</v>
      </c>
      <c r="U26" s="15" t="str">
        <f ca="1">IFERROR(__xludf.dummyfunction("VLOOKUP(T26, IMPORTRANGE(""https://docs.google.com/spreadsheets/d/1yDAaXNsi4Mr5FtRQL4tbmSdIzhx6_m4wkOD7IG-k_eo/edit#gid=1336395716"", ""Science!M:N""), 2, FALSE)"),"(LU006718.006); Default - Create")</f>
        <v>(LU006718.006); Default - Create</v>
      </c>
      <c r="V26" s="113"/>
      <c r="W26" s="113"/>
      <c r="X26" s="113"/>
      <c r="Y26" s="113"/>
      <c r="Z26" s="113"/>
      <c r="AA26" s="113"/>
      <c r="AB26" s="113"/>
      <c r="AC26" s="113"/>
      <c r="AD26" s="113"/>
      <c r="AE26" s="113"/>
      <c r="AF26" s="113"/>
      <c r="AG26" s="113"/>
    </row>
    <row r="27" spans="1:33" ht="82.8">
      <c r="A27" s="113"/>
      <c r="B27" s="113" t="s">
        <v>29</v>
      </c>
      <c r="C27" s="113">
        <v>7</v>
      </c>
      <c r="D27" s="111" t="s">
        <v>1692</v>
      </c>
      <c r="E27" s="113" t="s">
        <v>1613</v>
      </c>
      <c r="F27" s="111" t="s">
        <v>1712</v>
      </c>
      <c r="G27" s="1" t="s">
        <v>1713</v>
      </c>
      <c r="H27" s="111" t="str">
        <f ca="1">IFERROR(__xludf.dummyfunction("IFERROR(
  VLOOKUP(G27, IMPORTRANGE(""https://docs.google.com/spreadsheets/d/14deopnvwcrKtEGCKuYXdUHJbeLDZlkiSSWWT0g7x2pM/edit#gid=849066331"", ""LU List Maths (Filter)!A:B""), 2, FALSE),
  IFERROR(
    VLOOKUP(G27, IMPORTRANGE(""https://docs.google.com/s"&amp;"preadsheets/d/14deopnvwcrKtEGCKuYXdUHJbeLDZlkiSSWWT0g7x2pM/edit#gid=849066331"", ""LU List Science (Filter)!A:B""), 2, FALSE),
    ""Not Found""
  )
)
"),"Paper Chromatography as a Method of Separation")</f>
        <v>Paper Chromatography as a Method of Separation</v>
      </c>
      <c r="I27" s="113"/>
      <c r="J27" s="1" t="str">
        <f t="shared" si="0"/>
        <v>LU006221.001</v>
      </c>
      <c r="K27" s="1" t="str">
        <f ca="1">IFERROR(__xludf.dummyfunction("VLOOKUP(J27, IMPORTRANGE(""https://docs.google.com/spreadsheets/d/1yDAaXNsi4Mr5FtRQL4tbmSdIzhx6_m4wkOD7IG-k_eo/edit#gid=1336395716"", ""Science!M:N""), 2, FALSE)"),"Define paper chromatography and its purpose as a method of separation.")</f>
        <v>Define paper chromatography and its purpose as a method of separation.</v>
      </c>
      <c r="L27" s="1" t="str">
        <f t="shared" si="1"/>
        <v>LU006221.002</v>
      </c>
      <c r="M27" s="1" t="str">
        <f ca="1">IFERROR(__xludf.dummyfunction("VLOOKUP(L27, IMPORTRANGE(""https://docs.google.com/spreadsheets/d/1yDAaXNsi4Mr5FtRQL4tbmSdIzhx6_m4wkOD7IG-k_eo/edit#gid=1336395716"", ""Science!M:N""), 2, FALSE)"),"Explain how paper chromatography separates components of a mixture based on their solubility and movement through the paper.")</f>
        <v>Explain how paper chromatography separates components of a mixture based on their solubility and movement through the paper.</v>
      </c>
      <c r="N27" s="1" t="str">
        <f t="shared" si="2"/>
        <v>LU006221.003</v>
      </c>
      <c r="O27" s="1" t="str">
        <f ca="1">IFERROR(__xludf.dummyfunction("VLOOKUP(N27, IMPORTRANGE(""https://docs.google.com/spreadsheets/d/1yDAaXNsi4Mr5FtRQL4tbmSdIzhx6_m4wkOD7IG-k_eo/edit#gid=1336395716"", ""Science!M:N""), 2, FALSE)"),"Demonstrate the process of paper chromatography by separating the dyes in a black ink sample.")</f>
        <v>Demonstrate the process of paper chromatography by separating the dyes in a black ink sample.</v>
      </c>
      <c r="P27" s="1" t="str">
        <f t="shared" si="3"/>
        <v>LU006221.004</v>
      </c>
      <c r="Q27" s="15" t="str">
        <f ca="1">IFERROR(__xludf.dummyfunction("VLOOKUP(P27, IMPORTRANGE(""https://docs.google.com/spreadsheets/d/1yDAaXNsi4Mr5FtRQL4tbmSdIzhx6_m4wkOD7IG-k_eo/edit#gid=1336395716"", ""Science!M:N""), 2, FALSE)"),"Compare the separation of different mixtures using paper chromatography and explain the factors that affect the separation.")</f>
        <v>Compare the separation of different mixtures using paper chromatography and explain the factors that affect the separation.</v>
      </c>
      <c r="R27" s="1" t="str">
        <f t="shared" si="4"/>
        <v>LU006221.005</v>
      </c>
      <c r="S27" s="15" t="str">
        <f ca="1">IFERROR(__xludf.dummyfunction("VLOOKUP(R27, IMPORTRANGE(""https://docs.google.com/spreadsheets/d/1yDAaXNsi4Mr5FtRQL4tbmSdIzhx6_m4wkOD7IG-k_eo/edit#gid=1336395716"", ""Science!M:N""), 2, FALSE)"),"Evaluate the effectiveness of paper chromatography in separating and identifying the components of a mixture compared to other separation methods.")</f>
        <v>Evaluate the effectiveness of paper chromatography in separating and identifying the components of a mixture compared to other separation methods.</v>
      </c>
      <c r="T27" s="1" t="str">
        <f t="shared" si="5"/>
        <v>LU006221.006</v>
      </c>
      <c r="U27" s="15" t="str">
        <f ca="1">IFERROR(__xludf.dummyfunction("VLOOKUP(T27, IMPORTRANGE(""https://docs.google.com/spreadsheets/d/1yDAaXNsi4Mr5FtRQL4tbmSdIzhx6_m4wkOD7IG-k_eo/edit#gid=1336395716"", ""Science!M:N""), 2, FALSE)"),"Design an experiment using paper chromatography to separate and identify the different pigments in a leaf extract.")</f>
        <v>Design an experiment using paper chromatography to separate and identify the different pigments in a leaf extract.</v>
      </c>
      <c r="V27" s="113"/>
      <c r="W27" s="113"/>
      <c r="X27" s="113"/>
      <c r="Y27" s="113"/>
      <c r="Z27" s="113"/>
      <c r="AA27" s="113"/>
      <c r="AB27" s="113"/>
      <c r="AC27" s="113"/>
      <c r="AD27" s="113"/>
      <c r="AE27" s="113"/>
      <c r="AF27" s="113"/>
      <c r="AG27" s="113"/>
    </row>
    <row r="28" spans="1:33" ht="27.6">
      <c r="A28" s="113"/>
      <c r="B28" s="113" t="s">
        <v>29</v>
      </c>
      <c r="C28" s="113">
        <v>7</v>
      </c>
      <c r="D28" s="111" t="s">
        <v>1714</v>
      </c>
      <c r="E28" s="113" t="s">
        <v>1613</v>
      </c>
      <c r="F28" s="111" t="s">
        <v>1715</v>
      </c>
      <c r="G28" s="14" t="s">
        <v>1716</v>
      </c>
      <c r="H28" s="111" t="str">
        <f ca="1">IFERROR(__xludf.dummyfunction("IFERROR(
  VLOOKUP(G28, IMPORTRANGE(""https://docs.google.com/spreadsheets/d/14deopnvwcrKtEGCKuYXdUHJbeLDZlkiSSWWT0g7x2pM/edit#gid=849066331"", ""LU List Maths (Filter)!A:B""), 2, FALSE),
  IFERROR(
    VLOOKUP(G28, IMPORTRANGE(""https://docs.google.com/s"&amp;"preadsheets/d/14deopnvwcrKtEGCKuYXdUHJbeLDZlkiSSWWT0g7x2pM/edit#gid=849066331"", ""LU List Science (Filter)!A:B""), 2, FALSE),
    ""Not Found""
  )
)
"),"Definition and existence of atoms")</f>
        <v>Definition and existence of atoms</v>
      </c>
      <c r="I28" s="113"/>
      <c r="J28" s="1" t="str">
        <f t="shared" si="0"/>
        <v>LU006719.001</v>
      </c>
      <c r="K28" s="1" t="str">
        <f ca="1">IFERROR(__xludf.dummyfunction("VLOOKUP(J28, IMPORTRANGE(""https://docs.google.com/spreadsheets/d/1yDAaXNsi4Mr5FtRQL4tbmSdIzhx6_m4wkOD7IG-k_eo/edit#gid=1336395716"", ""Science!M:N""), 2, FALSE)"),"(LU006719.001); Default - Remember")</f>
        <v>(LU006719.001); Default - Remember</v>
      </c>
      <c r="L28" s="1" t="str">
        <f t="shared" si="1"/>
        <v>LU006719.002</v>
      </c>
      <c r="M28" s="1" t="str">
        <f ca="1">IFERROR(__xludf.dummyfunction("VLOOKUP(L28, IMPORTRANGE(""https://docs.google.com/spreadsheets/d/1yDAaXNsi4Mr5FtRQL4tbmSdIzhx6_m4wkOD7IG-k_eo/edit#gid=1336395716"", ""Science!M:N""), 2, FALSE)"),"(LU006719.002); Default - Understand")</f>
        <v>(LU006719.002); Default - Understand</v>
      </c>
      <c r="N28" s="1" t="str">
        <f t="shared" si="2"/>
        <v>LU006719.003</v>
      </c>
      <c r="O28" s="1" t="str">
        <f ca="1">IFERROR(__xludf.dummyfunction("VLOOKUP(N28, IMPORTRANGE(""https://docs.google.com/spreadsheets/d/1yDAaXNsi4Mr5FtRQL4tbmSdIzhx6_m4wkOD7IG-k_eo/edit#gid=1336395716"", ""Science!M:N""), 2, FALSE)"),"(LU006719.003); Default - Apply")</f>
        <v>(LU006719.003); Default - Apply</v>
      </c>
      <c r="P28" s="1" t="str">
        <f t="shared" si="3"/>
        <v>LU006719.004</v>
      </c>
      <c r="Q28" s="15" t="str">
        <f ca="1">IFERROR(__xludf.dummyfunction("VLOOKUP(P28, IMPORTRANGE(""https://docs.google.com/spreadsheets/d/1yDAaXNsi4Mr5FtRQL4tbmSdIzhx6_m4wkOD7IG-k_eo/edit#gid=1336395716"", ""Science!M:N""), 2, FALSE)"),"(LU006719.004); Default - Analyse")</f>
        <v>(LU006719.004); Default - Analyse</v>
      </c>
      <c r="R28" s="1" t="str">
        <f t="shared" si="4"/>
        <v>LU006719.005</v>
      </c>
      <c r="S28" s="15" t="str">
        <f ca="1">IFERROR(__xludf.dummyfunction("VLOOKUP(R28, IMPORTRANGE(""https://docs.google.com/spreadsheets/d/1yDAaXNsi4Mr5FtRQL4tbmSdIzhx6_m4wkOD7IG-k_eo/edit#gid=1336395716"", ""Science!M:N""), 2, FALSE)"),"(LU006719.005); Default - Evaluate")</f>
        <v>(LU006719.005); Default - Evaluate</v>
      </c>
      <c r="T28" s="1" t="str">
        <f t="shared" si="5"/>
        <v>LU006719.006</v>
      </c>
      <c r="U28" s="15" t="str">
        <f ca="1">IFERROR(__xludf.dummyfunction("VLOOKUP(T28, IMPORTRANGE(""https://docs.google.com/spreadsheets/d/1yDAaXNsi4Mr5FtRQL4tbmSdIzhx6_m4wkOD7IG-k_eo/edit#gid=1336395716"", ""Science!M:N""), 2, FALSE)"),"(LU006719.006); Default - Create")</f>
        <v>(LU006719.006); Default - Create</v>
      </c>
      <c r="V28" s="113"/>
      <c r="W28" s="113"/>
      <c r="X28" s="113"/>
      <c r="Y28" s="113"/>
      <c r="Z28" s="113"/>
      <c r="AA28" s="113"/>
      <c r="AB28" s="113"/>
      <c r="AC28" s="113"/>
      <c r="AD28" s="113"/>
      <c r="AE28" s="113"/>
      <c r="AF28" s="113"/>
      <c r="AG28" s="113"/>
    </row>
    <row r="29" spans="1:33" ht="27.6">
      <c r="A29" s="113"/>
      <c r="B29" s="113" t="s">
        <v>29</v>
      </c>
      <c r="C29" s="113">
        <v>7</v>
      </c>
      <c r="D29" s="111" t="s">
        <v>1714</v>
      </c>
      <c r="E29" s="113" t="s">
        <v>1613</v>
      </c>
      <c r="F29" s="111" t="s">
        <v>1715</v>
      </c>
      <c r="G29" s="14" t="s">
        <v>1717</v>
      </c>
      <c r="H29" s="111" t="str">
        <f ca="1">IFERROR(__xludf.dummyfunction("IFERROR(
  VLOOKUP(G29, IMPORTRANGE(""https://docs.google.com/spreadsheets/d/14deopnvwcrKtEGCKuYXdUHJbeLDZlkiSSWWT0g7x2pM/edit#gid=849066331"", ""LU List Maths (Filter)!A:B""), 2, FALSE),
  IFERROR(
    VLOOKUP(G29, IMPORTRANGE(""https://docs.google.com/s"&amp;"preadsheets/d/14deopnvwcrKtEGCKuYXdUHJbeLDZlkiSSWWT0g7x2pM/edit#gid=849066331"", ""LU List Science (Filter)!A:B""), 2, FALSE),
    ""Not Found""
  )
)
"),"Definition and Characteristics of molecules")</f>
        <v>Definition and Characteristics of molecules</v>
      </c>
      <c r="I29" s="113"/>
      <c r="J29" s="1" t="str">
        <f t="shared" si="0"/>
        <v>LU006720.001</v>
      </c>
      <c r="K29" s="1" t="str">
        <f ca="1">IFERROR(__xludf.dummyfunction("VLOOKUP(J29, IMPORTRANGE(""https://docs.google.com/spreadsheets/d/1yDAaXNsi4Mr5FtRQL4tbmSdIzhx6_m4wkOD7IG-k_eo/edit#gid=1336395716"", ""Science!M:N""), 2, FALSE)"),"(LU006720.001); Default - Remember")</f>
        <v>(LU006720.001); Default - Remember</v>
      </c>
      <c r="L29" s="1" t="str">
        <f t="shared" si="1"/>
        <v>LU006720.002</v>
      </c>
      <c r="M29" s="1" t="str">
        <f ca="1">IFERROR(__xludf.dummyfunction("VLOOKUP(L29, IMPORTRANGE(""https://docs.google.com/spreadsheets/d/1yDAaXNsi4Mr5FtRQL4tbmSdIzhx6_m4wkOD7IG-k_eo/edit#gid=1336395716"", ""Science!M:N""), 2, FALSE)"),"(LU006720.002); Default - Understand")</f>
        <v>(LU006720.002); Default - Understand</v>
      </c>
      <c r="N29" s="1" t="str">
        <f t="shared" si="2"/>
        <v>LU006720.003</v>
      </c>
      <c r="O29" s="1" t="str">
        <f ca="1">IFERROR(__xludf.dummyfunction("VLOOKUP(N29, IMPORTRANGE(""https://docs.google.com/spreadsheets/d/1yDAaXNsi4Mr5FtRQL4tbmSdIzhx6_m4wkOD7IG-k_eo/edit#gid=1336395716"", ""Science!M:N""), 2, FALSE)"),"(LU006720.003); Default - Apply")</f>
        <v>(LU006720.003); Default - Apply</v>
      </c>
      <c r="P29" s="1" t="str">
        <f t="shared" si="3"/>
        <v>LU006720.004</v>
      </c>
      <c r="Q29" s="15" t="str">
        <f ca="1">IFERROR(__xludf.dummyfunction("VLOOKUP(P29, IMPORTRANGE(""https://docs.google.com/spreadsheets/d/1yDAaXNsi4Mr5FtRQL4tbmSdIzhx6_m4wkOD7IG-k_eo/edit#gid=1336395716"", ""Science!M:N""), 2, FALSE)"),"(LU006720.004); Default - Analyse")</f>
        <v>(LU006720.004); Default - Analyse</v>
      </c>
      <c r="R29" s="1" t="str">
        <f t="shared" si="4"/>
        <v>LU006720.005</v>
      </c>
      <c r="S29" s="15" t="str">
        <f ca="1">IFERROR(__xludf.dummyfunction("VLOOKUP(R29, IMPORTRANGE(""https://docs.google.com/spreadsheets/d/1yDAaXNsi4Mr5FtRQL4tbmSdIzhx6_m4wkOD7IG-k_eo/edit#gid=1336395716"", ""Science!M:N""), 2, FALSE)"),"(LU006720.005); Default - Evaluate")</f>
        <v>(LU006720.005); Default - Evaluate</v>
      </c>
      <c r="T29" s="1" t="str">
        <f t="shared" si="5"/>
        <v>LU006720.006</v>
      </c>
      <c r="U29" s="15" t="str">
        <f ca="1">IFERROR(__xludf.dummyfunction("VLOOKUP(T29, IMPORTRANGE(""https://docs.google.com/spreadsheets/d/1yDAaXNsi4Mr5FtRQL4tbmSdIzhx6_m4wkOD7IG-k_eo/edit#gid=1336395716"", ""Science!M:N""), 2, FALSE)"),"(LU006720.006); Default - Create")</f>
        <v>(LU006720.006); Default - Create</v>
      </c>
      <c r="V29" s="113"/>
      <c r="W29" s="113"/>
      <c r="X29" s="113"/>
      <c r="Y29" s="113"/>
      <c r="Z29" s="113"/>
      <c r="AA29" s="113"/>
      <c r="AB29" s="113"/>
      <c r="AC29" s="113"/>
      <c r="AD29" s="113"/>
      <c r="AE29" s="113"/>
      <c r="AF29" s="113"/>
      <c r="AG29" s="113"/>
    </row>
    <row r="30" spans="1:33" ht="27.6">
      <c r="A30" s="113"/>
      <c r="B30" s="113" t="s">
        <v>29</v>
      </c>
      <c r="C30" s="113">
        <v>7</v>
      </c>
      <c r="D30" s="111" t="s">
        <v>1714</v>
      </c>
      <c r="E30" s="113" t="s">
        <v>1613</v>
      </c>
      <c r="F30" s="111" t="s">
        <v>1715</v>
      </c>
      <c r="G30" s="14" t="s">
        <v>1718</v>
      </c>
      <c r="H30" s="111" t="str">
        <f ca="1">IFERROR(__xludf.dummyfunction("IFERROR(
  VLOOKUP(G30, IMPORTRANGE(""https://docs.google.com/spreadsheets/d/14deopnvwcrKtEGCKuYXdUHJbeLDZlkiSSWWT0g7x2pM/edit#gid=849066331"", ""LU List Maths (Filter)!A:B""), 2, FALSE),
  IFERROR(
    VLOOKUP(G30, IMPORTRANGE(""https://docs.google.com/s"&amp;"preadsheets/d/14deopnvwcrKtEGCKuYXdUHJbeLDZlkiSSWWT0g7x2pM/edit#gid=849066331"", ""LU List Science (Filter)!A:B""), 2, FALSE),
    ""Not Found""
  )
)
"),"Atomicity of Elements and Compounds")</f>
        <v>Atomicity of Elements and Compounds</v>
      </c>
      <c r="I30" s="113"/>
      <c r="J30" s="1" t="str">
        <f t="shared" si="0"/>
        <v>LU006721.001</v>
      </c>
      <c r="K30" s="1" t="str">
        <f ca="1">IFERROR(__xludf.dummyfunction("VLOOKUP(J30, IMPORTRANGE(""https://docs.google.com/spreadsheets/d/1yDAaXNsi4Mr5FtRQL4tbmSdIzhx6_m4wkOD7IG-k_eo/edit#gid=1336395716"", ""Science!M:N""), 2, FALSE)"),"(LU006721.001); Default - Remember")</f>
        <v>(LU006721.001); Default - Remember</v>
      </c>
      <c r="L30" s="1" t="str">
        <f t="shared" si="1"/>
        <v>LU006721.002</v>
      </c>
      <c r="M30" s="1" t="str">
        <f ca="1">IFERROR(__xludf.dummyfunction("VLOOKUP(L30, IMPORTRANGE(""https://docs.google.com/spreadsheets/d/1yDAaXNsi4Mr5FtRQL4tbmSdIzhx6_m4wkOD7IG-k_eo/edit#gid=1336395716"", ""Science!M:N""), 2, FALSE)"),"(LU006721.002); Default - Understand")</f>
        <v>(LU006721.002); Default - Understand</v>
      </c>
      <c r="N30" s="1" t="str">
        <f t="shared" si="2"/>
        <v>LU006721.003</v>
      </c>
      <c r="O30" s="1" t="str">
        <f ca="1">IFERROR(__xludf.dummyfunction("VLOOKUP(N30, IMPORTRANGE(""https://docs.google.com/spreadsheets/d/1yDAaXNsi4Mr5FtRQL4tbmSdIzhx6_m4wkOD7IG-k_eo/edit#gid=1336395716"", ""Science!M:N""), 2, FALSE)"),"(LU006721.003); Default - Apply")</f>
        <v>(LU006721.003); Default - Apply</v>
      </c>
      <c r="P30" s="1" t="str">
        <f t="shared" si="3"/>
        <v>LU006721.004</v>
      </c>
      <c r="Q30" s="15" t="str">
        <f ca="1">IFERROR(__xludf.dummyfunction("VLOOKUP(P30, IMPORTRANGE(""https://docs.google.com/spreadsheets/d/1yDAaXNsi4Mr5FtRQL4tbmSdIzhx6_m4wkOD7IG-k_eo/edit#gid=1336395716"", ""Science!M:N""), 2, FALSE)"),"(LU006721.004); Default - Analyse")</f>
        <v>(LU006721.004); Default - Analyse</v>
      </c>
      <c r="R30" s="1" t="str">
        <f t="shared" si="4"/>
        <v>LU006721.005</v>
      </c>
      <c r="S30" s="15" t="str">
        <f ca="1">IFERROR(__xludf.dummyfunction("VLOOKUP(R30, IMPORTRANGE(""https://docs.google.com/spreadsheets/d/1yDAaXNsi4Mr5FtRQL4tbmSdIzhx6_m4wkOD7IG-k_eo/edit#gid=1336395716"", ""Science!M:N""), 2, FALSE)"),"(LU006721.005); Default - Evaluate")</f>
        <v>(LU006721.005); Default - Evaluate</v>
      </c>
      <c r="T30" s="1" t="str">
        <f t="shared" si="5"/>
        <v>LU006721.006</v>
      </c>
      <c r="U30" s="15" t="str">
        <f ca="1">IFERROR(__xludf.dummyfunction("VLOOKUP(T30, IMPORTRANGE(""https://docs.google.com/spreadsheets/d/1yDAaXNsi4Mr5FtRQL4tbmSdIzhx6_m4wkOD7IG-k_eo/edit#gid=1336395716"", ""Science!M:N""), 2, FALSE)"),"(LU006721.006); Default - Create")</f>
        <v>(LU006721.006); Default - Create</v>
      </c>
      <c r="V30" s="113"/>
      <c r="W30" s="113"/>
      <c r="X30" s="113"/>
      <c r="Y30" s="113"/>
      <c r="Z30" s="113"/>
      <c r="AA30" s="113"/>
      <c r="AB30" s="113"/>
      <c r="AC30" s="113"/>
      <c r="AD30" s="113"/>
      <c r="AE30" s="113"/>
      <c r="AF30" s="113"/>
      <c r="AG30" s="113"/>
    </row>
    <row r="31" spans="1:33" ht="27.6">
      <c r="A31" s="113"/>
      <c r="B31" s="113" t="s">
        <v>29</v>
      </c>
      <c r="C31" s="113">
        <v>7</v>
      </c>
      <c r="D31" s="111" t="s">
        <v>1714</v>
      </c>
      <c r="E31" s="113" t="s">
        <v>1613</v>
      </c>
      <c r="F31" s="111" t="s">
        <v>1719</v>
      </c>
      <c r="G31" s="14" t="s">
        <v>1720</v>
      </c>
      <c r="H31" s="111" t="str">
        <f ca="1">IFERROR(__xludf.dummyfunction("IFERROR(
  VLOOKUP(G31, IMPORTRANGE(""https://docs.google.com/spreadsheets/d/14deopnvwcrKtEGCKuYXdUHJbeLDZlkiSSWWT0g7x2pM/edit#gid=849066331"", ""LU List Maths (Filter)!A:B""), 2, FALSE),
  IFERROR(
    VLOOKUP(G31, IMPORTRANGE(""https://docs.google.com/s"&amp;"preadsheets/d/14deopnvwcrKtEGCKuYXdUHJbeLDZlkiSSWWT0g7x2pM/edit#gid=849066331"", ""LU List Science (Filter)!A:B""), 2, FALSE),
    ""Not Found""
  )
)
"),"Definition and Types of Radicals")</f>
        <v>Definition and Types of Radicals</v>
      </c>
      <c r="I31" s="113"/>
      <c r="J31" s="1" t="str">
        <f t="shared" si="0"/>
        <v>LU006722.001</v>
      </c>
      <c r="K31" s="1" t="str">
        <f ca="1">IFERROR(__xludf.dummyfunction("VLOOKUP(J31, IMPORTRANGE(""https://docs.google.com/spreadsheets/d/1yDAaXNsi4Mr5FtRQL4tbmSdIzhx6_m4wkOD7IG-k_eo/edit#gid=1336395716"", ""Science!M:N""), 2, FALSE)"),"(LU006722.001); Default - Remember")</f>
        <v>(LU006722.001); Default - Remember</v>
      </c>
      <c r="L31" s="1" t="str">
        <f t="shared" si="1"/>
        <v>LU006722.002</v>
      </c>
      <c r="M31" s="1" t="str">
        <f ca="1">IFERROR(__xludf.dummyfunction("VLOOKUP(L31, IMPORTRANGE(""https://docs.google.com/spreadsheets/d/1yDAaXNsi4Mr5FtRQL4tbmSdIzhx6_m4wkOD7IG-k_eo/edit#gid=1336395716"", ""Science!M:N""), 2, FALSE)"),"(LU006722.002); Default - Understand")</f>
        <v>(LU006722.002); Default - Understand</v>
      </c>
      <c r="N31" s="1" t="str">
        <f t="shared" si="2"/>
        <v>LU006722.003</v>
      </c>
      <c r="O31" s="1" t="str">
        <f ca="1">IFERROR(__xludf.dummyfunction("VLOOKUP(N31, IMPORTRANGE(""https://docs.google.com/spreadsheets/d/1yDAaXNsi4Mr5FtRQL4tbmSdIzhx6_m4wkOD7IG-k_eo/edit#gid=1336395716"", ""Science!M:N""), 2, FALSE)"),"(LU006722.003); Default - Apply")</f>
        <v>(LU006722.003); Default - Apply</v>
      </c>
      <c r="P31" s="1" t="str">
        <f t="shared" si="3"/>
        <v>LU006722.004</v>
      </c>
      <c r="Q31" s="15" t="str">
        <f ca="1">IFERROR(__xludf.dummyfunction("VLOOKUP(P31, IMPORTRANGE(""https://docs.google.com/spreadsheets/d/1yDAaXNsi4Mr5FtRQL4tbmSdIzhx6_m4wkOD7IG-k_eo/edit#gid=1336395716"", ""Science!M:N""), 2, FALSE)"),"(LU006722.004); Default - Analyse")</f>
        <v>(LU006722.004); Default - Analyse</v>
      </c>
      <c r="R31" s="1" t="str">
        <f t="shared" si="4"/>
        <v>LU006722.005</v>
      </c>
      <c r="S31" s="15" t="str">
        <f ca="1">IFERROR(__xludf.dummyfunction("VLOOKUP(R31, IMPORTRANGE(""https://docs.google.com/spreadsheets/d/1yDAaXNsi4Mr5FtRQL4tbmSdIzhx6_m4wkOD7IG-k_eo/edit#gid=1336395716"", ""Science!M:N""), 2, FALSE)"),"(LU006722.005); Default - Evaluate")</f>
        <v>(LU006722.005); Default - Evaluate</v>
      </c>
      <c r="T31" s="1" t="str">
        <f t="shared" si="5"/>
        <v>LU006722.006</v>
      </c>
      <c r="U31" s="15" t="str">
        <f ca="1">IFERROR(__xludf.dummyfunction("VLOOKUP(T31, IMPORTRANGE(""https://docs.google.com/spreadsheets/d/1yDAaXNsi4Mr5FtRQL4tbmSdIzhx6_m4wkOD7IG-k_eo/edit#gid=1336395716"", ""Science!M:N""), 2, FALSE)"),"(LU006722.006); Default - Create")</f>
        <v>(LU006722.006); Default - Create</v>
      </c>
      <c r="V31" s="113"/>
      <c r="W31" s="113"/>
      <c r="X31" s="113"/>
      <c r="Y31" s="113"/>
      <c r="Z31" s="113"/>
      <c r="AA31" s="113"/>
      <c r="AB31" s="113"/>
      <c r="AC31" s="113"/>
      <c r="AD31" s="113"/>
      <c r="AE31" s="113"/>
      <c r="AF31" s="113"/>
      <c r="AG31" s="113"/>
    </row>
    <row r="32" spans="1:33" ht="27.6">
      <c r="A32" s="113"/>
      <c r="B32" s="113" t="s">
        <v>29</v>
      </c>
      <c r="C32" s="113">
        <v>7</v>
      </c>
      <c r="D32" s="111" t="s">
        <v>1714</v>
      </c>
      <c r="E32" s="113" t="s">
        <v>1613</v>
      </c>
      <c r="F32" s="111" t="s">
        <v>1719</v>
      </c>
      <c r="G32" s="14" t="s">
        <v>1721</v>
      </c>
      <c r="H32" s="111" t="str">
        <f ca="1">IFERROR(__xludf.dummyfunction("IFERROR(
  VLOOKUP(G32, IMPORTRANGE(""https://docs.google.com/spreadsheets/d/14deopnvwcrKtEGCKuYXdUHJbeLDZlkiSSWWT0g7x2pM/edit#gid=849066331"", ""LU List Maths (Filter)!A:B""), 2, FALSE),
  IFERROR(
    VLOOKUP(G32, IMPORTRANGE(""https://docs.google.com/s"&amp;"preadsheets/d/14deopnvwcrKtEGCKuYXdUHJbeLDZlkiSSWWT0g7x2pM/edit#gid=849066331"", ""LU List Science (Filter)!A:B""), 2, FALSE),
    ""Not Found""
  )
)
"),"Naming an ion or Radical")</f>
        <v>Naming an ion or Radical</v>
      </c>
      <c r="I32" s="113"/>
      <c r="J32" s="1" t="str">
        <f t="shared" si="0"/>
        <v>LU006723.001</v>
      </c>
      <c r="K32" s="1" t="str">
        <f ca="1">IFERROR(__xludf.dummyfunction("VLOOKUP(J32, IMPORTRANGE(""https://docs.google.com/spreadsheets/d/1yDAaXNsi4Mr5FtRQL4tbmSdIzhx6_m4wkOD7IG-k_eo/edit#gid=1336395716"", ""Science!M:N""), 2, FALSE)"),"(LU006723.001); Default - Remember")</f>
        <v>(LU006723.001); Default - Remember</v>
      </c>
      <c r="L32" s="1" t="str">
        <f t="shared" si="1"/>
        <v>LU006723.002</v>
      </c>
      <c r="M32" s="1" t="str">
        <f ca="1">IFERROR(__xludf.dummyfunction("VLOOKUP(L32, IMPORTRANGE(""https://docs.google.com/spreadsheets/d/1yDAaXNsi4Mr5FtRQL4tbmSdIzhx6_m4wkOD7IG-k_eo/edit#gid=1336395716"", ""Science!M:N""), 2, FALSE)"),"(LU006723.002); Default - Understand")</f>
        <v>(LU006723.002); Default - Understand</v>
      </c>
      <c r="N32" s="1" t="str">
        <f t="shared" si="2"/>
        <v>LU006723.003</v>
      </c>
      <c r="O32" s="1" t="str">
        <f ca="1">IFERROR(__xludf.dummyfunction("VLOOKUP(N32, IMPORTRANGE(""https://docs.google.com/spreadsheets/d/1yDAaXNsi4Mr5FtRQL4tbmSdIzhx6_m4wkOD7IG-k_eo/edit#gid=1336395716"", ""Science!M:N""), 2, FALSE)"),"(LU006723.003); Default - Apply")</f>
        <v>(LU006723.003); Default - Apply</v>
      </c>
      <c r="P32" s="1" t="str">
        <f t="shared" si="3"/>
        <v>LU006723.004</v>
      </c>
      <c r="Q32" s="15" t="str">
        <f ca="1">IFERROR(__xludf.dummyfunction("VLOOKUP(P32, IMPORTRANGE(""https://docs.google.com/spreadsheets/d/1yDAaXNsi4Mr5FtRQL4tbmSdIzhx6_m4wkOD7IG-k_eo/edit#gid=1336395716"", ""Science!M:N""), 2, FALSE)"),"(LU006723.004); Default - Analyse")</f>
        <v>(LU006723.004); Default - Analyse</v>
      </c>
      <c r="R32" s="1" t="str">
        <f t="shared" si="4"/>
        <v>LU006723.005</v>
      </c>
      <c r="S32" s="15" t="str">
        <f ca="1">IFERROR(__xludf.dummyfunction("VLOOKUP(R32, IMPORTRANGE(""https://docs.google.com/spreadsheets/d/1yDAaXNsi4Mr5FtRQL4tbmSdIzhx6_m4wkOD7IG-k_eo/edit#gid=1336395716"", ""Science!M:N""), 2, FALSE)"),"(LU006723.005); Default - Evaluate")</f>
        <v>(LU006723.005); Default - Evaluate</v>
      </c>
      <c r="T32" s="1" t="str">
        <f t="shared" si="5"/>
        <v>LU006723.006</v>
      </c>
      <c r="U32" s="15" t="str">
        <f ca="1">IFERROR(__xludf.dummyfunction("VLOOKUP(T32, IMPORTRANGE(""https://docs.google.com/spreadsheets/d/1yDAaXNsi4Mr5FtRQL4tbmSdIzhx6_m4wkOD7IG-k_eo/edit#gid=1336395716"", ""Science!M:N""), 2, FALSE)"),"(LU006723.006); Default - Create")</f>
        <v>(LU006723.006); Default - Create</v>
      </c>
      <c r="V32" s="113"/>
      <c r="W32" s="113"/>
      <c r="X32" s="113"/>
      <c r="Y32" s="113"/>
      <c r="Z32" s="113"/>
      <c r="AA32" s="113"/>
      <c r="AB32" s="113"/>
      <c r="AC32" s="113"/>
      <c r="AD32" s="113"/>
      <c r="AE32" s="113"/>
      <c r="AF32" s="113"/>
      <c r="AG32" s="113"/>
    </row>
    <row r="33" spans="1:33" ht="27.6">
      <c r="A33" s="113"/>
      <c r="B33" s="113" t="s">
        <v>29</v>
      </c>
      <c r="C33" s="113">
        <v>7</v>
      </c>
      <c r="D33" s="111" t="s">
        <v>1714</v>
      </c>
      <c r="E33" s="113" t="s">
        <v>1613</v>
      </c>
      <c r="F33" s="111" t="s">
        <v>1722</v>
      </c>
      <c r="G33" s="14" t="s">
        <v>1723</v>
      </c>
      <c r="H33" s="111" t="str">
        <f ca="1">IFERROR(__xludf.dummyfunction("IFERROR(
  VLOOKUP(G33, IMPORTRANGE(""https://docs.google.com/spreadsheets/d/14deopnvwcrKtEGCKuYXdUHJbeLDZlkiSSWWT0g7x2pM/edit#gid=849066331"", ""LU List Maths (Filter)!A:B""), 2, FALSE),
  IFERROR(
    VLOOKUP(G33, IMPORTRANGE(""https://docs.google.com/s"&amp;"preadsheets/d/14deopnvwcrKtEGCKuYXdUHJbeLDZlkiSSWWT0g7x2pM/edit#gid=849066331"", ""LU List Science (Filter)!A:B""), 2, FALSE),
    ""Not Found""
  )
)
"),"Arrangement of first 20 elements with name and symbol")</f>
        <v>Arrangement of first 20 elements with name and symbol</v>
      </c>
      <c r="I33" s="113"/>
      <c r="J33" s="1" t="str">
        <f t="shared" si="0"/>
        <v>LU006724.001</v>
      </c>
      <c r="K33" s="1" t="str">
        <f ca="1">IFERROR(__xludf.dummyfunction("VLOOKUP(J33, IMPORTRANGE(""https://docs.google.com/spreadsheets/d/1yDAaXNsi4Mr5FtRQL4tbmSdIzhx6_m4wkOD7IG-k_eo/edit#gid=1336395716"", ""Science!M:N""), 2, FALSE)"),"(LU006724.001); Default - Remember")</f>
        <v>(LU006724.001); Default - Remember</v>
      </c>
      <c r="L33" s="1" t="str">
        <f t="shared" si="1"/>
        <v>LU006724.002</v>
      </c>
      <c r="M33" s="1" t="str">
        <f ca="1">IFERROR(__xludf.dummyfunction("VLOOKUP(L33, IMPORTRANGE(""https://docs.google.com/spreadsheets/d/1yDAaXNsi4Mr5FtRQL4tbmSdIzhx6_m4wkOD7IG-k_eo/edit#gid=1336395716"", ""Science!M:N""), 2, FALSE)"),"(LU006724.002); Default - Understand")</f>
        <v>(LU006724.002); Default - Understand</v>
      </c>
      <c r="N33" s="1" t="str">
        <f t="shared" si="2"/>
        <v>LU006724.003</v>
      </c>
      <c r="O33" s="1" t="str">
        <f ca="1">IFERROR(__xludf.dummyfunction("VLOOKUP(N33, IMPORTRANGE(""https://docs.google.com/spreadsheets/d/1yDAaXNsi4Mr5FtRQL4tbmSdIzhx6_m4wkOD7IG-k_eo/edit#gid=1336395716"", ""Science!M:N""), 2, FALSE)"),"(LU006724.003); Default - Apply")</f>
        <v>(LU006724.003); Default - Apply</v>
      </c>
      <c r="P33" s="1" t="str">
        <f t="shared" si="3"/>
        <v>LU006724.004</v>
      </c>
      <c r="Q33" s="15" t="str">
        <f ca="1">IFERROR(__xludf.dummyfunction("VLOOKUP(P33, IMPORTRANGE(""https://docs.google.com/spreadsheets/d/1yDAaXNsi4Mr5FtRQL4tbmSdIzhx6_m4wkOD7IG-k_eo/edit#gid=1336395716"", ""Science!M:N""), 2, FALSE)"),"(LU006724.004); Default - Analyse")</f>
        <v>(LU006724.004); Default - Analyse</v>
      </c>
      <c r="R33" s="1" t="str">
        <f t="shared" si="4"/>
        <v>LU006724.005</v>
      </c>
      <c r="S33" s="15" t="str">
        <f ca="1">IFERROR(__xludf.dummyfunction("VLOOKUP(R33, IMPORTRANGE(""https://docs.google.com/spreadsheets/d/1yDAaXNsi4Mr5FtRQL4tbmSdIzhx6_m4wkOD7IG-k_eo/edit#gid=1336395716"", ""Science!M:N""), 2, FALSE)"),"(LU006724.005); Default - Evaluate")</f>
        <v>(LU006724.005); Default - Evaluate</v>
      </c>
      <c r="T33" s="1" t="str">
        <f t="shared" si="5"/>
        <v>LU006724.006</v>
      </c>
      <c r="U33" s="15" t="str">
        <f ca="1">IFERROR(__xludf.dummyfunction("VLOOKUP(T33, IMPORTRANGE(""https://docs.google.com/spreadsheets/d/1yDAaXNsi4Mr5FtRQL4tbmSdIzhx6_m4wkOD7IG-k_eo/edit#gid=1336395716"", ""Science!M:N""), 2, FALSE)"),"(LU006724.006); Default - Create")</f>
        <v>(LU006724.006); Default - Create</v>
      </c>
      <c r="V33" s="113"/>
      <c r="W33" s="113"/>
      <c r="X33" s="113"/>
      <c r="Y33" s="113"/>
      <c r="Z33" s="113"/>
      <c r="AA33" s="113"/>
      <c r="AB33" s="113"/>
      <c r="AC33" s="113"/>
      <c r="AD33" s="113"/>
      <c r="AE33" s="113"/>
      <c r="AF33" s="113"/>
      <c r="AG33" s="113"/>
    </row>
    <row r="34" spans="1:33" ht="55.2">
      <c r="A34" s="113"/>
      <c r="B34" s="113" t="s">
        <v>29</v>
      </c>
      <c r="C34" s="113">
        <v>7</v>
      </c>
      <c r="D34" s="111" t="s">
        <v>1714</v>
      </c>
      <c r="E34" s="113" t="s">
        <v>1613</v>
      </c>
      <c r="F34" s="111" t="s">
        <v>1724</v>
      </c>
      <c r="G34" s="1" t="s">
        <v>1725</v>
      </c>
      <c r="H34" s="111" t="str">
        <f ca="1">IFERROR(__xludf.dummyfunction("IFERROR(
  VLOOKUP(G34, IMPORTRANGE(""https://docs.google.com/spreadsheets/d/14deopnvwcrKtEGCKuYXdUHJbeLDZlkiSSWWT0g7x2pM/edit#gid=849066331"", ""LU List Maths (Filter)!A:B""), 2, FALSE),
  IFERROR(
    VLOOKUP(G34, IMPORTRANGE(""https://docs.google.com/s"&amp;"preadsheets/d/14deopnvwcrKtEGCKuYXdUHJbeLDZlkiSSWWT0g7x2pM/edit#gid=849066331"", ""LU List Science (Filter)!A:B""), 2, FALSE),
    ""Not Found""
  )
)
"),"Definition of valency and its significance in forming chemical compounds")</f>
        <v>Definition of valency and its significance in forming chemical compounds</v>
      </c>
      <c r="I34" s="113" t="s">
        <v>1633</v>
      </c>
      <c r="J34" s="1" t="str">
        <f t="shared" ref="J34:J65" si="6">G34 &amp; ".001"</f>
        <v>LU006380.001</v>
      </c>
      <c r="K34" s="1" t="str">
        <f ca="1">IFERROR(__xludf.dummyfunction("VLOOKUP(J34, IMPORTRANGE(""https://docs.google.com/spreadsheets/d/1yDAaXNsi4Mr5FtRQL4tbmSdIzhx6_m4wkOD7IG-k_eo/edit#gid=1336395716"", ""Science!M:N""), 2, FALSE)"),"Define valency.")</f>
        <v>Define valency.</v>
      </c>
      <c r="L34" s="1" t="str">
        <f t="shared" ref="L34:L65" si="7">G34 &amp; ".002"</f>
        <v>LU006380.002</v>
      </c>
      <c r="M34" s="1" t="str">
        <f ca="1">IFERROR(__xludf.dummyfunction("VLOOKUP(L34, IMPORTRANGE(""https://docs.google.com/spreadsheets/d/1yDAaXNsi4Mr5FtRQL4tbmSdIzhx6_m4wkOD7IG-k_eo/edit#gid=1336395716"", ""Science!M:N""), 2, FALSE)"),"Explain the significance of valency in forming chemical compounds.")</f>
        <v>Explain the significance of valency in forming chemical compounds.</v>
      </c>
      <c r="N34" s="1" t="str">
        <f t="shared" ref="N34:N65" si="8">G34 &amp; ".003"</f>
        <v>LU006380.003</v>
      </c>
      <c r="O34" s="1" t="str">
        <f ca="1">IFERROR(__xludf.dummyfunction("VLOOKUP(N34, IMPORTRANGE(""https://docs.google.com/spreadsheets/d/1yDAaXNsi4Mr5FtRQL4tbmSdIzhx6_m4wkOD7IG-k_eo/edit#gid=1336395716"", ""Science!M:N""), 2, FALSE)"),"Determine the valency of given elements and predict the compounds they can form.")</f>
        <v>Determine the valency of given elements and predict the compounds they can form.</v>
      </c>
      <c r="P34" s="1" t="str">
        <f t="shared" ref="P34:P65" si="9">G34 &amp; ".004"</f>
        <v>LU006380.004</v>
      </c>
      <c r="Q34" s="15" t="str">
        <f ca="1">IFERROR(__xludf.dummyfunction("VLOOKUP(P34, IMPORTRANGE(""https://docs.google.com/spreadsheets/d/1yDAaXNsi4Mr5FtRQL4tbmSdIzhx6_m4wkOD7IG-k_eo/edit#gid=1336395716"", ""Science!M:N""), 2, FALSE)"),"Analyze how valency affects the formation and stability of compounds.")</f>
        <v>Analyze how valency affects the formation and stability of compounds.</v>
      </c>
      <c r="R34" s="1" t="str">
        <f t="shared" ref="R34:R65" si="10">G34 &amp; ".005"</f>
        <v>LU006380.005</v>
      </c>
      <c r="S34" s="15" t="str">
        <f ca="1">IFERROR(__xludf.dummyfunction("VLOOKUP(R34, IMPORTRANGE(""https://docs.google.com/spreadsheets/d/1yDAaXNsi4Mr5FtRQL4tbmSdIzhx6_m4wkOD7IG-k_eo/edit#gid=1336395716"", ""Science!M:N""), 2, FALSE)"),"Evaluate the role of valency in predicting chemical reactions.")</f>
        <v>Evaluate the role of valency in predicting chemical reactions.</v>
      </c>
      <c r="T34" s="1" t="str">
        <f t="shared" ref="T34:T65" si="11">G34 &amp; ".006"</f>
        <v>LU006380.006</v>
      </c>
      <c r="U34" s="15" t="str">
        <f ca="1">IFERROR(__xludf.dummyfunction("VLOOKUP(T34, IMPORTRANGE(""https://docs.google.com/spreadsheets/d/1yDAaXNsi4Mr5FtRQL4tbmSdIzhx6_m4wkOD7IG-k_eo/edit#gid=1336395716"", ""Science!M:N""), 2, FALSE)"),"Create a chart that shows the valency of common elements and examples of compounds they form.")</f>
        <v>Create a chart that shows the valency of common elements and examples of compounds they form.</v>
      </c>
      <c r="V34" s="113"/>
      <c r="W34" s="113"/>
      <c r="X34" s="113"/>
      <c r="Y34" s="113"/>
      <c r="Z34" s="113"/>
      <c r="AA34" s="113"/>
      <c r="AB34" s="113"/>
      <c r="AC34" s="113"/>
      <c r="AD34" s="113"/>
      <c r="AE34" s="113"/>
      <c r="AF34" s="113"/>
      <c r="AG34" s="113"/>
    </row>
    <row r="35" spans="1:33" ht="27.6">
      <c r="A35" s="113"/>
      <c r="B35" s="113" t="s">
        <v>29</v>
      </c>
      <c r="C35" s="113">
        <v>7</v>
      </c>
      <c r="D35" s="111" t="s">
        <v>1714</v>
      </c>
      <c r="E35" s="113" t="s">
        <v>1613</v>
      </c>
      <c r="F35" s="111" t="s">
        <v>1724</v>
      </c>
      <c r="G35" s="14" t="s">
        <v>1726</v>
      </c>
      <c r="H35" s="111" t="str">
        <f ca="1">IFERROR(__xludf.dummyfunction("IFERROR(
  VLOOKUP(G35, IMPORTRANGE(""https://docs.google.com/spreadsheets/d/14deopnvwcrKtEGCKuYXdUHJbeLDZlkiSSWWT0g7x2pM/edit#gid=849066331"", ""LU List Maths (Filter)!A:B""), 2, FALSE),
  IFERROR(
    VLOOKUP(G35, IMPORTRANGE(""https://docs.google.com/s"&amp;"preadsheets/d/14deopnvwcrKtEGCKuYXdUHJbeLDZlkiSSWWT0g7x2pM/edit#gid=849066331"", ""LU List Science (Filter)!A:B""), 2, FALSE),
    ""Not Found""
  )
)
"),"Relationship between Valency of Elements and Periodic Table")</f>
        <v>Relationship between Valency of Elements and Periodic Table</v>
      </c>
      <c r="I35" s="113"/>
      <c r="J35" s="1" t="str">
        <f t="shared" si="6"/>
        <v>LU006725.001</v>
      </c>
      <c r="K35" s="1" t="str">
        <f ca="1">IFERROR(__xludf.dummyfunction("VLOOKUP(J35, IMPORTRANGE(""https://docs.google.com/spreadsheets/d/1yDAaXNsi4Mr5FtRQL4tbmSdIzhx6_m4wkOD7IG-k_eo/edit#gid=1336395716"", ""Science!M:N""), 2, FALSE)"),"(LU006725.001); Default - Remember")</f>
        <v>(LU006725.001); Default - Remember</v>
      </c>
      <c r="L35" s="1" t="str">
        <f t="shared" si="7"/>
        <v>LU006725.002</v>
      </c>
      <c r="M35" s="1" t="str">
        <f ca="1">IFERROR(__xludf.dummyfunction("VLOOKUP(L35, IMPORTRANGE(""https://docs.google.com/spreadsheets/d/1yDAaXNsi4Mr5FtRQL4tbmSdIzhx6_m4wkOD7IG-k_eo/edit#gid=1336395716"", ""Science!M:N""), 2, FALSE)"),"(LU006725.002); Default - Understand")</f>
        <v>(LU006725.002); Default - Understand</v>
      </c>
      <c r="N35" s="1" t="str">
        <f t="shared" si="8"/>
        <v>LU006725.003</v>
      </c>
      <c r="O35" s="1" t="str">
        <f ca="1">IFERROR(__xludf.dummyfunction("VLOOKUP(N35, IMPORTRANGE(""https://docs.google.com/spreadsheets/d/1yDAaXNsi4Mr5FtRQL4tbmSdIzhx6_m4wkOD7IG-k_eo/edit#gid=1336395716"", ""Science!M:N""), 2, FALSE)"),"(LU006725.003); Default - Apply")</f>
        <v>(LU006725.003); Default - Apply</v>
      </c>
      <c r="P35" s="1" t="str">
        <f t="shared" si="9"/>
        <v>LU006725.004</v>
      </c>
      <c r="Q35" s="15" t="str">
        <f ca="1">IFERROR(__xludf.dummyfunction("VLOOKUP(P35, IMPORTRANGE(""https://docs.google.com/spreadsheets/d/1yDAaXNsi4Mr5FtRQL4tbmSdIzhx6_m4wkOD7IG-k_eo/edit#gid=1336395716"", ""Science!M:N""), 2, FALSE)"),"(LU006725.004); Default - Analyse")</f>
        <v>(LU006725.004); Default - Analyse</v>
      </c>
      <c r="R35" s="1" t="str">
        <f t="shared" si="10"/>
        <v>LU006725.005</v>
      </c>
      <c r="S35" s="15" t="str">
        <f ca="1">IFERROR(__xludf.dummyfunction("VLOOKUP(R35, IMPORTRANGE(""https://docs.google.com/spreadsheets/d/1yDAaXNsi4Mr5FtRQL4tbmSdIzhx6_m4wkOD7IG-k_eo/edit#gid=1336395716"", ""Science!M:N""), 2, FALSE)"),"(LU006725.005); Default - Evaluate")</f>
        <v>(LU006725.005); Default - Evaluate</v>
      </c>
      <c r="T35" s="1" t="str">
        <f t="shared" si="11"/>
        <v>LU006725.006</v>
      </c>
      <c r="U35" s="15" t="str">
        <f ca="1">IFERROR(__xludf.dummyfunction("VLOOKUP(T35, IMPORTRANGE(""https://docs.google.com/spreadsheets/d/1yDAaXNsi4Mr5FtRQL4tbmSdIzhx6_m4wkOD7IG-k_eo/edit#gid=1336395716"", ""Science!M:N""), 2, FALSE)"),"(LU006725.006); Default - Create")</f>
        <v>(LU006725.006); Default - Create</v>
      </c>
      <c r="V35" s="113"/>
      <c r="W35" s="113"/>
      <c r="X35" s="113"/>
      <c r="Y35" s="113"/>
      <c r="Z35" s="113"/>
      <c r="AA35" s="113"/>
      <c r="AB35" s="113"/>
      <c r="AC35" s="113"/>
      <c r="AD35" s="113"/>
      <c r="AE35" s="113"/>
      <c r="AF35" s="113"/>
      <c r="AG35" s="113"/>
    </row>
    <row r="36" spans="1:33" ht="27.6">
      <c r="A36" s="113"/>
      <c r="B36" s="113" t="s">
        <v>29</v>
      </c>
      <c r="C36" s="113">
        <v>7</v>
      </c>
      <c r="D36" s="111" t="s">
        <v>1727</v>
      </c>
      <c r="E36" s="113" t="s">
        <v>1613</v>
      </c>
      <c r="F36" s="111" t="s">
        <v>1728</v>
      </c>
      <c r="G36" s="1" t="s">
        <v>1729</v>
      </c>
      <c r="H36" s="111" t="str">
        <f ca="1">IFERROR(__xludf.dummyfunction("IFERROR(
  VLOOKUP(G36, IMPORTRANGE(""https://docs.google.com/spreadsheets/d/14deopnvwcrKtEGCKuYXdUHJbeLDZlkiSSWWT0g7x2pM/edit#gid=849066331"", ""LU List Maths (Filter)!A:B""), 2, FALSE),
  IFERROR(
    VLOOKUP(G36, IMPORTRANGE(""https://docs.google.com/s"&amp;"preadsheets/d/14deopnvwcrKtEGCKuYXdUHJbeLDZlkiSSWWT0g7x2pM/edit#gid=849066331"", ""LU List Science (Filter)!A:B""), 2, FALSE),
    ""Not Found""
  )
)
"),"Definition and Indicators of Chemical Reactions")</f>
        <v>Definition and Indicators of Chemical Reactions</v>
      </c>
      <c r="I36" s="113" t="s">
        <v>1730</v>
      </c>
      <c r="J36" s="1" t="str">
        <f t="shared" si="6"/>
        <v>LU006529.001</v>
      </c>
      <c r="K36" s="1" t="str">
        <f ca="1">IFERROR(__xludf.dummyfunction("VLOOKUP(J36, IMPORTRANGE(""https://docs.google.com/spreadsheets/d/1yDAaXNsi4Mr5FtRQL4tbmSdIzhx6_m4wkOD7IG-k_eo/edit#gid=1336395716"", ""Science!M:N""), 2, FALSE)"),"(LU006529.001); Default - Remember")</f>
        <v>(LU006529.001); Default - Remember</v>
      </c>
      <c r="L36" s="1" t="str">
        <f t="shared" si="7"/>
        <v>LU006529.002</v>
      </c>
      <c r="M36" s="1" t="str">
        <f ca="1">IFERROR(__xludf.dummyfunction("VLOOKUP(L36, IMPORTRANGE(""https://docs.google.com/spreadsheets/d/1yDAaXNsi4Mr5FtRQL4tbmSdIzhx6_m4wkOD7IG-k_eo/edit#gid=1336395716"", ""Science!M:N""), 2, FALSE)"),"(LU006529.002); Default - Understand")</f>
        <v>(LU006529.002); Default - Understand</v>
      </c>
      <c r="N36" s="1" t="str">
        <f t="shared" si="8"/>
        <v>LU006529.003</v>
      </c>
      <c r="O36" s="1" t="str">
        <f ca="1">IFERROR(__xludf.dummyfunction("VLOOKUP(N36, IMPORTRANGE(""https://docs.google.com/spreadsheets/d/1yDAaXNsi4Mr5FtRQL4tbmSdIzhx6_m4wkOD7IG-k_eo/edit#gid=1336395716"", ""Science!M:N""), 2, FALSE)"),"(LU006529.003); Default - Apply")</f>
        <v>(LU006529.003); Default - Apply</v>
      </c>
      <c r="P36" s="1" t="str">
        <f t="shared" si="9"/>
        <v>LU006529.004</v>
      </c>
      <c r="Q36" s="15" t="str">
        <f ca="1">IFERROR(__xludf.dummyfunction("VLOOKUP(P36, IMPORTRANGE(""https://docs.google.com/spreadsheets/d/1yDAaXNsi4Mr5FtRQL4tbmSdIzhx6_m4wkOD7IG-k_eo/edit#gid=1336395716"", ""Science!M:N""), 2, FALSE)"),"(LU006529.004); Default - Analyse")</f>
        <v>(LU006529.004); Default - Analyse</v>
      </c>
      <c r="R36" s="1" t="str">
        <f t="shared" si="10"/>
        <v>LU006529.005</v>
      </c>
      <c r="S36" s="15" t="str">
        <f ca="1">IFERROR(__xludf.dummyfunction("VLOOKUP(R36, IMPORTRANGE(""https://docs.google.com/spreadsheets/d/1yDAaXNsi4Mr5FtRQL4tbmSdIzhx6_m4wkOD7IG-k_eo/edit#gid=1336395716"", ""Science!M:N""), 2, FALSE)"),"(LU006529.005); Default - Evaluate")</f>
        <v>(LU006529.005); Default - Evaluate</v>
      </c>
      <c r="T36" s="1" t="str">
        <f t="shared" si="11"/>
        <v>LU006529.006</v>
      </c>
      <c r="U36" s="15" t="str">
        <f ca="1">IFERROR(__xludf.dummyfunction("VLOOKUP(T36, IMPORTRANGE(""https://docs.google.com/spreadsheets/d/1yDAaXNsi4Mr5FtRQL4tbmSdIzhx6_m4wkOD7IG-k_eo/edit#gid=1336395716"", ""Science!M:N""), 2, FALSE)"),"(LU006529.006); Default - Create")</f>
        <v>(LU006529.006); Default - Create</v>
      </c>
      <c r="V36" s="113"/>
      <c r="W36" s="113"/>
      <c r="X36" s="113"/>
      <c r="Y36" s="113"/>
      <c r="Z36" s="113"/>
      <c r="AA36" s="113"/>
      <c r="AB36" s="113"/>
      <c r="AC36" s="113"/>
      <c r="AD36" s="113"/>
      <c r="AE36" s="113"/>
      <c r="AF36" s="113"/>
      <c r="AG36" s="113"/>
    </row>
    <row r="37" spans="1:33" ht="27.6">
      <c r="A37" s="113"/>
      <c r="B37" s="113" t="s">
        <v>29</v>
      </c>
      <c r="C37" s="113">
        <v>7</v>
      </c>
      <c r="D37" s="111" t="s">
        <v>1727</v>
      </c>
      <c r="E37" s="113" t="s">
        <v>1613</v>
      </c>
      <c r="F37" s="111" t="s">
        <v>1728</v>
      </c>
      <c r="G37" s="14" t="s">
        <v>1731</v>
      </c>
      <c r="H37" s="111" t="str">
        <f ca="1">IFERROR(__xludf.dummyfunction("IFERROR(
  VLOOKUP(G37, IMPORTRANGE(""https://docs.google.com/spreadsheets/d/14deopnvwcrKtEGCKuYXdUHJbeLDZlkiSSWWT0g7x2pM/edit#gid=849066331"", ""LU List Maths (Filter)!A:B""), 2, FALSE),
  IFERROR(
    VLOOKUP(G37, IMPORTRANGE(""https://docs.google.com/s"&amp;"preadsheets/d/14deopnvwcrKtEGCKuYXdUHJbeLDZlkiSSWWT0g7x2pM/edit#gid=849066331"", ""LU List Science (Filter)!A:B""), 2, FALSE),
    ""Not Found""
  )
)
"),"Writing Word Equations for Chemical Reactions")</f>
        <v>Writing Word Equations for Chemical Reactions</v>
      </c>
      <c r="I37" s="113"/>
      <c r="J37" s="1" t="str">
        <f t="shared" si="6"/>
        <v>LU006726.001</v>
      </c>
      <c r="K37" s="1" t="str">
        <f ca="1">IFERROR(__xludf.dummyfunction("VLOOKUP(J37, IMPORTRANGE(""https://docs.google.com/spreadsheets/d/1yDAaXNsi4Mr5FtRQL4tbmSdIzhx6_m4wkOD7IG-k_eo/edit#gid=1336395716"", ""Science!M:N""), 2, FALSE)"),"(LU006726.001); Default - Remember")</f>
        <v>(LU006726.001); Default - Remember</v>
      </c>
      <c r="L37" s="1" t="str">
        <f t="shared" si="7"/>
        <v>LU006726.002</v>
      </c>
      <c r="M37" s="1" t="str">
        <f ca="1">IFERROR(__xludf.dummyfunction("VLOOKUP(L37, IMPORTRANGE(""https://docs.google.com/spreadsheets/d/1yDAaXNsi4Mr5FtRQL4tbmSdIzhx6_m4wkOD7IG-k_eo/edit#gid=1336395716"", ""Science!M:N""), 2, FALSE)"),"(LU006726.002); Default - Understand")</f>
        <v>(LU006726.002); Default - Understand</v>
      </c>
      <c r="N37" s="1" t="str">
        <f t="shared" si="8"/>
        <v>LU006726.003</v>
      </c>
      <c r="O37" s="1" t="str">
        <f ca="1">IFERROR(__xludf.dummyfunction("VLOOKUP(N37, IMPORTRANGE(""https://docs.google.com/spreadsheets/d/1yDAaXNsi4Mr5FtRQL4tbmSdIzhx6_m4wkOD7IG-k_eo/edit#gid=1336395716"", ""Science!M:N""), 2, FALSE)"),"(LU006726.003); Default - Apply")</f>
        <v>(LU006726.003); Default - Apply</v>
      </c>
      <c r="P37" s="1" t="str">
        <f t="shared" si="9"/>
        <v>LU006726.004</v>
      </c>
      <c r="Q37" s="15" t="str">
        <f ca="1">IFERROR(__xludf.dummyfunction("VLOOKUP(P37, IMPORTRANGE(""https://docs.google.com/spreadsheets/d/1yDAaXNsi4Mr5FtRQL4tbmSdIzhx6_m4wkOD7IG-k_eo/edit#gid=1336395716"", ""Science!M:N""), 2, FALSE)"),"(LU006726.004); Default - Analyse")</f>
        <v>(LU006726.004); Default - Analyse</v>
      </c>
      <c r="R37" s="1" t="str">
        <f t="shared" si="10"/>
        <v>LU006726.005</v>
      </c>
      <c r="S37" s="15" t="str">
        <f ca="1">IFERROR(__xludf.dummyfunction("VLOOKUP(R37, IMPORTRANGE(""https://docs.google.com/spreadsheets/d/1yDAaXNsi4Mr5FtRQL4tbmSdIzhx6_m4wkOD7IG-k_eo/edit#gid=1336395716"", ""Science!M:N""), 2, FALSE)"),"(LU006726.005); Default - Evaluate")</f>
        <v>(LU006726.005); Default - Evaluate</v>
      </c>
      <c r="T37" s="1" t="str">
        <f t="shared" si="11"/>
        <v>LU006726.006</v>
      </c>
      <c r="U37" s="15" t="str">
        <f ca="1">IFERROR(__xludf.dummyfunction("VLOOKUP(T37, IMPORTRANGE(""https://docs.google.com/spreadsheets/d/1yDAaXNsi4Mr5FtRQL4tbmSdIzhx6_m4wkOD7IG-k_eo/edit#gid=1336395716"", ""Science!M:N""), 2, FALSE)"),"(LU006726.006); Default - Create")</f>
        <v>(LU006726.006); Default - Create</v>
      </c>
      <c r="V37" s="113"/>
      <c r="W37" s="113"/>
      <c r="X37" s="113"/>
      <c r="Y37" s="113"/>
      <c r="Z37" s="113"/>
      <c r="AA37" s="113"/>
      <c r="AB37" s="113"/>
      <c r="AC37" s="113"/>
      <c r="AD37" s="113"/>
      <c r="AE37" s="113"/>
      <c r="AF37" s="113"/>
      <c r="AG37" s="113"/>
    </row>
    <row r="38" spans="1:33" ht="27.6">
      <c r="A38" s="113"/>
      <c r="B38" s="113" t="s">
        <v>29</v>
      </c>
      <c r="C38" s="113">
        <v>7</v>
      </c>
      <c r="D38" s="111" t="s">
        <v>1732</v>
      </c>
      <c r="E38" s="113" t="s">
        <v>1613</v>
      </c>
      <c r="F38" s="111" t="s">
        <v>1733</v>
      </c>
      <c r="G38" s="14" t="s">
        <v>1734</v>
      </c>
      <c r="H38" s="111" t="str">
        <f ca="1">IFERROR(__xludf.dummyfunction("IFERROR(
  VLOOKUP(G38, IMPORTRANGE(""https://docs.google.com/spreadsheets/d/14deopnvwcrKtEGCKuYXdUHJbeLDZlkiSSWWT0g7x2pM/edit#gid=849066331"", ""LU List Maths (Filter)!A:B""), 2, FALSE),
  IFERROR(
    VLOOKUP(G38, IMPORTRANGE(""https://docs.google.com/s"&amp;"preadsheets/d/14deopnvwcrKtEGCKuYXdUHJbeLDZlkiSSWWT0g7x2pM/edit#gid=849066331"", ""LU List Science (Filter)!A:B""), 2, FALSE),
    ""Not Found""
  )
)
"),"Physical Properties and Uses of Metals")</f>
        <v>Physical Properties and Uses of Metals</v>
      </c>
      <c r="I38" s="113"/>
      <c r="J38" s="1" t="str">
        <f t="shared" si="6"/>
        <v>LU006727.001</v>
      </c>
      <c r="K38" s="1" t="str">
        <f ca="1">IFERROR(__xludf.dummyfunction("VLOOKUP(J38, IMPORTRANGE(""https://docs.google.com/spreadsheets/d/1yDAaXNsi4Mr5FtRQL4tbmSdIzhx6_m4wkOD7IG-k_eo/edit#gid=1336395716"", ""Science!M:N""), 2, FALSE)"),"(LU006727.001); Default - Remember")</f>
        <v>(LU006727.001); Default - Remember</v>
      </c>
      <c r="L38" s="1" t="str">
        <f t="shared" si="7"/>
        <v>LU006727.002</v>
      </c>
      <c r="M38" s="1" t="str">
        <f ca="1">IFERROR(__xludf.dummyfunction("VLOOKUP(L38, IMPORTRANGE(""https://docs.google.com/spreadsheets/d/1yDAaXNsi4Mr5FtRQL4tbmSdIzhx6_m4wkOD7IG-k_eo/edit#gid=1336395716"", ""Science!M:N""), 2, FALSE)"),"(LU006727.002); Default - Understand")</f>
        <v>(LU006727.002); Default - Understand</v>
      </c>
      <c r="N38" s="1" t="str">
        <f t="shared" si="8"/>
        <v>LU006727.003</v>
      </c>
      <c r="O38" s="1" t="str">
        <f ca="1">IFERROR(__xludf.dummyfunction("VLOOKUP(N38, IMPORTRANGE(""https://docs.google.com/spreadsheets/d/1yDAaXNsi4Mr5FtRQL4tbmSdIzhx6_m4wkOD7IG-k_eo/edit#gid=1336395716"", ""Science!M:N""), 2, FALSE)"),"(LU006727.003); Default - Apply")</f>
        <v>(LU006727.003); Default - Apply</v>
      </c>
      <c r="P38" s="1" t="str">
        <f t="shared" si="9"/>
        <v>LU006727.004</v>
      </c>
      <c r="Q38" s="15" t="str">
        <f ca="1">IFERROR(__xludf.dummyfunction("VLOOKUP(P38, IMPORTRANGE(""https://docs.google.com/spreadsheets/d/1yDAaXNsi4Mr5FtRQL4tbmSdIzhx6_m4wkOD7IG-k_eo/edit#gid=1336395716"", ""Science!M:N""), 2, FALSE)"),"(LU006727.004); Default - Analyse")</f>
        <v>(LU006727.004); Default - Analyse</v>
      </c>
      <c r="R38" s="1" t="str">
        <f t="shared" si="10"/>
        <v>LU006727.005</v>
      </c>
      <c r="S38" s="15" t="str">
        <f ca="1">IFERROR(__xludf.dummyfunction("VLOOKUP(R38, IMPORTRANGE(""https://docs.google.com/spreadsheets/d/1yDAaXNsi4Mr5FtRQL4tbmSdIzhx6_m4wkOD7IG-k_eo/edit#gid=1336395716"", ""Science!M:N""), 2, FALSE)"),"(LU006727.005); Default - Evaluate")</f>
        <v>(LU006727.005); Default - Evaluate</v>
      </c>
      <c r="T38" s="1" t="str">
        <f t="shared" si="11"/>
        <v>LU006727.006</v>
      </c>
      <c r="U38" s="15" t="str">
        <f ca="1">IFERROR(__xludf.dummyfunction("VLOOKUP(T38, IMPORTRANGE(""https://docs.google.com/spreadsheets/d/1yDAaXNsi4Mr5FtRQL4tbmSdIzhx6_m4wkOD7IG-k_eo/edit#gid=1336395716"", ""Science!M:N""), 2, FALSE)"),"(LU006727.006); Default - Create")</f>
        <v>(LU006727.006); Default - Create</v>
      </c>
      <c r="V38" s="113"/>
      <c r="W38" s="113"/>
      <c r="X38" s="113"/>
      <c r="Y38" s="113"/>
      <c r="Z38" s="113"/>
      <c r="AA38" s="113"/>
      <c r="AB38" s="113"/>
      <c r="AC38" s="113"/>
      <c r="AD38" s="113"/>
      <c r="AE38" s="113"/>
      <c r="AF38" s="113"/>
      <c r="AG38" s="113"/>
    </row>
    <row r="39" spans="1:33" ht="27.6">
      <c r="A39" s="113"/>
      <c r="B39" s="113" t="s">
        <v>29</v>
      </c>
      <c r="C39" s="113">
        <v>7</v>
      </c>
      <c r="D39" s="111" t="s">
        <v>1732</v>
      </c>
      <c r="E39" s="113" t="s">
        <v>1613</v>
      </c>
      <c r="F39" s="111" t="s">
        <v>1733</v>
      </c>
      <c r="G39" s="14" t="s">
        <v>1735</v>
      </c>
      <c r="H39" s="111" t="str">
        <f ca="1">IFERROR(__xludf.dummyfunction("IFERROR(
  VLOOKUP(G39, IMPORTRANGE(""https://docs.google.com/spreadsheets/d/14deopnvwcrKtEGCKuYXdUHJbeLDZlkiSSWWT0g7x2pM/edit#gid=849066331"", ""LU List Maths (Filter)!A:B""), 2, FALSE),
  IFERROR(
    VLOOKUP(G39, IMPORTRANGE(""https://docs.google.com/s"&amp;"preadsheets/d/14deopnvwcrKtEGCKuYXdUHJbeLDZlkiSSWWT0g7x2pM/edit#gid=849066331"", ""LU List Science (Filter)!A:B""), 2, FALSE),
    ""Not Found""
  )
)
"),"Physical Properties and Uses of Non-metals")</f>
        <v>Physical Properties and Uses of Non-metals</v>
      </c>
      <c r="I39" s="113"/>
      <c r="J39" s="1" t="str">
        <f t="shared" si="6"/>
        <v>LU006728.001</v>
      </c>
      <c r="K39" s="1" t="str">
        <f ca="1">IFERROR(__xludf.dummyfunction("VLOOKUP(J39, IMPORTRANGE(""https://docs.google.com/spreadsheets/d/1yDAaXNsi4Mr5FtRQL4tbmSdIzhx6_m4wkOD7IG-k_eo/edit#gid=1336395716"", ""Science!M:N""), 2, FALSE)"),"(LU006728.001); Default - Remember")</f>
        <v>(LU006728.001); Default - Remember</v>
      </c>
      <c r="L39" s="1" t="str">
        <f t="shared" si="7"/>
        <v>LU006728.002</v>
      </c>
      <c r="M39" s="1" t="str">
        <f ca="1">IFERROR(__xludf.dummyfunction("VLOOKUP(L39, IMPORTRANGE(""https://docs.google.com/spreadsheets/d/1yDAaXNsi4Mr5FtRQL4tbmSdIzhx6_m4wkOD7IG-k_eo/edit#gid=1336395716"", ""Science!M:N""), 2, FALSE)"),"(LU006728.002); Default - Understand")</f>
        <v>(LU006728.002); Default - Understand</v>
      </c>
      <c r="N39" s="1" t="str">
        <f t="shared" si="8"/>
        <v>LU006728.003</v>
      </c>
      <c r="O39" s="1" t="str">
        <f ca="1">IFERROR(__xludf.dummyfunction("VLOOKUP(N39, IMPORTRANGE(""https://docs.google.com/spreadsheets/d/1yDAaXNsi4Mr5FtRQL4tbmSdIzhx6_m4wkOD7IG-k_eo/edit#gid=1336395716"", ""Science!M:N""), 2, FALSE)"),"(LU006728.003); Default - Apply")</f>
        <v>(LU006728.003); Default - Apply</v>
      </c>
      <c r="P39" s="1" t="str">
        <f t="shared" si="9"/>
        <v>LU006728.004</v>
      </c>
      <c r="Q39" s="15" t="str">
        <f ca="1">IFERROR(__xludf.dummyfunction("VLOOKUP(P39, IMPORTRANGE(""https://docs.google.com/spreadsheets/d/1yDAaXNsi4Mr5FtRQL4tbmSdIzhx6_m4wkOD7IG-k_eo/edit#gid=1336395716"", ""Science!M:N""), 2, FALSE)"),"(LU006728.004); Default - Analyse")</f>
        <v>(LU006728.004); Default - Analyse</v>
      </c>
      <c r="R39" s="1" t="str">
        <f t="shared" si="10"/>
        <v>LU006728.005</v>
      </c>
      <c r="S39" s="15" t="str">
        <f ca="1">IFERROR(__xludf.dummyfunction("VLOOKUP(R39, IMPORTRANGE(""https://docs.google.com/spreadsheets/d/1yDAaXNsi4Mr5FtRQL4tbmSdIzhx6_m4wkOD7IG-k_eo/edit#gid=1336395716"", ""Science!M:N""), 2, FALSE)"),"(LU006728.005); Default - Evaluate")</f>
        <v>(LU006728.005); Default - Evaluate</v>
      </c>
      <c r="T39" s="1" t="str">
        <f t="shared" si="11"/>
        <v>LU006728.006</v>
      </c>
      <c r="U39" s="15" t="str">
        <f ca="1">IFERROR(__xludf.dummyfunction("VLOOKUP(T39, IMPORTRANGE(""https://docs.google.com/spreadsheets/d/1yDAaXNsi4Mr5FtRQL4tbmSdIzhx6_m4wkOD7IG-k_eo/edit#gid=1336395716"", ""Science!M:N""), 2, FALSE)"),"(LU006728.006); Default - Create")</f>
        <v>(LU006728.006); Default - Create</v>
      </c>
      <c r="V39" s="113"/>
      <c r="W39" s="113"/>
      <c r="X39" s="113"/>
      <c r="Y39" s="113"/>
      <c r="Z39" s="113"/>
      <c r="AA39" s="113"/>
      <c r="AB39" s="113"/>
      <c r="AC39" s="113"/>
      <c r="AD39" s="113"/>
      <c r="AE39" s="113"/>
      <c r="AF39" s="113"/>
      <c r="AG39" s="113"/>
    </row>
    <row r="40" spans="1:33" ht="27.6">
      <c r="A40" s="113"/>
      <c r="B40" s="113" t="s">
        <v>29</v>
      </c>
      <c r="C40" s="113">
        <v>7</v>
      </c>
      <c r="D40" s="111" t="s">
        <v>1732</v>
      </c>
      <c r="E40" s="113" t="s">
        <v>1613</v>
      </c>
      <c r="F40" s="111" t="s">
        <v>1733</v>
      </c>
      <c r="G40" s="14" t="s">
        <v>1736</v>
      </c>
      <c r="H40" s="111" t="str">
        <f ca="1">IFERROR(__xludf.dummyfunction("IFERROR(
  VLOOKUP(G40, IMPORTRANGE(""https://docs.google.com/spreadsheets/d/14deopnvwcrKtEGCKuYXdUHJbeLDZlkiSSWWT0g7x2pM/edit#gid=849066331"", ""LU List Maths (Filter)!A:B""), 2, FALSE),
  IFERROR(
    VLOOKUP(G40, IMPORTRANGE(""https://docs.google.com/s"&amp;"preadsheets/d/14deopnvwcrKtEGCKuYXdUHJbeLDZlkiSSWWT0g7x2pM/edit#gid=849066331"", ""LU List Science (Filter)!A:B""), 2, FALSE),
    ""Not Found""
  )
)
"),"Physical Properties and Uses of Metalloids")</f>
        <v>Physical Properties and Uses of Metalloids</v>
      </c>
      <c r="I40" s="113"/>
      <c r="J40" s="1" t="str">
        <f t="shared" si="6"/>
        <v>LU006729.001</v>
      </c>
      <c r="K40" s="1" t="str">
        <f ca="1">IFERROR(__xludf.dummyfunction("VLOOKUP(J40, IMPORTRANGE(""https://docs.google.com/spreadsheets/d/1yDAaXNsi4Mr5FtRQL4tbmSdIzhx6_m4wkOD7IG-k_eo/edit#gid=1336395716"", ""Science!M:N""), 2, FALSE)"),"(LU006729.001); Default - Remember")</f>
        <v>(LU006729.001); Default - Remember</v>
      </c>
      <c r="L40" s="1" t="str">
        <f t="shared" si="7"/>
        <v>LU006729.002</v>
      </c>
      <c r="M40" s="1" t="str">
        <f ca="1">IFERROR(__xludf.dummyfunction("VLOOKUP(L40, IMPORTRANGE(""https://docs.google.com/spreadsheets/d/1yDAaXNsi4Mr5FtRQL4tbmSdIzhx6_m4wkOD7IG-k_eo/edit#gid=1336395716"", ""Science!M:N""), 2, FALSE)"),"(LU006729.002); Default - Understand")</f>
        <v>(LU006729.002); Default - Understand</v>
      </c>
      <c r="N40" s="1" t="str">
        <f t="shared" si="8"/>
        <v>LU006729.003</v>
      </c>
      <c r="O40" s="1" t="str">
        <f ca="1">IFERROR(__xludf.dummyfunction("VLOOKUP(N40, IMPORTRANGE(""https://docs.google.com/spreadsheets/d/1yDAaXNsi4Mr5FtRQL4tbmSdIzhx6_m4wkOD7IG-k_eo/edit#gid=1336395716"", ""Science!M:N""), 2, FALSE)"),"(LU006729.003); Default - Apply")</f>
        <v>(LU006729.003); Default - Apply</v>
      </c>
      <c r="P40" s="1" t="str">
        <f t="shared" si="9"/>
        <v>LU006729.004</v>
      </c>
      <c r="Q40" s="15" t="str">
        <f ca="1">IFERROR(__xludf.dummyfunction("VLOOKUP(P40, IMPORTRANGE(""https://docs.google.com/spreadsheets/d/1yDAaXNsi4Mr5FtRQL4tbmSdIzhx6_m4wkOD7IG-k_eo/edit#gid=1336395716"", ""Science!M:N""), 2, FALSE)"),"(LU006729.004); Default - Analyse")</f>
        <v>(LU006729.004); Default - Analyse</v>
      </c>
      <c r="R40" s="1" t="str">
        <f t="shared" si="10"/>
        <v>LU006729.005</v>
      </c>
      <c r="S40" s="15" t="str">
        <f ca="1">IFERROR(__xludf.dummyfunction("VLOOKUP(R40, IMPORTRANGE(""https://docs.google.com/spreadsheets/d/1yDAaXNsi4Mr5FtRQL4tbmSdIzhx6_m4wkOD7IG-k_eo/edit#gid=1336395716"", ""Science!M:N""), 2, FALSE)"),"(LU006729.005); Default - Evaluate")</f>
        <v>(LU006729.005); Default - Evaluate</v>
      </c>
      <c r="T40" s="1" t="str">
        <f t="shared" si="11"/>
        <v>LU006729.006</v>
      </c>
      <c r="U40" s="15" t="str">
        <f ca="1">IFERROR(__xludf.dummyfunction("VLOOKUP(T40, IMPORTRANGE(""https://docs.google.com/spreadsheets/d/1yDAaXNsi4Mr5FtRQL4tbmSdIzhx6_m4wkOD7IG-k_eo/edit#gid=1336395716"", ""Science!M:N""), 2, FALSE)"),"(LU006729.006); Default - Create")</f>
        <v>(LU006729.006); Default - Create</v>
      </c>
      <c r="V40" s="113"/>
      <c r="W40" s="113"/>
      <c r="X40" s="113"/>
      <c r="Y40" s="113"/>
      <c r="Z40" s="113"/>
      <c r="AA40" s="113"/>
      <c r="AB40" s="113"/>
      <c r="AC40" s="113"/>
      <c r="AD40" s="113"/>
      <c r="AE40" s="113"/>
      <c r="AF40" s="113"/>
      <c r="AG40" s="113"/>
    </row>
    <row r="41" spans="1:33" ht="27.6">
      <c r="A41" s="113"/>
      <c r="B41" s="113" t="s">
        <v>29</v>
      </c>
      <c r="C41" s="113">
        <v>7</v>
      </c>
      <c r="D41" s="111" t="s">
        <v>1732</v>
      </c>
      <c r="E41" s="113" t="s">
        <v>1613</v>
      </c>
      <c r="F41" s="111" t="s">
        <v>1737</v>
      </c>
      <c r="G41" s="1" t="s">
        <v>1738</v>
      </c>
      <c r="H41" s="111" t="str">
        <f ca="1">IFERROR(__xludf.dummyfunction("IFERROR(
  VLOOKUP(G41, IMPORTRANGE(""https://docs.google.com/spreadsheets/d/14deopnvwcrKtEGCKuYXdUHJbeLDZlkiSSWWT0g7x2pM/edit#gid=849066331"", ""LU List Maths (Filter)!A:B""), 2, FALSE),
  IFERROR(
    VLOOKUP(G41, IMPORTRANGE(""https://docs.google.com/s"&amp;"preadsheets/d/14deopnvwcrKtEGCKuYXdUHJbeLDZlkiSSWWT0g7x2pM/edit#gid=849066331"", ""LU List Science (Filter)!A:B""), 2, FALSE),
    ""Not Found""
  )
)
"),"Prevention and Causes of Corrosion")</f>
        <v>Prevention and Causes of Corrosion</v>
      </c>
      <c r="I41" s="113" t="s">
        <v>1730</v>
      </c>
      <c r="J41" s="1" t="str">
        <f t="shared" si="6"/>
        <v>LU006566.001</v>
      </c>
      <c r="K41" s="1" t="str">
        <f ca="1">IFERROR(__xludf.dummyfunction("VLOOKUP(J41, IMPORTRANGE(""https://docs.google.com/spreadsheets/d/1yDAaXNsi4Mr5FtRQL4tbmSdIzhx6_m4wkOD7IG-k_eo/edit#gid=1336395716"", ""Science!M:N""), 2, FALSE)"),"(LU006566.001); Default - Remember")</f>
        <v>(LU006566.001); Default - Remember</v>
      </c>
      <c r="L41" s="1" t="str">
        <f t="shared" si="7"/>
        <v>LU006566.002</v>
      </c>
      <c r="M41" s="1" t="str">
        <f ca="1">IFERROR(__xludf.dummyfunction("VLOOKUP(L41, IMPORTRANGE(""https://docs.google.com/spreadsheets/d/1yDAaXNsi4Mr5FtRQL4tbmSdIzhx6_m4wkOD7IG-k_eo/edit#gid=1336395716"", ""Science!M:N""), 2, FALSE)"),"(LU006566.002); Default - Understand")</f>
        <v>(LU006566.002); Default - Understand</v>
      </c>
      <c r="N41" s="1" t="str">
        <f t="shared" si="8"/>
        <v>LU006566.003</v>
      </c>
      <c r="O41" s="1" t="str">
        <f ca="1">IFERROR(__xludf.dummyfunction("VLOOKUP(N41, IMPORTRANGE(""https://docs.google.com/spreadsheets/d/1yDAaXNsi4Mr5FtRQL4tbmSdIzhx6_m4wkOD7IG-k_eo/edit#gid=1336395716"", ""Science!M:N""), 2, FALSE)"),"(LU006566.003); Default - Apply")</f>
        <v>(LU006566.003); Default - Apply</v>
      </c>
      <c r="P41" s="1" t="str">
        <f t="shared" si="9"/>
        <v>LU006566.004</v>
      </c>
      <c r="Q41" s="15" t="str">
        <f ca="1">IFERROR(__xludf.dummyfunction("VLOOKUP(P41, IMPORTRANGE(""https://docs.google.com/spreadsheets/d/1yDAaXNsi4Mr5FtRQL4tbmSdIzhx6_m4wkOD7IG-k_eo/edit#gid=1336395716"", ""Science!M:N""), 2, FALSE)"),"(LU006566.004); Default - Analyse")</f>
        <v>(LU006566.004); Default - Analyse</v>
      </c>
      <c r="R41" s="1" t="str">
        <f t="shared" si="10"/>
        <v>LU006566.005</v>
      </c>
      <c r="S41" s="15" t="str">
        <f ca="1">IFERROR(__xludf.dummyfunction("VLOOKUP(R41, IMPORTRANGE(""https://docs.google.com/spreadsheets/d/1yDAaXNsi4Mr5FtRQL4tbmSdIzhx6_m4wkOD7IG-k_eo/edit#gid=1336395716"", ""Science!M:N""), 2, FALSE)"),"(LU006566.005); Default - Evaluate")</f>
        <v>(LU006566.005); Default - Evaluate</v>
      </c>
      <c r="T41" s="1" t="str">
        <f t="shared" si="11"/>
        <v>LU006566.006</v>
      </c>
      <c r="U41" s="15" t="str">
        <f ca="1">IFERROR(__xludf.dummyfunction("VLOOKUP(T41, IMPORTRANGE(""https://docs.google.com/spreadsheets/d/1yDAaXNsi4Mr5FtRQL4tbmSdIzhx6_m4wkOD7IG-k_eo/edit#gid=1336395716"", ""Science!M:N""), 2, FALSE)"),"(LU006566.006); Default - Create")</f>
        <v>(LU006566.006); Default - Create</v>
      </c>
      <c r="V41" s="113"/>
      <c r="W41" s="113"/>
      <c r="X41" s="113"/>
      <c r="Y41" s="113"/>
      <c r="Z41" s="113"/>
      <c r="AA41" s="113"/>
      <c r="AB41" s="113"/>
      <c r="AC41" s="113"/>
      <c r="AD41" s="113"/>
      <c r="AE41" s="113"/>
      <c r="AF41" s="113"/>
      <c r="AG41" s="113"/>
    </row>
    <row r="42" spans="1:33" ht="27.6">
      <c r="A42" s="113"/>
      <c r="B42" s="113" t="s">
        <v>29</v>
      </c>
      <c r="C42" s="113">
        <v>7</v>
      </c>
      <c r="D42" s="111" t="s">
        <v>1732</v>
      </c>
      <c r="E42" s="113" t="s">
        <v>1613</v>
      </c>
      <c r="F42" s="111" t="s">
        <v>1737</v>
      </c>
      <c r="G42" s="14" t="s">
        <v>1739</v>
      </c>
      <c r="H42" s="111" t="str">
        <f ca="1">IFERROR(__xludf.dummyfunction("IFERROR(
  VLOOKUP(G42, IMPORTRANGE(""https://docs.google.com/spreadsheets/d/14deopnvwcrKtEGCKuYXdUHJbeLDZlkiSSWWT0g7x2pM/edit#gid=849066331"", ""LU List Maths (Filter)!A:B""), 2, FALSE),
  IFERROR(
    VLOOKUP(G42, IMPORTRANGE(""https://docs.google.com/s"&amp;"preadsheets/d/14deopnvwcrKtEGCKuYXdUHJbeLDZlkiSSWWT0g7x2pM/edit#gid=849066331"", ""LU List Science (Filter)!A:B""), 2, FALSE),
    ""Not Found""
  )
)
"),"Composition and Uses of Alloys")</f>
        <v>Composition and Uses of Alloys</v>
      </c>
      <c r="I42" s="113"/>
      <c r="J42" s="1" t="str">
        <f t="shared" si="6"/>
        <v>LU006730.001</v>
      </c>
      <c r="K42" s="1" t="str">
        <f ca="1">IFERROR(__xludf.dummyfunction("VLOOKUP(J42, IMPORTRANGE(""https://docs.google.com/spreadsheets/d/1yDAaXNsi4Mr5FtRQL4tbmSdIzhx6_m4wkOD7IG-k_eo/edit#gid=1336395716"", ""Science!M:N""), 2, FALSE)"),"(LU006730.001); Default - Remember")</f>
        <v>(LU006730.001); Default - Remember</v>
      </c>
      <c r="L42" s="1" t="str">
        <f t="shared" si="7"/>
        <v>LU006730.002</v>
      </c>
      <c r="M42" s="1" t="str">
        <f ca="1">IFERROR(__xludf.dummyfunction("VLOOKUP(L42, IMPORTRANGE(""https://docs.google.com/spreadsheets/d/1yDAaXNsi4Mr5FtRQL4tbmSdIzhx6_m4wkOD7IG-k_eo/edit#gid=1336395716"", ""Science!M:N""), 2, FALSE)"),"(LU006730.002); Default - Understand")</f>
        <v>(LU006730.002); Default - Understand</v>
      </c>
      <c r="N42" s="1" t="str">
        <f t="shared" si="8"/>
        <v>LU006730.003</v>
      </c>
      <c r="O42" s="1" t="str">
        <f ca="1">IFERROR(__xludf.dummyfunction("VLOOKUP(N42, IMPORTRANGE(""https://docs.google.com/spreadsheets/d/1yDAaXNsi4Mr5FtRQL4tbmSdIzhx6_m4wkOD7IG-k_eo/edit#gid=1336395716"", ""Science!M:N""), 2, FALSE)"),"(LU006730.003); Default - Apply")</f>
        <v>(LU006730.003); Default - Apply</v>
      </c>
      <c r="P42" s="1" t="str">
        <f t="shared" si="9"/>
        <v>LU006730.004</v>
      </c>
      <c r="Q42" s="15" t="str">
        <f ca="1">IFERROR(__xludf.dummyfunction("VLOOKUP(P42, IMPORTRANGE(""https://docs.google.com/spreadsheets/d/1yDAaXNsi4Mr5FtRQL4tbmSdIzhx6_m4wkOD7IG-k_eo/edit#gid=1336395716"", ""Science!M:N""), 2, FALSE)"),"(LU006730.004); Default - Analyse")</f>
        <v>(LU006730.004); Default - Analyse</v>
      </c>
      <c r="R42" s="1" t="str">
        <f t="shared" si="10"/>
        <v>LU006730.005</v>
      </c>
      <c r="S42" s="15" t="str">
        <f ca="1">IFERROR(__xludf.dummyfunction("VLOOKUP(R42, IMPORTRANGE(""https://docs.google.com/spreadsheets/d/1yDAaXNsi4Mr5FtRQL4tbmSdIzhx6_m4wkOD7IG-k_eo/edit#gid=1336395716"", ""Science!M:N""), 2, FALSE)"),"(LU006730.005); Default - Evaluate")</f>
        <v>(LU006730.005); Default - Evaluate</v>
      </c>
      <c r="T42" s="1" t="str">
        <f t="shared" si="11"/>
        <v>LU006730.006</v>
      </c>
      <c r="U42" s="15" t="str">
        <f ca="1">IFERROR(__xludf.dummyfunction("VLOOKUP(T42, IMPORTRANGE(""https://docs.google.com/spreadsheets/d/1yDAaXNsi4Mr5FtRQL4tbmSdIzhx6_m4wkOD7IG-k_eo/edit#gid=1336395716"", ""Science!M:N""), 2, FALSE)"),"(LU006730.006); Default - Create")</f>
        <v>(LU006730.006); Default - Create</v>
      </c>
      <c r="V42" s="113"/>
      <c r="W42" s="113"/>
      <c r="X42" s="113"/>
      <c r="Y42" s="113"/>
      <c r="Z42" s="113"/>
      <c r="AA42" s="113"/>
      <c r="AB42" s="113"/>
      <c r="AC42" s="113"/>
      <c r="AD42" s="113"/>
      <c r="AE42" s="113"/>
      <c r="AF42" s="113"/>
      <c r="AG42" s="113"/>
    </row>
    <row r="43" spans="1:33" ht="27.6">
      <c r="A43" s="113"/>
      <c r="B43" s="113" t="s">
        <v>29</v>
      </c>
      <c r="C43" s="113">
        <v>7</v>
      </c>
      <c r="D43" s="111" t="s">
        <v>1659</v>
      </c>
      <c r="E43" s="113" t="s">
        <v>1613</v>
      </c>
      <c r="F43" s="111" t="s">
        <v>1740</v>
      </c>
      <c r="G43" s="14" t="s">
        <v>1741</v>
      </c>
      <c r="H43" s="111" t="str">
        <f ca="1">IFERROR(__xludf.dummyfunction("IFERROR(
  VLOOKUP(G43, IMPORTRANGE(""https://docs.google.com/spreadsheets/d/14deopnvwcrKtEGCKuYXdUHJbeLDZlkiSSWWT0g7x2pM/edit#gid=849066331"", ""LU List Maths (Filter)!A:B""), 2, FALSE),
  IFERROR(
    VLOOKUP(G43, IMPORTRANGE(""https://docs.google.com/s"&amp;"preadsheets/d/14deopnvwcrKtEGCKuYXdUHJbeLDZlkiSSWWT0g7x2pM/edit#gid=849066331"", ""LU List Science (Filter)!A:B""), 2, FALSE),
    ""Not Found""
  )
)
"),"Air is a Mixture of Gases")</f>
        <v>Air is a Mixture of Gases</v>
      </c>
      <c r="I43" s="113"/>
      <c r="J43" s="1" t="str">
        <f t="shared" si="6"/>
        <v>LU006731.001</v>
      </c>
      <c r="K43" s="1" t="str">
        <f ca="1">IFERROR(__xludf.dummyfunction("VLOOKUP(J43, IMPORTRANGE(""https://docs.google.com/spreadsheets/d/1yDAaXNsi4Mr5FtRQL4tbmSdIzhx6_m4wkOD7IG-k_eo/edit#gid=1336395716"", ""Science!M:N""), 2, FALSE)"),"(LU006731.001); Default - Remember")</f>
        <v>(LU006731.001); Default - Remember</v>
      </c>
      <c r="L43" s="1" t="str">
        <f t="shared" si="7"/>
        <v>LU006731.002</v>
      </c>
      <c r="M43" s="1" t="str">
        <f ca="1">IFERROR(__xludf.dummyfunction("VLOOKUP(L43, IMPORTRANGE(""https://docs.google.com/spreadsheets/d/1yDAaXNsi4Mr5FtRQL4tbmSdIzhx6_m4wkOD7IG-k_eo/edit#gid=1336395716"", ""Science!M:N""), 2, FALSE)"),"(LU006731.002); Default - Understand")</f>
        <v>(LU006731.002); Default - Understand</v>
      </c>
      <c r="N43" s="1" t="str">
        <f t="shared" si="8"/>
        <v>LU006731.003</v>
      </c>
      <c r="O43" s="1" t="str">
        <f ca="1">IFERROR(__xludf.dummyfunction("VLOOKUP(N43, IMPORTRANGE(""https://docs.google.com/spreadsheets/d/1yDAaXNsi4Mr5FtRQL4tbmSdIzhx6_m4wkOD7IG-k_eo/edit#gid=1336395716"", ""Science!M:N""), 2, FALSE)"),"(LU006731.003); Default - Apply")</f>
        <v>(LU006731.003); Default - Apply</v>
      </c>
      <c r="P43" s="1" t="str">
        <f t="shared" si="9"/>
        <v>LU006731.004</v>
      </c>
      <c r="Q43" s="15" t="str">
        <f ca="1">IFERROR(__xludf.dummyfunction("VLOOKUP(P43, IMPORTRANGE(""https://docs.google.com/spreadsheets/d/1yDAaXNsi4Mr5FtRQL4tbmSdIzhx6_m4wkOD7IG-k_eo/edit#gid=1336395716"", ""Science!M:N""), 2, FALSE)"),"(LU006731.004); Default - Analyse")</f>
        <v>(LU006731.004); Default - Analyse</v>
      </c>
      <c r="R43" s="1" t="str">
        <f t="shared" si="10"/>
        <v>LU006731.005</v>
      </c>
      <c r="S43" s="15" t="str">
        <f ca="1">IFERROR(__xludf.dummyfunction("VLOOKUP(R43, IMPORTRANGE(""https://docs.google.com/spreadsheets/d/1yDAaXNsi4Mr5FtRQL4tbmSdIzhx6_m4wkOD7IG-k_eo/edit#gid=1336395716"", ""Science!M:N""), 2, FALSE)"),"(LU006731.005); Default - Evaluate")</f>
        <v>(LU006731.005); Default - Evaluate</v>
      </c>
      <c r="T43" s="1" t="str">
        <f t="shared" si="11"/>
        <v>LU006731.006</v>
      </c>
      <c r="U43" s="15" t="str">
        <f ca="1">IFERROR(__xludf.dummyfunction("VLOOKUP(T43, IMPORTRANGE(""https://docs.google.com/spreadsheets/d/1yDAaXNsi4Mr5FtRQL4tbmSdIzhx6_m4wkOD7IG-k_eo/edit#gid=1336395716"", ""Science!M:N""), 2, FALSE)"),"(LU006731.006); Default - Create")</f>
        <v>(LU006731.006); Default - Create</v>
      </c>
      <c r="V43" s="113"/>
      <c r="W43" s="113"/>
      <c r="X43" s="113"/>
      <c r="Y43" s="113"/>
      <c r="Z43" s="113"/>
      <c r="AA43" s="113"/>
      <c r="AB43" s="113"/>
      <c r="AC43" s="113"/>
      <c r="AD43" s="113"/>
      <c r="AE43" s="113"/>
      <c r="AF43" s="113"/>
      <c r="AG43" s="113"/>
    </row>
    <row r="44" spans="1:33" ht="27.6">
      <c r="A44" s="113"/>
      <c r="B44" s="113" t="s">
        <v>29</v>
      </c>
      <c r="C44" s="113">
        <v>7</v>
      </c>
      <c r="D44" s="111" t="s">
        <v>1659</v>
      </c>
      <c r="E44" s="113" t="s">
        <v>1613</v>
      </c>
      <c r="F44" s="111" t="s">
        <v>1740</v>
      </c>
      <c r="G44" s="14" t="s">
        <v>1742</v>
      </c>
      <c r="H44" s="111" t="str">
        <f ca="1">IFERROR(__xludf.dummyfunction("IFERROR(
  VLOOKUP(G44, IMPORTRANGE(""https://docs.google.com/spreadsheets/d/14deopnvwcrKtEGCKuYXdUHJbeLDZlkiSSWWT0g7x2pM/edit#gid=849066331"", ""LU List Maths (Filter)!A:B""), 2, FALSE),
  IFERROR(
    VLOOKUP(G44, IMPORTRANGE(""https://docs.google.com/s"&amp;"preadsheets/d/14deopnvwcrKtEGCKuYXdUHJbeLDZlkiSSWWT0g7x2pM/edit#gid=849066331"", ""LU List Science (Filter)!A:B""), 2, FALSE),
    ""Not Found""
  )
)
"),"Uses of Components of Air")</f>
        <v>Uses of Components of Air</v>
      </c>
      <c r="I44" s="113"/>
      <c r="J44" s="1" t="str">
        <f t="shared" si="6"/>
        <v>LU006732.001</v>
      </c>
      <c r="K44" s="1" t="str">
        <f ca="1">IFERROR(__xludf.dummyfunction("VLOOKUP(J44, IMPORTRANGE(""https://docs.google.com/spreadsheets/d/1yDAaXNsi4Mr5FtRQL4tbmSdIzhx6_m4wkOD7IG-k_eo/edit#gid=1336395716"", ""Science!M:N""), 2, FALSE)"),"(LU006732.001); Default - Remember")</f>
        <v>(LU006732.001); Default - Remember</v>
      </c>
      <c r="L44" s="1" t="str">
        <f t="shared" si="7"/>
        <v>LU006732.002</v>
      </c>
      <c r="M44" s="1" t="str">
        <f ca="1">IFERROR(__xludf.dummyfunction("VLOOKUP(L44, IMPORTRANGE(""https://docs.google.com/spreadsheets/d/1yDAaXNsi4Mr5FtRQL4tbmSdIzhx6_m4wkOD7IG-k_eo/edit#gid=1336395716"", ""Science!M:N""), 2, FALSE)"),"(LU006732.002); Default - Understand")</f>
        <v>(LU006732.002); Default - Understand</v>
      </c>
      <c r="N44" s="1" t="str">
        <f t="shared" si="8"/>
        <v>LU006732.003</v>
      </c>
      <c r="O44" s="1" t="str">
        <f ca="1">IFERROR(__xludf.dummyfunction("VLOOKUP(N44, IMPORTRANGE(""https://docs.google.com/spreadsheets/d/1yDAaXNsi4Mr5FtRQL4tbmSdIzhx6_m4wkOD7IG-k_eo/edit#gid=1336395716"", ""Science!M:N""), 2, FALSE)"),"(LU006732.003); Default - Apply")</f>
        <v>(LU006732.003); Default - Apply</v>
      </c>
      <c r="P44" s="1" t="str">
        <f t="shared" si="9"/>
        <v>LU006732.004</v>
      </c>
      <c r="Q44" s="15" t="str">
        <f ca="1">IFERROR(__xludf.dummyfunction("VLOOKUP(P44, IMPORTRANGE(""https://docs.google.com/spreadsheets/d/1yDAaXNsi4Mr5FtRQL4tbmSdIzhx6_m4wkOD7IG-k_eo/edit#gid=1336395716"", ""Science!M:N""), 2, FALSE)"),"(LU006732.004); Default - Analyse")</f>
        <v>(LU006732.004); Default - Analyse</v>
      </c>
      <c r="R44" s="1" t="str">
        <f t="shared" si="10"/>
        <v>LU006732.005</v>
      </c>
      <c r="S44" s="15" t="str">
        <f ca="1">IFERROR(__xludf.dummyfunction("VLOOKUP(R44, IMPORTRANGE(""https://docs.google.com/spreadsheets/d/1yDAaXNsi4Mr5FtRQL4tbmSdIzhx6_m4wkOD7IG-k_eo/edit#gid=1336395716"", ""Science!M:N""), 2, FALSE)"),"(LU006732.005); Default - Evaluate")</f>
        <v>(LU006732.005); Default - Evaluate</v>
      </c>
      <c r="T44" s="1" t="str">
        <f t="shared" si="11"/>
        <v>LU006732.006</v>
      </c>
      <c r="U44" s="15" t="str">
        <f ca="1">IFERROR(__xludf.dummyfunction("VLOOKUP(T44, IMPORTRANGE(""https://docs.google.com/spreadsheets/d/1yDAaXNsi4Mr5FtRQL4tbmSdIzhx6_m4wkOD7IG-k_eo/edit#gid=1336395716"", ""Science!M:N""), 2, FALSE)"),"(LU006732.006); Default - Create")</f>
        <v>(LU006732.006); Default - Create</v>
      </c>
      <c r="V44" s="113"/>
      <c r="W44" s="113"/>
      <c r="X44" s="113"/>
      <c r="Y44" s="113"/>
      <c r="Z44" s="113"/>
      <c r="AA44" s="113"/>
      <c r="AB44" s="113"/>
      <c r="AC44" s="113"/>
      <c r="AD44" s="113"/>
      <c r="AE44" s="113"/>
      <c r="AF44" s="113"/>
      <c r="AG44" s="113"/>
    </row>
    <row r="45" spans="1:33" ht="41.4">
      <c r="A45" s="113"/>
      <c r="B45" s="113" t="s">
        <v>29</v>
      </c>
      <c r="C45" s="113">
        <v>7</v>
      </c>
      <c r="D45" s="111" t="s">
        <v>1659</v>
      </c>
      <c r="E45" s="113" t="s">
        <v>1613</v>
      </c>
      <c r="F45" s="111" t="s">
        <v>1743</v>
      </c>
      <c r="G45" s="14" t="s">
        <v>1744</v>
      </c>
      <c r="H45" s="111" t="str">
        <f ca="1">IFERROR(__xludf.dummyfunction("IFERROR(
  VLOOKUP(G45, IMPORTRANGE(""https://docs.google.com/spreadsheets/d/14deopnvwcrKtEGCKuYXdUHJbeLDZlkiSSWWT0g7x2pM/edit#gid=849066331"", ""LU List Maths (Filter)!A:B""), 2, FALSE),
  IFERROR(
    VLOOKUP(G45, IMPORTRANGE(""https://docs.google.com/s"&amp;"preadsheets/d/14deopnvwcrKtEGCKuYXdUHJbeLDZlkiSSWWT0g7x2pM/edit#gid=849066331"", ""LU List Science (Filter)!A:B""), 2, FALSE),
    ""Not Found""
  )
)
"),"Physical Properties of Oxygen")</f>
        <v>Physical Properties of Oxygen</v>
      </c>
      <c r="I45" s="113"/>
      <c r="J45" s="1" t="str">
        <f t="shared" si="6"/>
        <v>LU006733.001</v>
      </c>
      <c r="K45" s="1" t="str">
        <f ca="1">IFERROR(__xludf.dummyfunction("VLOOKUP(J45, IMPORTRANGE(""https://docs.google.com/spreadsheets/d/1yDAaXNsi4Mr5FtRQL4tbmSdIzhx6_m4wkOD7IG-k_eo/edit#gid=1336395716"", ""Science!M:N""), 2, FALSE)"),"(LU006733.001); Default - Remember")</f>
        <v>(LU006733.001); Default - Remember</v>
      </c>
      <c r="L45" s="1" t="str">
        <f t="shared" si="7"/>
        <v>LU006733.002</v>
      </c>
      <c r="M45" s="1" t="str">
        <f ca="1">IFERROR(__xludf.dummyfunction("VLOOKUP(L45, IMPORTRANGE(""https://docs.google.com/spreadsheets/d/1yDAaXNsi4Mr5FtRQL4tbmSdIzhx6_m4wkOD7IG-k_eo/edit#gid=1336395716"", ""Science!M:N""), 2, FALSE)"),"(LU006733.002); Default - Understand")</f>
        <v>(LU006733.002); Default - Understand</v>
      </c>
      <c r="N45" s="1" t="str">
        <f t="shared" si="8"/>
        <v>LU006733.003</v>
      </c>
      <c r="O45" s="1" t="str">
        <f ca="1">IFERROR(__xludf.dummyfunction("VLOOKUP(N45, IMPORTRANGE(""https://docs.google.com/spreadsheets/d/1yDAaXNsi4Mr5FtRQL4tbmSdIzhx6_m4wkOD7IG-k_eo/edit#gid=1336395716"", ""Science!M:N""), 2, FALSE)"),"(LU006733.003); Default - Apply")</f>
        <v>(LU006733.003); Default - Apply</v>
      </c>
      <c r="P45" s="1" t="str">
        <f t="shared" si="9"/>
        <v>LU006733.004</v>
      </c>
      <c r="Q45" s="15" t="str">
        <f ca="1">IFERROR(__xludf.dummyfunction("VLOOKUP(P45, IMPORTRANGE(""https://docs.google.com/spreadsheets/d/1yDAaXNsi4Mr5FtRQL4tbmSdIzhx6_m4wkOD7IG-k_eo/edit#gid=1336395716"", ""Science!M:N""), 2, FALSE)"),"(LU006733.004); Default - Analyse")</f>
        <v>(LU006733.004); Default - Analyse</v>
      </c>
      <c r="R45" s="1" t="str">
        <f t="shared" si="10"/>
        <v>LU006733.005</v>
      </c>
      <c r="S45" s="15" t="str">
        <f ca="1">IFERROR(__xludf.dummyfunction("VLOOKUP(R45, IMPORTRANGE(""https://docs.google.com/spreadsheets/d/1yDAaXNsi4Mr5FtRQL4tbmSdIzhx6_m4wkOD7IG-k_eo/edit#gid=1336395716"", ""Science!M:N""), 2, FALSE)"),"(LU006733.005); Default - Evaluate")</f>
        <v>(LU006733.005); Default - Evaluate</v>
      </c>
      <c r="T45" s="1" t="str">
        <f t="shared" si="11"/>
        <v>LU006733.006</v>
      </c>
      <c r="U45" s="15" t="str">
        <f ca="1">IFERROR(__xludf.dummyfunction("VLOOKUP(T45, IMPORTRANGE(""https://docs.google.com/spreadsheets/d/1yDAaXNsi4Mr5FtRQL4tbmSdIzhx6_m4wkOD7IG-k_eo/edit#gid=1336395716"", ""Science!M:N""), 2, FALSE)"),"(LU006733.006); Default - Create")</f>
        <v>(LU006733.006); Default - Create</v>
      </c>
      <c r="V45" s="113"/>
      <c r="W45" s="113"/>
      <c r="X45" s="113"/>
      <c r="Y45" s="113"/>
      <c r="Z45" s="113"/>
      <c r="AA45" s="113"/>
      <c r="AB45" s="113"/>
      <c r="AC45" s="113"/>
      <c r="AD45" s="113"/>
      <c r="AE45" s="113"/>
      <c r="AF45" s="113"/>
      <c r="AG45" s="113"/>
    </row>
    <row r="46" spans="1:33" ht="41.4">
      <c r="A46" s="113"/>
      <c r="B46" s="113" t="s">
        <v>29</v>
      </c>
      <c r="C46" s="113">
        <v>7</v>
      </c>
      <c r="D46" s="111" t="s">
        <v>1659</v>
      </c>
      <c r="E46" s="113" t="s">
        <v>1613</v>
      </c>
      <c r="F46" s="111" t="s">
        <v>1743</v>
      </c>
      <c r="G46" s="14" t="s">
        <v>1745</v>
      </c>
      <c r="H46" s="111" t="str">
        <f ca="1">IFERROR(__xludf.dummyfunction("IFERROR(
  VLOOKUP(G46, IMPORTRANGE(""https://docs.google.com/spreadsheets/d/14deopnvwcrKtEGCKuYXdUHJbeLDZlkiSSWWT0g7x2pM/edit#gid=849066331"", ""LU List Maths (Filter)!A:B""), 2, FALSE),
  IFERROR(
    VLOOKUP(G46, IMPORTRANGE(""https://docs.google.com/s"&amp;"preadsheets/d/14deopnvwcrKtEGCKuYXdUHJbeLDZlkiSSWWT0g7x2pM/edit#gid=849066331"", ""LU List Science (Filter)!A:B""), 2, FALSE),
    ""Not Found""
  )
)
"),"Importance of Oxygen for Combustion")</f>
        <v>Importance of Oxygen for Combustion</v>
      </c>
      <c r="I46" s="113" t="s">
        <v>1746</v>
      </c>
      <c r="J46" s="1" t="str">
        <f t="shared" si="6"/>
        <v>LU006734.001</v>
      </c>
      <c r="K46" s="1" t="str">
        <f ca="1">IFERROR(__xludf.dummyfunction("VLOOKUP(J46, IMPORTRANGE(""https://docs.google.com/spreadsheets/d/1yDAaXNsi4Mr5FtRQL4tbmSdIzhx6_m4wkOD7IG-k_eo/edit#gid=1336395716"", ""Science!M:N""), 2, FALSE)"),"(LU006734.001); Default - Remember")</f>
        <v>(LU006734.001); Default - Remember</v>
      </c>
      <c r="L46" s="1" t="str">
        <f t="shared" si="7"/>
        <v>LU006734.002</v>
      </c>
      <c r="M46" s="1" t="str">
        <f ca="1">IFERROR(__xludf.dummyfunction("VLOOKUP(L46, IMPORTRANGE(""https://docs.google.com/spreadsheets/d/1yDAaXNsi4Mr5FtRQL4tbmSdIzhx6_m4wkOD7IG-k_eo/edit#gid=1336395716"", ""Science!M:N""), 2, FALSE)"),"(LU006734.002); Default - Understand")</f>
        <v>(LU006734.002); Default - Understand</v>
      </c>
      <c r="N46" s="1" t="str">
        <f t="shared" si="8"/>
        <v>LU006734.003</v>
      </c>
      <c r="O46" s="1" t="str">
        <f ca="1">IFERROR(__xludf.dummyfunction("VLOOKUP(N46, IMPORTRANGE(""https://docs.google.com/spreadsheets/d/1yDAaXNsi4Mr5FtRQL4tbmSdIzhx6_m4wkOD7IG-k_eo/edit#gid=1336395716"", ""Science!M:N""), 2, FALSE)"),"(LU006734.003); Default - Apply")</f>
        <v>(LU006734.003); Default - Apply</v>
      </c>
      <c r="P46" s="1" t="str">
        <f t="shared" si="9"/>
        <v>LU006734.004</v>
      </c>
      <c r="Q46" s="15" t="str">
        <f ca="1">IFERROR(__xludf.dummyfunction("VLOOKUP(P46, IMPORTRANGE(""https://docs.google.com/spreadsheets/d/1yDAaXNsi4Mr5FtRQL4tbmSdIzhx6_m4wkOD7IG-k_eo/edit#gid=1336395716"", ""Science!M:N""), 2, FALSE)"),"(LU006734.004); Default - Analyse")</f>
        <v>(LU006734.004); Default - Analyse</v>
      </c>
      <c r="R46" s="1" t="str">
        <f t="shared" si="10"/>
        <v>LU006734.005</v>
      </c>
      <c r="S46" s="15" t="str">
        <f ca="1">IFERROR(__xludf.dummyfunction("VLOOKUP(R46, IMPORTRANGE(""https://docs.google.com/spreadsheets/d/1yDAaXNsi4Mr5FtRQL4tbmSdIzhx6_m4wkOD7IG-k_eo/edit#gid=1336395716"", ""Science!M:N""), 2, FALSE)"),"(LU006734.005); Default - Evaluate")</f>
        <v>(LU006734.005); Default - Evaluate</v>
      </c>
      <c r="T46" s="1" t="str">
        <f t="shared" si="11"/>
        <v>LU006734.006</v>
      </c>
      <c r="U46" s="15" t="str">
        <f ca="1">IFERROR(__xludf.dummyfunction("VLOOKUP(T46, IMPORTRANGE(""https://docs.google.com/spreadsheets/d/1yDAaXNsi4Mr5FtRQL4tbmSdIzhx6_m4wkOD7IG-k_eo/edit#gid=1336395716"", ""Science!M:N""), 2, FALSE)"),"(LU006734.006); Default - Create")</f>
        <v>(LU006734.006); Default - Create</v>
      </c>
      <c r="V46" s="113"/>
      <c r="W46" s="113"/>
      <c r="X46" s="113"/>
      <c r="Y46" s="113"/>
      <c r="Z46" s="113"/>
      <c r="AA46" s="113"/>
      <c r="AB46" s="113"/>
      <c r="AC46" s="113"/>
      <c r="AD46" s="113"/>
      <c r="AE46" s="113"/>
      <c r="AF46" s="113"/>
      <c r="AG46" s="113"/>
    </row>
    <row r="47" spans="1:33" ht="41.4">
      <c r="A47" s="113"/>
      <c r="B47" s="113" t="s">
        <v>29</v>
      </c>
      <c r="C47" s="113">
        <v>7</v>
      </c>
      <c r="D47" s="111" t="s">
        <v>1659</v>
      </c>
      <c r="E47" s="113" t="s">
        <v>1613</v>
      </c>
      <c r="F47" s="111" t="s">
        <v>1743</v>
      </c>
      <c r="G47" s="14" t="s">
        <v>1747</v>
      </c>
      <c r="H47" s="111" t="str">
        <f ca="1">IFERROR(__xludf.dummyfunction("IFERROR(
  VLOOKUP(G47, IMPORTRANGE(""https://docs.google.com/spreadsheets/d/14deopnvwcrKtEGCKuYXdUHJbeLDZlkiSSWWT0g7x2pM/edit#gid=849066331"", ""LU List Maths (Filter)!A:B""), 2, FALSE),
  IFERROR(
    VLOOKUP(G47, IMPORTRANGE(""https://docs.google.com/s"&amp;"preadsheets/d/14deopnvwcrKtEGCKuYXdUHJbeLDZlkiSSWWT0g7x2pM/edit#gid=849066331"", ""LU List Science (Filter)!A:B""), 2, FALSE),
    ""Not Found""
  )
)
"),"Reaction of Metals and Non-metals with Oxygen")</f>
        <v>Reaction of Metals and Non-metals with Oxygen</v>
      </c>
      <c r="I47" s="113"/>
      <c r="J47" s="1" t="str">
        <f t="shared" si="6"/>
        <v>LU006735.001</v>
      </c>
      <c r="K47" s="1" t="str">
        <f ca="1">IFERROR(__xludf.dummyfunction("VLOOKUP(J47, IMPORTRANGE(""https://docs.google.com/spreadsheets/d/1yDAaXNsi4Mr5FtRQL4tbmSdIzhx6_m4wkOD7IG-k_eo/edit#gid=1336395716"", ""Science!M:N""), 2, FALSE)"),"(LU006735.001); Default - Remember")</f>
        <v>(LU006735.001); Default - Remember</v>
      </c>
      <c r="L47" s="1" t="str">
        <f t="shared" si="7"/>
        <v>LU006735.002</v>
      </c>
      <c r="M47" s="1" t="str">
        <f ca="1">IFERROR(__xludf.dummyfunction("VLOOKUP(L47, IMPORTRANGE(""https://docs.google.com/spreadsheets/d/1yDAaXNsi4Mr5FtRQL4tbmSdIzhx6_m4wkOD7IG-k_eo/edit#gid=1336395716"", ""Science!M:N""), 2, FALSE)"),"(LU006735.002); Default - Understand")</f>
        <v>(LU006735.002); Default - Understand</v>
      </c>
      <c r="N47" s="1" t="str">
        <f t="shared" si="8"/>
        <v>LU006735.003</v>
      </c>
      <c r="O47" s="1" t="str">
        <f ca="1">IFERROR(__xludf.dummyfunction("VLOOKUP(N47, IMPORTRANGE(""https://docs.google.com/spreadsheets/d/1yDAaXNsi4Mr5FtRQL4tbmSdIzhx6_m4wkOD7IG-k_eo/edit#gid=1336395716"", ""Science!M:N""), 2, FALSE)"),"(LU006735.003); Default - Apply")</f>
        <v>(LU006735.003); Default - Apply</v>
      </c>
      <c r="P47" s="1" t="str">
        <f t="shared" si="9"/>
        <v>LU006735.004</v>
      </c>
      <c r="Q47" s="15" t="str">
        <f ca="1">IFERROR(__xludf.dummyfunction("VLOOKUP(P47, IMPORTRANGE(""https://docs.google.com/spreadsheets/d/1yDAaXNsi4Mr5FtRQL4tbmSdIzhx6_m4wkOD7IG-k_eo/edit#gid=1336395716"", ""Science!M:N""), 2, FALSE)"),"(LU006735.004); Default - Analyse")</f>
        <v>(LU006735.004); Default - Analyse</v>
      </c>
      <c r="R47" s="1" t="str">
        <f t="shared" si="10"/>
        <v>LU006735.005</v>
      </c>
      <c r="S47" s="15" t="str">
        <f ca="1">IFERROR(__xludf.dummyfunction("VLOOKUP(R47, IMPORTRANGE(""https://docs.google.com/spreadsheets/d/1yDAaXNsi4Mr5FtRQL4tbmSdIzhx6_m4wkOD7IG-k_eo/edit#gid=1336395716"", ""Science!M:N""), 2, FALSE)"),"(LU006735.005); Default - Evaluate")</f>
        <v>(LU006735.005); Default - Evaluate</v>
      </c>
      <c r="T47" s="1" t="str">
        <f t="shared" si="11"/>
        <v>LU006735.006</v>
      </c>
      <c r="U47" s="15" t="str">
        <f ca="1">IFERROR(__xludf.dummyfunction("VLOOKUP(T47, IMPORTRANGE(""https://docs.google.com/spreadsheets/d/1yDAaXNsi4Mr5FtRQL4tbmSdIzhx6_m4wkOD7IG-k_eo/edit#gid=1336395716"", ""Science!M:N""), 2, FALSE)"),"(LU006735.006); Default - Create")</f>
        <v>(LU006735.006); Default - Create</v>
      </c>
      <c r="V47" s="113"/>
      <c r="W47" s="113"/>
      <c r="X47" s="113"/>
      <c r="Y47" s="113"/>
      <c r="Z47" s="113"/>
      <c r="AA47" s="113"/>
      <c r="AB47" s="113"/>
      <c r="AC47" s="113"/>
      <c r="AD47" s="113"/>
      <c r="AE47" s="113"/>
      <c r="AF47" s="113"/>
      <c r="AG47" s="113"/>
    </row>
    <row r="48" spans="1:33" ht="27.6">
      <c r="A48" s="113"/>
      <c r="B48" s="113" t="s">
        <v>29</v>
      </c>
      <c r="C48" s="113">
        <v>7</v>
      </c>
      <c r="D48" s="111" t="s">
        <v>1659</v>
      </c>
      <c r="E48" s="113" t="s">
        <v>1613</v>
      </c>
      <c r="F48" s="111" t="s">
        <v>1748</v>
      </c>
      <c r="G48" s="14" t="s">
        <v>1749</v>
      </c>
      <c r="H48" s="111" t="str">
        <f ca="1">IFERROR(__xludf.dummyfunction("IFERROR(
  VLOOKUP(G48, IMPORTRANGE(""https://docs.google.com/spreadsheets/d/14deopnvwcrKtEGCKuYXdUHJbeLDZlkiSSWWT0g7x2pM/edit#gid=849066331"", ""LU List Maths (Filter)!A:B""), 2, FALSE),
  IFERROR(
    VLOOKUP(G48, IMPORTRANGE(""https://docs.google.com/s"&amp;"preadsheets/d/14deopnvwcrKtEGCKuYXdUHJbeLDZlkiSSWWT0g7x2pM/edit#gid=849066331"", ""LU List Science (Filter)!A:B""), 2, FALSE),
    ""Not Found""
  )
)
"),"Types of Pollutants in Air and Their Harmful Effects")</f>
        <v>Types of Pollutants in Air and Their Harmful Effects</v>
      </c>
      <c r="I48" s="113"/>
      <c r="J48" s="1" t="str">
        <f t="shared" si="6"/>
        <v>LU006736.001</v>
      </c>
      <c r="K48" s="1" t="str">
        <f ca="1">IFERROR(__xludf.dummyfunction("VLOOKUP(J48, IMPORTRANGE(""https://docs.google.com/spreadsheets/d/1yDAaXNsi4Mr5FtRQL4tbmSdIzhx6_m4wkOD7IG-k_eo/edit#gid=1336395716"", ""Science!M:N""), 2, FALSE)"),"(LU006736.001); Default - Remember")</f>
        <v>(LU006736.001); Default - Remember</v>
      </c>
      <c r="L48" s="1" t="str">
        <f t="shared" si="7"/>
        <v>LU006736.002</v>
      </c>
      <c r="M48" s="1" t="str">
        <f ca="1">IFERROR(__xludf.dummyfunction("VLOOKUP(L48, IMPORTRANGE(""https://docs.google.com/spreadsheets/d/1yDAaXNsi4Mr5FtRQL4tbmSdIzhx6_m4wkOD7IG-k_eo/edit#gid=1336395716"", ""Science!M:N""), 2, FALSE)"),"(LU006736.002); Default - Understand")</f>
        <v>(LU006736.002); Default - Understand</v>
      </c>
      <c r="N48" s="1" t="str">
        <f t="shared" si="8"/>
        <v>LU006736.003</v>
      </c>
      <c r="O48" s="1" t="str">
        <f ca="1">IFERROR(__xludf.dummyfunction("VLOOKUP(N48, IMPORTRANGE(""https://docs.google.com/spreadsheets/d/1yDAaXNsi4Mr5FtRQL4tbmSdIzhx6_m4wkOD7IG-k_eo/edit#gid=1336395716"", ""Science!M:N""), 2, FALSE)"),"(LU006736.003); Default - Apply")</f>
        <v>(LU006736.003); Default - Apply</v>
      </c>
      <c r="P48" s="1" t="str">
        <f t="shared" si="9"/>
        <v>LU006736.004</v>
      </c>
      <c r="Q48" s="15" t="str">
        <f ca="1">IFERROR(__xludf.dummyfunction("VLOOKUP(P48, IMPORTRANGE(""https://docs.google.com/spreadsheets/d/1yDAaXNsi4Mr5FtRQL4tbmSdIzhx6_m4wkOD7IG-k_eo/edit#gid=1336395716"", ""Science!M:N""), 2, FALSE)"),"(LU006736.004); Default - Analyse")</f>
        <v>(LU006736.004); Default - Analyse</v>
      </c>
      <c r="R48" s="1" t="str">
        <f t="shared" si="10"/>
        <v>LU006736.005</v>
      </c>
      <c r="S48" s="15" t="str">
        <f ca="1">IFERROR(__xludf.dummyfunction("VLOOKUP(R48, IMPORTRANGE(""https://docs.google.com/spreadsheets/d/1yDAaXNsi4Mr5FtRQL4tbmSdIzhx6_m4wkOD7IG-k_eo/edit#gid=1336395716"", ""Science!M:N""), 2, FALSE)"),"(LU006736.005); Default - Evaluate")</f>
        <v>(LU006736.005); Default - Evaluate</v>
      </c>
      <c r="T48" s="1" t="str">
        <f t="shared" si="11"/>
        <v>LU006736.006</v>
      </c>
      <c r="U48" s="15" t="str">
        <f ca="1">IFERROR(__xludf.dummyfunction("VLOOKUP(T48, IMPORTRANGE(""https://docs.google.com/spreadsheets/d/1yDAaXNsi4Mr5FtRQL4tbmSdIzhx6_m4wkOD7IG-k_eo/edit#gid=1336395716"", ""Science!M:N""), 2, FALSE)"),"(LU006736.006); Default - Create")</f>
        <v>(LU006736.006); Default - Create</v>
      </c>
      <c r="V48" s="113"/>
      <c r="W48" s="113"/>
      <c r="X48" s="113"/>
      <c r="Y48" s="113"/>
      <c r="Z48" s="113"/>
      <c r="AA48" s="113"/>
      <c r="AB48" s="113"/>
      <c r="AC48" s="113"/>
      <c r="AD48" s="113"/>
      <c r="AE48" s="113"/>
      <c r="AF48" s="113"/>
      <c r="AG48" s="113"/>
    </row>
    <row r="49" spans="1:33" ht="27.6">
      <c r="A49" s="113"/>
      <c r="B49" s="113" t="s">
        <v>29</v>
      </c>
      <c r="C49" s="113">
        <v>7</v>
      </c>
      <c r="D49" s="111" t="s">
        <v>1659</v>
      </c>
      <c r="E49" s="113" t="s">
        <v>1613</v>
      </c>
      <c r="F49" s="111" t="s">
        <v>1748</v>
      </c>
      <c r="G49" s="14" t="s">
        <v>1750</v>
      </c>
      <c r="H49" s="111" t="str">
        <f ca="1">IFERROR(__xludf.dummyfunction("IFERROR(
  VLOOKUP(G49, IMPORTRANGE(""https://docs.google.com/spreadsheets/d/14deopnvwcrKtEGCKuYXdUHJbeLDZlkiSSWWT0g7x2pM/edit#gid=849066331"", ""LU List Maths (Filter)!A:B""), 2, FALSE),
  IFERROR(
    VLOOKUP(G49, IMPORTRANGE(""https://docs.google.com/s"&amp;"preadsheets/d/14deopnvwcrKtEGCKuYXdUHJbeLDZlkiSSWWT0g7x2pM/edit#gid=849066331"", ""LU List Science (Filter)!A:B""), 2, FALSE),
    ""Not Found""
  )
)
"),"Causes and Consequences of Acid Rain")</f>
        <v>Causes and Consequences of Acid Rain</v>
      </c>
      <c r="I49" s="113"/>
      <c r="J49" s="1" t="str">
        <f t="shared" si="6"/>
        <v>LU006737.001</v>
      </c>
      <c r="K49" s="1" t="str">
        <f ca="1">IFERROR(__xludf.dummyfunction("VLOOKUP(J49, IMPORTRANGE(""https://docs.google.com/spreadsheets/d/1yDAaXNsi4Mr5FtRQL4tbmSdIzhx6_m4wkOD7IG-k_eo/edit#gid=1336395716"", ""Science!M:N""), 2, FALSE)"),"(LU006737.001); Default - Remember")</f>
        <v>(LU006737.001); Default - Remember</v>
      </c>
      <c r="L49" s="1" t="str">
        <f t="shared" si="7"/>
        <v>LU006737.002</v>
      </c>
      <c r="M49" s="1" t="str">
        <f ca="1">IFERROR(__xludf.dummyfunction("VLOOKUP(L49, IMPORTRANGE(""https://docs.google.com/spreadsheets/d/1yDAaXNsi4Mr5FtRQL4tbmSdIzhx6_m4wkOD7IG-k_eo/edit#gid=1336395716"", ""Science!M:N""), 2, FALSE)"),"(LU006737.002); Default - Understand")</f>
        <v>(LU006737.002); Default - Understand</v>
      </c>
      <c r="N49" s="1" t="str">
        <f t="shared" si="8"/>
        <v>LU006737.003</v>
      </c>
      <c r="O49" s="1" t="str">
        <f ca="1">IFERROR(__xludf.dummyfunction("VLOOKUP(N49, IMPORTRANGE(""https://docs.google.com/spreadsheets/d/1yDAaXNsi4Mr5FtRQL4tbmSdIzhx6_m4wkOD7IG-k_eo/edit#gid=1336395716"", ""Science!M:N""), 2, FALSE)"),"(LU006737.003); Default - Apply")</f>
        <v>(LU006737.003); Default - Apply</v>
      </c>
      <c r="P49" s="1" t="str">
        <f t="shared" si="9"/>
        <v>LU006737.004</v>
      </c>
      <c r="Q49" s="15" t="str">
        <f ca="1">IFERROR(__xludf.dummyfunction("VLOOKUP(P49, IMPORTRANGE(""https://docs.google.com/spreadsheets/d/1yDAaXNsi4Mr5FtRQL4tbmSdIzhx6_m4wkOD7IG-k_eo/edit#gid=1336395716"", ""Science!M:N""), 2, FALSE)"),"(LU006737.004); Default - Analyse")</f>
        <v>(LU006737.004); Default - Analyse</v>
      </c>
      <c r="R49" s="1" t="str">
        <f t="shared" si="10"/>
        <v>LU006737.005</v>
      </c>
      <c r="S49" s="15" t="str">
        <f ca="1">IFERROR(__xludf.dummyfunction("VLOOKUP(R49, IMPORTRANGE(""https://docs.google.com/spreadsheets/d/1yDAaXNsi4Mr5FtRQL4tbmSdIzhx6_m4wkOD7IG-k_eo/edit#gid=1336395716"", ""Science!M:N""), 2, FALSE)"),"(LU006737.005); Default - Evaluate")</f>
        <v>(LU006737.005); Default - Evaluate</v>
      </c>
      <c r="T49" s="1" t="str">
        <f t="shared" si="11"/>
        <v>LU006737.006</v>
      </c>
      <c r="U49" s="15" t="str">
        <f ca="1">IFERROR(__xludf.dummyfunction("VLOOKUP(T49, IMPORTRANGE(""https://docs.google.com/spreadsheets/d/1yDAaXNsi4Mr5FtRQL4tbmSdIzhx6_m4wkOD7IG-k_eo/edit#gid=1336395716"", ""Science!M:N""), 2, FALSE)"),"(LU006737.006); Default - Create")</f>
        <v>(LU006737.006); Default - Create</v>
      </c>
      <c r="V49" s="113"/>
      <c r="W49" s="113"/>
      <c r="X49" s="113"/>
      <c r="Y49" s="113"/>
      <c r="Z49" s="113"/>
      <c r="AA49" s="113"/>
      <c r="AB49" s="113"/>
      <c r="AC49" s="113"/>
      <c r="AD49" s="113"/>
      <c r="AE49" s="113"/>
      <c r="AF49" s="113"/>
      <c r="AG49" s="113"/>
    </row>
    <row r="50" spans="1:33" ht="27.6">
      <c r="A50" s="113"/>
      <c r="B50" s="113" t="s">
        <v>29</v>
      </c>
      <c r="C50" s="113">
        <v>7</v>
      </c>
      <c r="D50" s="111" t="s">
        <v>1659</v>
      </c>
      <c r="E50" s="113" t="s">
        <v>1613</v>
      </c>
      <c r="F50" s="111" t="s">
        <v>1748</v>
      </c>
      <c r="G50" s="14" t="s">
        <v>1751</v>
      </c>
      <c r="H50" s="111" t="str">
        <f ca="1">IFERROR(__xludf.dummyfunction("IFERROR(
  VLOOKUP(G50, IMPORTRANGE(""https://docs.google.com/spreadsheets/d/14deopnvwcrKtEGCKuYXdUHJbeLDZlkiSSWWT0g7x2pM/edit#gid=849066331"", ""LU List Maths (Filter)!A:B""), 2, FALSE),
  IFERROR(
    VLOOKUP(G50, IMPORTRANGE(""https://docs.google.com/s"&amp;"preadsheets/d/14deopnvwcrKtEGCKuYXdUHJbeLDZlkiSSWWT0g7x2pM/edit#gid=849066331"", ""LU List Science (Filter)!A:B""), 2, FALSE),
    ""Not Found""
  )
)
"),"Ways to Prevent and Control Air Pollution")</f>
        <v>Ways to Prevent and Control Air Pollution</v>
      </c>
      <c r="I50" s="113"/>
      <c r="J50" s="1" t="str">
        <f t="shared" si="6"/>
        <v>LU006738.001</v>
      </c>
      <c r="K50" s="1" t="str">
        <f ca="1">IFERROR(__xludf.dummyfunction("VLOOKUP(J50, IMPORTRANGE(""https://docs.google.com/spreadsheets/d/1yDAaXNsi4Mr5FtRQL4tbmSdIzhx6_m4wkOD7IG-k_eo/edit#gid=1336395716"", ""Science!M:N""), 2, FALSE)"),"(LU006738.001); Default - Remember")</f>
        <v>(LU006738.001); Default - Remember</v>
      </c>
      <c r="L50" s="1" t="str">
        <f t="shared" si="7"/>
        <v>LU006738.002</v>
      </c>
      <c r="M50" s="1" t="str">
        <f ca="1">IFERROR(__xludf.dummyfunction("VLOOKUP(L50, IMPORTRANGE(""https://docs.google.com/spreadsheets/d/1yDAaXNsi4Mr5FtRQL4tbmSdIzhx6_m4wkOD7IG-k_eo/edit#gid=1336395716"", ""Science!M:N""), 2, FALSE)"),"(LU006738.002); Default - Understand")</f>
        <v>(LU006738.002); Default - Understand</v>
      </c>
      <c r="N50" s="1" t="str">
        <f t="shared" si="8"/>
        <v>LU006738.003</v>
      </c>
      <c r="O50" s="1" t="str">
        <f ca="1">IFERROR(__xludf.dummyfunction("VLOOKUP(N50, IMPORTRANGE(""https://docs.google.com/spreadsheets/d/1yDAaXNsi4Mr5FtRQL4tbmSdIzhx6_m4wkOD7IG-k_eo/edit#gid=1336395716"", ""Science!M:N""), 2, FALSE)"),"(LU006738.003); Default - Apply")</f>
        <v>(LU006738.003); Default - Apply</v>
      </c>
      <c r="P50" s="1" t="str">
        <f t="shared" si="9"/>
        <v>LU006738.004</v>
      </c>
      <c r="Q50" s="15" t="str">
        <f ca="1">IFERROR(__xludf.dummyfunction("VLOOKUP(P50, IMPORTRANGE(""https://docs.google.com/spreadsheets/d/1yDAaXNsi4Mr5FtRQL4tbmSdIzhx6_m4wkOD7IG-k_eo/edit#gid=1336395716"", ""Science!M:N""), 2, FALSE)"),"(LU006738.004); Default - Analyse")</f>
        <v>(LU006738.004); Default - Analyse</v>
      </c>
      <c r="R50" s="1" t="str">
        <f t="shared" si="10"/>
        <v>LU006738.005</v>
      </c>
      <c r="S50" s="15" t="str">
        <f ca="1">IFERROR(__xludf.dummyfunction("VLOOKUP(R50, IMPORTRANGE(""https://docs.google.com/spreadsheets/d/1yDAaXNsi4Mr5FtRQL4tbmSdIzhx6_m4wkOD7IG-k_eo/edit#gid=1336395716"", ""Science!M:N""), 2, FALSE)"),"(LU006738.005); Default - Evaluate")</f>
        <v>(LU006738.005); Default - Evaluate</v>
      </c>
      <c r="T50" s="1" t="str">
        <f t="shared" si="11"/>
        <v>LU006738.006</v>
      </c>
      <c r="U50" s="15" t="str">
        <f ca="1">IFERROR(__xludf.dummyfunction("VLOOKUP(T50, IMPORTRANGE(""https://docs.google.com/spreadsheets/d/1yDAaXNsi4Mr5FtRQL4tbmSdIzhx6_m4wkOD7IG-k_eo/edit#gid=1336395716"", ""Science!M:N""), 2, FALSE)"),"(LU006738.006); Default - Create")</f>
        <v>(LU006738.006); Default - Create</v>
      </c>
      <c r="V50" s="113"/>
      <c r="W50" s="113"/>
      <c r="X50" s="113"/>
      <c r="Y50" s="113"/>
      <c r="Z50" s="113"/>
      <c r="AA50" s="113"/>
      <c r="AB50" s="113"/>
      <c r="AC50" s="113"/>
      <c r="AD50" s="113"/>
      <c r="AE50" s="113"/>
      <c r="AF50" s="113"/>
      <c r="AG50" s="113"/>
    </row>
    <row r="51" spans="1:33" ht="41.4">
      <c r="A51" s="113"/>
      <c r="B51" s="113" t="s">
        <v>29</v>
      </c>
      <c r="C51" s="113">
        <v>7</v>
      </c>
      <c r="D51" s="111" t="s">
        <v>1659</v>
      </c>
      <c r="E51" s="113" t="s">
        <v>1613</v>
      </c>
      <c r="F51" s="111" t="s">
        <v>1752</v>
      </c>
      <c r="G51" s="14" t="s">
        <v>1753</v>
      </c>
      <c r="H51" s="111" t="str">
        <f ca="1">IFERROR(__xludf.dummyfunction("IFERROR(
  VLOOKUP(G51, IMPORTRANGE(""https://docs.google.com/spreadsheets/d/14deopnvwcrKtEGCKuYXdUHJbeLDZlkiSSWWT0g7x2pM/edit#gid=849066331"", ""LU List Maths (Filter)!A:B""), 2, FALSE),
  IFERROR(
    VLOOKUP(G51, IMPORTRANGE(""https://docs.google.com/s"&amp;"preadsheets/d/14deopnvwcrKtEGCKuYXdUHJbeLDZlkiSSWWT0g7x2pM/edit#gid=849066331"", ""LU List Science (Filter)!A:B""), 2, FALSE),
    ""Not Found""
  )
)
"),"Comparison of Respiration and Combustion")</f>
        <v>Comparison of Respiration and Combustion</v>
      </c>
      <c r="I51" s="113"/>
      <c r="J51" s="1" t="str">
        <f t="shared" si="6"/>
        <v>LU006739.001</v>
      </c>
      <c r="K51" s="1" t="str">
        <f ca="1">IFERROR(__xludf.dummyfunction("VLOOKUP(J51, IMPORTRANGE(""https://docs.google.com/spreadsheets/d/1yDAaXNsi4Mr5FtRQL4tbmSdIzhx6_m4wkOD7IG-k_eo/edit#gid=1336395716"", ""Science!M:N""), 2, FALSE)"),"(LU006739.001); Default - Remember")</f>
        <v>(LU006739.001); Default - Remember</v>
      </c>
      <c r="L51" s="1" t="str">
        <f t="shared" si="7"/>
        <v>LU006739.002</v>
      </c>
      <c r="M51" s="1" t="str">
        <f ca="1">IFERROR(__xludf.dummyfunction("VLOOKUP(L51, IMPORTRANGE(""https://docs.google.com/spreadsheets/d/1yDAaXNsi4Mr5FtRQL4tbmSdIzhx6_m4wkOD7IG-k_eo/edit#gid=1336395716"", ""Science!M:N""), 2, FALSE)"),"(LU006739.002); Default - Understand")</f>
        <v>(LU006739.002); Default - Understand</v>
      </c>
      <c r="N51" s="1" t="str">
        <f t="shared" si="8"/>
        <v>LU006739.003</v>
      </c>
      <c r="O51" s="1" t="str">
        <f ca="1">IFERROR(__xludf.dummyfunction("VLOOKUP(N51, IMPORTRANGE(""https://docs.google.com/spreadsheets/d/1yDAaXNsi4Mr5FtRQL4tbmSdIzhx6_m4wkOD7IG-k_eo/edit#gid=1336395716"", ""Science!M:N""), 2, FALSE)"),"(LU006739.003); Default - Apply")</f>
        <v>(LU006739.003); Default - Apply</v>
      </c>
      <c r="P51" s="1" t="str">
        <f t="shared" si="9"/>
        <v>LU006739.004</v>
      </c>
      <c r="Q51" s="15" t="str">
        <f ca="1">IFERROR(__xludf.dummyfunction("VLOOKUP(P51, IMPORTRANGE(""https://docs.google.com/spreadsheets/d/1yDAaXNsi4Mr5FtRQL4tbmSdIzhx6_m4wkOD7IG-k_eo/edit#gid=1336395716"", ""Science!M:N""), 2, FALSE)"),"(LU006739.004); Default - Analyse")</f>
        <v>(LU006739.004); Default - Analyse</v>
      </c>
      <c r="R51" s="1" t="str">
        <f t="shared" si="10"/>
        <v>LU006739.005</v>
      </c>
      <c r="S51" s="15" t="str">
        <f ca="1">IFERROR(__xludf.dummyfunction("VLOOKUP(R51, IMPORTRANGE(""https://docs.google.com/spreadsheets/d/1yDAaXNsi4Mr5FtRQL4tbmSdIzhx6_m4wkOD7IG-k_eo/edit#gid=1336395716"", ""Science!M:N""), 2, FALSE)"),"(LU006739.005); Default - Evaluate")</f>
        <v>(LU006739.005); Default - Evaluate</v>
      </c>
      <c r="T51" s="1" t="str">
        <f t="shared" si="11"/>
        <v>LU006739.006</v>
      </c>
      <c r="U51" s="15" t="str">
        <f ca="1">IFERROR(__xludf.dummyfunction("VLOOKUP(T51, IMPORTRANGE(""https://docs.google.com/spreadsheets/d/1yDAaXNsi4Mr5FtRQL4tbmSdIzhx6_m4wkOD7IG-k_eo/edit#gid=1336395716"", ""Science!M:N""), 2, FALSE)"),"(LU006739.006); Default - Create")</f>
        <v>(LU006739.006); Default - Create</v>
      </c>
      <c r="V51" s="113"/>
      <c r="W51" s="113"/>
      <c r="X51" s="113"/>
      <c r="Y51" s="113"/>
      <c r="Z51" s="113"/>
      <c r="AA51" s="113"/>
      <c r="AB51" s="113"/>
      <c r="AC51" s="113"/>
      <c r="AD51" s="113"/>
      <c r="AE51" s="113"/>
      <c r="AF51" s="113"/>
      <c r="AG51" s="113"/>
    </row>
    <row r="52" spans="1:33" ht="41.4">
      <c r="A52" s="113"/>
      <c r="B52" s="113" t="s">
        <v>29</v>
      </c>
      <c r="C52" s="113">
        <v>7</v>
      </c>
      <c r="D52" s="111" t="s">
        <v>1659</v>
      </c>
      <c r="E52" s="113" t="s">
        <v>1613</v>
      </c>
      <c r="F52" s="111" t="s">
        <v>1752</v>
      </c>
      <c r="G52" s="14" t="s">
        <v>1754</v>
      </c>
      <c r="H52" s="111" t="str">
        <f ca="1">IFERROR(__xludf.dummyfunction("IFERROR(
  VLOOKUP(G52, IMPORTRANGE(""https://docs.google.com/spreadsheets/d/14deopnvwcrKtEGCKuYXdUHJbeLDZlkiSSWWT0g7x2pM/edit#gid=849066331"", ""LU List Maths (Filter)!A:B""), 2, FALSE),
  IFERROR(
    VLOOKUP(G52, IMPORTRANGE(""https://docs.google.com/s"&amp;"preadsheets/d/14deopnvwcrKtEGCKuYXdUHJbeLDZlkiSSWWT0g7x2pM/edit#gid=849066331"", ""LU List Science (Filter)!A:B""), 2, FALSE),
    ""Not Found""
  )
)
"),"Comparison of Rusting and Combustion")</f>
        <v>Comparison of Rusting and Combustion</v>
      </c>
      <c r="I52" s="113"/>
      <c r="J52" s="1" t="str">
        <f t="shared" si="6"/>
        <v>LU006740.001</v>
      </c>
      <c r="K52" s="1" t="str">
        <f ca="1">IFERROR(__xludf.dummyfunction("VLOOKUP(J52, IMPORTRANGE(""https://docs.google.com/spreadsheets/d/1yDAaXNsi4Mr5FtRQL4tbmSdIzhx6_m4wkOD7IG-k_eo/edit#gid=1336395716"", ""Science!M:N""), 2, FALSE)"),"(LU006740.001); Default - Remember")</f>
        <v>(LU006740.001); Default - Remember</v>
      </c>
      <c r="L52" s="1" t="str">
        <f t="shared" si="7"/>
        <v>LU006740.002</v>
      </c>
      <c r="M52" s="1" t="str">
        <f ca="1">IFERROR(__xludf.dummyfunction("VLOOKUP(L52, IMPORTRANGE(""https://docs.google.com/spreadsheets/d/1yDAaXNsi4Mr5FtRQL4tbmSdIzhx6_m4wkOD7IG-k_eo/edit#gid=1336395716"", ""Science!M:N""), 2, FALSE)"),"(LU006740.002); Default - Understand")</f>
        <v>(LU006740.002); Default - Understand</v>
      </c>
      <c r="N52" s="1" t="str">
        <f t="shared" si="8"/>
        <v>LU006740.003</v>
      </c>
      <c r="O52" s="1" t="str">
        <f ca="1">IFERROR(__xludf.dummyfunction("VLOOKUP(N52, IMPORTRANGE(""https://docs.google.com/spreadsheets/d/1yDAaXNsi4Mr5FtRQL4tbmSdIzhx6_m4wkOD7IG-k_eo/edit#gid=1336395716"", ""Science!M:N""), 2, FALSE)"),"(LU006740.003); Default - Apply")</f>
        <v>(LU006740.003); Default - Apply</v>
      </c>
      <c r="P52" s="1" t="str">
        <f t="shared" si="9"/>
        <v>LU006740.004</v>
      </c>
      <c r="Q52" s="15" t="str">
        <f ca="1">IFERROR(__xludf.dummyfunction("VLOOKUP(P52, IMPORTRANGE(""https://docs.google.com/spreadsheets/d/1yDAaXNsi4Mr5FtRQL4tbmSdIzhx6_m4wkOD7IG-k_eo/edit#gid=1336395716"", ""Science!M:N""), 2, FALSE)"),"(LU006740.004); Default - Analyse")</f>
        <v>(LU006740.004); Default - Analyse</v>
      </c>
      <c r="R52" s="1" t="str">
        <f t="shared" si="10"/>
        <v>LU006740.005</v>
      </c>
      <c r="S52" s="15" t="str">
        <f ca="1">IFERROR(__xludf.dummyfunction("VLOOKUP(R52, IMPORTRANGE(""https://docs.google.com/spreadsheets/d/1yDAaXNsi4Mr5FtRQL4tbmSdIzhx6_m4wkOD7IG-k_eo/edit#gid=1336395716"", ""Science!M:N""), 2, FALSE)"),"(LU006740.005); Default - Evaluate")</f>
        <v>(LU006740.005); Default - Evaluate</v>
      </c>
      <c r="T52" s="1" t="str">
        <f t="shared" si="11"/>
        <v>LU006740.006</v>
      </c>
      <c r="U52" s="15" t="str">
        <f ca="1">IFERROR(__xludf.dummyfunction("VLOOKUP(T52, IMPORTRANGE(""https://docs.google.com/spreadsheets/d/1yDAaXNsi4Mr5FtRQL4tbmSdIzhx6_m4wkOD7IG-k_eo/edit#gid=1336395716"", ""Science!M:N""), 2, FALSE)"),"(LU006740.006); Default - Create")</f>
        <v>(LU006740.006); Default - Create</v>
      </c>
      <c r="V52" s="113"/>
      <c r="W52" s="113"/>
      <c r="X52" s="113"/>
      <c r="Y52" s="113"/>
      <c r="Z52" s="113"/>
      <c r="AA52" s="113"/>
      <c r="AB52" s="113"/>
      <c r="AC52" s="113"/>
      <c r="AD52" s="113"/>
      <c r="AE52" s="113"/>
      <c r="AF52" s="113"/>
      <c r="AG52" s="113"/>
    </row>
    <row r="53" spans="1:33" ht="13.8">
      <c r="A53" s="113"/>
      <c r="B53" s="113"/>
      <c r="C53" s="113"/>
      <c r="D53" s="111"/>
      <c r="E53" s="113"/>
      <c r="F53" s="111"/>
      <c r="G53" s="113"/>
      <c r="H53" s="111"/>
      <c r="I53" s="113"/>
      <c r="J53" s="1" t="str">
        <f t="shared" si="6"/>
        <v>.001</v>
      </c>
      <c r="K53" s="1" t="str">
        <f ca="1">IFERROR(__xludf.dummyfunction("VLOOKUP(J53, IMPORTRANGE(""https://docs.google.com/spreadsheets/d/1yDAaXNsi4Mr5FtRQL4tbmSdIzhx6_m4wkOD7IG-k_eo/edit#gid=1336395716"", ""Science!M:N""), 2, FALSE)"),"#N/A")</f>
        <v>#N/A</v>
      </c>
      <c r="L53" s="1" t="str">
        <f t="shared" si="7"/>
        <v>.002</v>
      </c>
      <c r="M53" s="1" t="str">
        <f ca="1">IFERROR(__xludf.dummyfunction("VLOOKUP(L53, IMPORTRANGE(""https://docs.google.com/spreadsheets/d/1yDAaXNsi4Mr5FtRQL4tbmSdIzhx6_m4wkOD7IG-k_eo/edit#gid=1336395716"", ""Science!M:N""), 2, FALSE)"),"#N/A")</f>
        <v>#N/A</v>
      </c>
      <c r="N53" s="1" t="str">
        <f t="shared" si="8"/>
        <v>.003</v>
      </c>
      <c r="O53" s="1" t="str">
        <f ca="1">IFERROR(__xludf.dummyfunction("VLOOKUP(N53, IMPORTRANGE(""https://docs.google.com/spreadsheets/d/1yDAaXNsi4Mr5FtRQL4tbmSdIzhx6_m4wkOD7IG-k_eo/edit#gid=1336395716"", ""Science!M:N""), 2, FALSE)"),"#N/A")</f>
        <v>#N/A</v>
      </c>
      <c r="P53" s="1" t="str">
        <f t="shared" si="9"/>
        <v>.004</v>
      </c>
      <c r="Q53" s="15" t="str">
        <f ca="1">IFERROR(__xludf.dummyfunction("VLOOKUP(P53, IMPORTRANGE(""https://docs.google.com/spreadsheets/d/1yDAaXNsi4Mr5FtRQL4tbmSdIzhx6_m4wkOD7IG-k_eo/edit#gid=1336395716"", ""Science!M:N""), 2, FALSE)"),"#N/A")</f>
        <v>#N/A</v>
      </c>
      <c r="R53" s="1" t="str">
        <f t="shared" si="10"/>
        <v>.005</v>
      </c>
      <c r="S53" s="15" t="str">
        <f ca="1">IFERROR(__xludf.dummyfunction("VLOOKUP(R53, IMPORTRANGE(""https://docs.google.com/spreadsheets/d/1yDAaXNsi4Mr5FtRQL4tbmSdIzhx6_m4wkOD7IG-k_eo/edit#gid=1336395716"", ""Science!M:N""), 2, FALSE)"),"#N/A")</f>
        <v>#N/A</v>
      </c>
      <c r="T53" s="1" t="str">
        <f t="shared" si="11"/>
        <v>.006</v>
      </c>
      <c r="U53" s="15" t="str">
        <f ca="1">IFERROR(__xludf.dummyfunction("VLOOKUP(T53, IMPORTRANGE(""https://docs.google.com/spreadsheets/d/1yDAaXNsi4Mr5FtRQL4tbmSdIzhx6_m4wkOD7IG-k_eo/edit#gid=1336395716"", ""Science!M:N""), 2, FALSE)"),"#N/A")</f>
        <v>#N/A</v>
      </c>
      <c r="V53" s="113"/>
      <c r="W53" s="113"/>
      <c r="X53" s="113"/>
      <c r="Y53" s="113"/>
      <c r="Z53" s="113"/>
      <c r="AA53" s="113"/>
      <c r="AB53" s="113"/>
      <c r="AC53" s="113"/>
      <c r="AD53" s="113"/>
      <c r="AE53" s="113"/>
      <c r="AF53" s="113"/>
      <c r="AG53" s="113"/>
    </row>
    <row r="54" spans="1:33" ht="13.8">
      <c r="A54" s="113"/>
      <c r="B54" s="113"/>
      <c r="C54" s="113"/>
      <c r="D54" s="111"/>
      <c r="E54" s="113"/>
      <c r="F54" s="111"/>
      <c r="G54" s="113"/>
      <c r="H54" s="111">
        <v>31</v>
      </c>
      <c r="I54" s="113"/>
      <c r="J54" s="1" t="str">
        <f t="shared" si="6"/>
        <v>.001</v>
      </c>
      <c r="K54" s="1" t="str">
        <f ca="1">IFERROR(__xludf.dummyfunction("VLOOKUP(J54, IMPORTRANGE(""https://docs.google.com/spreadsheets/d/1yDAaXNsi4Mr5FtRQL4tbmSdIzhx6_m4wkOD7IG-k_eo/edit#gid=1336395716"", ""Science!M:N""), 2, FALSE)"),"#N/A")</f>
        <v>#N/A</v>
      </c>
      <c r="L54" s="1" t="str">
        <f t="shared" si="7"/>
        <v>.002</v>
      </c>
      <c r="M54" s="1" t="str">
        <f ca="1">IFERROR(__xludf.dummyfunction("VLOOKUP(L54, IMPORTRANGE(""https://docs.google.com/spreadsheets/d/1yDAaXNsi4Mr5FtRQL4tbmSdIzhx6_m4wkOD7IG-k_eo/edit#gid=1336395716"", ""Science!M:N""), 2, FALSE)"),"#N/A")</f>
        <v>#N/A</v>
      </c>
      <c r="N54" s="1" t="str">
        <f t="shared" si="8"/>
        <v>.003</v>
      </c>
      <c r="O54" s="1" t="str">
        <f ca="1">IFERROR(__xludf.dummyfunction("VLOOKUP(N54, IMPORTRANGE(""https://docs.google.com/spreadsheets/d/1yDAaXNsi4Mr5FtRQL4tbmSdIzhx6_m4wkOD7IG-k_eo/edit#gid=1336395716"", ""Science!M:N""), 2, FALSE)"),"#N/A")</f>
        <v>#N/A</v>
      </c>
      <c r="P54" s="1" t="str">
        <f t="shared" si="9"/>
        <v>.004</v>
      </c>
      <c r="Q54" s="15" t="str">
        <f ca="1">IFERROR(__xludf.dummyfunction("VLOOKUP(P54, IMPORTRANGE(""https://docs.google.com/spreadsheets/d/1yDAaXNsi4Mr5FtRQL4tbmSdIzhx6_m4wkOD7IG-k_eo/edit#gid=1336395716"", ""Science!M:N""), 2, FALSE)"),"#N/A")</f>
        <v>#N/A</v>
      </c>
      <c r="R54" s="1" t="str">
        <f t="shared" si="10"/>
        <v>.005</v>
      </c>
      <c r="S54" s="15" t="str">
        <f ca="1">IFERROR(__xludf.dummyfunction("VLOOKUP(R54, IMPORTRANGE(""https://docs.google.com/spreadsheets/d/1yDAaXNsi4Mr5FtRQL4tbmSdIzhx6_m4wkOD7IG-k_eo/edit#gid=1336395716"", ""Science!M:N""), 2, FALSE)"),"#N/A")</f>
        <v>#N/A</v>
      </c>
      <c r="T54" s="1" t="str">
        <f t="shared" si="11"/>
        <v>.006</v>
      </c>
      <c r="U54" s="15" t="str">
        <f ca="1">IFERROR(__xludf.dummyfunction("VLOOKUP(T54, IMPORTRANGE(""https://docs.google.com/spreadsheets/d/1yDAaXNsi4Mr5FtRQL4tbmSdIzhx6_m4wkOD7IG-k_eo/edit#gid=1336395716"", ""Science!M:N""), 2, FALSE)"),"#N/A")</f>
        <v>#N/A</v>
      </c>
      <c r="V54" s="113"/>
      <c r="W54" s="113"/>
      <c r="X54" s="113"/>
      <c r="Y54" s="113"/>
      <c r="Z54" s="113"/>
      <c r="AA54" s="113"/>
      <c r="AB54" s="113"/>
      <c r="AC54" s="113"/>
      <c r="AD54" s="113"/>
      <c r="AE54" s="113"/>
      <c r="AF54" s="113"/>
      <c r="AG54" s="113"/>
    </row>
    <row r="55" spans="1:33" ht="13.8">
      <c r="A55" s="113"/>
      <c r="B55" s="113"/>
      <c r="C55" s="113"/>
      <c r="D55" s="111"/>
      <c r="E55" s="113"/>
      <c r="F55" s="111"/>
      <c r="G55" s="113"/>
      <c r="H55" s="111"/>
      <c r="I55" s="113"/>
      <c r="J55" s="1" t="str">
        <f t="shared" si="6"/>
        <v>.001</v>
      </c>
      <c r="K55" s="1" t="str">
        <f ca="1">IFERROR(__xludf.dummyfunction("VLOOKUP(J55, IMPORTRANGE(""https://docs.google.com/spreadsheets/d/1yDAaXNsi4Mr5FtRQL4tbmSdIzhx6_m4wkOD7IG-k_eo/edit#gid=1336395716"", ""Science!M:N""), 2, FALSE)"),"#N/A")</f>
        <v>#N/A</v>
      </c>
      <c r="L55" s="1" t="str">
        <f t="shared" si="7"/>
        <v>.002</v>
      </c>
      <c r="M55" s="1" t="str">
        <f ca="1">IFERROR(__xludf.dummyfunction("VLOOKUP(L55, IMPORTRANGE(""https://docs.google.com/spreadsheets/d/1yDAaXNsi4Mr5FtRQL4tbmSdIzhx6_m4wkOD7IG-k_eo/edit#gid=1336395716"", ""Science!M:N""), 2, FALSE)"),"#N/A")</f>
        <v>#N/A</v>
      </c>
      <c r="N55" s="1" t="str">
        <f t="shared" si="8"/>
        <v>.003</v>
      </c>
      <c r="O55" s="1" t="str">
        <f ca="1">IFERROR(__xludf.dummyfunction("VLOOKUP(N55, IMPORTRANGE(""https://docs.google.com/spreadsheets/d/1yDAaXNsi4Mr5FtRQL4tbmSdIzhx6_m4wkOD7IG-k_eo/edit#gid=1336395716"", ""Science!M:N""), 2, FALSE)"),"#N/A")</f>
        <v>#N/A</v>
      </c>
      <c r="P55" s="1" t="str">
        <f t="shared" si="9"/>
        <v>.004</v>
      </c>
      <c r="Q55" s="15" t="str">
        <f ca="1">IFERROR(__xludf.dummyfunction("VLOOKUP(P55, IMPORTRANGE(""https://docs.google.com/spreadsheets/d/1yDAaXNsi4Mr5FtRQL4tbmSdIzhx6_m4wkOD7IG-k_eo/edit#gid=1336395716"", ""Science!M:N""), 2, FALSE)"),"#N/A")</f>
        <v>#N/A</v>
      </c>
      <c r="R55" s="1" t="str">
        <f t="shared" si="10"/>
        <v>.005</v>
      </c>
      <c r="S55" s="15" t="str">
        <f ca="1">IFERROR(__xludf.dummyfunction("VLOOKUP(R55, IMPORTRANGE(""https://docs.google.com/spreadsheets/d/1yDAaXNsi4Mr5FtRQL4tbmSdIzhx6_m4wkOD7IG-k_eo/edit#gid=1336395716"", ""Science!M:N""), 2, FALSE)"),"#N/A")</f>
        <v>#N/A</v>
      </c>
      <c r="T55" s="1" t="str">
        <f t="shared" si="11"/>
        <v>.006</v>
      </c>
      <c r="U55" s="15" t="str">
        <f ca="1">IFERROR(__xludf.dummyfunction("VLOOKUP(T55, IMPORTRANGE(""https://docs.google.com/spreadsheets/d/1yDAaXNsi4Mr5FtRQL4tbmSdIzhx6_m4wkOD7IG-k_eo/edit#gid=1336395716"", ""Science!M:N""), 2, FALSE)"),"#N/A")</f>
        <v>#N/A</v>
      </c>
      <c r="V55" s="113"/>
      <c r="W55" s="113"/>
      <c r="X55" s="113"/>
      <c r="Y55" s="113"/>
      <c r="Z55" s="113"/>
      <c r="AA55" s="113"/>
      <c r="AB55" s="113"/>
      <c r="AC55" s="113"/>
      <c r="AD55" s="113"/>
      <c r="AE55" s="113"/>
      <c r="AF55" s="113"/>
      <c r="AG55" s="113"/>
    </row>
    <row r="56" spans="1:33" ht="13.8">
      <c r="A56" s="113"/>
      <c r="B56" s="113"/>
      <c r="C56" s="113"/>
      <c r="D56" s="111"/>
      <c r="E56" s="113"/>
      <c r="F56" s="111"/>
      <c r="G56" s="113"/>
      <c r="H56" s="111"/>
      <c r="I56" s="113"/>
      <c r="J56" s="1" t="str">
        <f t="shared" si="6"/>
        <v>.001</v>
      </c>
      <c r="K56" s="1" t="str">
        <f ca="1">IFERROR(__xludf.dummyfunction("VLOOKUP(J56, IMPORTRANGE(""https://docs.google.com/spreadsheets/d/1yDAaXNsi4Mr5FtRQL4tbmSdIzhx6_m4wkOD7IG-k_eo/edit#gid=1336395716"", ""Science!M:N""), 2, FALSE)"),"#N/A")</f>
        <v>#N/A</v>
      </c>
      <c r="L56" s="1" t="str">
        <f t="shared" si="7"/>
        <v>.002</v>
      </c>
      <c r="M56" s="1" t="str">
        <f ca="1">IFERROR(__xludf.dummyfunction("VLOOKUP(L56, IMPORTRANGE(""https://docs.google.com/spreadsheets/d/1yDAaXNsi4Mr5FtRQL4tbmSdIzhx6_m4wkOD7IG-k_eo/edit#gid=1336395716"", ""Science!M:N""), 2, FALSE)"),"#N/A")</f>
        <v>#N/A</v>
      </c>
      <c r="N56" s="1" t="str">
        <f t="shared" si="8"/>
        <v>.003</v>
      </c>
      <c r="O56" s="1" t="str">
        <f ca="1">IFERROR(__xludf.dummyfunction("VLOOKUP(N56, IMPORTRANGE(""https://docs.google.com/spreadsheets/d/1yDAaXNsi4Mr5FtRQL4tbmSdIzhx6_m4wkOD7IG-k_eo/edit#gid=1336395716"", ""Science!M:N""), 2, FALSE)"),"#N/A")</f>
        <v>#N/A</v>
      </c>
      <c r="P56" s="1" t="str">
        <f t="shared" si="9"/>
        <v>.004</v>
      </c>
      <c r="Q56" s="15" t="str">
        <f ca="1">IFERROR(__xludf.dummyfunction("VLOOKUP(P56, IMPORTRANGE(""https://docs.google.com/spreadsheets/d/1yDAaXNsi4Mr5FtRQL4tbmSdIzhx6_m4wkOD7IG-k_eo/edit#gid=1336395716"", ""Science!M:N""), 2, FALSE)"),"#N/A")</f>
        <v>#N/A</v>
      </c>
      <c r="R56" s="1" t="str">
        <f t="shared" si="10"/>
        <v>.005</v>
      </c>
      <c r="S56" s="15" t="str">
        <f ca="1">IFERROR(__xludf.dummyfunction("VLOOKUP(R56, IMPORTRANGE(""https://docs.google.com/spreadsheets/d/1yDAaXNsi4Mr5FtRQL4tbmSdIzhx6_m4wkOD7IG-k_eo/edit#gid=1336395716"", ""Science!M:N""), 2, FALSE)"),"#N/A")</f>
        <v>#N/A</v>
      </c>
      <c r="T56" s="1" t="str">
        <f t="shared" si="11"/>
        <v>.006</v>
      </c>
      <c r="U56" s="15" t="str">
        <f ca="1">IFERROR(__xludf.dummyfunction("VLOOKUP(T56, IMPORTRANGE(""https://docs.google.com/spreadsheets/d/1yDAaXNsi4Mr5FtRQL4tbmSdIzhx6_m4wkOD7IG-k_eo/edit#gid=1336395716"", ""Science!M:N""), 2, FALSE)"),"#N/A")</f>
        <v>#N/A</v>
      </c>
      <c r="V56" s="113"/>
      <c r="W56" s="113"/>
      <c r="X56" s="113"/>
      <c r="Y56" s="113"/>
      <c r="Z56" s="113"/>
      <c r="AA56" s="113"/>
      <c r="AB56" s="113"/>
      <c r="AC56" s="113"/>
      <c r="AD56" s="113"/>
      <c r="AE56" s="113"/>
      <c r="AF56" s="113"/>
      <c r="AG56" s="113"/>
    </row>
    <row r="57" spans="1:33" ht="13.8">
      <c r="A57" s="113"/>
      <c r="B57" s="113"/>
      <c r="C57" s="113"/>
      <c r="D57" s="111"/>
      <c r="E57" s="113"/>
      <c r="F57" s="111"/>
      <c r="G57" s="113"/>
      <c r="H57" s="111"/>
      <c r="I57" s="113"/>
      <c r="J57" s="1" t="str">
        <f t="shared" si="6"/>
        <v>.001</v>
      </c>
      <c r="K57" s="1" t="str">
        <f ca="1">IFERROR(__xludf.dummyfunction("VLOOKUP(J57, IMPORTRANGE(""https://docs.google.com/spreadsheets/d/1yDAaXNsi4Mr5FtRQL4tbmSdIzhx6_m4wkOD7IG-k_eo/edit#gid=1336395716"", ""Science!M:N""), 2, FALSE)"),"#N/A")</f>
        <v>#N/A</v>
      </c>
      <c r="L57" s="1" t="str">
        <f t="shared" si="7"/>
        <v>.002</v>
      </c>
      <c r="M57" s="1" t="str">
        <f ca="1">IFERROR(__xludf.dummyfunction("VLOOKUP(L57, IMPORTRANGE(""https://docs.google.com/spreadsheets/d/1yDAaXNsi4Mr5FtRQL4tbmSdIzhx6_m4wkOD7IG-k_eo/edit#gid=1336395716"", ""Science!M:N""), 2, FALSE)"),"#N/A")</f>
        <v>#N/A</v>
      </c>
      <c r="N57" s="1" t="str">
        <f t="shared" si="8"/>
        <v>.003</v>
      </c>
      <c r="O57" s="1" t="str">
        <f ca="1">IFERROR(__xludf.dummyfunction("VLOOKUP(N57, IMPORTRANGE(""https://docs.google.com/spreadsheets/d/1yDAaXNsi4Mr5FtRQL4tbmSdIzhx6_m4wkOD7IG-k_eo/edit#gid=1336395716"", ""Science!M:N""), 2, FALSE)"),"#N/A")</f>
        <v>#N/A</v>
      </c>
      <c r="P57" s="1" t="str">
        <f t="shared" si="9"/>
        <v>.004</v>
      </c>
      <c r="Q57" s="15" t="str">
        <f ca="1">IFERROR(__xludf.dummyfunction("VLOOKUP(P57, IMPORTRANGE(""https://docs.google.com/spreadsheets/d/1yDAaXNsi4Mr5FtRQL4tbmSdIzhx6_m4wkOD7IG-k_eo/edit#gid=1336395716"", ""Science!M:N""), 2, FALSE)"),"#N/A")</f>
        <v>#N/A</v>
      </c>
      <c r="R57" s="1" t="str">
        <f t="shared" si="10"/>
        <v>.005</v>
      </c>
      <c r="S57" s="15" t="str">
        <f ca="1">IFERROR(__xludf.dummyfunction("VLOOKUP(R57, IMPORTRANGE(""https://docs.google.com/spreadsheets/d/1yDAaXNsi4Mr5FtRQL4tbmSdIzhx6_m4wkOD7IG-k_eo/edit#gid=1336395716"", ""Science!M:N""), 2, FALSE)"),"#N/A")</f>
        <v>#N/A</v>
      </c>
      <c r="T57" s="1" t="str">
        <f t="shared" si="11"/>
        <v>.006</v>
      </c>
      <c r="U57" s="15" t="str">
        <f ca="1">IFERROR(__xludf.dummyfunction("VLOOKUP(T57, IMPORTRANGE(""https://docs.google.com/spreadsheets/d/1yDAaXNsi4Mr5FtRQL4tbmSdIzhx6_m4wkOD7IG-k_eo/edit#gid=1336395716"", ""Science!M:N""), 2, FALSE)"),"#N/A")</f>
        <v>#N/A</v>
      </c>
      <c r="V57" s="113"/>
      <c r="W57" s="113"/>
      <c r="X57" s="113"/>
      <c r="Y57" s="113"/>
      <c r="Z57" s="113"/>
      <c r="AA57" s="113"/>
      <c r="AB57" s="113"/>
      <c r="AC57" s="113"/>
      <c r="AD57" s="113"/>
      <c r="AE57" s="113"/>
      <c r="AF57" s="113"/>
      <c r="AG57" s="113"/>
    </row>
    <row r="58" spans="1:33" ht="13.8">
      <c r="A58" s="113"/>
      <c r="B58" s="113"/>
      <c r="C58" s="113"/>
      <c r="D58" s="111"/>
      <c r="E58" s="113"/>
      <c r="F58" s="111"/>
      <c r="G58" s="113"/>
      <c r="H58" s="111"/>
      <c r="I58" s="113"/>
      <c r="J58" s="1" t="str">
        <f t="shared" si="6"/>
        <v>.001</v>
      </c>
      <c r="K58" s="1" t="str">
        <f ca="1">IFERROR(__xludf.dummyfunction("VLOOKUP(J58, IMPORTRANGE(""https://docs.google.com/spreadsheets/d/1yDAaXNsi4Mr5FtRQL4tbmSdIzhx6_m4wkOD7IG-k_eo/edit#gid=1336395716"", ""Science!M:N""), 2, FALSE)"),"#N/A")</f>
        <v>#N/A</v>
      </c>
      <c r="L58" s="1" t="str">
        <f t="shared" si="7"/>
        <v>.002</v>
      </c>
      <c r="M58" s="1" t="str">
        <f ca="1">IFERROR(__xludf.dummyfunction("VLOOKUP(L58, IMPORTRANGE(""https://docs.google.com/spreadsheets/d/1yDAaXNsi4Mr5FtRQL4tbmSdIzhx6_m4wkOD7IG-k_eo/edit#gid=1336395716"", ""Science!M:N""), 2, FALSE)"),"#N/A")</f>
        <v>#N/A</v>
      </c>
      <c r="N58" s="1" t="str">
        <f t="shared" si="8"/>
        <v>.003</v>
      </c>
      <c r="O58" s="1" t="str">
        <f ca="1">IFERROR(__xludf.dummyfunction("VLOOKUP(N58, IMPORTRANGE(""https://docs.google.com/spreadsheets/d/1yDAaXNsi4Mr5FtRQL4tbmSdIzhx6_m4wkOD7IG-k_eo/edit#gid=1336395716"", ""Science!M:N""), 2, FALSE)"),"#N/A")</f>
        <v>#N/A</v>
      </c>
      <c r="P58" s="1" t="str">
        <f t="shared" si="9"/>
        <v>.004</v>
      </c>
      <c r="Q58" s="15" t="str">
        <f ca="1">IFERROR(__xludf.dummyfunction("VLOOKUP(P58, IMPORTRANGE(""https://docs.google.com/spreadsheets/d/1yDAaXNsi4Mr5FtRQL4tbmSdIzhx6_m4wkOD7IG-k_eo/edit#gid=1336395716"", ""Science!M:N""), 2, FALSE)"),"#N/A")</f>
        <v>#N/A</v>
      </c>
      <c r="R58" s="1" t="str">
        <f t="shared" si="10"/>
        <v>.005</v>
      </c>
      <c r="S58" s="15" t="str">
        <f ca="1">IFERROR(__xludf.dummyfunction("VLOOKUP(R58, IMPORTRANGE(""https://docs.google.com/spreadsheets/d/1yDAaXNsi4Mr5FtRQL4tbmSdIzhx6_m4wkOD7IG-k_eo/edit#gid=1336395716"", ""Science!M:N""), 2, FALSE)"),"#N/A")</f>
        <v>#N/A</v>
      </c>
      <c r="T58" s="1" t="str">
        <f t="shared" si="11"/>
        <v>.006</v>
      </c>
      <c r="U58" s="15" t="str">
        <f ca="1">IFERROR(__xludf.dummyfunction("VLOOKUP(T58, IMPORTRANGE(""https://docs.google.com/spreadsheets/d/1yDAaXNsi4Mr5FtRQL4tbmSdIzhx6_m4wkOD7IG-k_eo/edit#gid=1336395716"", ""Science!M:N""), 2, FALSE)"),"#N/A")</f>
        <v>#N/A</v>
      </c>
      <c r="V58" s="113"/>
      <c r="W58" s="113"/>
      <c r="X58" s="113"/>
      <c r="Y58" s="113"/>
      <c r="Z58" s="113"/>
      <c r="AA58" s="113"/>
      <c r="AB58" s="113"/>
      <c r="AC58" s="113"/>
      <c r="AD58" s="113"/>
      <c r="AE58" s="113"/>
      <c r="AF58" s="113"/>
      <c r="AG58" s="113"/>
    </row>
    <row r="59" spans="1:33" ht="13.8">
      <c r="A59" s="113"/>
      <c r="B59" s="113"/>
      <c r="C59" s="113"/>
      <c r="D59" s="111"/>
      <c r="E59" s="113"/>
      <c r="F59" s="111"/>
      <c r="G59" s="113"/>
      <c r="H59" s="111"/>
      <c r="I59" s="113"/>
      <c r="J59" s="1" t="str">
        <f t="shared" si="6"/>
        <v>.001</v>
      </c>
      <c r="K59" s="1" t="str">
        <f ca="1">IFERROR(__xludf.dummyfunction("VLOOKUP(J59, IMPORTRANGE(""https://docs.google.com/spreadsheets/d/1yDAaXNsi4Mr5FtRQL4tbmSdIzhx6_m4wkOD7IG-k_eo/edit#gid=1336395716"", ""Science!M:N""), 2, FALSE)"),"#N/A")</f>
        <v>#N/A</v>
      </c>
      <c r="L59" s="1" t="str">
        <f t="shared" si="7"/>
        <v>.002</v>
      </c>
      <c r="M59" s="1" t="str">
        <f ca="1">IFERROR(__xludf.dummyfunction("VLOOKUP(L59, IMPORTRANGE(""https://docs.google.com/spreadsheets/d/1yDAaXNsi4Mr5FtRQL4tbmSdIzhx6_m4wkOD7IG-k_eo/edit#gid=1336395716"", ""Science!M:N""), 2, FALSE)"),"#N/A")</f>
        <v>#N/A</v>
      </c>
      <c r="N59" s="1" t="str">
        <f t="shared" si="8"/>
        <v>.003</v>
      </c>
      <c r="O59" s="1" t="str">
        <f ca="1">IFERROR(__xludf.dummyfunction("VLOOKUP(N59, IMPORTRANGE(""https://docs.google.com/spreadsheets/d/1yDAaXNsi4Mr5FtRQL4tbmSdIzhx6_m4wkOD7IG-k_eo/edit#gid=1336395716"", ""Science!M:N""), 2, FALSE)"),"#N/A")</f>
        <v>#N/A</v>
      </c>
      <c r="P59" s="1" t="str">
        <f t="shared" si="9"/>
        <v>.004</v>
      </c>
      <c r="Q59" s="15" t="str">
        <f ca="1">IFERROR(__xludf.dummyfunction("VLOOKUP(P59, IMPORTRANGE(""https://docs.google.com/spreadsheets/d/1yDAaXNsi4Mr5FtRQL4tbmSdIzhx6_m4wkOD7IG-k_eo/edit#gid=1336395716"", ""Science!M:N""), 2, FALSE)"),"#N/A")</f>
        <v>#N/A</v>
      </c>
      <c r="R59" s="1" t="str">
        <f t="shared" si="10"/>
        <v>.005</v>
      </c>
      <c r="S59" s="15" t="str">
        <f ca="1">IFERROR(__xludf.dummyfunction("VLOOKUP(R59, IMPORTRANGE(""https://docs.google.com/spreadsheets/d/1yDAaXNsi4Mr5FtRQL4tbmSdIzhx6_m4wkOD7IG-k_eo/edit#gid=1336395716"", ""Science!M:N""), 2, FALSE)"),"#N/A")</f>
        <v>#N/A</v>
      </c>
      <c r="T59" s="1" t="str">
        <f t="shared" si="11"/>
        <v>.006</v>
      </c>
      <c r="U59" s="15" t="str">
        <f ca="1">IFERROR(__xludf.dummyfunction("VLOOKUP(T59, IMPORTRANGE(""https://docs.google.com/spreadsheets/d/1yDAaXNsi4Mr5FtRQL4tbmSdIzhx6_m4wkOD7IG-k_eo/edit#gid=1336395716"", ""Science!M:N""), 2, FALSE)"),"#N/A")</f>
        <v>#N/A</v>
      </c>
      <c r="V59" s="113"/>
      <c r="W59" s="113"/>
      <c r="X59" s="113"/>
      <c r="Y59" s="113"/>
      <c r="Z59" s="113"/>
      <c r="AA59" s="113"/>
      <c r="AB59" s="113"/>
      <c r="AC59" s="113"/>
      <c r="AD59" s="113"/>
      <c r="AE59" s="113"/>
      <c r="AF59" s="113"/>
      <c r="AG59" s="113"/>
    </row>
    <row r="60" spans="1:33" ht="13.8">
      <c r="A60" s="113"/>
      <c r="B60" s="113"/>
      <c r="C60" s="113"/>
      <c r="D60" s="111"/>
      <c r="E60" s="113"/>
      <c r="F60" s="111"/>
      <c r="G60" s="113"/>
      <c r="H60" s="111"/>
      <c r="I60" s="113"/>
      <c r="J60" s="1" t="str">
        <f t="shared" si="6"/>
        <v>.001</v>
      </c>
      <c r="K60" s="1" t="str">
        <f ca="1">IFERROR(__xludf.dummyfunction("VLOOKUP(J60, IMPORTRANGE(""https://docs.google.com/spreadsheets/d/1yDAaXNsi4Mr5FtRQL4tbmSdIzhx6_m4wkOD7IG-k_eo/edit#gid=1336395716"", ""Science!M:N""), 2, FALSE)"),"#N/A")</f>
        <v>#N/A</v>
      </c>
      <c r="L60" s="1" t="str">
        <f t="shared" si="7"/>
        <v>.002</v>
      </c>
      <c r="M60" s="1" t="str">
        <f ca="1">IFERROR(__xludf.dummyfunction("VLOOKUP(L60, IMPORTRANGE(""https://docs.google.com/spreadsheets/d/1yDAaXNsi4Mr5FtRQL4tbmSdIzhx6_m4wkOD7IG-k_eo/edit#gid=1336395716"", ""Science!M:N""), 2, FALSE)"),"#N/A")</f>
        <v>#N/A</v>
      </c>
      <c r="N60" s="1" t="str">
        <f t="shared" si="8"/>
        <v>.003</v>
      </c>
      <c r="O60" s="1" t="str">
        <f ca="1">IFERROR(__xludf.dummyfunction("VLOOKUP(N60, IMPORTRANGE(""https://docs.google.com/spreadsheets/d/1yDAaXNsi4Mr5FtRQL4tbmSdIzhx6_m4wkOD7IG-k_eo/edit#gid=1336395716"", ""Science!M:N""), 2, FALSE)"),"#N/A")</f>
        <v>#N/A</v>
      </c>
      <c r="P60" s="1" t="str">
        <f t="shared" si="9"/>
        <v>.004</v>
      </c>
      <c r="Q60" s="15" t="str">
        <f ca="1">IFERROR(__xludf.dummyfunction("VLOOKUP(P60, IMPORTRANGE(""https://docs.google.com/spreadsheets/d/1yDAaXNsi4Mr5FtRQL4tbmSdIzhx6_m4wkOD7IG-k_eo/edit#gid=1336395716"", ""Science!M:N""), 2, FALSE)"),"#N/A")</f>
        <v>#N/A</v>
      </c>
      <c r="R60" s="1" t="str">
        <f t="shared" si="10"/>
        <v>.005</v>
      </c>
      <c r="S60" s="15" t="str">
        <f ca="1">IFERROR(__xludf.dummyfunction("VLOOKUP(R60, IMPORTRANGE(""https://docs.google.com/spreadsheets/d/1yDAaXNsi4Mr5FtRQL4tbmSdIzhx6_m4wkOD7IG-k_eo/edit#gid=1336395716"", ""Science!M:N""), 2, FALSE)"),"#N/A")</f>
        <v>#N/A</v>
      </c>
      <c r="T60" s="1" t="str">
        <f t="shared" si="11"/>
        <v>.006</v>
      </c>
      <c r="U60" s="15" t="str">
        <f ca="1">IFERROR(__xludf.dummyfunction("VLOOKUP(T60, IMPORTRANGE(""https://docs.google.com/spreadsheets/d/1yDAaXNsi4Mr5FtRQL4tbmSdIzhx6_m4wkOD7IG-k_eo/edit#gid=1336395716"", ""Science!M:N""), 2, FALSE)"),"#N/A")</f>
        <v>#N/A</v>
      </c>
      <c r="V60" s="113"/>
      <c r="W60" s="113"/>
      <c r="X60" s="113"/>
      <c r="Y60" s="113"/>
      <c r="Z60" s="113"/>
      <c r="AA60" s="113"/>
      <c r="AB60" s="113"/>
      <c r="AC60" s="113"/>
      <c r="AD60" s="113"/>
      <c r="AE60" s="113"/>
      <c r="AF60" s="113"/>
      <c r="AG60" s="113"/>
    </row>
    <row r="61" spans="1:33" ht="13.8">
      <c r="A61" s="113"/>
      <c r="B61" s="113"/>
      <c r="C61" s="113"/>
      <c r="D61" s="111"/>
      <c r="E61" s="113"/>
      <c r="F61" s="111"/>
      <c r="G61" s="113"/>
      <c r="H61" s="111"/>
      <c r="I61" s="113"/>
      <c r="J61" s="1" t="str">
        <f t="shared" si="6"/>
        <v>.001</v>
      </c>
      <c r="K61" s="1" t="str">
        <f ca="1">IFERROR(__xludf.dummyfunction("VLOOKUP(J61, IMPORTRANGE(""https://docs.google.com/spreadsheets/d/1yDAaXNsi4Mr5FtRQL4tbmSdIzhx6_m4wkOD7IG-k_eo/edit#gid=1336395716"", ""Science!M:N""), 2, FALSE)"),"#N/A")</f>
        <v>#N/A</v>
      </c>
      <c r="L61" s="1" t="str">
        <f t="shared" si="7"/>
        <v>.002</v>
      </c>
      <c r="M61" s="1" t="str">
        <f ca="1">IFERROR(__xludf.dummyfunction("VLOOKUP(L61, IMPORTRANGE(""https://docs.google.com/spreadsheets/d/1yDAaXNsi4Mr5FtRQL4tbmSdIzhx6_m4wkOD7IG-k_eo/edit#gid=1336395716"", ""Science!M:N""), 2, FALSE)"),"#N/A")</f>
        <v>#N/A</v>
      </c>
      <c r="N61" s="1" t="str">
        <f t="shared" si="8"/>
        <v>.003</v>
      </c>
      <c r="O61" s="1" t="str">
        <f ca="1">IFERROR(__xludf.dummyfunction("VLOOKUP(N61, IMPORTRANGE(""https://docs.google.com/spreadsheets/d/1yDAaXNsi4Mr5FtRQL4tbmSdIzhx6_m4wkOD7IG-k_eo/edit#gid=1336395716"", ""Science!M:N""), 2, FALSE)"),"#N/A")</f>
        <v>#N/A</v>
      </c>
      <c r="P61" s="1" t="str">
        <f t="shared" si="9"/>
        <v>.004</v>
      </c>
      <c r="Q61" s="15" t="str">
        <f ca="1">IFERROR(__xludf.dummyfunction("VLOOKUP(P61, IMPORTRANGE(""https://docs.google.com/spreadsheets/d/1yDAaXNsi4Mr5FtRQL4tbmSdIzhx6_m4wkOD7IG-k_eo/edit#gid=1336395716"", ""Science!M:N""), 2, FALSE)"),"#N/A")</f>
        <v>#N/A</v>
      </c>
      <c r="R61" s="1" t="str">
        <f t="shared" si="10"/>
        <v>.005</v>
      </c>
      <c r="S61" s="15" t="str">
        <f ca="1">IFERROR(__xludf.dummyfunction("VLOOKUP(R61, IMPORTRANGE(""https://docs.google.com/spreadsheets/d/1yDAaXNsi4Mr5FtRQL4tbmSdIzhx6_m4wkOD7IG-k_eo/edit#gid=1336395716"", ""Science!M:N""), 2, FALSE)"),"#N/A")</f>
        <v>#N/A</v>
      </c>
      <c r="T61" s="1" t="str">
        <f t="shared" si="11"/>
        <v>.006</v>
      </c>
      <c r="U61" s="15" t="str">
        <f ca="1">IFERROR(__xludf.dummyfunction("VLOOKUP(T61, IMPORTRANGE(""https://docs.google.com/spreadsheets/d/1yDAaXNsi4Mr5FtRQL4tbmSdIzhx6_m4wkOD7IG-k_eo/edit#gid=1336395716"", ""Science!M:N""), 2, FALSE)"),"#N/A")</f>
        <v>#N/A</v>
      </c>
      <c r="V61" s="113"/>
      <c r="W61" s="113"/>
      <c r="X61" s="113"/>
      <c r="Y61" s="113"/>
      <c r="Z61" s="113"/>
      <c r="AA61" s="113"/>
      <c r="AB61" s="113"/>
      <c r="AC61" s="113"/>
      <c r="AD61" s="113"/>
      <c r="AE61" s="113"/>
      <c r="AF61" s="113"/>
      <c r="AG61" s="113"/>
    </row>
    <row r="62" spans="1:33" ht="13.8">
      <c r="A62" s="113"/>
      <c r="B62" s="113"/>
      <c r="C62" s="113"/>
      <c r="D62" s="111"/>
      <c r="E62" s="113"/>
      <c r="F62" s="111"/>
      <c r="G62" s="113"/>
      <c r="H62" s="111"/>
      <c r="I62" s="113"/>
      <c r="J62" s="1" t="str">
        <f t="shared" si="6"/>
        <v>.001</v>
      </c>
      <c r="K62" s="1" t="str">
        <f ca="1">IFERROR(__xludf.dummyfunction("VLOOKUP(J62, IMPORTRANGE(""https://docs.google.com/spreadsheets/d/1yDAaXNsi4Mr5FtRQL4tbmSdIzhx6_m4wkOD7IG-k_eo/edit#gid=1336395716"", ""Science!M:N""), 2, FALSE)"),"#N/A")</f>
        <v>#N/A</v>
      </c>
      <c r="L62" s="1" t="str">
        <f t="shared" si="7"/>
        <v>.002</v>
      </c>
      <c r="M62" s="1" t="str">
        <f ca="1">IFERROR(__xludf.dummyfunction("VLOOKUP(L62, IMPORTRANGE(""https://docs.google.com/spreadsheets/d/1yDAaXNsi4Mr5FtRQL4tbmSdIzhx6_m4wkOD7IG-k_eo/edit#gid=1336395716"", ""Science!M:N""), 2, FALSE)"),"#N/A")</f>
        <v>#N/A</v>
      </c>
      <c r="N62" s="1" t="str">
        <f t="shared" si="8"/>
        <v>.003</v>
      </c>
      <c r="O62" s="1" t="str">
        <f ca="1">IFERROR(__xludf.dummyfunction("VLOOKUP(N62, IMPORTRANGE(""https://docs.google.com/spreadsheets/d/1yDAaXNsi4Mr5FtRQL4tbmSdIzhx6_m4wkOD7IG-k_eo/edit#gid=1336395716"", ""Science!M:N""), 2, FALSE)"),"#N/A")</f>
        <v>#N/A</v>
      </c>
      <c r="P62" s="1" t="str">
        <f t="shared" si="9"/>
        <v>.004</v>
      </c>
      <c r="Q62" s="15" t="str">
        <f ca="1">IFERROR(__xludf.dummyfunction("VLOOKUP(P62, IMPORTRANGE(""https://docs.google.com/spreadsheets/d/1yDAaXNsi4Mr5FtRQL4tbmSdIzhx6_m4wkOD7IG-k_eo/edit#gid=1336395716"", ""Science!M:N""), 2, FALSE)"),"#N/A")</f>
        <v>#N/A</v>
      </c>
      <c r="R62" s="1" t="str">
        <f t="shared" si="10"/>
        <v>.005</v>
      </c>
      <c r="S62" s="15" t="str">
        <f ca="1">IFERROR(__xludf.dummyfunction("VLOOKUP(R62, IMPORTRANGE(""https://docs.google.com/spreadsheets/d/1yDAaXNsi4Mr5FtRQL4tbmSdIzhx6_m4wkOD7IG-k_eo/edit#gid=1336395716"", ""Science!M:N""), 2, FALSE)"),"#N/A")</f>
        <v>#N/A</v>
      </c>
      <c r="T62" s="1" t="str">
        <f t="shared" si="11"/>
        <v>.006</v>
      </c>
      <c r="U62" s="15" t="str">
        <f ca="1">IFERROR(__xludf.dummyfunction("VLOOKUP(T62, IMPORTRANGE(""https://docs.google.com/spreadsheets/d/1yDAaXNsi4Mr5FtRQL4tbmSdIzhx6_m4wkOD7IG-k_eo/edit#gid=1336395716"", ""Science!M:N""), 2, FALSE)"),"#N/A")</f>
        <v>#N/A</v>
      </c>
      <c r="V62" s="113"/>
      <c r="W62" s="113"/>
      <c r="X62" s="113"/>
      <c r="Y62" s="113"/>
      <c r="Z62" s="113"/>
      <c r="AA62" s="113"/>
      <c r="AB62" s="113"/>
      <c r="AC62" s="113"/>
      <c r="AD62" s="113"/>
      <c r="AE62" s="113"/>
      <c r="AF62" s="113"/>
      <c r="AG62" s="113"/>
    </row>
    <row r="63" spans="1:33" ht="13.8">
      <c r="A63" s="113"/>
      <c r="B63" s="113"/>
      <c r="C63" s="113"/>
      <c r="D63" s="111"/>
      <c r="E63" s="113"/>
      <c r="F63" s="111"/>
      <c r="G63" s="113"/>
      <c r="H63" s="111"/>
      <c r="I63" s="113"/>
      <c r="J63" s="1" t="str">
        <f t="shared" si="6"/>
        <v>.001</v>
      </c>
      <c r="K63" s="1" t="str">
        <f ca="1">IFERROR(__xludf.dummyfunction("VLOOKUP(J63, IMPORTRANGE(""https://docs.google.com/spreadsheets/d/1yDAaXNsi4Mr5FtRQL4tbmSdIzhx6_m4wkOD7IG-k_eo/edit#gid=1336395716"", ""Science!M:N""), 2, FALSE)"),"#N/A")</f>
        <v>#N/A</v>
      </c>
      <c r="L63" s="1" t="str">
        <f t="shared" si="7"/>
        <v>.002</v>
      </c>
      <c r="M63" s="1" t="str">
        <f ca="1">IFERROR(__xludf.dummyfunction("VLOOKUP(L63, IMPORTRANGE(""https://docs.google.com/spreadsheets/d/1yDAaXNsi4Mr5FtRQL4tbmSdIzhx6_m4wkOD7IG-k_eo/edit#gid=1336395716"", ""Science!M:N""), 2, FALSE)"),"#N/A")</f>
        <v>#N/A</v>
      </c>
      <c r="N63" s="1" t="str">
        <f t="shared" si="8"/>
        <v>.003</v>
      </c>
      <c r="O63" s="1" t="str">
        <f ca="1">IFERROR(__xludf.dummyfunction("VLOOKUP(N63, IMPORTRANGE(""https://docs.google.com/spreadsheets/d/1yDAaXNsi4Mr5FtRQL4tbmSdIzhx6_m4wkOD7IG-k_eo/edit#gid=1336395716"", ""Science!M:N""), 2, FALSE)"),"#N/A")</f>
        <v>#N/A</v>
      </c>
      <c r="P63" s="1" t="str">
        <f t="shared" si="9"/>
        <v>.004</v>
      </c>
      <c r="Q63" s="15" t="str">
        <f ca="1">IFERROR(__xludf.dummyfunction("VLOOKUP(P63, IMPORTRANGE(""https://docs.google.com/spreadsheets/d/1yDAaXNsi4Mr5FtRQL4tbmSdIzhx6_m4wkOD7IG-k_eo/edit#gid=1336395716"", ""Science!M:N""), 2, FALSE)"),"#N/A")</f>
        <v>#N/A</v>
      </c>
      <c r="R63" s="1" t="str">
        <f t="shared" si="10"/>
        <v>.005</v>
      </c>
      <c r="S63" s="15" t="str">
        <f ca="1">IFERROR(__xludf.dummyfunction("VLOOKUP(R63, IMPORTRANGE(""https://docs.google.com/spreadsheets/d/1yDAaXNsi4Mr5FtRQL4tbmSdIzhx6_m4wkOD7IG-k_eo/edit#gid=1336395716"", ""Science!M:N""), 2, FALSE)"),"#N/A")</f>
        <v>#N/A</v>
      </c>
      <c r="T63" s="1" t="str">
        <f t="shared" si="11"/>
        <v>.006</v>
      </c>
      <c r="U63" s="15" t="str">
        <f ca="1">IFERROR(__xludf.dummyfunction("VLOOKUP(T63, IMPORTRANGE(""https://docs.google.com/spreadsheets/d/1yDAaXNsi4Mr5FtRQL4tbmSdIzhx6_m4wkOD7IG-k_eo/edit#gid=1336395716"", ""Science!M:N""), 2, FALSE)"),"#N/A")</f>
        <v>#N/A</v>
      </c>
      <c r="V63" s="113"/>
      <c r="W63" s="113"/>
      <c r="X63" s="113"/>
      <c r="Y63" s="113"/>
      <c r="Z63" s="113"/>
      <c r="AA63" s="113"/>
      <c r="AB63" s="113"/>
      <c r="AC63" s="113"/>
      <c r="AD63" s="113"/>
      <c r="AE63" s="113"/>
      <c r="AF63" s="113"/>
      <c r="AG63" s="113"/>
    </row>
    <row r="64" spans="1:33" ht="13.8">
      <c r="A64" s="113"/>
      <c r="B64" s="113"/>
      <c r="C64" s="113"/>
      <c r="D64" s="111"/>
      <c r="E64" s="113"/>
      <c r="F64" s="111"/>
      <c r="G64" s="113"/>
      <c r="H64" s="111"/>
      <c r="I64" s="113"/>
      <c r="J64" s="1" t="str">
        <f t="shared" si="6"/>
        <v>.001</v>
      </c>
      <c r="K64" s="1" t="str">
        <f ca="1">IFERROR(__xludf.dummyfunction("VLOOKUP(J64, IMPORTRANGE(""https://docs.google.com/spreadsheets/d/1yDAaXNsi4Mr5FtRQL4tbmSdIzhx6_m4wkOD7IG-k_eo/edit#gid=1336395716"", ""Science!M:N""), 2, FALSE)"),"#N/A")</f>
        <v>#N/A</v>
      </c>
      <c r="L64" s="1" t="str">
        <f t="shared" si="7"/>
        <v>.002</v>
      </c>
      <c r="M64" s="1" t="str">
        <f ca="1">IFERROR(__xludf.dummyfunction("VLOOKUP(L64, IMPORTRANGE(""https://docs.google.com/spreadsheets/d/1yDAaXNsi4Mr5FtRQL4tbmSdIzhx6_m4wkOD7IG-k_eo/edit#gid=1336395716"", ""Science!M:N""), 2, FALSE)"),"#N/A")</f>
        <v>#N/A</v>
      </c>
      <c r="N64" s="1" t="str">
        <f t="shared" si="8"/>
        <v>.003</v>
      </c>
      <c r="O64" s="1" t="str">
        <f ca="1">IFERROR(__xludf.dummyfunction("VLOOKUP(N64, IMPORTRANGE(""https://docs.google.com/spreadsheets/d/1yDAaXNsi4Mr5FtRQL4tbmSdIzhx6_m4wkOD7IG-k_eo/edit#gid=1336395716"", ""Science!M:N""), 2, FALSE)"),"#N/A")</f>
        <v>#N/A</v>
      </c>
      <c r="P64" s="1" t="str">
        <f t="shared" si="9"/>
        <v>.004</v>
      </c>
      <c r="Q64" s="15" t="str">
        <f ca="1">IFERROR(__xludf.dummyfunction("VLOOKUP(P64, IMPORTRANGE(""https://docs.google.com/spreadsheets/d/1yDAaXNsi4Mr5FtRQL4tbmSdIzhx6_m4wkOD7IG-k_eo/edit#gid=1336395716"", ""Science!M:N""), 2, FALSE)"),"#N/A")</f>
        <v>#N/A</v>
      </c>
      <c r="R64" s="1" t="str">
        <f t="shared" si="10"/>
        <v>.005</v>
      </c>
      <c r="S64" s="15" t="str">
        <f ca="1">IFERROR(__xludf.dummyfunction("VLOOKUP(R64, IMPORTRANGE(""https://docs.google.com/spreadsheets/d/1yDAaXNsi4Mr5FtRQL4tbmSdIzhx6_m4wkOD7IG-k_eo/edit#gid=1336395716"", ""Science!M:N""), 2, FALSE)"),"#N/A")</f>
        <v>#N/A</v>
      </c>
      <c r="T64" s="1" t="str">
        <f t="shared" si="11"/>
        <v>.006</v>
      </c>
      <c r="U64" s="15" t="str">
        <f ca="1">IFERROR(__xludf.dummyfunction("VLOOKUP(T64, IMPORTRANGE(""https://docs.google.com/spreadsheets/d/1yDAaXNsi4Mr5FtRQL4tbmSdIzhx6_m4wkOD7IG-k_eo/edit#gid=1336395716"", ""Science!M:N""), 2, FALSE)"),"#N/A")</f>
        <v>#N/A</v>
      </c>
      <c r="V64" s="113"/>
      <c r="W64" s="113"/>
      <c r="X64" s="113"/>
      <c r="Y64" s="113"/>
      <c r="Z64" s="113"/>
      <c r="AA64" s="113"/>
      <c r="AB64" s="113"/>
      <c r="AC64" s="113"/>
      <c r="AD64" s="113"/>
      <c r="AE64" s="113"/>
      <c r="AF64" s="113"/>
      <c r="AG64" s="113"/>
    </row>
    <row r="65" spans="1:33" ht="13.8">
      <c r="A65" s="113"/>
      <c r="B65" s="113"/>
      <c r="C65" s="113"/>
      <c r="D65" s="111"/>
      <c r="E65" s="113"/>
      <c r="F65" s="111"/>
      <c r="G65" s="113"/>
      <c r="H65" s="111"/>
      <c r="I65" s="113"/>
      <c r="J65" s="1" t="str">
        <f t="shared" si="6"/>
        <v>.001</v>
      </c>
      <c r="K65" s="1" t="str">
        <f ca="1">IFERROR(__xludf.dummyfunction("VLOOKUP(J65, IMPORTRANGE(""https://docs.google.com/spreadsheets/d/1yDAaXNsi4Mr5FtRQL4tbmSdIzhx6_m4wkOD7IG-k_eo/edit#gid=1336395716"", ""Science!M:N""), 2, FALSE)"),"#N/A")</f>
        <v>#N/A</v>
      </c>
      <c r="L65" s="1" t="str">
        <f t="shared" si="7"/>
        <v>.002</v>
      </c>
      <c r="M65" s="1" t="str">
        <f ca="1">IFERROR(__xludf.dummyfunction("VLOOKUP(L65, IMPORTRANGE(""https://docs.google.com/spreadsheets/d/1yDAaXNsi4Mr5FtRQL4tbmSdIzhx6_m4wkOD7IG-k_eo/edit#gid=1336395716"", ""Science!M:N""), 2, FALSE)"),"#N/A")</f>
        <v>#N/A</v>
      </c>
      <c r="N65" s="1" t="str">
        <f t="shared" si="8"/>
        <v>.003</v>
      </c>
      <c r="O65" s="1" t="str">
        <f ca="1">IFERROR(__xludf.dummyfunction("VLOOKUP(N65, IMPORTRANGE(""https://docs.google.com/spreadsheets/d/1yDAaXNsi4Mr5FtRQL4tbmSdIzhx6_m4wkOD7IG-k_eo/edit#gid=1336395716"", ""Science!M:N""), 2, FALSE)"),"#N/A")</f>
        <v>#N/A</v>
      </c>
      <c r="P65" s="1" t="str">
        <f t="shared" si="9"/>
        <v>.004</v>
      </c>
      <c r="Q65" s="15" t="str">
        <f ca="1">IFERROR(__xludf.dummyfunction("VLOOKUP(P65, IMPORTRANGE(""https://docs.google.com/spreadsheets/d/1yDAaXNsi4Mr5FtRQL4tbmSdIzhx6_m4wkOD7IG-k_eo/edit#gid=1336395716"", ""Science!M:N""), 2, FALSE)"),"#N/A")</f>
        <v>#N/A</v>
      </c>
      <c r="R65" s="1" t="str">
        <f t="shared" si="10"/>
        <v>.005</v>
      </c>
      <c r="S65" s="15" t="str">
        <f ca="1">IFERROR(__xludf.dummyfunction("VLOOKUP(R65, IMPORTRANGE(""https://docs.google.com/spreadsheets/d/1yDAaXNsi4Mr5FtRQL4tbmSdIzhx6_m4wkOD7IG-k_eo/edit#gid=1336395716"", ""Science!M:N""), 2, FALSE)"),"#N/A")</f>
        <v>#N/A</v>
      </c>
      <c r="T65" s="1" t="str">
        <f t="shared" si="11"/>
        <v>.006</v>
      </c>
      <c r="U65" s="15" t="str">
        <f ca="1">IFERROR(__xludf.dummyfunction("VLOOKUP(T65, IMPORTRANGE(""https://docs.google.com/spreadsheets/d/1yDAaXNsi4Mr5FtRQL4tbmSdIzhx6_m4wkOD7IG-k_eo/edit#gid=1336395716"", ""Science!M:N""), 2, FALSE)"),"#N/A")</f>
        <v>#N/A</v>
      </c>
      <c r="V65" s="113"/>
      <c r="W65" s="113"/>
      <c r="X65" s="113"/>
      <c r="Y65" s="113"/>
      <c r="Z65" s="113"/>
      <c r="AA65" s="113"/>
      <c r="AB65" s="113"/>
      <c r="AC65" s="113"/>
      <c r="AD65" s="113"/>
      <c r="AE65" s="113"/>
      <c r="AF65" s="113"/>
      <c r="AG65" s="113"/>
    </row>
    <row r="66" spans="1:33" ht="13.8">
      <c r="A66" s="113"/>
      <c r="B66" s="113"/>
      <c r="C66" s="113"/>
      <c r="D66" s="111"/>
      <c r="E66" s="113"/>
      <c r="F66" s="111"/>
      <c r="G66" s="113"/>
      <c r="H66" s="111"/>
      <c r="I66" s="113"/>
      <c r="J66" s="1" t="str">
        <f t="shared" ref="J66:J74" si="12">G66 &amp; ".001"</f>
        <v>.001</v>
      </c>
      <c r="K66" s="1" t="str">
        <f ca="1">IFERROR(__xludf.dummyfunction("VLOOKUP(J66, IMPORTRANGE(""https://docs.google.com/spreadsheets/d/1yDAaXNsi4Mr5FtRQL4tbmSdIzhx6_m4wkOD7IG-k_eo/edit#gid=1336395716"", ""Science!M:N""), 2, FALSE)"),"#N/A")</f>
        <v>#N/A</v>
      </c>
      <c r="L66" s="1" t="str">
        <f t="shared" ref="L66:L74" si="13">G66 &amp; ".002"</f>
        <v>.002</v>
      </c>
      <c r="M66" s="1" t="str">
        <f ca="1">IFERROR(__xludf.dummyfunction("VLOOKUP(L66, IMPORTRANGE(""https://docs.google.com/spreadsheets/d/1yDAaXNsi4Mr5FtRQL4tbmSdIzhx6_m4wkOD7IG-k_eo/edit#gid=1336395716"", ""Science!M:N""), 2, FALSE)"),"#N/A")</f>
        <v>#N/A</v>
      </c>
      <c r="N66" s="1" t="str">
        <f t="shared" ref="N66:N74" si="14">G66 &amp; ".003"</f>
        <v>.003</v>
      </c>
      <c r="O66" s="1" t="str">
        <f ca="1">IFERROR(__xludf.dummyfunction("VLOOKUP(N66, IMPORTRANGE(""https://docs.google.com/spreadsheets/d/1yDAaXNsi4Mr5FtRQL4tbmSdIzhx6_m4wkOD7IG-k_eo/edit#gid=1336395716"", ""Science!M:N""), 2, FALSE)"),"#N/A")</f>
        <v>#N/A</v>
      </c>
      <c r="P66" s="1" t="str">
        <f t="shared" ref="P66:P74" si="15">G66 &amp; ".004"</f>
        <v>.004</v>
      </c>
      <c r="Q66" s="15" t="str">
        <f ca="1">IFERROR(__xludf.dummyfunction("VLOOKUP(P66, IMPORTRANGE(""https://docs.google.com/spreadsheets/d/1yDAaXNsi4Mr5FtRQL4tbmSdIzhx6_m4wkOD7IG-k_eo/edit#gid=1336395716"", ""Science!M:N""), 2, FALSE)"),"#N/A")</f>
        <v>#N/A</v>
      </c>
      <c r="R66" s="1" t="str">
        <f t="shared" ref="R66:R74" si="16">G66 &amp; ".005"</f>
        <v>.005</v>
      </c>
      <c r="S66" s="15" t="str">
        <f ca="1">IFERROR(__xludf.dummyfunction("VLOOKUP(R66, IMPORTRANGE(""https://docs.google.com/spreadsheets/d/1yDAaXNsi4Mr5FtRQL4tbmSdIzhx6_m4wkOD7IG-k_eo/edit#gid=1336395716"", ""Science!M:N""), 2, FALSE)"),"#N/A")</f>
        <v>#N/A</v>
      </c>
      <c r="T66" s="1" t="str">
        <f t="shared" ref="T66:T74" si="17">G66 &amp; ".006"</f>
        <v>.006</v>
      </c>
      <c r="U66" s="15" t="str">
        <f ca="1">IFERROR(__xludf.dummyfunction("VLOOKUP(T66, IMPORTRANGE(""https://docs.google.com/spreadsheets/d/1yDAaXNsi4Mr5FtRQL4tbmSdIzhx6_m4wkOD7IG-k_eo/edit#gid=1336395716"", ""Science!M:N""), 2, FALSE)"),"#N/A")</f>
        <v>#N/A</v>
      </c>
      <c r="V66" s="113"/>
      <c r="W66" s="113"/>
      <c r="X66" s="113"/>
      <c r="Y66" s="113"/>
      <c r="Z66" s="113"/>
      <c r="AA66" s="113"/>
      <c r="AB66" s="113"/>
      <c r="AC66" s="113"/>
      <c r="AD66" s="113"/>
      <c r="AE66" s="113"/>
      <c r="AF66" s="113"/>
      <c r="AG66" s="113"/>
    </row>
    <row r="67" spans="1:33" ht="13.8">
      <c r="A67" s="113"/>
      <c r="B67" s="113"/>
      <c r="C67" s="113"/>
      <c r="D67" s="111"/>
      <c r="E67" s="113"/>
      <c r="F67" s="111"/>
      <c r="G67" s="113"/>
      <c r="H67" s="111"/>
      <c r="I67" s="113"/>
      <c r="J67" s="1" t="str">
        <f t="shared" si="12"/>
        <v>.001</v>
      </c>
      <c r="K67" s="1" t="str">
        <f ca="1">IFERROR(__xludf.dummyfunction("VLOOKUP(J67, IMPORTRANGE(""https://docs.google.com/spreadsheets/d/1yDAaXNsi4Mr5FtRQL4tbmSdIzhx6_m4wkOD7IG-k_eo/edit#gid=1336395716"", ""Science!M:N""), 2, FALSE)"),"#N/A")</f>
        <v>#N/A</v>
      </c>
      <c r="L67" s="1" t="str">
        <f t="shared" si="13"/>
        <v>.002</v>
      </c>
      <c r="M67" s="1" t="str">
        <f ca="1">IFERROR(__xludf.dummyfunction("VLOOKUP(L67, IMPORTRANGE(""https://docs.google.com/spreadsheets/d/1yDAaXNsi4Mr5FtRQL4tbmSdIzhx6_m4wkOD7IG-k_eo/edit#gid=1336395716"", ""Science!M:N""), 2, FALSE)"),"#N/A")</f>
        <v>#N/A</v>
      </c>
      <c r="N67" s="1" t="str">
        <f t="shared" si="14"/>
        <v>.003</v>
      </c>
      <c r="O67" s="1" t="str">
        <f ca="1">IFERROR(__xludf.dummyfunction("VLOOKUP(N67, IMPORTRANGE(""https://docs.google.com/spreadsheets/d/1yDAaXNsi4Mr5FtRQL4tbmSdIzhx6_m4wkOD7IG-k_eo/edit#gid=1336395716"", ""Science!M:N""), 2, FALSE)"),"#N/A")</f>
        <v>#N/A</v>
      </c>
      <c r="P67" s="1" t="str">
        <f t="shared" si="15"/>
        <v>.004</v>
      </c>
      <c r="Q67" s="15" t="str">
        <f ca="1">IFERROR(__xludf.dummyfunction("VLOOKUP(P67, IMPORTRANGE(""https://docs.google.com/spreadsheets/d/1yDAaXNsi4Mr5FtRQL4tbmSdIzhx6_m4wkOD7IG-k_eo/edit#gid=1336395716"", ""Science!M:N""), 2, FALSE)"),"#N/A")</f>
        <v>#N/A</v>
      </c>
      <c r="R67" s="1" t="str">
        <f t="shared" si="16"/>
        <v>.005</v>
      </c>
      <c r="S67" s="15" t="str">
        <f ca="1">IFERROR(__xludf.dummyfunction("VLOOKUP(R67, IMPORTRANGE(""https://docs.google.com/spreadsheets/d/1yDAaXNsi4Mr5FtRQL4tbmSdIzhx6_m4wkOD7IG-k_eo/edit#gid=1336395716"", ""Science!M:N""), 2, FALSE)"),"#N/A")</f>
        <v>#N/A</v>
      </c>
      <c r="T67" s="1" t="str">
        <f t="shared" si="17"/>
        <v>.006</v>
      </c>
      <c r="U67" s="15" t="str">
        <f ca="1">IFERROR(__xludf.dummyfunction("VLOOKUP(T67, IMPORTRANGE(""https://docs.google.com/spreadsheets/d/1yDAaXNsi4Mr5FtRQL4tbmSdIzhx6_m4wkOD7IG-k_eo/edit#gid=1336395716"", ""Science!M:N""), 2, FALSE)"),"#N/A")</f>
        <v>#N/A</v>
      </c>
      <c r="V67" s="113"/>
      <c r="W67" s="113"/>
      <c r="X67" s="113"/>
      <c r="Y67" s="113"/>
      <c r="Z67" s="113"/>
      <c r="AA67" s="113"/>
      <c r="AB67" s="113"/>
      <c r="AC67" s="113"/>
      <c r="AD67" s="113"/>
      <c r="AE67" s="113"/>
      <c r="AF67" s="113"/>
      <c r="AG67" s="113"/>
    </row>
    <row r="68" spans="1:33" ht="13.8">
      <c r="A68" s="113"/>
      <c r="B68" s="113"/>
      <c r="C68" s="113"/>
      <c r="D68" s="111"/>
      <c r="E68" s="113"/>
      <c r="F68" s="111"/>
      <c r="G68" s="113"/>
      <c r="H68" s="111"/>
      <c r="I68" s="113"/>
      <c r="J68" s="1" t="str">
        <f t="shared" si="12"/>
        <v>.001</v>
      </c>
      <c r="K68" s="1" t="str">
        <f ca="1">IFERROR(__xludf.dummyfunction("VLOOKUP(J68, IMPORTRANGE(""https://docs.google.com/spreadsheets/d/1yDAaXNsi4Mr5FtRQL4tbmSdIzhx6_m4wkOD7IG-k_eo/edit#gid=1336395716"", ""Science!M:N""), 2, FALSE)"),"#N/A")</f>
        <v>#N/A</v>
      </c>
      <c r="L68" s="1" t="str">
        <f t="shared" si="13"/>
        <v>.002</v>
      </c>
      <c r="M68" s="1" t="str">
        <f ca="1">IFERROR(__xludf.dummyfunction("VLOOKUP(L68, IMPORTRANGE(""https://docs.google.com/spreadsheets/d/1yDAaXNsi4Mr5FtRQL4tbmSdIzhx6_m4wkOD7IG-k_eo/edit#gid=1336395716"", ""Science!M:N""), 2, FALSE)"),"#N/A")</f>
        <v>#N/A</v>
      </c>
      <c r="N68" s="1" t="str">
        <f t="shared" si="14"/>
        <v>.003</v>
      </c>
      <c r="O68" s="1" t="str">
        <f ca="1">IFERROR(__xludf.dummyfunction("VLOOKUP(N68, IMPORTRANGE(""https://docs.google.com/spreadsheets/d/1yDAaXNsi4Mr5FtRQL4tbmSdIzhx6_m4wkOD7IG-k_eo/edit#gid=1336395716"", ""Science!M:N""), 2, FALSE)"),"#N/A")</f>
        <v>#N/A</v>
      </c>
      <c r="P68" s="1" t="str">
        <f t="shared" si="15"/>
        <v>.004</v>
      </c>
      <c r="Q68" s="15" t="str">
        <f ca="1">IFERROR(__xludf.dummyfunction("VLOOKUP(P68, IMPORTRANGE(""https://docs.google.com/spreadsheets/d/1yDAaXNsi4Mr5FtRQL4tbmSdIzhx6_m4wkOD7IG-k_eo/edit#gid=1336395716"", ""Science!M:N""), 2, FALSE)"),"#N/A")</f>
        <v>#N/A</v>
      </c>
      <c r="R68" s="1" t="str">
        <f t="shared" si="16"/>
        <v>.005</v>
      </c>
      <c r="S68" s="15" t="str">
        <f ca="1">IFERROR(__xludf.dummyfunction("VLOOKUP(R68, IMPORTRANGE(""https://docs.google.com/spreadsheets/d/1yDAaXNsi4Mr5FtRQL4tbmSdIzhx6_m4wkOD7IG-k_eo/edit#gid=1336395716"", ""Science!M:N""), 2, FALSE)"),"#N/A")</f>
        <v>#N/A</v>
      </c>
      <c r="T68" s="1" t="str">
        <f t="shared" si="17"/>
        <v>.006</v>
      </c>
      <c r="U68" s="15" t="str">
        <f ca="1">IFERROR(__xludf.dummyfunction("VLOOKUP(T68, IMPORTRANGE(""https://docs.google.com/spreadsheets/d/1yDAaXNsi4Mr5FtRQL4tbmSdIzhx6_m4wkOD7IG-k_eo/edit#gid=1336395716"", ""Science!M:N""), 2, FALSE)"),"#N/A")</f>
        <v>#N/A</v>
      </c>
      <c r="V68" s="113"/>
      <c r="W68" s="113"/>
      <c r="X68" s="113"/>
      <c r="Y68" s="113"/>
      <c r="Z68" s="113"/>
      <c r="AA68" s="113"/>
      <c r="AB68" s="113"/>
      <c r="AC68" s="113"/>
      <c r="AD68" s="113"/>
      <c r="AE68" s="113"/>
      <c r="AF68" s="113"/>
      <c r="AG68" s="113"/>
    </row>
    <row r="69" spans="1:33" ht="13.8">
      <c r="A69" s="113"/>
      <c r="B69" s="113"/>
      <c r="C69" s="113"/>
      <c r="D69" s="111"/>
      <c r="E69" s="113"/>
      <c r="F69" s="111"/>
      <c r="G69" s="113"/>
      <c r="H69" s="111"/>
      <c r="I69" s="113"/>
      <c r="J69" s="1" t="str">
        <f t="shared" si="12"/>
        <v>.001</v>
      </c>
      <c r="K69" s="1" t="str">
        <f ca="1">IFERROR(__xludf.dummyfunction("VLOOKUP(J69, IMPORTRANGE(""https://docs.google.com/spreadsheets/d/1yDAaXNsi4Mr5FtRQL4tbmSdIzhx6_m4wkOD7IG-k_eo/edit#gid=1336395716"", ""Science!M:N""), 2, FALSE)"),"#N/A")</f>
        <v>#N/A</v>
      </c>
      <c r="L69" s="1" t="str">
        <f t="shared" si="13"/>
        <v>.002</v>
      </c>
      <c r="M69" s="1" t="str">
        <f ca="1">IFERROR(__xludf.dummyfunction("VLOOKUP(L69, IMPORTRANGE(""https://docs.google.com/spreadsheets/d/1yDAaXNsi4Mr5FtRQL4tbmSdIzhx6_m4wkOD7IG-k_eo/edit#gid=1336395716"", ""Science!M:N""), 2, FALSE)"),"#N/A")</f>
        <v>#N/A</v>
      </c>
      <c r="N69" s="1" t="str">
        <f t="shared" si="14"/>
        <v>.003</v>
      </c>
      <c r="O69" s="1" t="str">
        <f ca="1">IFERROR(__xludf.dummyfunction("VLOOKUP(N69, IMPORTRANGE(""https://docs.google.com/spreadsheets/d/1yDAaXNsi4Mr5FtRQL4tbmSdIzhx6_m4wkOD7IG-k_eo/edit#gid=1336395716"", ""Science!M:N""), 2, FALSE)"),"#N/A")</f>
        <v>#N/A</v>
      </c>
      <c r="P69" s="1" t="str">
        <f t="shared" si="15"/>
        <v>.004</v>
      </c>
      <c r="Q69" s="15" t="str">
        <f ca="1">IFERROR(__xludf.dummyfunction("VLOOKUP(P69, IMPORTRANGE(""https://docs.google.com/spreadsheets/d/1yDAaXNsi4Mr5FtRQL4tbmSdIzhx6_m4wkOD7IG-k_eo/edit#gid=1336395716"", ""Science!M:N""), 2, FALSE)"),"#N/A")</f>
        <v>#N/A</v>
      </c>
      <c r="R69" s="1" t="str">
        <f t="shared" si="16"/>
        <v>.005</v>
      </c>
      <c r="S69" s="15" t="str">
        <f ca="1">IFERROR(__xludf.dummyfunction("VLOOKUP(R69, IMPORTRANGE(""https://docs.google.com/spreadsheets/d/1yDAaXNsi4Mr5FtRQL4tbmSdIzhx6_m4wkOD7IG-k_eo/edit#gid=1336395716"", ""Science!M:N""), 2, FALSE)"),"#N/A")</f>
        <v>#N/A</v>
      </c>
      <c r="T69" s="1" t="str">
        <f t="shared" si="17"/>
        <v>.006</v>
      </c>
      <c r="U69" s="15" t="str">
        <f ca="1">IFERROR(__xludf.dummyfunction("VLOOKUP(T69, IMPORTRANGE(""https://docs.google.com/spreadsheets/d/1yDAaXNsi4Mr5FtRQL4tbmSdIzhx6_m4wkOD7IG-k_eo/edit#gid=1336395716"", ""Science!M:N""), 2, FALSE)"),"#N/A")</f>
        <v>#N/A</v>
      </c>
      <c r="V69" s="113"/>
      <c r="W69" s="113"/>
      <c r="X69" s="113"/>
      <c r="Y69" s="113"/>
      <c r="Z69" s="113"/>
      <c r="AA69" s="113"/>
      <c r="AB69" s="113"/>
      <c r="AC69" s="113"/>
      <c r="AD69" s="113"/>
      <c r="AE69" s="113"/>
      <c r="AF69" s="113"/>
      <c r="AG69" s="113"/>
    </row>
    <row r="70" spans="1:33" ht="13.8">
      <c r="A70" s="113"/>
      <c r="B70" s="113"/>
      <c r="C70" s="113"/>
      <c r="D70" s="111"/>
      <c r="E70" s="113"/>
      <c r="F70" s="111"/>
      <c r="G70" s="113"/>
      <c r="H70" s="111"/>
      <c r="I70" s="113"/>
      <c r="J70" s="1" t="str">
        <f t="shared" si="12"/>
        <v>.001</v>
      </c>
      <c r="K70" s="1" t="str">
        <f ca="1">IFERROR(__xludf.dummyfunction("VLOOKUP(J70, IMPORTRANGE(""https://docs.google.com/spreadsheets/d/1yDAaXNsi4Mr5FtRQL4tbmSdIzhx6_m4wkOD7IG-k_eo/edit#gid=1336395716"", ""Science!M:N""), 2, FALSE)"),"#N/A")</f>
        <v>#N/A</v>
      </c>
      <c r="L70" s="1" t="str">
        <f t="shared" si="13"/>
        <v>.002</v>
      </c>
      <c r="M70" s="1" t="str">
        <f ca="1">IFERROR(__xludf.dummyfunction("VLOOKUP(L70, IMPORTRANGE(""https://docs.google.com/spreadsheets/d/1yDAaXNsi4Mr5FtRQL4tbmSdIzhx6_m4wkOD7IG-k_eo/edit#gid=1336395716"", ""Science!M:N""), 2, FALSE)"),"#N/A")</f>
        <v>#N/A</v>
      </c>
      <c r="N70" s="1" t="str">
        <f t="shared" si="14"/>
        <v>.003</v>
      </c>
      <c r="O70" s="1" t="str">
        <f ca="1">IFERROR(__xludf.dummyfunction("VLOOKUP(N70, IMPORTRANGE(""https://docs.google.com/spreadsheets/d/1yDAaXNsi4Mr5FtRQL4tbmSdIzhx6_m4wkOD7IG-k_eo/edit#gid=1336395716"", ""Science!M:N""), 2, FALSE)"),"#N/A")</f>
        <v>#N/A</v>
      </c>
      <c r="P70" s="1" t="str">
        <f t="shared" si="15"/>
        <v>.004</v>
      </c>
      <c r="Q70" s="15" t="str">
        <f ca="1">IFERROR(__xludf.dummyfunction("VLOOKUP(P70, IMPORTRANGE(""https://docs.google.com/spreadsheets/d/1yDAaXNsi4Mr5FtRQL4tbmSdIzhx6_m4wkOD7IG-k_eo/edit#gid=1336395716"", ""Science!M:N""), 2, FALSE)"),"#N/A")</f>
        <v>#N/A</v>
      </c>
      <c r="R70" s="1" t="str">
        <f t="shared" si="16"/>
        <v>.005</v>
      </c>
      <c r="S70" s="15" t="str">
        <f ca="1">IFERROR(__xludf.dummyfunction("VLOOKUP(R70, IMPORTRANGE(""https://docs.google.com/spreadsheets/d/1yDAaXNsi4Mr5FtRQL4tbmSdIzhx6_m4wkOD7IG-k_eo/edit#gid=1336395716"", ""Science!M:N""), 2, FALSE)"),"#N/A")</f>
        <v>#N/A</v>
      </c>
      <c r="T70" s="1" t="str">
        <f t="shared" si="17"/>
        <v>.006</v>
      </c>
      <c r="U70" s="15" t="str">
        <f ca="1">IFERROR(__xludf.dummyfunction("VLOOKUP(T70, IMPORTRANGE(""https://docs.google.com/spreadsheets/d/1yDAaXNsi4Mr5FtRQL4tbmSdIzhx6_m4wkOD7IG-k_eo/edit#gid=1336395716"", ""Science!M:N""), 2, FALSE)"),"#N/A")</f>
        <v>#N/A</v>
      </c>
      <c r="V70" s="113"/>
      <c r="W70" s="113"/>
      <c r="X70" s="113"/>
      <c r="Y70" s="113"/>
      <c r="Z70" s="113"/>
      <c r="AA70" s="113"/>
      <c r="AB70" s="113"/>
      <c r="AC70" s="113"/>
      <c r="AD70" s="113"/>
      <c r="AE70" s="113"/>
      <c r="AF70" s="113"/>
      <c r="AG70" s="113"/>
    </row>
    <row r="71" spans="1:33" ht="13.8">
      <c r="A71" s="113"/>
      <c r="B71" s="113"/>
      <c r="C71" s="113"/>
      <c r="D71" s="111"/>
      <c r="E71" s="113"/>
      <c r="F71" s="111"/>
      <c r="G71" s="113"/>
      <c r="H71" s="111"/>
      <c r="I71" s="113"/>
      <c r="J71" s="1" t="str">
        <f t="shared" si="12"/>
        <v>.001</v>
      </c>
      <c r="K71" s="1" t="str">
        <f ca="1">IFERROR(__xludf.dummyfunction("VLOOKUP(J71, IMPORTRANGE(""https://docs.google.com/spreadsheets/d/1yDAaXNsi4Mr5FtRQL4tbmSdIzhx6_m4wkOD7IG-k_eo/edit#gid=1336395716"", ""Science!M:N""), 2, FALSE)"),"#N/A")</f>
        <v>#N/A</v>
      </c>
      <c r="L71" s="1" t="str">
        <f t="shared" si="13"/>
        <v>.002</v>
      </c>
      <c r="M71" s="1" t="str">
        <f ca="1">IFERROR(__xludf.dummyfunction("VLOOKUP(L71, IMPORTRANGE(""https://docs.google.com/spreadsheets/d/1yDAaXNsi4Mr5FtRQL4tbmSdIzhx6_m4wkOD7IG-k_eo/edit#gid=1336395716"", ""Science!M:N""), 2, FALSE)"),"#N/A")</f>
        <v>#N/A</v>
      </c>
      <c r="N71" s="1" t="str">
        <f t="shared" si="14"/>
        <v>.003</v>
      </c>
      <c r="O71" s="1" t="str">
        <f ca="1">IFERROR(__xludf.dummyfunction("VLOOKUP(N71, IMPORTRANGE(""https://docs.google.com/spreadsheets/d/1yDAaXNsi4Mr5FtRQL4tbmSdIzhx6_m4wkOD7IG-k_eo/edit#gid=1336395716"", ""Science!M:N""), 2, FALSE)"),"#N/A")</f>
        <v>#N/A</v>
      </c>
      <c r="P71" s="1" t="str">
        <f t="shared" si="15"/>
        <v>.004</v>
      </c>
      <c r="Q71" s="15" t="str">
        <f ca="1">IFERROR(__xludf.dummyfunction("VLOOKUP(P71, IMPORTRANGE(""https://docs.google.com/spreadsheets/d/1yDAaXNsi4Mr5FtRQL4tbmSdIzhx6_m4wkOD7IG-k_eo/edit#gid=1336395716"", ""Science!M:N""), 2, FALSE)"),"#N/A")</f>
        <v>#N/A</v>
      </c>
      <c r="R71" s="1" t="str">
        <f t="shared" si="16"/>
        <v>.005</v>
      </c>
      <c r="S71" s="15" t="str">
        <f ca="1">IFERROR(__xludf.dummyfunction("VLOOKUP(R71, IMPORTRANGE(""https://docs.google.com/spreadsheets/d/1yDAaXNsi4Mr5FtRQL4tbmSdIzhx6_m4wkOD7IG-k_eo/edit#gid=1336395716"", ""Science!M:N""), 2, FALSE)"),"#N/A")</f>
        <v>#N/A</v>
      </c>
      <c r="T71" s="1" t="str">
        <f t="shared" si="17"/>
        <v>.006</v>
      </c>
      <c r="U71" s="15" t="str">
        <f ca="1">IFERROR(__xludf.dummyfunction("VLOOKUP(T71, IMPORTRANGE(""https://docs.google.com/spreadsheets/d/1yDAaXNsi4Mr5FtRQL4tbmSdIzhx6_m4wkOD7IG-k_eo/edit#gid=1336395716"", ""Science!M:N""), 2, FALSE)"),"#N/A")</f>
        <v>#N/A</v>
      </c>
      <c r="V71" s="113"/>
      <c r="W71" s="113"/>
      <c r="X71" s="113"/>
      <c r="Y71" s="113"/>
      <c r="Z71" s="113"/>
      <c r="AA71" s="113"/>
      <c r="AB71" s="113"/>
      <c r="AC71" s="113"/>
      <c r="AD71" s="113"/>
      <c r="AE71" s="113"/>
      <c r="AF71" s="113"/>
      <c r="AG71" s="113"/>
    </row>
    <row r="72" spans="1:33" ht="13.8">
      <c r="A72" s="113"/>
      <c r="B72" s="113"/>
      <c r="C72" s="113"/>
      <c r="D72" s="111"/>
      <c r="E72" s="113"/>
      <c r="F72" s="111"/>
      <c r="G72" s="113"/>
      <c r="H72" s="111"/>
      <c r="I72" s="113"/>
      <c r="J72" s="1" t="str">
        <f t="shared" si="12"/>
        <v>.001</v>
      </c>
      <c r="K72" s="1" t="str">
        <f ca="1">IFERROR(__xludf.dummyfunction("VLOOKUP(J72, IMPORTRANGE(""https://docs.google.com/spreadsheets/d/1yDAaXNsi4Mr5FtRQL4tbmSdIzhx6_m4wkOD7IG-k_eo/edit#gid=1336395716"", ""Science!M:N""), 2, FALSE)"),"#N/A")</f>
        <v>#N/A</v>
      </c>
      <c r="L72" s="1" t="str">
        <f t="shared" si="13"/>
        <v>.002</v>
      </c>
      <c r="M72" s="1" t="str">
        <f ca="1">IFERROR(__xludf.dummyfunction("VLOOKUP(L72, IMPORTRANGE(""https://docs.google.com/spreadsheets/d/1yDAaXNsi4Mr5FtRQL4tbmSdIzhx6_m4wkOD7IG-k_eo/edit#gid=1336395716"", ""Science!M:N""), 2, FALSE)"),"#N/A")</f>
        <v>#N/A</v>
      </c>
      <c r="N72" s="1" t="str">
        <f t="shared" si="14"/>
        <v>.003</v>
      </c>
      <c r="O72" s="1" t="str">
        <f ca="1">IFERROR(__xludf.dummyfunction("VLOOKUP(N72, IMPORTRANGE(""https://docs.google.com/spreadsheets/d/1yDAaXNsi4Mr5FtRQL4tbmSdIzhx6_m4wkOD7IG-k_eo/edit#gid=1336395716"", ""Science!M:N""), 2, FALSE)"),"#N/A")</f>
        <v>#N/A</v>
      </c>
      <c r="P72" s="1" t="str">
        <f t="shared" si="15"/>
        <v>.004</v>
      </c>
      <c r="Q72" s="15" t="str">
        <f ca="1">IFERROR(__xludf.dummyfunction("VLOOKUP(P72, IMPORTRANGE(""https://docs.google.com/spreadsheets/d/1yDAaXNsi4Mr5FtRQL4tbmSdIzhx6_m4wkOD7IG-k_eo/edit#gid=1336395716"", ""Science!M:N""), 2, FALSE)"),"#N/A")</f>
        <v>#N/A</v>
      </c>
      <c r="R72" s="1" t="str">
        <f t="shared" si="16"/>
        <v>.005</v>
      </c>
      <c r="S72" s="15" t="str">
        <f ca="1">IFERROR(__xludf.dummyfunction("VLOOKUP(R72, IMPORTRANGE(""https://docs.google.com/spreadsheets/d/1yDAaXNsi4Mr5FtRQL4tbmSdIzhx6_m4wkOD7IG-k_eo/edit#gid=1336395716"", ""Science!M:N""), 2, FALSE)"),"#N/A")</f>
        <v>#N/A</v>
      </c>
      <c r="T72" s="1" t="str">
        <f t="shared" si="17"/>
        <v>.006</v>
      </c>
      <c r="U72" s="15" t="str">
        <f ca="1">IFERROR(__xludf.dummyfunction("VLOOKUP(T72, IMPORTRANGE(""https://docs.google.com/spreadsheets/d/1yDAaXNsi4Mr5FtRQL4tbmSdIzhx6_m4wkOD7IG-k_eo/edit#gid=1336395716"", ""Science!M:N""), 2, FALSE)"),"#N/A")</f>
        <v>#N/A</v>
      </c>
      <c r="V72" s="113"/>
      <c r="W72" s="113"/>
      <c r="X72" s="113"/>
      <c r="Y72" s="113"/>
      <c r="Z72" s="113"/>
      <c r="AA72" s="113"/>
      <c r="AB72" s="113"/>
      <c r="AC72" s="113"/>
      <c r="AD72" s="113"/>
      <c r="AE72" s="113"/>
      <c r="AF72" s="113"/>
      <c r="AG72" s="113"/>
    </row>
    <row r="73" spans="1:33" ht="13.8">
      <c r="A73" s="113"/>
      <c r="B73" s="113"/>
      <c r="C73" s="113"/>
      <c r="D73" s="111"/>
      <c r="E73" s="113"/>
      <c r="F73" s="111"/>
      <c r="G73" s="113"/>
      <c r="H73" s="111"/>
      <c r="I73" s="113"/>
      <c r="J73" s="1" t="str">
        <f t="shared" si="12"/>
        <v>.001</v>
      </c>
      <c r="K73" s="1" t="str">
        <f ca="1">IFERROR(__xludf.dummyfunction("VLOOKUP(J73, IMPORTRANGE(""https://docs.google.com/spreadsheets/d/1yDAaXNsi4Mr5FtRQL4tbmSdIzhx6_m4wkOD7IG-k_eo/edit#gid=1336395716"", ""Science!M:N""), 2, FALSE)"),"#N/A")</f>
        <v>#N/A</v>
      </c>
      <c r="L73" s="1" t="str">
        <f t="shared" si="13"/>
        <v>.002</v>
      </c>
      <c r="M73" s="1" t="str">
        <f ca="1">IFERROR(__xludf.dummyfunction("VLOOKUP(L73, IMPORTRANGE(""https://docs.google.com/spreadsheets/d/1yDAaXNsi4Mr5FtRQL4tbmSdIzhx6_m4wkOD7IG-k_eo/edit#gid=1336395716"", ""Science!M:N""), 2, FALSE)"),"#N/A")</f>
        <v>#N/A</v>
      </c>
      <c r="N73" s="1" t="str">
        <f t="shared" si="14"/>
        <v>.003</v>
      </c>
      <c r="O73" s="1" t="str">
        <f ca="1">IFERROR(__xludf.dummyfunction("VLOOKUP(N73, IMPORTRANGE(""https://docs.google.com/spreadsheets/d/1yDAaXNsi4Mr5FtRQL4tbmSdIzhx6_m4wkOD7IG-k_eo/edit#gid=1336395716"", ""Science!M:N""), 2, FALSE)"),"#N/A")</f>
        <v>#N/A</v>
      </c>
      <c r="P73" s="1" t="str">
        <f t="shared" si="15"/>
        <v>.004</v>
      </c>
      <c r="Q73" s="15" t="str">
        <f ca="1">IFERROR(__xludf.dummyfunction("VLOOKUP(P73, IMPORTRANGE(""https://docs.google.com/spreadsheets/d/1yDAaXNsi4Mr5FtRQL4tbmSdIzhx6_m4wkOD7IG-k_eo/edit#gid=1336395716"", ""Science!M:N""), 2, FALSE)"),"#N/A")</f>
        <v>#N/A</v>
      </c>
      <c r="R73" s="1" t="str">
        <f t="shared" si="16"/>
        <v>.005</v>
      </c>
      <c r="S73" s="15" t="str">
        <f ca="1">IFERROR(__xludf.dummyfunction("VLOOKUP(R73, IMPORTRANGE(""https://docs.google.com/spreadsheets/d/1yDAaXNsi4Mr5FtRQL4tbmSdIzhx6_m4wkOD7IG-k_eo/edit#gid=1336395716"", ""Science!M:N""), 2, FALSE)"),"#N/A")</f>
        <v>#N/A</v>
      </c>
      <c r="T73" s="1" t="str">
        <f t="shared" si="17"/>
        <v>.006</v>
      </c>
      <c r="U73" s="15" t="str">
        <f ca="1">IFERROR(__xludf.dummyfunction("VLOOKUP(T73, IMPORTRANGE(""https://docs.google.com/spreadsheets/d/1yDAaXNsi4Mr5FtRQL4tbmSdIzhx6_m4wkOD7IG-k_eo/edit#gid=1336395716"", ""Science!M:N""), 2, FALSE)"),"#N/A")</f>
        <v>#N/A</v>
      </c>
      <c r="V73" s="113"/>
      <c r="W73" s="113"/>
      <c r="X73" s="113"/>
      <c r="Y73" s="113"/>
      <c r="Z73" s="113"/>
      <c r="AA73" s="113"/>
      <c r="AB73" s="113"/>
      <c r="AC73" s="113"/>
      <c r="AD73" s="113"/>
      <c r="AE73" s="113"/>
      <c r="AF73" s="113"/>
      <c r="AG73" s="113"/>
    </row>
    <row r="74" spans="1:33" ht="13.8">
      <c r="A74" s="113"/>
      <c r="B74" s="113"/>
      <c r="C74" s="113"/>
      <c r="D74" s="111"/>
      <c r="E74" s="113"/>
      <c r="F74" s="111"/>
      <c r="G74" s="113"/>
      <c r="H74" s="111"/>
      <c r="I74" s="113"/>
      <c r="J74" s="1" t="str">
        <f t="shared" si="12"/>
        <v>.001</v>
      </c>
      <c r="K74" s="1" t="str">
        <f ca="1">IFERROR(__xludf.dummyfunction("VLOOKUP(J74, IMPORTRANGE(""https://docs.google.com/spreadsheets/d/1yDAaXNsi4Mr5FtRQL4tbmSdIzhx6_m4wkOD7IG-k_eo/edit#gid=1336395716"", ""Science!M:N""), 2, FALSE)"),"#N/A")</f>
        <v>#N/A</v>
      </c>
      <c r="L74" s="1" t="str">
        <f t="shared" si="13"/>
        <v>.002</v>
      </c>
      <c r="M74" s="1" t="str">
        <f ca="1">IFERROR(__xludf.dummyfunction("VLOOKUP(L74, IMPORTRANGE(""https://docs.google.com/spreadsheets/d/1yDAaXNsi4Mr5FtRQL4tbmSdIzhx6_m4wkOD7IG-k_eo/edit#gid=1336395716"", ""Science!M:N""), 2, FALSE)"),"#N/A")</f>
        <v>#N/A</v>
      </c>
      <c r="N74" s="1" t="str">
        <f t="shared" si="14"/>
        <v>.003</v>
      </c>
      <c r="O74" s="1" t="str">
        <f ca="1">IFERROR(__xludf.dummyfunction("VLOOKUP(N74, IMPORTRANGE(""https://docs.google.com/spreadsheets/d/1yDAaXNsi4Mr5FtRQL4tbmSdIzhx6_m4wkOD7IG-k_eo/edit#gid=1336395716"", ""Science!M:N""), 2, FALSE)"),"#N/A")</f>
        <v>#N/A</v>
      </c>
      <c r="P74" s="1" t="str">
        <f t="shared" si="15"/>
        <v>.004</v>
      </c>
      <c r="Q74" s="15" t="str">
        <f ca="1">IFERROR(__xludf.dummyfunction("VLOOKUP(P74, IMPORTRANGE(""https://docs.google.com/spreadsheets/d/1yDAaXNsi4Mr5FtRQL4tbmSdIzhx6_m4wkOD7IG-k_eo/edit#gid=1336395716"", ""Science!M:N""), 2, FALSE)"),"#N/A")</f>
        <v>#N/A</v>
      </c>
      <c r="R74" s="1" t="str">
        <f t="shared" si="16"/>
        <v>.005</v>
      </c>
      <c r="S74" s="15" t="str">
        <f ca="1">IFERROR(__xludf.dummyfunction("VLOOKUP(R74, IMPORTRANGE(""https://docs.google.com/spreadsheets/d/1yDAaXNsi4Mr5FtRQL4tbmSdIzhx6_m4wkOD7IG-k_eo/edit#gid=1336395716"", ""Science!M:N""), 2, FALSE)"),"#N/A")</f>
        <v>#N/A</v>
      </c>
      <c r="T74" s="1" t="str">
        <f t="shared" si="17"/>
        <v>.006</v>
      </c>
      <c r="U74" s="15" t="str">
        <f ca="1">IFERROR(__xludf.dummyfunction("VLOOKUP(T74, IMPORTRANGE(""https://docs.google.com/spreadsheets/d/1yDAaXNsi4Mr5FtRQL4tbmSdIzhx6_m4wkOD7IG-k_eo/edit#gid=1336395716"", ""Science!M:N""), 2, FALSE)"),"#N/A")</f>
        <v>#N/A</v>
      </c>
      <c r="V74" s="113"/>
      <c r="W74" s="113"/>
      <c r="X74" s="113"/>
      <c r="Y74" s="113"/>
      <c r="Z74" s="113"/>
      <c r="AA74" s="113"/>
      <c r="AB74" s="113"/>
      <c r="AC74" s="113"/>
      <c r="AD74" s="113"/>
      <c r="AE74" s="113"/>
      <c r="AF74" s="113"/>
      <c r="AG74" s="113"/>
    </row>
    <row r="75" spans="1:33" ht="13.8">
      <c r="A75" s="113"/>
      <c r="B75" s="113"/>
      <c r="C75" s="113"/>
      <c r="D75" s="111"/>
      <c r="E75" s="113"/>
      <c r="F75" s="111"/>
      <c r="G75" s="113"/>
      <c r="H75" s="111"/>
      <c r="I75" s="113"/>
      <c r="J75" s="113"/>
      <c r="K75" s="113"/>
      <c r="L75" s="113"/>
      <c r="M75" s="113"/>
      <c r="N75" s="113"/>
      <c r="O75" s="113"/>
      <c r="P75" s="113"/>
      <c r="Q75" s="113"/>
      <c r="R75" s="113"/>
      <c r="S75" s="113"/>
      <c r="T75" s="113"/>
      <c r="U75" s="113"/>
      <c r="V75" s="113"/>
      <c r="W75" s="113"/>
      <c r="X75" s="113"/>
      <c r="Y75" s="113"/>
      <c r="Z75" s="113"/>
      <c r="AA75" s="113"/>
      <c r="AB75" s="113"/>
      <c r="AC75" s="113"/>
      <c r="AD75" s="113"/>
      <c r="AE75" s="113"/>
      <c r="AF75" s="113"/>
      <c r="AG75" s="113"/>
    </row>
    <row r="76" spans="1:33" ht="13.8">
      <c r="A76" s="113"/>
      <c r="B76" s="113"/>
      <c r="C76" s="113"/>
      <c r="D76" s="111"/>
      <c r="E76" s="113"/>
      <c r="F76" s="111"/>
      <c r="G76" s="113"/>
      <c r="H76" s="111"/>
      <c r="I76" s="113"/>
      <c r="J76" s="113"/>
      <c r="K76" s="113"/>
      <c r="L76" s="113"/>
      <c r="M76" s="113"/>
      <c r="N76" s="113"/>
      <c r="O76" s="113"/>
      <c r="P76" s="113"/>
      <c r="Q76" s="113"/>
      <c r="R76" s="113"/>
      <c r="S76" s="113"/>
      <c r="T76" s="113"/>
      <c r="U76" s="113"/>
      <c r="V76" s="113"/>
      <c r="W76" s="113"/>
      <c r="X76" s="113"/>
      <c r="Y76" s="113"/>
      <c r="Z76" s="113"/>
      <c r="AA76" s="113"/>
      <c r="AB76" s="113"/>
      <c r="AC76" s="113"/>
      <c r="AD76" s="113"/>
      <c r="AE76" s="113"/>
      <c r="AF76" s="113"/>
      <c r="AG76" s="113"/>
    </row>
    <row r="77" spans="1:33" ht="13.8">
      <c r="A77" s="113"/>
      <c r="B77" s="113"/>
      <c r="C77" s="113"/>
      <c r="D77" s="111"/>
      <c r="E77" s="113"/>
      <c r="F77" s="111"/>
      <c r="G77" s="113"/>
      <c r="H77" s="111"/>
      <c r="I77" s="113"/>
      <c r="J77" s="113"/>
      <c r="K77" s="113"/>
      <c r="L77" s="113"/>
      <c r="M77" s="113"/>
      <c r="N77" s="113"/>
      <c r="O77" s="113"/>
      <c r="P77" s="113"/>
      <c r="Q77" s="113"/>
      <c r="R77" s="113"/>
      <c r="S77" s="113"/>
      <c r="T77" s="113"/>
      <c r="U77" s="113"/>
      <c r="V77" s="113"/>
      <c r="W77" s="113"/>
      <c r="X77" s="113"/>
      <c r="Y77" s="113"/>
      <c r="Z77" s="113"/>
      <c r="AA77" s="113"/>
      <c r="AB77" s="113"/>
      <c r="AC77" s="113"/>
      <c r="AD77" s="113"/>
      <c r="AE77" s="113"/>
      <c r="AF77" s="113"/>
      <c r="AG77" s="113"/>
    </row>
    <row r="78" spans="1:33" ht="13.8">
      <c r="A78" s="113"/>
      <c r="B78" s="113"/>
      <c r="C78" s="113"/>
      <c r="D78" s="111"/>
      <c r="E78" s="113"/>
      <c r="F78" s="111"/>
      <c r="G78" s="113"/>
      <c r="H78" s="111"/>
      <c r="I78" s="113"/>
      <c r="J78" s="113"/>
      <c r="K78" s="113"/>
      <c r="L78" s="113"/>
      <c r="M78" s="113"/>
      <c r="N78" s="113"/>
      <c r="O78" s="113"/>
      <c r="P78" s="113"/>
      <c r="Q78" s="113"/>
      <c r="R78" s="113"/>
      <c r="S78" s="113"/>
      <c r="T78" s="113"/>
      <c r="U78" s="113"/>
      <c r="V78" s="113"/>
      <c r="W78" s="113"/>
      <c r="X78" s="113"/>
      <c r="Y78" s="113"/>
      <c r="Z78" s="113"/>
      <c r="AA78" s="113"/>
      <c r="AB78" s="113"/>
      <c r="AC78" s="113"/>
      <c r="AD78" s="113"/>
      <c r="AE78" s="113"/>
      <c r="AF78" s="113"/>
      <c r="AG78" s="113"/>
    </row>
    <row r="79" spans="1:33" ht="13.8">
      <c r="A79" s="113"/>
      <c r="B79" s="113"/>
      <c r="C79" s="113"/>
      <c r="D79" s="111"/>
      <c r="E79" s="113"/>
      <c r="F79" s="111"/>
      <c r="G79" s="113"/>
      <c r="H79" s="111"/>
      <c r="I79" s="113"/>
      <c r="J79" s="113"/>
      <c r="K79" s="113"/>
      <c r="L79" s="113"/>
      <c r="M79" s="113"/>
      <c r="N79" s="113"/>
      <c r="O79" s="113"/>
      <c r="P79" s="113"/>
      <c r="Q79" s="113"/>
      <c r="R79" s="113"/>
      <c r="S79" s="113"/>
      <c r="T79" s="113"/>
      <c r="U79" s="113"/>
      <c r="V79" s="113"/>
      <c r="W79" s="113"/>
      <c r="X79" s="113"/>
      <c r="Y79" s="113"/>
      <c r="Z79" s="113"/>
      <c r="AA79" s="113"/>
      <c r="AB79" s="113"/>
      <c r="AC79" s="113"/>
      <c r="AD79" s="113"/>
      <c r="AE79" s="113"/>
      <c r="AF79" s="113"/>
      <c r="AG79" s="113"/>
    </row>
    <row r="80" spans="1:33" ht="13.8">
      <c r="A80" s="113"/>
      <c r="B80" s="113"/>
      <c r="C80" s="113"/>
      <c r="D80" s="111"/>
      <c r="E80" s="113"/>
      <c r="F80" s="111"/>
      <c r="G80" s="113"/>
      <c r="H80" s="111"/>
      <c r="I80" s="113"/>
      <c r="J80" s="113"/>
      <c r="K80" s="113"/>
      <c r="L80" s="113"/>
      <c r="M80" s="113"/>
      <c r="N80" s="113"/>
      <c r="O80" s="113"/>
      <c r="P80" s="113"/>
      <c r="Q80" s="113"/>
      <c r="R80" s="113"/>
      <c r="S80" s="113"/>
      <c r="T80" s="113"/>
      <c r="U80" s="113"/>
      <c r="V80" s="113"/>
      <c r="W80" s="113"/>
      <c r="X80" s="113"/>
      <c r="Y80" s="113"/>
      <c r="Z80" s="113"/>
      <c r="AA80" s="113"/>
      <c r="AB80" s="113"/>
      <c r="AC80" s="113"/>
      <c r="AD80" s="113"/>
      <c r="AE80" s="113"/>
      <c r="AF80" s="113"/>
      <c r="AG80" s="113"/>
    </row>
    <row r="81" spans="1:33" ht="13.8">
      <c r="A81" s="113"/>
      <c r="B81" s="113"/>
      <c r="C81" s="113"/>
      <c r="D81" s="111"/>
      <c r="E81" s="113"/>
      <c r="F81" s="111"/>
      <c r="G81" s="113"/>
      <c r="H81" s="111"/>
      <c r="I81" s="113"/>
      <c r="J81" s="113"/>
      <c r="K81" s="113"/>
      <c r="L81" s="113"/>
      <c r="M81" s="113"/>
      <c r="N81" s="113"/>
      <c r="O81" s="113"/>
      <c r="P81" s="113"/>
      <c r="Q81" s="113"/>
      <c r="R81" s="113"/>
      <c r="S81" s="113"/>
      <c r="T81" s="113"/>
      <c r="U81" s="113"/>
      <c r="V81" s="113"/>
      <c r="W81" s="113"/>
      <c r="X81" s="113"/>
      <c r="Y81" s="113"/>
      <c r="Z81" s="113"/>
      <c r="AA81" s="113"/>
      <c r="AB81" s="113"/>
      <c r="AC81" s="113"/>
      <c r="AD81" s="113"/>
      <c r="AE81" s="113"/>
      <c r="AF81" s="113"/>
      <c r="AG81" s="113"/>
    </row>
    <row r="82" spans="1:33" ht="13.8">
      <c r="A82" s="113"/>
      <c r="B82" s="113"/>
      <c r="C82" s="113"/>
      <c r="D82" s="111"/>
      <c r="E82" s="113"/>
      <c r="F82" s="111"/>
      <c r="G82" s="113"/>
      <c r="H82" s="111"/>
      <c r="I82" s="113"/>
      <c r="J82" s="113"/>
      <c r="K82" s="113"/>
      <c r="L82" s="113"/>
      <c r="M82" s="113"/>
      <c r="N82" s="113"/>
      <c r="O82" s="113"/>
      <c r="P82" s="113"/>
      <c r="Q82" s="113"/>
      <c r="R82" s="113"/>
      <c r="S82" s="113"/>
      <c r="T82" s="113"/>
      <c r="U82" s="113"/>
      <c r="V82" s="113"/>
      <c r="W82" s="113"/>
      <c r="X82" s="113"/>
      <c r="Y82" s="113"/>
      <c r="Z82" s="113"/>
      <c r="AA82" s="113"/>
      <c r="AB82" s="113"/>
      <c r="AC82" s="113"/>
      <c r="AD82" s="113"/>
      <c r="AE82" s="113"/>
      <c r="AF82" s="113"/>
      <c r="AG82" s="113"/>
    </row>
    <row r="83" spans="1:33" ht="13.8">
      <c r="A83" s="113"/>
      <c r="B83" s="113"/>
      <c r="C83" s="113"/>
      <c r="D83" s="111"/>
      <c r="E83" s="113"/>
      <c r="F83" s="111"/>
      <c r="G83" s="113"/>
      <c r="H83" s="111"/>
      <c r="I83" s="113"/>
      <c r="J83" s="113"/>
      <c r="K83" s="113"/>
      <c r="L83" s="113"/>
      <c r="M83" s="113"/>
      <c r="N83" s="113"/>
      <c r="O83" s="113"/>
      <c r="P83" s="113"/>
      <c r="Q83" s="113"/>
      <c r="R83" s="113"/>
      <c r="S83" s="113"/>
      <c r="T83" s="113"/>
      <c r="U83" s="113"/>
      <c r="V83" s="113"/>
      <c r="W83" s="113"/>
      <c r="X83" s="113"/>
      <c r="Y83" s="113"/>
      <c r="Z83" s="113"/>
      <c r="AA83" s="113"/>
      <c r="AB83" s="113"/>
      <c r="AC83" s="113"/>
      <c r="AD83" s="113"/>
      <c r="AE83" s="113"/>
      <c r="AF83" s="113"/>
      <c r="AG83" s="113"/>
    </row>
    <row r="84" spans="1:33" ht="13.8">
      <c r="A84" s="113"/>
      <c r="B84" s="113"/>
      <c r="C84" s="113"/>
      <c r="D84" s="111"/>
      <c r="E84" s="113"/>
      <c r="F84" s="111"/>
      <c r="G84" s="113"/>
      <c r="H84" s="111"/>
      <c r="I84" s="113"/>
      <c r="J84" s="113"/>
      <c r="K84" s="113"/>
      <c r="L84" s="113"/>
      <c r="M84" s="113"/>
      <c r="N84" s="113"/>
      <c r="O84" s="113"/>
      <c r="P84" s="113"/>
      <c r="Q84" s="113"/>
      <c r="R84" s="113"/>
      <c r="S84" s="113"/>
      <c r="T84" s="113"/>
      <c r="U84" s="113"/>
      <c r="V84" s="113"/>
      <c r="W84" s="113"/>
      <c r="X84" s="113"/>
      <c r="Y84" s="113"/>
      <c r="Z84" s="113"/>
      <c r="AA84" s="113"/>
      <c r="AB84" s="113"/>
      <c r="AC84" s="113"/>
      <c r="AD84" s="113"/>
      <c r="AE84" s="113"/>
      <c r="AF84" s="113"/>
      <c r="AG84" s="113"/>
    </row>
    <row r="85" spans="1:33" ht="13.8">
      <c r="A85" s="113"/>
      <c r="B85" s="113"/>
      <c r="C85" s="113"/>
      <c r="D85" s="111"/>
      <c r="E85" s="113"/>
      <c r="F85" s="111"/>
      <c r="G85" s="113"/>
      <c r="H85" s="111"/>
      <c r="I85" s="113"/>
      <c r="J85" s="113"/>
      <c r="K85" s="113"/>
      <c r="L85" s="113"/>
      <c r="M85" s="113"/>
      <c r="N85" s="113"/>
      <c r="O85" s="113"/>
      <c r="P85" s="113"/>
      <c r="Q85" s="113"/>
      <c r="R85" s="113"/>
      <c r="S85" s="113"/>
      <c r="T85" s="113"/>
      <c r="U85" s="113"/>
      <c r="V85" s="113"/>
      <c r="W85" s="113"/>
      <c r="X85" s="113"/>
      <c r="Y85" s="113"/>
      <c r="Z85" s="113"/>
      <c r="AA85" s="113"/>
      <c r="AB85" s="113"/>
      <c r="AC85" s="113"/>
      <c r="AD85" s="113"/>
      <c r="AE85" s="113"/>
      <c r="AF85" s="113"/>
      <c r="AG85" s="113"/>
    </row>
    <row r="86" spans="1:33" ht="13.8">
      <c r="A86" s="113"/>
      <c r="B86" s="113"/>
      <c r="C86" s="113"/>
      <c r="D86" s="111"/>
      <c r="E86" s="113"/>
      <c r="F86" s="111"/>
      <c r="G86" s="113"/>
      <c r="H86" s="111"/>
      <c r="I86" s="113"/>
      <c r="J86" s="113"/>
      <c r="K86" s="113"/>
      <c r="L86" s="113"/>
      <c r="M86" s="113"/>
      <c r="N86" s="113"/>
      <c r="O86" s="113"/>
      <c r="P86" s="113"/>
      <c r="Q86" s="113"/>
      <c r="R86" s="113"/>
      <c r="S86" s="113"/>
      <c r="T86" s="113"/>
      <c r="U86" s="113"/>
      <c r="V86" s="113"/>
      <c r="W86" s="113"/>
      <c r="X86" s="113"/>
      <c r="Y86" s="113"/>
      <c r="Z86" s="113"/>
      <c r="AA86" s="113"/>
      <c r="AB86" s="113"/>
      <c r="AC86" s="113"/>
      <c r="AD86" s="113"/>
      <c r="AE86" s="113"/>
      <c r="AF86" s="113"/>
      <c r="AG86" s="113"/>
    </row>
    <row r="87" spans="1:33" ht="13.8">
      <c r="A87" s="113"/>
      <c r="B87" s="113"/>
      <c r="C87" s="113"/>
      <c r="D87" s="111"/>
      <c r="E87" s="113"/>
      <c r="F87" s="111"/>
      <c r="G87" s="113"/>
      <c r="H87" s="111"/>
      <c r="I87" s="113"/>
      <c r="J87" s="113"/>
      <c r="K87" s="113"/>
      <c r="L87" s="113"/>
      <c r="M87" s="113"/>
      <c r="N87" s="113"/>
      <c r="O87" s="113"/>
      <c r="P87" s="113"/>
      <c r="Q87" s="113"/>
      <c r="R87" s="113"/>
      <c r="S87" s="113"/>
      <c r="T87" s="113"/>
      <c r="U87" s="113"/>
      <c r="V87" s="113"/>
      <c r="W87" s="113"/>
      <c r="X87" s="113"/>
      <c r="Y87" s="113"/>
      <c r="Z87" s="113"/>
      <c r="AA87" s="113"/>
      <c r="AB87" s="113"/>
      <c r="AC87" s="113"/>
      <c r="AD87" s="113"/>
      <c r="AE87" s="113"/>
      <c r="AF87" s="113"/>
      <c r="AG87" s="113"/>
    </row>
    <row r="88" spans="1:33" ht="13.8">
      <c r="A88" s="113"/>
      <c r="B88" s="113"/>
      <c r="C88" s="113"/>
      <c r="D88" s="111"/>
      <c r="E88" s="113"/>
      <c r="F88" s="111"/>
      <c r="G88" s="113"/>
      <c r="H88" s="111"/>
      <c r="I88" s="113"/>
      <c r="J88" s="113"/>
      <c r="K88" s="113"/>
      <c r="L88" s="113"/>
      <c r="M88" s="113"/>
      <c r="N88" s="113"/>
      <c r="O88" s="113"/>
      <c r="P88" s="113"/>
      <c r="Q88" s="113"/>
      <c r="R88" s="113"/>
      <c r="S88" s="113"/>
      <c r="T88" s="113"/>
      <c r="U88" s="113"/>
      <c r="V88" s="113"/>
      <c r="W88" s="113"/>
      <c r="X88" s="113"/>
      <c r="Y88" s="113"/>
      <c r="Z88" s="113"/>
      <c r="AA88" s="113"/>
      <c r="AB88" s="113"/>
      <c r="AC88" s="113"/>
      <c r="AD88" s="113"/>
      <c r="AE88" s="113"/>
      <c r="AF88" s="113"/>
      <c r="AG88" s="113"/>
    </row>
    <row r="89" spans="1:33" ht="13.8">
      <c r="A89" s="113"/>
      <c r="B89" s="113"/>
      <c r="C89" s="113"/>
      <c r="D89" s="111"/>
      <c r="E89" s="113"/>
      <c r="F89" s="111"/>
      <c r="G89" s="113"/>
      <c r="H89" s="111"/>
      <c r="I89" s="113"/>
      <c r="J89" s="113"/>
      <c r="K89" s="113"/>
      <c r="L89" s="113"/>
      <c r="M89" s="113"/>
      <c r="N89" s="113"/>
      <c r="O89" s="113"/>
      <c r="P89" s="113"/>
      <c r="Q89" s="113"/>
      <c r="R89" s="113"/>
      <c r="S89" s="113"/>
      <c r="T89" s="113"/>
      <c r="U89" s="113"/>
      <c r="V89" s="113"/>
      <c r="W89" s="113"/>
      <c r="X89" s="113"/>
      <c r="Y89" s="113"/>
      <c r="Z89" s="113"/>
      <c r="AA89" s="113"/>
      <c r="AB89" s="113"/>
      <c r="AC89" s="113"/>
      <c r="AD89" s="113"/>
      <c r="AE89" s="113"/>
      <c r="AF89" s="113"/>
      <c r="AG89" s="113"/>
    </row>
    <row r="90" spans="1:33" ht="13.8">
      <c r="A90" s="113"/>
      <c r="B90" s="113"/>
      <c r="C90" s="113"/>
      <c r="D90" s="111"/>
      <c r="E90" s="113"/>
      <c r="F90" s="111"/>
      <c r="G90" s="113"/>
      <c r="H90" s="111"/>
      <c r="I90" s="113"/>
      <c r="J90" s="113"/>
      <c r="K90" s="113"/>
      <c r="L90" s="113"/>
      <c r="M90" s="113"/>
      <c r="N90" s="113"/>
      <c r="O90" s="113"/>
      <c r="P90" s="113"/>
      <c r="Q90" s="113"/>
      <c r="R90" s="113"/>
      <c r="S90" s="113"/>
      <c r="T90" s="113"/>
      <c r="U90" s="113"/>
      <c r="V90" s="113"/>
      <c r="W90" s="113"/>
      <c r="X90" s="113"/>
      <c r="Y90" s="113"/>
      <c r="Z90" s="113"/>
      <c r="AA90" s="113"/>
      <c r="AB90" s="113"/>
      <c r="AC90" s="113"/>
      <c r="AD90" s="113"/>
      <c r="AE90" s="113"/>
      <c r="AF90" s="113"/>
      <c r="AG90" s="113"/>
    </row>
    <row r="91" spans="1:33" ht="13.8">
      <c r="A91" s="113"/>
      <c r="B91" s="113"/>
      <c r="C91" s="113"/>
      <c r="D91" s="111"/>
      <c r="E91" s="113"/>
      <c r="F91" s="111"/>
      <c r="G91" s="113"/>
      <c r="H91" s="111"/>
      <c r="I91" s="113"/>
      <c r="J91" s="113"/>
      <c r="K91" s="113"/>
      <c r="L91" s="113"/>
      <c r="M91" s="113"/>
      <c r="N91" s="113"/>
      <c r="O91" s="113"/>
      <c r="P91" s="113"/>
      <c r="Q91" s="113"/>
      <c r="R91" s="113"/>
      <c r="S91" s="113"/>
      <c r="T91" s="113"/>
      <c r="U91" s="113"/>
      <c r="V91" s="113"/>
      <c r="W91" s="113"/>
      <c r="X91" s="113"/>
      <c r="Y91" s="113"/>
      <c r="Z91" s="113"/>
      <c r="AA91" s="113"/>
      <c r="AB91" s="113"/>
      <c r="AC91" s="113"/>
      <c r="AD91" s="113"/>
      <c r="AE91" s="113"/>
      <c r="AF91" s="113"/>
      <c r="AG91" s="113"/>
    </row>
    <row r="92" spans="1:33" ht="13.8">
      <c r="A92" s="113"/>
      <c r="B92" s="113"/>
      <c r="C92" s="113"/>
      <c r="D92" s="111"/>
      <c r="E92" s="113"/>
      <c r="F92" s="111"/>
      <c r="G92" s="113"/>
      <c r="H92" s="111"/>
      <c r="I92" s="113"/>
      <c r="J92" s="113"/>
      <c r="K92" s="113"/>
      <c r="L92" s="113"/>
      <c r="M92" s="113"/>
      <c r="N92" s="113"/>
      <c r="O92" s="113"/>
      <c r="P92" s="113"/>
      <c r="Q92" s="113"/>
      <c r="R92" s="113"/>
      <c r="S92" s="113"/>
      <c r="T92" s="113"/>
      <c r="U92" s="113"/>
      <c r="V92" s="113"/>
      <c r="W92" s="113"/>
      <c r="X92" s="113"/>
      <c r="Y92" s="113"/>
      <c r="Z92" s="113"/>
      <c r="AA92" s="113"/>
      <c r="AB92" s="113"/>
      <c r="AC92" s="113"/>
      <c r="AD92" s="113"/>
      <c r="AE92" s="113"/>
      <c r="AF92" s="113"/>
      <c r="AG92" s="113"/>
    </row>
    <row r="93" spans="1:33" ht="13.8">
      <c r="A93" s="113"/>
      <c r="B93" s="113"/>
      <c r="C93" s="113"/>
      <c r="D93" s="111"/>
      <c r="E93" s="113"/>
      <c r="F93" s="111"/>
      <c r="G93" s="113"/>
      <c r="H93" s="111"/>
      <c r="I93" s="113"/>
      <c r="J93" s="113"/>
      <c r="K93" s="113"/>
      <c r="L93" s="113"/>
      <c r="M93" s="113"/>
      <c r="N93" s="113"/>
      <c r="O93" s="113"/>
      <c r="P93" s="113"/>
      <c r="Q93" s="113"/>
      <c r="R93" s="113"/>
      <c r="S93" s="113"/>
      <c r="T93" s="113"/>
      <c r="U93" s="113"/>
      <c r="V93" s="113"/>
      <c r="W93" s="113"/>
      <c r="X93" s="113"/>
      <c r="Y93" s="113"/>
      <c r="Z93" s="113"/>
      <c r="AA93" s="113"/>
      <c r="AB93" s="113"/>
      <c r="AC93" s="113"/>
      <c r="AD93" s="113"/>
      <c r="AE93" s="113"/>
      <c r="AF93" s="113"/>
      <c r="AG93" s="113"/>
    </row>
    <row r="94" spans="1:33" ht="13.8">
      <c r="A94" s="113"/>
      <c r="B94" s="113"/>
      <c r="C94" s="113"/>
      <c r="D94" s="111"/>
      <c r="E94" s="113"/>
      <c r="F94" s="111"/>
      <c r="G94" s="113"/>
      <c r="H94" s="111"/>
      <c r="I94" s="113"/>
      <c r="J94" s="113"/>
      <c r="K94" s="113"/>
      <c r="L94" s="113"/>
      <c r="M94" s="113"/>
      <c r="N94" s="113"/>
      <c r="O94" s="113"/>
      <c r="P94" s="113"/>
      <c r="Q94" s="113"/>
      <c r="R94" s="113"/>
      <c r="S94" s="113"/>
      <c r="T94" s="113"/>
      <c r="U94" s="113"/>
      <c r="V94" s="113"/>
      <c r="W94" s="113"/>
      <c r="X94" s="113"/>
      <c r="Y94" s="113"/>
      <c r="Z94" s="113"/>
      <c r="AA94" s="113"/>
      <c r="AB94" s="113"/>
      <c r="AC94" s="113"/>
      <c r="AD94" s="113"/>
      <c r="AE94" s="113"/>
      <c r="AF94" s="113"/>
      <c r="AG94" s="113"/>
    </row>
    <row r="95" spans="1:33" ht="13.8">
      <c r="A95" s="113"/>
      <c r="B95" s="113"/>
      <c r="C95" s="113"/>
      <c r="D95" s="111"/>
      <c r="E95" s="113"/>
      <c r="F95" s="111"/>
      <c r="G95" s="113"/>
      <c r="H95" s="111"/>
      <c r="I95" s="113"/>
      <c r="J95" s="113"/>
      <c r="K95" s="113"/>
      <c r="L95" s="113"/>
      <c r="M95" s="113"/>
      <c r="N95" s="113"/>
      <c r="O95" s="113"/>
      <c r="P95" s="113"/>
      <c r="Q95" s="113"/>
      <c r="R95" s="113"/>
      <c r="S95" s="113"/>
      <c r="T95" s="113"/>
      <c r="U95" s="113"/>
      <c r="V95" s="113"/>
      <c r="W95" s="113"/>
      <c r="X95" s="113"/>
      <c r="Y95" s="113"/>
      <c r="Z95" s="113"/>
      <c r="AA95" s="113"/>
      <c r="AB95" s="113"/>
      <c r="AC95" s="113"/>
      <c r="AD95" s="113"/>
      <c r="AE95" s="113"/>
      <c r="AF95" s="113"/>
      <c r="AG95" s="113"/>
    </row>
    <row r="96" spans="1:33" ht="13.8">
      <c r="A96" s="113"/>
      <c r="B96" s="113"/>
      <c r="C96" s="113"/>
      <c r="D96" s="111"/>
      <c r="E96" s="113"/>
      <c r="F96" s="111"/>
      <c r="G96" s="113"/>
      <c r="H96" s="111"/>
      <c r="I96" s="113"/>
      <c r="J96" s="113"/>
      <c r="K96" s="113"/>
      <c r="L96" s="113"/>
      <c r="M96" s="113"/>
      <c r="N96" s="113"/>
      <c r="O96" s="113"/>
      <c r="P96" s="113"/>
      <c r="Q96" s="113"/>
      <c r="R96" s="113"/>
      <c r="S96" s="113"/>
      <c r="T96" s="113"/>
      <c r="U96" s="113"/>
      <c r="V96" s="113"/>
      <c r="W96" s="113"/>
      <c r="X96" s="113"/>
      <c r="Y96" s="113"/>
      <c r="Z96" s="113"/>
      <c r="AA96" s="113"/>
      <c r="AB96" s="113"/>
      <c r="AC96" s="113"/>
      <c r="AD96" s="113"/>
      <c r="AE96" s="113"/>
      <c r="AF96" s="113"/>
      <c r="AG96" s="113"/>
    </row>
    <row r="97" spans="1:33" ht="13.8">
      <c r="A97" s="113"/>
      <c r="B97" s="113"/>
      <c r="C97" s="113"/>
      <c r="D97" s="111"/>
      <c r="E97" s="113"/>
      <c r="F97" s="111"/>
      <c r="G97" s="113"/>
      <c r="H97" s="111"/>
      <c r="I97" s="113"/>
      <c r="J97" s="113"/>
      <c r="K97" s="113"/>
      <c r="L97" s="113"/>
      <c r="M97" s="113"/>
      <c r="N97" s="113"/>
      <c r="O97" s="113"/>
      <c r="P97" s="113"/>
      <c r="Q97" s="113"/>
      <c r="R97" s="113"/>
      <c r="S97" s="113"/>
      <c r="T97" s="113"/>
      <c r="U97" s="113"/>
      <c r="V97" s="113"/>
      <c r="W97" s="113"/>
      <c r="X97" s="113"/>
      <c r="Y97" s="113"/>
      <c r="Z97" s="113"/>
      <c r="AA97" s="113"/>
      <c r="AB97" s="113"/>
      <c r="AC97" s="113"/>
      <c r="AD97" s="113"/>
      <c r="AE97" s="113"/>
      <c r="AF97" s="113"/>
      <c r="AG97" s="113"/>
    </row>
    <row r="98" spans="1:33" ht="13.8">
      <c r="A98" s="113"/>
      <c r="B98" s="113"/>
      <c r="C98" s="113"/>
      <c r="D98" s="111"/>
      <c r="E98" s="113"/>
      <c r="F98" s="111"/>
      <c r="G98" s="113"/>
      <c r="H98" s="111"/>
      <c r="I98" s="113"/>
      <c r="J98" s="113"/>
      <c r="K98" s="113"/>
      <c r="L98" s="113"/>
      <c r="M98" s="113"/>
      <c r="N98" s="113"/>
      <c r="O98" s="113"/>
      <c r="P98" s="113"/>
      <c r="Q98" s="113"/>
      <c r="R98" s="113"/>
      <c r="S98" s="113"/>
      <c r="T98" s="113"/>
      <c r="U98" s="113"/>
      <c r="V98" s="113"/>
      <c r="W98" s="113"/>
      <c r="X98" s="113"/>
      <c r="Y98" s="113"/>
      <c r="Z98" s="113"/>
      <c r="AA98" s="113"/>
      <c r="AB98" s="113"/>
      <c r="AC98" s="113"/>
      <c r="AD98" s="113"/>
      <c r="AE98" s="113"/>
      <c r="AF98" s="113"/>
      <c r="AG98" s="113"/>
    </row>
    <row r="99" spans="1:33" ht="13.8">
      <c r="A99" s="113"/>
      <c r="B99" s="113"/>
      <c r="C99" s="113"/>
      <c r="D99" s="111"/>
      <c r="E99" s="113"/>
      <c r="F99" s="111"/>
      <c r="G99" s="113"/>
      <c r="H99" s="111"/>
      <c r="I99" s="113"/>
      <c r="J99" s="113"/>
      <c r="K99" s="113"/>
      <c r="L99" s="113"/>
      <c r="M99" s="113"/>
      <c r="N99" s="113"/>
      <c r="O99" s="113"/>
      <c r="P99" s="113"/>
      <c r="Q99" s="113"/>
      <c r="R99" s="113"/>
      <c r="S99" s="113"/>
      <c r="T99" s="113"/>
      <c r="U99" s="113"/>
      <c r="V99" s="113"/>
      <c r="W99" s="113"/>
      <c r="X99" s="113"/>
      <c r="Y99" s="113"/>
      <c r="Z99" s="113"/>
      <c r="AA99" s="113"/>
      <c r="AB99" s="113"/>
      <c r="AC99" s="113"/>
      <c r="AD99" s="113"/>
      <c r="AE99" s="113"/>
      <c r="AF99" s="113"/>
      <c r="AG99" s="113"/>
    </row>
    <row r="100" spans="1:33" ht="13.8">
      <c r="A100" s="113"/>
      <c r="B100" s="113"/>
      <c r="C100" s="113"/>
      <c r="D100" s="111"/>
      <c r="E100" s="113"/>
      <c r="F100" s="111"/>
      <c r="G100" s="113"/>
      <c r="H100" s="111"/>
      <c r="I100" s="113"/>
      <c r="J100" s="113"/>
      <c r="K100" s="113"/>
      <c r="L100" s="113"/>
      <c r="M100" s="113"/>
      <c r="N100" s="113"/>
      <c r="O100" s="113"/>
      <c r="P100" s="113"/>
      <c r="Q100" s="113"/>
      <c r="R100" s="113"/>
      <c r="S100" s="113"/>
      <c r="T100" s="113"/>
      <c r="U100" s="113"/>
      <c r="V100" s="113"/>
      <c r="W100" s="113"/>
      <c r="X100" s="113"/>
      <c r="Y100" s="113"/>
      <c r="Z100" s="113"/>
      <c r="AA100" s="113"/>
      <c r="AB100" s="113"/>
      <c r="AC100" s="113"/>
      <c r="AD100" s="113"/>
      <c r="AE100" s="113"/>
      <c r="AF100" s="113"/>
      <c r="AG100" s="113"/>
    </row>
    <row r="101" spans="1:33" ht="13.8">
      <c r="A101" s="113"/>
      <c r="B101" s="113"/>
      <c r="C101" s="113"/>
      <c r="D101" s="111"/>
      <c r="E101" s="113"/>
      <c r="F101" s="111"/>
      <c r="G101" s="113"/>
      <c r="H101" s="111"/>
      <c r="I101" s="113"/>
      <c r="J101" s="113"/>
      <c r="K101" s="113"/>
      <c r="L101" s="113"/>
      <c r="M101" s="113"/>
      <c r="N101" s="113"/>
      <c r="O101" s="113"/>
      <c r="P101" s="113"/>
      <c r="Q101" s="113"/>
      <c r="R101" s="113"/>
      <c r="S101" s="113"/>
      <c r="T101" s="113"/>
      <c r="U101" s="113"/>
      <c r="V101" s="113"/>
      <c r="W101" s="113"/>
      <c r="X101" s="113"/>
      <c r="Y101" s="113"/>
      <c r="Z101" s="113"/>
      <c r="AA101" s="113"/>
      <c r="AB101" s="113"/>
      <c r="AC101" s="113"/>
      <c r="AD101" s="113"/>
      <c r="AE101" s="113"/>
      <c r="AF101" s="113"/>
      <c r="AG101" s="113"/>
    </row>
    <row r="102" spans="1:33" ht="13.8">
      <c r="A102" s="113"/>
      <c r="B102" s="113"/>
      <c r="C102" s="113"/>
      <c r="D102" s="111"/>
      <c r="E102" s="113"/>
      <c r="F102" s="111"/>
      <c r="G102" s="113"/>
      <c r="H102" s="111"/>
      <c r="I102" s="113"/>
      <c r="J102" s="113"/>
      <c r="K102" s="113"/>
      <c r="L102" s="113"/>
      <c r="M102" s="113"/>
      <c r="N102" s="113"/>
      <c r="O102" s="113"/>
      <c r="P102" s="113"/>
      <c r="Q102" s="113"/>
      <c r="R102" s="113"/>
      <c r="S102" s="113"/>
      <c r="T102" s="113"/>
      <c r="U102" s="113"/>
      <c r="V102" s="113"/>
      <c r="W102" s="113"/>
      <c r="X102" s="113"/>
      <c r="Y102" s="113"/>
      <c r="Z102" s="113"/>
      <c r="AA102" s="113"/>
      <c r="AB102" s="113"/>
      <c r="AC102" s="113"/>
      <c r="AD102" s="113"/>
      <c r="AE102" s="113"/>
      <c r="AF102" s="113"/>
      <c r="AG102" s="113"/>
    </row>
    <row r="103" spans="1:33" ht="13.8">
      <c r="A103" s="113"/>
      <c r="B103" s="113"/>
      <c r="C103" s="113"/>
      <c r="D103" s="111"/>
      <c r="E103" s="113"/>
      <c r="F103" s="111"/>
      <c r="G103" s="113"/>
      <c r="H103" s="111"/>
      <c r="I103" s="113"/>
      <c r="J103" s="113"/>
      <c r="K103" s="113"/>
      <c r="L103" s="113"/>
      <c r="M103" s="113"/>
      <c r="N103" s="113"/>
      <c r="O103" s="113"/>
      <c r="P103" s="113"/>
      <c r="Q103" s="113"/>
      <c r="R103" s="113"/>
      <c r="S103" s="113"/>
      <c r="T103" s="113"/>
      <c r="U103" s="113"/>
      <c r="V103" s="113"/>
      <c r="W103" s="113"/>
      <c r="X103" s="113"/>
      <c r="Y103" s="113"/>
      <c r="Z103" s="113"/>
      <c r="AA103" s="113"/>
      <c r="AB103" s="113"/>
      <c r="AC103" s="113"/>
      <c r="AD103" s="113"/>
      <c r="AE103" s="113"/>
      <c r="AF103" s="113"/>
      <c r="AG103" s="113"/>
    </row>
    <row r="104" spans="1:33" ht="13.8">
      <c r="A104" s="113"/>
      <c r="B104" s="113"/>
      <c r="C104" s="113"/>
      <c r="D104" s="111"/>
      <c r="E104" s="113"/>
      <c r="F104" s="111"/>
      <c r="G104" s="113"/>
      <c r="H104" s="111"/>
      <c r="I104" s="113"/>
      <c r="J104" s="113"/>
      <c r="K104" s="113"/>
      <c r="L104" s="113"/>
      <c r="M104" s="113"/>
      <c r="N104" s="113"/>
      <c r="O104" s="113"/>
      <c r="P104" s="113"/>
      <c r="Q104" s="113"/>
      <c r="R104" s="113"/>
      <c r="S104" s="113"/>
      <c r="T104" s="113"/>
      <c r="U104" s="113"/>
      <c r="V104" s="113"/>
      <c r="W104" s="113"/>
      <c r="X104" s="113"/>
      <c r="Y104" s="113"/>
      <c r="Z104" s="113"/>
      <c r="AA104" s="113"/>
      <c r="AB104" s="113"/>
      <c r="AC104" s="113"/>
      <c r="AD104" s="113"/>
      <c r="AE104" s="113"/>
      <c r="AF104" s="113"/>
      <c r="AG104" s="113"/>
    </row>
    <row r="105" spans="1:33" ht="13.8">
      <c r="A105" s="113"/>
      <c r="B105" s="113"/>
      <c r="C105" s="113"/>
      <c r="D105" s="111"/>
      <c r="E105" s="113"/>
      <c r="F105" s="111"/>
      <c r="G105" s="113"/>
      <c r="H105" s="111"/>
      <c r="I105" s="113"/>
      <c r="J105" s="113"/>
      <c r="K105" s="113"/>
      <c r="L105" s="113"/>
      <c r="M105" s="113"/>
      <c r="N105" s="113"/>
      <c r="O105" s="113"/>
      <c r="P105" s="113"/>
      <c r="Q105" s="113"/>
      <c r="R105" s="113"/>
      <c r="S105" s="113"/>
      <c r="T105" s="113"/>
      <c r="U105" s="113"/>
      <c r="V105" s="113"/>
      <c r="W105" s="113"/>
      <c r="X105" s="113"/>
      <c r="Y105" s="113"/>
      <c r="Z105" s="113"/>
      <c r="AA105" s="113"/>
      <c r="AB105" s="113"/>
      <c r="AC105" s="113"/>
      <c r="AD105" s="113"/>
      <c r="AE105" s="113"/>
      <c r="AF105" s="113"/>
      <c r="AG105" s="113"/>
    </row>
    <row r="106" spans="1:33" ht="13.8">
      <c r="A106" s="113"/>
      <c r="B106" s="113"/>
      <c r="C106" s="113"/>
      <c r="D106" s="111"/>
      <c r="E106" s="113"/>
      <c r="F106" s="111"/>
      <c r="G106" s="113"/>
      <c r="H106" s="111"/>
      <c r="I106" s="113"/>
      <c r="J106" s="113"/>
      <c r="K106" s="113"/>
      <c r="L106" s="113"/>
      <c r="M106" s="113"/>
      <c r="N106" s="113"/>
      <c r="O106" s="113"/>
      <c r="P106" s="113"/>
      <c r="Q106" s="113"/>
      <c r="R106" s="113"/>
      <c r="S106" s="113"/>
      <c r="T106" s="113"/>
      <c r="U106" s="113"/>
      <c r="V106" s="113"/>
      <c r="W106" s="113"/>
      <c r="X106" s="113"/>
      <c r="Y106" s="113"/>
      <c r="Z106" s="113"/>
      <c r="AA106" s="113"/>
      <c r="AB106" s="113"/>
      <c r="AC106" s="113"/>
      <c r="AD106" s="113"/>
      <c r="AE106" s="113"/>
      <c r="AF106" s="113"/>
      <c r="AG106" s="113"/>
    </row>
    <row r="107" spans="1:33" ht="13.8">
      <c r="A107" s="113"/>
      <c r="B107" s="113"/>
      <c r="C107" s="113"/>
      <c r="D107" s="111"/>
      <c r="E107" s="113"/>
      <c r="F107" s="111"/>
      <c r="G107" s="113"/>
      <c r="H107" s="111"/>
      <c r="I107" s="113"/>
      <c r="J107" s="113"/>
      <c r="K107" s="113"/>
      <c r="L107" s="113"/>
      <c r="M107" s="113"/>
      <c r="N107" s="113"/>
      <c r="O107" s="113"/>
      <c r="P107" s="113"/>
      <c r="Q107" s="113"/>
      <c r="R107" s="113"/>
      <c r="S107" s="113"/>
      <c r="T107" s="113"/>
      <c r="U107" s="113"/>
      <c r="V107" s="113"/>
      <c r="W107" s="113"/>
      <c r="X107" s="113"/>
      <c r="Y107" s="113"/>
      <c r="Z107" s="113"/>
      <c r="AA107" s="113"/>
      <c r="AB107" s="113"/>
      <c r="AC107" s="113"/>
      <c r="AD107" s="113"/>
      <c r="AE107" s="113"/>
      <c r="AF107" s="113"/>
      <c r="AG107" s="113"/>
    </row>
    <row r="108" spans="1:33" ht="13.8">
      <c r="A108" s="113"/>
      <c r="B108" s="113"/>
      <c r="C108" s="113"/>
      <c r="D108" s="111"/>
      <c r="E108" s="113"/>
      <c r="F108" s="111"/>
      <c r="G108" s="113"/>
      <c r="H108" s="111"/>
      <c r="I108" s="113"/>
      <c r="J108" s="113"/>
      <c r="K108" s="113"/>
      <c r="L108" s="113"/>
      <c r="M108" s="113"/>
      <c r="N108" s="113"/>
      <c r="O108" s="113"/>
      <c r="P108" s="113"/>
      <c r="Q108" s="113"/>
      <c r="R108" s="113"/>
      <c r="S108" s="113"/>
      <c r="T108" s="113"/>
      <c r="U108" s="113"/>
      <c r="V108" s="113"/>
      <c r="W108" s="113"/>
      <c r="X108" s="113"/>
      <c r="Y108" s="113"/>
      <c r="Z108" s="113"/>
      <c r="AA108" s="113"/>
      <c r="AB108" s="113"/>
      <c r="AC108" s="113"/>
      <c r="AD108" s="113"/>
      <c r="AE108" s="113"/>
      <c r="AF108" s="113"/>
      <c r="AG108" s="113"/>
    </row>
    <row r="109" spans="1:33" ht="13.8">
      <c r="A109" s="113"/>
      <c r="B109" s="113"/>
      <c r="C109" s="113"/>
      <c r="D109" s="111"/>
      <c r="E109" s="113"/>
      <c r="F109" s="111"/>
      <c r="G109" s="113"/>
      <c r="H109" s="111"/>
      <c r="I109" s="113"/>
      <c r="J109" s="113"/>
      <c r="K109" s="113"/>
      <c r="L109" s="113"/>
      <c r="M109" s="113"/>
      <c r="N109" s="113"/>
      <c r="O109" s="113"/>
      <c r="P109" s="113"/>
      <c r="Q109" s="113"/>
      <c r="R109" s="113"/>
      <c r="S109" s="113"/>
      <c r="T109" s="113"/>
      <c r="U109" s="113"/>
      <c r="V109" s="113"/>
      <c r="W109" s="113"/>
      <c r="X109" s="113"/>
      <c r="Y109" s="113"/>
      <c r="Z109" s="113"/>
      <c r="AA109" s="113"/>
      <c r="AB109" s="113"/>
      <c r="AC109" s="113"/>
      <c r="AD109" s="113"/>
      <c r="AE109" s="113"/>
      <c r="AF109" s="113"/>
      <c r="AG109" s="113"/>
    </row>
    <row r="110" spans="1:33" ht="13.8">
      <c r="A110" s="113"/>
      <c r="B110" s="113"/>
      <c r="C110" s="113"/>
      <c r="D110" s="111"/>
      <c r="E110" s="113"/>
      <c r="F110" s="111"/>
      <c r="G110" s="113"/>
      <c r="H110" s="111"/>
      <c r="I110" s="113"/>
      <c r="J110" s="113"/>
      <c r="K110" s="113"/>
      <c r="L110" s="113"/>
      <c r="M110" s="113"/>
      <c r="N110" s="113"/>
      <c r="O110" s="113"/>
      <c r="P110" s="113"/>
      <c r="Q110" s="113"/>
      <c r="R110" s="113"/>
      <c r="S110" s="113"/>
      <c r="T110" s="113"/>
      <c r="U110" s="113"/>
      <c r="V110" s="113"/>
      <c r="W110" s="113"/>
      <c r="X110" s="113"/>
      <c r="Y110" s="113"/>
      <c r="Z110" s="113"/>
      <c r="AA110" s="113"/>
      <c r="AB110" s="113"/>
      <c r="AC110" s="113"/>
      <c r="AD110" s="113"/>
      <c r="AE110" s="113"/>
      <c r="AF110" s="113"/>
      <c r="AG110" s="113"/>
    </row>
    <row r="111" spans="1:33" ht="13.8">
      <c r="A111" s="113"/>
      <c r="B111" s="113"/>
      <c r="C111" s="113"/>
      <c r="D111" s="111"/>
      <c r="E111" s="113"/>
      <c r="F111" s="111"/>
      <c r="G111" s="113"/>
      <c r="H111" s="111"/>
      <c r="I111" s="113"/>
      <c r="J111" s="113"/>
      <c r="K111" s="113"/>
      <c r="L111" s="113"/>
      <c r="M111" s="113"/>
      <c r="N111" s="113"/>
      <c r="O111" s="113"/>
      <c r="P111" s="113"/>
      <c r="Q111" s="113"/>
      <c r="R111" s="113"/>
      <c r="S111" s="113"/>
      <c r="T111" s="113"/>
      <c r="U111" s="113"/>
      <c r="V111" s="113"/>
      <c r="W111" s="113"/>
      <c r="X111" s="113"/>
      <c r="Y111" s="113"/>
      <c r="Z111" s="113"/>
      <c r="AA111" s="113"/>
      <c r="AB111" s="113"/>
      <c r="AC111" s="113"/>
      <c r="AD111" s="113"/>
      <c r="AE111" s="113"/>
      <c r="AF111" s="113"/>
      <c r="AG111" s="113"/>
    </row>
    <row r="112" spans="1:33" ht="13.8">
      <c r="A112" s="113"/>
      <c r="B112" s="113"/>
      <c r="C112" s="113"/>
      <c r="D112" s="111"/>
      <c r="E112" s="113"/>
      <c r="F112" s="111"/>
      <c r="G112" s="113"/>
      <c r="H112" s="111"/>
      <c r="I112" s="113"/>
      <c r="J112" s="113"/>
      <c r="K112" s="113"/>
      <c r="L112" s="113"/>
      <c r="M112" s="113"/>
      <c r="N112" s="113"/>
      <c r="O112" s="113"/>
      <c r="P112" s="113"/>
      <c r="Q112" s="113"/>
      <c r="R112" s="113"/>
      <c r="S112" s="113"/>
      <c r="T112" s="113"/>
      <c r="U112" s="113"/>
      <c r="V112" s="113"/>
      <c r="W112" s="113"/>
      <c r="X112" s="113"/>
      <c r="Y112" s="113"/>
      <c r="Z112" s="113"/>
      <c r="AA112" s="113"/>
      <c r="AB112" s="113"/>
      <c r="AC112" s="113"/>
      <c r="AD112" s="113"/>
      <c r="AE112" s="113"/>
      <c r="AF112" s="113"/>
      <c r="AG112" s="113"/>
    </row>
    <row r="113" spans="1:33" ht="13.8">
      <c r="A113" s="113"/>
      <c r="B113" s="113"/>
      <c r="C113" s="113"/>
      <c r="D113" s="111"/>
      <c r="E113" s="113"/>
      <c r="F113" s="111"/>
      <c r="G113" s="113"/>
      <c r="H113" s="111"/>
      <c r="I113" s="113"/>
      <c r="J113" s="113"/>
      <c r="K113" s="113"/>
      <c r="L113" s="113"/>
      <c r="M113" s="113"/>
      <c r="N113" s="113"/>
      <c r="O113" s="113"/>
      <c r="P113" s="113"/>
      <c r="Q113" s="113"/>
      <c r="R113" s="113"/>
      <c r="S113" s="113"/>
      <c r="T113" s="113"/>
      <c r="U113" s="113"/>
      <c r="V113" s="113"/>
      <c r="W113" s="113"/>
      <c r="X113" s="113"/>
      <c r="Y113" s="113"/>
      <c r="Z113" s="113"/>
      <c r="AA113" s="113"/>
      <c r="AB113" s="113"/>
      <c r="AC113" s="113"/>
      <c r="AD113" s="113"/>
      <c r="AE113" s="113"/>
      <c r="AF113" s="113"/>
      <c r="AG113" s="113"/>
    </row>
    <row r="114" spans="1:33" ht="13.8">
      <c r="A114" s="113"/>
      <c r="B114" s="113"/>
      <c r="C114" s="113"/>
      <c r="D114" s="111"/>
      <c r="E114" s="113"/>
      <c r="F114" s="111"/>
      <c r="G114" s="113"/>
      <c r="H114" s="111"/>
      <c r="I114" s="113"/>
      <c r="J114" s="113"/>
      <c r="K114" s="113"/>
      <c r="L114" s="113"/>
      <c r="M114" s="113"/>
      <c r="N114" s="113"/>
      <c r="O114" s="113"/>
      <c r="P114" s="113"/>
      <c r="Q114" s="113"/>
      <c r="R114" s="113"/>
      <c r="S114" s="113"/>
      <c r="T114" s="113"/>
      <c r="U114" s="113"/>
      <c r="V114" s="113"/>
      <c r="W114" s="113"/>
      <c r="X114" s="113"/>
      <c r="Y114" s="113"/>
      <c r="Z114" s="113"/>
      <c r="AA114" s="113"/>
      <c r="AB114" s="113"/>
      <c r="AC114" s="113"/>
      <c r="AD114" s="113"/>
      <c r="AE114" s="113"/>
      <c r="AF114" s="113"/>
      <c r="AG114" s="113"/>
    </row>
    <row r="115" spans="1:33" ht="13.8">
      <c r="A115" s="113"/>
      <c r="B115" s="113"/>
      <c r="C115" s="113"/>
      <c r="D115" s="111"/>
      <c r="E115" s="113"/>
      <c r="F115" s="111"/>
      <c r="G115" s="113"/>
      <c r="H115" s="111"/>
      <c r="I115" s="113"/>
      <c r="J115" s="113"/>
      <c r="K115" s="113"/>
      <c r="L115" s="113"/>
      <c r="M115" s="113"/>
      <c r="N115" s="113"/>
      <c r="O115" s="113"/>
      <c r="P115" s="113"/>
      <c r="Q115" s="113"/>
      <c r="R115" s="113"/>
      <c r="S115" s="113"/>
      <c r="T115" s="113"/>
      <c r="U115" s="113"/>
      <c r="V115" s="113"/>
      <c r="W115" s="113"/>
      <c r="X115" s="113"/>
      <c r="Y115" s="113"/>
      <c r="Z115" s="113"/>
      <c r="AA115" s="113"/>
      <c r="AB115" s="113"/>
      <c r="AC115" s="113"/>
      <c r="AD115" s="113"/>
      <c r="AE115" s="113"/>
      <c r="AF115" s="113"/>
      <c r="AG115" s="113"/>
    </row>
    <row r="116" spans="1:33" ht="13.8">
      <c r="A116" s="113"/>
      <c r="B116" s="113"/>
      <c r="C116" s="113"/>
      <c r="D116" s="111"/>
      <c r="E116" s="113"/>
      <c r="F116" s="111"/>
      <c r="G116" s="113"/>
      <c r="H116" s="111"/>
      <c r="I116" s="113"/>
      <c r="J116" s="113"/>
      <c r="K116" s="113"/>
      <c r="L116" s="113"/>
      <c r="M116" s="113"/>
      <c r="N116" s="113"/>
      <c r="O116" s="113"/>
      <c r="P116" s="113"/>
      <c r="Q116" s="113"/>
      <c r="R116" s="113"/>
      <c r="S116" s="113"/>
      <c r="T116" s="113"/>
      <c r="U116" s="113"/>
      <c r="V116" s="113"/>
      <c r="W116" s="113"/>
      <c r="X116" s="113"/>
      <c r="Y116" s="113"/>
      <c r="Z116" s="113"/>
      <c r="AA116" s="113"/>
      <c r="AB116" s="113"/>
      <c r="AC116" s="113"/>
      <c r="AD116" s="113"/>
      <c r="AE116" s="113"/>
      <c r="AF116" s="113"/>
      <c r="AG116" s="113"/>
    </row>
    <row r="117" spans="1:33" ht="13.8">
      <c r="A117" s="113"/>
      <c r="B117" s="113"/>
      <c r="C117" s="113"/>
      <c r="D117" s="111"/>
      <c r="E117" s="113"/>
      <c r="F117" s="111"/>
      <c r="G117" s="113"/>
      <c r="H117" s="111"/>
      <c r="I117" s="113"/>
      <c r="J117" s="113"/>
      <c r="K117" s="113"/>
      <c r="L117" s="113"/>
      <c r="M117" s="113"/>
      <c r="N117" s="113"/>
      <c r="O117" s="113"/>
      <c r="P117" s="113"/>
      <c r="Q117" s="113"/>
      <c r="R117" s="113"/>
      <c r="S117" s="113"/>
      <c r="T117" s="113"/>
      <c r="U117" s="113"/>
      <c r="V117" s="113"/>
      <c r="W117" s="113"/>
      <c r="X117" s="113"/>
      <c r="Y117" s="113"/>
      <c r="Z117" s="113"/>
      <c r="AA117" s="113"/>
      <c r="AB117" s="113"/>
      <c r="AC117" s="113"/>
      <c r="AD117" s="113"/>
      <c r="AE117" s="113"/>
      <c r="AF117" s="113"/>
      <c r="AG117" s="113"/>
    </row>
    <row r="118" spans="1:33" ht="13.8">
      <c r="A118" s="113"/>
      <c r="B118" s="113"/>
      <c r="C118" s="113"/>
      <c r="D118" s="111"/>
      <c r="E118" s="113"/>
      <c r="F118" s="111"/>
      <c r="G118" s="113"/>
      <c r="H118" s="111"/>
      <c r="I118" s="113"/>
      <c r="J118" s="113"/>
      <c r="K118" s="113"/>
      <c r="L118" s="113"/>
      <c r="M118" s="113"/>
      <c r="N118" s="113"/>
      <c r="O118" s="113"/>
      <c r="P118" s="113"/>
      <c r="Q118" s="113"/>
      <c r="R118" s="113"/>
      <c r="S118" s="113"/>
      <c r="T118" s="113"/>
      <c r="U118" s="113"/>
      <c r="V118" s="113"/>
      <c r="W118" s="113"/>
      <c r="X118" s="113"/>
      <c r="Y118" s="113"/>
      <c r="Z118" s="113"/>
      <c r="AA118" s="113"/>
      <c r="AB118" s="113"/>
      <c r="AC118" s="113"/>
      <c r="AD118" s="113"/>
      <c r="AE118" s="113"/>
      <c r="AF118" s="113"/>
      <c r="AG118" s="113"/>
    </row>
    <row r="119" spans="1:33" ht="13.8">
      <c r="A119" s="113"/>
      <c r="B119" s="113"/>
      <c r="C119" s="113"/>
      <c r="D119" s="111"/>
      <c r="E119" s="113"/>
      <c r="F119" s="111"/>
      <c r="G119" s="113"/>
      <c r="H119" s="111"/>
      <c r="I119" s="113"/>
      <c r="J119" s="113"/>
      <c r="K119" s="113"/>
      <c r="L119" s="113"/>
      <c r="M119" s="113"/>
      <c r="N119" s="113"/>
      <c r="O119" s="113"/>
      <c r="P119" s="113"/>
      <c r="Q119" s="113"/>
      <c r="R119" s="113"/>
      <c r="S119" s="113"/>
      <c r="T119" s="113"/>
      <c r="U119" s="113"/>
      <c r="V119" s="113"/>
      <c r="W119" s="113"/>
      <c r="X119" s="113"/>
      <c r="Y119" s="113"/>
      <c r="Z119" s="113"/>
      <c r="AA119" s="113"/>
      <c r="AB119" s="113"/>
      <c r="AC119" s="113"/>
      <c r="AD119" s="113"/>
      <c r="AE119" s="113"/>
      <c r="AF119" s="113"/>
      <c r="AG119" s="113"/>
    </row>
    <row r="120" spans="1:33" ht="13.8">
      <c r="A120" s="113"/>
      <c r="B120" s="113"/>
      <c r="C120" s="113"/>
      <c r="D120" s="111"/>
      <c r="E120" s="113"/>
      <c r="F120" s="111"/>
      <c r="G120" s="113"/>
      <c r="H120" s="111"/>
      <c r="I120" s="113"/>
      <c r="J120" s="113"/>
      <c r="K120" s="113"/>
      <c r="L120" s="113"/>
      <c r="M120" s="113"/>
      <c r="N120" s="113"/>
      <c r="O120" s="113"/>
      <c r="P120" s="113"/>
      <c r="Q120" s="113"/>
      <c r="R120" s="113"/>
      <c r="S120" s="113"/>
      <c r="T120" s="113"/>
      <c r="U120" s="113"/>
      <c r="V120" s="113"/>
      <c r="W120" s="113"/>
      <c r="X120" s="113"/>
      <c r="Y120" s="113"/>
      <c r="Z120" s="113"/>
      <c r="AA120" s="113"/>
      <c r="AB120" s="113"/>
      <c r="AC120" s="113"/>
      <c r="AD120" s="113"/>
      <c r="AE120" s="113"/>
      <c r="AF120" s="113"/>
      <c r="AG120" s="113"/>
    </row>
    <row r="121" spans="1:33" ht="13.8">
      <c r="A121" s="113"/>
      <c r="B121" s="113"/>
      <c r="C121" s="113"/>
      <c r="D121" s="111"/>
      <c r="E121" s="113"/>
      <c r="F121" s="111"/>
      <c r="G121" s="113"/>
      <c r="H121" s="111"/>
      <c r="I121" s="113"/>
      <c r="J121" s="113"/>
      <c r="K121" s="113"/>
      <c r="L121" s="113"/>
      <c r="M121" s="113"/>
      <c r="N121" s="113"/>
      <c r="O121" s="113"/>
      <c r="P121" s="113"/>
      <c r="Q121" s="113"/>
      <c r="R121" s="113"/>
      <c r="S121" s="113"/>
      <c r="T121" s="113"/>
      <c r="U121" s="113"/>
      <c r="V121" s="113"/>
      <c r="W121" s="113"/>
      <c r="X121" s="113"/>
      <c r="Y121" s="113"/>
      <c r="Z121" s="113"/>
      <c r="AA121" s="113"/>
      <c r="AB121" s="113"/>
      <c r="AC121" s="113"/>
      <c r="AD121" s="113"/>
      <c r="AE121" s="113"/>
      <c r="AF121" s="113"/>
      <c r="AG121" s="113"/>
    </row>
    <row r="122" spans="1:33" ht="13.8">
      <c r="A122" s="113"/>
      <c r="B122" s="113"/>
      <c r="C122" s="113"/>
      <c r="D122" s="111"/>
      <c r="E122" s="113"/>
      <c r="F122" s="111"/>
      <c r="G122" s="113"/>
      <c r="H122" s="111"/>
      <c r="I122" s="113"/>
      <c r="J122" s="113"/>
      <c r="K122" s="113"/>
      <c r="L122" s="113"/>
      <c r="M122" s="113"/>
      <c r="N122" s="113"/>
      <c r="O122" s="113"/>
      <c r="P122" s="113"/>
      <c r="Q122" s="113"/>
      <c r="R122" s="113"/>
      <c r="S122" s="113"/>
      <c r="T122" s="113"/>
      <c r="U122" s="113"/>
      <c r="V122" s="113"/>
      <c r="W122" s="113"/>
      <c r="X122" s="113"/>
      <c r="Y122" s="113"/>
      <c r="Z122" s="113"/>
      <c r="AA122" s="113"/>
      <c r="AB122" s="113"/>
      <c r="AC122" s="113"/>
      <c r="AD122" s="113"/>
      <c r="AE122" s="113"/>
      <c r="AF122" s="113"/>
      <c r="AG122" s="113"/>
    </row>
    <row r="123" spans="1:33" ht="13.8">
      <c r="A123" s="113"/>
      <c r="B123" s="113"/>
      <c r="C123" s="113"/>
      <c r="D123" s="111"/>
      <c r="E123" s="113"/>
      <c r="F123" s="111"/>
      <c r="G123" s="113"/>
      <c r="H123" s="111"/>
      <c r="I123" s="113"/>
      <c r="J123" s="113"/>
      <c r="K123" s="113"/>
      <c r="L123" s="113"/>
      <c r="M123" s="113"/>
      <c r="N123" s="113"/>
      <c r="O123" s="113"/>
      <c r="P123" s="113"/>
      <c r="Q123" s="113"/>
      <c r="R123" s="113"/>
      <c r="S123" s="113"/>
      <c r="T123" s="113"/>
      <c r="U123" s="113"/>
      <c r="V123" s="113"/>
      <c r="W123" s="113"/>
      <c r="X123" s="113"/>
      <c r="Y123" s="113"/>
      <c r="Z123" s="113"/>
      <c r="AA123" s="113"/>
      <c r="AB123" s="113"/>
      <c r="AC123" s="113"/>
      <c r="AD123" s="113"/>
      <c r="AE123" s="113"/>
      <c r="AF123" s="113"/>
      <c r="AG123" s="113"/>
    </row>
    <row r="124" spans="1:33" ht="13.8">
      <c r="A124" s="113"/>
      <c r="B124" s="113"/>
      <c r="C124" s="113"/>
      <c r="D124" s="111"/>
      <c r="E124" s="113"/>
      <c r="F124" s="111"/>
      <c r="G124" s="113"/>
      <c r="H124" s="111"/>
      <c r="I124" s="113"/>
      <c r="J124" s="113"/>
      <c r="K124" s="113"/>
      <c r="L124" s="113"/>
      <c r="M124" s="113"/>
      <c r="N124" s="113"/>
      <c r="O124" s="113"/>
      <c r="P124" s="113"/>
      <c r="Q124" s="113"/>
      <c r="R124" s="113"/>
      <c r="S124" s="113"/>
      <c r="T124" s="113"/>
      <c r="U124" s="113"/>
      <c r="V124" s="113"/>
      <c r="W124" s="113"/>
      <c r="X124" s="113"/>
      <c r="Y124" s="113"/>
      <c r="Z124" s="113"/>
      <c r="AA124" s="113"/>
      <c r="AB124" s="113"/>
      <c r="AC124" s="113"/>
      <c r="AD124" s="113"/>
      <c r="AE124" s="113"/>
      <c r="AF124" s="113"/>
      <c r="AG124" s="113"/>
    </row>
    <row r="125" spans="1:33" ht="13.8">
      <c r="A125" s="113"/>
      <c r="B125" s="113"/>
      <c r="C125" s="113"/>
      <c r="D125" s="111"/>
      <c r="E125" s="113"/>
      <c r="F125" s="111"/>
      <c r="G125" s="113"/>
      <c r="H125" s="111"/>
      <c r="I125" s="113"/>
      <c r="J125" s="113"/>
      <c r="K125" s="113"/>
      <c r="L125" s="113"/>
      <c r="M125" s="113"/>
      <c r="N125" s="113"/>
      <c r="O125" s="113"/>
      <c r="P125" s="113"/>
      <c r="Q125" s="113"/>
      <c r="R125" s="113"/>
      <c r="S125" s="113"/>
      <c r="T125" s="113"/>
      <c r="U125" s="113"/>
      <c r="V125" s="113"/>
      <c r="W125" s="113"/>
      <c r="X125" s="113"/>
      <c r="Y125" s="113"/>
      <c r="Z125" s="113"/>
      <c r="AA125" s="113"/>
      <c r="AB125" s="113"/>
      <c r="AC125" s="113"/>
      <c r="AD125" s="113"/>
      <c r="AE125" s="113"/>
      <c r="AF125" s="113"/>
      <c r="AG125" s="113"/>
    </row>
    <row r="126" spans="1:33" ht="13.8">
      <c r="A126" s="113"/>
      <c r="B126" s="113"/>
      <c r="C126" s="113"/>
      <c r="D126" s="111"/>
      <c r="E126" s="113"/>
      <c r="F126" s="111"/>
      <c r="G126" s="113"/>
      <c r="H126" s="111"/>
      <c r="I126" s="113"/>
      <c r="J126" s="113"/>
      <c r="K126" s="113"/>
      <c r="L126" s="113"/>
      <c r="M126" s="113"/>
      <c r="N126" s="113"/>
      <c r="O126" s="113"/>
      <c r="P126" s="113"/>
      <c r="Q126" s="113"/>
      <c r="R126" s="113"/>
      <c r="S126" s="113"/>
      <c r="T126" s="113"/>
      <c r="U126" s="113"/>
      <c r="V126" s="113"/>
      <c r="W126" s="113"/>
      <c r="X126" s="113"/>
      <c r="Y126" s="113"/>
      <c r="Z126" s="113"/>
      <c r="AA126" s="113"/>
      <c r="AB126" s="113"/>
      <c r="AC126" s="113"/>
      <c r="AD126" s="113"/>
      <c r="AE126" s="113"/>
      <c r="AF126" s="113"/>
      <c r="AG126" s="113"/>
    </row>
    <row r="127" spans="1:33" ht="13.8">
      <c r="A127" s="113"/>
      <c r="B127" s="113"/>
      <c r="C127" s="113"/>
      <c r="D127" s="111"/>
      <c r="E127" s="113"/>
      <c r="F127" s="111"/>
      <c r="G127" s="113"/>
      <c r="H127" s="111"/>
      <c r="I127" s="113"/>
      <c r="J127" s="113"/>
      <c r="K127" s="113"/>
      <c r="L127" s="113"/>
      <c r="M127" s="113"/>
      <c r="N127" s="113"/>
      <c r="O127" s="113"/>
      <c r="P127" s="113"/>
      <c r="Q127" s="113"/>
      <c r="R127" s="113"/>
      <c r="S127" s="113"/>
      <c r="T127" s="113"/>
      <c r="U127" s="113"/>
      <c r="V127" s="113"/>
      <c r="W127" s="113"/>
      <c r="X127" s="113"/>
      <c r="Y127" s="113"/>
      <c r="Z127" s="113"/>
      <c r="AA127" s="113"/>
      <c r="AB127" s="113"/>
      <c r="AC127" s="113"/>
      <c r="AD127" s="113"/>
      <c r="AE127" s="113"/>
      <c r="AF127" s="113"/>
      <c r="AG127" s="113"/>
    </row>
    <row r="128" spans="1:33" ht="13.8">
      <c r="A128" s="113"/>
      <c r="B128" s="113"/>
      <c r="C128" s="113"/>
      <c r="D128" s="111"/>
      <c r="E128" s="113"/>
      <c r="F128" s="111"/>
      <c r="G128" s="113"/>
      <c r="H128" s="111"/>
      <c r="I128" s="113"/>
      <c r="J128" s="113"/>
      <c r="K128" s="113"/>
      <c r="L128" s="113"/>
      <c r="M128" s="113"/>
      <c r="N128" s="113"/>
      <c r="O128" s="113"/>
      <c r="P128" s="113"/>
      <c r="Q128" s="113"/>
      <c r="R128" s="113"/>
      <c r="S128" s="113"/>
      <c r="T128" s="113"/>
      <c r="U128" s="113"/>
      <c r="V128" s="113"/>
      <c r="W128" s="113"/>
      <c r="X128" s="113"/>
      <c r="Y128" s="113"/>
      <c r="Z128" s="113"/>
      <c r="AA128" s="113"/>
      <c r="AB128" s="113"/>
      <c r="AC128" s="113"/>
      <c r="AD128" s="113"/>
      <c r="AE128" s="113"/>
      <c r="AF128" s="113"/>
      <c r="AG128" s="113"/>
    </row>
    <row r="129" spans="1:33" ht="13.8">
      <c r="A129" s="113"/>
      <c r="B129" s="113"/>
      <c r="C129" s="113"/>
      <c r="D129" s="111"/>
      <c r="E129" s="113"/>
      <c r="F129" s="111"/>
      <c r="G129" s="113"/>
      <c r="H129" s="111"/>
      <c r="I129" s="113"/>
      <c r="J129" s="113"/>
      <c r="K129" s="113"/>
      <c r="L129" s="113"/>
      <c r="M129" s="113"/>
      <c r="N129" s="113"/>
      <c r="O129" s="113"/>
      <c r="P129" s="113"/>
      <c r="Q129" s="113"/>
      <c r="R129" s="113"/>
      <c r="S129" s="113"/>
      <c r="T129" s="113"/>
      <c r="U129" s="113"/>
      <c r="V129" s="113"/>
      <c r="W129" s="113"/>
      <c r="X129" s="113"/>
      <c r="Y129" s="113"/>
      <c r="Z129" s="113"/>
      <c r="AA129" s="113"/>
      <c r="AB129" s="113"/>
      <c r="AC129" s="113"/>
      <c r="AD129" s="113"/>
      <c r="AE129" s="113"/>
      <c r="AF129" s="113"/>
      <c r="AG129" s="113"/>
    </row>
    <row r="130" spans="1:33" ht="13.8">
      <c r="A130" s="113"/>
      <c r="B130" s="113"/>
      <c r="C130" s="113"/>
      <c r="D130" s="111"/>
      <c r="E130" s="113"/>
      <c r="F130" s="111"/>
      <c r="G130" s="113"/>
      <c r="H130" s="111"/>
      <c r="I130" s="113"/>
      <c r="J130" s="113"/>
      <c r="K130" s="113"/>
      <c r="L130" s="113"/>
      <c r="M130" s="113"/>
      <c r="N130" s="113"/>
      <c r="O130" s="113"/>
      <c r="P130" s="113"/>
      <c r="Q130" s="113"/>
      <c r="R130" s="113"/>
      <c r="S130" s="113"/>
      <c r="T130" s="113"/>
      <c r="U130" s="113"/>
      <c r="V130" s="113"/>
      <c r="W130" s="113"/>
      <c r="X130" s="113"/>
      <c r="Y130" s="113"/>
      <c r="Z130" s="113"/>
      <c r="AA130" s="113"/>
      <c r="AB130" s="113"/>
      <c r="AC130" s="113"/>
      <c r="AD130" s="113"/>
      <c r="AE130" s="113"/>
      <c r="AF130" s="113"/>
      <c r="AG130" s="113"/>
    </row>
    <row r="131" spans="1:33" ht="13.8">
      <c r="A131" s="113"/>
      <c r="B131" s="113"/>
      <c r="C131" s="113"/>
      <c r="D131" s="111"/>
      <c r="E131" s="113"/>
      <c r="F131" s="111"/>
      <c r="G131" s="113"/>
      <c r="H131" s="111"/>
      <c r="I131" s="113"/>
      <c r="J131" s="113"/>
      <c r="K131" s="113"/>
      <c r="L131" s="113"/>
      <c r="M131" s="113"/>
      <c r="N131" s="113"/>
      <c r="O131" s="113"/>
      <c r="P131" s="113"/>
      <c r="Q131" s="113"/>
      <c r="R131" s="113"/>
      <c r="S131" s="113"/>
      <c r="T131" s="113"/>
      <c r="U131" s="113"/>
      <c r="V131" s="113"/>
      <c r="W131" s="113"/>
      <c r="X131" s="113"/>
      <c r="Y131" s="113"/>
      <c r="Z131" s="113"/>
      <c r="AA131" s="113"/>
      <c r="AB131" s="113"/>
      <c r="AC131" s="113"/>
      <c r="AD131" s="113"/>
      <c r="AE131" s="113"/>
      <c r="AF131" s="113"/>
      <c r="AG131" s="113"/>
    </row>
    <row r="132" spans="1:33" ht="13.8">
      <c r="A132" s="113"/>
      <c r="B132" s="113"/>
      <c r="C132" s="113"/>
      <c r="D132" s="111"/>
      <c r="E132" s="113"/>
      <c r="F132" s="111"/>
      <c r="G132" s="113"/>
      <c r="H132" s="111"/>
      <c r="I132" s="113"/>
      <c r="J132" s="113"/>
      <c r="K132" s="113"/>
      <c r="L132" s="113"/>
      <c r="M132" s="113"/>
      <c r="N132" s="113"/>
      <c r="O132" s="113"/>
      <c r="P132" s="113"/>
      <c r="Q132" s="113"/>
      <c r="R132" s="113"/>
      <c r="S132" s="113"/>
      <c r="T132" s="113"/>
      <c r="U132" s="113"/>
      <c r="V132" s="113"/>
      <c r="W132" s="113"/>
      <c r="X132" s="113"/>
      <c r="Y132" s="113"/>
      <c r="Z132" s="113"/>
      <c r="AA132" s="113"/>
      <c r="AB132" s="113"/>
      <c r="AC132" s="113"/>
      <c r="AD132" s="113"/>
      <c r="AE132" s="113"/>
      <c r="AF132" s="113"/>
      <c r="AG132" s="113"/>
    </row>
    <row r="133" spans="1:33" ht="13.8">
      <c r="A133" s="113"/>
      <c r="B133" s="113"/>
      <c r="C133" s="113"/>
      <c r="D133" s="111"/>
      <c r="E133" s="113"/>
      <c r="F133" s="111"/>
      <c r="G133" s="113"/>
      <c r="H133" s="111"/>
      <c r="I133" s="113"/>
      <c r="J133" s="113"/>
      <c r="K133" s="113"/>
      <c r="L133" s="113"/>
      <c r="M133" s="113"/>
      <c r="N133" s="113"/>
      <c r="O133" s="113"/>
      <c r="P133" s="113"/>
      <c r="Q133" s="113"/>
      <c r="R133" s="113"/>
      <c r="S133" s="113"/>
      <c r="T133" s="113"/>
      <c r="U133" s="113"/>
      <c r="V133" s="113"/>
      <c r="W133" s="113"/>
      <c r="X133" s="113"/>
      <c r="Y133" s="113"/>
      <c r="Z133" s="113"/>
      <c r="AA133" s="113"/>
      <c r="AB133" s="113"/>
      <c r="AC133" s="113"/>
      <c r="AD133" s="113"/>
      <c r="AE133" s="113"/>
      <c r="AF133" s="113"/>
      <c r="AG133" s="113"/>
    </row>
    <row r="134" spans="1:33" ht="13.8">
      <c r="A134" s="113"/>
      <c r="B134" s="113"/>
      <c r="C134" s="113"/>
      <c r="D134" s="111"/>
      <c r="E134" s="113"/>
      <c r="F134" s="111"/>
      <c r="G134" s="113"/>
      <c r="H134" s="111"/>
      <c r="I134" s="113"/>
      <c r="J134" s="113"/>
      <c r="K134" s="113"/>
      <c r="L134" s="113"/>
      <c r="M134" s="113"/>
      <c r="N134" s="113"/>
      <c r="O134" s="113"/>
      <c r="P134" s="113"/>
      <c r="Q134" s="113"/>
      <c r="R134" s="113"/>
      <c r="S134" s="113"/>
      <c r="T134" s="113"/>
      <c r="U134" s="113"/>
      <c r="V134" s="113"/>
      <c r="W134" s="113"/>
      <c r="X134" s="113"/>
      <c r="Y134" s="113"/>
      <c r="Z134" s="113"/>
      <c r="AA134" s="113"/>
      <c r="AB134" s="113"/>
      <c r="AC134" s="113"/>
      <c r="AD134" s="113"/>
      <c r="AE134" s="113"/>
      <c r="AF134" s="113"/>
      <c r="AG134" s="113"/>
    </row>
    <row r="135" spans="1:33" ht="13.8">
      <c r="A135" s="113"/>
      <c r="B135" s="113"/>
      <c r="C135" s="113"/>
      <c r="D135" s="111"/>
      <c r="E135" s="113"/>
      <c r="F135" s="111"/>
      <c r="G135" s="113"/>
      <c r="H135" s="111"/>
      <c r="I135" s="113"/>
      <c r="J135" s="113"/>
      <c r="K135" s="113"/>
      <c r="L135" s="113"/>
      <c r="M135" s="113"/>
      <c r="N135" s="113"/>
      <c r="O135" s="113"/>
      <c r="P135" s="113"/>
      <c r="Q135" s="113"/>
      <c r="R135" s="113"/>
      <c r="S135" s="113"/>
      <c r="T135" s="113"/>
      <c r="U135" s="113"/>
      <c r="V135" s="113"/>
      <c r="W135" s="113"/>
      <c r="X135" s="113"/>
      <c r="Y135" s="113"/>
      <c r="Z135" s="113"/>
      <c r="AA135" s="113"/>
      <c r="AB135" s="113"/>
      <c r="AC135" s="113"/>
      <c r="AD135" s="113"/>
      <c r="AE135" s="113"/>
      <c r="AF135" s="113"/>
      <c r="AG135" s="113"/>
    </row>
    <row r="136" spans="1:33" ht="13.8">
      <c r="A136" s="113"/>
      <c r="B136" s="113"/>
      <c r="C136" s="113"/>
      <c r="D136" s="111"/>
      <c r="E136" s="113"/>
      <c r="F136" s="111"/>
      <c r="G136" s="113"/>
      <c r="H136" s="111"/>
      <c r="I136" s="113"/>
      <c r="J136" s="113"/>
      <c r="K136" s="113"/>
      <c r="L136" s="113"/>
      <c r="M136" s="113"/>
      <c r="N136" s="113"/>
      <c r="O136" s="113"/>
      <c r="P136" s="113"/>
      <c r="Q136" s="113"/>
      <c r="R136" s="113"/>
      <c r="S136" s="113"/>
      <c r="T136" s="113"/>
      <c r="U136" s="113"/>
      <c r="V136" s="113"/>
      <c r="W136" s="113"/>
      <c r="X136" s="113"/>
      <c r="Y136" s="113"/>
      <c r="Z136" s="113"/>
      <c r="AA136" s="113"/>
      <c r="AB136" s="113"/>
      <c r="AC136" s="113"/>
      <c r="AD136" s="113"/>
      <c r="AE136" s="113"/>
      <c r="AF136" s="113"/>
      <c r="AG136" s="113"/>
    </row>
    <row r="137" spans="1:33" ht="13.8">
      <c r="A137" s="113"/>
      <c r="B137" s="113"/>
      <c r="C137" s="113"/>
      <c r="D137" s="111"/>
      <c r="E137" s="113"/>
      <c r="F137" s="111"/>
      <c r="G137" s="113"/>
      <c r="H137" s="111"/>
      <c r="I137" s="113"/>
      <c r="J137" s="113"/>
      <c r="K137" s="113"/>
      <c r="L137" s="113"/>
      <c r="M137" s="113"/>
      <c r="N137" s="113"/>
      <c r="O137" s="113"/>
      <c r="P137" s="113"/>
      <c r="Q137" s="113"/>
      <c r="R137" s="113"/>
      <c r="S137" s="113"/>
      <c r="T137" s="113"/>
      <c r="U137" s="113"/>
      <c r="V137" s="113"/>
      <c r="W137" s="113"/>
      <c r="X137" s="113"/>
      <c r="Y137" s="113"/>
      <c r="Z137" s="113"/>
      <c r="AA137" s="113"/>
      <c r="AB137" s="113"/>
      <c r="AC137" s="113"/>
      <c r="AD137" s="113"/>
      <c r="AE137" s="113"/>
      <c r="AF137" s="113"/>
      <c r="AG137" s="113"/>
    </row>
    <row r="138" spans="1:33" ht="13.8">
      <c r="A138" s="113"/>
      <c r="B138" s="113"/>
      <c r="C138" s="113"/>
      <c r="D138" s="111"/>
      <c r="E138" s="113"/>
      <c r="F138" s="111"/>
      <c r="G138" s="113"/>
      <c r="H138" s="111"/>
      <c r="I138" s="113"/>
      <c r="J138" s="113"/>
      <c r="K138" s="113"/>
      <c r="L138" s="113"/>
      <c r="M138" s="113"/>
      <c r="N138" s="113"/>
      <c r="O138" s="113"/>
      <c r="P138" s="113"/>
      <c r="Q138" s="113"/>
      <c r="R138" s="113"/>
      <c r="S138" s="113"/>
      <c r="T138" s="113"/>
      <c r="U138" s="113"/>
      <c r="V138" s="113"/>
      <c r="W138" s="113"/>
      <c r="X138" s="113"/>
      <c r="Y138" s="113"/>
      <c r="Z138" s="113"/>
      <c r="AA138" s="113"/>
      <c r="AB138" s="113"/>
      <c r="AC138" s="113"/>
      <c r="AD138" s="113"/>
      <c r="AE138" s="113"/>
      <c r="AF138" s="113"/>
      <c r="AG138" s="113"/>
    </row>
    <row r="139" spans="1:33" ht="13.8">
      <c r="A139" s="113"/>
      <c r="B139" s="113"/>
      <c r="C139" s="113"/>
      <c r="D139" s="111"/>
      <c r="E139" s="113"/>
      <c r="F139" s="111"/>
      <c r="G139" s="113"/>
      <c r="H139" s="111"/>
      <c r="I139" s="113"/>
      <c r="J139" s="113"/>
      <c r="K139" s="113"/>
      <c r="L139" s="113"/>
      <c r="M139" s="113"/>
      <c r="N139" s="113"/>
      <c r="O139" s="113"/>
      <c r="P139" s="113"/>
      <c r="Q139" s="113"/>
      <c r="R139" s="113"/>
      <c r="S139" s="113"/>
      <c r="T139" s="113"/>
      <c r="U139" s="113"/>
      <c r="V139" s="113"/>
      <c r="W139" s="113"/>
      <c r="X139" s="113"/>
      <c r="Y139" s="113"/>
      <c r="Z139" s="113"/>
      <c r="AA139" s="113"/>
      <c r="AB139" s="113"/>
      <c r="AC139" s="113"/>
      <c r="AD139" s="113"/>
      <c r="AE139" s="113"/>
      <c r="AF139" s="113"/>
      <c r="AG139" s="113"/>
    </row>
    <row r="140" spans="1:33" ht="13.8">
      <c r="A140" s="113"/>
      <c r="B140" s="113"/>
      <c r="C140" s="113"/>
      <c r="D140" s="111"/>
      <c r="E140" s="113"/>
      <c r="F140" s="111"/>
      <c r="G140" s="113"/>
      <c r="H140" s="111"/>
      <c r="I140" s="113"/>
      <c r="J140" s="113"/>
      <c r="K140" s="113"/>
      <c r="L140" s="113"/>
      <c r="M140" s="113"/>
      <c r="N140" s="113"/>
      <c r="O140" s="113"/>
      <c r="P140" s="113"/>
      <c r="Q140" s="113"/>
      <c r="R140" s="113"/>
      <c r="S140" s="113"/>
      <c r="T140" s="113"/>
      <c r="U140" s="113"/>
      <c r="V140" s="113"/>
      <c r="W140" s="113"/>
      <c r="X140" s="113"/>
      <c r="Y140" s="113"/>
      <c r="Z140" s="113"/>
      <c r="AA140" s="113"/>
      <c r="AB140" s="113"/>
      <c r="AC140" s="113"/>
      <c r="AD140" s="113"/>
      <c r="AE140" s="113"/>
      <c r="AF140" s="113"/>
      <c r="AG140" s="113"/>
    </row>
    <row r="141" spans="1:33" ht="13.8">
      <c r="A141" s="113"/>
      <c r="B141" s="113"/>
      <c r="C141" s="113"/>
      <c r="D141" s="111"/>
      <c r="E141" s="113"/>
      <c r="F141" s="111"/>
      <c r="G141" s="113"/>
      <c r="H141" s="111"/>
      <c r="I141" s="113"/>
      <c r="J141" s="113"/>
      <c r="K141" s="113"/>
      <c r="L141" s="113"/>
      <c r="M141" s="113"/>
      <c r="N141" s="113"/>
      <c r="O141" s="113"/>
      <c r="P141" s="113"/>
      <c r="Q141" s="113"/>
      <c r="R141" s="113"/>
      <c r="S141" s="113"/>
      <c r="T141" s="113"/>
      <c r="U141" s="113"/>
      <c r="V141" s="113"/>
      <c r="W141" s="113"/>
      <c r="X141" s="113"/>
      <c r="Y141" s="113"/>
      <c r="Z141" s="113"/>
      <c r="AA141" s="113"/>
      <c r="AB141" s="113"/>
      <c r="AC141" s="113"/>
      <c r="AD141" s="113"/>
      <c r="AE141" s="113"/>
      <c r="AF141" s="113"/>
      <c r="AG141" s="113"/>
    </row>
    <row r="142" spans="1:33" ht="13.8">
      <c r="A142" s="113"/>
      <c r="B142" s="113"/>
      <c r="C142" s="113"/>
      <c r="D142" s="111"/>
      <c r="E142" s="113"/>
      <c r="F142" s="111"/>
      <c r="G142" s="113"/>
      <c r="H142" s="111"/>
      <c r="I142" s="113"/>
      <c r="J142" s="113"/>
      <c r="K142" s="113"/>
      <c r="L142" s="113"/>
      <c r="M142" s="113"/>
      <c r="N142" s="113"/>
      <c r="O142" s="113"/>
      <c r="P142" s="113"/>
      <c r="Q142" s="113"/>
      <c r="R142" s="113"/>
      <c r="S142" s="113"/>
      <c r="T142" s="113"/>
      <c r="U142" s="113"/>
      <c r="V142" s="113"/>
      <c r="W142" s="113"/>
      <c r="X142" s="113"/>
      <c r="Y142" s="113"/>
      <c r="Z142" s="113"/>
      <c r="AA142" s="113"/>
      <c r="AB142" s="113"/>
      <c r="AC142" s="113"/>
      <c r="AD142" s="113"/>
      <c r="AE142" s="113"/>
      <c r="AF142" s="113"/>
      <c r="AG142" s="113"/>
    </row>
    <row r="143" spans="1:33" ht="13.8">
      <c r="A143" s="113"/>
      <c r="B143" s="113"/>
      <c r="C143" s="113"/>
      <c r="D143" s="111"/>
      <c r="E143" s="113"/>
      <c r="F143" s="111"/>
      <c r="G143" s="113"/>
      <c r="H143" s="111"/>
      <c r="I143" s="113"/>
      <c r="J143" s="113"/>
      <c r="K143" s="113"/>
      <c r="L143" s="113"/>
      <c r="M143" s="113"/>
      <c r="N143" s="113"/>
      <c r="O143" s="113"/>
      <c r="P143" s="113"/>
      <c r="Q143" s="113"/>
      <c r="R143" s="113"/>
      <c r="S143" s="113"/>
      <c r="T143" s="113"/>
      <c r="U143" s="113"/>
      <c r="V143" s="113"/>
      <c r="W143" s="113"/>
      <c r="X143" s="113"/>
      <c r="Y143" s="113"/>
      <c r="Z143" s="113"/>
      <c r="AA143" s="113"/>
      <c r="AB143" s="113"/>
      <c r="AC143" s="113"/>
      <c r="AD143" s="113"/>
      <c r="AE143" s="113"/>
      <c r="AF143" s="113"/>
      <c r="AG143" s="113"/>
    </row>
    <row r="144" spans="1:33" ht="13.8">
      <c r="A144" s="113"/>
      <c r="B144" s="113"/>
      <c r="C144" s="113"/>
      <c r="D144" s="111"/>
      <c r="E144" s="113"/>
      <c r="F144" s="111"/>
      <c r="G144" s="113"/>
      <c r="H144" s="111"/>
      <c r="I144" s="113"/>
      <c r="J144" s="113"/>
      <c r="K144" s="113"/>
      <c r="L144" s="113"/>
      <c r="M144" s="113"/>
      <c r="N144" s="113"/>
      <c r="O144" s="113"/>
      <c r="P144" s="113"/>
      <c r="Q144" s="113"/>
      <c r="R144" s="113"/>
      <c r="S144" s="113"/>
      <c r="T144" s="113"/>
      <c r="U144" s="113"/>
      <c r="V144" s="113"/>
      <c r="W144" s="113"/>
      <c r="X144" s="113"/>
      <c r="Y144" s="113"/>
      <c r="Z144" s="113"/>
      <c r="AA144" s="113"/>
      <c r="AB144" s="113"/>
      <c r="AC144" s="113"/>
      <c r="AD144" s="113"/>
      <c r="AE144" s="113"/>
      <c r="AF144" s="113"/>
      <c r="AG144" s="113"/>
    </row>
    <row r="145" spans="1:33" ht="13.8">
      <c r="A145" s="113"/>
      <c r="B145" s="113"/>
      <c r="C145" s="113"/>
      <c r="D145" s="111"/>
      <c r="E145" s="113"/>
      <c r="F145" s="111"/>
      <c r="G145" s="113"/>
      <c r="H145" s="111"/>
      <c r="I145" s="113"/>
      <c r="J145" s="113"/>
      <c r="K145" s="113"/>
      <c r="L145" s="113"/>
      <c r="M145" s="113"/>
      <c r="N145" s="113"/>
      <c r="O145" s="113"/>
      <c r="P145" s="113"/>
      <c r="Q145" s="113"/>
      <c r="R145" s="113"/>
      <c r="S145" s="113"/>
      <c r="T145" s="113"/>
      <c r="U145" s="113"/>
      <c r="V145" s="113"/>
      <c r="W145" s="113"/>
      <c r="X145" s="113"/>
      <c r="Y145" s="113"/>
      <c r="Z145" s="113"/>
      <c r="AA145" s="113"/>
      <c r="AB145" s="113"/>
      <c r="AC145" s="113"/>
      <c r="AD145" s="113"/>
      <c r="AE145" s="113"/>
      <c r="AF145" s="113"/>
      <c r="AG145" s="113"/>
    </row>
    <row r="146" spans="1:33" ht="13.8">
      <c r="A146" s="113"/>
      <c r="B146" s="113"/>
      <c r="C146" s="113"/>
      <c r="D146" s="111"/>
      <c r="E146" s="113"/>
      <c r="F146" s="111"/>
      <c r="G146" s="113"/>
      <c r="H146" s="111"/>
      <c r="I146" s="113"/>
      <c r="J146" s="113"/>
      <c r="K146" s="113"/>
      <c r="L146" s="113"/>
      <c r="M146" s="113"/>
      <c r="N146" s="113"/>
      <c r="O146" s="113"/>
      <c r="P146" s="113"/>
      <c r="Q146" s="113"/>
      <c r="R146" s="113"/>
      <c r="S146" s="113"/>
      <c r="T146" s="113"/>
      <c r="U146" s="113"/>
      <c r="V146" s="113"/>
      <c r="W146" s="113"/>
      <c r="X146" s="113"/>
      <c r="Y146" s="113"/>
      <c r="Z146" s="113"/>
      <c r="AA146" s="113"/>
      <c r="AB146" s="113"/>
      <c r="AC146" s="113"/>
      <c r="AD146" s="113"/>
      <c r="AE146" s="113"/>
      <c r="AF146" s="113"/>
      <c r="AG146" s="113"/>
    </row>
    <row r="147" spans="1:33" ht="13.8">
      <c r="A147" s="113"/>
      <c r="B147" s="113"/>
      <c r="C147" s="113"/>
      <c r="D147" s="111"/>
      <c r="E147" s="113"/>
      <c r="F147" s="111"/>
      <c r="G147" s="113"/>
      <c r="H147" s="111"/>
      <c r="I147" s="113"/>
      <c r="J147" s="113"/>
      <c r="K147" s="113"/>
      <c r="L147" s="113"/>
      <c r="M147" s="113"/>
      <c r="N147" s="113"/>
      <c r="O147" s="113"/>
      <c r="P147" s="113"/>
      <c r="Q147" s="113"/>
      <c r="R147" s="113"/>
      <c r="S147" s="113"/>
      <c r="T147" s="113"/>
      <c r="U147" s="113"/>
      <c r="V147" s="113"/>
      <c r="W147" s="113"/>
      <c r="X147" s="113"/>
      <c r="Y147" s="113"/>
      <c r="Z147" s="113"/>
      <c r="AA147" s="113"/>
      <c r="AB147" s="113"/>
      <c r="AC147" s="113"/>
      <c r="AD147" s="113"/>
      <c r="AE147" s="113"/>
      <c r="AF147" s="113"/>
      <c r="AG147" s="113"/>
    </row>
    <row r="148" spans="1:33" ht="13.8">
      <c r="A148" s="113"/>
      <c r="B148" s="113"/>
      <c r="C148" s="113"/>
      <c r="D148" s="111"/>
      <c r="E148" s="113"/>
      <c r="F148" s="111"/>
      <c r="G148" s="113"/>
      <c r="H148" s="111"/>
      <c r="I148" s="113"/>
      <c r="J148" s="113"/>
      <c r="K148" s="113"/>
      <c r="L148" s="113"/>
      <c r="M148" s="113"/>
      <c r="N148" s="113"/>
      <c r="O148" s="113"/>
      <c r="P148" s="113"/>
      <c r="Q148" s="113"/>
      <c r="R148" s="113"/>
      <c r="S148" s="113"/>
      <c r="T148" s="113"/>
      <c r="U148" s="113"/>
      <c r="V148" s="113"/>
      <c r="W148" s="113"/>
      <c r="X148" s="113"/>
      <c r="Y148" s="113"/>
      <c r="Z148" s="113"/>
      <c r="AA148" s="113"/>
      <c r="AB148" s="113"/>
      <c r="AC148" s="113"/>
      <c r="AD148" s="113"/>
      <c r="AE148" s="113"/>
      <c r="AF148" s="113"/>
      <c r="AG148" s="113"/>
    </row>
    <row r="149" spans="1:33" ht="13.8">
      <c r="A149" s="113"/>
      <c r="B149" s="113"/>
      <c r="C149" s="113"/>
      <c r="D149" s="111"/>
      <c r="E149" s="113"/>
      <c r="F149" s="111"/>
      <c r="G149" s="113"/>
      <c r="H149" s="111"/>
      <c r="I149" s="113"/>
      <c r="J149" s="113"/>
      <c r="K149" s="113"/>
      <c r="L149" s="113"/>
      <c r="M149" s="113"/>
      <c r="N149" s="113"/>
      <c r="O149" s="113"/>
      <c r="P149" s="113"/>
      <c r="Q149" s="113"/>
      <c r="R149" s="113"/>
      <c r="S149" s="113"/>
      <c r="T149" s="113"/>
      <c r="U149" s="113"/>
      <c r="V149" s="113"/>
      <c r="W149" s="113"/>
      <c r="X149" s="113"/>
      <c r="Y149" s="113"/>
      <c r="Z149" s="113"/>
      <c r="AA149" s="113"/>
      <c r="AB149" s="113"/>
      <c r="AC149" s="113"/>
      <c r="AD149" s="113"/>
      <c r="AE149" s="113"/>
      <c r="AF149" s="113"/>
      <c r="AG149" s="113"/>
    </row>
    <row r="150" spans="1:33" ht="13.8">
      <c r="A150" s="113"/>
      <c r="B150" s="113"/>
      <c r="C150" s="113"/>
      <c r="D150" s="111"/>
      <c r="E150" s="113"/>
      <c r="F150" s="111"/>
      <c r="G150" s="113"/>
      <c r="H150" s="111"/>
      <c r="I150" s="113"/>
      <c r="J150" s="113"/>
      <c r="K150" s="113"/>
      <c r="L150" s="113"/>
      <c r="M150" s="113"/>
      <c r="N150" s="113"/>
      <c r="O150" s="113"/>
      <c r="P150" s="113"/>
      <c r="Q150" s="113"/>
      <c r="R150" s="113"/>
      <c r="S150" s="113"/>
      <c r="T150" s="113"/>
      <c r="U150" s="113"/>
      <c r="V150" s="113"/>
      <c r="W150" s="113"/>
      <c r="X150" s="113"/>
      <c r="Y150" s="113"/>
      <c r="Z150" s="113"/>
      <c r="AA150" s="113"/>
      <c r="AB150" s="113"/>
      <c r="AC150" s="113"/>
      <c r="AD150" s="113"/>
      <c r="AE150" s="113"/>
      <c r="AF150" s="113"/>
      <c r="AG150" s="113"/>
    </row>
    <row r="151" spans="1:33" ht="13.8">
      <c r="A151" s="113"/>
      <c r="B151" s="113"/>
      <c r="C151" s="113"/>
      <c r="D151" s="111"/>
      <c r="E151" s="113"/>
      <c r="F151" s="111"/>
      <c r="G151" s="113"/>
      <c r="H151" s="111"/>
      <c r="I151" s="113"/>
      <c r="J151" s="113"/>
      <c r="K151" s="113"/>
      <c r="L151" s="113"/>
      <c r="M151" s="113"/>
      <c r="N151" s="113"/>
      <c r="O151" s="113"/>
      <c r="P151" s="113"/>
      <c r="Q151" s="113"/>
      <c r="R151" s="113"/>
      <c r="S151" s="113"/>
      <c r="T151" s="113"/>
      <c r="U151" s="113"/>
      <c r="V151" s="113"/>
      <c r="W151" s="113"/>
      <c r="X151" s="113"/>
      <c r="Y151" s="113"/>
      <c r="Z151" s="113"/>
      <c r="AA151" s="113"/>
      <c r="AB151" s="113"/>
      <c r="AC151" s="113"/>
      <c r="AD151" s="113"/>
      <c r="AE151" s="113"/>
      <c r="AF151" s="113"/>
      <c r="AG151" s="113"/>
    </row>
    <row r="152" spans="1:33" ht="13.8">
      <c r="A152" s="113"/>
      <c r="B152" s="113"/>
      <c r="C152" s="113"/>
      <c r="D152" s="111"/>
      <c r="E152" s="113"/>
      <c r="F152" s="111"/>
      <c r="G152" s="113"/>
      <c r="H152" s="111"/>
      <c r="I152" s="113"/>
      <c r="J152" s="113"/>
      <c r="K152" s="113"/>
      <c r="L152" s="113"/>
      <c r="M152" s="113"/>
      <c r="N152" s="113"/>
      <c r="O152" s="113"/>
      <c r="P152" s="113"/>
      <c r="Q152" s="113"/>
      <c r="R152" s="113"/>
      <c r="S152" s="113"/>
      <c r="T152" s="113"/>
      <c r="U152" s="113"/>
      <c r="V152" s="113"/>
      <c r="W152" s="113"/>
      <c r="X152" s="113"/>
      <c r="Y152" s="113"/>
      <c r="Z152" s="113"/>
      <c r="AA152" s="113"/>
      <c r="AB152" s="113"/>
      <c r="AC152" s="113"/>
      <c r="AD152" s="113"/>
      <c r="AE152" s="113"/>
      <c r="AF152" s="113"/>
      <c r="AG152" s="113"/>
    </row>
    <row r="153" spans="1:33" ht="13.8">
      <c r="A153" s="113"/>
      <c r="B153" s="113"/>
      <c r="C153" s="113"/>
      <c r="D153" s="111"/>
      <c r="E153" s="113"/>
      <c r="F153" s="111"/>
      <c r="G153" s="113"/>
      <c r="H153" s="111"/>
      <c r="I153" s="113"/>
      <c r="J153" s="113"/>
      <c r="K153" s="113"/>
      <c r="L153" s="113"/>
      <c r="M153" s="113"/>
      <c r="N153" s="113"/>
      <c r="O153" s="113"/>
      <c r="P153" s="113"/>
      <c r="Q153" s="113"/>
      <c r="R153" s="113"/>
      <c r="S153" s="113"/>
      <c r="T153" s="113"/>
      <c r="U153" s="113"/>
      <c r="V153" s="113"/>
      <c r="W153" s="113"/>
      <c r="X153" s="113"/>
      <c r="Y153" s="113"/>
      <c r="Z153" s="113"/>
      <c r="AA153" s="113"/>
      <c r="AB153" s="113"/>
      <c r="AC153" s="113"/>
      <c r="AD153" s="113"/>
      <c r="AE153" s="113"/>
      <c r="AF153" s="113"/>
      <c r="AG153" s="113"/>
    </row>
    <row r="154" spans="1:33" ht="13.8">
      <c r="A154" s="113"/>
      <c r="B154" s="113"/>
      <c r="C154" s="113"/>
      <c r="D154" s="111"/>
      <c r="E154" s="113"/>
      <c r="F154" s="111"/>
      <c r="G154" s="113"/>
      <c r="H154" s="111"/>
      <c r="I154" s="113"/>
      <c r="J154" s="113"/>
      <c r="K154" s="113"/>
      <c r="L154" s="113"/>
      <c r="M154" s="113"/>
      <c r="N154" s="113"/>
      <c r="O154" s="113"/>
      <c r="P154" s="113"/>
      <c r="Q154" s="113"/>
      <c r="R154" s="113"/>
      <c r="S154" s="113"/>
      <c r="T154" s="113"/>
      <c r="U154" s="113"/>
      <c r="V154" s="113"/>
      <c r="W154" s="113"/>
      <c r="X154" s="113"/>
      <c r="Y154" s="113"/>
      <c r="Z154" s="113"/>
      <c r="AA154" s="113"/>
      <c r="AB154" s="113"/>
      <c r="AC154" s="113"/>
      <c r="AD154" s="113"/>
      <c r="AE154" s="113"/>
      <c r="AF154" s="113"/>
      <c r="AG154" s="113"/>
    </row>
    <row r="155" spans="1:33" ht="13.8">
      <c r="A155" s="113"/>
      <c r="B155" s="113"/>
      <c r="C155" s="113"/>
      <c r="D155" s="111"/>
      <c r="E155" s="113"/>
      <c r="F155" s="111"/>
      <c r="G155" s="113"/>
      <c r="H155" s="111"/>
      <c r="I155" s="113"/>
      <c r="J155" s="113"/>
      <c r="K155" s="113"/>
      <c r="L155" s="113"/>
      <c r="M155" s="113"/>
      <c r="N155" s="113"/>
      <c r="O155" s="113"/>
      <c r="P155" s="113"/>
      <c r="Q155" s="113"/>
      <c r="R155" s="113"/>
      <c r="S155" s="113"/>
      <c r="T155" s="113"/>
      <c r="U155" s="113"/>
      <c r="V155" s="113"/>
      <c r="W155" s="113"/>
      <c r="X155" s="113"/>
      <c r="Y155" s="113"/>
      <c r="Z155" s="113"/>
      <c r="AA155" s="113"/>
      <c r="AB155" s="113"/>
      <c r="AC155" s="113"/>
      <c r="AD155" s="113"/>
      <c r="AE155" s="113"/>
      <c r="AF155" s="113"/>
      <c r="AG155" s="113"/>
    </row>
    <row r="156" spans="1:33" ht="13.8">
      <c r="A156" s="113"/>
      <c r="B156" s="113"/>
      <c r="C156" s="113"/>
      <c r="D156" s="111"/>
      <c r="E156" s="113"/>
      <c r="F156" s="111"/>
      <c r="G156" s="113"/>
      <c r="H156" s="111"/>
      <c r="I156" s="113"/>
      <c r="J156" s="113"/>
      <c r="K156" s="113"/>
      <c r="L156" s="113"/>
      <c r="M156" s="113"/>
      <c r="N156" s="113"/>
      <c r="O156" s="113"/>
      <c r="P156" s="113"/>
      <c r="Q156" s="113"/>
      <c r="R156" s="113"/>
      <c r="S156" s="113"/>
      <c r="T156" s="113"/>
      <c r="U156" s="113"/>
      <c r="V156" s="113"/>
      <c r="W156" s="113"/>
      <c r="X156" s="113"/>
      <c r="Y156" s="113"/>
      <c r="Z156" s="113"/>
      <c r="AA156" s="113"/>
      <c r="AB156" s="113"/>
      <c r="AC156" s="113"/>
      <c r="AD156" s="113"/>
      <c r="AE156" s="113"/>
      <c r="AF156" s="113"/>
      <c r="AG156" s="113"/>
    </row>
    <row r="157" spans="1:33" ht="13.8">
      <c r="A157" s="113"/>
      <c r="B157" s="113"/>
      <c r="C157" s="113"/>
      <c r="D157" s="111"/>
      <c r="E157" s="113"/>
      <c r="F157" s="111"/>
      <c r="G157" s="113"/>
      <c r="H157" s="111"/>
      <c r="I157" s="113"/>
      <c r="J157" s="113"/>
      <c r="K157" s="113"/>
      <c r="L157" s="113"/>
      <c r="M157" s="113"/>
      <c r="N157" s="113"/>
      <c r="O157" s="113"/>
      <c r="P157" s="113"/>
      <c r="Q157" s="113"/>
      <c r="R157" s="113"/>
      <c r="S157" s="113"/>
      <c r="T157" s="113"/>
      <c r="U157" s="113"/>
      <c r="V157" s="113"/>
      <c r="W157" s="113"/>
      <c r="X157" s="113"/>
      <c r="Y157" s="113"/>
      <c r="Z157" s="113"/>
      <c r="AA157" s="113"/>
      <c r="AB157" s="113"/>
      <c r="AC157" s="113"/>
      <c r="AD157" s="113"/>
      <c r="AE157" s="113"/>
      <c r="AF157" s="113"/>
      <c r="AG157" s="113"/>
    </row>
    <row r="158" spans="1:33" ht="13.8">
      <c r="A158" s="113"/>
      <c r="B158" s="113"/>
      <c r="C158" s="113"/>
      <c r="D158" s="111"/>
      <c r="E158" s="113"/>
      <c r="F158" s="111"/>
      <c r="G158" s="113"/>
      <c r="H158" s="111"/>
      <c r="I158" s="113"/>
      <c r="J158" s="113"/>
      <c r="K158" s="113"/>
      <c r="L158" s="113"/>
      <c r="M158" s="113"/>
      <c r="N158" s="113"/>
      <c r="O158" s="113"/>
      <c r="P158" s="113"/>
      <c r="Q158" s="113"/>
      <c r="R158" s="113"/>
      <c r="S158" s="113"/>
      <c r="T158" s="113"/>
      <c r="U158" s="113"/>
      <c r="V158" s="113"/>
      <c r="W158" s="113"/>
      <c r="X158" s="113"/>
      <c r="Y158" s="113"/>
      <c r="Z158" s="113"/>
      <c r="AA158" s="113"/>
      <c r="AB158" s="113"/>
      <c r="AC158" s="113"/>
      <c r="AD158" s="113"/>
      <c r="AE158" s="113"/>
      <c r="AF158" s="113"/>
      <c r="AG158" s="113"/>
    </row>
    <row r="159" spans="1:33" ht="13.8">
      <c r="A159" s="113"/>
      <c r="B159" s="113"/>
      <c r="C159" s="113"/>
      <c r="D159" s="111"/>
      <c r="E159" s="113"/>
      <c r="F159" s="111"/>
      <c r="G159" s="113"/>
      <c r="H159" s="111"/>
      <c r="I159" s="113"/>
      <c r="J159" s="113"/>
      <c r="K159" s="113"/>
      <c r="L159" s="113"/>
      <c r="M159" s="113"/>
      <c r="N159" s="113"/>
      <c r="O159" s="113"/>
      <c r="P159" s="113"/>
      <c r="Q159" s="113"/>
      <c r="R159" s="113"/>
      <c r="S159" s="113"/>
      <c r="T159" s="113"/>
      <c r="U159" s="113"/>
      <c r="V159" s="113"/>
      <c r="W159" s="113"/>
      <c r="X159" s="113"/>
      <c r="Y159" s="113"/>
      <c r="Z159" s="113"/>
      <c r="AA159" s="113"/>
      <c r="AB159" s="113"/>
      <c r="AC159" s="113"/>
      <c r="AD159" s="113"/>
      <c r="AE159" s="113"/>
      <c r="AF159" s="113"/>
      <c r="AG159" s="113"/>
    </row>
    <row r="160" spans="1:33" ht="13.8">
      <c r="A160" s="113"/>
      <c r="B160" s="113"/>
      <c r="C160" s="113"/>
      <c r="D160" s="111"/>
      <c r="E160" s="113"/>
      <c r="F160" s="111"/>
      <c r="G160" s="113"/>
      <c r="H160" s="111"/>
      <c r="I160" s="113"/>
      <c r="J160" s="113"/>
      <c r="K160" s="113"/>
      <c r="L160" s="113"/>
      <c r="M160" s="113"/>
      <c r="N160" s="113"/>
      <c r="O160" s="113"/>
      <c r="P160" s="113"/>
      <c r="Q160" s="113"/>
      <c r="R160" s="113"/>
      <c r="S160" s="113"/>
      <c r="T160" s="113"/>
      <c r="U160" s="113"/>
      <c r="V160" s="113"/>
      <c r="W160" s="113"/>
      <c r="X160" s="113"/>
      <c r="Y160" s="113"/>
      <c r="Z160" s="113"/>
      <c r="AA160" s="113"/>
      <c r="AB160" s="113"/>
      <c r="AC160" s="113"/>
      <c r="AD160" s="113"/>
      <c r="AE160" s="113"/>
      <c r="AF160" s="113"/>
      <c r="AG160" s="113"/>
    </row>
    <row r="161" spans="1:33" ht="13.8">
      <c r="A161" s="113"/>
      <c r="B161" s="113"/>
      <c r="C161" s="113"/>
      <c r="D161" s="111"/>
      <c r="E161" s="113"/>
      <c r="F161" s="111"/>
      <c r="G161" s="113"/>
      <c r="H161" s="111"/>
      <c r="I161" s="113"/>
      <c r="J161" s="113"/>
      <c r="K161" s="113"/>
      <c r="L161" s="113"/>
      <c r="M161" s="113"/>
      <c r="N161" s="113"/>
      <c r="O161" s="113"/>
      <c r="P161" s="113"/>
      <c r="Q161" s="113"/>
      <c r="R161" s="113"/>
      <c r="S161" s="113"/>
      <c r="T161" s="113"/>
      <c r="U161" s="113"/>
      <c r="V161" s="113"/>
      <c r="W161" s="113"/>
      <c r="X161" s="113"/>
      <c r="Y161" s="113"/>
      <c r="Z161" s="113"/>
      <c r="AA161" s="113"/>
      <c r="AB161" s="113"/>
      <c r="AC161" s="113"/>
      <c r="AD161" s="113"/>
      <c r="AE161" s="113"/>
      <c r="AF161" s="113"/>
      <c r="AG161" s="113"/>
    </row>
    <row r="162" spans="1:33" ht="13.8">
      <c r="A162" s="113"/>
      <c r="B162" s="113"/>
      <c r="C162" s="113"/>
      <c r="D162" s="111"/>
      <c r="E162" s="113"/>
      <c r="F162" s="111"/>
      <c r="G162" s="113"/>
      <c r="H162" s="111"/>
      <c r="I162" s="113"/>
      <c r="J162" s="113"/>
      <c r="K162" s="113"/>
      <c r="L162" s="113"/>
      <c r="M162" s="113"/>
      <c r="N162" s="113"/>
      <c r="O162" s="113"/>
      <c r="P162" s="113"/>
      <c r="Q162" s="113"/>
      <c r="R162" s="113"/>
      <c r="S162" s="113"/>
      <c r="T162" s="113"/>
      <c r="U162" s="113"/>
      <c r="V162" s="113"/>
      <c r="W162" s="113"/>
      <c r="X162" s="113"/>
      <c r="Y162" s="113"/>
      <c r="Z162" s="113"/>
      <c r="AA162" s="113"/>
      <c r="AB162" s="113"/>
      <c r="AC162" s="113"/>
      <c r="AD162" s="113"/>
      <c r="AE162" s="113"/>
      <c r="AF162" s="113"/>
      <c r="AG162" s="113"/>
    </row>
    <row r="163" spans="1:33" ht="13.8">
      <c r="A163" s="113"/>
      <c r="B163" s="113"/>
      <c r="C163" s="113"/>
      <c r="D163" s="111"/>
      <c r="E163" s="113"/>
      <c r="F163" s="111"/>
      <c r="G163" s="113"/>
      <c r="H163" s="111"/>
      <c r="I163" s="113"/>
      <c r="J163" s="113"/>
      <c r="K163" s="113"/>
      <c r="L163" s="113"/>
      <c r="M163" s="113"/>
      <c r="N163" s="113"/>
      <c r="O163" s="113"/>
      <c r="P163" s="113"/>
      <c r="Q163" s="113"/>
      <c r="R163" s="113"/>
      <c r="S163" s="113"/>
      <c r="T163" s="113"/>
      <c r="U163" s="113"/>
      <c r="V163" s="113"/>
      <c r="W163" s="113"/>
      <c r="X163" s="113"/>
      <c r="Y163" s="113"/>
      <c r="Z163" s="113"/>
      <c r="AA163" s="113"/>
      <c r="AB163" s="113"/>
      <c r="AC163" s="113"/>
      <c r="AD163" s="113"/>
      <c r="AE163" s="113"/>
      <c r="AF163" s="113"/>
      <c r="AG163" s="113"/>
    </row>
    <row r="164" spans="1:33" ht="13.8">
      <c r="A164" s="113"/>
      <c r="B164" s="113"/>
      <c r="C164" s="113"/>
      <c r="D164" s="111"/>
      <c r="E164" s="113"/>
      <c r="F164" s="111"/>
      <c r="G164" s="113"/>
      <c r="H164" s="111"/>
      <c r="I164" s="113"/>
      <c r="J164" s="113"/>
      <c r="K164" s="113"/>
      <c r="L164" s="113"/>
      <c r="M164" s="113"/>
      <c r="N164" s="113"/>
      <c r="O164" s="113"/>
      <c r="P164" s="113"/>
      <c r="Q164" s="113"/>
      <c r="R164" s="113"/>
      <c r="S164" s="113"/>
      <c r="T164" s="113"/>
      <c r="U164" s="113"/>
      <c r="V164" s="113"/>
      <c r="W164" s="113"/>
      <c r="X164" s="113"/>
      <c r="Y164" s="113"/>
      <c r="Z164" s="113"/>
      <c r="AA164" s="113"/>
      <c r="AB164" s="113"/>
      <c r="AC164" s="113"/>
      <c r="AD164" s="113"/>
      <c r="AE164" s="113"/>
      <c r="AF164" s="113"/>
      <c r="AG164" s="113"/>
    </row>
    <row r="165" spans="1:33" ht="13.8">
      <c r="A165" s="113"/>
      <c r="B165" s="113"/>
      <c r="C165" s="113"/>
      <c r="D165" s="111"/>
      <c r="E165" s="113"/>
      <c r="F165" s="111"/>
      <c r="G165" s="113"/>
      <c r="H165" s="111"/>
      <c r="I165" s="113"/>
      <c r="J165" s="113"/>
      <c r="K165" s="113"/>
      <c r="L165" s="113"/>
      <c r="M165" s="113"/>
      <c r="N165" s="113"/>
      <c r="O165" s="113"/>
      <c r="P165" s="113"/>
      <c r="Q165" s="113"/>
      <c r="R165" s="113"/>
      <c r="S165" s="113"/>
      <c r="T165" s="113"/>
      <c r="U165" s="113"/>
      <c r="V165" s="113"/>
      <c r="W165" s="113"/>
      <c r="X165" s="113"/>
      <c r="Y165" s="113"/>
      <c r="Z165" s="113"/>
      <c r="AA165" s="113"/>
      <c r="AB165" s="113"/>
      <c r="AC165" s="113"/>
      <c r="AD165" s="113"/>
      <c r="AE165" s="113"/>
      <c r="AF165" s="113"/>
      <c r="AG165" s="113"/>
    </row>
    <row r="166" spans="1:33" ht="13.8">
      <c r="A166" s="113"/>
      <c r="B166" s="113"/>
      <c r="C166" s="113"/>
      <c r="D166" s="111"/>
      <c r="E166" s="113"/>
      <c r="F166" s="111"/>
      <c r="G166" s="113"/>
      <c r="H166" s="111"/>
      <c r="I166" s="113"/>
      <c r="J166" s="113"/>
      <c r="K166" s="113"/>
      <c r="L166" s="113"/>
      <c r="M166" s="113"/>
      <c r="N166" s="113"/>
      <c r="O166" s="113"/>
      <c r="P166" s="113"/>
      <c r="Q166" s="113"/>
      <c r="R166" s="113"/>
      <c r="S166" s="113"/>
      <c r="T166" s="113"/>
      <c r="U166" s="113"/>
      <c r="V166" s="113"/>
      <c r="W166" s="113"/>
      <c r="X166" s="113"/>
      <c r="Y166" s="113"/>
      <c r="Z166" s="113"/>
      <c r="AA166" s="113"/>
      <c r="AB166" s="113"/>
      <c r="AC166" s="113"/>
      <c r="AD166" s="113"/>
      <c r="AE166" s="113"/>
      <c r="AF166" s="113"/>
      <c r="AG166" s="113"/>
    </row>
    <row r="167" spans="1:33" ht="13.8">
      <c r="A167" s="113"/>
      <c r="B167" s="113"/>
      <c r="C167" s="113"/>
      <c r="D167" s="111"/>
      <c r="E167" s="113"/>
      <c r="F167" s="111"/>
      <c r="G167" s="113"/>
      <c r="H167" s="111"/>
      <c r="I167" s="113"/>
      <c r="J167" s="113"/>
      <c r="K167" s="113"/>
      <c r="L167" s="113"/>
      <c r="M167" s="113"/>
      <c r="N167" s="113"/>
      <c r="O167" s="113"/>
      <c r="P167" s="113"/>
      <c r="Q167" s="113"/>
      <c r="R167" s="113"/>
      <c r="S167" s="113"/>
      <c r="T167" s="113"/>
      <c r="U167" s="113"/>
      <c r="V167" s="113"/>
      <c r="W167" s="113"/>
      <c r="X167" s="113"/>
      <c r="Y167" s="113"/>
      <c r="Z167" s="113"/>
      <c r="AA167" s="113"/>
      <c r="AB167" s="113"/>
      <c r="AC167" s="113"/>
      <c r="AD167" s="113"/>
      <c r="AE167" s="113"/>
      <c r="AF167" s="113"/>
      <c r="AG167" s="113"/>
    </row>
    <row r="168" spans="1:33" ht="13.8">
      <c r="A168" s="113"/>
      <c r="B168" s="113"/>
      <c r="C168" s="113"/>
      <c r="D168" s="111"/>
      <c r="E168" s="113"/>
      <c r="F168" s="111"/>
      <c r="G168" s="113"/>
      <c r="H168" s="111"/>
      <c r="I168" s="113"/>
      <c r="J168" s="113"/>
      <c r="K168" s="113"/>
      <c r="L168" s="113"/>
      <c r="M168" s="113"/>
      <c r="N168" s="113"/>
      <c r="O168" s="113"/>
      <c r="P168" s="113"/>
      <c r="Q168" s="113"/>
      <c r="R168" s="113"/>
      <c r="S168" s="113"/>
      <c r="T168" s="113"/>
      <c r="U168" s="113"/>
      <c r="V168" s="113"/>
      <c r="W168" s="113"/>
      <c r="X168" s="113"/>
      <c r="Y168" s="113"/>
      <c r="Z168" s="113"/>
      <c r="AA168" s="113"/>
      <c r="AB168" s="113"/>
      <c r="AC168" s="113"/>
      <c r="AD168" s="113"/>
      <c r="AE168" s="113"/>
      <c r="AF168" s="113"/>
      <c r="AG168" s="113"/>
    </row>
    <row r="169" spans="1:33" ht="13.8">
      <c r="A169" s="113"/>
      <c r="B169" s="113"/>
      <c r="C169" s="113"/>
      <c r="D169" s="111"/>
      <c r="E169" s="113"/>
      <c r="F169" s="111"/>
      <c r="G169" s="113"/>
      <c r="H169" s="111"/>
      <c r="I169" s="113"/>
      <c r="J169" s="113"/>
      <c r="K169" s="113"/>
      <c r="L169" s="113"/>
      <c r="M169" s="113"/>
      <c r="N169" s="113"/>
      <c r="O169" s="113"/>
      <c r="P169" s="113"/>
      <c r="Q169" s="113"/>
      <c r="R169" s="113"/>
      <c r="S169" s="113"/>
      <c r="T169" s="113"/>
      <c r="U169" s="113"/>
      <c r="V169" s="113"/>
      <c r="W169" s="113"/>
      <c r="X169" s="113"/>
      <c r="Y169" s="113"/>
      <c r="Z169" s="113"/>
      <c r="AA169" s="113"/>
      <c r="AB169" s="113"/>
      <c r="AC169" s="113"/>
      <c r="AD169" s="113"/>
      <c r="AE169" s="113"/>
      <c r="AF169" s="113"/>
      <c r="AG169" s="113"/>
    </row>
    <row r="170" spans="1:33" ht="13.8">
      <c r="A170" s="113"/>
      <c r="B170" s="113"/>
      <c r="C170" s="113"/>
      <c r="D170" s="111"/>
      <c r="E170" s="113"/>
      <c r="F170" s="111"/>
      <c r="G170" s="113"/>
      <c r="H170" s="111"/>
      <c r="I170" s="113"/>
      <c r="J170" s="113"/>
      <c r="K170" s="113"/>
      <c r="L170" s="113"/>
      <c r="M170" s="113"/>
      <c r="N170" s="113"/>
      <c r="O170" s="113"/>
      <c r="P170" s="113"/>
      <c r="Q170" s="113"/>
      <c r="R170" s="113"/>
      <c r="S170" s="113"/>
      <c r="T170" s="113"/>
      <c r="U170" s="113"/>
      <c r="V170" s="113"/>
      <c r="W170" s="113"/>
      <c r="X170" s="113"/>
      <c r="Y170" s="113"/>
      <c r="Z170" s="113"/>
      <c r="AA170" s="113"/>
      <c r="AB170" s="113"/>
      <c r="AC170" s="113"/>
      <c r="AD170" s="113"/>
      <c r="AE170" s="113"/>
      <c r="AF170" s="113"/>
      <c r="AG170" s="113"/>
    </row>
    <row r="171" spans="1:33" ht="13.8">
      <c r="A171" s="113"/>
      <c r="B171" s="113"/>
      <c r="C171" s="113"/>
      <c r="D171" s="111"/>
      <c r="E171" s="113"/>
      <c r="F171" s="111"/>
      <c r="G171" s="113"/>
      <c r="H171" s="111"/>
      <c r="I171" s="113"/>
      <c r="J171" s="113"/>
      <c r="K171" s="113"/>
      <c r="L171" s="113"/>
      <c r="M171" s="113"/>
      <c r="N171" s="113"/>
      <c r="O171" s="113"/>
      <c r="P171" s="113"/>
      <c r="Q171" s="113"/>
      <c r="R171" s="113"/>
      <c r="S171" s="113"/>
      <c r="T171" s="113"/>
      <c r="U171" s="113"/>
      <c r="V171" s="113"/>
      <c r="W171" s="113"/>
      <c r="X171" s="113"/>
      <c r="Y171" s="113"/>
      <c r="Z171" s="113"/>
      <c r="AA171" s="113"/>
      <c r="AB171" s="113"/>
      <c r="AC171" s="113"/>
      <c r="AD171" s="113"/>
      <c r="AE171" s="113"/>
      <c r="AF171" s="113"/>
      <c r="AG171" s="113"/>
    </row>
    <row r="172" spans="1:33" ht="13.8">
      <c r="A172" s="113"/>
      <c r="B172" s="113"/>
      <c r="C172" s="113"/>
      <c r="D172" s="111"/>
      <c r="E172" s="113"/>
      <c r="F172" s="111"/>
      <c r="G172" s="113"/>
      <c r="H172" s="111"/>
      <c r="I172" s="113"/>
      <c r="J172" s="113"/>
      <c r="K172" s="113"/>
      <c r="L172" s="113"/>
      <c r="M172" s="113"/>
      <c r="N172" s="113"/>
      <c r="O172" s="113"/>
      <c r="P172" s="113"/>
      <c r="Q172" s="113"/>
      <c r="R172" s="113"/>
      <c r="S172" s="113"/>
      <c r="T172" s="113"/>
      <c r="U172" s="113"/>
      <c r="V172" s="113"/>
      <c r="W172" s="113"/>
      <c r="X172" s="113"/>
      <c r="Y172" s="113"/>
      <c r="Z172" s="113"/>
      <c r="AA172" s="113"/>
      <c r="AB172" s="113"/>
      <c r="AC172" s="113"/>
      <c r="AD172" s="113"/>
      <c r="AE172" s="113"/>
      <c r="AF172" s="113"/>
      <c r="AG172" s="113"/>
    </row>
    <row r="173" spans="1:33" ht="13.8">
      <c r="A173" s="113"/>
      <c r="B173" s="113"/>
      <c r="C173" s="113"/>
      <c r="D173" s="111"/>
      <c r="E173" s="113"/>
      <c r="F173" s="111"/>
      <c r="G173" s="113"/>
      <c r="H173" s="111"/>
      <c r="I173" s="113"/>
      <c r="J173" s="113"/>
      <c r="K173" s="113"/>
      <c r="L173" s="113"/>
      <c r="M173" s="113"/>
      <c r="N173" s="113"/>
      <c r="O173" s="113"/>
      <c r="P173" s="113"/>
      <c r="Q173" s="113"/>
      <c r="R173" s="113"/>
      <c r="S173" s="113"/>
      <c r="T173" s="113"/>
      <c r="U173" s="113"/>
      <c r="V173" s="113"/>
      <c r="W173" s="113"/>
      <c r="X173" s="113"/>
      <c r="Y173" s="113"/>
      <c r="Z173" s="113"/>
      <c r="AA173" s="113"/>
      <c r="AB173" s="113"/>
      <c r="AC173" s="113"/>
      <c r="AD173" s="113"/>
      <c r="AE173" s="113"/>
      <c r="AF173" s="113"/>
      <c r="AG173" s="113"/>
    </row>
    <row r="174" spans="1:33" ht="13.8">
      <c r="A174" s="113"/>
      <c r="B174" s="113"/>
      <c r="C174" s="113"/>
      <c r="D174" s="111"/>
      <c r="E174" s="113"/>
      <c r="F174" s="111"/>
      <c r="G174" s="113"/>
      <c r="H174" s="111"/>
      <c r="I174" s="113"/>
      <c r="J174" s="113"/>
      <c r="K174" s="113"/>
      <c r="L174" s="113"/>
      <c r="M174" s="113"/>
      <c r="N174" s="113"/>
      <c r="O174" s="113"/>
      <c r="P174" s="113"/>
      <c r="Q174" s="113"/>
      <c r="R174" s="113"/>
      <c r="S174" s="113"/>
      <c r="T174" s="113"/>
      <c r="U174" s="113"/>
      <c r="V174" s="113"/>
      <c r="W174" s="113"/>
      <c r="X174" s="113"/>
      <c r="Y174" s="113"/>
      <c r="Z174" s="113"/>
      <c r="AA174" s="113"/>
      <c r="AB174" s="113"/>
      <c r="AC174" s="113"/>
      <c r="AD174" s="113"/>
      <c r="AE174" s="113"/>
      <c r="AF174" s="113"/>
      <c r="AG174" s="113"/>
    </row>
    <row r="175" spans="1:33" ht="13.8">
      <c r="A175" s="113"/>
      <c r="B175" s="113"/>
      <c r="C175" s="113"/>
      <c r="D175" s="111"/>
      <c r="E175" s="113"/>
      <c r="F175" s="111"/>
      <c r="G175" s="113"/>
      <c r="H175" s="111"/>
      <c r="I175" s="113"/>
      <c r="J175" s="113"/>
      <c r="K175" s="113"/>
      <c r="L175" s="113"/>
      <c r="M175" s="113"/>
      <c r="N175" s="113"/>
      <c r="O175" s="113"/>
      <c r="P175" s="113"/>
      <c r="Q175" s="113"/>
      <c r="R175" s="113"/>
      <c r="S175" s="113"/>
      <c r="T175" s="113"/>
      <c r="U175" s="113"/>
      <c r="V175" s="113"/>
      <c r="W175" s="113"/>
      <c r="X175" s="113"/>
      <c r="Y175" s="113"/>
      <c r="Z175" s="113"/>
      <c r="AA175" s="113"/>
      <c r="AB175" s="113"/>
      <c r="AC175" s="113"/>
      <c r="AD175" s="113"/>
      <c r="AE175" s="113"/>
      <c r="AF175" s="113"/>
      <c r="AG175" s="113"/>
    </row>
    <row r="176" spans="1:33" ht="13.8">
      <c r="A176" s="113"/>
      <c r="B176" s="113"/>
      <c r="C176" s="113"/>
      <c r="D176" s="111"/>
      <c r="E176" s="113"/>
      <c r="F176" s="111"/>
      <c r="G176" s="113"/>
      <c r="H176" s="111"/>
      <c r="I176" s="113"/>
      <c r="J176" s="113"/>
      <c r="K176" s="113"/>
      <c r="L176" s="113"/>
      <c r="M176" s="113"/>
      <c r="N176" s="113"/>
      <c r="O176" s="113"/>
      <c r="P176" s="113"/>
      <c r="Q176" s="113"/>
      <c r="R176" s="113"/>
      <c r="S176" s="113"/>
      <c r="T176" s="113"/>
      <c r="U176" s="113"/>
      <c r="V176" s="113"/>
      <c r="W176" s="113"/>
      <c r="X176" s="113"/>
      <c r="Y176" s="113"/>
      <c r="Z176" s="113"/>
      <c r="AA176" s="113"/>
      <c r="AB176" s="113"/>
      <c r="AC176" s="113"/>
      <c r="AD176" s="113"/>
      <c r="AE176" s="113"/>
      <c r="AF176" s="113"/>
      <c r="AG176" s="113"/>
    </row>
    <row r="177" spans="1:33" ht="13.8">
      <c r="A177" s="113"/>
      <c r="B177" s="113"/>
      <c r="C177" s="113"/>
      <c r="D177" s="111"/>
      <c r="E177" s="113"/>
      <c r="F177" s="111"/>
      <c r="G177" s="113"/>
      <c r="H177" s="111"/>
      <c r="I177" s="113"/>
      <c r="J177" s="113"/>
      <c r="K177" s="113"/>
      <c r="L177" s="113"/>
      <c r="M177" s="113"/>
      <c r="N177" s="113"/>
      <c r="O177" s="113"/>
      <c r="P177" s="113"/>
      <c r="Q177" s="113"/>
      <c r="R177" s="113"/>
      <c r="S177" s="113"/>
      <c r="T177" s="113"/>
      <c r="U177" s="113"/>
      <c r="V177" s="113"/>
      <c r="W177" s="113"/>
      <c r="X177" s="113"/>
      <c r="Y177" s="113"/>
      <c r="Z177" s="113"/>
      <c r="AA177" s="113"/>
      <c r="AB177" s="113"/>
      <c r="AC177" s="113"/>
      <c r="AD177" s="113"/>
      <c r="AE177" s="113"/>
      <c r="AF177" s="113"/>
      <c r="AG177" s="113"/>
    </row>
    <row r="178" spans="1:33" ht="13.8">
      <c r="A178" s="113"/>
      <c r="B178" s="113"/>
      <c r="C178" s="113"/>
      <c r="D178" s="111"/>
      <c r="E178" s="113"/>
      <c r="F178" s="111"/>
      <c r="G178" s="113"/>
      <c r="H178" s="111"/>
      <c r="I178" s="113"/>
      <c r="J178" s="113"/>
      <c r="K178" s="113"/>
      <c r="L178" s="113"/>
      <c r="M178" s="113"/>
      <c r="N178" s="113"/>
      <c r="O178" s="113"/>
      <c r="P178" s="113"/>
      <c r="Q178" s="113"/>
      <c r="R178" s="113"/>
      <c r="S178" s="113"/>
      <c r="T178" s="113"/>
      <c r="U178" s="113"/>
      <c r="V178" s="113"/>
      <c r="W178" s="113"/>
      <c r="X178" s="113"/>
      <c r="Y178" s="113"/>
      <c r="Z178" s="113"/>
      <c r="AA178" s="113"/>
      <c r="AB178" s="113"/>
      <c r="AC178" s="113"/>
      <c r="AD178" s="113"/>
      <c r="AE178" s="113"/>
      <c r="AF178" s="113"/>
      <c r="AG178" s="113"/>
    </row>
    <row r="179" spans="1:33" ht="13.8">
      <c r="A179" s="113"/>
      <c r="B179" s="113"/>
      <c r="C179" s="113"/>
      <c r="D179" s="111"/>
      <c r="E179" s="113"/>
      <c r="F179" s="111"/>
      <c r="G179" s="113"/>
      <c r="H179" s="111"/>
      <c r="I179" s="113"/>
      <c r="J179" s="113"/>
      <c r="K179" s="113"/>
      <c r="L179" s="113"/>
      <c r="M179" s="113"/>
      <c r="N179" s="113"/>
      <c r="O179" s="113"/>
      <c r="P179" s="113"/>
      <c r="Q179" s="113"/>
      <c r="R179" s="113"/>
      <c r="S179" s="113"/>
      <c r="T179" s="113"/>
      <c r="U179" s="113"/>
      <c r="V179" s="113"/>
      <c r="W179" s="113"/>
      <c r="X179" s="113"/>
      <c r="Y179" s="113"/>
      <c r="Z179" s="113"/>
      <c r="AA179" s="113"/>
      <c r="AB179" s="113"/>
      <c r="AC179" s="113"/>
      <c r="AD179" s="113"/>
      <c r="AE179" s="113"/>
      <c r="AF179" s="113"/>
      <c r="AG179" s="113"/>
    </row>
    <row r="180" spans="1:33" ht="13.8">
      <c r="A180" s="113"/>
      <c r="B180" s="113"/>
      <c r="C180" s="113"/>
      <c r="D180" s="111"/>
      <c r="E180" s="113"/>
      <c r="F180" s="111"/>
      <c r="G180" s="113"/>
      <c r="H180" s="111"/>
      <c r="I180" s="113"/>
      <c r="J180" s="113"/>
      <c r="K180" s="113"/>
      <c r="L180" s="113"/>
      <c r="M180" s="113"/>
      <c r="N180" s="113"/>
      <c r="O180" s="113"/>
      <c r="P180" s="113"/>
      <c r="Q180" s="113"/>
      <c r="R180" s="113"/>
      <c r="S180" s="113"/>
      <c r="T180" s="113"/>
      <c r="U180" s="113"/>
      <c r="V180" s="113"/>
      <c r="W180" s="113"/>
      <c r="X180" s="113"/>
      <c r="Y180" s="113"/>
      <c r="Z180" s="113"/>
      <c r="AA180" s="113"/>
      <c r="AB180" s="113"/>
      <c r="AC180" s="113"/>
      <c r="AD180" s="113"/>
      <c r="AE180" s="113"/>
      <c r="AF180" s="113"/>
      <c r="AG180" s="113"/>
    </row>
    <row r="181" spans="1:33" ht="13.8">
      <c r="A181" s="113"/>
      <c r="B181" s="113"/>
      <c r="C181" s="113"/>
      <c r="D181" s="111"/>
      <c r="E181" s="113"/>
      <c r="F181" s="111"/>
      <c r="G181" s="113"/>
      <c r="H181" s="111"/>
      <c r="I181" s="113"/>
      <c r="J181" s="113"/>
      <c r="K181" s="113"/>
      <c r="L181" s="113"/>
      <c r="M181" s="113"/>
      <c r="N181" s="113"/>
      <c r="O181" s="113"/>
      <c r="P181" s="113"/>
      <c r="Q181" s="113"/>
      <c r="R181" s="113"/>
      <c r="S181" s="113"/>
      <c r="T181" s="113"/>
      <c r="U181" s="113"/>
      <c r="V181" s="113"/>
      <c r="W181" s="113"/>
      <c r="X181" s="113"/>
      <c r="Y181" s="113"/>
      <c r="Z181" s="113"/>
      <c r="AA181" s="113"/>
      <c r="AB181" s="113"/>
      <c r="AC181" s="113"/>
      <c r="AD181" s="113"/>
      <c r="AE181" s="113"/>
      <c r="AF181" s="113"/>
      <c r="AG181" s="113"/>
    </row>
    <row r="182" spans="1:33" ht="13.8">
      <c r="A182" s="113"/>
      <c r="B182" s="113"/>
      <c r="C182" s="113"/>
      <c r="D182" s="111"/>
      <c r="E182" s="113"/>
      <c r="F182" s="111"/>
      <c r="G182" s="113"/>
      <c r="H182" s="111"/>
      <c r="I182" s="113"/>
      <c r="J182" s="113"/>
      <c r="K182" s="113"/>
      <c r="L182" s="113"/>
      <c r="M182" s="113"/>
      <c r="N182" s="113"/>
      <c r="O182" s="113"/>
      <c r="P182" s="113"/>
      <c r="Q182" s="113"/>
      <c r="R182" s="113"/>
      <c r="S182" s="113"/>
      <c r="T182" s="113"/>
      <c r="U182" s="113"/>
      <c r="V182" s="113"/>
      <c r="W182" s="113"/>
      <c r="X182" s="113"/>
      <c r="Y182" s="113"/>
      <c r="Z182" s="113"/>
      <c r="AA182" s="113"/>
      <c r="AB182" s="113"/>
      <c r="AC182" s="113"/>
      <c r="AD182" s="113"/>
      <c r="AE182" s="113"/>
      <c r="AF182" s="113"/>
      <c r="AG182" s="113"/>
    </row>
    <row r="183" spans="1:33" ht="13.8">
      <c r="A183" s="113"/>
      <c r="B183" s="113"/>
      <c r="C183" s="113"/>
      <c r="D183" s="111"/>
      <c r="E183" s="113"/>
      <c r="F183" s="111"/>
      <c r="G183" s="113"/>
      <c r="H183" s="111"/>
      <c r="I183" s="113"/>
      <c r="J183" s="113"/>
      <c r="K183" s="113"/>
      <c r="L183" s="113"/>
      <c r="M183" s="113"/>
      <c r="N183" s="113"/>
      <c r="O183" s="113"/>
      <c r="P183" s="113"/>
      <c r="Q183" s="113"/>
      <c r="R183" s="113"/>
      <c r="S183" s="113"/>
      <c r="T183" s="113"/>
      <c r="U183" s="113"/>
      <c r="V183" s="113"/>
      <c r="W183" s="113"/>
      <c r="X183" s="113"/>
      <c r="Y183" s="113"/>
      <c r="Z183" s="113"/>
      <c r="AA183" s="113"/>
      <c r="AB183" s="113"/>
      <c r="AC183" s="113"/>
      <c r="AD183" s="113"/>
      <c r="AE183" s="113"/>
      <c r="AF183" s="113"/>
      <c r="AG183" s="113"/>
    </row>
    <row r="184" spans="1:33" ht="13.8">
      <c r="A184" s="113"/>
      <c r="B184" s="113"/>
      <c r="C184" s="113"/>
      <c r="D184" s="111"/>
      <c r="E184" s="113"/>
      <c r="F184" s="111"/>
      <c r="G184" s="113"/>
      <c r="H184" s="111"/>
      <c r="I184" s="113"/>
      <c r="J184" s="113"/>
      <c r="K184" s="113"/>
      <c r="L184" s="113"/>
      <c r="M184" s="113"/>
      <c r="N184" s="113"/>
      <c r="O184" s="113"/>
      <c r="P184" s="113"/>
      <c r="Q184" s="113"/>
      <c r="R184" s="113"/>
      <c r="S184" s="113"/>
      <c r="T184" s="113"/>
      <c r="U184" s="113"/>
      <c r="V184" s="113"/>
      <c r="W184" s="113"/>
      <c r="X184" s="113"/>
      <c r="Y184" s="113"/>
      <c r="Z184" s="113"/>
      <c r="AA184" s="113"/>
      <c r="AB184" s="113"/>
      <c r="AC184" s="113"/>
      <c r="AD184" s="113"/>
      <c r="AE184" s="113"/>
      <c r="AF184" s="113"/>
      <c r="AG184" s="113"/>
    </row>
    <row r="185" spans="1:33" ht="13.8">
      <c r="A185" s="113"/>
      <c r="B185" s="113"/>
      <c r="C185" s="113"/>
      <c r="D185" s="111"/>
      <c r="E185" s="113"/>
      <c r="F185" s="111"/>
      <c r="G185" s="113"/>
      <c r="H185" s="111"/>
      <c r="I185" s="113"/>
      <c r="J185" s="113"/>
      <c r="K185" s="113"/>
      <c r="L185" s="113"/>
      <c r="M185" s="113"/>
      <c r="N185" s="113"/>
      <c r="O185" s="113"/>
      <c r="P185" s="113"/>
      <c r="Q185" s="113"/>
      <c r="R185" s="113"/>
      <c r="S185" s="113"/>
      <c r="T185" s="113"/>
      <c r="U185" s="113"/>
      <c r="V185" s="113"/>
      <c r="W185" s="113"/>
      <c r="X185" s="113"/>
      <c r="Y185" s="113"/>
      <c r="Z185" s="113"/>
      <c r="AA185" s="113"/>
      <c r="AB185" s="113"/>
      <c r="AC185" s="113"/>
      <c r="AD185" s="113"/>
      <c r="AE185" s="113"/>
      <c r="AF185" s="113"/>
      <c r="AG185" s="113"/>
    </row>
    <row r="186" spans="1:33" ht="13.8">
      <c r="A186" s="113"/>
      <c r="B186" s="113"/>
      <c r="C186" s="113"/>
      <c r="D186" s="111"/>
      <c r="E186" s="113"/>
      <c r="F186" s="111"/>
      <c r="G186" s="113"/>
      <c r="H186" s="111"/>
      <c r="I186" s="113"/>
      <c r="J186" s="113"/>
      <c r="K186" s="113"/>
      <c r="L186" s="113"/>
      <c r="M186" s="113"/>
      <c r="N186" s="113"/>
      <c r="O186" s="113"/>
      <c r="P186" s="113"/>
      <c r="Q186" s="113"/>
      <c r="R186" s="113"/>
      <c r="S186" s="113"/>
      <c r="T186" s="113"/>
      <c r="U186" s="113"/>
      <c r="V186" s="113"/>
      <c r="W186" s="113"/>
      <c r="X186" s="113"/>
      <c r="Y186" s="113"/>
      <c r="Z186" s="113"/>
      <c r="AA186" s="113"/>
      <c r="AB186" s="113"/>
      <c r="AC186" s="113"/>
      <c r="AD186" s="113"/>
      <c r="AE186" s="113"/>
      <c r="AF186" s="113"/>
      <c r="AG186" s="113"/>
    </row>
    <row r="187" spans="1:33" ht="13.8">
      <c r="A187" s="113"/>
      <c r="B187" s="113"/>
      <c r="C187" s="113"/>
      <c r="D187" s="111"/>
      <c r="E187" s="113"/>
      <c r="F187" s="111"/>
      <c r="G187" s="113"/>
      <c r="H187" s="111"/>
      <c r="I187" s="113"/>
      <c r="J187" s="113"/>
      <c r="K187" s="113"/>
      <c r="L187" s="113"/>
      <c r="M187" s="113"/>
      <c r="N187" s="113"/>
      <c r="O187" s="113"/>
      <c r="P187" s="113"/>
      <c r="Q187" s="113"/>
      <c r="R187" s="113"/>
      <c r="S187" s="113"/>
      <c r="T187" s="113"/>
      <c r="U187" s="113"/>
      <c r="V187" s="113"/>
      <c r="W187" s="113"/>
      <c r="X187" s="113"/>
      <c r="Y187" s="113"/>
      <c r="Z187" s="113"/>
      <c r="AA187" s="113"/>
      <c r="AB187" s="113"/>
      <c r="AC187" s="113"/>
      <c r="AD187" s="113"/>
      <c r="AE187" s="113"/>
      <c r="AF187" s="113"/>
      <c r="AG187" s="113"/>
    </row>
    <row r="188" spans="1:33" ht="13.8">
      <c r="A188" s="113"/>
      <c r="B188" s="113"/>
      <c r="C188" s="113"/>
      <c r="D188" s="111"/>
      <c r="E188" s="113"/>
      <c r="F188" s="111"/>
      <c r="G188" s="113"/>
      <c r="H188" s="111"/>
      <c r="I188" s="113"/>
      <c r="J188" s="113"/>
      <c r="K188" s="113"/>
      <c r="L188" s="113"/>
      <c r="M188" s="113"/>
      <c r="N188" s="113"/>
      <c r="O188" s="113"/>
      <c r="P188" s="113"/>
      <c r="Q188" s="113"/>
      <c r="R188" s="113"/>
      <c r="S188" s="113"/>
      <c r="T188" s="113"/>
      <c r="U188" s="113"/>
      <c r="V188" s="113"/>
      <c r="W188" s="113"/>
      <c r="X188" s="113"/>
      <c r="Y188" s="113"/>
      <c r="Z188" s="113"/>
      <c r="AA188" s="113"/>
      <c r="AB188" s="113"/>
      <c r="AC188" s="113"/>
      <c r="AD188" s="113"/>
      <c r="AE188" s="113"/>
      <c r="AF188" s="113"/>
      <c r="AG188" s="113"/>
    </row>
    <row r="189" spans="1:33" ht="13.8">
      <c r="A189" s="113"/>
      <c r="B189" s="113"/>
      <c r="C189" s="113"/>
      <c r="D189" s="111"/>
      <c r="E189" s="113"/>
      <c r="F189" s="111"/>
      <c r="G189" s="113"/>
      <c r="H189" s="111"/>
      <c r="I189" s="113"/>
      <c r="J189" s="113"/>
      <c r="K189" s="113"/>
      <c r="L189" s="113"/>
      <c r="M189" s="113"/>
      <c r="N189" s="113"/>
      <c r="O189" s="113"/>
      <c r="P189" s="113"/>
      <c r="Q189" s="113"/>
      <c r="R189" s="113"/>
      <c r="S189" s="113"/>
      <c r="T189" s="113"/>
      <c r="U189" s="113"/>
      <c r="V189" s="113"/>
      <c r="W189" s="113"/>
      <c r="X189" s="113"/>
      <c r="Y189" s="113"/>
      <c r="Z189" s="113"/>
      <c r="AA189" s="113"/>
      <c r="AB189" s="113"/>
      <c r="AC189" s="113"/>
      <c r="AD189" s="113"/>
      <c r="AE189" s="113"/>
      <c r="AF189" s="113"/>
      <c r="AG189" s="113"/>
    </row>
    <row r="190" spans="1:33" ht="13.8">
      <c r="A190" s="113"/>
      <c r="B190" s="113"/>
      <c r="C190" s="113"/>
      <c r="D190" s="111"/>
      <c r="E190" s="113"/>
      <c r="F190" s="111"/>
      <c r="G190" s="113"/>
      <c r="H190" s="111"/>
      <c r="I190" s="113"/>
      <c r="J190" s="113"/>
      <c r="K190" s="113"/>
      <c r="L190" s="113"/>
      <c r="M190" s="113"/>
      <c r="N190" s="113"/>
      <c r="O190" s="113"/>
      <c r="P190" s="113"/>
      <c r="Q190" s="113"/>
      <c r="R190" s="113"/>
      <c r="S190" s="113"/>
      <c r="T190" s="113"/>
      <c r="U190" s="113"/>
      <c r="V190" s="113"/>
      <c r="W190" s="113"/>
      <c r="X190" s="113"/>
      <c r="Y190" s="113"/>
      <c r="Z190" s="113"/>
      <c r="AA190" s="113"/>
      <c r="AB190" s="113"/>
      <c r="AC190" s="113"/>
      <c r="AD190" s="113"/>
      <c r="AE190" s="113"/>
      <c r="AF190" s="113"/>
      <c r="AG190" s="113"/>
    </row>
    <row r="191" spans="1:33" ht="13.8">
      <c r="A191" s="113"/>
      <c r="B191" s="113"/>
      <c r="C191" s="113"/>
      <c r="D191" s="111"/>
      <c r="E191" s="113"/>
      <c r="F191" s="111"/>
      <c r="G191" s="113"/>
      <c r="H191" s="111"/>
      <c r="I191" s="113"/>
      <c r="J191" s="113"/>
      <c r="K191" s="113"/>
      <c r="L191" s="113"/>
      <c r="M191" s="113"/>
      <c r="N191" s="113"/>
      <c r="O191" s="113"/>
      <c r="P191" s="113"/>
      <c r="Q191" s="113"/>
      <c r="R191" s="113"/>
      <c r="S191" s="113"/>
      <c r="T191" s="113"/>
      <c r="U191" s="113"/>
      <c r="V191" s="113"/>
      <c r="W191" s="113"/>
      <c r="X191" s="113"/>
      <c r="Y191" s="113"/>
      <c r="Z191" s="113"/>
      <c r="AA191" s="113"/>
      <c r="AB191" s="113"/>
      <c r="AC191" s="113"/>
      <c r="AD191" s="113"/>
      <c r="AE191" s="113"/>
      <c r="AF191" s="113"/>
      <c r="AG191" s="113"/>
    </row>
    <row r="192" spans="1:33" ht="13.8">
      <c r="A192" s="113"/>
      <c r="B192" s="113"/>
      <c r="C192" s="113"/>
      <c r="D192" s="111"/>
      <c r="E192" s="113"/>
      <c r="F192" s="111"/>
      <c r="G192" s="113"/>
      <c r="H192" s="111"/>
      <c r="I192" s="113"/>
      <c r="J192" s="113"/>
      <c r="K192" s="113"/>
      <c r="L192" s="113"/>
      <c r="M192" s="113"/>
      <c r="N192" s="113"/>
      <c r="O192" s="113"/>
      <c r="P192" s="113"/>
      <c r="Q192" s="113"/>
      <c r="R192" s="113"/>
      <c r="S192" s="113"/>
      <c r="T192" s="113"/>
      <c r="U192" s="113"/>
      <c r="V192" s="113"/>
      <c r="W192" s="113"/>
      <c r="X192" s="113"/>
      <c r="Y192" s="113"/>
      <c r="Z192" s="113"/>
      <c r="AA192" s="113"/>
      <c r="AB192" s="113"/>
      <c r="AC192" s="113"/>
      <c r="AD192" s="113"/>
      <c r="AE192" s="113"/>
      <c r="AF192" s="113"/>
      <c r="AG192" s="113"/>
    </row>
    <row r="193" spans="1:33" ht="13.8">
      <c r="A193" s="113"/>
      <c r="B193" s="113"/>
      <c r="C193" s="113"/>
      <c r="D193" s="111"/>
      <c r="E193" s="113"/>
      <c r="F193" s="111"/>
      <c r="G193" s="113"/>
      <c r="H193" s="111"/>
      <c r="I193" s="113"/>
      <c r="J193" s="113"/>
      <c r="K193" s="113"/>
      <c r="L193" s="113"/>
      <c r="M193" s="113"/>
      <c r="N193" s="113"/>
      <c r="O193" s="113"/>
      <c r="P193" s="113"/>
      <c r="Q193" s="113"/>
      <c r="R193" s="113"/>
      <c r="S193" s="113"/>
      <c r="T193" s="113"/>
      <c r="U193" s="113"/>
      <c r="V193" s="113"/>
      <c r="W193" s="113"/>
      <c r="X193" s="113"/>
      <c r="Y193" s="113"/>
      <c r="Z193" s="113"/>
      <c r="AA193" s="113"/>
      <c r="AB193" s="113"/>
      <c r="AC193" s="113"/>
      <c r="AD193" s="113"/>
      <c r="AE193" s="113"/>
      <c r="AF193" s="113"/>
      <c r="AG193" s="113"/>
    </row>
    <row r="194" spans="1:33" ht="13.8">
      <c r="A194" s="113"/>
      <c r="B194" s="113"/>
      <c r="C194" s="113"/>
      <c r="D194" s="111"/>
      <c r="E194" s="113"/>
      <c r="F194" s="111"/>
      <c r="G194" s="113"/>
      <c r="H194" s="111"/>
      <c r="I194" s="113"/>
      <c r="J194" s="113"/>
      <c r="K194" s="113"/>
      <c r="L194" s="113"/>
      <c r="M194" s="113"/>
      <c r="N194" s="113"/>
      <c r="O194" s="113"/>
      <c r="P194" s="113"/>
      <c r="Q194" s="113"/>
      <c r="R194" s="113"/>
      <c r="S194" s="113"/>
      <c r="T194" s="113"/>
      <c r="U194" s="113"/>
      <c r="V194" s="113"/>
      <c r="W194" s="113"/>
      <c r="X194" s="113"/>
      <c r="Y194" s="113"/>
      <c r="Z194" s="113"/>
      <c r="AA194" s="113"/>
      <c r="AB194" s="113"/>
      <c r="AC194" s="113"/>
      <c r="AD194" s="113"/>
      <c r="AE194" s="113"/>
      <c r="AF194" s="113"/>
      <c r="AG194" s="113"/>
    </row>
    <row r="195" spans="1:33" ht="13.8">
      <c r="A195" s="113"/>
      <c r="B195" s="113"/>
      <c r="C195" s="113"/>
      <c r="D195" s="111"/>
      <c r="E195" s="113"/>
      <c r="F195" s="111"/>
      <c r="G195" s="113"/>
      <c r="H195" s="111"/>
      <c r="I195" s="113"/>
      <c r="J195" s="113"/>
      <c r="K195" s="113"/>
      <c r="L195" s="113"/>
      <c r="M195" s="113"/>
      <c r="N195" s="113"/>
      <c r="O195" s="113"/>
      <c r="P195" s="113"/>
      <c r="Q195" s="113"/>
      <c r="R195" s="113"/>
      <c r="S195" s="113"/>
      <c r="T195" s="113"/>
      <c r="U195" s="113"/>
      <c r="V195" s="113"/>
      <c r="W195" s="113"/>
      <c r="X195" s="113"/>
      <c r="Y195" s="113"/>
      <c r="Z195" s="113"/>
      <c r="AA195" s="113"/>
      <c r="AB195" s="113"/>
      <c r="AC195" s="113"/>
      <c r="AD195" s="113"/>
      <c r="AE195" s="113"/>
      <c r="AF195" s="113"/>
      <c r="AG195" s="113"/>
    </row>
    <row r="196" spans="1:33" ht="13.8">
      <c r="A196" s="113"/>
      <c r="B196" s="113"/>
      <c r="C196" s="113"/>
      <c r="D196" s="111"/>
      <c r="E196" s="113"/>
      <c r="F196" s="111"/>
      <c r="G196" s="113"/>
      <c r="H196" s="111"/>
      <c r="I196" s="113"/>
      <c r="J196" s="113"/>
      <c r="K196" s="113"/>
      <c r="L196" s="113"/>
      <c r="M196" s="113"/>
      <c r="N196" s="113"/>
      <c r="O196" s="113"/>
      <c r="P196" s="113"/>
      <c r="Q196" s="113"/>
      <c r="R196" s="113"/>
      <c r="S196" s="113"/>
      <c r="T196" s="113"/>
      <c r="U196" s="113"/>
      <c r="V196" s="113"/>
      <c r="W196" s="113"/>
      <c r="X196" s="113"/>
      <c r="Y196" s="113"/>
      <c r="Z196" s="113"/>
      <c r="AA196" s="113"/>
      <c r="AB196" s="113"/>
      <c r="AC196" s="113"/>
      <c r="AD196" s="113"/>
      <c r="AE196" s="113"/>
      <c r="AF196" s="113"/>
      <c r="AG196" s="113"/>
    </row>
    <row r="197" spans="1:33" ht="13.8">
      <c r="A197" s="113"/>
      <c r="B197" s="113"/>
      <c r="C197" s="113"/>
      <c r="D197" s="111"/>
      <c r="E197" s="113"/>
      <c r="F197" s="111"/>
      <c r="G197" s="113"/>
      <c r="H197" s="111"/>
      <c r="I197" s="113"/>
      <c r="J197" s="113"/>
      <c r="K197" s="113"/>
      <c r="L197" s="113"/>
      <c r="M197" s="113"/>
      <c r="N197" s="113"/>
      <c r="O197" s="113"/>
      <c r="P197" s="113"/>
      <c r="Q197" s="113"/>
      <c r="R197" s="113"/>
      <c r="S197" s="113"/>
      <c r="T197" s="113"/>
      <c r="U197" s="113"/>
      <c r="V197" s="113"/>
      <c r="W197" s="113"/>
      <c r="X197" s="113"/>
      <c r="Y197" s="113"/>
      <c r="Z197" s="113"/>
      <c r="AA197" s="113"/>
      <c r="AB197" s="113"/>
      <c r="AC197" s="113"/>
      <c r="AD197" s="113"/>
      <c r="AE197" s="113"/>
      <c r="AF197" s="113"/>
      <c r="AG197" s="113"/>
    </row>
    <row r="198" spans="1:33" ht="13.8">
      <c r="A198" s="113"/>
      <c r="B198" s="113"/>
      <c r="C198" s="113"/>
      <c r="D198" s="111"/>
      <c r="E198" s="113"/>
      <c r="F198" s="111"/>
      <c r="G198" s="113"/>
      <c r="H198" s="111"/>
      <c r="I198" s="113"/>
      <c r="J198" s="113"/>
      <c r="K198" s="113"/>
      <c r="L198" s="113"/>
      <c r="M198" s="113"/>
      <c r="N198" s="113"/>
      <c r="O198" s="113"/>
      <c r="P198" s="113"/>
      <c r="Q198" s="113"/>
      <c r="R198" s="113"/>
      <c r="S198" s="113"/>
      <c r="T198" s="113"/>
      <c r="U198" s="113"/>
      <c r="V198" s="113"/>
      <c r="W198" s="113"/>
      <c r="X198" s="113"/>
      <c r="Y198" s="113"/>
      <c r="Z198" s="113"/>
      <c r="AA198" s="113"/>
      <c r="AB198" s="113"/>
      <c r="AC198" s="113"/>
      <c r="AD198" s="113"/>
      <c r="AE198" s="113"/>
      <c r="AF198" s="113"/>
      <c r="AG198" s="113"/>
    </row>
    <row r="199" spans="1:33" ht="13.8">
      <c r="A199" s="113"/>
      <c r="B199" s="113"/>
      <c r="C199" s="113"/>
      <c r="D199" s="111"/>
      <c r="E199" s="113"/>
      <c r="F199" s="111"/>
      <c r="G199" s="113"/>
      <c r="H199" s="111"/>
      <c r="I199" s="113"/>
      <c r="J199" s="113"/>
      <c r="K199" s="113"/>
      <c r="L199" s="113"/>
      <c r="M199" s="113"/>
      <c r="N199" s="113"/>
      <c r="O199" s="113"/>
      <c r="P199" s="113"/>
      <c r="Q199" s="113"/>
      <c r="R199" s="113"/>
      <c r="S199" s="113"/>
      <c r="T199" s="113"/>
      <c r="U199" s="113"/>
      <c r="V199" s="113"/>
      <c r="W199" s="113"/>
      <c r="X199" s="113"/>
      <c r="Y199" s="113"/>
      <c r="Z199" s="113"/>
      <c r="AA199" s="113"/>
      <c r="AB199" s="113"/>
      <c r="AC199" s="113"/>
      <c r="AD199" s="113"/>
      <c r="AE199" s="113"/>
      <c r="AF199" s="113"/>
      <c r="AG199" s="113"/>
    </row>
    <row r="200" spans="1:33" ht="13.8">
      <c r="A200" s="113"/>
      <c r="B200" s="113"/>
      <c r="C200" s="113"/>
      <c r="D200" s="111"/>
      <c r="E200" s="113"/>
      <c r="F200" s="111"/>
      <c r="G200" s="113"/>
      <c r="H200" s="111"/>
      <c r="I200" s="113"/>
      <c r="J200" s="113"/>
      <c r="K200" s="113"/>
      <c r="L200" s="113"/>
      <c r="M200" s="113"/>
      <c r="N200" s="113"/>
      <c r="O200" s="113"/>
      <c r="P200" s="113"/>
      <c r="Q200" s="113"/>
      <c r="R200" s="113"/>
      <c r="S200" s="113"/>
      <c r="T200" s="113"/>
      <c r="U200" s="113"/>
      <c r="V200" s="113"/>
      <c r="W200" s="113"/>
      <c r="X200" s="113"/>
      <c r="Y200" s="113"/>
      <c r="Z200" s="113"/>
      <c r="AA200" s="113"/>
      <c r="AB200" s="113"/>
      <c r="AC200" s="113"/>
      <c r="AD200" s="113"/>
      <c r="AE200" s="113"/>
      <c r="AF200" s="113"/>
      <c r="AG200" s="113"/>
    </row>
    <row r="201" spans="1:33" ht="13.8">
      <c r="A201" s="113"/>
      <c r="B201" s="113"/>
      <c r="C201" s="113"/>
      <c r="D201" s="111"/>
      <c r="E201" s="113"/>
      <c r="F201" s="111"/>
      <c r="G201" s="113"/>
      <c r="H201" s="111"/>
      <c r="I201" s="113"/>
      <c r="J201" s="113"/>
      <c r="K201" s="113"/>
      <c r="L201" s="113"/>
      <c r="M201" s="113"/>
      <c r="N201" s="113"/>
      <c r="O201" s="113"/>
      <c r="P201" s="113"/>
      <c r="Q201" s="113"/>
      <c r="R201" s="113"/>
      <c r="S201" s="113"/>
      <c r="T201" s="113"/>
      <c r="U201" s="113"/>
      <c r="V201" s="113"/>
      <c r="W201" s="113"/>
      <c r="X201" s="113"/>
      <c r="Y201" s="113"/>
      <c r="Z201" s="113"/>
      <c r="AA201" s="113"/>
      <c r="AB201" s="113"/>
      <c r="AC201" s="113"/>
      <c r="AD201" s="113"/>
      <c r="AE201" s="113"/>
      <c r="AF201" s="113"/>
      <c r="AG201" s="113"/>
    </row>
    <row r="202" spans="1:33" ht="13.8">
      <c r="A202" s="113"/>
      <c r="B202" s="113"/>
      <c r="C202" s="113"/>
      <c r="D202" s="111"/>
      <c r="E202" s="113"/>
      <c r="F202" s="111"/>
      <c r="G202" s="113"/>
      <c r="H202" s="111"/>
      <c r="I202" s="113"/>
      <c r="J202" s="113"/>
      <c r="K202" s="113"/>
      <c r="L202" s="113"/>
      <c r="M202" s="113"/>
      <c r="N202" s="113"/>
      <c r="O202" s="113"/>
      <c r="P202" s="113"/>
      <c r="Q202" s="113"/>
      <c r="R202" s="113"/>
      <c r="S202" s="113"/>
      <c r="T202" s="113"/>
      <c r="U202" s="113"/>
      <c r="V202" s="113"/>
      <c r="W202" s="113"/>
      <c r="X202" s="113"/>
      <c r="Y202" s="113"/>
      <c r="Z202" s="113"/>
      <c r="AA202" s="113"/>
      <c r="AB202" s="113"/>
      <c r="AC202" s="113"/>
      <c r="AD202" s="113"/>
      <c r="AE202" s="113"/>
      <c r="AF202" s="113"/>
      <c r="AG202" s="113"/>
    </row>
    <row r="203" spans="1:33" ht="13.8">
      <c r="A203" s="113"/>
      <c r="B203" s="113"/>
      <c r="C203" s="113"/>
      <c r="D203" s="111"/>
      <c r="E203" s="113"/>
      <c r="F203" s="111"/>
      <c r="G203" s="113"/>
      <c r="H203" s="111"/>
      <c r="I203" s="113"/>
      <c r="J203" s="113"/>
      <c r="K203" s="113"/>
      <c r="L203" s="113"/>
      <c r="M203" s="113"/>
      <c r="N203" s="113"/>
      <c r="O203" s="113"/>
      <c r="P203" s="113"/>
      <c r="Q203" s="113"/>
      <c r="R203" s="113"/>
      <c r="S203" s="113"/>
      <c r="T203" s="113"/>
      <c r="U203" s="113"/>
      <c r="V203" s="113"/>
      <c r="W203" s="113"/>
      <c r="X203" s="113"/>
      <c r="Y203" s="113"/>
      <c r="Z203" s="113"/>
      <c r="AA203" s="113"/>
      <c r="AB203" s="113"/>
      <c r="AC203" s="113"/>
      <c r="AD203" s="113"/>
      <c r="AE203" s="113"/>
      <c r="AF203" s="113"/>
      <c r="AG203" s="113"/>
    </row>
    <row r="204" spans="1:33" ht="13.8">
      <c r="A204" s="113"/>
      <c r="B204" s="113"/>
      <c r="C204" s="113"/>
      <c r="D204" s="111"/>
      <c r="E204" s="113"/>
      <c r="F204" s="111"/>
      <c r="G204" s="113"/>
      <c r="H204" s="111"/>
      <c r="I204" s="113"/>
      <c r="J204" s="113"/>
      <c r="K204" s="113"/>
      <c r="L204" s="113"/>
      <c r="M204" s="113"/>
      <c r="N204" s="113"/>
      <c r="O204" s="113"/>
      <c r="P204" s="113"/>
      <c r="Q204" s="113"/>
      <c r="R204" s="113"/>
      <c r="S204" s="113"/>
      <c r="T204" s="113"/>
      <c r="U204" s="113"/>
      <c r="V204" s="113"/>
      <c r="W204" s="113"/>
      <c r="X204" s="113"/>
      <c r="Y204" s="113"/>
      <c r="Z204" s="113"/>
      <c r="AA204" s="113"/>
      <c r="AB204" s="113"/>
      <c r="AC204" s="113"/>
      <c r="AD204" s="113"/>
      <c r="AE204" s="113"/>
      <c r="AF204" s="113"/>
      <c r="AG204" s="113"/>
    </row>
    <row r="205" spans="1:33" ht="13.8">
      <c r="A205" s="113"/>
      <c r="B205" s="113"/>
      <c r="C205" s="113"/>
      <c r="D205" s="111"/>
      <c r="E205" s="113"/>
      <c r="F205" s="111"/>
      <c r="G205" s="113"/>
      <c r="H205" s="111"/>
      <c r="I205" s="113"/>
      <c r="J205" s="113"/>
      <c r="K205" s="113"/>
      <c r="L205" s="113"/>
      <c r="M205" s="113"/>
      <c r="N205" s="113"/>
      <c r="O205" s="113"/>
      <c r="P205" s="113"/>
      <c r="Q205" s="113"/>
      <c r="R205" s="113"/>
      <c r="S205" s="113"/>
      <c r="T205" s="113"/>
      <c r="U205" s="113"/>
      <c r="V205" s="113"/>
      <c r="W205" s="113"/>
      <c r="X205" s="113"/>
      <c r="Y205" s="113"/>
      <c r="Z205" s="113"/>
      <c r="AA205" s="113"/>
      <c r="AB205" s="113"/>
      <c r="AC205" s="113"/>
      <c r="AD205" s="113"/>
      <c r="AE205" s="113"/>
      <c r="AF205" s="113"/>
      <c r="AG205" s="113"/>
    </row>
    <row r="206" spans="1:33" ht="13.8">
      <c r="A206" s="113"/>
      <c r="B206" s="113"/>
      <c r="C206" s="113"/>
      <c r="D206" s="111"/>
      <c r="E206" s="113"/>
      <c r="F206" s="111"/>
      <c r="G206" s="113"/>
      <c r="H206" s="111"/>
      <c r="I206" s="113"/>
      <c r="J206" s="113"/>
      <c r="K206" s="113"/>
      <c r="L206" s="113"/>
      <c r="M206" s="113"/>
      <c r="N206" s="113"/>
      <c r="O206" s="113"/>
      <c r="P206" s="113"/>
      <c r="Q206" s="113"/>
      <c r="R206" s="113"/>
      <c r="S206" s="113"/>
      <c r="T206" s="113"/>
      <c r="U206" s="113"/>
      <c r="V206" s="113"/>
      <c r="W206" s="113"/>
      <c r="X206" s="113"/>
      <c r="Y206" s="113"/>
      <c r="Z206" s="113"/>
      <c r="AA206" s="113"/>
      <c r="AB206" s="113"/>
      <c r="AC206" s="113"/>
      <c r="AD206" s="113"/>
      <c r="AE206" s="113"/>
      <c r="AF206" s="113"/>
      <c r="AG206" s="113"/>
    </row>
    <row r="207" spans="1:33" ht="13.8">
      <c r="A207" s="113"/>
      <c r="B207" s="113"/>
      <c r="C207" s="113"/>
      <c r="D207" s="111"/>
      <c r="E207" s="113"/>
      <c r="F207" s="111"/>
      <c r="G207" s="113"/>
      <c r="H207" s="111"/>
      <c r="I207" s="113"/>
      <c r="J207" s="113"/>
      <c r="K207" s="113"/>
      <c r="L207" s="113"/>
      <c r="M207" s="113"/>
      <c r="N207" s="113"/>
      <c r="O207" s="113"/>
      <c r="P207" s="113"/>
      <c r="Q207" s="113"/>
      <c r="R207" s="113"/>
      <c r="S207" s="113"/>
      <c r="T207" s="113"/>
      <c r="U207" s="113"/>
      <c r="V207" s="113"/>
      <c r="W207" s="113"/>
      <c r="X207" s="113"/>
      <c r="Y207" s="113"/>
      <c r="Z207" s="113"/>
      <c r="AA207" s="113"/>
      <c r="AB207" s="113"/>
      <c r="AC207" s="113"/>
      <c r="AD207" s="113"/>
      <c r="AE207" s="113"/>
      <c r="AF207" s="113"/>
      <c r="AG207" s="113"/>
    </row>
    <row r="208" spans="1:33" ht="13.8">
      <c r="A208" s="113"/>
      <c r="B208" s="113"/>
      <c r="C208" s="113"/>
      <c r="D208" s="111"/>
      <c r="E208" s="113"/>
      <c r="F208" s="111"/>
      <c r="G208" s="113"/>
      <c r="H208" s="111"/>
      <c r="I208" s="113"/>
      <c r="J208" s="113"/>
      <c r="K208" s="113"/>
      <c r="L208" s="113"/>
      <c r="M208" s="113"/>
      <c r="N208" s="113"/>
      <c r="O208" s="113"/>
      <c r="P208" s="113"/>
      <c r="Q208" s="113"/>
      <c r="R208" s="113"/>
      <c r="S208" s="113"/>
      <c r="T208" s="113"/>
      <c r="U208" s="113"/>
      <c r="V208" s="113"/>
      <c r="W208" s="113"/>
      <c r="X208" s="113"/>
      <c r="Y208" s="113"/>
      <c r="Z208" s="113"/>
      <c r="AA208" s="113"/>
      <c r="AB208" s="113"/>
      <c r="AC208" s="113"/>
      <c r="AD208" s="113"/>
      <c r="AE208" s="113"/>
      <c r="AF208" s="113"/>
      <c r="AG208" s="113"/>
    </row>
    <row r="209" spans="1:33" ht="13.8">
      <c r="A209" s="113"/>
      <c r="B209" s="113"/>
      <c r="C209" s="113"/>
      <c r="D209" s="111"/>
      <c r="E209" s="113"/>
      <c r="F209" s="111"/>
      <c r="G209" s="113"/>
      <c r="H209" s="111"/>
      <c r="I209" s="113"/>
      <c r="J209" s="113"/>
      <c r="K209" s="113"/>
      <c r="L209" s="113"/>
      <c r="M209" s="113"/>
      <c r="N209" s="113"/>
      <c r="O209" s="113"/>
      <c r="P209" s="113"/>
      <c r="Q209" s="113"/>
      <c r="R209" s="113"/>
      <c r="S209" s="113"/>
      <c r="T209" s="113"/>
      <c r="U209" s="113"/>
      <c r="V209" s="113"/>
      <c r="W209" s="113"/>
      <c r="X209" s="113"/>
      <c r="Y209" s="113"/>
      <c r="Z209" s="113"/>
      <c r="AA209" s="113"/>
      <c r="AB209" s="113"/>
      <c r="AC209" s="113"/>
      <c r="AD209" s="113"/>
      <c r="AE209" s="113"/>
      <c r="AF209" s="113"/>
      <c r="AG209" s="113"/>
    </row>
    <row r="210" spans="1:33" ht="13.8">
      <c r="A210" s="113"/>
      <c r="B210" s="113"/>
      <c r="C210" s="113"/>
      <c r="D210" s="111"/>
      <c r="E210" s="113"/>
      <c r="F210" s="111"/>
      <c r="G210" s="113"/>
      <c r="H210" s="111"/>
      <c r="I210" s="113"/>
      <c r="J210" s="113"/>
      <c r="K210" s="113"/>
      <c r="L210" s="113"/>
      <c r="M210" s="113"/>
      <c r="N210" s="113"/>
      <c r="O210" s="113"/>
      <c r="P210" s="113"/>
      <c r="Q210" s="113"/>
      <c r="R210" s="113"/>
      <c r="S210" s="113"/>
      <c r="T210" s="113"/>
      <c r="U210" s="113"/>
      <c r="V210" s="113"/>
      <c r="W210" s="113"/>
      <c r="X210" s="113"/>
      <c r="Y210" s="113"/>
      <c r="Z210" s="113"/>
      <c r="AA210" s="113"/>
      <c r="AB210" s="113"/>
      <c r="AC210" s="113"/>
      <c r="AD210" s="113"/>
      <c r="AE210" s="113"/>
      <c r="AF210" s="113"/>
      <c r="AG210" s="113"/>
    </row>
    <row r="211" spans="1:33" ht="13.8">
      <c r="A211" s="113"/>
      <c r="B211" s="113"/>
      <c r="C211" s="113"/>
      <c r="D211" s="111"/>
      <c r="E211" s="113"/>
      <c r="F211" s="111"/>
      <c r="G211" s="113"/>
      <c r="H211" s="111"/>
      <c r="I211" s="113"/>
      <c r="J211" s="113"/>
      <c r="K211" s="113"/>
      <c r="L211" s="113"/>
      <c r="M211" s="113"/>
      <c r="N211" s="113"/>
      <c r="O211" s="113"/>
      <c r="P211" s="113"/>
      <c r="Q211" s="113"/>
      <c r="R211" s="113"/>
      <c r="S211" s="113"/>
      <c r="T211" s="113"/>
      <c r="U211" s="113"/>
      <c r="V211" s="113"/>
      <c r="W211" s="113"/>
      <c r="X211" s="113"/>
      <c r="Y211" s="113"/>
      <c r="Z211" s="113"/>
      <c r="AA211" s="113"/>
      <c r="AB211" s="113"/>
      <c r="AC211" s="113"/>
      <c r="AD211" s="113"/>
      <c r="AE211" s="113"/>
      <c r="AF211" s="113"/>
      <c r="AG211" s="113"/>
    </row>
    <row r="212" spans="1:33" ht="13.8">
      <c r="A212" s="113"/>
      <c r="B212" s="113"/>
      <c r="C212" s="113"/>
      <c r="D212" s="111"/>
      <c r="E212" s="113"/>
      <c r="F212" s="111"/>
      <c r="G212" s="113"/>
      <c r="H212" s="111"/>
      <c r="I212" s="113"/>
      <c r="J212" s="113"/>
      <c r="K212" s="113"/>
      <c r="L212" s="113"/>
      <c r="M212" s="113"/>
      <c r="N212" s="113"/>
      <c r="O212" s="113"/>
      <c r="P212" s="113"/>
      <c r="Q212" s="113"/>
      <c r="R212" s="113"/>
      <c r="S212" s="113"/>
      <c r="T212" s="113"/>
      <c r="U212" s="113"/>
      <c r="V212" s="113"/>
      <c r="W212" s="113"/>
      <c r="X212" s="113"/>
      <c r="Y212" s="113"/>
      <c r="Z212" s="113"/>
      <c r="AA212" s="113"/>
      <c r="AB212" s="113"/>
      <c r="AC212" s="113"/>
      <c r="AD212" s="113"/>
      <c r="AE212" s="113"/>
      <c r="AF212" s="113"/>
      <c r="AG212" s="113"/>
    </row>
    <row r="213" spans="1:33" ht="13.8">
      <c r="A213" s="113"/>
      <c r="B213" s="113"/>
      <c r="C213" s="113"/>
      <c r="D213" s="111"/>
      <c r="E213" s="113"/>
      <c r="F213" s="111"/>
      <c r="G213" s="113"/>
      <c r="H213" s="111"/>
      <c r="I213" s="113"/>
      <c r="J213" s="113"/>
      <c r="K213" s="113"/>
      <c r="L213" s="113"/>
      <c r="M213" s="113"/>
      <c r="N213" s="113"/>
      <c r="O213" s="113"/>
      <c r="P213" s="113"/>
      <c r="Q213" s="113"/>
      <c r="R213" s="113"/>
      <c r="S213" s="113"/>
      <c r="T213" s="113"/>
      <c r="U213" s="113"/>
      <c r="V213" s="113"/>
      <c r="W213" s="113"/>
      <c r="X213" s="113"/>
      <c r="Y213" s="113"/>
      <c r="Z213" s="113"/>
      <c r="AA213" s="113"/>
      <c r="AB213" s="113"/>
      <c r="AC213" s="113"/>
      <c r="AD213" s="113"/>
      <c r="AE213" s="113"/>
      <c r="AF213" s="113"/>
      <c r="AG213" s="113"/>
    </row>
    <row r="214" spans="1:33" ht="13.8">
      <c r="A214" s="113"/>
      <c r="B214" s="113"/>
      <c r="C214" s="113"/>
      <c r="D214" s="111"/>
      <c r="E214" s="113"/>
      <c r="F214" s="111"/>
      <c r="G214" s="113"/>
      <c r="H214" s="111"/>
      <c r="I214" s="113"/>
      <c r="J214" s="113"/>
      <c r="K214" s="113"/>
      <c r="L214" s="113"/>
      <c r="M214" s="113"/>
      <c r="N214" s="113"/>
      <c r="O214" s="113"/>
      <c r="P214" s="113"/>
      <c r="Q214" s="113"/>
      <c r="R214" s="113"/>
      <c r="S214" s="113"/>
      <c r="T214" s="113"/>
      <c r="U214" s="113"/>
      <c r="V214" s="113"/>
      <c r="W214" s="113"/>
      <c r="X214" s="113"/>
      <c r="Y214" s="113"/>
      <c r="Z214" s="113"/>
      <c r="AA214" s="113"/>
      <c r="AB214" s="113"/>
      <c r="AC214" s="113"/>
      <c r="AD214" s="113"/>
      <c r="AE214" s="113"/>
      <c r="AF214" s="113"/>
      <c r="AG214" s="113"/>
    </row>
    <row r="215" spans="1:33" ht="13.8">
      <c r="A215" s="113"/>
      <c r="B215" s="113"/>
      <c r="C215" s="113"/>
      <c r="D215" s="111"/>
      <c r="E215" s="113"/>
      <c r="F215" s="111"/>
      <c r="G215" s="113"/>
      <c r="H215" s="111"/>
      <c r="I215" s="113"/>
      <c r="J215" s="113"/>
      <c r="K215" s="113"/>
      <c r="L215" s="113"/>
      <c r="M215" s="113"/>
      <c r="N215" s="113"/>
      <c r="O215" s="113"/>
      <c r="P215" s="113"/>
      <c r="Q215" s="113"/>
      <c r="R215" s="113"/>
      <c r="S215" s="113"/>
      <c r="T215" s="113"/>
      <c r="U215" s="113"/>
      <c r="V215" s="113"/>
      <c r="W215" s="113"/>
      <c r="X215" s="113"/>
      <c r="Y215" s="113"/>
      <c r="Z215" s="113"/>
      <c r="AA215" s="113"/>
      <c r="AB215" s="113"/>
      <c r="AC215" s="113"/>
      <c r="AD215" s="113"/>
      <c r="AE215" s="113"/>
      <c r="AF215" s="113"/>
      <c r="AG215" s="113"/>
    </row>
    <row r="216" spans="1:33" ht="13.8">
      <c r="A216" s="113"/>
      <c r="B216" s="113"/>
      <c r="C216" s="113"/>
      <c r="D216" s="111"/>
      <c r="E216" s="113"/>
      <c r="F216" s="111"/>
      <c r="G216" s="113"/>
      <c r="H216" s="111"/>
      <c r="I216" s="113"/>
      <c r="J216" s="113"/>
      <c r="K216" s="113"/>
      <c r="L216" s="113"/>
      <c r="M216" s="113"/>
      <c r="N216" s="113"/>
      <c r="O216" s="113"/>
      <c r="P216" s="113"/>
      <c r="Q216" s="113"/>
      <c r="R216" s="113"/>
      <c r="S216" s="113"/>
      <c r="T216" s="113"/>
      <c r="U216" s="113"/>
      <c r="V216" s="113"/>
      <c r="W216" s="113"/>
      <c r="X216" s="113"/>
      <c r="Y216" s="113"/>
      <c r="Z216" s="113"/>
      <c r="AA216" s="113"/>
      <c r="AB216" s="113"/>
      <c r="AC216" s="113"/>
      <c r="AD216" s="113"/>
      <c r="AE216" s="113"/>
      <c r="AF216" s="113"/>
      <c r="AG216" s="113"/>
    </row>
    <row r="217" spans="1:33" ht="13.8">
      <c r="A217" s="113"/>
      <c r="B217" s="113"/>
      <c r="C217" s="113"/>
      <c r="D217" s="111"/>
      <c r="E217" s="113"/>
      <c r="F217" s="111"/>
      <c r="G217" s="113"/>
      <c r="H217" s="111"/>
      <c r="I217" s="113"/>
      <c r="J217" s="113"/>
      <c r="K217" s="113"/>
      <c r="L217" s="113"/>
      <c r="M217" s="113"/>
      <c r="N217" s="113"/>
      <c r="O217" s="113"/>
      <c r="P217" s="113"/>
      <c r="Q217" s="113"/>
      <c r="R217" s="113"/>
      <c r="S217" s="113"/>
      <c r="T217" s="113"/>
      <c r="U217" s="113"/>
      <c r="V217" s="113"/>
      <c r="W217" s="113"/>
      <c r="X217" s="113"/>
      <c r="Y217" s="113"/>
      <c r="Z217" s="113"/>
      <c r="AA217" s="113"/>
      <c r="AB217" s="113"/>
      <c r="AC217" s="113"/>
      <c r="AD217" s="113"/>
      <c r="AE217" s="113"/>
      <c r="AF217" s="113"/>
      <c r="AG217" s="113"/>
    </row>
    <row r="218" spans="1:33" ht="13.8">
      <c r="A218" s="113"/>
      <c r="B218" s="113"/>
      <c r="C218" s="113"/>
      <c r="D218" s="111"/>
      <c r="E218" s="113"/>
      <c r="F218" s="111"/>
      <c r="G218" s="113"/>
      <c r="H218" s="111"/>
      <c r="I218" s="113"/>
      <c r="J218" s="113"/>
      <c r="K218" s="113"/>
      <c r="L218" s="113"/>
      <c r="M218" s="113"/>
      <c r="N218" s="113"/>
      <c r="O218" s="113"/>
      <c r="P218" s="113"/>
      <c r="Q218" s="113"/>
      <c r="R218" s="113"/>
      <c r="S218" s="113"/>
      <c r="T218" s="113"/>
      <c r="U218" s="113"/>
      <c r="V218" s="113"/>
      <c r="W218" s="113"/>
      <c r="X218" s="113"/>
      <c r="Y218" s="113"/>
      <c r="Z218" s="113"/>
      <c r="AA218" s="113"/>
      <c r="AB218" s="113"/>
      <c r="AC218" s="113"/>
      <c r="AD218" s="113"/>
      <c r="AE218" s="113"/>
      <c r="AF218" s="113"/>
      <c r="AG218" s="113"/>
    </row>
    <row r="219" spans="1:33" ht="13.8">
      <c r="A219" s="113"/>
      <c r="B219" s="113"/>
      <c r="C219" s="113"/>
      <c r="D219" s="111"/>
      <c r="E219" s="113"/>
      <c r="F219" s="111"/>
      <c r="G219" s="113"/>
      <c r="H219" s="111"/>
      <c r="I219" s="113"/>
      <c r="J219" s="113"/>
      <c r="K219" s="113"/>
      <c r="L219" s="113"/>
      <c r="M219" s="113"/>
      <c r="N219" s="113"/>
      <c r="O219" s="113"/>
      <c r="P219" s="113"/>
      <c r="Q219" s="113"/>
      <c r="R219" s="113"/>
      <c r="S219" s="113"/>
      <c r="T219" s="113"/>
      <c r="U219" s="113"/>
      <c r="V219" s="113"/>
      <c r="W219" s="113"/>
      <c r="X219" s="113"/>
      <c r="Y219" s="113"/>
      <c r="Z219" s="113"/>
      <c r="AA219" s="113"/>
      <c r="AB219" s="113"/>
      <c r="AC219" s="113"/>
      <c r="AD219" s="113"/>
      <c r="AE219" s="113"/>
      <c r="AF219" s="113"/>
      <c r="AG219" s="113"/>
    </row>
    <row r="220" spans="1:33" ht="13.8">
      <c r="A220" s="113"/>
      <c r="B220" s="113"/>
      <c r="C220" s="113"/>
      <c r="D220" s="111"/>
      <c r="E220" s="113"/>
      <c r="F220" s="111"/>
      <c r="G220" s="113"/>
      <c r="H220" s="111"/>
      <c r="I220" s="113"/>
      <c r="J220" s="113"/>
      <c r="K220" s="113"/>
      <c r="L220" s="113"/>
      <c r="M220" s="113"/>
      <c r="N220" s="113"/>
      <c r="O220" s="113"/>
      <c r="P220" s="113"/>
      <c r="Q220" s="113"/>
      <c r="R220" s="113"/>
      <c r="S220" s="113"/>
      <c r="T220" s="113"/>
      <c r="U220" s="113"/>
      <c r="V220" s="113"/>
      <c r="W220" s="113"/>
      <c r="X220" s="113"/>
      <c r="Y220" s="113"/>
      <c r="Z220" s="113"/>
      <c r="AA220" s="113"/>
      <c r="AB220" s="113"/>
      <c r="AC220" s="113"/>
      <c r="AD220" s="113"/>
      <c r="AE220" s="113"/>
      <c r="AF220" s="113"/>
      <c r="AG220" s="113"/>
    </row>
    <row r="221" spans="1:33" ht="13.8">
      <c r="A221" s="113"/>
      <c r="B221" s="113"/>
      <c r="C221" s="113"/>
      <c r="D221" s="111"/>
      <c r="E221" s="113"/>
      <c r="F221" s="111"/>
      <c r="G221" s="113"/>
      <c r="H221" s="111"/>
      <c r="I221" s="113"/>
      <c r="J221" s="113"/>
      <c r="K221" s="113"/>
      <c r="L221" s="113"/>
      <c r="M221" s="113"/>
      <c r="N221" s="113"/>
      <c r="O221" s="113"/>
      <c r="P221" s="113"/>
      <c r="Q221" s="113"/>
      <c r="R221" s="113"/>
      <c r="S221" s="113"/>
      <c r="T221" s="113"/>
      <c r="U221" s="113"/>
      <c r="V221" s="113"/>
      <c r="W221" s="113"/>
      <c r="X221" s="113"/>
      <c r="Y221" s="113"/>
      <c r="Z221" s="113"/>
      <c r="AA221" s="113"/>
      <c r="AB221" s="113"/>
      <c r="AC221" s="113"/>
      <c r="AD221" s="113"/>
      <c r="AE221" s="113"/>
      <c r="AF221" s="113"/>
      <c r="AG221" s="113"/>
    </row>
    <row r="222" spans="1:33" ht="13.8">
      <c r="A222" s="113"/>
      <c r="B222" s="113"/>
      <c r="C222" s="113"/>
      <c r="D222" s="111"/>
      <c r="E222" s="113"/>
      <c r="F222" s="111"/>
      <c r="G222" s="113"/>
      <c r="H222" s="111"/>
      <c r="I222" s="113"/>
      <c r="J222" s="113"/>
      <c r="K222" s="113"/>
      <c r="L222" s="113"/>
      <c r="M222" s="113"/>
      <c r="N222" s="113"/>
      <c r="O222" s="113"/>
      <c r="P222" s="113"/>
      <c r="Q222" s="113"/>
      <c r="R222" s="113"/>
      <c r="S222" s="113"/>
      <c r="T222" s="113"/>
      <c r="U222" s="113"/>
      <c r="V222" s="113"/>
      <c r="W222" s="113"/>
      <c r="X222" s="113"/>
      <c r="Y222" s="113"/>
      <c r="Z222" s="113"/>
      <c r="AA222" s="113"/>
      <c r="AB222" s="113"/>
      <c r="AC222" s="113"/>
      <c r="AD222" s="113"/>
      <c r="AE222" s="113"/>
      <c r="AF222" s="113"/>
      <c r="AG222" s="113"/>
    </row>
    <row r="223" spans="1:33" ht="13.8">
      <c r="A223" s="113"/>
      <c r="B223" s="113"/>
      <c r="C223" s="113"/>
      <c r="D223" s="111"/>
      <c r="E223" s="113"/>
      <c r="F223" s="111"/>
      <c r="G223" s="113"/>
      <c r="H223" s="111"/>
      <c r="I223" s="113"/>
      <c r="J223" s="113"/>
      <c r="K223" s="113"/>
      <c r="L223" s="113"/>
      <c r="M223" s="113"/>
      <c r="N223" s="113"/>
      <c r="O223" s="113"/>
      <c r="P223" s="113"/>
      <c r="Q223" s="113"/>
      <c r="R223" s="113"/>
      <c r="S223" s="113"/>
      <c r="T223" s="113"/>
      <c r="U223" s="113"/>
      <c r="V223" s="113"/>
      <c r="W223" s="113"/>
      <c r="X223" s="113"/>
      <c r="Y223" s="113"/>
      <c r="Z223" s="113"/>
      <c r="AA223" s="113"/>
      <c r="AB223" s="113"/>
      <c r="AC223" s="113"/>
      <c r="AD223" s="113"/>
      <c r="AE223" s="113"/>
      <c r="AF223" s="113"/>
      <c r="AG223" s="113"/>
    </row>
    <row r="224" spans="1:33" ht="13.8">
      <c r="A224" s="113"/>
      <c r="B224" s="113"/>
      <c r="C224" s="113"/>
      <c r="D224" s="111"/>
      <c r="E224" s="113"/>
      <c r="F224" s="111"/>
      <c r="G224" s="113"/>
      <c r="H224" s="111"/>
      <c r="I224" s="113"/>
      <c r="J224" s="113"/>
      <c r="K224" s="113"/>
      <c r="L224" s="113"/>
      <c r="M224" s="113"/>
      <c r="N224" s="113"/>
      <c r="O224" s="113"/>
      <c r="P224" s="113"/>
      <c r="Q224" s="113"/>
      <c r="R224" s="113"/>
      <c r="S224" s="113"/>
      <c r="T224" s="113"/>
      <c r="U224" s="113"/>
      <c r="V224" s="113"/>
      <c r="W224" s="113"/>
      <c r="X224" s="113"/>
      <c r="Y224" s="113"/>
      <c r="Z224" s="113"/>
      <c r="AA224" s="113"/>
      <c r="AB224" s="113"/>
      <c r="AC224" s="113"/>
      <c r="AD224" s="113"/>
      <c r="AE224" s="113"/>
      <c r="AF224" s="113"/>
      <c r="AG224" s="113"/>
    </row>
    <row r="225" spans="1:33" ht="13.8">
      <c r="A225" s="113"/>
      <c r="B225" s="113"/>
      <c r="C225" s="113"/>
      <c r="D225" s="111"/>
      <c r="E225" s="113"/>
      <c r="F225" s="111"/>
      <c r="G225" s="113"/>
      <c r="H225" s="111"/>
      <c r="I225" s="113"/>
      <c r="J225" s="113"/>
      <c r="K225" s="113"/>
      <c r="L225" s="113"/>
      <c r="M225" s="113"/>
      <c r="N225" s="113"/>
      <c r="O225" s="113"/>
      <c r="P225" s="113"/>
      <c r="Q225" s="113"/>
      <c r="R225" s="113"/>
      <c r="S225" s="113"/>
      <c r="T225" s="113"/>
      <c r="U225" s="113"/>
      <c r="V225" s="113"/>
      <c r="W225" s="113"/>
      <c r="X225" s="113"/>
      <c r="Y225" s="113"/>
      <c r="Z225" s="113"/>
      <c r="AA225" s="113"/>
      <c r="AB225" s="113"/>
      <c r="AC225" s="113"/>
      <c r="AD225" s="113"/>
      <c r="AE225" s="113"/>
      <c r="AF225" s="113"/>
      <c r="AG225" s="113"/>
    </row>
    <row r="226" spans="1:33" ht="13.8">
      <c r="A226" s="113"/>
      <c r="B226" s="113"/>
      <c r="C226" s="113"/>
      <c r="D226" s="111"/>
      <c r="E226" s="113"/>
      <c r="F226" s="111"/>
      <c r="G226" s="113"/>
      <c r="H226" s="111"/>
      <c r="I226" s="113"/>
      <c r="J226" s="113"/>
      <c r="K226" s="113"/>
      <c r="L226" s="113"/>
      <c r="M226" s="113"/>
      <c r="N226" s="113"/>
      <c r="O226" s="113"/>
      <c r="P226" s="113"/>
      <c r="Q226" s="113"/>
      <c r="R226" s="113"/>
      <c r="S226" s="113"/>
      <c r="T226" s="113"/>
      <c r="U226" s="113"/>
      <c r="V226" s="113"/>
      <c r="W226" s="113"/>
      <c r="X226" s="113"/>
      <c r="Y226" s="113"/>
      <c r="Z226" s="113"/>
      <c r="AA226" s="113"/>
      <c r="AB226" s="113"/>
      <c r="AC226" s="113"/>
      <c r="AD226" s="113"/>
      <c r="AE226" s="113"/>
      <c r="AF226" s="113"/>
      <c r="AG226" s="113"/>
    </row>
    <row r="227" spans="1:33" ht="13.8">
      <c r="A227" s="113"/>
      <c r="B227" s="113"/>
      <c r="C227" s="113"/>
      <c r="D227" s="111"/>
      <c r="E227" s="113"/>
      <c r="F227" s="111"/>
      <c r="G227" s="113"/>
      <c r="H227" s="111"/>
      <c r="I227" s="113"/>
      <c r="J227" s="113"/>
      <c r="K227" s="113"/>
      <c r="L227" s="113"/>
      <c r="M227" s="113"/>
      <c r="N227" s="113"/>
      <c r="O227" s="113"/>
      <c r="P227" s="113"/>
      <c r="Q227" s="113"/>
      <c r="R227" s="113"/>
      <c r="S227" s="113"/>
      <c r="T227" s="113"/>
      <c r="U227" s="113"/>
      <c r="V227" s="113"/>
      <c r="W227" s="113"/>
      <c r="X227" s="113"/>
      <c r="Y227" s="113"/>
      <c r="Z227" s="113"/>
      <c r="AA227" s="113"/>
      <c r="AB227" s="113"/>
      <c r="AC227" s="113"/>
      <c r="AD227" s="113"/>
      <c r="AE227" s="113"/>
      <c r="AF227" s="113"/>
      <c r="AG227" s="113"/>
    </row>
    <row r="228" spans="1:33" ht="13.8">
      <c r="A228" s="113"/>
      <c r="B228" s="113"/>
      <c r="C228" s="113"/>
      <c r="D228" s="111"/>
      <c r="E228" s="113"/>
      <c r="F228" s="111"/>
      <c r="G228" s="113"/>
      <c r="H228" s="111"/>
      <c r="I228" s="113"/>
      <c r="J228" s="113"/>
      <c r="K228" s="113"/>
      <c r="L228" s="113"/>
      <c r="M228" s="113"/>
      <c r="N228" s="113"/>
      <c r="O228" s="113"/>
      <c r="P228" s="113"/>
      <c r="Q228" s="113"/>
      <c r="R228" s="113"/>
      <c r="S228" s="113"/>
      <c r="T228" s="113"/>
      <c r="U228" s="113"/>
      <c r="V228" s="113"/>
      <c r="W228" s="113"/>
      <c r="X228" s="113"/>
      <c r="Y228" s="113"/>
      <c r="Z228" s="113"/>
      <c r="AA228" s="113"/>
      <c r="AB228" s="113"/>
      <c r="AC228" s="113"/>
      <c r="AD228" s="113"/>
      <c r="AE228" s="113"/>
      <c r="AF228" s="113"/>
      <c r="AG228" s="113"/>
    </row>
    <row r="229" spans="1:33" ht="13.8">
      <c r="A229" s="113"/>
      <c r="B229" s="113"/>
      <c r="C229" s="113"/>
      <c r="D229" s="111"/>
      <c r="E229" s="113"/>
      <c r="F229" s="111"/>
      <c r="G229" s="113"/>
      <c r="H229" s="111"/>
      <c r="I229" s="113"/>
      <c r="J229" s="113"/>
      <c r="K229" s="113"/>
      <c r="L229" s="113"/>
      <c r="M229" s="113"/>
      <c r="N229" s="113"/>
      <c r="O229" s="113"/>
      <c r="P229" s="113"/>
      <c r="Q229" s="113"/>
      <c r="R229" s="113"/>
      <c r="S229" s="113"/>
      <c r="T229" s="113"/>
      <c r="U229" s="113"/>
      <c r="V229" s="113"/>
      <c r="W229" s="113"/>
      <c r="X229" s="113"/>
      <c r="Y229" s="113"/>
      <c r="Z229" s="113"/>
      <c r="AA229" s="113"/>
      <c r="AB229" s="113"/>
      <c r="AC229" s="113"/>
      <c r="AD229" s="113"/>
      <c r="AE229" s="113"/>
      <c r="AF229" s="113"/>
      <c r="AG229" s="113"/>
    </row>
    <row r="230" spans="1:33" ht="13.8">
      <c r="A230" s="113"/>
      <c r="B230" s="113"/>
      <c r="C230" s="113"/>
      <c r="D230" s="111"/>
      <c r="E230" s="113"/>
      <c r="F230" s="111"/>
      <c r="G230" s="113"/>
      <c r="H230" s="111"/>
      <c r="I230" s="113"/>
      <c r="J230" s="113"/>
      <c r="K230" s="113"/>
      <c r="L230" s="113"/>
      <c r="M230" s="113"/>
      <c r="N230" s="113"/>
      <c r="O230" s="113"/>
      <c r="P230" s="113"/>
      <c r="Q230" s="113"/>
      <c r="R230" s="113"/>
      <c r="S230" s="113"/>
      <c r="T230" s="113"/>
      <c r="U230" s="113"/>
      <c r="V230" s="113"/>
      <c r="W230" s="113"/>
      <c r="X230" s="113"/>
      <c r="Y230" s="113"/>
      <c r="Z230" s="113"/>
      <c r="AA230" s="113"/>
      <c r="AB230" s="113"/>
      <c r="AC230" s="113"/>
      <c r="AD230" s="113"/>
      <c r="AE230" s="113"/>
      <c r="AF230" s="113"/>
      <c r="AG230" s="113"/>
    </row>
    <row r="231" spans="1:33" ht="13.8">
      <c r="A231" s="113"/>
      <c r="B231" s="113"/>
      <c r="C231" s="113"/>
      <c r="D231" s="111"/>
      <c r="E231" s="113"/>
      <c r="F231" s="111"/>
      <c r="G231" s="113"/>
      <c r="H231" s="111"/>
      <c r="I231" s="113"/>
      <c r="J231" s="113"/>
      <c r="K231" s="113"/>
      <c r="L231" s="113"/>
      <c r="M231" s="113"/>
      <c r="N231" s="113"/>
      <c r="O231" s="113"/>
      <c r="P231" s="113"/>
      <c r="Q231" s="113"/>
      <c r="R231" s="113"/>
      <c r="S231" s="113"/>
      <c r="T231" s="113"/>
      <c r="U231" s="113"/>
      <c r="V231" s="113"/>
      <c r="W231" s="113"/>
      <c r="X231" s="113"/>
      <c r="Y231" s="113"/>
      <c r="Z231" s="113"/>
      <c r="AA231" s="113"/>
      <c r="AB231" s="113"/>
      <c r="AC231" s="113"/>
      <c r="AD231" s="113"/>
      <c r="AE231" s="113"/>
      <c r="AF231" s="113"/>
      <c r="AG231" s="113"/>
    </row>
    <row r="232" spans="1:33" ht="13.8">
      <c r="A232" s="113"/>
      <c r="B232" s="113"/>
      <c r="C232" s="113"/>
      <c r="D232" s="111"/>
      <c r="E232" s="113"/>
      <c r="F232" s="111"/>
      <c r="G232" s="113"/>
      <c r="H232" s="111"/>
      <c r="I232" s="113"/>
      <c r="J232" s="113"/>
      <c r="K232" s="113"/>
      <c r="L232" s="113"/>
      <c r="M232" s="113"/>
      <c r="N232" s="113"/>
      <c r="O232" s="113"/>
      <c r="P232" s="113"/>
      <c r="Q232" s="113"/>
      <c r="R232" s="113"/>
      <c r="S232" s="113"/>
      <c r="T232" s="113"/>
      <c r="U232" s="113"/>
      <c r="V232" s="113"/>
      <c r="W232" s="113"/>
      <c r="X232" s="113"/>
      <c r="Y232" s="113"/>
      <c r="Z232" s="113"/>
      <c r="AA232" s="113"/>
      <c r="AB232" s="113"/>
      <c r="AC232" s="113"/>
      <c r="AD232" s="113"/>
      <c r="AE232" s="113"/>
      <c r="AF232" s="113"/>
      <c r="AG232" s="113"/>
    </row>
    <row r="233" spans="1:33" ht="13.8">
      <c r="A233" s="113"/>
      <c r="B233" s="113"/>
      <c r="C233" s="113"/>
      <c r="D233" s="111"/>
      <c r="E233" s="113"/>
      <c r="F233" s="111"/>
      <c r="G233" s="113"/>
      <c r="H233" s="111"/>
      <c r="I233" s="113"/>
      <c r="J233" s="113"/>
      <c r="K233" s="113"/>
      <c r="L233" s="113"/>
      <c r="M233" s="113"/>
      <c r="N233" s="113"/>
      <c r="O233" s="113"/>
      <c r="P233" s="113"/>
      <c r="Q233" s="113"/>
      <c r="R233" s="113"/>
      <c r="S233" s="113"/>
      <c r="T233" s="113"/>
      <c r="U233" s="113"/>
      <c r="V233" s="113"/>
      <c r="W233" s="113"/>
      <c r="X233" s="113"/>
      <c r="Y233" s="113"/>
      <c r="Z233" s="113"/>
      <c r="AA233" s="113"/>
      <c r="AB233" s="113"/>
      <c r="AC233" s="113"/>
      <c r="AD233" s="113"/>
      <c r="AE233" s="113"/>
      <c r="AF233" s="113"/>
      <c r="AG233" s="113"/>
    </row>
    <row r="234" spans="1:33" ht="13.8">
      <c r="A234" s="113"/>
      <c r="B234" s="113"/>
      <c r="C234" s="113"/>
      <c r="D234" s="111"/>
      <c r="E234" s="113"/>
      <c r="F234" s="111"/>
      <c r="G234" s="113"/>
      <c r="H234" s="111"/>
      <c r="I234" s="113"/>
      <c r="J234" s="113"/>
      <c r="K234" s="113"/>
      <c r="L234" s="113"/>
      <c r="M234" s="113"/>
      <c r="N234" s="113"/>
      <c r="O234" s="113"/>
      <c r="P234" s="113"/>
      <c r="Q234" s="113"/>
      <c r="R234" s="113"/>
      <c r="S234" s="113"/>
      <c r="T234" s="113"/>
      <c r="U234" s="113"/>
      <c r="V234" s="113"/>
      <c r="W234" s="113"/>
      <c r="X234" s="113"/>
      <c r="Y234" s="113"/>
      <c r="Z234" s="113"/>
      <c r="AA234" s="113"/>
      <c r="AB234" s="113"/>
      <c r="AC234" s="113"/>
      <c r="AD234" s="113"/>
      <c r="AE234" s="113"/>
      <c r="AF234" s="113"/>
      <c r="AG234" s="113"/>
    </row>
    <row r="235" spans="1:33" ht="13.8">
      <c r="A235" s="113"/>
      <c r="B235" s="113"/>
      <c r="C235" s="113"/>
      <c r="D235" s="111"/>
      <c r="E235" s="113"/>
      <c r="F235" s="111"/>
      <c r="G235" s="113"/>
      <c r="H235" s="111"/>
      <c r="I235" s="113"/>
      <c r="J235" s="113"/>
      <c r="K235" s="113"/>
      <c r="L235" s="113"/>
      <c r="M235" s="113"/>
      <c r="N235" s="113"/>
      <c r="O235" s="113"/>
      <c r="P235" s="113"/>
      <c r="Q235" s="113"/>
      <c r="R235" s="113"/>
      <c r="S235" s="113"/>
      <c r="T235" s="113"/>
      <c r="U235" s="113"/>
      <c r="V235" s="113"/>
      <c r="W235" s="113"/>
      <c r="X235" s="113"/>
      <c r="Y235" s="113"/>
      <c r="Z235" s="113"/>
      <c r="AA235" s="113"/>
      <c r="AB235" s="113"/>
      <c r="AC235" s="113"/>
      <c r="AD235" s="113"/>
      <c r="AE235" s="113"/>
      <c r="AF235" s="113"/>
      <c r="AG235" s="113"/>
    </row>
    <row r="236" spans="1:33" ht="13.8">
      <c r="A236" s="113"/>
      <c r="B236" s="113"/>
      <c r="C236" s="113"/>
      <c r="D236" s="111"/>
      <c r="E236" s="113"/>
      <c r="F236" s="111"/>
      <c r="G236" s="113"/>
      <c r="H236" s="111"/>
      <c r="I236" s="113"/>
      <c r="J236" s="113"/>
      <c r="K236" s="113"/>
      <c r="L236" s="113"/>
      <c r="M236" s="113"/>
      <c r="N236" s="113"/>
      <c r="O236" s="113"/>
      <c r="P236" s="113"/>
      <c r="Q236" s="113"/>
      <c r="R236" s="113"/>
      <c r="S236" s="113"/>
      <c r="T236" s="113"/>
      <c r="U236" s="113"/>
      <c r="V236" s="113"/>
      <c r="W236" s="113"/>
      <c r="X236" s="113"/>
      <c r="Y236" s="113"/>
      <c r="Z236" s="113"/>
      <c r="AA236" s="113"/>
      <c r="AB236" s="113"/>
      <c r="AC236" s="113"/>
      <c r="AD236" s="113"/>
      <c r="AE236" s="113"/>
      <c r="AF236" s="113"/>
      <c r="AG236" s="113"/>
    </row>
    <row r="237" spans="1:33" ht="13.8">
      <c r="A237" s="113"/>
      <c r="B237" s="113"/>
      <c r="C237" s="113"/>
      <c r="D237" s="111"/>
      <c r="E237" s="113"/>
      <c r="F237" s="111"/>
      <c r="G237" s="113"/>
      <c r="H237" s="111"/>
      <c r="I237" s="113"/>
      <c r="J237" s="113"/>
      <c r="K237" s="113"/>
      <c r="L237" s="113"/>
      <c r="M237" s="113"/>
      <c r="N237" s="113"/>
      <c r="O237" s="113"/>
      <c r="P237" s="113"/>
      <c r="Q237" s="113"/>
      <c r="R237" s="113"/>
      <c r="S237" s="113"/>
      <c r="T237" s="113"/>
      <c r="U237" s="113"/>
      <c r="V237" s="113"/>
      <c r="W237" s="113"/>
      <c r="X237" s="113"/>
      <c r="Y237" s="113"/>
      <c r="Z237" s="113"/>
      <c r="AA237" s="113"/>
      <c r="AB237" s="113"/>
      <c r="AC237" s="113"/>
      <c r="AD237" s="113"/>
      <c r="AE237" s="113"/>
      <c r="AF237" s="113"/>
      <c r="AG237" s="113"/>
    </row>
    <row r="238" spans="1:33" ht="13.8">
      <c r="A238" s="113"/>
      <c r="B238" s="113"/>
      <c r="C238" s="113"/>
      <c r="D238" s="111"/>
      <c r="E238" s="113"/>
      <c r="F238" s="111"/>
      <c r="G238" s="113"/>
      <c r="H238" s="111"/>
      <c r="I238" s="113"/>
      <c r="J238" s="113"/>
      <c r="K238" s="113"/>
      <c r="L238" s="113"/>
      <c r="M238" s="113"/>
      <c r="N238" s="113"/>
      <c r="O238" s="113"/>
      <c r="P238" s="113"/>
      <c r="Q238" s="113"/>
      <c r="R238" s="113"/>
      <c r="S238" s="113"/>
      <c r="T238" s="113"/>
      <c r="U238" s="113"/>
      <c r="V238" s="113"/>
      <c r="W238" s="113"/>
      <c r="X238" s="113"/>
      <c r="Y238" s="113"/>
      <c r="Z238" s="113"/>
      <c r="AA238" s="113"/>
      <c r="AB238" s="113"/>
      <c r="AC238" s="113"/>
      <c r="AD238" s="113"/>
      <c r="AE238" s="113"/>
      <c r="AF238" s="113"/>
      <c r="AG238" s="113"/>
    </row>
    <row r="239" spans="1:33" ht="13.8">
      <c r="A239" s="113"/>
      <c r="B239" s="113"/>
      <c r="C239" s="113"/>
      <c r="D239" s="111"/>
      <c r="E239" s="113"/>
      <c r="F239" s="111"/>
      <c r="G239" s="113"/>
      <c r="H239" s="111"/>
      <c r="I239" s="113"/>
      <c r="J239" s="113"/>
      <c r="K239" s="113"/>
      <c r="L239" s="113"/>
      <c r="M239" s="113"/>
      <c r="N239" s="113"/>
      <c r="O239" s="113"/>
      <c r="P239" s="113"/>
      <c r="Q239" s="113"/>
      <c r="R239" s="113"/>
      <c r="S239" s="113"/>
      <c r="T239" s="113"/>
      <c r="U239" s="113"/>
      <c r="V239" s="113"/>
      <c r="W239" s="113"/>
      <c r="X239" s="113"/>
      <c r="Y239" s="113"/>
      <c r="Z239" s="113"/>
      <c r="AA239" s="113"/>
      <c r="AB239" s="113"/>
      <c r="AC239" s="113"/>
      <c r="AD239" s="113"/>
      <c r="AE239" s="113"/>
      <c r="AF239" s="113"/>
      <c r="AG239" s="113"/>
    </row>
    <row r="240" spans="1:33" ht="13.8">
      <c r="A240" s="113"/>
      <c r="B240" s="113"/>
      <c r="C240" s="113"/>
      <c r="D240" s="111"/>
      <c r="E240" s="113"/>
      <c r="F240" s="111"/>
      <c r="G240" s="113"/>
      <c r="H240" s="111"/>
      <c r="I240" s="113"/>
      <c r="J240" s="113"/>
      <c r="K240" s="113"/>
      <c r="L240" s="113"/>
      <c r="M240" s="113"/>
      <c r="N240" s="113"/>
      <c r="O240" s="113"/>
      <c r="P240" s="113"/>
      <c r="Q240" s="113"/>
      <c r="R240" s="113"/>
      <c r="S240" s="113"/>
      <c r="T240" s="113"/>
      <c r="U240" s="113"/>
      <c r="V240" s="113"/>
      <c r="W240" s="113"/>
      <c r="X240" s="113"/>
      <c r="Y240" s="113"/>
      <c r="Z240" s="113"/>
      <c r="AA240" s="113"/>
      <c r="AB240" s="113"/>
      <c r="AC240" s="113"/>
      <c r="AD240" s="113"/>
      <c r="AE240" s="113"/>
      <c r="AF240" s="113"/>
      <c r="AG240" s="113"/>
    </row>
    <row r="241" spans="1:33" ht="13.8">
      <c r="A241" s="113"/>
      <c r="B241" s="113"/>
      <c r="C241" s="113"/>
      <c r="D241" s="111"/>
      <c r="E241" s="113"/>
      <c r="F241" s="111"/>
      <c r="G241" s="113"/>
      <c r="H241" s="111"/>
      <c r="I241" s="113"/>
      <c r="J241" s="113"/>
      <c r="K241" s="113"/>
      <c r="L241" s="113"/>
      <c r="M241" s="113"/>
      <c r="N241" s="113"/>
      <c r="O241" s="113"/>
      <c r="P241" s="113"/>
      <c r="Q241" s="113"/>
      <c r="R241" s="113"/>
      <c r="S241" s="113"/>
      <c r="T241" s="113"/>
      <c r="U241" s="113"/>
      <c r="V241" s="113"/>
      <c r="W241" s="113"/>
      <c r="X241" s="113"/>
      <c r="Y241" s="113"/>
      <c r="Z241" s="113"/>
      <c r="AA241" s="113"/>
      <c r="AB241" s="113"/>
      <c r="AC241" s="113"/>
      <c r="AD241" s="113"/>
      <c r="AE241" s="113"/>
      <c r="AF241" s="113"/>
      <c r="AG241" s="113"/>
    </row>
    <row r="242" spans="1:33" ht="13.8">
      <c r="A242" s="113"/>
      <c r="B242" s="113"/>
      <c r="C242" s="113"/>
      <c r="D242" s="111"/>
      <c r="E242" s="113"/>
      <c r="F242" s="111"/>
      <c r="G242" s="113"/>
      <c r="H242" s="111"/>
      <c r="I242" s="113"/>
      <c r="J242" s="113"/>
      <c r="K242" s="113"/>
      <c r="L242" s="113"/>
      <c r="M242" s="113"/>
      <c r="N242" s="113"/>
      <c r="O242" s="113"/>
      <c r="P242" s="113"/>
      <c r="Q242" s="113"/>
      <c r="R242" s="113"/>
      <c r="S242" s="113"/>
      <c r="T242" s="113"/>
      <c r="U242" s="113"/>
      <c r="V242" s="113"/>
      <c r="W242" s="113"/>
      <c r="X242" s="113"/>
      <c r="Y242" s="113"/>
      <c r="Z242" s="113"/>
      <c r="AA242" s="113"/>
      <c r="AB242" s="113"/>
      <c r="AC242" s="113"/>
      <c r="AD242" s="113"/>
      <c r="AE242" s="113"/>
      <c r="AF242" s="113"/>
      <c r="AG242" s="113"/>
    </row>
    <row r="243" spans="1:33" ht="13.8">
      <c r="A243" s="113"/>
      <c r="B243" s="113"/>
      <c r="C243" s="113"/>
      <c r="D243" s="111"/>
      <c r="E243" s="113"/>
      <c r="F243" s="111"/>
      <c r="G243" s="113"/>
      <c r="H243" s="111"/>
      <c r="I243" s="113"/>
      <c r="J243" s="113"/>
      <c r="K243" s="113"/>
      <c r="L243" s="113"/>
      <c r="M243" s="113"/>
      <c r="N243" s="113"/>
      <c r="O243" s="113"/>
      <c r="P243" s="113"/>
      <c r="Q243" s="113"/>
      <c r="R243" s="113"/>
      <c r="S243" s="113"/>
      <c r="T243" s="113"/>
      <c r="U243" s="113"/>
      <c r="V243" s="113"/>
      <c r="W243" s="113"/>
      <c r="X243" s="113"/>
      <c r="Y243" s="113"/>
      <c r="Z243" s="113"/>
      <c r="AA243" s="113"/>
      <c r="AB243" s="113"/>
      <c r="AC243" s="113"/>
      <c r="AD243" s="113"/>
      <c r="AE243" s="113"/>
      <c r="AF243" s="113"/>
      <c r="AG243" s="113"/>
    </row>
    <row r="244" spans="1:33" ht="13.8">
      <c r="A244" s="113"/>
      <c r="B244" s="113"/>
      <c r="C244" s="113"/>
      <c r="D244" s="111"/>
      <c r="E244" s="113"/>
      <c r="F244" s="111"/>
      <c r="G244" s="113"/>
      <c r="H244" s="111"/>
      <c r="I244" s="113"/>
      <c r="J244" s="113"/>
      <c r="K244" s="113"/>
      <c r="L244" s="113"/>
      <c r="M244" s="113"/>
      <c r="N244" s="113"/>
      <c r="O244" s="113"/>
      <c r="P244" s="113"/>
      <c r="Q244" s="113"/>
      <c r="R244" s="113"/>
      <c r="S244" s="113"/>
      <c r="T244" s="113"/>
      <c r="U244" s="113"/>
      <c r="V244" s="113"/>
      <c r="W244" s="113"/>
      <c r="X244" s="113"/>
      <c r="Y244" s="113"/>
      <c r="Z244" s="113"/>
      <c r="AA244" s="113"/>
      <c r="AB244" s="113"/>
      <c r="AC244" s="113"/>
      <c r="AD244" s="113"/>
      <c r="AE244" s="113"/>
      <c r="AF244" s="113"/>
      <c r="AG244" s="113"/>
    </row>
    <row r="245" spans="1:33" ht="13.8">
      <c r="A245" s="113"/>
      <c r="B245" s="113"/>
      <c r="C245" s="113"/>
      <c r="D245" s="111"/>
      <c r="E245" s="113"/>
      <c r="F245" s="111"/>
      <c r="G245" s="113"/>
      <c r="H245" s="111"/>
      <c r="I245" s="113"/>
      <c r="J245" s="113"/>
      <c r="K245" s="113"/>
      <c r="L245" s="113"/>
      <c r="M245" s="113"/>
      <c r="N245" s="113"/>
      <c r="O245" s="113"/>
      <c r="P245" s="113"/>
      <c r="Q245" s="113"/>
      <c r="R245" s="113"/>
      <c r="S245" s="113"/>
      <c r="T245" s="113"/>
      <c r="U245" s="113"/>
      <c r="V245" s="113"/>
      <c r="W245" s="113"/>
      <c r="X245" s="113"/>
      <c r="Y245" s="113"/>
      <c r="Z245" s="113"/>
      <c r="AA245" s="113"/>
      <c r="AB245" s="113"/>
      <c r="AC245" s="113"/>
      <c r="AD245" s="113"/>
      <c r="AE245" s="113"/>
      <c r="AF245" s="113"/>
      <c r="AG245" s="113"/>
    </row>
    <row r="246" spans="1:33" ht="13.8">
      <c r="A246" s="113"/>
      <c r="B246" s="113"/>
      <c r="C246" s="113"/>
      <c r="D246" s="111"/>
      <c r="E246" s="113"/>
      <c r="F246" s="111"/>
      <c r="G246" s="113"/>
      <c r="H246" s="111"/>
      <c r="I246" s="113"/>
      <c r="J246" s="113"/>
      <c r="K246" s="113"/>
      <c r="L246" s="113"/>
      <c r="M246" s="113"/>
      <c r="N246" s="113"/>
      <c r="O246" s="113"/>
      <c r="P246" s="113"/>
      <c r="Q246" s="113"/>
      <c r="R246" s="113"/>
      <c r="S246" s="113"/>
      <c r="T246" s="113"/>
      <c r="U246" s="113"/>
      <c r="V246" s="113"/>
      <c r="W246" s="113"/>
      <c r="X246" s="113"/>
      <c r="Y246" s="113"/>
      <c r="Z246" s="113"/>
      <c r="AA246" s="113"/>
      <c r="AB246" s="113"/>
      <c r="AC246" s="113"/>
      <c r="AD246" s="113"/>
      <c r="AE246" s="113"/>
      <c r="AF246" s="113"/>
      <c r="AG246" s="113"/>
    </row>
    <row r="247" spans="1:33" ht="13.8">
      <c r="A247" s="113"/>
      <c r="B247" s="113"/>
      <c r="C247" s="113"/>
      <c r="D247" s="111"/>
      <c r="E247" s="113"/>
      <c r="F247" s="111"/>
      <c r="G247" s="113"/>
      <c r="H247" s="111"/>
      <c r="I247" s="113"/>
      <c r="J247" s="113"/>
      <c r="K247" s="113"/>
      <c r="L247" s="113"/>
      <c r="M247" s="113"/>
      <c r="N247" s="113"/>
      <c r="O247" s="113"/>
      <c r="P247" s="113"/>
      <c r="Q247" s="113"/>
      <c r="R247" s="113"/>
      <c r="S247" s="113"/>
      <c r="T247" s="113"/>
      <c r="U247" s="113"/>
      <c r="V247" s="113"/>
      <c r="W247" s="113"/>
      <c r="X247" s="113"/>
      <c r="Y247" s="113"/>
      <c r="Z247" s="113"/>
      <c r="AA247" s="113"/>
      <c r="AB247" s="113"/>
      <c r="AC247" s="113"/>
      <c r="AD247" s="113"/>
      <c r="AE247" s="113"/>
      <c r="AF247" s="113"/>
      <c r="AG247" s="113"/>
    </row>
    <row r="248" spans="1:33" ht="13.8">
      <c r="A248" s="113"/>
      <c r="B248" s="113"/>
      <c r="C248" s="113"/>
      <c r="D248" s="111"/>
      <c r="E248" s="113"/>
      <c r="F248" s="111"/>
      <c r="G248" s="113"/>
      <c r="H248" s="111"/>
      <c r="I248" s="113"/>
      <c r="J248" s="113"/>
      <c r="K248" s="113"/>
      <c r="L248" s="113"/>
      <c r="M248" s="113"/>
      <c r="N248" s="113"/>
      <c r="O248" s="113"/>
      <c r="P248" s="113"/>
      <c r="Q248" s="113"/>
      <c r="R248" s="113"/>
      <c r="S248" s="113"/>
      <c r="T248" s="113"/>
      <c r="U248" s="113"/>
      <c r="V248" s="113"/>
      <c r="W248" s="113"/>
      <c r="X248" s="113"/>
      <c r="Y248" s="113"/>
      <c r="Z248" s="113"/>
      <c r="AA248" s="113"/>
      <c r="AB248" s="113"/>
      <c r="AC248" s="113"/>
      <c r="AD248" s="113"/>
      <c r="AE248" s="113"/>
      <c r="AF248" s="113"/>
      <c r="AG248" s="113"/>
    </row>
    <row r="249" spans="1:33" ht="13.8">
      <c r="A249" s="113"/>
      <c r="B249" s="113"/>
      <c r="C249" s="113"/>
      <c r="D249" s="111"/>
      <c r="E249" s="113"/>
      <c r="F249" s="111"/>
      <c r="G249" s="113"/>
      <c r="H249" s="111"/>
      <c r="I249" s="113"/>
      <c r="J249" s="113"/>
      <c r="K249" s="113"/>
      <c r="L249" s="113"/>
      <c r="M249" s="113"/>
      <c r="N249" s="113"/>
      <c r="O249" s="113"/>
      <c r="P249" s="113"/>
      <c r="Q249" s="113"/>
      <c r="R249" s="113"/>
      <c r="S249" s="113"/>
      <c r="T249" s="113"/>
      <c r="U249" s="113"/>
      <c r="V249" s="113"/>
      <c r="W249" s="113"/>
      <c r="X249" s="113"/>
      <c r="Y249" s="113"/>
      <c r="Z249" s="113"/>
      <c r="AA249" s="113"/>
      <c r="AB249" s="113"/>
      <c r="AC249" s="113"/>
      <c r="AD249" s="113"/>
      <c r="AE249" s="113"/>
      <c r="AF249" s="113"/>
      <c r="AG249" s="113"/>
    </row>
    <row r="250" spans="1:33" ht="13.8">
      <c r="A250" s="113"/>
      <c r="B250" s="113"/>
      <c r="C250" s="113"/>
      <c r="D250" s="111"/>
      <c r="E250" s="113"/>
      <c r="F250" s="111"/>
      <c r="G250" s="113"/>
      <c r="H250" s="111"/>
      <c r="I250" s="113"/>
      <c r="J250" s="113"/>
      <c r="K250" s="113"/>
      <c r="L250" s="113"/>
      <c r="M250" s="113"/>
      <c r="N250" s="113"/>
      <c r="O250" s="113"/>
      <c r="P250" s="113"/>
      <c r="Q250" s="113"/>
      <c r="R250" s="113"/>
      <c r="S250" s="113"/>
      <c r="T250" s="113"/>
      <c r="U250" s="113"/>
      <c r="V250" s="113"/>
      <c r="W250" s="113"/>
      <c r="X250" s="113"/>
      <c r="Y250" s="113"/>
      <c r="Z250" s="113"/>
      <c r="AA250" s="113"/>
      <c r="AB250" s="113"/>
      <c r="AC250" s="113"/>
      <c r="AD250" s="113"/>
      <c r="AE250" s="113"/>
      <c r="AF250" s="113"/>
      <c r="AG250" s="113"/>
    </row>
    <row r="251" spans="1:33" ht="13.8">
      <c r="A251" s="113"/>
      <c r="B251" s="113"/>
      <c r="C251" s="113"/>
      <c r="D251" s="111"/>
      <c r="E251" s="113"/>
      <c r="F251" s="111"/>
      <c r="G251" s="113"/>
      <c r="H251" s="111"/>
      <c r="I251" s="113"/>
      <c r="J251" s="113"/>
      <c r="K251" s="113"/>
      <c r="L251" s="113"/>
      <c r="M251" s="113"/>
      <c r="N251" s="113"/>
      <c r="O251" s="113"/>
      <c r="P251" s="113"/>
      <c r="Q251" s="113"/>
      <c r="R251" s="113"/>
      <c r="S251" s="113"/>
      <c r="T251" s="113"/>
      <c r="U251" s="113"/>
      <c r="V251" s="113"/>
      <c r="W251" s="113"/>
      <c r="X251" s="113"/>
      <c r="Y251" s="113"/>
      <c r="Z251" s="113"/>
      <c r="AA251" s="113"/>
      <c r="AB251" s="113"/>
      <c r="AC251" s="113"/>
      <c r="AD251" s="113"/>
      <c r="AE251" s="113"/>
      <c r="AF251" s="113"/>
      <c r="AG251" s="113"/>
    </row>
    <row r="252" spans="1:33" ht="13.8">
      <c r="A252" s="113"/>
      <c r="B252" s="113"/>
      <c r="C252" s="113"/>
      <c r="D252" s="111"/>
      <c r="E252" s="113"/>
      <c r="F252" s="111"/>
      <c r="G252" s="113"/>
      <c r="H252" s="111"/>
      <c r="I252" s="113"/>
      <c r="J252" s="113"/>
      <c r="K252" s="113"/>
      <c r="L252" s="113"/>
      <c r="M252" s="113"/>
      <c r="N252" s="113"/>
      <c r="O252" s="113"/>
      <c r="P252" s="113"/>
      <c r="Q252" s="113"/>
      <c r="R252" s="113"/>
      <c r="S252" s="113"/>
      <c r="T252" s="113"/>
      <c r="U252" s="113"/>
      <c r="V252" s="113"/>
      <c r="W252" s="113"/>
      <c r="X252" s="113"/>
      <c r="Y252" s="113"/>
      <c r="Z252" s="113"/>
      <c r="AA252" s="113"/>
      <c r="AB252" s="113"/>
      <c r="AC252" s="113"/>
      <c r="AD252" s="113"/>
      <c r="AE252" s="113"/>
      <c r="AF252" s="113"/>
      <c r="AG252" s="113"/>
    </row>
    <row r="253" spans="1:33" ht="13.8">
      <c r="A253" s="113"/>
      <c r="B253" s="113"/>
      <c r="C253" s="113"/>
      <c r="D253" s="111"/>
      <c r="E253" s="113"/>
      <c r="F253" s="111"/>
      <c r="G253" s="113"/>
      <c r="H253" s="111"/>
      <c r="I253" s="113"/>
      <c r="J253" s="113"/>
      <c r="K253" s="113"/>
      <c r="L253" s="113"/>
      <c r="M253" s="113"/>
      <c r="N253" s="113"/>
      <c r="O253" s="113"/>
      <c r="P253" s="113"/>
      <c r="Q253" s="113"/>
      <c r="R253" s="113"/>
      <c r="S253" s="113"/>
      <c r="T253" s="113"/>
      <c r="U253" s="113"/>
      <c r="V253" s="113"/>
      <c r="W253" s="113"/>
      <c r="X253" s="113"/>
      <c r="Y253" s="113"/>
      <c r="Z253" s="113"/>
      <c r="AA253" s="113"/>
      <c r="AB253" s="113"/>
      <c r="AC253" s="113"/>
      <c r="AD253" s="113"/>
      <c r="AE253" s="113"/>
      <c r="AF253" s="113"/>
      <c r="AG253" s="113"/>
    </row>
    <row r="254" spans="1:33" ht="13.8">
      <c r="A254" s="113"/>
      <c r="B254" s="113"/>
      <c r="C254" s="113"/>
      <c r="D254" s="111"/>
      <c r="E254" s="113"/>
      <c r="F254" s="111"/>
      <c r="G254" s="113"/>
      <c r="H254" s="111"/>
      <c r="I254" s="113"/>
      <c r="J254" s="113"/>
      <c r="K254" s="113"/>
      <c r="L254" s="113"/>
      <c r="M254" s="113"/>
      <c r="N254" s="113"/>
      <c r="O254" s="113"/>
      <c r="P254" s="113"/>
      <c r="Q254" s="113"/>
      <c r="R254" s="113"/>
      <c r="S254" s="113"/>
      <c r="T254" s="113"/>
      <c r="U254" s="113"/>
      <c r="V254" s="113"/>
      <c r="W254" s="113"/>
      <c r="X254" s="113"/>
      <c r="Y254" s="113"/>
      <c r="Z254" s="113"/>
      <c r="AA254" s="113"/>
      <c r="AB254" s="113"/>
      <c r="AC254" s="113"/>
      <c r="AD254" s="113"/>
      <c r="AE254" s="113"/>
      <c r="AF254" s="113"/>
      <c r="AG254" s="113"/>
    </row>
    <row r="255" spans="1:33" ht="13.8">
      <c r="A255" s="113"/>
      <c r="B255" s="113"/>
      <c r="C255" s="113"/>
      <c r="D255" s="111"/>
      <c r="E255" s="113"/>
      <c r="F255" s="111"/>
      <c r="G255" s="113"/>
      <c r="H255" s="111"/>
      <c r="I255" s="113"/>
      <c r="J255" s="113"/>
      <c r="K255" s="113"/>
      <c r="L255" s="113"/>
      <c r="M255" s="113"/>
      <c r="N255" s="113"/>
      <c r="O255" s="113"/>
      <c r="P255" s="113"/>
      <c r="Q255" s="113"/>
      <c r="R255" s="113"/>
      <c r="S255" s="113"/>
      <c r="T255" s="113"/>
      <c r="U255" s="113"/>
      <c r="V255" s="113"/>
      <c r="W255" s="113"/>
      <c r="X255" s="113"/>
      <c r="Y255" s="113"/>
      <c r="Z255" s="113"/>
      <c r="AA255" s="113"/>
      <c r="AB255" s="113"/>
      <c r="AC255" s="113"/>
      <c r="AD255" s="113"/>
      <c r="AE255" s="113"/>
      <c r="AF255" s="113"/>
      <c r="AG255" s="113"/>
    </row>
    <row r="256" spans="1:33" ht="13.8">
      <c r="A256" s="113"/>
      <c r="B256" s="113"/>
      <c r="C256" s="113"/>
      <c r="D256" s="111"/>
      <c r="E256" s="113"/>
      <c r="F256" s="111"/>
      <c r="G256" s="113"/>
      <c r="H256" s="111"/>
      <c r="I256" s="113"/>
      <c r="J256" s="113"/>
      <c r="K256" s="113"/>
      <c r="L256" s="113"/>
      <c r="M256" s="113"/>
      <c r="N256" s="113"/>
      <c r="O256" s="113"/>
      <c r="P256" s="113"/>
      <c r="Q256" s="113"/>
      <c r="R256" s="113"/>
      <c r="S256" s="113"/>
      <c r="T256" s="113"/>
      <c r="U256" s="113"/>
      <c r="V256" s="113"/>
      <c r="W256" s="113"/>
      <c r="X256" s="113"/>
      <c r="Y256" s="113"/>
      <c r="Z256" s="113"/>
      <c r="AA256" s="113"/>
      <c r="AB256" s="113"/>
      <c r="AC256" s="113"/>
      <c r="AD256" s="113"/>
      <c r="AE256" s="113"/>
      <c r="AF256" s="113"/>
      <c r="AG256" s="113"/>
    </row>
    <row r="257" spans="1:33" ht="13.8">
      <c r="A257" s="113"/>
      <c r="B257" s="113"/>
      <c r="C257" s="113"/>
      <c r="D257" s="111"/>
      <c r="E257" s="113"/>
      <c r="F257" s="111"/>
      <c r="G257" s="113"/>
      <c r="H257" s="111"/>
      <c r="I257" s="113"/>
      <c r="J257" s="113"/>
      <c r="K257" s="113"/>
      <c r="L257" s="113"/>
      <c r="M257" s="113"/>
      <c r="N257" s="113"/>
      <c r="O257" s="113"/>
      <c r="P257" s="113"/>
      <c r="Q257" s="113"/>
      <c r="R257" s="113"/>
      <c r="S257" s="113"/>
      <c r="T257" s="113"/>
      <c r="U257" s="113"/>
      <c r="V257" s="113"/>
      <c r="W257" s="113"/>
      <c r="X257" s="113"/>
      <c r="Y257" s="113"/>
      <c r="Z257" s="113"/>
      <c r="AA257" s="113"/>
      <c r="AB257" s="113"/>
      <c r="AC257" s="113"/>
      <c r="AD257" s="113"/>
      <c r="AE257" s="113"/>
      <c r="AF257" s="113"/>
      <c r="AG257" s="113"/>
    </row>
    <row r="258" spans="1:33" ht="13.8">
      <c r="A258" s="113"/>
      <c r="B258" s="113"/>
      <c r="C258" s="113"/>
      <c r="D258" s="111"/>
      <c r="E258" s="113"/>
      <c r="F258" s="111"/>
      <c r="G258" s="113"/>
      <c r="H258" s="111"/>
      <c r="I258" s="113"/>
      <c r="J258" s="113"/>
      <c r="K258" s="113"/>
      <c r="L258" s="113"/>
      <c r="M258" s="113"/>
      <c r="N258" s="113"/>
      <c r="O258" s="113"/>
      <c r="P258" s="113"/>
      <c r="Q258" s="113"/>
      <c r="R258" s="113"/>
      <c r="S258" s="113"/>
      <c r="T258" s="113"/>
      <c r="U258" s="113"/>
      <c r="V258" s="113"/>
      <c r="W258" s="113"/>
      <c r="X258" s="113"/>
      <c r="Y258" s="113"/>
      <c r="Z258" s="113"/>
      <c r="AA258" s="113"/>
      <c r="AB258" s="113"/>
      <c r="AC258" s="113"/>
      <c r="AD258" s="113"/>
      <c r="AE258" s="113"/>
      <c r="AF258" s="113"/>
      <c r="AG258" s="113"/>
    </row>
    <row r="259" spans="1:33" ht="13.8">
      <c r="A259" s="113"/>
      <c r="B259" s="113"/>
      <c r="C259" s="113"/>
      <c r="D259" s="111"/>
      <c r="E259" s="113"/>
      <c r="F259" s="111"/>
      <c r="G259" s="113"/>
      <c r="H259" s="111"/>
      <c r="I259" s="113"/>
      <c r="J259" s="113"/>
      <c r="K259" s="113"/>
      <c r="L259" s="113"/>
      <c r="M259" s="113"/>
      <c r="N259" s="113"/>
      <c r="O259" s="113"/>
      <c r="P259" s="113"/>
      <c r="Q259" s="113"/>
      <c r="R259" s="113"/>
      <c r="S259" s="113"/>
      <c r="T259" s="113"/>
      <c r="U259" s="113"/>
      <c r="V259" s="113"/>
      <c r="W259" s="113"/>
      <c r="X259" s="113"/>
      <c r="Y259" s="113"/>
      <c r="Z259" s="113"/>
      <c r="AA259" s="113"/>
      <c r="AB259" s="113"/>
      <c r="AC259" s="113"/>
      <c r="AD259" s="113"/>
      <c r="AE259" s="113"/>
      <c r="AF259" s="113"/>
      <c r="AG259" s="113"/>
    </row>
    <row r="260" spans="1:33" ht="13.8">
      <c r="A260" s="113"/>
      <c r="B260" s="113"/>
      <c r="C260" s="113"/>
      <c r="D260" s="111"/>
      <c r="E260" s="113"/>
      <c r="F260" s="111"/>
      <c r="G260" s="113"/>
      <c r="H260" s="111"/>
      <c r="I260" s="113"/>
      <c r="J260" s="113"/>
      <c r="K260" s="113"/>
      <c r="L260" s="113"/>
      <c r="M260" s="113"/>
      <c r="N260" s="113"/>
      <c r="O260" s="113"/>
      <c r="P260" s="113"/>
      <c r="Q260" s="113"/>
      <c r="R260" s="113"/>
      <c r="S260" s="113"/>
      <c r="T260" s="113"/>
      <c r="U260" s="113"/>
      <c r="V260" s="113"/>
      <c r="W260" s="113"/>
      <c r="X260" s="113"/>
      <c r="Y260" s="113"/>
      <c r="Z260" s="113"/>
      <c r="AA260" s="113"/>
      <c r="AB260" s="113"/>
      <c r="AC260" s="113"/>
      <c r="AD260" s="113"/>
      <c r="AE260" s="113"/>
      <c r="AF260" s="113"/>
      <c r="AG260" s="113"/>
    </row>
    <row r="261" spans="1:33" ht="13.8">
      <c r="A261" s="113"/>
      <c r="B261" s="113"/>
      <c r="C261" s="113"/>
      <c r="D261" s="111"/>
      <c r="E261" s="113"/>
      <c r="F261" s="111"/>
      <c r="G261" s="113"/>
      <c r="H261" s="111"/>
      <c r="I261" s="113"/>
      <c r="J261" s="113"/>
      <c r="K261" s="113"/>
      <c r="L261" s="113"/>
      <c r="M261" s="113"/>
      <c r="N261" s="113"/>
      <c r="O261" s="113"/>
      <c r="P261" s="113"/>
      <c r="Q261" s="113"/>
      <c r="R261" s="113"/>
      <c r="S261" s="113"/>
      <c r="T261" s="113"/>
      <c r="U261" s="113"/>
      <c r="V261" s="113"/>
      <c r="W261" s="113"/>
      <c r="X261" s="113"/>
      <c r="Y261" s="113"/>
      <c r="Z261" s="113"/>
      <c r="AA261" s="113"/>
      <c r="AB261" s="113"/>
      <c r="AC261" s="113"/>
      <c r="AD261" s="113"/>
      <c r="AE261" s="113"/>
      <c r="AF261" s="113"/>
      <c r="AG261" s="113"/>
    </row>
    <row r="262" spans="1:33" ht="13.8">
      <c r="A262" s="113"/>
      <c r="B262" s="113"/>
      <c r="C262" s="113"/>
      <c r="D262" s="111"/>
      <c r="E262" s="113"/>
      <c r="F262" s="111"/>
      <c r="G262" s="113"/>
      <c r="H262" s="111"/>
      <c r="I262" s="113"/>
      <c r="J262" s="113"/>
      <c r="K262" s="113"/>
      <c r="L262" s="113"/>
      <c r="M262" s="113"/>
      <c r="N262" s="113"/>
      <c r="O262" s="113"/>
      <c r="P262" s="113"/>
      <c r="Q262" s="113"/>
      <c r="R262" s="113"/>
      <c r="S262" s="113"/>
      <c r="T262" s="113"/>
      <c r="U262" s="113"/>
      <c r="V262" s="113"/>
      <c r="W262" s="113"/>
      <c r="X262" s="113"/>
      <c r="Y262" s="113"/>
      <c r="Z262" s="113"/>
      <c r="AA262" s="113"/>
      <c r="AB262" s="113"/>
      <c r="AC262" s="113"/>
      <c r="AD262" s="113"/>
      <c r="AE262" s="113"/>
      <c r="AF262" s="113"/>
      <c r="AG262" s="113"/>
    </row>
    <row r="263" spans="1:33" ht="13.8">
      <c r="A263" s="113"/>
      <c r="B263" s="113"/>
      <c r="C263" s="113"/>
      <c r="D263" s="111"/>
      <c r="E263" s="113"/>
      <c r="F263" s="111"/>
      <c r="G263" s="113"/>
      <c r="H263" s="111"/>
      <c r="I263" s="113"/>
      <c r="J263" s="113"/>
      <c r="K263" s="113"/>
      <c r="L263" s="113"/>
      <c r="M263" s="113"/>
      <c r="N263" s="113"/>
      <c r="O263" s="113"/>
      <c r="P263" s="113"/>
      <c r="Q263" s="113"/>
      <c r="R263" s="113"/>
      <c r="S263" s="113"/>
      <c r="T263" s="113"/>
      <c r="U263" s="113"/>
      <c r="V263" s="113"/>
      <c r="W263" s="113"/>
      <c r="X263" s="113"/>
      <c r="Y263" s="113"/>
      <c r="Z263" s="113"/>
      <c r="AA263" s="113"/>
      <c r="AB263" s="113"/>
      <c r="AC263" s="113"/>
      <c r="AD263" s="113"/>
      <c r="AE263" s="113"/>
      <c r="AF263" s="113"/>
      <c r="AG263" s="113"/>
    </row>
    <row r="264" spans="1:33" ht="13.8">
      <c r="A264" s="113"/>
      <c r="B264" s="113"/>
      <c r="C264" s="113"/>
      <c r="D264" s="111"/>
      <c r="E264" s="113"/>
      <c r="F264" s="111"/>
      <c r="G264" s="113"/>
      <c r="H264" s="111"/>
      <c r="I264" s="113"/>
      <c r="J264" s="113"/>
      <c r="K264" s="113"/>
      <c r="L264" s="113"/>
      <c r="M264" s="113"/>
      <c r="N264" s="113"/>
      <c r="O264" s="113"/>
      <c r="P264" s="113"/>
      <c r="Q264" s="113"/>
      <c r="R264" s="113"/>
      <c r="S264" s="113"/>
      <c r="T264" s="113"/>
      <c r="U264" s="113"/>
      <c r="V264" s="113"/>
      <c r="W264" s="113"/>
      <c r="X264" s="113"/>
      <c r="Y264" s="113"/>
      <c r="Z264" s="113"/>
      <c r="AA264" s="113"/>
      <c r="AB264" s="113"/>
      <c r="AC264" s="113"/>
      <c r="AD264" s="113"/>
      <c r="AE264" s="113"/>
      <c r="AF264" s="113"/>
      <c r="AG264" s="113"/>
    </row>
    <row r="265" spans="1:33" ht="13.8">
      <c r="A265" s="113"/>
      <c r="B265" s="113"/>
      <c r="C265" s="113"/>
      <c r="D265" s="111"/>
      <c r="E265" s="113"/>
      <c r="F265" s="111"/>
      <c r="G265" s="113"/>
      <c r="H265" s="111"/>
      <c r="I265" s="113"/>
      <c r="J265" s="113"/>
      <c r="K265" s="113"/>
      <c r="L265" s="113"/>
      <c r="M265" s="113"/>
      <c r="N265" s="113"/>
      <c r="O265" s="113"/>
      <c r="P265" s="113"/>
      <c r="Q265" s="113"/>
      <c r="R265" s="113"/>
      <c r="S265" s="113"/>
      <c r="T265" s="113"/>
      <c r="U265" s="113"/>
      <c r="V265" s="113"/>
      <c r="W265" s="113"/>
      <c r="X265" s="113"/>
      <c r="Y265" s="113"/>
      <c r="Z265" s="113"/>
      <c r="AA265" s="113"/>
      <c r="AB265" s="113"/>
      <c r="AC265" s="113"/>
      <c r="AD265" s="113"/>
      <c r="AE265" s="113"/>
      <c r="AF265" s="113"/>
      <c r="AG265" s="113"/>
    </row>
    <row r="266" spans="1:33" ht="13.8">
      <c r="A266" s="113"/>
      <c r="B266" s="113"/>
      <c r="C266" s="113"/>
      <c r="D266" s="111"/>
      <c r="E266" s="113"/>
      <c r="F266" s="111"/>
      <c r="G266" s="113"/>
      <c r="H266" s="111"/>
      <c r="I266" s="113"/>
      <c r="J266" s="113"/>
      <c r="K266" s="113"/>
      <c r="L266" s="113"/>
      <c r="M266" s="113"/>
      <c r="N266" s="113"/>
      <c r="O266" s="113"/>
      <c r="P266" s="113"/>
      <c r="Q266" s="113"/>
      <c r="R266" s="113"/>
      <c r="S266" s="113"/>
      <c r="T266" s="113"/>
      <c r="U266" s="113"/>
      <c r="V266" s="113"/>
      <c r="W266" s="113"/>
      <c r="X266" s="113"/>
      <c r="Y266" s="113"/>
      <c r="Z266" s="113"/>
      <c r="AA266" s="113"/>
      <c r="AB266" s="113"/>
      <c r="AC266" s="113"/>
      <c r="AD266" s="113"/>
      <c r="AE266" s="113"/>
      <c r="AF266" s="113"/>
      <c r="AG266" s="113"/>
    </row>
    <row r="267" spans="1:33" ht="13.8">
      <c r="A267" s="113"/>
      <c r="B267" s="113"/>
      <c r="C267" s="113"/>
      <c r="D267" s="111"/>
      <c r="E267" s="113"/>
      <c r="F267" s="111"/>
      <c r="G267" s="113"/>
      <c r="H267" s="111"/>
      <c r="I267" s="113"/>
      <c r="J267" s="113"/>
      <c r="K267" s="113"/>
      <c r="L267" s="113"/>
      <c r="M267" s="113"/>
      <c r="N267" s="113"/>
      <c r="O267" s="113"/>
      <c r="P267" s="113"/>
      <c r="Q267" s="113"/>
      <c r="R267" s="113"/>
      <c r="S267" s="113"/>
      <c r="T267" s="113"/>
      <c r="U267" s="113"/>
      <c r="V267" s="113"/>
      <c r="W267" s="113"/>
      <c r="X267" s="113"/>
      <c r="Y267" s="113"/>
      <c r="Z267" s="113"/>
      <c r="AA267" s="113"/>
      <c r="AB267" s="113"/>
      <c r="AC267" s="113"/>
      <c r="AD267" s="113"/>
      <c r="AE267" s="113"/>
      <c r="AF267" s="113"/>
      <c r="AG267" s="113"/>
    </row>
    <row r="268" spans="1:33" ht="13.8">
      <c r="A268" s="113"/>
      <c r="B268" s="113"/>
      <c r="C268" s="113"/>
      <c r="D268" s="111"/>
      <c r="E268" s="113"/>
      <c r="F268" s="111"/>
      <c r="G268" s="113"/>
      <c r="H268" s="111"/>
      <c r="I268" s="113"/>
      <c r="J268" s="113"/>
      <c r="K268" s="113"/>
      <c r="L268" s="113"/>
      <c r="M268" s="113"/>
      <c r="N268" s="113"/>
      <c r="O268" s="113"/>
      <c r="P268" s="113"/>
      <c r="Q268" s="113"/>
      <c r="R268" s="113"/>
      <c r="S268" s="113"/>
      <c r="T268" s="113"/>
      <c r="U268" s="113"/>
      <c r="V268" s="113"/>
      <c r="W268" s="113"/>
      <c r="X268" s="113"/>
      <c r="Y268" s="113"/>
      <c r="Z268" s="113"/>
      <c r="AA268" s="113"/>
      <c r="AB268" s="113"/>
      <c r="AC268" s="113"/>
      <c r="AD268" s="113"/>
      <c r="AE268" s="113"/>
      <c r="AF268" s="113"/>
      <c r="AG268" s="113"/>
    </row>
    <row r="269" spans="1:33" ht="13.8">
      <c r="A269" s="113"/>
      <c r="B269" s="113"/>
      <c r="C269" s="113"/>
      <c r="D269" s="111"/>
      <c r="E269" s="113"/>
      <c r="F269" s="111"/>
      <c r="G269" s="113"/>
      <c r="H269" s="111"/>
      <c r="I269" s="113"/>
      <c r="J269" s="113"/>
      <c r="K269" s="113"/>
      <c r="L269" s="113"/>
      <c r="M269" s="113"/>
      <c r="N269" s="113"/>
      <c r="O269" s="113"/>
      <c r="P269" s="113"/>
      <c r="Q269" s="113"/>
      <c r="R269" s="113"/>
      <c r="S269" s="113"/>
      <c r="T269" s="113"/>
      <c r="U269" s="113"/>
      <c r="V269" s="113"/>
      <c r="W269" s="113"/>
      <c r="X269" s="113"/>
      <c r="Y269" s="113"/>
      <c r="Z269" s="113"/>
      <c r="AA269" s="113"/>
      <c r="AB269" s="113"/>
      <c r="AC269" s="113"/>
      <c r="AD269" s="113"/>
      <c r="AE269" s="113"/>
      <c r="AF269" s="113"/>
      <c r="AG269" s="113"/>
    </row>
    <row r="270" spans="1:33" ht="13.8">
      <c r="A270" s="113"/>
      <c r="B270" s="113"/>
      <c r="C270" s="113"/>
      <c r="D270" s="111"/>
      <c r="E270" s="113"/>
      <c r="F270" s="111"/>
      <c r="G270" s="113"/>
      <c r="H270" s="111"/>
      <c r="I270" s="113"/>
      <c r="J270" s="113"/>
      <c r="K270" s="113"/>
      <c r="L270" s="113"/>
      <c r="M270" s="113"/>
      <c r="N270" s="113"/>
      <c r="O270" s="113"/>
      <c r="P270" s="113"/>
      <c r="Q270" s="113"/>
      <c r="R270" s="113"/>
      <c r="S270" s="113"/>
      <c r="T270" s="113"/>
      <c r="U270" s="113"/>
      <c r="V270" s="113"/>
      <c r="W270" s="113"/>
      <c r="X270" s="113"/>
      <c r="Y270" s="113"/>
      <c r="Z270" s="113"/>
      <c r="AA270" s="113"/>
      <c r="AB270" s="113"/>
      <c r="AC270" s="113"/>
      <c r="AD270" s="113"/>
      <c r="AE270" s="113"/>
      <c r="AF270" s="113"/>
      <c r="AG270" s="113"/>
    </row>
    <row r="271" spans="1:33" ht="13.8">
      <c r="A271" s="113"/>
      <c r="B271" s="113"/>
      <c r="C271" s="113"/>
      <c r="D271" s="111"/>
      <c r="E271" s="113"/>
      <c r="F271" s="111"/>
      <c r="G271" s="113"/>
      <c r="H271" s="111"/>
      <c r="I271" s="113"/>
      <c r="J271" s="113"/>
      <c r="K271" s="113"/>
      <c r="L271" s="113"/>
      <c r="M271" s="113"/>
      <c r="N271" s="113"/>
      <c r="O271" s="113"/>
      <c r="P271" s="113"/>
      <c r="Q271" s="113"/>
      <c r="R271" s="113"/>
      <c r="S271" s="113"/>
      <c r="T271" s="113"/>
      <c r="U271" s="113"/>
      <c r="V271" s="113"/>
      <c r="W271" s="113"/>
      <c r="X271" s="113"/>
      <c r="Y271" s="113"/>
      <c r="Z271" s="113"/>
      <c r="AA271" s="113"/>
      <c r="AB271" s="113"/>
      <c r="AC271" s="113"/>
      <c r="AD271" s="113"/>
      <c r="AE271" s="113"/>
      <c r="AF271" s="113"/>
      <c r="AG271" s="113"/>
    </row>
    <row r="272" spans="1:33" ht="13.8">
      <c r="A272" s="113"/>
      <c r="B272" s="113"/>
      <c r="C272" s="113"/>
      <c r="D272" s="111"/>
      <c r="E272" s="113"/>
      <c r="F272" s="111"/>
      <c r="G272" s="113"/>
      <c r="H272" s="111"/>
      <c r="I272" s="113"/>
      <c r="J272" s="113"/>
      <c r="K272" s="113"/>
      <c r="L272" s="113"/>
      <c r="M272" s="113"/>
      <c r="N272" s="113"/>
      <c r="O272" s="113"/>
      <c r="P272" s="113"/>
      <c r="Q272" s="113"/>
      <c r="R272" s="113"/>
      <c r="S272" s="113"/>
      <c r="T272" s="113"/>
      <c r="U272" s="113"/>
      <c r="V272" s="113"/>
      <c r="W272" s="113"/>
      <c r="X272" s="113"/>
      <c r="Y272" s="113"/>
      <c r="Z272" s="113"/>
      <c r="AA272" s="113"/>
      <c r="AB272" s="113"/>
      <c r="AC272" s="113"/>
      <c r="AD272" s="113"/>
      <c r="AE272" s="113"/>
      <c r="AF272" s="113"/>
      <c r="AG272" s="113"/>
    </row>
    <row r="273" spans="1:33" ht="13.8">
      <c r="A273" s="113"/>
      <c r="B273" s="113"/>
      <c r="C273" s="113"/>
      <c r="D273" s="111"/>
      <c r="E273" s="113"/>
      <c r="F273" s="111"/>
      <c r="G273" s="113"/>
      <c r="H273" s="111"/>
      <c r="I273" s="113"/>
      <c r="J273" s="113"/>
      <c r="K273" s="113"/>
      <c r="L273" s="113"/>
      <c r="M273" s="113"/>
      <c r="N273" s="113"/>
      <c r="O273" s="113"/>
      <c r="P273" s="113"/>
      <c r="Q273" s="113"/>
      <c r="R273" s="113"/>
      <c r="S273" s="113"/>
      <c r="T273" s="113"/>
      <c r="U273" s="113"/>
      <c r="V273" s="113"/>
      <c r="W273" s="113"/>
      <c r="X273" s="113"/>
      <c r="Y273" s="113"/>
      <c r="Z273" s="113"/>
      <c r="AA273" s="113"/>
      <c r="AB273" s="113"/>
      <c r="AC273" s="113"/>
      <c r="AD273" s="113"/>
      <c r="AE273" s="113"/>
      <c r="AF273" s="113"/>
      <c r="AG273" s="113"/>
    </row>
    <row r="274" spans="1:33" ht="13.8">
      <c r="A274" s="113"/>
      <c r="B274" s="113"/>
      <c r="C274" s="113"/>
      <c r="D274" s="111"/>
      <c r="E274" s="113"/>
      <c r="F274" s="111"/>
      <c r="G274" s="113"/>
      <c r="H274" s="111"/>
      <c r="I274" s="113"/>
      <c r="J274" s="113"/>
      <c r="K274" s="113"/>
      <c r="L274" s="113"/>
      <c r="M274" s="113"/>
      <c r="N274" s="113"/>
      <c r="O274" s="113"/>
      <c r="P274" s="113"/>
      <c r="Q274" s="113"/>
      <c r="R274" s="113"/>
      <c r="S274" s="113"/>
      <c r="T274" s="113"/>
      <c r="U274" s="113"/>
      <c r="V274" s="113"/>
      <c r="W274" s="113"/>
      <c r="X274" s="113"/>
      <c r="Y274" s="113"/>
      <c r="Z274" s="113"/>
      <c r="AA274" s="113"/>
      <c r="AB274" s="113"/>
      <c r="AC274" s="113"/>
      <c r="AD274" s="113"/>
      <c r="AE274" s="113"/>
      <c r="AF274" s="113"/>
      <c r="AG274" s="113"/>
    </row>
    <row r="275" spans="1:33" ht="13.8">
      <c r="A275" s="113"/>
      <c r="B275" s="113"/>
      <c r="C275" s="113"/>
      <c r="D275" s="111"/>
      <c r="E275" s="113"/>
      <c r="F275" s="111"/>
      <c r="G275" s="113"/>
      <c r="H275" s="111"/>
      <c r="I275" s="113"/>
      <c r="J275" s="113"/>
      <c r="K275" s="113"/>
      <c r="L275" s="113"/>
      <c r="M275" s="113"/>
      <c r="N275" s="113"/>
      <c r="O275" s="113"/>
      <c r="P275" s="113"/>
      <c r="Q275" s="113"/>
      <c r="R275" s="113"/>
      <c r="S275" s="113"/>
      <c r="T275" s="113"/>
      <c r="U275" s="113"/>
      <c r="V275" s="113"/>
      <c r="W275" s="113"/>
      <c r="X275" s="113"/>
      <c r="Y275" s="113"/>
      <c r="Z275" s="113"/>
      <c r="AA275" s="113"/>
      <c r="AB275" s="113"/>
      <c r="AC275" s="113"/>
      <c r="AD275" s="113"/>
      <c r="AE275" s="113"/>
      <c r="AF275" s="113"/>
      <c r="AG275" s="113"/>
    </row>
    <row r="276" spans="1:33" ht="13.8">
      <c r="A276" s="113"/>
      <c r="B276" s="113"/>
      <c r="C276" s="113"/>
      <c r="D276" s="111"/>
      <c r="E276" s="113"/>
      <c r="F276" s="111"/>
      <c r="G276" s="113"/>
      <c r="H276" s="111"/>
      <c r="I276" s="113"/>
      <c r="J276" s="113"/>
      <c r="K276" s="113"/>
      <c r="L276" s="113"/>
      <c r="M276" s="113"/>
      <c r="N276" s="113"/>
      <c r="O276" s="113"/>
      <c r="P276" s="113"/>
      <c r="Q276" s="113"/>
      <c r="R276" s="113"/>
      <c r="S276" s="113"/>
      <c r="T276" s="113"/>
      <c r="U276" s="113"/>
      <c r="V276" s="113"/>
      <c r="W276" s="113"/>
      <c r="X276" s="113"/>
      <c r="Y276" s="113"/>
      <c r="Z276" s="113"/>
      <c r="AA276" s="113"/>
      <c r="AB276" s="113"/>
      <c r="AC276" s="113"/>
      <c r="AD276" s="113"/>
      <c r="AE276" s="113"/>
      <c r="AF276" s="113"/>
      <c r="AG276" s="113"/>
    </row>
    <row r="277" spans="1:33" ht="13.8">
      <c r="A277" s="113"/>
      <c r="B277" s="113"/>
      <c r="C277" s="113"/>
      <c r="D277" s="111"/>
      <c r="E277" s="113"/>
      <c r="F277" s="111"/>
      <c r="G277" s="113"/>
      <c r="H277" s="111"/>
      <c r="I277" s="113"/>
      <c r="J277" s="113"/>
      <c r="K277" s="113"/>
      <c r="L277" s="113"/>
      <c r="M277" s="113"/>
      <c r="N277" s="113"/>
      <c r="O277" s="113"/>
      <c r="P277" s="113"/>
      <c r="Q277" s="113"/>
      <c r="R277" s="113"/>
      <c r="S277" s="113"/>
      <c r="T277" s="113"/>
      <c r="U277" s="113"/>
      <c r="V277" s="113"/>
      <c r="W277" s="113"/>
      <c r="X277" s="113"/>
      <c r="Y277" s="113"/>
      <c r="Z277" s="113"/>
      <c r="AA277" s="113"/>
      <c r="AB277" s="113"/>
      <c r="AC277" s="113"/>
      <c r="AD277" s="113"/>
      <c r="AE277" s="113"/>
      <c r="AF277" s="113"/>
      <c r="AG277" s="113"/>
    </row>
    <row r="278" spans="1:33" ht="13.8">
      <c r="A278" s="113"/>
      <c r="B278" s="113"/>
      <c r="C278" s="113"/>
      <c r="D278" s="111"/>
      <c r="E278" s="113"/>
      <c r="F278" s="111"/>
      <c r="G278" s="113"/>
      <c r="H278" s="111"/>
      <c r="I278" s="113"/>
      <c r="J278" s="113"/>
      <c r="K278" s="113"/>
      <c r="L278" s="113"/>
      <c r="M278" s="113"/>
      <c r="N278" s="113"/>
      <c r="O278" s="113"/>
      <c r="P278" s="113"/>
      <c r="Q278" s="113"/>
      <c r="R278" s="113"/>
      <c r="S278" s="113"/>
      <c r="T278" s="113"/>
      <c r="U278" s="113"/>
      <c r="V278" s="113"/>
      <c r="W278" s="113"/>
      <c r="X278" s="113"/>
      <c r="Y278" s="113"/>
      <c r="Z278" s="113"/>
      <c r="AA278" s="113"/>
      <c r="AB278" s="113"/>
      <c r="AC278" s="113"/>
      <c r="AD278" s="113"/>
      <c r="AE278" s="113"/>
      <c r="AF278" s="113"/>
      <c r="AG278" s="113"/>
    </row>
    <row r="279" spans="1:33" ht="13.8">
      <c r="A279" s="113"/>
      <c r="B279" s="113"/>
      <c r="C279" s="113"/>
      <c r="D279" s="111"/>
      <c r="E279" s="113"/>
      <c r="F279" s="111"/>
      <c r="G279" s="113"/>
      <c r="H279" s="111"/>
      <c r="I279" s="113"/>
      <c r="J279" s="113"/>
      <c r="K279" s="113"/>
      <c r="L279" s="113"/>
      <c r="M279" s="113"/>
      <c r="N279" s="113"/>
      <c r="O279" s="113"/>
      <c r="P279" s="113"/>
      <c r="Q279" s="113"/>
      <c r="R279" s="113"/>
      <c r="S279" s="113"/>
      <c r="T279" s="113"/>
      <c r="U279" s="113"/>
      <c r="V279" s="113"/>
      <c r="W279" s="113"/>
      <c r="X279" s="113"/>
      <c r="Y279" s="113"/>
      <c r="Z279" s="113"/>
      <c r="AA279" s="113"/>
      <c r="AB279" s="113"/>
      <c r="AC279" s="113"/>
      <c r="AD279" s="113"/>
      <c r="AE279" s="113"/>
      <c r="AF279" s="113"/>
      <c r="AG279" s="113"/>
    </row>
    <row r="280" spans="1:33" ht="13.8">
      <c r="A280" s="113"/>
      <c r="B280" s="113"/>
      <c r="C280" s="113"/>
      <c r="D280" s="111"/>
      <c r="E280" s="113"/>
      <c r="F280" s="111"/>
      <c r="G280" s="113"/>
      <c r="H280" s="111"/>
      <c r="I280" s="113"/>
      <c r="J280" s="113"/>
      <c r="K280" s="113"/>
      <c r="L280" s="113"/>
      <c r="M280" s="113"/>
      <c r="N280" s="113"/>
      <c r="O280" s="113"/>
      <c r="P280" s="113"/>
      <c r="Q280" s="113"/>
      <c r="R280" s="113"/>
      <c r="S280" s="113"/>
      <c r="T280" s="113"/>
      <c r="U280" s="113"/>
      <c r="V280" s="113"/>
      <c r="W280" s="113"/>
      <c r="X280" s="113"/>
      <c r="Y280" s="113"/>
      <c r="Z280" s="113"/>
      <c r="AA280" s="113"/>
      <c r="AB280" s="113"/>
      <c r="AC280" s="113"/>
      <c r="AD280" s="113"/>
      <c r="AE280" s="113"/>
      <c r="AF280" s="113"/>
      <c r="AG280" s="113"/>
    </row>
    <row r="281" spans="1:33" ht="13.8">
      <c r="A281" s="113"/>
      <c r="B281" s="113"/>
      <c r="C281" s="113"/>
      <c r="D281" s="111"/>
      <c r="E281" s="113"/>
      <c r="F281" s="111"/>
      <c r="G281" s="113"/>
      <c r="H281" s="111"/>
      <c r="I281" s="113"/>
      <c r="J281" s="113"/>
      <c r="K281" s="113"/>
      <c r="L281" s="113"/>
      <c r="M281" s="113"/>
      <c r="N281" s="113"/>
      <c r="O281" s="113"/>
      <c r="P281" s="113"/>
      <c r="Q281" s="113"/>
      <c r="R281" s="113"/>
      <c r="S281" s="113"/>
      <c r="T281" s="113"/>
      <c r="U281" s="113"/>
      <c r="V281" s="113"/>
      <c r="W281" s="113"/>
      <c r="X281" s="113"/>
      <c r="Y281" s="113"/>
      <c r="Z281" s="113"/>
      <c r="AA281" s="113"/>
      <c r="AB281" s="113"/>
      <c r="AC281" s="113"/>
      <c r="AD281" s="113"/>
      <c r="AE281" s="113"/>
      <c r="AF281" s="113"/>
      <c r="AG281" s="113"/>
    </row>
    <row r="282" spans="1:33" ht="13.8">
      <c r="A282" s="113"/>
      <c r="B282" s="113"/>
      <c r="C282" s="113"/>
      <c r="D282" s="111"/>
      <c r="E282" s="113"/>
      <c r="F282" s="111"/>
      <c r="G282" s="113"/>
      <c r="H282" s="111"/>
      <c r="I282" s="113"/>
      <c r="J282" s="113"/>
      <c r="K282" s="113"/>
      <c r="L282" s="113"/>
      <c r="M282" s="113"/>
      <c r="N282" s="113"/>
      <c r="O282" s="113"/>
      <c r="P282" s="113"/>
      <c r="Q282" s="113"/>
      <c r="R282" s="113"/>
      <c r="S282" s="113"/>
      <c r="T282" s="113"/>
      <c r="U282" s="113"/>
      <c r="V282" s="113"/>
      <c r="W282" s="113"/>
      <c r="X282" s="113"/>
      <c r="Y282" s="113"/>
      <c r="Z282" s="113"/>
      <c r="AA282" s="113"/>
      <c r="AB282" s="113"/>
      <c r="AC282" s="113"/>
      <c r="AD282" s="113"/>
      <c r="AE282" s="113"/>
      <c r="AF282" s="113"/>
      <c r="AG282" s="113"/>
    </row>
    <row r="283" spans="1:33" ht="13.8">
      <c r="A283" s="113"/>
      <c r="B283" s="113"/>
      <c r="C283" s="113"/>
      <c r="D283" s="111"/>
      <c r="E283" s="113"/>
      <c r="F283" s="111"/>
      <c r="G283" s="113"/>
      <c r="H283" s="111"/>
      <c r="I283" s="113"/>
      <c r="J283" s="113"/>
      <c r="K283" s="113"/>
      <c r="L283" s="113"/>
      <c r="M283" s="113"/>
      <c r="N283" s="113"/>
      <c r="O283" s="113"/>
      <c r="P283" s="113"/>
      <c r="Q283" s="113"/>
      <c r="R283" s="113"/>
      <c r="S283" s="113"/>
      <c r="T283" s="113"/>
      <c r="U283" s="113"/>
      <c r="V283" s="113"/>
      <c r="W283" s="113"/>
      <c r="X283" s="113"/>
      <c r="Y283" s="113"/>
      <c r="Z283" s="113"/>
      <c r="AA283" s="113"/>
      <c r="AB283" s="113"/>
      <c r="AC283" s="113"/>
      <c r="AD283" s="113"/>
      <c r="AE283" s="113"/>
      <c r="AF283" s="113"/>
      <c r="AG283" s="113"/>
    </row>
    <row r="284" spans="1:33" ht="13.8">
      <c r="A284" s="113"/>
      <c r="B284" s="113"/>
      <c r="C284" s="113"/>
      <c r="D284" s="111"/>
      <c r="E284" s="113"/>
      <c r="F284" s="111"/>
      <c r="G284" s="113"/>
      <c r="H284" s="111"/>
      <c r="I284" s="113"/>
      <c r="J284" s="113"/>
      <c r="K284" s="113"/>
      <c r="L284" s="113"/>
      <c r="M284" s="113"/>
      <c r="N284" s="113"/>
      <c r="O284" s="113"/>
      <c r="P284" s="113"/>
      <c r="Q284" s="113"/>
      <c r="R284" s="113"/>
      <c r="S284" s="113"/>
      <c r="T284" s="113"/>
      <c r="U284" s="113"/>
      <c r="V284" s="113"/>
      <c r="W284" s="113"/>
      <c r="X284" s="113"/>
      <c r="Y284" s="113"/>
      <c r="Z284" s="113"/>
      <c r="AA284" s="113"/>
      <c r="AB284" s="113"/>
      <c r="AC284" s="113"/>
      <c r="AD284" s="113"/>
      <c r="AE284" s="113"/>
      <c r="AF284" s="113"/>
      <c r="AG284" s="113"/>
    </row>
    <row r="285" spans="1:33" ht="13.8">
      <c r="A285" s="113"/>
      <c r="B285" s="113"/>
      <c r="C285" s="113"/>
      <c r="D285" s="111"/>
      <c r="E285" s="113"/>
      <c r="F285" s="111"/>
      <c r="G285" s="113"/>
      <c r="H285" s="111"/>
      <c r="I285" s="113"/>
      <c r="J285" s="113"/>
      <c r="K285" s="113"/>
      <c r="L285" s="113"/>
      <c r="M285" s="113"/>
      <c r="N285" s="113"/>
      <c r="O285" s="113"/>
      <c r="P285" s="113"/>
      <c r="Q285" s="113"/>
      <c r="R285" s="113"/>
      <c r="S285" s="113"/>
      <c r="T285" s="113"/>
      <c r="U285" s="113"/>
      <c r="V285" s="113"/>
      <c r="W285" s="113"/>
      <c r="X285" s="113"/>
      <c r="Y285" s="113"/>
      <c r="Z285" s="113"/>
      <c r="AA285" s="113"/>
      <c r="AB285" s="113"/>
      <c r="AC285" s="113"/>
      <c r="AD285" s="113"/>
      <c r="AE285" s="113"/>
      <c r="AF285" s="113"/>
      <c r="AG285" s="113"/>
    </row>
    <row r="286" spans="1:33" ht="13.8">
      <c r="A286" s="113"/>
      <c r="B286" s="113"/>
      <c r="C286" s="113"/>
      <c r="D286" s="111"/>
      <c r="E286" s="113"/>
      <c r="F286" s="111"/>
      <c r="G286" s="113"/>
      <c r="H286" s="111"/>
      <c r="I286" s="113"/>
      <c r="J286" s="113"/>
      <c r="K286" s="113"/>
      <c r="L286" s="113"/>
      <c r="M286" s="113"/>
      <c r="N286" s="113"/>
      <c r="O286" s="113"/>
      <c r="P286" s="113"/>
      <c r="Q286" s="113"/>
      <c r="R286" s="113"/>
      <c r="S286" s="113"/>
      <c r="T286" s="113"/>
      <c r="U286" s="113"/>
      <c r="V286" s="113"/>
      <c r="W286" s="113"/>
      <c r="X286" s="113"/>
      <c r="Y286" s="113"/>
      <c r="Z286" s="113"/>
      <c r="AA286" s="113"/>
      <c r="AB286" s="113"/>
      <c r="AC286" s="113"/>
      <c r="AD286" s="113"/>
      <c r="AE286" s="113"/>
      <c r="AF286" s="113"/>
      <c r="AG286" s="113"/>
    </row>
    <row r="287" spans="1:33" ht="13.8">
      <c r="A287" s="113"/>
      <c r="B287" s="113"/>
      <c r="C287" s="113"/>
      <c r="D287" s="111"/>
      <c r="E287" s="113"/>
      <c r="F287" s="111"/>
      <c r="G287" s="113"/>
      <c r="H287" s="111"/>
      <c r="I287" s="113"/>
      <c r="J287" s="113"/>
      <c r="K287" s="113"/>
      <c r="L287" s="113"/>
      <c r="M287" s="113"/>
      <c r="N287" s="113"/>
      <c r="O287" s="113"/>
      <c r="P287" s="113"/>
      <c r="Q287" s="113"/>
      <c r="R287" s="113"/>
      <c r="S287" s="113"/>
      <c r="T287" s="113"/>
      <c r="U287" s="113"/>
      <c r="V287" s="113"/>
      <c r="W287" s="113"/>
      <c r="X287" s="113"/>
      <c r="Y287" s="113"/>
      <c r="Z287" s="113"/>
      <c r="AA287" s="113"/>
      <c r="AB287" s="113"/>
      <c r="AC287" s="113"/>
      <c r="AD287" s="113"/>
      <c r="AE287" s="113"/>
      <c r="AF287" s="113"/>
      <c r="AG287" s="113"/>
    </row>
    <row r="288" spans="1:33" ht="13.8">
      <c r="A288" s="113"/>
      <c r="B288" s="113"/>
      <c r="C288" s="113"/>
      <c r="D288" s="111"/>
      <c r="E288" s="113"/>
      <c r="F288" s="111"/>
      <c r="G288" s="113"/>
      <c r="H288" s="111"/>
      <c r="I288" s="113"/>
      <c r="J288" s="113"/>
      <c r="K288" s="113"/>
      <c r="L288" s="113"/>
      <c r="M288" s="113"/>
      <c r="N288" s="113"/>
      <c r="O288" s="113"/>
      <c r="P288" s="113"/>
      <c r="Q288" s="113"/>
      <c r="R288" s="113"/>
      <c r="S288" s="113"/>
      <c r="T288" s="113"/>
      <c r="U288" s="113"/>
      <c r="V288" s="113"/>
      <c r="W288" s="113"/>
      <c r="X288" s="113"/>
      <c r="Y288" s="113"/>
      <c r="Z288" s="113"/>
      <c r="AA288" s="113"/>
      <c r="AB288" s="113"/>
      <c r="AC288" s="113"/>
      <c r="AD288" s="113"/>
      <c r="AE288" s="113"/>
      <c r="AF288" s="113"/>
      <c r="AG288" s="113"/>
    </row>
    <row r="289" spans="1:33" ht="13.8">
      <c r="A289" s="113"/>
      <c r="B289" s="113"/>
      <c r="C289" s="113"/>
      <c r="D289" s="111"/>
      <c r="E289" s="113"/>
      <c r="F289" s="111"/>
      <c r="G289" s="113"/>
      <c r="H289" s="111"/>
      <c r="I289" s="113"/>
      <c r="J289" s="113"/>
      <c r="K289" s="113"/>
      <c r="L289" s="113"/>
      <c r="M289" s="113"/>
      <c r="N289" s="113"/>
      <c r="O289" s="113"/>
      <c r="P289" s="113"/>
      <c r="Q289" s="113"/>
      <c r="R289" s="113"/>
      <c r="S289" s="113"/>
      <c r="T289" s="113"/>
      <c r="U289" s="113"/>
      <c r="V289" s="113"/>
      <c r="W289" s="113"/>
      <c r="X289" s="113"/>
      <c r="Y289" s="113"/>
      <c r="Z289" s="113"/>
      <c r="AA289" s="113"/>
      <c r="AB289" s="113"/>
      <c r="AC289" s="113"/>
      <c r="AD289" s="113"/>
      <c r="AE289" s="113"/>
      <c r="AF289" s="113"/>
      <c r="AG289" s="113"/>
    </row>
    <row r="290" spans="1:33" ht="13.8">
      <c r="A290" s="113"/>
      <c r="B290" s="113"/>
      <c r="C290" s="113"/>
      <c r="D290" s="111"/>
      <c r="E290" s="113"/>
      <c r="F290" s="111"/>
      <c r="G290" s="113"/>
      <c r="H290" s="111"/>
      <c r="I290" s="113"/>
      <c r="J290" s="113"/>
      <c r="K290" s="113"/>
      <c r="L290" s="113"/>
      <c r="M290" s="113"/>
      <c r="N290" s="113"/>
      <c r="O290" s="113"/>
      <c r="P290" s="113"/>
      <c r="Q290" s="113"/>
      <c r="R290" s="113"/>
      <c r="S290" s="113"/>
      <c r="T290" s="113"/>
      <c r="U290" s="113"/>
      <c r="V290" s="113"/>
      <c r="W290" s="113"/>
      <c r="X290" s="113"/>
      <c r="Y290" s="113"/>
      <c r="Z290" s="113"/>
      <c r="AA290" s="113"/>
      <c r="AB290" s="113"/>
      <c r="AC290" s="113"/>
      <c r="AD290" s="113"/>
      <c r="AE290" s="113"/>
      <c r="AF290" s="113"/>
      <c r="AG290" s="113"/>
    </row>
    <row r="291" spans="1:33" ht="13.8">
      <c r="A291" s="113"/>
      <c r="B291" s="113"/>
      <c r="C291" s="113"/>
      <c r="D291" s="111"/>
      <c r="E291" s="113"/>
      <c r="F291" s="111"/>
      <c r="G291" s="113"/>
      <c r="H291" s="111"/>
      <c r="I291" s="113"/>
      <c r="J291" s="113"/>
      <c r="K291" s="113"/>
      <c r="L291" s="113"/>
      <c r="M291" s="113"/>
      <c r="N291" s="113"/>
      <c r="O291" s="113"/>
      <c r="P291" s="113"/>
      <c r="Q291" s="113"/>
      <c r="R291" s="113"/>
      <c r="S291" s="113"/>
      <c r="T291" s="113"/>
      <c r="U291" s="113"/>
      <c r="V291" s="113"/>
      <c r="W291" s="113"/>
      <c r="X291" s="113"/>
      <c r="Y291" s="113"/>
      <c r="Z291" s="113"/>
      <c r="AA291" s="113"/>
      <c r="AB291" s="113"/>
      <c r="AC291" s="113"/>
      <c r="AD291" s="113"/>
      <c r="AE291" s="113"/>
      <c r="AF291" s="113"/>
      <c r="AG291" s="113"/>
    </row>
    <row r="292" spans="1:33" ht="13.8">
      <c r="A292" s="113"/>
      <c r="B292" s="113"/>
      <c r="C292" s="113"/>
      <c r="D292" s="111"/>
      <c r="E292" s="113"/>
      <c r="F292" s="111"/>
      <c r="G292" s="113"/>
      <c r="H292" s="111"/>
      <c r="I292" s="113"/>
      <c r="J292" s="113"/>
      <c r="K292" s="113"/>
      <c r="L292" s="113"/>
      <c r="M292" s="113"/>
      <c r="N292" s="113"/>
      <c r="O292" s="113"/>
      <c r="P292" s="113"/>
      <c r="Q292" s="113"/>
      <c r="R292" s="113"/>
      <c r="S292" s="113"/>
      <c r="T292" s="113"/>
      <c r="U292" s="113"/>
      <c r="V292" s="113"/>
      <c r="W292" s="113"/>
      <c r="X292" s="113"/>
      <c r="Y292" s="113"/>
      <c r="Z292" s="113"/>
      <c r="AA292" s="113"/>
      <c r="AB292" s="113"/>
      <c r="AC292" s="113"/>
      <c r="AD292" s="113"/>
      <c r="AE292" s="113"/>
      <c r="AF292" s="113"/>
      <c r="AG292" s="113"/>
    </row>
    <row r="293" spans="1:33" ht="13.8">
      <c r="A293" s="113"/>
      <c r="B293" s="113"/>
      <c r="C293" s="113"/>
      <c r="D293" s="111"/>
      <c r="E293" s="113"/>
      <c r="F293" s="111"/>
      <c r="G293" s="113"/>
      <c r="H293" s="111"/>
      <c r="I293" s="113"/>
      <c r="J293" s="113"/>
      <c r="K293" s="113"/>
      <c r="L293" s="113"/>
      <c r="M293" s="113"/>
      <c r="N293" s="113"/>
      <c r="O293" s="113"/>
      <c r="P293" s="113"/>
      <c r="Q293" s="113"/>
      <c r="R293" s="113"/>
      <c r="S293" s="113"/>
      <c r="T293" s="113"/>
      <c r="U293" s="113"/>
      <c r="V293" s="113"/>
      <c r="W293" s="113"/>
      <c r="X293" s="113"/>
      <c r="Y293" s="113"/>
      <c r="Z293" s="113"/>
      <c r="AA293" s="113"/>
      <c r="AB293" s="113"/>
      <c r="AC293" s="113"/>
      <c r="AD293" s="113"/>
      <c r="AE293" s="113"/>
      <c r="AF293" s="113"/>
      <c r="AG293" s="113"/>
    </row>
    <row r="294" spans="1:33" ht="13.8">
      <c r="A294" s="113"/>
      <c r="B294" s="113"/>
      <c r="C294" s="113"/>
      <c r="D294" s="111"/>
      <c r="E294" s="113"/>
      <c r="F294" s="111"/>
      <c r="G294" s="113"/>
      <c r="H294" s="111"/>
      <c r="I294" s="113"/>
      <c r="J294" s="113"/>
      <c r="K294" s="113"/>
      <c r="L294" s="113"/>
      <c r="M294" s="113"/>
      <c r="N294" s="113"/>
      <c r="O294" s="113"/>
      <c r="P294" s="113"/>
      <c r="Q294" s="113"/>
      <c r="R294" s="113"/>
      <c r="S294" s="113"/>
      <c r="T294" s="113"/>
      <c r="U294" s="113"/>
      <c r="V294" s="113"/>
      <c r="W294" s="113"/>
      <c r="X294" s="113"/>
      <c r="Y294" s="113"/>
      <c r="Z294" s="113"/>
      <c r="AA294" s="113"/>
      <c r="AB294" s="113"/>
      <c r="AC294" s="113"/>
      <c r="AD294" s="113"/>
      <c r="AE294" s="113"/>
      <c r="AF294" s="113"/>
      <c r="AG294" s="113"/>
    </row>
    <row r="295" spans="1:33" ht="13.8">
      <c r="A295" s="113"/>
      <c r="B295" s="113"/>
      <c r="C295" s="113"/>
      <c r="D295" s="111"/>
      <c r="E295" s="113"/>
      <c r="F295" s="111"/>
      <c r="G295" s="113"/>
      <c r="H295" s="111"/>
      <c r="I295" s="113"/>
      <c r="J295" s="113"/>
      <c r="K295" s="113"/>
      <c r="L295" s="113"/>
      <c r="M295" s="113"/>
      <c r="N295" s="113"/>
      <c r="O295" s="113"/>
      <c r="P295" s="113"/>
      <c r="Q295" s="113"/>
      <c r="R295" s="113"/>
      <c r="S295" s="113"/>
      <c r="T295" s="113"/>
      <c r="U295" s="113"/>
      <c r="V295" s="113"/>
      <c r="W295" s="113"/>
      <c r="X295" s="113"/>
      <c r="Y295" s="113"/>
      <c r="Z295" s="113"/>
      <c r="AA295" s="113"/>
      <c r="AB295" s="113"/>
      <c r="AC295" s="113"/>
      <c r="AD295" s="113"/>
      <c r="AE295" s="113"/>
      <c r="AF295" s="113"/>
      <c r="AG295" s="113"/>
    </row>
    <row r="296" spans="1:33" ht="13.8">
      <c r="A296" s="113"/>
      <c r="B296" s="113"/>
      <c r="C296" s="113"/>
      <c r="D296" s="111"/>
      <c r="E296" s="113"/>
      <c r="F296" s="111"/>
      <c r="G296" s="113"/>
      <c r="H296" s="111"/>
      <c r="I296" s="113"/>
      <c r="J296" s="113"/>
      <c r="K296" s="113"/>
      <c r="L296" s="113"/>
      <c r="M296" s="113"/>
      <c r="N296" s="113"/>
      <c r="O296" s="113"/>
      <c r="P296" s="113"/>
      <c r="Q296" s="113"/>
      <c r="R296" s="113"/>
      <c r="S296" s="113"/>
      <c r="T296" s="113"/>
      <c r="U296" s="113"/>
      <c r="V296" s="113"/>
      <c r="W296" s="113"/>
      <c r="X296" s="113"/>
      <c r="Y296" s="113"/>
      <c r="Z296" s="113"/>
      <c r="AA296" s="113"/>
      <c r="AB296" s="113"/>
      <c r="AC296" s="113"/>
      <c r="AD296" s="113"/>
      <c r="AE296" s="113"/>
      <c r="AF296" s="113"/>
      <c r="AG296" s="113"/>
    </row>
    <row r="297" spans="1:33" ht="13.8">
      <c r="A297" s="113"/>
      <c r="B297" s="113"/>
      <c r="C297" s="113"/>
      <c r="D297" s="111"/>
      <c r="E297" s="113"/>
      <c r="F297" s="111"/>
      <c r="G297" s="113"/>
      <c r="H297" s="111"/>
      <c r="I297" s="113"/>
      <c r="J297" s="113"/>
      <c r="K297" s="113"/>
      <c r="L297" s="113"/>
      <c r="M297" s="113"/>
      <c r="N297" s="113"/>
      <c r="O297" s="113"/>
      <c r="P297" s="113"/>
      <c r="Q297" s="113"/>
      <c r="R297" s="113"/>
      <c r="S297" s="113"/>
      <c r="T297" s="113"/>
      <c r="U297" s="113"/>
      <c r="V297" s="113"/>
      <c r="W297" s="113"/>
      <c r="X297" s="113"/>
      <c r="Y297" s="113"/>
      <c r="Z297" s="113"/>
      <c r="AA297" s="113"/>
      <c r="AB297" s="113"/>
      <c r="AC297" s="113"/>
      <c r="AD297" s="113"/>
      <c r="AE297" s="113"/>
      <c r="AF297" s="113"/>
      <c r="AG297" s="113"/>
    </row>
    <row r="298" spans="1:33" ht="13.8">
      <c r="A298" s="113"/>
      <c r="B298" s="113"/>
      <c r="C298" s="113"/>
      <c r="D298" s="111"/>
      <c r="E298" s="113"/>
      <c r="F298" s="111"/>
      <c r="G298" s="113"/>
      <c r="H298" s="111"/>
      <c r="I298" s="113"/>
      <c r="J298" s="113"/>
      <c r="K298" s="113"/>
      <c r="L298" s="113"/>
      <c r="M298" s="113"/>
      <c r="N298" s="113"/>
      <c r="O298" s="113"/>
      <c r="P298" s="113"/>
      <c r="Q298" s="113"/>
      <c r="R298" s="113"/>
      <c r="S298" s="113"/>
      <c r="T298" s="113"/>
      <c r="U298" s="113"/>
      <c r="V298" s="113"/>
      <c r="W298" s="113"/>
      <c r="X298" s="113"/>
      <c r="Y298" s="113"/>
      <c r="Z298" s="113"/>
      <c r="AA298" s="113"/>
      <c r="AB298" s="113"/>
      <c r="AC298" s="113"/>
      <c r="AD298" s="113"/>
      <c r="AE298" s="113"/>
      <c r="AF298" s="113"/>
      <c r="AG298" s="113"/>
    </row>
    <row r="299" spans="1:33" ht="13.8">
      <c r="A299" s="113"/>
      <c r="B299" s="113"/>
      <c r="C299" s="113"/>
      <c r="D299" s="111"/>
      <c r="E299" s="113"/>
      <c r="F299" s="111"/>
      <c r="G299" s="113"/>
      <c r="H299" s="111"/>
      <c r="I299" s="113"/>
      <c r="J299" s="113"/>
      <c r="K299" s="113"/>
      <c r="L299" s="113"/>
      <c r="M299" s="113"/>
      <c r="N299" s="113"/>
      <c r="O299" s="113"/>
      <c r="P299" s="113"/>
      <c r="Q299" s="113"/>
      <c r="R299" s="113"/>
      <c r="S299" s="113"/>
      <c r="T299" s="113"/>
      <c r="U299" s="113"/>
      <c r="V299" s="113"/>
      <c r="W299" s="113"/>
      <c r="X299" s="113"/>
      <c r="Y299" s="113"/>
      <c r="Z299" s="113"/>
      <c r="AA299" s="113"/>
      <c r="AB299" s="113"/>
      <c r="AC299" s="113"/>
      <c r="AD299" s="113"/>
      <c r="AE299" s="113"/>
      <c r="AF299" s="113"/>
      <c r="AG299" s="113"/>
    </row>
    <row r="300" spans="1:33" ht="13.8">
      <c r="A300" s="113"/>
      <c r="B300" s="113"/>
      <c r="C300" s="113"/>
      <c r="D300" s="111"/>
      <c r="E300" s="113"/>
      <c r="F300" s="111"/>
      <c r="G300" s="113"/>
      <c r="H300" s="111"/>
      <c r="I300" s="113"/>
      <c r="J300" s="113"/>
      <c r="K300" s="113"/>
      <c r="L300" s="113"/>
      <c r="M300" s="113"/>
      <c r="N300" s="113"/>
      <c r="O300" s="113"/>
      <c r="P300" s="113"/>
      <c r="Q300" s="113"/>
      <c r="R300" s="113"/>
      <c r="S300" s="113"/>
      <c r="T300" s="113"/>
      <c r="U300" s="113"/>
      <c r="V300" s="113"/>
      <c r="W300" s="113"/>
      <c r="X300" s="113"/>
      <c r="Y300" s="113"/>
      <c r="Z300" s="113"/>
      <c r="AA300" s="113"/>
      <c r="AB300" s="113"/>
      <c r="AC300" s="113"/>
      <c r="AD300" s="113"/>
      <c r="AE300" s="113"/>
      <c r="AF300" s="113"/>
      <c r="AG300" s="113"/>
    </row>
    <row r="301" spans="1:33" ht="13.8">
      <c r="A301" s="113"/>
      <c r="B301" s="113"/>
      <c r="C301" s="113"/>
      <c r="D301" s="111"/>
      <c r="E301" s="113"/>
      <c r="F301" s="111"/>
      <c r="G301" s="113"/>
      <c r="H301" s="111"/>
      <c r="I301" s="113"/>
      <c r="J301" s="113"/>
      <c r="K301" s="113"/>
      <c r="L301" s="113"/>
      <c r="M301" s="113"/>
      <c r="N301" s="113"/>
      <c r="O301" s="113"/>
      <c r="P301" s="113"/>
      <c r="Q301" s="113"/>
      <c r="R301" s="113"/>
      <c r="S301" s="113"/>
      <c r="T301" s="113"/>
      <c r="U301" s="113"/>
      <c r="V301" s="113"/>
      <c r="W301" s="113"/>
      <c r="X301" s="113"/>
      <c r="Y301" s="113"/>
      <c r="Z301" s="113"/>
      <c r="AA301" s="113"/>
      <c r="AB301" s="113"/>
      <c r="AC301" s="113"/>
      <c r="AD301" s="113"/>
      <c r="AE301" s="113"/>
      <c r="AF301" s="113"/>
      <c r="AG301" s="113"/>
    </row>
    <row r="302" spans="1:33" ht="13.8">
      <c r="A302" s="113"/>
      <c r="B302" s="113"/>
      <c r="C302" s="113"/>
      <c r="D302" s="111"/>
      <c r="E302" s="113"/>
      <c r="F302" s="111"/>
      <c r="G302" s="113"/>
      <c r="H302" s="111"/>
      <c r="I302" s="113"/>
      <c r="J302" s="113"/>
      <c r="K302" s="113"/>
      <c r="L302" s="113"/>
      <c r="M302" s="113"/>
      <c r="N302" s="113"/>
      <c r="O302" s="113"/>
      <c r="P302" s="113"/>
      <c r="Q302" s="113"/>
      <c r="R302" s="113"/>
      <c r="S302" s="113"/>
      <c r="T302" s="113"/>
      <c r="U302" s="113"/>
      <c r="V302" s="113"/>
      <c r="W302" s="113"/>
      <c r="X302" s="113"/>
      <c r="Y302" s="113"/>
      <c r="Z302" s="113"/>
      <c r="AA302" s="113"/>
      <c r="AB302" s="113"/>
      <c r="AC302" s="113"/>
      <c r="AD302" s="113"/>
      <c r="AE302" s="113"/>
      <c r="AF302" s="113"/>
      <c r="AG302" s="113"/>
    </row>
    <row r="303" spans="1:33" ht="13.8">
      <c r="A303" s="113"/>
      <c r="B303" s="113"/>
      <c r="C303" s="113"/>
      <c r="D303" s="111"/>
      <c r="E303" s="113"/>
      <c r="F303" s="111"/>
      <c r="G303" s="113"/>
      <c r="H303" s="111"/>
      <c r="I303" s="113"/>
      <c r="J303" s="113"/>
      <c r="K303" s="113"/>
      <c r="L303" s="113"/>
      <c r="M303" s="113"/>
      <c r="N303" s="113"/>
      <c r="O303" s="113"/>
      <c r="P303" s="113"/>
      <c r="Q303" s="113"/>
      <c r="R303" s="113"/>
      <c r="S303" s="113"/>
      <c r="T303" s="113"/>
      <c r="U303" s="113"/>
      <c r="V303" s="113"/>
      <c r="W303" s="113"/>
      <c r="X303" s="113"/>
      <c r="Y303" s="113"/>
      <c r="Z303" s="113"/>
      <c r="AA303" s="113"/>
      <c r="AB303" s="113"/>
      <c r="AC303" s="113"/>
      <c r="AD303" s="113"/>
      <c r="AE303" s="113"/>
      <c r="AF303" s="113"/>
      <c r="AG303" s="113"/>
    </row>
    <row r="304" spans="1:33" ht="13.8">
      <c r="A304" s="113"/>
      <c r="B304" s="113"/>
      <c r="C304" s="113"/>
      <c r="D304" s="111"/>
      <c r="E304" s="113"/>
      <c r="F304" s="111"/>
      <c r="G304" s="113"/>
      <c r="H304" s="111"/>
      <c r="I304" s="113"/>
      <c r="J304" s="113"/>
      <c r="K304" s="113"/>
      <c r="L304" s="113"/>
      <c r="M304" s="113"/>
      <c r="N304" s="113"/>
      <c r="O304" s="113"/>
      <c r="P304" s="113"/>
      <c r="Q304" s="113"/>
      <c r="R304" s="113"/>
      <c r="S304" s="113"/>
      <c r="T304" s="113"/>
      <c r="U304" s="113"/>
      <c r="V304" s="113"/>
      <c r="W304" s="113"/>
      <c r="X304" s="113"/>
      <c r="Y304" s="113"/>
      <c r="Z304" s="113"/>
      <c r="AA304" s="113"/>
      <c r="AB304" s="113"/>
      <c r="AC304" s="113"/>
      <c r="AD304" s="113"/>
      <c r="AE304" s="113"/>
      <c r="AF304" s="113"/>
      <c r="AG304" s="113"/>
    </row>
    <row r="305" spans="1:33" ht="13.8">
      <c r="A305" s="113"/>
      <c r="B305" s="113"/>
      <c r="C305" s="113"/>
      <c r="D305" s="111"/>
      <c r="E305" s="113"/>
      <c r="F305" s="111"/>
      <c r="G305" s="113"/>
      <c r="H305" s="111"/>
      <c r="I305" s="113"/>
      <c r="J305" s="113"/>
      <c r="K305" s="113"/>
      <c r="L305" s="113"/>
      <c r="M305" s="113"/>
      <c r="N305" s="113"/>
      <c r="O305" s="113"/>
      <c r="P305" s="113"/>
      <c r="Q305" s="113"/>
      <c r="R305" s="113"/>
      <c r="S305" s="113"/>
      <c r="T305" s="113"/>
      <c r="U305" s="113"/>
      <c r="V305" s="113"/>
      <c r="W305" s="113"/>
      <c r="X305" s="113"/>
      <c r="Y305" s="113"/>
      <c r="Z305" s="113"/>
      <c r="AA305" s="113"/>
      <c r="AB305" s="113"/>
      <c r="AC305" s="113"/>
      <c r="AD305" s="113"/>
      <c r="AE305" s="113"/>
      <c r="AF305" s="113"/>
      <c r="AG305" s="113"/>
    </row>
    <row r="306" spans="1:33" ht="13.8">
      <c r="A306" s="113"/>
      <c r="B306" s="113"/>
      <c r="C306" s="113"/>
      <c r="D306" s="111"/>
      <c r="E306" s="113"/>
      <c r="F306" s="111"/>
      <c r="G306" s="113"/>
      <c r="H306" s="111"/>
      <c r="I306" s="113"/>
      <c r="J306" s="113"/>
      <c r="K306" s="113"/>
      <c r="L306" s="113"/>
      <c r="M306" s="113"/>
      <c r="N306" s="113"/>
      <c r="O306" s="113"/>
      <c r="P306" s="113"/>
      <c r="Q306" s="113"/>
      <c r="R306" s="113"/>
      <c r="S306" s="113"/>
      <c r="T306" s="113"/>
      <c r="U306" s="113"/>
      <c r="V306" s="113"/>
      <c r="W306" s="113"/>
      <c r="X306" s="113"/>
      <c r="Y306" s="113"/>
      <c r="Z306" s="113"/>
      <c r="AA306" s="113"/>
      <c r="AB306" s="113"/>
      <c r="AC306" s="113"/>
      <c r="AD306" s="113"/>
      <c r="AE306" s="113"/>
      <c r="AF306" s="113"/>
      <c r="AG306" s="113"/>
    </row>
    <row r="307" spans="1:33" ht="13.8">
      <c r="A307" s="113"/>
      <c r="B307" s="113"/>
      <c r="C307" s="113"/>
      <c r="D307" s="111"/>
      <c r="E307" s="113"/>
      <c r="F307" s="111"/>
      <c r="G307" s="113"/>
      <c r="H307" s="111"/>
      <c r="I307" s="113"/>
      <c r="J307" s="113"/>
      <c r="K307" s="113"/>
      <c r="L307" s="113"/>
      <c r="M307" s="113"/>
      <c r="N307" s="113"/>
      <c r="O307" s="113"/>
      <c r="P307" s="113"/>
      <c r="Q307" s="113"/>
      <c r="R307" s="113"/>
      <c r="S307" s="113"/>
      <c r="T307" s="113"/>
      <c r="U307" s="113"/>
      <c r="V307" s="113"/>
      <c r="W307" s="113"/>
      <c r="X307" s="113"/>
      <c r="Y307" s="113"/>
      <c r="Z307" s="113"/>
      <c r="AA307" s="113"/>
      <c r="AB307" s="113"/>
      <c r="AC307" s="113"/>
      <c r="AD307" s="113"/>
      <c r="AE307" s="113"/>
      <c r="AF307" s="113"/>
      <c r="AG307" s="113"/>
    </row>
    <row r="308" spans="1:33" ht="13.8">
      <c r="A308" s="113"/>
      <c r="B308" s="113"/>
      <c r="C308" s="113"/>
      <c r="D308" s="111"/>
      <c r="E308" s="113"/>
      <c r="F308" s="111"/>
      <c r="G308" s="113"/>
      <c r="H308" s="111"/>
      <c r="I308" s="113"/>
      <c r="J308" s="113"/>
      <c r="K308" s="113"/>
      <c r="L308" s="113"/>
      <c r="M308" s="113"/>
      <c r="N308" s="113"/>
      <c r="O308" s="113"/>
      <c r="P308" s="113"/>
      <c r="Q308" s="113"/>
      <c r="R308" s="113"/>
      <c r="S308" s="113"/>
      <c r="T308" s="113"/>
      <c r="U308" s="113"/>
      <c r="V308" s="113"/>
      <c r="W308" s="113"/>
      <c r="X308" s="113"/>
      <c r="Y308" s="113"/>
      <c r="Z308" s="113"/>
      <c r="AA308" s="113"/>
      <c r="AB308" s="113"/>
      <c r="AC308" s="113"/>
      <c r="AD308" s="113"/>
      <c r="AE308" s="113"/>
      <c r="AF308" s="113"/>
      <c r="AG308" s="113"/>
    </row>
    <row r="309" spans="1:33" ht="13.8">
      <c r="A309" s="113"/>
      <c r="B309" s="113"/>
      <c r="C309" s="113"/>
      <c r="D309" s="111"/>
      <c r="E309" s="113"/>
      <c r="F309" s="111"/>
      <c r="G309" s="113"/>
      <c r="H309" s="111"/>
      <c r="I309" s="113"/>
      <c r="J309" s="113"/>
      <c r="K309" s="113"/>
      <c r="L309" s="113"/>
      <c r="M309" s="113"/>
      <c r="N309" s="113"/>
      <c r="O309" s="113"/>
      <c r="P309" s="113"/>
      <c r="Q309" s="113"/>
      <c r="R309" s="113"/>
      <c r="S309" s="113"/>
      <c r="T309" s="113"/>
      <c r="U309" s="113"/>
      <c r="V309" s="113"/>
      <c r="W309" s="113"/>
      <c r="X309" s="113"/>
      <c r="Y309" s="113"/>
      <c r="Z309" s="113"/>
      <c r="AA309" s="113"/>
      <c r="AB309" s="113"/>
      <c r="AC309" s="113"/>
      <c r="AD309" s="113"/>
      <c r="AE309" s="113"/>
      <c r="AF309" s="113"/>
      <c r="AG309" s="113"/>
    </row>
    <row r="310" spans="1:33" ht="13.8">
      <c r="A310" s="113"/>
      <c r="B310" s="113"/>
      <c r="C310" s="113"/>
      <c r="D310" s="111"/>
      <c r="E310" s="113"/>
      <c r="F310" s="111"/>
      <c r="G310" s="113"/>
      <c r="H310" s="111"/>
      <c r="I310" s="113"/>
      <c r="J310" s="113"/>
      <c r="K310" s="113"/>
      <c r="L310" s="113"/>
      <c r="M310" s="113"/>
      <c r="N310" s="113"/>
      <c r="O310" s="113"/>
      <c r="P310" s="113"/>
      <c r="Q310" s="113"/>
      <c r="R310" s="113"/>
      <c r="S310" s="113"/>
      <c r="T310" s="113"/>
      <c r="U310" s="113"/>
      <c r="V310" s="113"/>
      <c r="W310" s="113"/>
      <c r="X310" s="113"/>
      <c r="Y310" s="113"/>
      <c r="Z310" s="113"/>
      <c r="AA310" s="113"/>
      <c r="AB310" s="113"/>
      <c r="AC310" s="113"/>
      <c r="AD310" s="113"/>
      <c r="AE310" s="113"/>
      <c r="AF310" s="113"/>
      <c r="AG310" s="113"/>
    </row>
    <row r="311" spans="1:33" ht="13.8">
      <c r="A311" s="113"/>
      <c r="B311" s="113"/>
      <c r="C311" s="113"/>
      <c r="D311" s="111"/>
      <c r="E311" s="113"/>
      <c r="F311" s="111"/>
      <c r="G311" s="113"/>
      <c r="H311" s="111"/>
      <c r="I311" s="113"/>
      <c r="J311" s="113"/>
      <c r="K311" s="113"/>
      <c r="L311" s="113"/>
      <c r="M311" s="113"/>
      <c r="N311" s="113"/>
      <c r="O311" s="113"/>
      <c r="P311" s="113"/>
      <c r="Q311" s="113"/>
      <c r="R311" s="113"/>
      <c r="S311" s="113"/>
      <c r="T311" s="113"/>
      <c r="U311" s="113"/>
      <c r="V311" s="113"/>
      <c r="W311" s="113"/>
      <c r="X311" s="113"/>
      <c r="Y311" s="113"/>
      <c r="Z311" s="113"/>
      <c r="AA311" s="113"/>
      <c r="AB311" s="113"/>
      <c r="AC311" s="113"/>
      <c r="AD311" s="113"/>
      <c r="AE311" s="113"/>
      <c r="AF311" s="113"/>
      <c r="AG311" s="113"/>
    </row>
    <row r="312" spans="1:33" ht="13.8">
      <c r="A312" s="113"/>
      <c r="B312" s="113"/>
      <c r="C312" s="113"/>
      <c r="D312" s="111"/>
      <c r="E312" s="113"/>
      <c r="F312" s="111"/>
      <c r="G312" s="113"/>
      <c r="H312" s="111"/>
      <c r="I312" s="113"/>
      <c r="J312" s="113"/>
      <c r="K312" s="113"/>
      <c r="L312" s="113"/>
      <c r="M312" s="113"/>
      <c r="N312" s="113"/>
      <c r="O312" s="113"/>
      <c r="P312" s="113"/>
      <c r="Q312" s="113"/>
      <c r="R312" s="113"/>
      <c r="S312" s="113"/>
      <c r="T312" s="113"/>
      <c r="U312" s="113"/>
      <c r="V312" s="113"/>
      <c r="W312" s="113"/>
      <c r="X312" s="113"/>
      <c r="Y312" s="113"/>
      <c r="Z312" s="113"/>
      <c r="AA312" s="113"/>
      <c r="AB312" s="113"/>
      <c r="AC312" s="113"/>
      <c r="AD312" s="113"/>
      <c r="AE312" s="113"/>
      <c r="AF312" s="113"/>
      <c r="AG312" s="113"/>
    </row>
    <row r="313" spans="1:33" ht="13.8">
      <c r="A313" s="113"/>
      <c r="B313" s="113"/>
      <c r="C313" s="113"/>
      <c r="D313" s="111"/>
      <c r="E313" s="113"/>
      <c r="F313" s="111"/>
      <c r="G313" s="113"/>
      <c r="H313" s="111"/>
      <c r="I313" s="113"/>
      <c r="J313" s="113"/>
      <c r="K313" s="113"/>
      <c r="L313" s="113"/>
      <c r="M313" s="113"/>
      <c r="N313" s="113"/>
      <c r="O313" s="113"/>
      <c r="P313" s="113"/>
      <c r="Q313" s="113"/>
      <c r="R313" s="113"/>
      <c r="S313" s="113"/>
      <c r="T313" s="113"/>
      <c r="U313" s="113"/>
      <c r="V313" s="113"/>
      <c r="W313" s="113"/>
      <c r="X313" s="113"/>
      <c r="Y313" s="113"/>
      <c r="Z313" s="113"/>
      <c r="AA313" s="113"/>
      <c r="AB313" s="113"/>
      <c r="AC313" s="113"/>
      <c r="AD313" s="113"/>
      <c r="AE313" s="113"/>
      <c r="AF313" s="113"/>
      <c r="AG313" s="113"/>
    </row>
    <row r="314" spans="1:33" ht="13.8">
      <c r="A314" s="113"/>
      <c r="B314" s="113"/>
      <c r="C314" s="113"/>
      <c r="D314" s="111"/>
      <c r="E314" s="113"/>
      <c r="F314" s="111"/>
      <c r="G314" s="113"/>
      <c r="H314" s="111"/>
      <c r="I314" s="113"/>
      <c r="J314" s="113"/>
      <c r="K314" s="113"/>
      <c r="L314" s="113"/>
      <c r="M314" s="113"/>
      <c r="N314" s="113"/>
      <c r="O314" s="113"/>
      <c r="P314" s="113"/>
      <c r="Q314" s="113"/>
      <c r="R314" s="113"/>
      <c r="S314" s="113"/>
      <c r="T314" s="113"/>
      <c r="U314" s="113"/>
      <c r="V314" s="113"/>
      <c r="W314" s="113"/>
      <c r="X314" s="113"/>
      <c r="Y314" s="113"/>
      <c r="Z314" s="113"/>
      <c r="AA314" s="113"/>
      <c r="AB314" s="113"/>
      <c r="AC314" s="113"/>
      <c r="AD314" s="113"/>
      <c r="AE314" s="113"/>
      <c r="AF314" s="113"/>
      <c r="AG314" s="113"/>
    </row>
    <row r="315" spans="1:33" ht="13.8">
      <c r="A315" s="113"/>
      <c r="B315" s="113"/>
      <c r="C315" s="113"/>
      <c r="D315" s="111"/>
      <c r="E315" s="113"/>
      <c r="F315" s="111"/>
      <c r="G315" s="113"/>
      <c r="H315" s="111"/>
      <c r="I315" s="113"/>
      <c r="J315" s="113"/>
      <c r="K315" s="113"/>
      <c r="L315" s="113"/>
      <c r="M315" s="113"/>
      <c r="N315" s="113"/>
      <c r="O315" s="113"/>
      <c r="P315" s="113"/>
      <c r="Q315" s="113"/>
      <c r="R315" s="113"/>
      <c r="S315" s="113"/>
      <c r="T315" s="113"/>
      <c r="U315" s="113"/>
      <c r="V315" s="113"/>
      <c r="W315" s="113"/>
      <c r="X315" s="113"/>
      <c r="Y315" s="113"/>
      <c r="Z315" s="113"/>
      <c r="AA315" s="113"/>
      <c r="AB315" s="113"/>
      <c r="AC315" s="113"/>
      <c r="AD315" s="113"/>
      <c r="AE315" s="113"/>
      <c r="AF315" s="113"/>
      <c r="AG315" s="113"/>
    </row>
    <row r="316" spans="1:33" ht="13.8">
      <c r="A316" s="113"/>
      <c r="B316" s="113"/>
      <c r="C316" s="113"/>
      <c r="D316" s="111"/>
      <c r="E316" s="113"/>
      <c r="F316" s="111"/>
      <c r="G316" s="113"/>
      <c r="H316" s="111"/>
      <c r="I316" s="113"/>
      <c r="J316" s="113"/>
      <c r="K316" s="113"/>
      <c r="L316" s="113"/>
      <c r="M316" s="113"/>
      <c r="N316" s="113"/>
      <c r="O316" s="113"/>
      <c r="P316" s="113"/>
      <c r="Q316" s="113"/>
      <c r="R316" s="113"/>
      <c r="S316" s="113"/>
      <c r="T316" s="113"/>
      <c r="U316" s="113"/>
      <c r="V316" s="113"/>
      <c r="W316" s="113"/>
      <c r="X316" s="113"/>
      <c r="Y316" s="113"/>
      <c r="Z316" s="113"/>
      <c r="AA316" s="113"/>
      <c r="AB316" s="113"/>
      <c r="AC316" s="113"/>
      <c r="AD316" s="113"/>
      <c r="AE316" s="113"/>
      <c r="AF316" s="113"/>
      <c r="AG316" s="113"/>
    </row>
    <row r="317" spans="1:33" ht="13.8">
      <c r="A317" s="113"/>
      <c r="B317" s="113"/>
      <c r="C317" s="113"/>
      <c r="D317" s="111"/>
      <c r="E317" s="113"/>
      <c r="F317" s="111"/>
      <c r="G317" s="113"/>
      <c r="H317" s="111"/>
      <c r="I317" s="113"/>
      <c r="J317" s="113"/>
      <c r="K317" s="113"/>
      <c r="L317" s="113"/>
      <c r="M317" s="113"/>
      <c r="N317" s="113"/>
      <c r="O317" s="113"/>
      <c r="P317" s="113"/>
      <c r="Q317" s="113"/>
      <c r="R317" s="113"/>
      <c r="S317" s="113"/>
      <c r="T317" s="113"/>
      <c r="U317" s="113"/>
      <c r="V317" s="113"/>
      <c r="W317" s="113"/>
      <c r="X317" s="113"/>
      <c r="Y317" s="113"/>
      <c r="Z317" s="113"/>
      <c r="AA317" s="113"/>
      <c r="AB317" s="113"/>
      <c r="AC317" s="113"/>
      <c r="AD317" s="113"/>
      <c r="AE317" s="113"/>
      <c r="AF317" s="113"/>
      <c r="AG317" s="113"/>
    </row>
    <row r="318" spans="1:33" ht="13.8">
      <c r="A318" s="113"/>
      <c r="B318" s="113"/>
      <c r="C318" s="113"/>
      <c r="D318" s="111"/>
      <c r="E318" s="113"/>
      <c r="F318" s="111"/>
      <c r="G318" s="113"/>
      <c r="H318" s="111"/>
      <c r="I318" s="113"/>
      <c r="J318" s="113"/>
      <c r="K318" s="113"/>
      <c r="L318" s="113"/>
      <c r="M318" s="113"/>
      <c r="N318" s="113"/>
      <c r="O318" s="113"/>
      <c r="P318" s="113"/>
      <c r="Q318" s="113"/>
      <c r="R318" s="113"/>
      <c r="S318" s="113"/>
      <c r="T318" s="113"/>
      <c r="U318" s="113"/>
      <c r="V318" s="113"/>
      <c r="W318" s="113"/>
      <c r="X318" s="113"/>
      <c r="Y318" s="113"/>
      <c r="Z318" s="113"/>
      <c r="AA318" s="113"/>
      <c r="AB318" s="113"/>
      <c r="AC318" s="113"/>
      <c r="AD318" s="113"/>
      <c r="AE318" s="113"/>
      <c r="AF318" s="113"/>
      <c r="AG318" s="113"/>
    </row>
    <row r="319" spans="1:33" ht="13.8">
      <c r="A319" s="113"/>
      <c r="B319" s="113"/>
      <c r="C319" s="113"/>
      <c r="D319" s="111"/>
      <c r="E319" s="113"/>
      <c r="F319" s="111"/>
      <c r="G319" s="113"/>
      <c r="H319" s="111"/>
      <c r="I319" s="113"/>
      <c r="J319" s="113"/>
      <c r="K319" s="113"/>
      <c r="L319" s="113"/>
      <c r="M319" s="113"/>
      <c r="N319" s="113"/>
      <c r="O319" s="113"/>
      <c r="P319" s="113"/>
      <c r="Q319" s="113"/>
      <c r="R319" s="113"/>
      <c r="S319" s="113"/>
      <c r="T319" s="113"/>
      <c r="U319" s="113"/>
      <c r="V319" s="113"/>
      <c r="W319" s="113"/>
      <c r="X319" s="113"/>
      <c r="Y319" s="113"/>
      <c r="Z319" s="113"/>
      <c r="AA319" s="113"/>
      <c r="AB319" s="113"/>
      <c r="AC319" s="113"/>
      <c r="AD319" s="113"/>
      <c r="AE319" s="113"/>
      <c r="AF319" s="113"/>
      <c r="AG319" s="113"/>
    </row>
    <row r="320" spans="1:33" ht="13.8">
      <c r="A320" s="113"/>
      <c r="B320" s="113"/>
      <c r="C320" s="113"/>
      <c r="D320" s="111"/>
      <c r="E320" s="113"/>
      <c r="F320" s="111"/>
      <c r="G320" s="113"/>
      <c r="H320" s="111"/>
      <c r="I320" s="113"/>
      <c r="J320" s="113"/>
      <c r="K320" s="113"/>
      <c r="L320" s="113"/>
      <c r="M320" s="113"/>
      <c r="N320" s="113"/>
      <c r="O320" s="113"/>
      <c r="P320" s="113"/>
      <c r="Q320" s="113"/>
      <c r="R320" s="113"/>
      <c r="S320" s="113"/>
      <c r="T320" s="113"/>
      <c r="U320" s="113"/>
      <c r="V320" s="113"/>
      <c r="W320" s="113"/>
      <c r="X320" s="113"/>
      <c r="Y320" s="113"/>
      <c r="Z320" s="113"/>
      <c r="AA320" s="113"/>
      <c r="AB320" s="113"/>
      <c r="AC320" s="113"/>
      <c r="AD320" s="113"/>
      <c r="AE320" s="113"/>
      <c r="AF320" s="113"/>
      <c r="AG320" s="113"/>
    </row>
    <row r="321" spans="1:33" ht="13.8">
      <c r="A321" s="113"/>
      <c r="B321" s="113"/>
      <c r="C321" s="113"/>
      <c r="D321" s="111"/>
      <c r="E321" s="113"/>
      <c r="F321" s="111"/>
      <c r="G321" s="113"/>
      <c r="H321" s="111"/>
      <c r="I321" s="113"/>
      <c r="J321" s="113"/>
      <c r="K321" s="113"/>
      <c r="L321" s="113"/>
      <c r="M321" s="113"/>
      <c r="N321" s="113"/>
      <c r="O321" s="113"/>
      <c r="P321" s="113"/>
      <c r="Q321" s="113"/>
      <c r="R321" s="113"/>
      <c r="S321" s="113"/>
      <c r="T321" s="113"/>
      <c r="U321" s="113"/>
      <c r="V321" s="113"/>
      <c r="W321" s="113"/>
      <c r="X321" s="113"/>
      <c r="Y321" s="113"/>
      <c r="Z321" s="113"/>
      <c r="AA321" s="113"/>
      <c r="AB321" s="113"/>
      <c r="AC321" s="113"/>
      <c r="AD321" s="113"/>
      <c r="AE321" s="113"/>
      <c r="AF321" s="113"/>
      <c r="AG321" s="113"/>
    </row>
    <row r="322" spans="1:33" ht="13.8">
      <c r="A322" s="113"/>
      <c r="B322" s="113"/>
      <c r="C322" s="113"/>
      <c r="D322" s="111"/>
      <c r="E322" s="113"/>
      <c r="F322" s="111"/>
      <c r="G322" s="113"/>
      <c r="H322" s="111"/>
      <c r="I322" s="113"/>
      <c r="J322" s="113"/>
      <c r="K322" s="113"/>
      <c r="L322" s="113"/>
      <c r="M322" s="113"/>
      <c r="N322" s="113"/>
      <c r="O322" s="113"/>
      <c r="P322" s="113"/>
      <c r="Q322" s="113"/>
      <c r="R322" s="113"/>
      <c r="S322" s="113"/>
      <c r="T322" s="113"/>
      <c r="U322" s="113"/>
      <c r="V322" s="113"/>
      <c r="W322" s="113"/>
      <c r="X322" s="113"/>
      <c r="Y322" s="113"/>
      <c r="Z322" s="113"/>
      <c r="AA322" s="113"/>
      <c r="AB322" s="113"/>
      <c r="AC322" s="113"/>
      <c r="AD322" s="113"/>
      <c r="AE322" s="113"/>
      <c r="AF322" s="113"/>
      <c r="AG322" s="113"/>
    </row>
    <row r="323" spans="1:33" ht="13.8">
      <c r="A323" s="113"/>
      <c r="B323" s="113"/>
      <c r="C323" s="113"/>
      <c r="D323" s="111"/>
      <c r="E323" s="113"/>
      <c r="F323" s="111"/>
      <c r="G323" s="113"/>
      <c r="H323" s="111"/>
      <c r="I323" s="113"/>
      <c r="J323" s="113"/>
      <c r="K323" s="113"/>
      <c r="L323" s="113"/>
      <c r="M323" s="113"/>
      <c r="N323" s="113"/>
      <c r="O323" s="113"/>
      <c r="P323" s="113"/>
      <c r="Q323" s="113"/>
      <c r="R323" s="113"/>
      <c r="S323" s="113"/>
      <c r="T323" s="113"/>
      <c r="U323" s="113"/>
      <c r="V323" s="113"/>
      <c r="W323" s="113"/>
      <c r="X323" s="113"/>
      <c r="Y323" s="113"/>
      <c r="Z323" s="113"/>
      <c r="AA323" s="113"/>
      <c r="AB323" s="113"/>
      <c r="AC323" s="113"/>
      <c r="AD323" s="113"/>
      <c r="AE323" s="113"/>
      <c r="AF323" s="113"/>
      <c r="AG323" s="113"/>
    </row>
    <row r="324" spans="1:33" ht="13.8">
      <c r="A324" s="113"/>
      <c r="B324" s="113"/>
      <c r="C324" s="113"/>
      <c r="D324" s="111"/>
      <c r="E324" s="113"/>
      <c r="F324" s="111"/>
      <c r="G324" s="113"/>
      <c r="H324" s="111"/>
      <c r="I324" s="113"/>
      <c r="J324" s="113"/>
      <c r="K324" s="113"/>
      <c r="L324" s="113"/>
      <c r="M324" s="113"/>
      <c r="N324" s="113"/>
      <c r="O324" s="113"/>
      <c r="P324" s="113"/>
      <c r="Q324" s="113"/>
      <c r="R324" s="113"/>
      <c r="S324" s="113"/>
      <c r="T324" s="113"/>
      <c r="U324" s="113"/>
      <c r="V324" s="113"/>
      <c r="W324" s="113"/>
      <c r="X324" s="113"/>
      <c r="Y324" s="113"/>
      <c r="Z324" s="113"/>
      <c r="AA324" s="113"/>
      <c r="AB324" s="113"/>
      <c r="AC324" s="113"/>
      <c r="AD324" s="113"/>
      <c r="AE324" s="113"/>
      <c r="AF324" s="113"/>
      <c r="AG324" s="113"/>
    </row>
    <row r="325" spans="1:33" ht="13.8">
      <c r="A325" s="113"/>
      <c r="B325" s="113"/>
      <c r="C325" s="113"/>
      <c r="D325" s="111"/>
      <c r="E325" s="113"/>
      <c r="F325" s="111"/>
      <c r="G325" s="113"/>
      <c r="H325" s="111"/>
      <c r="I325" s="113"/>
      <c r="J325" s="113"/>
      <c r="K325" s="113"/>
      <c r="L325" s="113"/>
      <c r="M325" s="113"/>
      <c r="N325" s="113"/>
      <c r="O325" s="113"/>
      <c r="P325" s="113"/>
      <c r="Q325" s="113"/>
      <c r="R325" s="113"/>
      <c r="S325" s="113"/>
      <c r="T325" s="113"/>
      <c r="U325" s="113"/>
      <c r="V325" s="113"/>
      <c r="W325" s="113"/>
      <c r="X325" s="113"/>
      <c r="Y325" s="113"/>
      <c r="Z325" s="113"/>
      <c r="AA325" s="113"/>
      <c r="AB325" s="113"/>
      <c r="AC325" s="113"/>
      <c r="AD325" s="113"/>
      <c r="AE325" s="113"/>
      <c r="AF325" s="113"/>
      <c r="AG325" s="113"/>
    </row>
    <row r="326" spans="1:33" ht="13.8">
      <c r="A326" s="113"/>
      <c r="B326" s="113"/>
      <c r="C326" s="113"/>
      <c r="D326" s="111"/>
      <c r="E326" s="113"/>
      <c r="F326" s="111"/>
      <c r="G326" s="113"/>
      <c r="H326" s="111"/>
      <c r="I326" s="113"/>
      <c r="J326" s="113"/>
      <c r="K326" s="113"/>
      <c r="L326" s="113"/>
      <c r="M326" s="113"/>
      <c r="N326" s="113"/>
      <c r="O326" s="113"/>
      <c r="P326" s="113"/>
      <c r="Q326" s="113"/>
      <c r="R326" s="113"/>
      <c r="S326" s="113"/>
      <c r="T326" s="113"/>
      <c r="U326" s="113"/>
      <c r="V326" s="113"/>
      <c r="W326" s="113"/>
      <c r="X326" s="113"/>
      <c r="Y326" s="113"/>
      <c r="Z326" s="113"/>
      <c r="AA326" s="113"/>
      <c r="AB326" s="113"/>
      <c r="AC326" s="113"/>
      <c r="AD326" s="113"/>
      <c r="AE326" s="113"/>
      <c r="AF326" s="113"/>
      <c r="AG326" s="113"/>
    </row>
    <row r="327" spans="1:33" ht="13.8">
      <c r="A327" s="113"/>
      <c r="B327" s="113"/>
      <c r="C327" s="113"/>
      <c r="D327" s="111"/>
      <c r="E327" s="113"/>
      <c r="F327" s="111"/>
      <c r="G327" s="113"/>
      <c r="H327" s="111"/>
      <c r="I327" s="113"/>
      <c r="J327" s="113"/>
      <c r="K327" s="113"/>
      <c r="L327" s="113"/>
      <c r="M327" s="113"/>
      <c r="N327" s="113"/>
      <c r="O327" s="113"/>
      <c r="P327" s="113"/>
      <c r="Q327" s="113"/>
      <c r="R327" s="113"/>
      <c r="S327" s="113"/>
      <c r="T327" s="113"/>
      <c r="U327" s="113"/>
      <c r="V327" s="113"/>
      <c r="W327" s="113"/>
      <c r="X327" s="113"/>
      <c r="Y327" s="113"/>
      <c r="Z327" s="113"/>
      <c r="AA327" s="113"/>
      <c r="AB327" s="113"/>
      <c r="AC327" s="113"/>
      <c r="AD327" s="113"/>
      <c r="AE327" s="113"/>
      <c r="AF327" s="113"/>
      <c r="AG327" s="113"/>
    </row>
    <row r="328" spans="1:33" ht="13.8">
      <c r="A328" s="113"/>
      <c r="B328" s="113"/>
      <c r="C328" s="113"/>
      <c r="D328" s="111"/>
      <c r="E328" s="113"/>
      <c r="F328" s="111"/>
      <c r="G328" s="113"/>
      <c r="H328" s="111"/>
      <c r="I328" s="113"/>
      <c r="J328" s="113"/>
      <c r="K328" s="113"/>
      <c r="L328" s="113"/>
      <c r="M328" s="113"/>
      <c r="N328" s="113"/>
      <c r="O328" s="113"/>
      <c r="P328" s="113"/>
      <c r="Q328" s="113"/>
      <c r="R328" s="113"/>
      <c r="S328" s="113"/>
      <c r="T328" s="113"/>
      <c r="U328" s="113"/>
      <c r="V328" s="113"/>
      <c r="W328" s="113"/>
      <c r="X328" s="113"/>
      <c r="Y328" s="113"/>
      <c r="Z328" s="113"/>
      <c r="AA328" s="113"/>
      <c r="AB328" s="113"/>
      <c r="AC328" s="113"/>
      <c r="AD328" s="113"/>
      <c r="AE328" s="113"/>
      <c r="AF328" s="113"/>
      <c r="AG328" s="113"/>
    </row>
    <row r="329" spans="1:33" ht="13.8">
      <c r="A329" s="113"/>
      <c r="B329" s="113"/>
      <c r="C329" s="113"/>
      <c r="D329" s="111"/>
      <c r="E329" s="113"/>
      <c r="F329" s="111"/>
      <c r="G329" s="113"/>
      <c r="H329" s="111"/>
      <c r="I329" s="113"/>
      <c r="J329" s="113"/>
      <c r="K329" s="113"/>
      <c r="L329" s="113"/>
      <c r="M329" s="113"/>
      <c r="N329" s="113"/>
      <c r="O329" s="113"/>
      <c r="P329" s="113"/>
      <c r="Q329" s="113"/>
      <c r="R329" s="113"/>
      <c r="S329" s="113"/>
      <c r="T329" s="113"/>
      <c r="U329" s="113"/>
      <c r="V329" s="113"/>
      <c r="W329" s="113"/>
      <c r="X329" s="113"/>
      <c r="Y329" s="113"/>
      <c r="Z329" s="113"/>
      <c r="AA329" s="113"/>
      <c r="AB329" s="113"/>
      <c r="AC329" s="113"/>
      <c r="AD329" s="113"/>
      <c r="AE329" s="113"/>
      <c r="AF329" s="113"/>
      <c r="AG329" s="113"/>
    </row>
    <row r="330" spans="1:33" ht="13.8">
      <c r="A330" s="113"/>
      <c r="B330" s="113"/>
      <c r="C330" s="113"/>
      <c r="D330" s="111"/>
      <c r="E330" s="113"/>
      <c r="F330" s="111"/>
      <c r="G330" s="113"/>
      <c r="H330" s="111"/>
      <c r="I330" s="113"/>
      <c r="J330" s="113"/>
      <c r="K330" s="113"/>
      <c r="L330" s="113"/>
      <c r="M330" s="113"/>
      <c r="N330" s="113"/>
      <c r="O330" s="113"/>
      <c r="P330" s="113"/>
      <c r="Q330" s="113"/>
      <c r="R330" s="113"/>
      <c r="S330" s="113"/>
      <c r="T330" s="113"/>
      <c r="U330" s="113"/>
      <c r="V330" s="113"/>
      <c r="W330" s="113"/>
      <c r="X330" s="113"/>
      <c r="Y330" s="113"/>
      <c r="Z330" s="113"/>
      <c r="AA330" s="113"/>
      <c r="AB330" s="113"/>
      <c r="AC330" s="113"/>
      <c r="AD330" s="113"/>
      <c r="AE330" s="113"/>
      <c r="AF330" s="113"/>
      <c r="AG330" s="113"/>
    </row>
    <row r="331" spans="1:33" ht="13.8">
      <c r="A331" s="113"/>
      <c r="B331" s="113"/>
      <c r="C331" s="113"/>
      <c r="D331" s="111"/>
      <c r="E331" s="113"/>
      <c r="F331" s="111"/>
      <c r="G331" s="113"/>
      <c r="H331" s="111"/>
      <c r="I331" s="113"/>
      <c r="J331" s="113"/>
      <c r="K331" s="113"/>
      <c r="L331" s="113"/>
      <c r="M331" s="113"/>
      <c r="N331" s="113"/>
      <c r="O331" s="113"/>
      <c r="P331" s="113"/>
      <c r="Q331" s="113"/>
      <c r="R331" s="113"/>
      <c r="S331" s="113"/>
      <c r="T331" s="113"/>
      <c r="U331" s="113"/>
      <c r="V331" s="113"/>
      <c r="W331" s="113"/>
      <c r="X331" s="113"/>
      <c r="Y331" s="113"/>
      <c r="Z331" s="113"/>
      <c r="AA331" s="113"/>
      <c r="AB331" s="113"/>
      <c r="AC331" s="113"/>
      <c r="AD331" s="113"/>
      <c r="AE331" s="113"/>
      <c r="AF331" s="113"/>
      <c r="AG331" s="113"/>
    </row>
    <row r="332" spans="1:33" ht="13.8">
      <c r="A332" s="113"/>
      <c r="B332" s="113"/>
      <c r="C332" s="113"/>
      <c r="D332" s="111"/>
      <c r="E332" s="113"/>
      <c r="F332" s="111"/>
      <c r="G332" s="113"/>
      <c r="H332" s="111"/>
      <c r="I332" s="113"/>
      <c r="J332" s="113"/>
      <c r="K332" s="113"/>
      <c r="L332" s="113"/>
      <c r="M332" s="113"/>
      <c r="N332" s="113"/>
      <c r="O332" s="113"/>
      <c r="P332" s="113"/>
      <c r="Q332" s="113"/>
      <c r="R332" s="113"/>
      <c r="S332" s="113"/>
      <c r="T332" s="113"/>
      <c r="U332" s="113"/>
      <c r="V332" s="113"/>
      <c r="W332" s="113"/>
      <c r="X332" s="113"/>
      <c r="Y332" s="113"/>
      <c r="Z332" s="113"/>
      <c r="AA332" s="113"/>
      <c r="AB332" s="113"/>
      <c r="AC332" s="113"/>
      <c r="AD332" s="113"/>
      <c r="AE332" s="113"/>
      <c r="AF332" s="113"/>
      <c r="AG332" s="113"/>
    </row>
    <row r="333" spans="1:33" ht="13.8">
      <c r="A333" s="113"/>
      <c r="B333" s="113"/>
      <c r="C333" s="113"/>
      <c r="D333" s="111"/>
      <c r="E333" s="113"/>
      <c r="F333" s="111"/>
      <c r="G333" s="113"/>
      <c r="H333" s="111"/>
      <c r="I333" s="113"/>
      <c r="J333" s="113"/>
      <c r="K333" s="113"/>
      <c r="L333" s="113"/>
      <c r="M333" s="113"/>
      <c r="N333" s="113"/>
      <c r="O333" s="113"/>
      <c r="P333" s="113"/>
      <c r="Q333" s="113"/>
      <c r="R333" s="113"/>
      <c r="S333" s="113"/>
      <c r="T333" s="113"/>
      <c r="U333" s="113"/>
      <c r="V333" s="113"/>
      <c r="W333" s="113"/>
      <c r="X333" s="113"/>
      <c r="Y333" s="113"/>
      <c r="Z333" s="113"/>
      <c r="AA333" s="113"/>
      <c r="AB333" s="113"/>
      <c r="AC333" s="113"/>
      <c r="AD333" s="113"/>
      <c r="AE333" s="113"/>
      <c r="AF333" s="113"/>
      <c r="AG333" s="113"/>
    </row>
    <row r="334" spans="1:33" ht="13.8">
      <c r="A334" s="113"/>
      <c r="B334" s="113"/>
      <c r="C334" s="113"/>
      <c r="D334" s="111"/>
      <c r="E334" s="113"/>
      <c r="F334" s="111"/>
      <c r="G334" s="113"/>
      <c r="H334" s="111"/>
      <c r="I334" s="113"/>
      <c r="J334" s="113"/>
      <c r="K334" s="113"/>
      <c r="L334" s="113"/>
      <c r="M334" s="113"/>
      <c r="N334" s="113"/>
      <c r="O334" s="113"/>
      <c r="P334" s="113"/>
      <c r="Q334" s="113"/>
      <c r="R334" s="113"/>
      <c r="S334" s="113"/>
      <c r="T334" s="113"/>
      <c r="U334" s="113"/>
      <c r="V334" s="113"/>
      <c r="W334" s="113"/>
      <c r="X334" s="113"/>
      <c r="Y334" s="113"/>
      <c r="Z334" s="113"/>
      <c r="AA334" s="113"/>
      <c r="AB334" s="113"/>
      <c r="AC334" s="113"/>
      <c r="AD334" s="113"/>
      <c r="AE334" s="113"/>
      <c r="AF334" s="113"/>
      <c r="AG334" s="113"/>
    </row>
    <row r="335" spans="1:33" ht="13.8">
      <c r="A335" s="113"/>
      <c r="B335" s="113"/>
      <c r="C335" s="113"/>
      <c r="D335" s="111"/>
      <c r="E335" s="113"/>
      <c r="F335" s="111"/>
      <c r="G335" s="113"/>
      <c r="H335" s="111"/>
      <c r="I335" s="113"/>
      <c r="J335" s="113"/>
      <c r="K335" s="113"/>
      <c r="L335" s="113"/>
      <c r="M335" s="113"/>
      <c r="N335" s="113"/>
      <c r="O335" s="113"/>
      <c r="P335" s="113"/>
      <c r="Q335" s="113"/>
      <c r="R335" s="113"/>
      <c r="S335" s="113"/>
      <c r="T335" s="113"/>
      <c r="U335" s="113"/>
      <c r="V335" s="113"/>
      <c r="W335" s="113"/>
      <c r="X335" s="113"/>
      <c r="Y335" s="113"/>
      <c r="Z335" s="113"/>
      <c r="AA335" s="113"/>
      <c r="AB335" s="113"/>
      <c r="AC335" s="113"/>
      <c r="AD335" s="113"/>
      <c r="AE335" s="113"/>
      <c r="AF335" s="113"/>
      <c r="AG335" s="113"/>
    </row>
    <row r="336" spans="1:33" ht="13.8">
      <c r="A336" s="113"/>
      <c r="B336" s="113"/>
      <c r="C336" s="113"/>
      <c r="D336" s="111"/>
      <c r="E336" s="113"/>
      <c r="F336" s="111"/>
      <c r="G336" s="113"/>
      <c r="H336" s="111"/>
      <c r="I336" s="113"/>
      <c r="J336" s="113"/>
      <c r="K336" s="113"/>
      <c r="L336" s="113"/>
      <c r="M336" s="113"/>
      <c r="N336" s="113"/>
      <c r="O336" s="113"/>
      <c r="P336" s="113"/>
      <c r="Q336" s="113"/>
      <c r="R336" s="113"/>
      <c r="S336" s="113"/>
      <c r="T336" s="113"/>
      <c r="U336" s="113"/>
      <c r="V336" s="113"/>
      <c r="W336" s="113"/>
      <c r="X336" s="113"/>
      <c r="Y336" s="113"/>
      <c r="Z336" s="113"/>
      <c r="AA336" s="113"/>
      <c r="AB336" s="113"/>
      <c r="AC336" s="113"/>
      <c r="AD336" s="113"/>
      <c r="AE336" s="113"/>
      <c r="AF336" s="113"/>
      <c r="AG336" s="113"/>
    </row>
    <row r="337" spans="1:33" ht="13.8">
      <c r="A337" s="113"/>
      <c r="B337" s="113"/>
      <c r="C337" s="113"/>
      <c r="D337" s="111"/>
      <c r="E337" s="113"/>
      <c r="F337" s="111"/>
      <c r="G337" s="113"/>
      <c r="H337" s="111"/>
      <c r="I337" s="113"/>
      <c r="J337" s="113"/>
      <c r="K337" s="113"/>
      <c r="L337" s="113"/>
      <c r="M337" s="113"/>
      <c r="N337" s="113"/>
      <c r="O337" s="113"/>
      <c r="P337" s="113"/>
      <c r="Q337" s="113"/>
      <c r="R337" s="113"/>
      <c r="S337" s="113"/>
      <c r="T337" s="113"/>
      <c r="U337" s="113"/>
      <c r="V337" s="113"/>
      <c r="W337" s="113"/>
      <c r="X337" s="113"/>
      <c r="Y337" s="113"/>
      <c r="Z337" s="113"/>
      <c r="AA337" s="113"/>
      <c r="AB337" s="113"/>
      <c r="AC337" s="113"/>
      <c r="AD337" s="113"/>
      <c r="AE337" s="113"/>
      <c r="AF337" s="113"/>
      <c r="AG337" s="113"/>
    </row>
    <row r="338" spans="1:33" ht="13.8">
      <c r="A338" s="113"/>
      <c r="B338" s="113"/>
      <c r="C338" s="113"/>
      <c r="D338" s="111"/>
      <c r="E338" s="113"/>
      <c r="F338" s="111"/>
      <c r="G338" s="113"/>
      <c r="H338" s="111"/>
      <c r="I338" s="113"/>
      <c r="J338" s="113"/>
      <c r="K338" s="113"/>
      <c r="L338" s="113"/>
      <c r="M338" s="113"/>
      <c r="N338" s="113"/>
      <c r="O338" s="113"/>
      <c r="P338" s="113"/>
      <c r="Q338" s="113"/>
      <c r="R338" s="113"/>
      <c r="S338" s="113"/>
      <c r="T338" s="113"/>
      <c r="U338" s="113"/>
      <c r="V338" s="113"/>
      <c r="W338" s="113"/>
      <c r="X338" s="113"/>
      <c r="Y338" s="113"/>
      <c r="Z338" s="113"/>
      <c r="AA338" s="113"/>
      <c r="AB338" s="113"/>
      <c r="AC338" s="113"/>
      <c r="AD338" s="113"/>
      <c r="AE338" s="113"/>
      <c r="AF338" s="113"/>
      <c r="AG338" s="113"/>
    </row>
    <row r="339" spans="1:33" ht="13.8">
      <c r="A339" s="113"/>
      <c r="B339" s="113"/>
      <c r="C339" s="113"/>
      <c r="D339" s="111"/>
      <c r="E339" s="113"/>
      <c r="F339" s="111"/>
      <c r="G339" s="113"/>
      <c r="H339" s="111"/>
      <c r="I339" s="113"/>
      <c r="J339" s="113"/>
      <c r="K339" s="113"/>
      <c r="L339" s="113"/>
      <c r="M339" s="113"/>
      <c r="N339" s="113"/>
      <c r="O339" s="113"/>
      <c r="P339" s="113"/>
      <c r="Q339" s="113"/>
      <c r="R339" s="113"/>
      <c r="S339" s="113"/>
      <c r="T339" s="113"/>
      <c r="U339" s="113"/>
      <c r="V339" s="113"/>
      <c r="W339" s="113"/>
      <c r="X339" s="113"/>
      <c r="Y339" s="113"/>
      <c r="Z339" s="113"/>
      <c r="AA339" s="113"/>
      <c r="AB339" s="113"/>
      <c r="AC339" s="113"/>
      <c r="AD339" s="113"/>
      <c r="AE339" s="113"/>
      <c r="AF339" s="113"/>
      <c r="AG339" s="113"/>
    </row>
    <row r="340" spans="1:33" ht="13.8">
      <c r="A340" s="113"/>
      <c r="B340" s="113"/>
      <c r="C340" s="113"/>
      <c r="D340" s="111"/>
      <c r="E340" s="113"/>
      <c r="F340" s="111"/>
      <c r="G340" s="113"/>
      <c r="H340" s="111"/>
      <c r="I340" s="113"/>
      <c r="J340" s="113"/>
      <c r="K340" s="113"/>
      <c r="L340" s="113"/>
      <c r="M340" s="113"/>
      <c r="N340" s="113"/>
      <c r="O340" s="113"/>
      <c r="P340" s="113"/>
      <c r="Q340" s="113"/>
      <c r="R340" s="113"/>
      <c r="S340" s="113"/>
      <c r="T340" s="113"/>
      <c r="U340" s="113"/>
      <c r="V340" s="113"/>
      <c r="W340" s="113"/>
      <c r="X340" s="113"/>
      <c r="Y340" s="113"/>
      <c r="Z340" s="113"/>
      <c r="AA340" s="113"/>
      <c r="AB340" s="113"/>
      <c r="AC340" s="113"/>
      <c r="AD340" s="113"/>
      <c r="AE340" s="113"/>
      <c r="AF340" s="113"/>
      <c r="AG340" s="113"/>
    </row>
    <row r="341" spans="1:33" ht="13.8">
      <c r="A341" s="113"/>
      <c r="B341" s="113"/>
      <c r="C341" s="113"/>
      <c r="D341" s="111"/>
      <c r="E341" s="113"/>
      <c r="F341" s="111"/>
      <c r="G341" s="113"/>
      <c r="H341" s="111"/>
      <c r="I341" s="113"/>
      <c r="J341" s="113"/>
      <c r="K341" s="113"/>
      <c r="L341" s="113"/>
      <c r="M341" s="113"/>
      <c r="N341" s="113"/>
      <c r="O341" s="113"/>
      <c r="P341" s="113"/>
      <c r="Q341" s="113"/>
      <c r="R341" s="113"/>
      <c r="S341" s="113"/>
      <c r="T341" s="113"/>
      <c r="U341" s="113"/>
      <c r="V341" s="113"/>
      <c r="W341" s="113"/>
      <c r="X341" s="113"/>
      <c r="Y341" s="113"/>
      <c r="Z341" s="113"/>
      <c r="AA341" s="113"/>
      <c r="AB341" s="113"/>
      <c r="AC341" s="113"/>
      <c r="AD341" s="113"/>
      <c r="AE341" s="113"/>
      <c r="AF341" s="113"/>
      <c r="AG341" s="113"/>
    </row>
    <row r="342" spans="1:33" ht="13.8">
      <c r="A342" s="113"/>
      <c r="B342" s="113"/>
      <c r="C342" s="113"/>
      <c r="D342" s="111"/>
      <c r="E342" s="113"/>
      <c r="F342" s="111"/>
      <c r="G342" s="113"/>
      <c r="H342" s="111"/>
      <c r="I342" s="113"/>
      <c r="J342" s="113"/>
      <c r="K342" s="113"/>
      <c r="L342" s="113"/>
      <c r="M342" s="113"/>
      <c r="N342" s="113"/>
      <c r="O342" s="113"/>
      <c r="P342" s="113"/>
      <c r="Q342" s="113"/>
      <c r="R342" s="113"/>
      <c r="S342" s="113"/>
      <c r="T342" s="113"/>
      <c r="U342" s="113"/>
      <c r="V342" s="113"/>
      <c r="W342" s="113"/>
      <c r="X342" s="113"/>
      <c r="Y342" s="113"/>
      <c r="Z342" s="113"/>
      <c r="AA342" s="113"/>
      <c r="AB342" s="113"/>
      <c r="AC342" s="113"/>
      <c r="AD342" s="113"/>
      <c r="AE342" s="113"/>
      <c r="AF342" s="113"/>
      <c r="AG342" s="113"/>
    </row>
    <row r="343" spans="1:33" ht="13.8">
      <c r="A343" s="113"/>
      <c r="B343" s="113"/>
      <c r="C343" s="113"/>
      <c r="D343" s="111"/>
      <c r="E343" s="113"/>
      <c r="F343" s="111"/>
      <c r="G343" s="113"/>
      <c r="H343" s="111"/>
      <c r="I343" s="113"/>
      <c r="J343" s="113"/>
      <c r="K343" s="113"/>
      <c r="L343" s="113"/>
      <c r="M343" s="113"/>
      <c r="N343" s="113"/>
      <c r="O343" s="113"/>
      <c r="P343" s="113"/>
      <c r="Q343" s="113"/>
      <c r="R343" s="113"/>
      <c r="S343" s="113"/>
      <c r="T343" s="113"/>
      <c r="U343" s="113"/>
      <c r="V343" s="113"/>
      <c r="W343" s="113"/>
      <c r="X343" s="113"/>
      <c r="Y343" s="113"/>
      <c r="Z343" s="113"/>
      <c r="AA343" s="113"/>
      <c r="AB343" s="113"/>
      <c r="AC343" s="113"/>
      <c r="AD343" s="113"/>
      <c r="AE343" s="113"/>
      <c r="AF343" s="113"/>
      <c r="AG343" s="113"/>
    </row>
    <row r="344" spans="1:33" ht="13.8">
      <c r="A344" s="113"/>
      <c r="B344" s="113"/>
      <c r="C344" s="113"/>
      <c r="D344" s="111"/>
      <c r="E344" s="113"/>
      <c r="F344" s="111"/>
      <c r="G344" s="113"/>
      <c r="H344" s="111"/>
      <c r="I344" s="113"/>
      <c r="J344" s="113"/>
      <c r="K344" s="113"/>
      <c r="L344" s="113"/>
      <c r="M344" s="113"/>
      <c r="N344" s="113"/>
      <c r="O344" s="113"/>
      <c r="P344" s="113"/>
      <c r="Q344" s="113"/>
      <c r="R344" s="113"/>
      <c r="S344" s="113"/>
      <c r="T344" s="113"/>
      <c r="U344" s="113"/>
      <c r="V344" s="113"/>
      <c r="W344" s="113"/>
      <c r="X344" s="113"/>
      <c r="Y344" s="113"/>
      <c r="Z344" s="113"/>
      <c r="AA344" s="113"/>
      <c r="AB344" s="113"/>
      <c r="AC344" s="113"/>
      <c r="AD344" s="113"/>
      <c r="AE344" s="113"/>
      <c r="AF344" s="113"/>
      <c r="AG344" s="113"/>
    </row>
    <row r="345" spans="1:33" ht="13.8">
      <c r="A345" s="113"/>
      <c r="B345" s="113"/>
      <c r="C345" s="113"/>
      <c r="D345" s="111"/>
      <c r="E345" s="113"/>
      <c r="F345" s="111"/>
      <c r="G345" s="113"/>
      <c r="H345" s="111"/>
      <c r="I345" s="113"/>
      <c r="J345" s="113"/>
      <c r="K345" s="113"/>
      <c r="L345" s="113"/>
      <c r="M345" s="113"/>
      <c r="N345" s="113"/>
      <c r="O345" s="113"/>
      <c r="P345" s="113"/>
      <c r="Q345" s="113"/>
      <c r="R345" s="113"/>
      <c r="S345" s="113"/>
      <c r="T345" s="113"/>
      <c r="U345" s="113"/>
      <c r="V345" s="113"/>
      <c r="W345" s="113"/>
      <c r="X345" s="113"/>
      <c r="Y345" s="113"/>
      <c r="Z345" s="113"/>
      <c r="AA345" s="113"/>
      <c r="AB345" s="113"/>
      <c r="AC345" s="113"/>
      <c r="AD345" s="113"/>
      <c r="AE345" s="113"/>
      <c r="AF345" s="113"/>
      <c r="AG345" s="113"/>
    </row>
    <row r="346" spans="1:33" ht="13.8">
      <c r="A346" s="113"/>
      <c r="B346" s="113"/>
      <c r="C346" s="113"/>
      <c r="D346" s="111"/>
      <c r="E346" s="113"/>
      <c r="F346" s="111"/>
      <c r="G346" s="113"/>
      <c r="H346" s="111"/>
      <c r="I346" s="113"/>
      <c r="J346" s="113"/>
      <c r="K346" s="113"/>
      <c r="L346" s="113"/>
      <c r="M346" s="113"/>
      <c r="N346" s="113"/>
      <c r="O346" s="113"/>
      <c r="P346" s="113"/>
      <c r="Q346" s="113"/>
      <c r="R346" s="113"/>
      <c r="S346" s="113"/>
      <c r="T346" s="113"/>
      <c r="U346" s="113"/>
      <c r="V346" s="113"/>
      <c r="W346" s="113"/>
      <c r="X346" s="113"/>
      <c r="Y346" s="113"/>
      <c r="Z346" s="113"/>
      <c r="AA346" s="113"/>
      <c r="AB346" s="113"/>
      <c r="AC346" s="113"/>
      <c r="AD346" s="113"/>
      <c r="AE346" s="113"/>
      <c r="AF346" s="113"/>
      <c r="AG346" s="113"/>
    </row>
    <row r="347" spans="1:33" ht="13.8">
      <c r="A347" s="113"/>
      <c r="B347" s="113"/>
      <c r="C347" s="113"/>
      <c r="D347" s="111"/>
      <c r="E347" s="113"/>
      <c r="F347" s="111"/>
      <c r="G347" s="113"/>
      <c r="H347" s="111"/>
      <c r="I347" s="113"/>
      <c r="J347" s="113"/>
      <c r="K347" s="113"/>
      <c r="L347" s="113"/>
      <c r="M347" s="113"/>
      <c r="N347" s="113"/>
      <c r="O347" s="113"/>
      <c r="P347" s="113"/>
      <c r="Q347" s="113"/>
      <c r="R347" s="113"/>
      <c r="S347" s="113"/>
      <c r="T347" s="113"/>
      <c r="U347" s="113"/>
      <c r="V347" s="113"/>
      <c r="W347" s="113"/>
      <c r="X347" s="113"/>
      <c r="Y347" s="113"/>
      <c r="Z347" s="113"/>
      <c r="AA347" s="113"/>
      <c r="AB347" s="113"/>
      <c r="AC347" s="113"/>
      <c r="AD347" s="113"/>
      <c r="AE347" s="113"/>
      <c r="AF347" s="113"/>
      <c r="AG347" s="113"/>
    </row>
    <row r="348" spans="1:33" ht="13.8">
      <c r="A348" s="113"/>
      <c r="B348" s="113"/>
      <c r="C348" s="113"/>
      <c r="D348" s="111"/>
      <c r="E348" s="113"/>
      <c r="F348" s="111"/>
      <c r="G348" s="113"/>
      <c r="H348" s="111"/>
      <c r="I348" s="113"/>
      <c r="J348" s="113"/>
      <c r="K348" s="113"/>
      <c r="L348" s="113"/>
      <c r="M348" s="113"/>
      <c r="N348" s="113"/>
      <c r="O348" s="113"/>
      <c r="P348" s="113"/>
      <c r="Q348" s="113"/>
      <c r="R348" s="113"/>
      <c r="S348" s="113"/>
      <c r="T348" s="113"/>
      <c r="U348" s="113"/>
      <c r="V348" s="113"/>
      <c r="W348" s="113"/>
      <c r="X348" s="113"/>
      <c r="Y348" s="113"/>
      <c r="Z348" s="113"/>
      <c r="AA348" s="113"/>
      <c r="AB348" s="113"/>
      <c r="AC348" s="113"/>
      <c r="AD348" s="113"/>
      <c r="AE348" s="113"/>
      <c r="AF348" s="113"/>
      <c r="AG348" s="113"/>
    </row>
    <row r="349" spans="1:33" ht="13.8">
      <c r="A349" s="113"/>
      <c r="B349" s="113"/>
      <c r="C349" s="113"/>
      <c r="D349" s="111"/>
      <c r="E349" s="113"/>
      <c r="F349" s="111"/>
      <c r="G349" s="113"/>
      <c r="H349" s="111"/>
      <c r="I349" s="113"/>
      <c r="J349" s="113"/>
      <c r="K349" s="113"/>
      <c r="L349" s="113"/>
      <c r="M349" s="113"/>
      <c r="N349" s="113"/>
      <c r="O349" s="113"/>
      <c r="P349" s="113"/>
      <c r="Q349" s="113"/>
      <c r="R349" s="113"/>
      <c r="S349" s="113"/>
      <c r="T349" s="113"/>
      <c r="U349" s="113"/>
      <c r="V349" s="113"/>
      <c r="W349" s="113"/>
      <c r="X349" s="113"/>
      <c r="Y349" s="113"/>
      <c r="Z349" s="113"/>
      <c r="AA349" s="113"/>
      <c r="AB349" s="113"/>
      <c r="AC349" s="113"/>
      <c r="AD349" s="113"/>
      <c r="AE349" s="113"/>
      <c r="AF349" s="113"/>
      <c r="AG349" s="113"/>
    </row>
    <row r="350" spans="1:33" ht="13.8">
      <c r="A350" s="113"/>
      <c r="B350" s="113"/>
      <c r="C350" s="113"/>
      <c r="D350" s="111"/>
      <c r="E350" s="113"/>
      <c r="F350" s="111"/>
      <c r="G350" s="113"/>
      <c r="H350" s="111"/>
      <c r="I350" s="113"/>
      <c r="J350" s="113"/>
      <c r="K350" s="113"/>
      <c r="L350" s="113"/>
      <c r="M350" s="113"/>
      <c r="N350" s="113"/>
      <c r="O350" s="113"/>
      <c r="P350" s="113"/>
      <c r="Q350" s="113"/>
      <c r="R350" s="113"/>
      <c r="S350" s="113"/>
      <c r="T350" s="113"/>
      <c r="U350" s="113"/>
      <c r="V350" s="113"/>
      <c r="W350" s="113"/>
      <c r="X350" s="113"/>
      <c r="Y350" s="113"/>
      <c r="Z350" s="113"/>
      <c r="AA350" s="113"/>
      <c r="AB350" s="113"/>
      <c r="AC350" s="113"/>
      <c r="AD350" s="113"/>
      <c r="AE350" s="113"/>
      <c r="AF350" s="113"/>
      <c r="AG350" s="113"/>
    </row>
    <row r="351" spans="1:33" ht="13.8">
      <c r="A351" s="113"/>
      <c r="B351" s="113"/>
      <c r="C351" s="113"/>
      <c r="D351" s="111"/>
      <c r="E351" s="113"/>
      <c r="F351" s="111"/>
      <c r="G351" s="113"/>
      <c r="H351" s="111"/>
      <c r="I351" s="113"/>
      <c r="J351" s="113"/>
      <c r="K351" s="113"/>
      <c r="L351" s="113"/>
      <c r="M351" s="113"/>
      <c r="N351" s="113"/>
      <c r="O351" s="113"/>
      <c r="P351" s="113"/>
      <c r="Q351" s="113"/>
      <c r="R351" s="113"/>
      <c r="S351" s="113"/>
      <c r="T351" s="113"/>
      <c r="U351" s="113"/>
      <c r="V351" s="113"/>
      <c r="W351" s="113"/>
      <c r="X351" s="113"/>
      <c r="Y351" s="113"/>
      <c r="Z351" s="113"/>
      <c r="AA351" s="113"/>
      <c r="AB351" s="113"/>
      <c r="AC351" s="113"/>
      <c r="AD351" s="113"/>
      <c r="AE351" s="113"/>
      <c r="AF351" s="113"/>
      <c r="AG351" s="113"/>
    </row>
    <row r="352" spans="1:33" ht="13.8">
      <c r="A352" s="113"/>
      <c r="B352" s="113"/>
      <c r="C352" s="113"/>
      <c r="D352" s="111"/>
      <c r="E352" s="113"/>
      <c r="F352" s="111"/>
      <c r="G352" s="113"/>
      <c r="H352" s="111"/>
      <c r="I352" s="113"/>
      <c r="J352" s="113"/>
      <c r="K352" s="113"/>
      <c r="L352" s="113"/>
      <c r="M352" s="113"/>
      <c r="N352" s="113"/>
      <c r="O352" s="113"/>
      <c r="P352" s="113"/>
      <c r="Q352" s="113"/>
      <c r="R352" s="113"/>
      <c r="S352" s="113"/>
      <c r="T352" s="113"/>
      <c r="U352" s="113"/>
      <c r="V352" s="113"/>
      <c r="W352" s="113"/>
      <c r="X352" s="113"/>
      <c r="Y352" s="113"/>
      <c r="Z352" s="113"/>
      <c r="AA352" s="113"/>
      <c r="AB352" s="113"/>
      <c r="AC352" s="113"/>
      <c r="AD352" s="113"/>
      <c r="AE352" s="113"/>
      <c r="AF352" s="113"/>
      <c r="AG352" s="113"/>
    </row>
    <row r="353" spans="1:33" ht="13.8">
      <c r="A353" s="113"/>
      <c r="B353" s="113"/>
      <c r="C353" s="113"/>
      <c r="D353" s="111"/>
      <c r="E353" s="113"/>
      <c r="F353" s="111"/>
      <c r="G353" s="113"/>
      <c r="H353" s="111"/>
      <c r="I353" s="113"/>
      <c r="J353" s="113"/>
      <c r="K353" s="113"/>
      <c r="L353" s="113"/>
      <c r="M353" s="113"/>
      <c r="N353" s="113"/>
      <c r="O353" s="113"/>
      <c r="P353" s="113"/>
      <c r="Q353" s="113"/>
      <c r="R353" s="113"/>
      <c r="S353" s="113"/>
      <c r="T353" s="113"/>
      <c r="U353" s="113"/>
      <c r="V353" s="113"/>
      <c r="W353" s="113"/>
      <c r="X353" s="113"/>
      <c r="Y353" s="113"/>
      <c r="Z353" s="113"/>
      <c r="AA353" s="113"/>
      <c r="AB353" s="113"/>
      <c r="AC353" s="113"/>
      <c r="AD353" s="113"/>
      <c r="AE353" s="113"/>
      <c r="AF353" s="113"/>
      <c r="AG353" s="113"/>
    </row>
    <row r="354" spans="1:33" ht="13.8">
      <c r="A354" s="113"/>
      <c r="B354" s="113"/>
      <c r="C354" s="113"/>
      <c r="D354" s="111"/>
      <c r="E354" s="113"/>
      <c r="F354" s="111"/>
      <c r="G354" s="113"/>
      <c r="H354" s="111"/>
      <c r="I354" s="113"/>
      <c r="J354" s="113"/>
      <c r="K354" s="113"/>
      <c r="L354" s="113"/>
      <c r="M354" s="113"/>
      <c r="N354" s="113"/>
      <c r="O354" s="113"/>
      <c r="P354" s="113"/>
      <c r="Q354" s="113"/>
      <c r="R354" s="113"/>
      <c r="S354" s="113"/>
      <c r="T354" s="113"/>
      <c r="U354" s="113"/>
      <c r="V354" s="113"/>
      <c r="W354" s="113"/>
      <c r="X354" s="113"/>
      <c r="Y354" s="113"/>
      <c r="Z354" s="113"/>
      <c r="AA354" s="113"/>
      <c r="AB354" s="113"/>
      <c r="AC354" s="113"/>
      <c r="AD354" s="113"/>
      <c r="AE354" s="113"/>
      <c r="AF354" s="113"/>
      <c r="AG354" s="113"/>
    </row>
    <row r="355" spans="1:33" ht="13.8">
      <c r="A355" s="113"/>
      <c r="B355" s="113"/>
      <c r="C355" s="113"/>
      <c r="D355" s="111"/>
      <c r="E355" s="113"/>
      <c r="F355" s="111"/>
      <c r="G355" s="113"/>
      <c r="H355" s="111"/>
      <c r="I355" s="113"/>
      <c r="J355" s="113"/>
      <c r="K355" s="113"/>
      <c r="L355" s="113"/>
      <c r="M355" s="113"/>
      <c r="N355" s="113"/>
      <c r="O355" s="113"/>
      <c r="P355" s="113"/>
      <c r="Q355" s="113"/>
      <c r="R355" s="113"/>
      <c r="S355" s="113"/>
      <c r="T355" s="113"/>
      <c r="U355" s="113"/>
      <c r="V355" s="113"/>
      <c r="W355" s="113"/>
      <c r="X355" s="113"/>
      <c r="Y355" s="113"/>
      <c r="Z355" s="113"/>
      <c r="AA355" s="113"/>
      <c r="AB355" s="113"/>
      <c r="AC355" s="113"/>
      <c r="AD355" s="113"/>
      <c r="AE355" s="113"/>
      <c r="AF355" s="113"/>
      <c r="AG355" s="113"/>
    </row>
    <row r="356" spans="1:33" ht="13.8">
      <c r="A356" s="113"/>
      <c r="B356" s="113"/>
      <c r="C356" s="113"/>
      <c r="D356" s="111"/>
      <c r="E356" s="113"/>
      <c r="F356" s="111"/>
      <c r="G356" s="113"/>
      <c r="H356" s="111"/>
      <c r="I356" s="113"/>
      <c r="J356" s="113"/>
      <c r="K356" s="113"/>
      <c r="L356" s="113"/>
      <c r="M356" s="113"/>
      <c r="N356" s="113"/>
      <c r="O356" s="113"/>
      <c r="P356" s="113"/>
      <c r="Q356" s="113"/>
      <c r="R356" s="113"/>
      <c r="S356" s="113"/>
      <c r="T356" s="113"/>
      <c r="U356" s="113"/>
      <c r="V356" s="113"/>
      <c r="W356" s="113"/>
      <c r="X356" s="113"/>
      <c r="Y356" s="113"/>
      <c r="Z356" s="113"/>
      <c r="AA356" s="113"/>
      <c r="AB356" s="113"/>
      <c r="AC356" s="113"/>
      <c r="AD356" s="113"/>
      <c r="AE356" s="113"/>
      <c r="AF356" s="113"/>
      <c r="AG356" s="113"/>
    </row>
    <row r="357" spans="1:33" ht="13.8">
      <c r="A357" s="113"/>
      <c r="B357" s="113"/>
      <c r="C357" s="113"/>
      <c r="D357" s="111"/>
      <c r="E357" s="113"/>
      <c r="F357" s="111"/>
      <c r="G357" s="113"/>
      <c r="H357" s="111"/>
      <c r="I357" s="113"/>
      <c r="J357" s="113"/>
      <c r="K357" s="113"/>
      <c r="L357" s="113"/>
      <c r="M357" s="113"/>
      <c r="N357" s="113"/>
      <c r="O357" s="113"/>
      <c r="P357" s="113"/>
      <c r="Q357" s="113"/>
      <c r="R357" s="113"/>
      <c r="S357" s="113"/>
      <c r="T357" s="113"/>
      <c r="U357" s="113"/>
      <c r="V357" s="113"/>
      <c r="W357" s="113"/>
      <c r="X357" s="113"/>
      <c r="Y357" s="113"/>
      <c r="Z357" s="113"/>
      <c r="AA357" s="113"/>
      <c r="AB357" s="113"/>
      <c r="AC357" s="113"/>
      <c r="AD357" s="113"/>
      <c r="AE357" s="113"/>
      <c r="AF357" s="113"/>
      <c r="AG357" s="113"/>
    </row>
    <row r="358" spans="1:33" ht="13.8">
      <c r="A358" s="113"/>
      <c r="B358" s="113"/>
      <c r="C358" s="113"/>
      <c r="D358" s="111"/>
      <c r="E358" s="113"/>
      <c r="F358" s="111"/>
      <c r="G358" s="113"/>
      <c r="H358" s="111"/>
      <c r="I358" s="113"/>
      <c r="J358" s="113"/>
      <c r="K358" s="113"/>
      <c r="L358" s="113"/>
      <c r="M358" s="113"/>
      <c r="N358" s="113"/>
      <c r="O358" s="113"/>
      <c r="P358" s="113"/>
      <c r="Q358" s="113"/>
      <c r="R358" s="113"/>
      <c r="S358" s="113"/>
      <c r="T358" s="113"/>
      <c r="U358" s="113"/>
      <c r="V358" s="113"/>
      <c r="W358" s="113"/>
      <c r="X358" s="113"/>
      <c r="Y358" s="113"/>
      <c r="Z358" s="113"/>
      <c r="AA358" s="113"/>
      <c r="AB358" s="113"/>
      <c r="AC358" s="113"/>
      <c r="AD358" s="113"/>
      <c r="AE358" s="113"/>
      <c r="AF358" s="113"/>
      <c r="AG358" s="113"/>
    </row>
    <row r="359" spans="1:33" ht="13.8">
      <c r="A359" s="113"/>
      <c r="B359" s="113"/>
      <c r="C359" s="113"/>
      <c r="D359" s="111"/>
      <c r="E359" s="113"/>
      <c r="F359" s="111"/>
      <c r="G359" s="113"/>
      <c r="H359" s="111"/>
      <c r="I359" s="113"/>
      <c r="J359" s="113"/>
      <c r="K359" s="113"/>
      <c r="L359" s="113"/>
      <c r="M359" s="113"/>
      <c r="N359" s="113"/>
      <c r="O359" s="113"/>
      <c r="P359" s="113"/>
      <c r="Q359" s="113"/>
      <c r="R359" s="113"/>
      <c r="S359" s="113"/>
      <c r="T359" s="113"/>
      <c r="U359" s="113"/>
      <c r="V359" s="113"/>
      <c r="W359" s="113"/>
      <c r="X359" s="113"/>
      <c r="Y359" s="113"/>
      <c r="Z359" s="113"/>
      <c r="AA359" s="113"/>
      <c r="AB359" s="113"/>
      <c r="AC359" s="113"/>
      <c r="AD359" s="113"/>
      <c r="AE359" s="113"/>
      <c r="AF359" s="113"/>
      <c r="AG359" s="113"/>
    </row>
    <row r="360" spans="1:33" ht="13.8">
      <c r="A360" s="113"/>
      <c r="B360" s="113"/>
      <c r="C360" s="113"/>
      <c r="D360" s="111"/>
      <c r="E360" s="113"/>
      <c r="F360" s="111"/>
      <c r="G360" s="113"/>
      <c r="H360" s="111"/>
      <c r="I360" s="113"/>
      <c r="J360" s="113"/>
      <c r="K360" s="113"/>
      <c r="L360" s="113"/>
      <c r="M360" s="113"/>
      <c r="N360" s="113"/>
      <c r="O360" s="113"/>
      <c r="P360" s="113"/>
      <c r="Q360" s="113"/>
      <c r="R360" s="113"/>
      <c r="S360" s="113"/>
      <c r="T360" s="113"/>
      <c r="U360" s="113"/>
      <c r="V360" s="113"/>
      <c r="W360" s="113"/>
      <c r="X360" s="113"/>
      <c r="Y360" s="113"/>
      <c r="Z360" s="113"/>
      <c r="AA360" s="113"/>
      <c r="AB360" s="113"/>
      <c r="AC360" s="113"/>
      <c r="AD360" s="113"/>
      <c r="AE360" s="113"/>
      <c r="AF360" s="113"/>
      <c r="AG360" s="113"/>
    </row>
    <row r="361" spans="1:33" ht="13.8">
      <c r="A361" s="113"/>
      <c r="B361" s="113"/>
      <c r="C361" s="113"/>
      <c r="D361" s="111"/>
      <c r="E361" s="113"/>
      <c r="F361" s="111"/>
      <c r="G361" s="113"/>
      <c r="H361" s="111"/>
      <c r="I361" s="113"/>
      <c r="J361" s="113"/>
      <c r="K361" s="113"/>
      <c r="L361" s="113"/>
      <c r="M361" s="113"/>
      <c r="N361" s="113"/>
      <c r="O361" s="113"/>
      <c r="P361" s="113"/>
      <c r="Q361" s="113"/>
      <c r="R361" s="113"/>
      <c r="S361" s="113"/>
      <c r="T361" s="113"/>
      <c r="U361" s="113"/>
      <c r="V361" s="113"/>
      <c r="W361" s="113"/>
      <c r="X361" s="113"/>
      <c r="Y361" s="113"/>
      <c r="Z361" s="113"/>
      <c r="AA361" s="113"/>
      <c r="AB361" s="113"/>
      <c r="AC361" s="113"/>
      <c r="AD361" s="113"/>
      <c r="AE361" s="113"/>
      <c r="AF361" s="113"/>
      <c r="AG361" s="113"/>
    </row>
    <row r="362" spans="1:33" ht="13.8">
      <c r="A362" s="113"/>
      <c r="B362" s="113"/>
      <c r="C362" s="113"/>
      <c r="D362" s="111"/>
      <c r="E362" s="113"/>
      <c r="F362" s="111"/>
      <c r="G362" s="113"/>
      <c r="H362" s="111"/>
      <c r="I362" s="113"/>
      <c r="J362" s="113"/>
      <c r="K362" s="113"/>
      <c r="L362" s="113"/>
      <c r="M362" s="113"/>
      <c r="N362" s="113"/>
      <c r="O362" s="113"/>
      <c r="P362" s="113"/>
      <c r="Q362" s="113"/>
      <c r="R362" s="113"/>
      <c r="S362" s="113"/>
      <c r="T362" s="113"/>
      <c r="U362" s="113"/>
      <c r="V362" s="113"/>
      <c r="W362" s="113"/>
      <c r="X362" s="113"/>
      <c r="Y362" s="113"/>
      <c r="Z362" s="113"/>
      <c r="AA362" s="113"/>
      <c r="AB362" s="113"/>
      <c r="AC362" s="113"/>
      <c r="AD362" s="113"/>
      <c r="AE362" s="113"/>
      <c r="AF362" s="113"/>
      <c r="AG362" s="113"/>
    </row>
    <row r="363" spans="1:33" ht="13.8">
      <c r="A363" s="113"/>
      <c r="B363" s="113"/>
      <c r="C363" s="113"/>
      <c r="D363" s="111"/>
      <c r="E363" s="113"/>
      <c r="F363" s="111"/>
      <c r="G363" s="113"/>
      <c r="H363" s="111"/>
      <c r="I363" s="113"/>
      <c r="J363" s="113"/>
      <c r="K363" s="113"/>
      <c r="L363" s="113"/>
      <c r="M363" s="113"/>
      <c r="N363" s="113"/>
      <c r="O363" s="113"/>
      <c r="P363" s="113"/>
      <c r="Q363" s="113"/>
      <c r="R363" s="113"/>
      <c r="S363" s="113"/>
      <c r="T363" s="113"/>
      <c r="U363" s="113"/>
      <c r="V363" s="113"/>
      <c r="W363" s="113"/>
      <c r="X363" s="113"/>
      <c r="Y363" s="113"/>
      <c r="Z363" s="113"/>
      <c r="AA363" s="113"/>
      <c r="AB363" s="113"/>
      <c r="AC363" s="113"/>
      <c r="AD363" s="113"/>
      <c r="AE363" s="113"/>
      <c r="AF363" s="113"/>
      <c r="AG363" s="113"/>
    </row>
    <row r="364" spans="1:33" ht="13.8">
      <c r="A364" s="113"/>
      <c r="B364" s="113"/>
      <c r="C364" s="113"/>
      <c r="D364" s="111"/>
      <c r="E364" s="113"/>
      <c r="F364" s="111"/>
      <c r="G364" s="113"/>
      <c r="H364" s="111"/>
      <c r="I364" s="113"/>
      <c r="J364" s="113"/>
      <c r="K364" s="113"/>
      <c r="L364" s="113"/>
      <c r="M364" s="113"/>
      <c r="N364" s="113"/>
      <c r="O364" s="113"/>
      <c r="P364" s="113"/>
      <c r="Q364" s="113"/>
      <c r="R364" s="113"/>
      <c r="S364" s="113"/>
      <c r="T364" s="113"/>
      <c r="U364" s="113"/>
      <c r="V364" s="113"/>
      <c r="W364" s="113"/>
      <c r="X364" s="113"/>
      <c r="Y364" s="113"/>
      <c r="Z364" s="113"/>
      <c r="AA364" s="113"/>
      <c r="AB364" s="113"/>
      <c r="AC364" s="113"/>
      <c r="AD364" s="113"/>
      <c r="AE364" s="113"/>
      <c r="AF364" s="113"/>
      <c r="AG364" s="113"/>
    </row>
    <row r="365" spans="1:33" ht="13.8">
      <c r="A365" s="113"/>
      <c r="B365" s="113"/>
      <c r="C365" s="113"/>
      <c r="D365" s="111"/>
      <c r="E365" s="113"/>
      <c r="F365" s="111"/>
      <c r="G365" s="113"/>
      <c r="H365" s="111"/>
      <c r="I365" s="113"/>
      <c r="J365" s="113"/>
      <c r="K365" s="113"/>
      <c r="L365" s="113"/>
      <c r="M365" s="113"/>
      <c r="N365" s="113"/>
      <c r="O365" s="113"/>
      <c r="P365" s="113"/>
      <c r="Q365" s="113"/>
      <c r="R365" s="113"/>
      <c r="S365" s="113"/>
      <c r="T365" s="113"/>
      <c r="U365" s="113"/>
      <c r="V365" s="113"/>
      <c r="W365" s="113"/>
      <c r="X365" s="113"/>
      <c r="Y365" s="113"/>
      <c r="Z365" s="113"/>
      <c r="AA365" s="113"/>
      <c r="AB365" s="113"/>
      <c r="AC365" s="113"/>
      <c r="AD365" s="113"/>
      <c r="AE365" s="113"/>
      <c r="AF365" s="113"/>
      <c r="AG365" s="113"/>
    </row>
    <row r="366" spans="1:33" ht="13.8">
      <c r="A366" s="113"/>
      <c r="B366" s="113"/>
      <c r="C366" s="113"/>
      <c r="D366" s="111"/>
      <c r="E366" s="113"/>
      <c r="F366" s="111"/>
      <c r="G366" s="113"/>
      <c r="H366" s="111"/>
      <c r="I366" s="113"/>
      <c r="J366" s="113"/>
      <c r="K366" s="113"/>
      <c r="L366" s="113"/>
      <c r="M366" s="113"/>
      <c r="N366" s="113"/>
      <c r="O366" s="113"/>
      <c r="P366" s="113"/>
      <c r="Q366" s="113"/>
      <c r="R366" s="113"/>
      <c r="S366" s="113"/>
      <c r="T366" s="113"/>
      <c r="U366" s="113"/>
      <c r="V366" s="113"/>
      <c r="W366" s="113"/>
      <c r="X366" s="113"/>
      <c r="Y366" s="113"/>
      <c r="Z366" s="113"/>
      <c r="AA366" s="113"/>
      <c r="AB366" s="113"/>
      <c r="AC366" s="113"/>
      <c r="AD366" s="113"/>
      <c r="AE366" s="113"/>
      <c r="AF366" s="113"/>
      <c r="AG366" s="113"/>
    </row>
    <row r="367" spans="1:33" ht="13.8">
      <c r="A367" s="113"/>
      <c r="B367" s="113"/>
      <c r="C367" s="113"/>
      <c r="D367" s="111"/>
      <c r="E367" s="113"/>
      <c r="F367" s="111"/>
      <c r="G367" s="113"/>
      <c r="H367" s="111"/>
      <c r="I367" s="113"/>
      <c r="J367" s="113"/>
      <c r="K367" s="113"/>
      <c r="L367" s="113"/>
      <c r="M367" s="113"/>
      <c r="N367" s="113"/>
      <c r="O367" s="113"/>
      <c r="P367" s="113"/>
      <c r="Q367" s="113"/>
      <c r="R367" s="113"/>
      <c r="S367" s="113"/>
      <c r="T367" s="113"/>
      <c r="U367" s="113"/>
      <c r="V367" s="113"/>
      <c r="W367" s="113"/>
      <c r="X367" s="113"/>
      <c r="Y367" s="113"/>
      <c r="Z367" s="113"/>
      <c r="AA367" s="113"/>
      <c r="AB367" s="113"/>
      <c r="AC367" s="113"/>
      <c r="AD367" s="113"/>
      <c r="AE367" s="113"/>
      <c r="AF367" s="113"/>
      <c r="AG367" s="113"/>
    </row>
    <row r="368" spans="1:33" ht="13.8">
      <c r="A368" s="113"/>
      <c r="B368" s="113"/>
      <c r="C368" s="113"/>
      <c r="D368" s="111"/>
      <c r="E368" s="113"/>
      <c r="F368" s="111"/>
      <c r="G368" s="113"/>
      <c r="H368" s="111"/>
      <c r="I368" s="113"/>
      <c r="J368" s="113"/>
      <c r="K368" s="113"/>
      <c r="L368" s="113"/>
      <c r="M368" s="113"/>
      <c r="N368" s="113"/>
      <c r="O368" s="113"/>
      <c r="P368" s="113"/>
      <c r="Q368" s="113"/>
      <c r="R368" s="113"/>
      <c r="S368" s="113"/>
      <c r="T368" s="113"/>
      <c r="U368" s="113"/>
      <c r="V368" s="113"/>
      <c r="W368" s="113"/>
      <c r="X368" s="113"/>
      <c r="Y368" s="113"/>
      <c r="Z368" s="113"/>
      <c r="AA368" s="113"/>
      <c r="AB368" s="113"/>
      <c r="AC368" s="113"/>
      <c r="AD368" s="113"/>
      <c r="AE368" s="113"/>
      <c r="AF368" s="113"/>
      <c r="AG368" s="113"/>
    </row>
    <row r="369" spans="1:33" ht="13.8">
      <c r="A369" s="113"/>
      <c r="B369" s="113"/>
      <c r="C369" s="113"/>
      <c r="D369" s="111"/>
      <c r="E369" s="113"/>
      <c r="F369" s="111"/>
      <c r="G369" s="113"/>
      <c r="H369" s="111"/>
      <c r="I369" s="113"/>
      <c r="J369" s="113"/>
      <c r="K369" s="113"/>
      <c r="L369" s="113"/>
      <c r="M369" s="113"/>
      <c r="N369" s="113"/>
      <c r="O369" s="113"/>
      <c r="P369" s="113"/>
      <c r="Q369" s="113"/>
      <c r="R369" s="113"/>
      <c r="S369" s="113"/>
      <c r="T369" s="113"/>
      <c r="U369" s="113"/>
      <c r="V369" s="113"/>
      <c r="W369" s="113"/>
      <c r="X369" s="113"/>
      <c r="Y369" s="113"/>
      <c r="Z369" s="113"/>
      <c r="AA369" s="113"/>
      <c r="AB369" s="113"/>
      <c r="AC369" s="113"/>
      <c r="AD369" s="113"/>
      <c r="AE369" s="113"/>
      <c r="AF369" s="113"/>
      <c r="AG369" s="113"/>
    </row>
    <row r="370" spans="1:33" ht="13.8">
      <c r="A370" s="113"/>
      <c r="B370" s="113"/>
      <c r="C370" s="113"/>
      <c r="D370" s="111"/>
      <c r="E370" s="113"/>
      <c r="F370" s="111"/>
      <c r="G370" s="113"/>
      <c r="H370" s="111"/>
      <c r="I370" s="113"/>
      <c r="J370" s="113"/>
      <c r="K370" s="113"/>
      <c r="L370" s="113"/>
      <c r="M370" s="113"/>
      <c r="N370" s="113"/>
      <c r="O370" s="113"/>
      <c r="P370" s="113"/>
      <c r="Q370" s="113"/>
      <c r="R370" s="113"/>
      <c r="S370" s="113"/>
      <c r="T370" s="113"/>
      <c r="U370" s="113"/>
      <c r="V370" s="113"/>
      <c r="W370" s="113"/>
      <c r="X370" s="113"/>
      <c r="Y370" s="113"/>
      <c r="Z370" s="113"/>
      <c r="AA370" s="113"/>
      <c r="AB370" s="113"/>
      <c r="AC370" s="113"/>
      <c r="AD370" s="113"/>
      <c r="AE370" s="113"/>
      <c r="AF370" s="113"/>
      <c r="AG370" s="113"/>
    </row>
    <row r="371" spans="1:33" ht="13.8">
      <c r="A371" s="113"/>
      <c r="B371" s="113"/>
      <c r="C371" s="113"/>
      <c r="D371" s="111"/>
      <c r="E371" s="113"/>
      <c r="F371" s="111"/>
      <c r="G371" s="113"/>
      <c r="H371" s="111"/>
      <c r="I371" s="113"/>
      <c r="J371" s="113"/>
      <c r="K371" s="113"/>
      <c r="L371" s="113"/>
      <c r="M371" s="113"/>
      <c r="N371" s="113"/>
      <c r="O371" s="113"/>
      <c r="P371" s="113"/>
      <c r="Q371" s="113"/>
      <c r="R371" s="113"/>
      <c r="S371" s="113"/>
      <c r="T371" s="113"/>
      <c r="U371" s="113"/>
      <c r="V371" s="113"/>
      <c r="W371" s="113"/>
      <c r="X371" s="113"/>
      <c r="Y371" s="113"/>
      <c r="Z371" s="113"/>
      <c r="AA371" s="113"/>
      <c r="AB371" s="113"/>
      <c r="AC371" s="113"/>
      <c r="AD371" s="113"/>
      <c r="AE371" s="113"/>
      <c r="AF371" s="113"/>
      <c r="AG371" s="113"/>
    </row>
    <row r="372" spans="1:33" ht="13.8">
      <c r="A372" s="113"/>
      <c r="B372" s="113"/>
      <c r="C372" s="113"/>
      <c r="D372" s="111"/>
      <c r="E372" s="113"/>
      <c r="F372" s="111"/>
      <c r="G372" s="113"/>
      <c r="H372" s="111"/>
      <c r="I372" s="113"/>
      <c r="J372" s="113"/>
      <c r="K372" s="113"/>
      <c r="L372" s="113"/>
      <c r="M372" s="113"/>
      <c r="N372" s="113"/>
      <c r="O372" s="113"/>
      <c r="P372" s="113"/>
      <c r="Q372" s="113"/>
      <c r="R372" s="113"/>
      <c r="S372" s="113"/>
      <c r="T372" s="113"/>
      <c r="U372" s="113"/>
      <c r="V372" s="113"/>
      <c r="W372" s="113"/>
      <c r="X372" s="113"/>
      <c r="Y372" s="113"/>
      <c r="Z372" s="113"/>
      <c r="AA372" s="113"/>
      <c r="AB372" s="113"/>
      <c r="AC372" s="113"/>
      <c r="AD372" s="113"/>
      <c r="AE372" s="113"/>
      <c r="AF372" s="113"/>
      <c r="AG372" s="113"/>
    </row>
    <row r="373" spans="1:33" ht="13.8">
      <c r="A373" s="113"/>
      <c r="B373" s="113"/>
      <c r="C373" s="113"/>
      <c r="D373" s="111"/>
      <c r="E373" s="113"/>
      <c r="F373" s="111"/>
      <c r="G373" s="113"/>
      <c r="H373" s="111"/>
      <c r="I373" s="113"/>
      <c r="J373" s="113"/>
      <c r="K373" s="113"/>
      <c r="L373" s="113"/>
      <c r="M373" s="113"/>
      <c r="N373" s="113"/>
      <c r="O373" s="113"/>
      <c r="P373" s="113"/>
      <c r="Q373" s="113"/>
      <c r="R373" s="113"/>
      <c r="S373" s="113"/>
      <c r="T373" s="113"/>
      <c r="U373" s="113"/>
      <c r="V373" s="113"/>
      <c r="W373" s="113"/>
      <c r="X373" s="113"/>
      <c r="Y373" s="113"/>
      <c r="Z373" s="113"/>
      <c r="AA373" s="113"/>
      <c r="AB373" s="113"/>
      <c r="AC373" s="113"/>
      <c r="AD373" s="113"/>
      <c r="AE373" s="113"/>
      <c r="AF373" s="113"/>
      <c r="AG373" s="113"/>
    </row>
    <row r="374" spans="1:33" ht="13.8">
      <c r="A374" s="113"/>
      <c r="B374" s="113"/>
      <c r="C374" s="113"/>
      <c r="D374" s="111"/>
      <c r="E374" s="113"/>
      <c r="F374" s="111"/>
      <c r="G374" s="113"/>
      <c r="H374" s="111"/>
      <c r="I374" s="113"/>
      <c r="J374" s="113"/>
      <c r="K374" s="113"/>
      <c r="L374" s="113"/>
      <c r="M374" s="113"/>
      <c r="N374" s="113"/>
      <c r="O374" s="113"/>
      <c r="P374" s="113"/>
      <c r="Q374" s="113"/>
      <c r="R374" s="113"/>
      <c r="S374" s="113"/>
      <c r="T374" s="113"/>
      <c r="U374" s="113"/>
      <c r="V374" s="113"/>
      <c r="W374" s="113"/>
      <c r="X374" s="113"/>
      <c r="Y374" s="113"/>
      <c r="Z374" s="113"/>
      <c r="AA374" s="113"/>
      <c r="AB374" s="113"/>
      <c r="AC374" s="113"/>
      <c r="AD374" s="113"/>
      <c r="AE374" s="113"/>
      <c r="AF374" s="113"/>
      <c r="AG374" s="113"/>
    </row>
    <row r="375" spans="1:33" ht="13.8">
      <c r="A375" s="113"/>
      <c r="B375" s="113"/>
      <c r="C375" s="113"/>
      <c r="D375" s="111"/>
      <c r="E375" s="113"/>
      <c r="F375" s="111"/>
      <c r="G375" s="113"/>
      <c r="H375" s="111"/>
      <c r="I375" s="113"/>
      <c r="J375" s="113"/>
      <c r="K375" s="113"/>
      <c r="L375" s="113"/>
      <c r="M375" s="113"/>
      <c r="N375" s="113"/>
      <c r="O375" s="113"/>
      <c r="P375" s="113"/>
      <c r="Q375" s="113"/>
      <c r="R375" s="113"/>
      <c r="S375" s="113"/>
      <c r="T375" s="113"/>
      <c r="U375" s="113"/>
      <c r="V375" s="113"/>
      <c r="W375" s="113"/>
      <c r="X375" s="113"/>
      <c r="Y375" s="113"/>
      <c r="Z375" s="113"/>
      <c r="AA375" s="113"/>
      <c r="AB375" s="113"/>
      <c r="AC375" s="113"/>
      <c r="AD375" s="113"/>
      <c r="AE375" s="113"/>
      <c r="AF375" s="113"/>
      <c r="AG375" s="113"/>
    </row>
    <row r="376" spans="1:33" ht="13.8">
      <c r="A376" s="113"/>
      <c r="B376" s="113"/>
      <c r="C376" s="113"/>
      <c r="D376" s="111"/>
      <c r="E376" s="113"/>
      <c r="F376" s="111"/>
      <c r="G376" s="113"/>
      <c r="H376" s="111"/>
      <c r="I376" s="113"/>
      <c r="J376" s="113"/>
      <c r="K376" s="113"/>
      <c r="L376" s="113"/>
      <c r="M376" s="113"/>
      <c r="N376" s="113"/>
      <c r="O376" s="113"/>
      <c r="P376" s="113"/>
      <c r="Q376" s="113"/>
      <c r="R376" s="113"/>
      <c r="S376" s="113"/>
      <c r="T376" s="113"/>
      <c r="U376" s="113"/>
      <c r="V376" s="113"/>
      <c r="W376" s="113"/>
      <c r="X376" s="113"/>
      <c r="Y376" s="113"/>
      <c r="Z376" s="113"/>
      <c r="AA376" s="113"/>
      <c r="AB376" s="113"/>
      <c r="AC376" s="113"/>
      <c r="AD376" s="113"/>
      <c r="AE376" s="113"/>
      <c r="AF376" s="113"/>
      <c r="AG376" s="113"/>
    </row>
    <row r="377" spans="1:33" ht="13.8">
      <c r="A377" s="113"/>
      <c r="B377" s="113"/>
      <c r="C377" s="113"/>
      <c r="D377" s="111"/>
      <c r="E377" s="113"/>
      <c r="F377" s="111"/>
      <c r="G377" s="113"/>
      <c r="H377" s="111"/>
      <c r="I377" s="113"/>
      <c r="J377" s="113"/>
      <c r="K377" s="113"/>
      <c r="L377" s="113"/>
      <c r="M377" s="113"/>
      <c r="N377" s="113"/>
      <c r="O377" s="113"/>
      <c r="P377" s="113"/>
      <c r="Q377" s="113"/>
      <c r="R377" s="113"/>
      <c r="S377" s="113"/>
      <c r="T377" s="113"/>
      <c r="U377" s="113"/>
      <c r="V377" s="113"/>
      <c r="W377" s="113"/>
      <c r="X377" s="113"/>
      <c r="Y377" s="113"/>
      <c r="Z377" s="113"/>
      <c r="AA377" s="113"/>
      <c r="AB377" s="113"/>
      <c r="AC377" s="113"/>
      <c r="AD377" s="113"/>
      <c r="AE377" s="113"/>
      <c r="AF377" s="113"/>
      <c r="AG377" s="113"/>
    </row>
    <row r="378" spans="1:33" ht="13.8">
      <c r="A378" s="113"/>
      <c r="B378" s="113"/>
      <c r="C378" s="113"/>
      <c r="D378" s="111"/>
      <c r="E378" s="113"/>
      <c r="F378" s="111"/>
      <c r="G378" s="113"/>
      <c r="H378" s="111"/>
      <c r="I378" s="113"/>
      <c r="J378" s="113"/>
      <c r="K378" s="113"/>
      <c r="L378" s="113"/>
      <c r="M378" s="113"/>
      <c r="N378" s="113"/>
      <c r="O378" s="113"/>
      <c r="P378" s="113"/>
      <c r="Q378" s="113"/>
      <c r="R378" s="113"/>
      <c r="S378" s="113"/>
      <c r="T378" s="113"/>
      <c r="U378" s="113"/>
      <c r="V378" s="113"/>
      <c r="W378" s="113"/>
      <c r="X378" s="113"/>
      <c r="Y378" s="113"/>
      <c r="Z378" s="113"/>
      <c r="AA378" s="113"/>
      <c r="AB378" s="113"/>
      <c r="AC378" s="113"/>
      <c r="AD378" s="113"/>
      <c r="AE378" s="113"/>
      <c r="AF378" s="113"/>
      <c r="AG378" s="113"/>
    </row>
    <row r="379" spans="1:33" ht="13.8">
      <c r="A379" s="113"/>
      <c r="B379" s="113"/>
      <c r="C379" s="113"/>
      <c r="D379" s="111"/>
      <c r="E379" s="113"/>
      <c r="F379" s="111"/>
      <c r="G379" s="113"/>
      <c r="H379" s="111"/>
      <c r="I379" s="113"/>
      <c r="J379" s="113"/>
      <c r="K379" s="113"/>
      <c r="L379" s="113"/>
      <c r="M379" s="113"/>
      <c r="N379" s="113"/>
      <c r="O379" s="113"/>
      <c r="P379" s="113"/>
      <c r="Q379" s="113"/>
      <c r="R379" s="113"/>
      <c r="S379" s="113"/>
      <c r="T379" s="113"/>
      <c r="U379" s="113"/>
      <c r="V379" s="113"/>
      <c r="W379" s="113"/>
      <c r="X379" s="113"/>
      <c r="Y379" s="113"/>
      <c r="Z379" s="113"/>
      <c r="AA379" s="113"/>
      <c r="AB379" s="113"/>
      <c r="AC379" s="113"/>
      <c r="AD379" s="113"/>
      <c r="AE379" s="113"/>
      <c r="AF379" s="113"/>
      <c r="AG379" s="113"/>
    </row>
    <row r="380" spans="1:33" ht="13.8">
      <c r="A380" s="113"/>
      <c r="B380" s="113"/>
      <c r="C380" s="113"/>
      <c r="D380" s="111"/>
      <c r="E380" s="113"/>
      <c r="F380" s="111"/>
      <c r="G380" s="113"/>
      <c r="H380" s="111"/>
      <c r="I380" s="113"/>
      <c r="J380" s="113"/>
      <c r="K380" s="113"/>
      <c r="L380" s="113"/>
      <c r="M380" s="113"/>
      <c r="N380" s="113"/>
      <c r="O380" s="113"/>
      <c r="P380" s="113"/>
      <c r="Q380" s="113"/>
      <c r="R380" s="113"/>
      <c r="S380" s="113"/>
      <c r="T380" s="113"/>
      <c r="U380" s="113"/>
      <c r="V380" s="113"/>
      <c r="W380" s="113"/>
      <c r="X380" s="113"/>
      <c r="Y380" s="113"/>
      <c r="Z380" s="113"/>
      <c r="AA380" s="113"/>
      <c r="AB380" s="113"/>
      <c r="AC380" s="113"/>
      <c r="AD380" s="113"/>
      <c r="AE380" s="113"/>
      <c r="AF380" s="113"/>
      <c r="AG380" s="113"/>
    </row>
    <row r="381" spans="1:33" ht="13.8">
      <c r="A381" s="113"/>
      <c r="B381" s="113"/>
      <c r="C381" s="113"/>
      <c r="D381" s="111"/>
      <c r="E381" s="113"/>
      <c r="F381" s="111"/>
      <c r="G381" s="113"/>
      <c r="H381" s="111"/>
      <c r="I381" s="113"/>
      <c r="J381" s="113"/>
      <c r="K381" s="113"/>
      <c r="L381" s="113"/>
      <c r="M381" s="113"/>
      <c r="N381" s="113"/>
      <c r="O381" s="113"/>
      <c r="P381" s="113"/>
      <c r="Q381" s="113"/>
      <c r="R381" s="113"/>
      <c r="S381" s="113"/>
      <c r="T381" s="113"/>
      <c r="U381" s="113"/>
      <c r="V381" s="113"/>
      <c r="W381" s="113"/>
      <c r="X381" s="113"/>
      <c r="Y381" s="113"/>
      <c r="Z381" s="113"/>
      <c r="AA381" s="113"/>
      <c r="AB381" s="113"/>
      <c r="AC381" s="113"/>
      <c r="AD381" s="113"/>
      <c r="AE381" s="113"/>
      <c r="AF381" s="113"/>
      <c r="AG381" s="113"/>
    </row>
    <row r="382" spans="1:33" ht="13.8">
      <c r="A382" s="113"/>
      <c r="B382" s="113"/>
      <c r="C382" s="113"/>
      <c r="D382" s="111"/>
      <c r="E382" s="113"/>
      <c r="F382" s="111"/>
      <c r="G382" s="113"/>
      <c r="H382" s="111"/>
      <c r="I382" s="113"/>
      <c r="J382" s="113"/>
      <c r="K382" s="113"/>
      <c r="L382" s="113"/>
      <c r="M382" s="113"/>
      <c r="N382" s="113"/>
      <c r="O382" s="113"/>
      <c r="P382" s="113"/>
      <c r="Q382" s="113"/>
      <c r="R382" s="113"/>
      <c r="S382" s="113"/>
      <c r="T382" s="113"/>
      <c r="U382" s="113"/>
      <c r="V382" s="113"/>
      <c r="W382" s="113"/>
      <c r="X382" s="113"/>
      <c r="Y382" s="113"/>
      <c r="Z382" s="113"/>
      <c r="AA382" s="113"/>
      <c r="AB382" s="113"/>
      <c r="AC382" s="113"/>
      <c r="AD382" s="113"/>
      <c r="AE382" s="113"/>
      <c r="AF382" s="113"/>
      <c r="AG382" s="113"/>
    </row>
    <row r="383" spans="1:33" ht="13.8">
      <c r="A383" s="113"/>
      <c r="B383" s="113"/>
      <c r="C383" s="113"/>
      <c r="D383" s="111"/>
      <c r="E383" s="113"/>
      <c r="F383" s="111"/>
      <c r="G383" s="113"/>
      <c r="H383" s="111"/>
      <c r="I383" s="113"/>
      <c r="J383" s="113"/>
      <c r="K383" s="113"/>
      <c r="L383" s="113"/>
      <c r="M383" s="113"/>
      <c r="N383" s="113"/>
      <c r="O383" s="113"/>
      <c r="P383" s="113"/>
      <c r="Q383" s="113"/>
      <c r="R383" s="113"/>
      <c r="S383" s="113"/>
      <c r="T383" s="113"/>
      <c r="U383" s="113"/>
      <c r="V383" s="113"/>
      <c r="W383" s="113"/>
      <c r="X383" s="113"/>
      <c r="Y383" s="113"/>
      <c r="Z383" s="113"/>
      <c r="AA383" s="113"/>
      <c r="AB383" s="113"/>
      <c r="AC383" s="113"/>
      <c r="AD383" s="113"/>
      <c r="AE383" s="113"/>
      <c r="AF383" s="113"/>
      <c r="AG383" s="113"/>
    </row>
    <row r="384" spans="1:33" ht="13.8">
      <c r="A384" s="113"/>
      <c r="B384" s="113"/>
      <c r="C384" s="113"/>
      <c r="D384" s="111"/>
      <c r="E384" s="113"/>
      <c r="F384" s="111"/>
      <c r="G384" s="113"/>
      <c r="H384" s="111"/>
      <c r="I384" s="113"/>
      <c r="J384" s="113"/>
      <c r="K384" s="113"/>
      <c r="L384" s="113"/>
      <c r="M384" s="113"/>
      <c r="N384" s="113"/>
      <c r="O384" s="113"/>
      <c r="P384" s="113"/>
      <c r="Q384" s="113"/>
      <c r="R384" s="113"/>
      <c r="S384" s="113"/>
      <c r="T384" s="113"/>
      <c r="U384" s="113"/>
      <c r="V384" s="113"/>
      <c r="W384" s="113"/>
      <c r="X384" s="113"/>
      <c r="Y384" s="113"/>
      <c r="Z384" s="113"/>
      <c r="AA384" s="113"/>
      <c r="AB384" s="113"/>
      <c r="AC384" s="113"/>
      <c r="AD384" s="113"/>
      <c r="AE384" s="113"/>
      <c r="AF384" s="113"/>
      <c r="AG384" s="113"/>
    </row>
    <row r="385" spans="1:33" ht="13.8">
      <c r="A385" s="113"/>
      <c r="B385" s="113"/>
      <c r="C385" s="113"/>
      <c r="D385" s="111"/>
      <c r="E385" s="113"/>
      <c r="F385" s="111"/>
      <c r="G385" s="113"/>
      <c r="H385" s="111"/>
      <c r="I385" s="113"/>
      <c r="J385" s="113"/>
      <c r="K385" s="113"/>
      <c r="L385" s="113"/>
      <c r="M385" s="113"/>
      <c r="N385" s="113"/>
      <c r="O385" s="113"/>
      <c r="P385" s="113"/>
      <c r="Q385" s="113"/>
      <c r="R385" s="113"/>
      <c r="S385" s="113"/>
      <c r="T385" s="113"/>
      <c r="U385" s="113"/>
      <c r="V385" s="113"/>
      <c r="W385" s="113"/>
      <c r="X385" s="113"/>
      <c r="Y385" s="113"/>
      <c r="Z385" s="113"/>
      <c r="AA385" s="113"/>
      <c r="AB385" s="113"/>
      <c r="AC385" s="113"/>
      <c r="AD385" s="113"/>
      <c r="AE385" s="113"/>
      <c r="AF385" s="113"/>
      <c r="AG385" s="113"/>
    </row>
    <row r="386" spans="1:33" ht="13.8">
      <c r="A386" s="113"/>
      <c r="B386" s="113"/>
      <c r="C386" s="113"/>
      <c r="D386" s="111"/>
      <c r="E386" s="113"/>
      <c r="F386" s="111"/>
      <c r="G386" s="113"/>
      <c r="H386" s="111"/>
      <c r="I386" s="113"/>
      <c r="J386" s="113"/>
      <c r="K386" s="113"/>
      <c r="L386" s="113"/>
      <c r="M386" s="113"/>
      <c r="N386" s="113"/>
      <c r="O386" s="113"/>
      <c r="P386" s="113"/>
      <c r="Q386" s="113"/>
      <c r="R386" s="113"/>
      <c r="S386" s="113"/>
      <c r="T386" s="113"/>
      <c r="U386" s="113"/>
      <c r="V386" s="113"/>
      <c r="W386" s="113"/>
      <c r="X386" s="113"/>
      <c r="Y386" s="113"/>
      <c r="Z386" s="113"/>
      <c r="AA386" s="113"/>
      <c r="AB386" s="113"/>
      <c r="AC386" s="113"/>
      <c r="AD386" s="113"/>
      <c r="AE386" s="113"/>
      <c r="AF386" s="113"/>
      <c r="AG386" s="113"/>
    </row>
    <row r="387" spans="1:33" ht="13.8">
      <c r="A387" s="113"/>
      <c r="B387" s="113"/>
      <c r="C387" s="113"/>
      <c r="D387" s="111"/>
      <c r="E387" s="113"/>
      <c r="F387" s="111"/>
      <c r="G387" s="113"/>
      <c r="H387" s="111"/>
      <c r="I387" s="113"/>
      <c r="J387" s="113"/>
      <c r="K387" s="113"/>
      <c r="L387" s="113"/>
      <c r="M387" s="113"/>
      <c r="N387" s="113"/>
      <c r="O387" s="113"/>
      <c r="P387" s="113"/>
      <c r="Q387" s="113"/>
      <c r="R387" s="113"/>
      <c r="S387" s="113"/>
      <c r="T387" s="113"/>
      <c r="U387" s="113"/>
      <c r="V387" s="113"/>
      <c r="W387" s="113"/>
      <c r="X387" s="113"/>
      <c r="Y387" s="113"/>
      <c r="Z387" s="113"/>
      <c r="AA387" s="113"/>
      <c r="AB387" s="113"/>
      <c r="AC387" s="113"/>
      <c r="AD387" s="113"/>
      <c r="AE387" s="113"/>
      <c r="AF387" s="113"/>
      <c r="AG387" s="113"/>
    </row>
    <row r="388" spans="1:33" ht="13.8">
      <c r="A388" s="113"/>
      <c r="B388" s="113"/>
      <c r="C388" s="113"/>
      <c r="D388" s="111"/>
      <c r="E388" s="113"/>
      <c r="F388" s="111"/>
      <c r="G388" s="113"/>
      <c r="H388" s="111"/>
      <c r="I388" s="113"/>
      <c r="J388" s="113"/>
      <c r="K388" s="113"/>
      <c r="L388" s="113"/>
      <c r="M388" s="113"/>
      <c r="N388" s="113"/>
      <c r="O388" s="113"/>
      <c r="P388" s="113"/>
      <c r="Q388" s="113"/>
      <c r="R388" s="113"/>
      <c r="S388" s="113"/>
      <c r="T388" s="113"/>
      <c r="U388" s="113"/>
      <c r="V388" s="113"/>
      <c r="W388" s="113"/>
      <c r="X388" s="113"/>
      <c r="Y388" s="113"/>
      <c r="Z388" s="113"/>
      <c r="AA388" s="113"/>
      <c r="AB388" s="113"/>
      <c r="AC388" s="113"/>
      <c r="AD388" s="113"/>
      <c r="AE388" s="113"/>
      <c r="AF388" s="113"/>
      <c r="AG388" s="113"/>
    </row>
    <row r="389" spans="1:33" ht="13.8">
      <c r="A389" s="113"/>
      <c r="B389" s="113"/>
      <c r="C389" s="113"/>
      <c r="D389" s="111"/>
      <c r="E389" s="113"/>
      <c r="F389" s="111"/>
      <c r="G389" s="113"/>
      <c r="H389" s="111"/>
      <c r="I389" s="113"/>
      <c r="J389" s="113"/>
      <c r="K389" s="113"/>
      <c r="L389" s="113"/>
      <c r="M389" s="113"/>
      <c r="N389" s="113"/>
      <c r="O389" s="113"/>
      <c r="P389" s="113"/>
      <c r="Q389" s="113"/>
      <c r="R389" s="113"/>
      <c r="S389" s="113"/>
      <c r="T389" s="113"/>
      <c r="U389" s="113"/>
      <c r="V389" s="113"/>
      <c r="W389" s="113"/>
      <c r="X389" s="113"/>
      <c r="Y389" s="113"/>
      <c r="Z389" s="113"/>
      <c r="AA389" s="113"/>
      <c r="AB389" s="113"/>
      <c r="AC389" s="113"/>
      <c r="AD389" s="113"/>
      <c r="AE389" s="113"/>
      <c r="AF389" s="113"/>
      <c r="AG389" s="113"/>
    </row>
    <row r="390" spans="1:33" ht="13.8">
      <c r="A390" s="113"/>
      <c r="B390" s="113"/>
      <c r="C390" s="113"/>
      <c r="D390" s="111"/>
      <c r="E390" s="113"/>
      <c r="F390" s="111"/>
      <c r="G390" s="113"/>
      <c r="H390" s="111"/>
      <c r="I390" s="113"/>
      <c r="J390" s="113"/>
      <c r="K390" s="113"/>
      <c r="L390" s="113"/>
      <c r="M390" s="113"/>
      <c r="N390" s="113"/>
      <c r="O390" s="113"/>
      <c r="P390" s="113"/>
      <c r="Q390" s="113"/>
      <c r="R390" s="113"/>
      <c r="S390" s="113"/>
      <c r="T390" s="113"/>
      <c r="U390" s="113"/>
      <c r="V390" s="113"/>
      <c r="W390" s="113"/>
      <c r="X390" s="113"/>
      <c r="Y390" s="113"/>
      <c r="Z390" s="113"/>
      <c r="AA390" s="113"/>
      <c r="AB390" s="113"/>
      <c r="AC390" s="113"/>
      <c r="AD390" s="113"/>
      <c r="AE390" s="113"/>
      <c r="AF390" s="113"/>
      <c r="AG390" s="113"/>
    </row>
    <row r="391" spans="1:33" ht="13.8">
      <c r="A391" s="113"/>
      <c r="B391" s="113"/>
      <c r="C391" s="113"/>
      <c r="D391" s="111"/>
      <c r="E391" s="113"/>
      <c r="F391" s="111"/>
      <c r="G391" s="113"/>
      <c r="H391" s="111"/>
      <c r="I391" s="113"/>
      <c r="J391" s="113"/>
      <c r="K391" s="113"/>
      <c r="L391" s="113"/>
      <c r="M391" s="113"/>
      <c r="N391" s="113"/>
      <c r="O391" s="113"/>
      <c r="P391" s="113"/>
      <c r="Q391" s="113"/>
      <c r="R391" s="113"/>
      <c r="S391" s="113"/>
      <c r="T391" s="113"/>
      <c r="U391" s="113"/>
      <c r="V391" s="113"/>
      <c r="W391" s="113"/>
      <c r="X391" s="113"/>
      <c r="Y391" s="113"/>
      <c r="Z391" s="113"/>
      <c r="AA391" s="113"/>
      <c r="AB391" s="113"/>
      <c r="AC391" s="113"/>
      <c r="AD391" s="113"/>
      <c r="AE391" s="113"/>
      <c r="AF391" s="113"/>
      <c r="AG391" s="113"/>
    </row>
    <row r="392" spans="1:33" ht="13.8">
      <c r="A392" s="113"/>
      <c r="B392" s="113"/>
      <c r="C392" s="113"/>
      <c r="D392" s="111"/>
      <c r="E392" s="113"/>
      <c r="F392" s="111"/>
      <c r="G392" s="113"/>
      <c r="H392" s="111"/>
      <c r="I392" s="113"/>
      <c r="J392" s="113"/>
      <c r="K392" s="113"/>
      <c r="L392" s="113"/>
      <c r="M392" s="113"/>
      <c r="N392" s="113"/>
      <c r="O392" s="113"/>
      <c r="P392" s="113"/>
      <c r="Q392" s="113"/>
      <c r="R392" s="113"/>
      <c r="S392" s="113"/>
      <c r="T392" s="113"/>
      <c r="U392" s="113"/>
      <c r="V392" s="113"/>
      <c r="W392" s="113"/>
      <c r="X392" s="113"/>
      <c r="Y392" s="113"/>
      <c r="Z392" s="113"/>
      <c r="AA392" s="113"/>
      <c r="AB392" s="113"/>
      <c r="AC392" s="113"/>
      <c r="AD392" s="113"/>
      <c r="AE392" s="113"/>
      <c r="AF392" s="113"/>
      <c r="AG392" s="113"/>
    </row>
    <row r="393" spans="1:33" ht="13.8">
      <c r="A393" s="113"/>
      <c r="B393" s="113"/>
      <c r="C393" s="113"/>
      <c r="D393" s="111"/>
      <c r="E393" s="113"/>
      <c r="F393" s="111"/>
      <c r="G393" s="113"/>
      <c r="H393" s="111"/>
      <c r="I393" s="113"/>
      <c r="J393" s="113"/>
      <c r="K393" s="113"/>
      <c r="L393" s="113"/>
      <c r="M393" s="113"/>
      <c r="N393" s="113"/>
      <c r="O393" s="113"/>
      <c r="P393" s="113"/>
      <c r="Q393" s="113"/>
      <c r="R393" s="113"/>
      <c r="S393" s="113"/>
      <c r="T393" s="113"/>
      <c r="U393" s="113"/>
      <c r="V393" s="113"/>
      <c r="W393" s="113"/>
      <c r="X393" s="113"/>
      <c r="Y393" s="113"/>
      <c r="Z393" s="113"/>
      <c r="AA393" s="113"/>
      <c r="AB393" s="113"/>
      <c r="AC393" s="113"/>
      <c r="AD393" s="113"/>
      <c r="AE393" s="113"/>
      <c r="AF393" s="113"/>
      <c r="AG393" s="113"/>
    </row>
    <row r="394" spans="1:33" ht="13.8">
      <c r="A394" s="113"/>
      <c r="B394" s="113"/>
      <c r="C394" s="113"/>
      <c r="D394" s="111"/>
      <c r="E394" s="113"/>
      <c r="F394" s="111"/>
      <c r="G394" s="113"/>
      <c r="H394" s="111"/>
      <c r="I394" s="113"/>
      <c r="J394" s="113"/>
      <c r="K394" s="113"/>
      <c r="L394" s="113"/>
      <c r="M394" s="113"/>
      <c r="N394" s="113"/>
      <c r="O394" s="113"/>
      <c r="P394" s="113"/>
      <c r="Q394" s="113"/>
      <c r="R394" s="113"/>
      <c r="S394" s="113"/>
      <c r="T394" s="113"/>
      <c r="U394" s="113"/>
      <c r="V394" s="113"/>
      <c r="W394" s="113"/>
      <c r="X394" s="113"/>
      <c r="Y394" s="113"/>
      <c r="Z394" s="113"/>
      <c r="AA394" s="113"/>
      <c r="AB394" s="113"/>
      <c r="AC394" s="113"/>
      <c r="AD394" s="113"/>
      <c r="AE394" s="113"/>
      <c r="AF394" s="113"/>
      <c r="AG394" s="113"/>
    </row>
    <row r="395" spans="1:33" ht="13.8">
      <c r="A395" s="113"/>
      <c r="B395" s="113"/>
      <c r="C395" s="113"/>
      <c r="D395" s="111"/>
      <c r="E395" s="113"/>
      <c r="F395" s="111"/>
      <c r="G395" s="113"/>
      <c r="H395" s="111"/>
      <c r="I395" s="113"/>
      <c r="J395" s="113"/>
      <c r="K395" s="113"/>
      <c r="L395" s="113"/>
      <c r="M395" s="113"/>
      <c r="N395" s="113"/>
      <c r="O395" s="113"/>
      <c r="P395" s="113"/>
      <c r="Q395" s="113"/>
      <c r="R395" s="113"/>
      <c r="S395" s="113"/>
      <c r="T395" s="113"/>
      <c r="U395" s="113"/>
      <c r="V395" s="113"/>
      <c r="W395" s="113"/>
      <c r="X395" s="113"/>
      <c r="Y395" s="113"/>
      <c r="Z395" s="113"/>
      <c r="AA395" s="113"/>
      <c r="AB395" s="113"/>
      <c r="AC395" s="113"/>
      <c r="AD395" s="113"/>
      <c r="AE395" s="113"/>
      <c r="AF395" s="113"/>
      <c r="AG395" s="113"/>
    </row>
    <row r="396" spans="1:33" ht="13.8">
      <c r="A396" s="113"/>
      <c r="B396" s="113"/>
      <c r="C396" s="113"/>
      <c r="D396" s="111"/>
      <c r="E396" s="113"/>
      <c r="F396" s="111"/>
      <c r="G396" s="113"/>
      <c r="H396" s="111"/>
      <c r="I396" s="113"/>
      <c r="J396" s="113"/>
      <c r="K396" s="113"/>
      <c r="L396" s="113"/>
      <c r="M396" s="113"/>
      <c r="N396" s="113"/>
      <c r="O396" s="113"/>
      <c r="P396" s="113"/>
      <c r="Q396" s="113"/>
      <c r="R396" s="113"/>
      <c r="S396" s="113"/>
      <c r="T396" s="113"/>
      <c r="U396" s="113"/>
      <c r="V396" s="113"/>
      <c r="W396" s="113"/>
      <c r="X396" s="113"/>
      <c r="Y396" s="113"/>
      <c r="Z396" s="113"/>
      <c r="AA396" s="113"/>
      <c r="AB396" s="113"/>
      <c r="AC396" s="113"/>
      <c r="AD396" s="113"/>
      <c r="AE396" s="113"/>
      <c r="AF396" s="113"/>
      <c r="AG396" s="113"/>
    </row>
    <row r="397" spans="1:33" ht="13.8">
      <c r="A397" s="113"/>
      <c r="B397" s="113"/>
      <c r="C397" s="113"/>
      <c r="D397" s="111"/>
      <c r="E397" s="113"/>
      <c r="F397" s="111"/>
      <c r="G397" s="113"/>
      <c r="H397" s="111"/>
      <c r="I397" s="113"/>
      <c r="J397" s="113"/>
      <c r="K397" s="113"/>
      <c r="L397" s="113"/>
      <c r="M397" s="113"/>
      <c r="N397" s="113"/>
      <c r="O397" s="113"/>
      <c r="P397" s="113"/>
      <c r="Q397" s="113"/>
      <c r="R397" s="113"/>
      <c r="S397" s="113"/>
      <c r="T397" s="113"/>
      <c r="U397" s="113"/>
      <c r="V397" s="113"/>
      <c r="W397" s="113"/>
      <c r="X397" s="113"/>
      <c r="Y397" s="113"/>
      <c r="Z397" s="113"/>
      <c r="AA397" s="113"/>
      <c r="AB397" s="113"/>
      <c r="AC397" s="113"/>
      <c r="AD397" s="113"/>
      <c r="AE397" s="113"/>
      <c r="AF397" s="113"/>
      <c r="AG397" s="113"/>
    </row>
    <row r="398" spans="1:33" ht="13.8">
      <c r="A398" s="113"/>
      <c r="B398" s="113"/>
      <c r="C398" s="113"/>
      <c r="D398" s="111"/>
      <c r="E398" s="113"/>
      <c r="F398" s="111"/>
      <c r="G398" s="113"/>
      <c r="H398" s="111"/>
      <c r="I398" s="113"/>
      <c r="J398" s="113"/>
      <c r="K398" s="113"/>
      <c r="L398" s="113"/>
      <c r="M398" s="113"/>
      <c r="N398" s="113"/>
      <c r="O398" s="113"/>
      <c r="P398" s="113"/>
      <c r="Q398" s="113"/>
      <c r="R398" s="113"/>
      <c r="S398" s="113"/>
      <c r="T398" s="113"/>
      <c r="U398" s="113"/>
      <c r="V398" s="113"/>
      <c r="W398" s="113"/>
      <c r="X398" s="113"/>
      <c r="Y398" s="113"/>
      <c r="Z398" s="113"/>
      <c r="AA398" s="113"/>
      <c r="AB398" s="113"/>
      <c r="AC398" s="113"/>
      <c r="AD398" s="113"/>
      <c r="AE398" s="113"/>
      <c r="AF398" s="113"/>
      <c r="AG398" s="113"/>
    </row>
    <row r="399" spans="1:33" ht="13.8">
      <c r="A399" s="113"/>
      <c r="B399" s="113"/>
      <c r="C399" s="113"/>
      <c r="D399" s="111"/>
      <c r="E399" s="113"/>
      <c r="F399" s="111"/>
      <c r="G399" s="113"/>
      <c r="H399" s="111"/>
      <c r="I399" s="113"/>
      <c r="J399" s="113"/>
      <c r="K399" s="113"/>
      <c r="L399" s="113"/>
      <c r="M399" s="113"/>
      <c r="N399" s="113"/>
      <c r="O399" s="113"/>
      <c r="P399" s="113"/>
      <c r="Q399" s="113"/>
      <c r="R399" s="113"/>
      <c r="S399" s="113"/>
      <c r="T399" s="113"/>
      <c r="U399" s="113"/>
      <c r="V399" s="113"/>
      <c r="W399" s="113"/>
      <c r="X399" s="113"/>
      <c r="Y399" s="113"/>
      <c r="Z399" s="113"/>
      <c r="AA399" s="113"/>
      <c r="AB399" s="113"/>
      <c r="AC399" s="113"/>
      <c r="AD399" s="113"/>
      <c r="AE399" s="113"/>
      <c r="AF399" s="113"/>
      <c r="AG399" s="113"/>
    </row>
    <row r="400" spans="1:33" ht="13.8">
      <c r="A400" s="113"/>
      <c r="B400" s="113"/>
      <c r="C400" s="113"/>
      <c r="D400" s="111"/>
      <c r="E400" s="113"/>
      <c r="F400" s="111"/>
      <c r="G400" s="113"/>
      <c r="H400" s="111"/>
      <c r="I400" s="113"/>
      <c r="J400" s="113"/>
      <c r="K400" s="113"/>
      <c r="L400" s="113"/>
      <c r="M400" s="113"/>
      <c r="N400" s="113"/>
      <c r="O400" s="113"/>
      <c r="P400" s="113"/>
      <c r="Q400" s="113"/>
      <c r="R400" s="113"/>
      <c r="S400" s="113"/>
      <c r="T400" s="113"/>
      <c r="U400" s="113"/>
      <c r="V400" s="113"/>
      <c r="W400" s="113"/>
      <c r="X400" s="113"/>
      <c r="Y400" s="113"/>
      <c r="Z400" s="113"/>
      <c r="AA400" s="113"/>
      <c r="AB400" s="113"/>
      <c r="AC400" s="113"/>
      <c r="AD400" s="113"/>
      <c r="AE400" s="113"/>
      <c r="AF400" s="113"/>
      <c r="AG400" s="113"/>
    </row>
    <row r="401" spans="1:33" ht="13.8">
      <c r="A401" s="113"/>
      <c r="B401" s="113"/>
      <c r="C401" s="113"/>
      <c r="D401" s="111"/>
      <c r="E401" s="113"/>
      <c r="F401" s="111"/>
      <c r="G401" s="113"/>
      <c r="H401" s="111"/>
      <c r="I401" s="113"/>
      <c r="J401" s="113"/>
      <c r="K401" s="113"/>
      <c r="L401" s="113"/>
      <c r="M401" s="113"/>
      <c r="N401" s="113"/>
      <c r="O401" s="113"/>
      <c r="P401" s="113"/>
      <c r="Q401" s="113"/>
      <c r="R401" s="113"/>
      <c r="S401" s="113"/>
      <c r="T401" s="113"/>
      <c r="U401" s="113"/>
      <c r="V401" s="113"/>
      <c r="W401" s="113"/>
      <c r="X401" s="113"/>
      <c r="Y401" s="113"/>
      <c r="Z401" s="113"/>
      <c r="AA401" s="113"/>
      <c r="AB401" s="113"/>
      <c r="AC401" s="113"/>
      <c r="AD401" s="113"/>
      <c r="AE401" s="113"/>
      <c r="AF401" s="113"/>
      <c r="AG401" s="113"/>
    </row>
    <row r="402" spans="1:33" ht="13.8">
      <c r="A402" s="113"/>
      <c r="B402" s="113"/>
      <c r="C402" s="113"/>
      <c r="D402" s="111"/>
      <c r="E402" s="113"/>
      <c r="F402" s="111"/>
      <c r="G402" s="113"/>
      <c r="H402" s="111"/>
      <c r="I402" s="113"/>
      <c r="J402" s="113"/>
      <c r="K402" s="113"/>
      <c r="L402" s="113"/>
      <c r="M402" s="113"/>
      <c r="N402" s="113"/>
      <c r="O402" s="113"/>
      <c r="P402" s="113"/>
      <c r="Q402" s="113"/>
      <c r="R402" s="113"/>
      <c r="S402" s="113"/>
      <c r="T402" s="113"/>
      <c r="U402" s="113"/>
      <c r="V402" s="113"/>
      <c r="W402" s="113"/>
      <c r="X402" s="113"/>
      <c r="Y402" s="113"/>
      <c r="Z402" s="113"/>
      <c r="AA402" s="113"/>
      <c r="AB402" s="113"/>
      <c r="AC402" s="113"/>
      <c r="AD402" s="113"/>
      <c r="AE402" s="113"/>
      <c r="AF402" s="113"/>
      <c r="AG402" s="113"/>
    </row>
    <row r="403" spans="1:33" ht="13.8">
      <c r="A403" s="113"/>
      <c r="B403" s="113"/>
      <c r="C403" s="113"/>
      <c r="D403" s="111"/>
      <c r="E403" s="113"/>
      <c r="F403" s="111"/>
      <c r="G403" s="113"/>
      <c r="H403" s="111"/>
      <c r="I403" s="113"/>
      <c r="J403" s="113"/>
      <c r="K403" s="113"/>
      <c r="L403" s="113"/>
      <c r="M403" s="113"/>
      <c r="N403" s="113"/>
      <c r="O403" s="113"/>
      <c r="P403" s="113"/>
      <c r="Q403" s="113"/>
      <c r="R403" s="113"/>
      <c r="S403" s="113"/>
      <c r="T403" s="113"/>
      <c r="U403" s="113"/>
      <c r="V403" s="113"/>
      <c r="W403" s="113"/>
      <c r="X403" s="113"/>
      <c r="Y403" s="113"/>
      <c r="Z403" s="113"/>
      <c r="AA403" s="113"/>
      <c r="AB403" s="113"/>
      <c r="AC403" s="113"/>
      <c r="AD403" s="113"/>
      <c r="AE403" s="113"/>
      <c r="AF403" s="113"/>
      <c r="AG403" s="113"/>
    </row>
    <row r="404" spans="1:33" ht="13.8">
      <c r="A404" s="113"/>
      <c r="B404" s="113"/>
      <c r="C404" s="113"/>
      <c r="D404" s="111"/>
      <c r="E404" s="113"/>
      <c r="F404" s="111"/>
      <c r="G404" s="113"/>
      <c r="H404" s="111"/>
      <c r="I404" s="113"/>
      <c r="J404" s="113"/>
      <c r="K404" s="113"/>
      <c r="L404" s="113"/>
      <c r="M404" s="113"/>
      <c r="N404" s="113"/>
      <c r="O404" s="113"/>
      <c r="P404" s="113"/>
      <c r="Q404" s="113"/>
      <c r="R404" s="113"/>
      <c r="S404" s="113"/>
      <c r="T404" s="113"/>
      <c r="U404" s="113"/>
      <c r="V404" s="113"/>
      <c r="W404" s="113"/>
      <c r="X404" s="113"/>
      <c r="Y404" s="113"/>
      <c r="Z404" s="113"/>
      <c r="AA404" s="113"/>
      <c r="AB404" s="113"/>
      <c r="AC404" s="113"/>
      <c r="AD404" s="113"/>
      <c r="AE404" s="113"/>
      <c r="AF404" s="113"/>
      <c r="AG404" s="113"/>
    </row>
    <row r="405" spans="1:33" ht="13.8">
      <c r="A405" s="113"/>
      <c r="B405" s="113"/>
      <c r="C405" s="113"/>
      <c r="D405" s="111"/>
      <c r="E405" s="113"/>
      <c r="F405" s="111"/>
      <c r="G405" s="113"/>
      <c r="H405" s="111"/>
      <c r="I405" s="113"/>
      <c r="J405" s="113"/>
      <c r="K405" s="113"/>
      <c r="L405" s="113"/>
      <c r="M405" s="113"/>
      <c r="N405" s="113"/>
      <c r="O405" s="113"/>
      <c r="P405" s="113"/>
      <c r="Q405" s="113"/>
      <c r="R405" s="113"/>
      <c r="S405" s="113"/>
      <c r="T405" s="113"/>
      <c r="U405" s="113"/>
      <c r="V405" s="113"/>
      <c r="W405" s="113"/>
      <c r="X405" s="113"/>
      <c r="Y405" s="113"/>
      <c r="Z405" s="113"/>
      <c r="AA405" s="113"/>
      <c r="AB405" s="113"/>
      <c r="AC405" s="113"/>
      <c r="AD405" s="113"/>
      <c r="AE405" s="113"/>
      <c r="AF405" s="113"/>
      <c r="AG405" s="113"/>
    </row>
    <row r="406" spans="1:33" ht="13.8">
      <c r="A406" s="113"/>
      <c r="B406" s="113"/>
      <c r="C406" s="113"/>
      <c r="D406" s="111"/>
      <c r="E406" s="113"/>
      <c r="F406" s="111"/>
      <c r="G406" s="113"/>
      <c r="H406" s="111"/>
      <c r="I406" s="113"/>
      <c r="J406" s="113"/>
      <c r="K406" s="113"/>
      <c r="L406" s="113"/>
      <c r="M406" s="113"/>
      <c r="N406" s="113"/>
      <c r="O406" s="113"/>
      <c r="P406" s="113"/>
      <c r="Q406" s="113"/>
      <c r="R406" s="113"/>
      <c r="S406" s="113"/>
      <c r="T406" s="113"/>
      <c r="U406" s="113"/>
      <c r="V406" s="113"/>
      <c r="W406" s="113"/>
      <c r="X406" s="113"/>
      <c r="Y406" s="113"/>
      <c r="Z406" s="113"/>
      <c r="AA406" s="113"/>
      <c r="AB406" s="113"/>
      <c r="AC406" s="113"/>
      <c r="AD406" s="113"/>
      <c r="AE406" s="113"/>
      <c r="AF406" s="113"/>
      <c r="AG406" s="113"/>
    </row>
    <row r="407" spans="1:33" ht="13.8">
      <c r="A407" s="113"/>
      <c r="B407" s="113"/>
      <c r="C407" s="113"/>
      <c r="D407" s="111"/>
      <c r="E407" s="113"/>
      <c r="F407" s="111"/>
      <c r="G407" s="113"/>
      <c r="H407" s="111"/>
      <c r="I407" s="113"/>
      <c r="J407" s="113"/>
      <c r="K407" s="113"/>
      <c r="L407" s="113"/>
      <c r="M407" s="113"/>
      <c r="N407" s="113"/>
      <c r="O407" s="113"/>
      <c r="P407" s="113"/>
      <c r="Q407" s="113"/>
      <c r="R407" s="113"/>
      <c r="S407" s="113"/>
      <c r="T407" s="113"/>
      <c r="U407" s="113"/>
      <c r="V407" s="113"/>
      <c r="W407" s="113"/>
      <c r="X407" s="113"/>
      <c r="Y407" s="113"/>
      <c r="Z407" s="113"/>
      <c r="AA407" s="113"/>
      <c r="AB407" s="113"/>
      <c r="AC407" s="113"/>
      <c r="AD407" s="113"/>
      <c r="AE407" s="113"/>
      <c r="AF407" s="113"/>
      <c r="AG407" s="113"/>
    </row>
    <row r="408" spans="1:33" ht="13.8">
      <c r="A408" s="113"/>
      <c r="B408" s="113"/>
      <c r="C408" s="113"/>
      <c r="D408" s="111"/>
      <c r="E408" s="113"/>
      <c r="F408" s="111"/>
      <c r="G408" s="113"/>
      <c r="H408" s="111"/>
      <c r="I408" s="113"/>
      <c r="J408" s="113"/>
      <c r="K408" s="113"/>
      <c r="L408" s="113"/>
      <c r="M408" s="113"/>
      <c r="N408" s="113"/>
      <c r="O408" s="113"/>
      <c r="P408" s="113"/>
      <c r="Q408" s="113"/>
      <c r="R408" s="113"/>
      <c r="S408" s="113"/>
      <c r="T408" s="113"/>
      <c r="U408" s="113"/>
      <c r="V408" s="113"/>
      <c r="W408" s="113"/>
      <c r="X408" s="113"/>
      <c r="Y408" s="113"/>
      <c r="Z408" s="113"/>
      <c r="AA408" s="113"/>
      <c r="AB408" s="113"/>
      <c r="AC408" s="113"/>
      <c r="AD408" s="113"/>
      <c r="AE408" s="113"/>
      <c r="AF408" s="113"/>
      <c r="AG408" s="113"/>
    </row>
    <row r="409" spans="1:33" ht="13.8">
      <c r="A409" s="113"/>
      <c r="B409" s="113"/>
      <c r="C409" s="113"/>
      <c r="D409" s="111"/>
      <c r="E409" s="113"/>
      <c r="F409" s="111"/>
      <c r="G409" s="113"/>
      <c r="H409" s="111"/>
      <c r="I409" s="113"/>
      <c r="J409" s="113"/>
      <c r="K409" s="113"/>
      <c r="L409" s="113"/>
      <c r="M409" s="113"/>
      <c r="N409" s="113"/>
      <c r="O409" s="113"/>
      <c r="P409" s="113"/>
      <c r="Q409" s="113"/>
      <c r="R409" s="113"/>
      <c r="S409" s="113"/>
      <c r="T409" s="113"/>
      <c r="U409" s="113"/>
      <c r="V409" s="113"/>
      <c r="W409" s="113"/>
      <c r="X409" s="113"/>
      <c r="Y409" s="113"/>
      <c r="Z409" s="113"/>
      <c r="AA409" s="113"/>
      <c r="AB409" s="113"/>
      <c r="AC409" s="113"/>
      <c r="AD409" s="113"/>
      <c r="AE409" s="113"/>
      <c r="AF409" s="113"/>
      <c r="AG409" s="113"/>
    </row>
    <row r="410" spans="1:33" ht="13.8">
      <c r="A410" s="113"/>
      <c r="B410" s="113"/>
      <c r="C410" s="113"/>
      <c r="D410" s="111"/>
      <c r="E410" s="113"/>
      <c r="F410" s="111"/>
      <c r="G410" s="113"/>
      <c r="H410" s="111"/>
      <c r="I410" s="113"/>
      <c r="J410" s="113"/>
      <c r="K410" s="113"/>
      <c r="L410" s="113"/>
      <c r="M410" s="113"/>
      <c r="N410" s="113"/>
      <c r="O410" s="113"/>
      <c r="P410" s="113"/>
      <c r="Q410" s="113"/>
      <c r="R410" s="113"/>
      <c r="S410" s="113"/>
      <c r="T410" s="113"/>
      <c r="U410" s="113"/>
      <c r="V410" s="113"/>
      <c r="W410" s="113"/>
      <c r="X410" s="113"/>
      <c r="Y410" s="113"/>
      <c r="Z410" s="113"/>
      <c r="AA410" s="113"/>
      <c r="AB410" s="113"/>
      <c r="AC410" s="113"/>
      <c r="AD410" s="113"/>
      <c r="AE410" s="113"/>
      <c r="AF410" s="113"/>
      <c r="AG410" s="113"/>
    </row>
    <row r="411" spans="1:33" ht="13.8">
      <c r="A411" s="113"/>
      <c r="B411" s="113"/>
      <c r="C411" s="113"/>
      <c r="D411" s="111"/>
      <c r="E411" s="113"/>
      <c r="F411" s="111"/>
      <c r="G411" s="113"/>
      <c r="H411" s="111"/>
      <c r="I411" s="113"/>
      <c r="J411" s="113"/>
      <c r="K411" s="113"/>
      <c r="L411" s="113"/>
      <c r="M411" s="113"/>
      <c r="N411" s="113"/>
      <c r="O411" s="113"/>
      <c r="P411" s="113"/>
      <c r="Q411" s="113"/>
      <c r="R411" s="113"/>
      <c r="S411" s="113"/>
      <c r="T411" s="113"/>
      <c r="U411" s="113"/>
      <c r="V411" s="113"/>
      <c r="W411" s="113"/>
      <c r="X411" s="113"/>
      <c r="Y411" s="113"/>
      <c r="Z411" s="113"/>
      <c r="AA411" s="113"/>
      <c r="AB411" s="113"/>
      <c r="AC411" s="113"/>
      <c r="AD411" s="113"/>
      <c r="AE411" s="113"/>
      <c r="AF411" s="113"/>
      <c r="AG411" s="113"/>
    </row>
    <row r="412" spans="1:33" ht="13.8">
      <c r="A412" s="113"/>
      <c r="B412" s="113"/>
      <c r="C412" s="113"/>
      <c r="D412" s="111"/>
      <c r="E412" s="113"/>
      <c r="F412" s="111"/>
      <c r="G412" s="113"/>
      <c r="H412" s="111"/>
      <c r="I412" s="113"/>
      <c r="J412" s="113"/>
      <c r="K412" s="113"/>
      <c r="L412" s="113"/>
      <c r="M412" s="113"/>
      <c r="N412" s="113"/>
      <c r="O412" s="113"/>
      <c r="P412" s="113"/>
      <c r="Q412" s="113"/>
      <c r="R412" s="113"/>
      <c r="S412" s="113"/>
      <c r="T412" s="113"/>
      <c r="U412" s="113"/>
      <c r="V412" s="113"/>
      <c r="W412" s="113"/>
      <c r="X412" s="113"/>
      <c r="Y412" s="113"/>
      <c r="Z412" s="113"/>
      <c r="AA412" s="113"/>
      <c r="AB412" s="113"/>
      <c r="AC412" s="113"/>
      <c r="AD412" s="113"/>
      <c r="AE412" s="113"/>
      <c r="AF412" s="113"/>
      <c r="AG412" s="113"/>
    </row>
    <row r="413" spans="1:33" ht="13.8">
      <c r="A413" s="113"/>
      <c r="B413" s="113"/>
      <c r="C413" s="113"/>
      <c r="D413" s="111"/>
      <c r="E413" s="113"/>
      <c r="F413" s="111"/>
      <c r="G413" s="113"/>
      <c r="H413" s="111"/>
      <c r="I413" s="113"/>
      <c r="J413" s="113"/>
      <c r="K413" s="113"/>
      <c r="L413" s="113"/>
      <c r="M413" s="113"/>
      <c r="N413" s="113"/>
      <c r="O413" s="113"/>
      <c r="P413" s="113"/>
      <c r="Q413" s="113"/>
      <c r="R413" s="113"/>
      <c r="S413" s="113"/>
      <c r="T413" s="113"/>
      <c r="U413" s="113"/>
      <c r="V413" s="113"/>
      <c r="W413" s="113"/>
      <c r="X413" s="113"/>
      <c r="Y413" s="113"/>
      <c r="Z413" s="113"/>
      <c r="AA413" s="113"/>
      <c r="AB413" s="113"/>
      <c r="AC413" s="113"/>
      <c r="AD413" s="113"/>
      <c r="AE413" s="113"/>
      <c r="AF413" s="113"/>
      <c r="AG413" s="113"/>
    </row>
    <row r="414" spans="1:33" ht="13.8">
      <c r="A414" s="113"/>
      <c r="B414" s="113"/>
      <c r="C414" s="113"/>
      <c r="D414" s="111"/>
      <c r="E414" s="113"/>
      <c r="F414" s="111"/>
      <c r="G414" s="113"/>
      <c r="H414" s="111"/>
      <c r="I414" s="113"/>
      <c r="J414" s="113"/>
      <c r="K414" s="113"/>
      <c r="L414" s="113"/>
      <c r="M414" s="113"/>
      <c r="N414" s="113"/>
      <c r="O414" s="113"/>
      <c r="P414" s="113"/>
      <c r="Q414" s="113"/>
      <c r="R414" s="113"/>
      <c r="S414" s="113"/>
      <c r="T414" s="113"/>
      <c r="U414" s="113"/>
      <c r="V414" s="113"/>
      <c r="W414" s="113"/>
      <c r="X414" s="113"/>
      <c r="Y414" s="113"/>
      <c r="Z414" s="113"/>
      <c r="AA414" s="113"/>
      <c r="AB414" s="113"/>
      <c r="AC414" s="113"/>
      <c r="AD414" s="113"/>
      <c r="AE414" s="113"/>
      <c r="AF414" s="113"/>
      <c r="AG414" s="113"/>
    </row>
    <row r="415" spans="1:33" ht="13.8">
      <c r="A415" s="113"/>
      <c r="B415" s="113"/>
      <c r="C415" s="113"/>
      <c r="D415" s="111"/>
      <c r="E415" s="113"/>
      <c r="F415" s="111"/>
      <c r="G415" s="113"/>
      <c r="H415" s="111"/>
      <c r="I415" s="113"/>
      <c r="J415" s="113"/>
      <c r="K415" s="113"/>
      <c r="L415" s="113"/>
      <c r="M415" s="113"/>
      <c r="N415" s="113"/>
      <c r="O415" s="113"/>
      <c r="P415" s="113"/>
      <c r="Q415" s="113"/>
      <c r="R415" s="113"/>
      <c r="S415" s="113"/>
      <c r="T415" s="113"/>
      <c r="U415" s="113"/>
      <c r="V415" s="113"/>
      <c r="W415" s="113"/>
      <c r="X415" s="113"/>
      <c r="Y415" s="113"/>
      <c r="Z415" s="113"/>
      <c r="AA415" s="113"/>
      <c r="AB415" s="113"/>
      <c r="AC415" s="113"/>
      <c r="AD415" s="113"/>
      <c r="AE415" s="113"/>
      <c r="AF415" s="113"/>
      <c r="AG415" s="113"/>
    </row>
    <row r="416" spans="1:33" ht="13.8">
      <c r="A416" s="113"/>
      <c r="B416" s="113"/>
      <c r="C416" s="113"/>
      <c r="D416" s="111"/>
      <c r="E416" s="113"/>
      <c r="F416" s="111"/>
      <c r="G416" s="113"/>
      <c r="H416" s="111"/>
      <c r="I416" s="113"/>
      <c r="J416" s="113"/>
      <c r="K416" s="113"/>
      <c r="L416" s="113"/>
      <c r="M416" s="113"/>
      <c r="N416" s="113"/>
      <c r="O416" s="113"/>
      <c r="P416" s="113"/>
      <c r="Q416" s="113"/>
      <c r="R416" s="113"/>
      <c r="S416" s="113"/>
      <c r="T416" s="113"/>
      <c r="U416" s="113"/>
      <c r="V416" s="113"/>
      <c r="W416" s="113"/>
      <c r="X416" s="113"/>
      <c r="Y416" s="113"/>
      <c r="Z416" s="113"/>
      <c r="AA416" s="113"/>
      <c r="AB416" s="113"/>
      <c r="AC416" s="113"/>
      <c r="AD416" s="113"/>
      <c r="AE416" s="113"/>
      <c r="AF416" s="113"/>
      <c r="AG416" s="113"/>
    </row>
    <row r="417" spans="1:33" ht="13.8">
      <c r="A417" s="113"/>
      <c r="B417" s="113"/>
      <c r="C417" s="113"/>
      <c r="D417" s="111"/>
      <c r="E417" s="113"/>
      <c r="F417" s="111"/>
      <c r="G417" s="113"/>
      <c r="H417" s="111"/>
      <c r="I417" s="113"/>
      <c r="J417" s="113"/>
      <c r="K417" s="113"/>
      <c r="L417" s="113"/>
      <c r="M417" s="113"/>
      <c r="N417" s="113"/>
      <c r="O417" s="113"/>
      <c r="P417" s="113"/>
      <c r="Q417" s="113"/>
      <c r="R417" s="113"/>
      <c r="S417" s="113"/>
      <c r="T417" s="113"/>
      <c r="U417" s="113"/>
      <c r="V417" s="113"/>
      <c r="W417" s="113"/>
      <c r="X417" s="113"/>
      <c r="Y417" s="113"/>
      <c r="Z417" s="113"/>
      <c r="AA417" s="113"/>
      <c r="AB417" s="113"/>
      <c r="AC417" s="113"/>
      <c r="AD417" s="113"/>
      <c r="AE417" s="113"/>
      <c r="AF417" s="113"/>
      <c r="AG417" s="113"/>
    </row>
    <row r="418" spans="1:33" ht="13.8">
      <c r="A418" s="113"/>
      <c r="B418" s="113"/>
      <c r="C418" s="113"/>
      <c r="D418" s="111"/>
      <c r="E418" s="113"/>
      <c r="F418" s="111"/>
      <c r="G418" s="113"/>
      <c r="H418" s="111"/>
      <c r="I418" s="113"/>
      <c r="J418" s="113"/>
      <c r="K418" s="113"/>
      <c r="L418" s="113"/>
      <c r="M418" s="113"/>
      <c r="N418" s="113"/>
      <c r="O418" s="113"/>
      <c r="P418" s="113"/>
      <c r="Q418" s="113"/>
      <c r="R418" s="113"/>
      <c r="S418" s="113"/>
      <c r="T418" s="113"/>
      <c r="U418" s="113"/>
      <c r="V418" s="113"/>
      <c r="W418" s="113"/>
      <c r="X418" s="113"/>
      <c r="Y418" s="113"/>
      <c r="Z418" s="113"/>
      <c r="AA418" s="113"/>
      <c r="AB418" s="113"/>
      <c r="AC418" s="113"/>
      <c r="AD418" s="113"/>
      <c r="AE418" s="113"/>
      <c r="AF418" s="113"/>
      <c r="AG418" s="113"/>
    </row>
    <row r="419" spans="1:33" ht="13.8">
      <c r="A419" s="113"/>
      <c r="B419" s="113"/>
      <c r="C419" s="113"/>
      <c r="D419" s="111"/>
      <c r="E419" s="113"/>
      <c r="F419" s="111"/>
      <c r="G419" s="113"/>
      <c r="H419" s="111"/>
      <c r="I419" s="113"/>
      <c r="J419" s="113"/>
      <c r="K419" s="113"/>
      <c r="L419" s="113"/>
      <c r="M419" s="113"/>
      <c r="N419" s="113"/>
      <c r="O419" s="113"/>
      <c r="P419" s="113"/>
      <c r="Q419" s="113"/>
      <c r="R419" s="113"/>
      <c r="S419" s="113"/>
      <c r="T419" s="113"/>
      <c r="U419" s="113"/>
      <c r="V419" s="113"/>
      <c r="W419" s="113"/>
      <c r="X419" s="113"/>
      <c r="Y419" s="113"/>
      <c r="Z419" s="113"/>
      <c r="AA419" s="113"/>
      <c r="AB419" s="113"/>
      <c r="AC419" s="113"/>
      <c r="AD419" s="113"/>
      <c r="AE419" s="113"/>
      <c r="AF419" s="113"/>
      <c r="AG419" s="113"/>
    </row>
    <row r="420" spans="1:33" ht="13.8">
      <c r="A420" s="113"/>
      <c r="B420" s="113"/>
      <c r="C420" s="113"/>
      <c r="D420" s="111"/>
      <c r="E420" s="113"/>
      <c r="F420" s="111"/>
      <c r="G420" s="113"/>
      <c r="H420" s="111"/>
      <c r="I420" s="113"/>
      <c r="J420" s="113"/>
      <c r="K420" s="113"/>
      <c r="L420" s="113"/>
      <c r="M420" s="113"/>
      <c r="N420" s="113"/>
      <c r="O420" s="113"/>
      <c r="P420" s="113"/>
      <c r="Q420" s="113"/>
      <c r="R420" s="113"/>
      <c r="S420" s="113"/>
      <c r="T420" s="113"/>
      <c r="U420" s="113"/>
      <c r="V420" s="113"/>
      <c r="W420" s="113"/>
      <c r="X420" s="113"/>
      <c r="Y420" s="113"/>
      <c r="Z420" s="113"/>
      <c r="AA420" s="113"/>
      <c r="AB420" s="113"/>
      <c r="AC420" s="113"/>
      <c r="AD420" s="113"/>
      <c r="AE420" s="113"/>
      <c r="AF420" s="113"/>
      <c r="AG420" s="113"/>
    </row>
    <row r="421" spans="1:33" ht="13.8">
      <c r="A421" s="113"/>
      <c r="B421" s="113"/>
      <c r="C421" s="113"/>
      <c r="D421" s="111"/>
      <c r="E421" s="113"/>
      <c r="F421" s="111"/>
      <c r="G421" s="113"/>
      <c r="H421" s="111"/>
      <c r="I421" s="113"/>
      <c r="J421" s="113"/>
      <c r="K421" s="113"/>
      <c r="L421" s="113"/>
      <c r="M421" s="113"/>
      <c r="N421" s="113"/>
      <c r="O421" s="113"/>
      <c r="P421" s="113"/>
      <c r="Q421" s="113"/>
      <c r="R421" s="113"/>
      <c r="S421" s="113"/>
      <c r="T421" s="113"/>
      <c r="U421" s="113"/>
      <c r="V421" s="113"/>
      <c r="W421" s="113"/>
      <c r="X421" s="113"/>
      <c r="Y421" s="113"/>
      <c r="Z421" s="113"/>
      <c r="AA421" s="113"/>
      <c r="AB421" s="113"/>
      <c r="AC421" s="113"/>
      <c r="AD421" s="113"/>
      <c r="AE421" s="113"/>
      <c r="AF421" s="113"/>
      <c r="AG421" s="113"/>
    </row>
    <row r="422" spans="1:33" ht="13.8">
      <c r="A422" s="113"/>
      <c r="B422" s="113"/>
      <c r="C422" s="113"/>
      <c r="D422" s="111"/>
      <c r="E422" s="113"/>
      <c r="F422" s="111"/>
      <c r="G422" s="113"/>
      <c r="H422" s="111"/>
      <c r="I422" s="113"/>
      <c r="J422" s="113"/>
      <c r="K422" s="113"/>
      <c r="L422" s="113"/>
      <c r="M422" s="113"/>
      <c r="N422" s="113"/>
      <c r="O422" s="113"/>
      <c r="P422" s="113"/>
      <c r="Q422" s="113"/>
      <c r="R422" s="113"/>
      <c r="S422" s="113"/>
      <c r="T422" s="113"/>
      <c r="U422" s="113"/>
      <c r="V422" s="113"/>
      <c r="W422" s="113"/>
      <c r="X422" s="113"/>
      <c r="Y422" s="113"/>
      <c r="Z422" s="113"/>
      <c r="AA422" s="113"/>
      <c r="AB422" s="113"/>
      <c r="AC422" s="113"/>
      <c r="AD422" s="113"/>
      <c r="AE422" s="113"/>
      <c r="AF422" s="113"/>
      <c r="AG422" s="113"/>
    </row>
    <row r="423" spans="1:33" ht="13.8">
      <c r="A423" s="113"/>
      <c r="B423" s="113"/>
      <c r="C423" s="113"/>
      <c r="D423" s="111"/>
      <c r="E423" s="113"/>
      <c r="F423" s="111"/>
      <c r="G423" s="113"/>
      <c r="H423" s="111"/>
      <c r="I423" s="113"/>
      <c r="J423" s="113"/>
      <c r="K423" s="113"/>
      <c r="L423" s="113"/>
      <c r="M423" s="113"/>
      <c r="N423" s="113"/>
      <c r="O423" s="113"/>
      <c r="P423" s="113"/>
      <c r="Q423" s="113"/>
      <c r="R423" s="113"/>
      <c r="S423" s="113"/>
      <c r="T423" s="113"/>
      <c r="U423" s="113"/>
      <c r="V423" s="113"/>
      <c r="W423" s="113"/>
      <c r="X423" s="113"/>
      <c r="Y423" s="113"/>
      <c r="Z423" s="113"/>
      <c r="AA423" s="113"/>
      <c r="AB423" s="113"/>
      <c r="AC423" s="113"/>
      <c r="AD423" s="113"/>
      <c r="AE423" s="113"/>
      <c r="AF423" s="113"/>
      <c r="AG423" s="113"/>
    </row>
    <row r="424" spans="1:33" ht="13.8">
      <c r="A424" s="113"/>
      <c r="B424" s="113"/>
      <c r="C424" s="113"/>
      <c r="D424" s="111"/>
      <c r="E424" s="113"/>
      <c r="F424" s="111"/>
      <c r="G424" s="113"/>
      <c r="H424" s="111"/>
      <c r="I424" s="113"/>
      <c r="J424" s="113"/>
      <c r="K424" s="113"/>
      <c r="L424" s="113"/>
      <c r="M424" s="113"/>
      <c r="N424" s="113"/>
      <c r="O424" s="113"/>
      <c r="P424" s="113"/>
      <c r="Q424" s="113"/>
      <c r="R424" s="113"/>
      <c r="S424" s="113"/>
      <c r="T424" s="113"/>
      <c r="U424" s="113"/>
      <c r="V424" s="113"/>
      <c r="W424" s="113"/>
      <c r="X424" s="113"/>
      <c r="Y424" s="113"/>
      <c r="Z424" s="113"/>
      <c r="AA424" s="113"/>
      <c r="AB424" s="113"/>
      <c r="AC424" s="113"/>
      <c r="AD424" s="113"/>
      <c r="AE424" s="113"/>
      <c r="AF424" s="113"/>
      <c r="AG424" s="113"/>
    </row>
    <row r="425" spans="1:33" ht="13.8">
      <c r="A425" s="113"/>
      <c r="B425" s="113"/>
      <c r="C425" s="113"/>
      <c r="D425" s="111"/>
      <c r="E425" s="113"/>
      <c r="F425" s="111"/>
      <c r="G425" s="113"/>
      <c r="H425" s="111"/>
      <c r="I425" s="113"/>
      <c r="J425" s="113"/>
      <c r="K425" s="113"/>
      <c r="L425" s="113"/>
      <c r="M425" s="113"/>
      <c r="N425" s="113"/>
      <c r="O425" s="113"/>
      <c r="P425" s="113"/>
      <c r="Q425" s="113"/>
      <c r="R425" s="113"/>
      <c r="S425" s="113"/>
      <c r="T425" s="113"/>
      <c r="U425" s="113"/>
      <c r="V425" s="113"/>
      <c r="W425" s="113"/>
      <c r="X425" s="113"/>
      <c r="Y425" s="113"/>
      <c r="Z425" s="113"/>
      <c r="AA425" s="113"/>
      <c r="AB425" s="113"/>
      <c r="AC425" s="113"/>
      <c r="AD425" s="113"/>
      <c r="AE425" s="113"/>
      <c r="AF425" s="113"/>
      <c r="AG425" s="113"/>
    </row>
    <row r="426" spans="1:33" ht="13.8">
      <c r="A426" s="113"/>
      <c r="B426" s="113"/>
      <c r="C426" s="113"/>
      <c r="D426" s="111"/>
      <c r="E426" s="113"/>
      <c r="F426" s="111"/>
      <c r="G426" s="113"/>
      <c r="H426" s="111"/>
      <c r="I426" s="113"/>
      <c r="J426" s="113"/>
      <c r="K426" s="113"/>
      <c r="L426" s="113"/>
      <c r="M426" s="113"/>
      <c r="N426" s="113"/>
      <c r="O426" s="113"/>
      <c r="P426" s="113"/>
      <c r="Q426" s="113"/>
      <c r="R426" s="113"/>
      <c r="S426" s="113"/>
      <c r="T426" s="113"/>
      <c r="U426" s="113"/>
      <c r="V426" s="113"/>
      <c r="W426" s="113"/>
      <c r="X426" s="113"/>
      <c r="Y426" s="113"/>
      <c r="Z426" s="113"/>
      <c r="AA426" s="113"/>
      <c r="AB426" s="113"/>
      <c r="AC426" s="113"/>
      <c r="AD426" s="113"/>
      <c r="AE426" s="113"/>
      <c r="AF426" s="113"/>
      <c r="AG426" s="113"/>
    </row>
    <row r="427" spans="1:33" ht="13.8">
      <c r="A427" s="113"/>
      <c r="B427" s="113"/>
      <c r="C427" s="113"/>
      <c r="D427" s="111"/>
      <c r="E427" s="113"/>
      <c r="F427" s="111"/>
      <c r="G427" s="113"/>
      <c r="H427" s="111"/>
      <c r="I427" s="113"/>
      <c r="J427" s="113"/>
      <c r="K427" s="113"/>
      <c r="L427" s="113"/>
      <c r="M427" s="113"/>
      <c r="N427" s="113"/>
      <c r="O427" s="113"/>
      <c r="P427" s="113"/>
      <c r="Q427" s="113"/>
      <c r="R427" s="113"/>
      <c r="S427" s="113"/>
      <c r="T427" s="113"/>
      <c r="U427" s="113"/>
      <c r="V427" s="113"/>
      <c r="W427" s="113"/>
      <c r="X427" s="113"/>
      <c r="Y427" s="113"/>
      <c r="Z427" s="113"/>
      <c r="AA427" s="113"/>
      <c r="AB427" s="113"/>
      <c r="AC427" s="113"/>
      <c r="AD427" s="113"/>
      <c r="AE427" s="113"/>
      <c r="AF427" s="113"/>
      <c r="AG427" s="113"/>
    </row>
    <row r="428" spans="1:33" ht="13.8">
      <c r="A428" s="113"/>
      <c r="B428" s="113"/>
      <c r="C428" s="113"/>
      <c r="D428" s="111"/>
      <c r="E428" s="113"/>
      <c r="F428" s="111"/>
      <c r="G428" s="113"/>
      <c r="H428" s="111"/>
      <c r="I428" s="113"/>
      <c r="J428" s="113"/>
      <c r="K428" s="113"/>
      <c r="L428" s="113"/>
      <c r="M428" s="113"/>
      <c r="N428" s="113"/>
      <c r="O428" s="113"/>
      <c r="P428" s="113"/>
      <c r="Q428" s="113"/>
      <c r="R428" s="113"/>
      <c r="S428" s="113"/>
      <c r="T428" s="113"/>
      <c r="U428" s="113"/>
      <c r="V428" s="113"/>
      <c r="W428" s="113"/>
      <c r="X428" s="113"/>
      <c r="Y428" s="113"/>
      <c r="Z428" s="113"/>
      <c r="AA428" s="113"/>
      <c r="AB428" s="113"/>
      <c r="AC428" s="113"/>
      <c r="AD428" s="113"/>
      <c r="AE428" s="113"/>
      <c r="AF428" s="113"/>
      <c r="AG428" s="113"/>
    </row>
    <row r="429" spans="1:33" ht="13.8">
      <c r="A429" s="113"/>
      <c r="B429" s="113"/>
      <c r="C429" s="113"/>
      <c r="D429" s="111"/>
      <c r="E429" s="113"/>
      <c r="F429" s="111"/>
      <c r="G429" s="113"/>
      <c r="H429" s="111"/>
      <c r="I429" s="113"/>
      <c r="J429" s="113"/>
      <c r="K429" s="113"/>
      <c r="L429" s="113"/>
      <c r="M429" s="113"/>
      <c r="N429" s="113"/>
      <c r="O429" s="113"/>
      <c r="P429" s="113"/>
      <c r="Q429" s="113"/>
      <c r="R429" s="113"/>
      <c r="S429" s="113"/>
      <c r="T429" s="113"/>
      <c r="U429" s="113"/>
      <c r="V429" s="113"/>
      <c r="W429" s="113"/>
      <c r="X429" s="113"/>
      <c r="Y429" s="113"/>
      <c r="Z429" s="113"/>
      <c r="AA429" s="113"/>
      <c r="AB429" s="113"/>
      <c r="AC429" s="113"/>
      <c r="AD429" s="113"/>
      <c r="AE429" s="113"/>
      <c r="AF429" s="113"/>
      <c r="AG429" s="113"/>
    </row>
    <row r="430" spans="1:33" ht="13.8">
      <c r="A430" s="113"/>
      <c r="B430" s="113"/>
      <c r="C430" s="113"/>
      <c r="D430" s="111"/>
      <c r="E430" s="113"/>
      <c r="F430" s="111"/>
      <c r="G430" s="113"/>
      <c r="H430" s="111"/>
      <c r="I430" s="113"/>
      <c r="J430" s="113"/>
      <c r="K430" s="113"/>
      <c r="L430" s="113"/>
      <c r="M430" s="113"/>
      <c r="N430" s="113"/>
      <c r="O430" s="113"/>
      <c r="P430" s="113"/>
      <c r="Q430" s="113"/>
      <c r="R430" s="113"/>
      <c r="S430" s="113"/>
      <c r="T430" s="113"/>
      <c r="U430" s="113"/>
      <c r="V430" s="113"/>
      <c r="W430" s="113"/>
      <c r="X430" s="113"/>
      <c r="Y430" s="113"/>
      <c r="Z430" s="113"/>
      <c r="AA430" s="113"/>
      <c r="AB430" s="113"/>
      <c r="AC430" s="113"/>
      <c r="AD430" s="113"/>
      <c r="AE430" s="113"/>
      <c r="AF430" s="113"/>
      <c r="AG430" s="113"/>
    </row>
    <row r="431" spans="1:33" ht="13.8">
      <c r="A431" s="113"/>
      <c r="B431" s="113"/>
      <c r="C431" s="113"/>
      <c r="D431" s="111"/>
      <c r="E431" s="113"/>
      <c r="F431" s="111"/>
      <c r="G431" s="113"/>
      <c r="H431" s="111"/>
      <c r="I431" s="113"/>
      <c r="J431" s="113"/>
      <c r="K431" s="113"/>
      <c r="L431" s="113"/>
      <c r="M431" s="113"/>
      <c r="N431" s="113"/>
      <c r="O431" s="113"/>
      <c r="P431" s="113"/>
      <c r="Q431" s="113"/>
      <c r="R431" s="113"/>
      <c r="S431" s="113"/>
      <c r="T431" s="113"/>
      <c r="U431" s="113"/>
      <c r="V431" s="113"/>
      <c r="W431" s="113"/>
      <c r="X431" s="113"/>
      <c r="Y431" s="113"/>
      <c r="Z431" s="113"/>
      <c r="AA431" s="113"/>
      <c r="AB431" s="113"/>
      <c r="AC431" s="113"/>
      <c r="AD431" s="113"/>
      <c r="AE431" s="113"/>
      <c r="AF431" s="113"/>
      <c r="AG431" s="113"/>
    </row>
    <row r="432" spans="1:33" ht="13.8">
      <c r="A432" s="113"/>
      <c r="B432" s="113"/>
      <c r="C432" s="113"/>
      <c r="D432" s="111"/>
      <c r="E432" s="113"/>
      <c r="F432" s="111"/>
      <c r="G432" s="113"/>
      <c r="H432" s="111"/>
      <c r="I432" s="113"/>
      <c r="J432" s="113"/>
      <c r="K432" s="113"/>
      <c r="L432" s="113"/>
      <c r="M432" s="113"/>
      <c r="N432" s="113"/>
      <c r="O432" s="113"/>
      <c r="P432" s="113"/>
      <c r="Q432" s="113"/>
      <c r="R432" s="113"/>
      <c r="S432" s="113"/>
      <c r="T432" s="113"/>
      <c r="U432" s="113"/>
      <c r="V432" s="113"/>
      <c r="W432" s="113"/>
      <c r="X432" s="113"/>
      <c r="Y432" s="113"/>
      <c r="Z432" s="113"/>
      <c r="AA432" s="113"/>
      <c r="AB432" s="113"/>
      <c r="AC432" s="113"/>
      <c r="AD432" s="113"/>
      <c r="AE432" s="113"/>
      <c r="AF432" s="113"/>
      <c r="AG432" s="113"/>
    </row>
    <row r="433" spans="1:33" ht="13.8">
      <c r="A433" s="113"/>
      <c r="B433" s="113"/>
      <c r="C433" s="113"/>
      <c r="D433" s="111"/>
      <c r="E433" s="113"/>
      <c r="F433" s="111"/>
      <c r="G433" s="113"/>
      <c r="H433" s="111"/>
      <c r="I433" s="113"/>
      <c r="J433" s="113"/>
      <c r="K433" s="113"/>
      <c r="L433" s="113"/>
      <c r="M433" s="113"/>
      <c r="N433" s="113"/>
      <c r="O433" s="113"/>
      <c r="P433" s="113"/>
      <c r="Q433" s="113"/>
      <c r="R433" s="113"/>
      <c r="S433" s="113"/>
      <c r="T433" s="113"/>
      <c r="U433" s="113"/>
      <c r="V433" s="113"/>
      <c r="W433" s="113"/>
      <c r="X433" s="113"/>
      <c r="Y433" s="113"/>
      <c r="Z433" s="113"/>
      <c r="AA433" s="113"/>
      <c r="AB433" s="113"/>
      <c r="AC433" s="113"/>
      <c r="AD433" s="113"/>
      <c r="AE433" s="113"/>
      <c r="AF433" s="113"/>
      <c r="AG433" s="113"/>
    </row>
    <row r="434" spans="1:33" ht="13.8">
      <c r="A434" s="113"/>
      <c r="B434" s="113"/>
      <c r="C434" s="113"/>
      <c r="D434" s="111"/>
      <c r="E434" s="113"/>
      <c r="F434" s="111"/>
      <c r="G434" s="113"/>
      <c r="H434" s="111"/>
      <c r="I434" s="113"/>
      <c r="J434" s="113"/>
      <c r="K434" s="113"/>
      <c r="L434" s="113"/>
      <c r="M434" s="113"/>
      <c r="N434" s="113"/>
      <c r="O434" s="113"/>
      <c r="P434" s="113"/>
      <c r="Q434" s="113"/>
      <c r="R434" s="113"/>
      <c r="S434" s="113"/>
      <c r="T434" s="113"/>
      <c r="U434" s="113"/>
      <c r="V434" s="113"/>
      <c r="W434" s="113"/>
      <c r="X434" s="113"/>
      <c r="Y434" s="113"/>
      <c r="Z434" s="113"/>
      <c r="AA434" s="113"/>
      <c r="AB434" s="113"/>
      <c r="AC434" s="113"/>
      <c r="AD434" s="113"/>
      <c r="AE434" s="113"/>
      <c r="AF434" s="113"/>
      <c r="AG434" s="113"/>
    </row>
    <row r="435" spans="1:33" ht="13.8">
      <c r="A435" s="113"/>
      <c r="B435" s="113"/>
      <c r="C435" s="113"/>
      <c r="D435" s="111"/>
      <c r="E435" s="113"/>
      <c r="F435" s="111"/>
      <c r="G435" s="113"/>
      <c r="H435" s="111"/>
      <c r="I435" s="113"/>
      <c r="J435" s="113"/>
      <c r="K435" s="113"/>
      <c r="L435" s="113"/>
      <c r="M435" s="113"/>
      <c r="N435" s="113"/>
      <c r="O435" s="113"/>
      <c r="P435" s="113"/>
      <c r="Q435" s="113"/>
      <c r="R435" s="113"/>
      <c r="S435" s="113"/>
      <c r="T435" s="113"/>
      <c r="U435" s="113"/>
      <c r="V435" s="113"/>
      <c r="W435" s="113"/>
      <c r="X435" s="113"/>
      <c r="Y435" s="113"/>
      <c r="Z435" s="113"/>
      <c r="AA435" s="113"/>
      <c r="AB435" s="113"/>
      <c r="AC435" s="113"/>
      <c r="AD435" s="113"/>
      <c r="AE435" s="113"/>
      <c r="AF435" s="113"/>
      <c r="AG435" s="113"/>
    </row>
    <row r="436" spans="1:33" ht="13.8">
      <c r="A436" s="113"/>
      <c r="B436" s="113"/>
      <c r="C436" s="113"/>
      <c r="D436" s="111"/>
      <c r="E436" s="113"/>
      <c r="F436" s="111"/>
      <c r="G436" s="113"/>
      <c r="H436" s="111"/>
      <c r="I436" s="113"/>
      <c r="J436" s="113"/>
      <c r="K436" s="113"/>
      <c r="L436" s="113"/>
      <c r="M436" s="113"/>
      <c r="N436" s="113"/>
      <c r="O436" s="113"/>
      <c r="P436" s="113"/>
      <c r="Q436" s="113"/>
      <c r="R436" s="113"/>
      <c r="S436" s="113"/>
      <c r="T436" s="113"/>
      <c r="U436" s="113"/>
      <c r="V436" s="113"/>
      <c r="W436" s="113"/>
      <c r="X436" s="113"/>
      <c r="Y436" s="113"/>
      <c r="Z436" s="113"/>
      <c r="AA436" s="113"/>
      <c r="AB436" s="113"/>
      <c r="AC436" s="113"/>
      <c r="AD436" s="113"/>
      <c r="AE436" s="113"/>
      <c r="AF436" s="113"/>
      <c r="AG436" s="113"/>
    </row>
    <row r="437" spans="1:33" ht="13.8">
      <c r="A437" s="113"/>
      <c r="B437" s="113"/>
      <c r="C437" s="113"/>
      <c r="D437" s="111"/>
      <c r="E437" s="113"/>
      <c r="F437" s="111"/>
      <c r="G437" s="113"/>
      <c r="H437" s="111"/>
      <c r="I437" s="113"/>
      <c r="J437" s="113"/>
      <c r="K437" s="113"/>
      <c r="L437" s="113"/>
      <c r="M437" s="113"/>
      <c r="N437" s="113"/>
      <c r="O437" s="113"/>
      <c r="P437" s="113"/>
      <c r="Q437" s="113"/>
      <c r="R437" s="113"/>
      <c r="S437" s="113"/>
      <c r="T437" s="113"/>
      <c r="U437" s="113"/>
      <c r="V437" s="113"/>
      <c r="W437" s="113"/>
      <c r="X437" s="113"/>
      <c r="Y437" s="113"/>
      <c r="Z437" s="113"/>
      <c r="AA437" s="113"/>
      <c r="AB437" s="113"/>
      <c r="AC437" s="113"/>
      <c r="AD437" s="113"/>
      <c r="AE437" s="113"/>
      <c r="AF437" s="113"/>
      <c r="AG437" s="113"/>
    </row>
    <row r="438" spans="1:33" ht="13.8">
      <c r="A438" s="113"/>
      <c r="B438" s="113"/>
      <c r="C438" s="113"/>
      <c r="D438" s="111"/>
      <c r="E438" s="113"/>
      <c r="F438" s="111"/>
      <c r="G438" s="113"/>
      <c r="H438" s="111"/>
      <c r="I438" s="113"/>
      <c r="J438" s="113"/>
      <c r="K438" s="113"/>
      <c r="L438" s="113"/>
      <c r="M438" s="113"/>
      <c r="N438" s="113"/>
      <c r="O438" s="113"/>
      <c r="P438" s="113"/>
      <c r="Q438" s="113"/>
      <c r="R438" s="113"/>
      <c r="S438" s="113"/>
      <c r="T438" s="113"/>
      <c r="U438" s="113"/>
      <c r="V438" s="113"/>
      <c r="W438" s="113"/>
      <c r="X438" s="113"/>
      <c r="Y438" s="113"/>
      <c r="Z438" s="113"/>
      <c r="AA438" s="113"/>
      <c r="AB438" s="113"/>
      <c r="AC438" s="113"/>
      <c r="AD438" s="113"/>
      <c r="AE438" s="113"/>
      <c r="AF438" s="113"/>
      <c r="AG438" s="113"/>
    </row>
    <row r="439" spans="1:33" ht="13.8">
      <c r="A439" s="113"/>
      <c r="B439" s="113"/>
      <c r="C439" s="113"/>
      <c r="D439" s="111"/>
      <c r="E439" s="113"/>
      <c r="F439" s="111"/>
      <c r="G439" s="113"/>
      <c r="H439" s="111"/>
      <c r="I439" s="113"/>
      <c r="J439" s="113"/>
      <c r="K439" s="113"/>
      <c r="L439" s="113"/>
      <c r="M439" s="113"/>
      <c r="N439" s="113"/>
      <c r="O439" s="113"/>
      <c r="P439" s="113"/>
      <c r="Q439" s="113"/>
      <c r="R439" s="113"/>
      <c r="S439" s="113"/>
      <c r="T439" s="113"/>
      <c r="U439" s="113"/>
      <c r="V439" s="113"/>
      <c r="W439" s="113"/>
      <c r="X439" s="113"/>
      <c r="Y439" s="113"/>
      <c r="Z439" s="113"/>
      <c r="AA439" s="113"/>
      <c r="AB439" s="113"/>
      <c r="AC439" s="113"/>
      <c r="AD439" s="113"/>
      <c r="AE439" s="113"/>
      <c r="AF439" s="113"/>
      <c r="AG439" s="113"/>
    </row>
    <row r="440" spans="1:33" ht="13.8">
      <c r="A440" s="113"/>
      <c r="B440" s="113"/>
      <c r="C440" s="113"/>
      <c r="D440" s="111"/>
      <c r="E440" s="113"/>
      <c r="F440" s="111"/>
      <c r="G440" s="113"/>
      <c r="H440" s="111"/>
      <c r="I440" s="113"/>
      <c r="J440" s="113"/>
      <c r="K440" s="113"/>
      <c r="L440" s="113"/>
      <c r="M440" s="113"/>
      <c r="N440" s="113"/>
      <c r="O440" s="113"/>
      <c r="P440" s="113"/>
      <c r="Q440" s="113"/>
      <c r="R440" s="113"/>
      <c r="S440" s="113"/>
      <c r="T440" s="113"/>
      <c r="U440" s="113"/>
      <c r="V440" s="113"/>
      <c r="W440" s="113"/>
      <c r="X440" s="113"/>
      <c r="Y440" s="113"/>
      <c r="Z440" s="113"/>
      <c r="AA440" s="113"/>
      <c r="AB440" s="113"/>
      <c r="AC440" s="113"/>
      <c r="AD440" s="113"/>
      <c r="AE440" s="113"/>
      <c r="AF440" s="113"/>
      <c r="AG440" s="113"/>
    </row>
    <row r="441" spans="1:33" ht="13.8">
      <c r="A441" s="113"/>
      <c r="B441" s="113"/>
      <c r="C441" s="113"/>
      <c r="D441" s="111"/>
      <c r="E441" s="113"/>
      <c r="F441" s="111"/>
      <c r="G441" s="113"/>
      <c r="H441" s="111"/>
      <c r="I441" s="113"/>
      <c r="J441" s="113"/>
      <c r="K441" s="113"/>
      <c r="L441" s="113"/>
      <c r="M441" s="113"/>
      <c r="N441" s="113"/>
      <c r="O441" s="113"/>
      <c r="P441" s="113"/>
      <c r="Q441" s="113"/>
      <c r="R441" s="113"/>
      <c r="S441" s="113"/>
      <c r="T441" s="113"/>
      <c r="U441" s="113"/>
      <c r="V441" s="113"/>
      <c r="W441" s="113"/>
      <c r="X441" s="113"/>
      <c r="Y441" s="113"/>
      <c r="Z441" s="113"/>
      <c r="AA441" s="113"/>
      <c r="AB441" s="113"/>
      <c r="AC441" s="113"/>
      <c r="AD441" s="113"/>
      <c r="AE441" s="113"/>
      <c r="AF441" s="113"/>
      <c r="AG441" s="113"/>
    </row>
    <row r="442" spans="1:33" ht="13.8">
      <c r="A442" s="113"/>
      <c r="B442" s="113"/>
      <c r="C442" s="113"/>
      <c r="D442" s="111"/>
      <c r="E442" s="113"/>
      <c r="F442" s="111"/>
      <c r="G442" s="113"/>
      <c r="H442" s="111"/>
      <c r="I442" s="113"/>
      <c r="J442" s="113"/>
      <c r="K442" s="113"/>
      <c r="L442" s="113"/>
      <c r="M442" s="113"/>
      <c r="N442" s="113"/>
      <c r="O442" s="113"/>
      <c r="P442" s="113"/>
      <c r="Q442" s="113"/>
      <c r="R442" s="113"/>
      <c r="S442" s="113"/>
      <c r="T442" s="113"/>
      <c r="U442" s="113"/>
      <c r="V442" s="113"/>
      <c r="W442" s="113"/>
      <c r="X442" s="113"/>
      <c r="Y442" s="113"/>
      <c r="Z442" s="113"/>
      <c r="AA442" s="113"/>
      <c r="AB442" s="113"/>
      <c r="AC442" s="113"/>
      <c r="AD442" s="113"/>
      <c r="AE442" s="113"/>
      <c r="AF442" s="113"/>
      <c r="AG442" s="113"/>
    </row>
    <row r="443" spans="1:33" ht="13.8">
      <c r="A443" s="113"/>
      <c r="B443" s="113"/>
      <c r="C443" s="113"/>
      <c r="D443" s="111"/>
      <c r="E443" s="113"/>
      <c r="F443" s="111"/>
      <c r="G443" s="113"/>
      <c r="H443" s="111"/>
      <c r="I443" s="113"/>
      <c r="J443" s="113"/>
      <c r="K443" s="113"/>
      <c r="L443" s="113"/>
      <c r="M443" s="113"/>
      <c r="N443" s="113"/>
      <c r="O443" s="113"/>
      <c r="P443" s="113"/>
      <c r="Q443" s="113"/>
      <c r="R443" s="113"/>
      <c r="S443" s="113"/>
      <c r="T443" s="113"/>
      <c r="U443" s="113"/>
      <c r="V443" s="113"/>
      <c r="W443" s="113"/>
      <c r="X443" s="113"/>
      <c r="Y443" s="113"/>
      <c r="Z443" s="113"/>
      <c r="AA443" s="113"/>
      <c r="AB443" s="113"/>
      <c r="AC443" s="113"/>
      <c r="AD443" s="113"/>
      <c r="AE443" s="113"/>
      <c r="AF443" s="113"/>
      <c r="AG443" s="113"/>
    </row>
    <row r="444" spans="1:33" ht="13.8">
      <c r="A444" s="113"/>
      <c r="B444" s="113"/>
      <c r="C444" s="113"/>
      <c r="D444" s="111"/>
      <c r="E444" s="113"/>
      <c r="F444" s="111"/>
      <c r="G444" s="113"/>
      <c r="H444" s="111"/>
      <c r="I444" s="113"/>
      <c r="J444" s="113"/>
      <c r="K444" s="113"/>
      <c r="L444" s="113"/>
      <c r="M444" s="113"/>
      <c r="N444" s="113"/>
      <c r="O444" s="113"/>
      <c r="P444" s="113"/>
      <c r="Q444" s="113"/>
      <c r="R444" s="113"/>
      <c r="S444" s="113"/>
      <c r="T444" s="113"/>
      <c r="U444" s="113"/>
      <c r="V444" s="113"/>
      <c r="W444" s="113"/>
      <c r="X444" s="113"/>
      <c r="Y444" s="113"/>
      <c r="Z444" s="113"/>
      <c r="AA444" s="113"/>
      <c r="AB444" s="113"/>
      <c r="AC444" s="113"/>
      <c r="AD444" s="113"/>
      <c r="AE444" s="113"/>
      <c r="AF444" s="113"/>
      <c r="AG444" s="113"/>
    </row>
    <row r="445" spans="1:33" ht="13.8">
      <c r="A445" s="113"/>
      <c r="B445" s="113"/>
      <c r="C445" s="113"/>
      <c r="D445" s="111"/>
      <c r="E445" s="113"/>
      <c r="F445" s="111"/>
      <c r="G445" s="113"/>
      <c r="H445" s="111"/>
      <c r="I445" s="113"/>
      <c r="J445" s="113"/>
      <c r="K445" s="113"/>
      <c r="L445" s="113"/>
      <c r="M445" s="113"/>
      <c r="N445" s="113"/>
      <c r="O445" s="113"/>
      <c r="P445" s="113"/>
      <c r="Q445" s="113"/>
      <c r="R445" s="113"/>
      <c r="S445" s="113"/>
      <c r="T445" s="113"/>
      <c r="U445" s="113"/>
      <c r="V445" s="113"/>
      <c r="W445" s="113"/>
      <c r="X445" s="113"/>
      <c r="Y445" s="113"/>
      <c r="Z445" s="113"/>
      <c r="AA445" s="113"/>
      <c r="AB445" s="113"/>
      <c r="AC445" s="113"/>
      <c r="AD445" s="113"/>
      <c r="AE445" s="113"/>
      <c r="AF445" s="113"/>
      <c r="AG445" s="113"/>
    </row>
    <row r="446" spans="1:33" ht="13.8">
      <c r="A446" s="113"/>
      <c r="B446" s="113"/>
      <c r="C446" s="113"/>
      <c r="D446" s="111"/>
      <c r="E446" s="113"/>
      <c r="F446" s="111"/>
      <c r="G446" s="113"/>
      <c r="H446" s="111"/>
      <c r="I446" s="113"/>
      <c r="J446" s="113"/>
      <c r="K446" s="113"/>
      <c r="L446" s="113"/>
      <c r="M446" s="113"/>
      <c r="N446" s="113"/>
      <c r="O446" s="113"/>
      <c r="P446" s="113"/>
      <c r="Q446" s="113"/>
      <c r="R446" s="113"/>
      <c r="S446" s="113"/>
      <c r="T446" s="113"/>
      <c r="U446" s="113"/>
      <c r="V446" s="113"/>
      <c r="W446" s="113"/>
      <c r="X446" s="113"/>
      <c r="Y446" s="113"/>
      <c r="Z446" s="113"/>
      <c r="AA446" s="113"/>
      <c r="AB446" s="113"/>
      <c r="AC446" s="113"/>
      <c r="AD446" s="113"/>
      <c r="AE446" s="113"/>
      <c r="AF446" s="113"/>
      <c r="AG446" s="113"/>
    </row>
    <row r="447" spans="1:33" ht="13.8">
      <c r="A447" s="113"/>
      <c r="B447" s="113"/>
      <c r="C447" s="113"/>
      <c r="D447" s="111"/>
      <c r="E447" s="113"/>
      <c r="F447" s="111"/>
      <c r="G447" s="113"/>
      <c r="H447" s="111"/>
      <c r="I447" s="113"/>
      <c r="J447" s="113"/>
      <c r="K447" s="113"/>
      <c r="L447" s="113"/>
      <c r="M447" s="113"/>
      <c r="N447" s="113"/>
      <c r="O447" s="113"/>
      <c r="P447" s="113"/>
      <c r="Q447" s="113"/>
      <c r="R447" s="113"/>
      <c r="S447" s="113"/>
      <c r="T447" s="113"/>
      <c r="U447" s="113"/>
      <c r="V447" s="113"/>
      <c r="W447" s="113"/>
      <c r="X447" s="113"/>
      <c r="Y447" s="113"/>
      <c r="Z447" s="113"/>
      <c r="AA447" s="113"/>
      <c r="AB447" s="113"/>
      <c r="AC447" s="113"/>
      <c r="AD447" s="113"/>
      <c r="AE447" s="113"/>
      <c r="AF447" s="113"/>
      <c r="AG447" s="113"/>
    </row>
    <row r="448" spans="1:33" ht="13.8">
      <c r="A448" s="113"/>
      <c r="B448" s="113"/>
      <c r="C448" s="113"/>
      <c r="D448" s="111"/>
      <c r="E448" s="113"/>
      <c r="F448" s="111"/>
      <c r="G448" s="113"/>
      <c r="H448" s="111"/>
      <c r="I448" s="113"/>
      <c r="J448" s="113"/>
      <c r="K448" s="113"/>
      <c r="L448" s="113"/>
      <c r="M448" s="113"/>
      <c r="N448" s="113"/>
      <c r="O448" s="113"/>
      <c r="P448" s="113"/>
      <c r="Q448" s="113"/>
      <c r="R448" s="113"/>
      <c r="S448" s="113"/>
      <c r="T448" s="113"/>
      <c r="U448" s="113"/>
      <c r="V448" s="113"/>
      <c r="W448" s="113"/>
      <c r="X448" s="113"/>
      <c r="Y448" s="113"/>
      <c r="Z448" s="113"/>
      <c r="AA448" s="113"/>
      <c r="AB448" s="113"/>
      <c r="AC448" s="113"/>
      <c r="AD448" s="113"/>
      <c r="AE448" s="113"/>
      <c r="AF448" s="113"/>
      <c r="AG448" s="113"/>
    </row>
    <row r="449" spans="1:33" ht="13.8">
      <c r="A449" s="113"/>
      <c r="B449" s="113"/>
      <c r="C449" s="113"/>
      <c r="D449" s="111"/>
      <c r="E449" s="113"/>
      <c r="F449" s="111"/>
      <c r="G449" s="113"/>
      <c r="H449" s="111"/>
      <c r="I449" s="113"/>
      <c r="J449" s="113"/>
      <c r="K449" s="113"/>
      <c r="L449" s="113"/>
      <c r="M449" s="113"/>
      <c r="N449" s="113"/>
      <c r="O449" s="113"/>
      <c r="P449" s="113"/>
      <c r="Q449" s="113"/>
      <c r="R449" s="113"/>
      <c r="S449" s="113"/>
      <c r="T449" s="113"/>
      <c r="U449" s="113"/>
      <c r="V449" s="113"/>
      <c r="W449" s="113"/>
      <c r="X449" s="113"/>
      <c r="Y449" s="113"/>
      <c r="Z449" s="113"/>
      <c r="AA449" s="113"/>
      <c r="AB449" s="113"/>
      <c r="AC449" s="113"/>
      <c r="AD449" s="113"/>
      <c r="AE449" s="113"/>
      <c r="AF449" s="113"/>
      <c r="AG449" s="113"/>
    </row>
    <row r="450" spans="1:33" ht="13.8">
      <c r="A450" s="113"/>
      <c r="B450" s="113"/>
      <c r="C450" s="113"/>
      <c r="D450" s="111"/>
      <c r="E450" s="113"/>
      <c r="F450" s="111"/>
      <c r="G450" s="113"/>
      <c r="H450" s="111"/>
      <c r="I450" s="113"/>
      <c r="J450" s="113"/>
      <c r="K450" s="113"/>
      <c r="L450" s="113"/>
      <c r="M450" s="113"/>
      <c r="N450" s="113"/>
      <c r="O450" s="113"/>
      <c r="P450" s="113"/>
      <c r="Q450" s="113"/>
      <c r="R450" s="113"/>
      <c r="S450" s="113"/>
      <c r="T450" s="113"/>
      <c r="U450" s="113"/>
      <c r="V450" s="113"/>
      <c r="W450" s="113"/>
      <c r="X450" s="113"/>
      <c r="Y450" s="113"/>
      <c r="Z450" s="113"/>
      <c r="AA450" s="113"/>
      <c r="AB450" s="113"/>
      <c r="AC450" s="113"/>
      <c r="AD450" s="113"/>
      <c r="AE450" s="113"/>
      <c r="AF450" s="113"/>
      <c r="AG450" s="113"/>
    </row>
    <row r="451" spans="1:33" ht="13.8">
      <c r="A451" s="113"/>
      <c r="B451" s="113"/>
      <c r="C451" s="113"/>
      <c r="D451" s="111"/>
      <c r="E451" s="113"/>
      <c r="F451" s="111"/>
      <c r="G451" s="113"/>
      <c r="H451" s="111"/>
      <c r="I451" s="113"/>
      <c r="J451" s="113"/>
      <c r="K451" s="113"/>
      <c r="L451" s="113"/>
      <c r="M451" s="113"/>
      <c r="N451" s="113"/>
      <c r="O451" s="113"/>
      <c r="P451" s="113"/>
      <c r="Q451" s="113"/>
      <c r="R451" s="113"/>
      <c r="S451" s="113"/>
      <c r="T451" s="113"/>
      <c r="U451" s="113"/>
      <c r="V451" s="113"/>
      <c r="W451" s="113"/>
      <c r="X451" s="113"/>
      <c r="Y451" s="113"/>
      <c r="Z451" s="113"/>
      <c r="AA451" s="113"/>
      <c r="AB451" s="113"/>
      <c r="AC451" s="113"/>
      <c r="AD451" s="113"/>
      <c r="AE451" s="113"/>
      <c r="AF451" s="113"/>
      <c r="AG451" s="113"/>
    </row>
    <row r="452" spans="1:33" ht="13.8">
      <c r="A452" s="113"/>
      <c r="B452" s="113"/>
      <c r="C452" s="113"/>
      <c r="D452" s="111"/>
      <c r="E452" s="113"/>
      <c r="F452" s="111"/>
      <c r="G452" s="113"/>
      <c r="H452" s="111"/>
      <c r="I452" s="113"/>
      <c r="J452" s="113"/>
      <c r="K452" s="113"/>
      <c r="L452" s="113"/>
      <c r="M452" s="113"/>
      <c r="N452" s="113"/>
      <c r="O452" s="113"/>
      <c r="P452" s="113"/>
      <c r="Q452" s="113"/>
      <c r="R452" s="113"/>
      <c r="S452" s="113"/>
      <c r="T452" s="113"/>
      <c r="U452" s="113"/>
      <c r="V452" s="113"/>
      <c r="W452" s="113"/>
      <c r="X452" s="113"/>
      <c r="Y452" s="113"/>
      <c r="Z452" s="113"/>
      <c r="AA452" s="113"/>
      <c r="AB452" s="113"/>
      <c r="AC452" s="113"/>
      <c r="AD452" s="113"/>
      <c r="AE452" s="113"/>
      <c r="AF452" s="113"/>
      <c r="AG452" s="113"/>
    </row>
    <row r="453" spans="1:33" ht="13.8">
      <c r="A453" s="113"/>
      <c r="B453" s="113"/>
      <c r="C453" s="113"/>
      <c r="D453" s="111"/>
      <c r="E453" s="113"/>
      <c r="F453" s="111"/>
      <c r="G453" s="113"/>
      <c r="H453" s="111"/>
      <c r="I453" s="113"/>
      <c r="J453" s="113"/>
      <c r="K453" s="113"/>
      <c r="L453" s="113"/>
      <c r="M453" s="113"/>
      <c r="N453" s="113"/>
      <c r="O453" s="113"/>
      <c r="P453" s="113"/>
      <c r="Q453" s="113"/>
      <c r="R453" s="113"/>
      <c r="S453" s="113"/>
      <c r="T453" s="113"/>
      <c r="U453" s="113"/>
      <c r="V453" s="113"/>
      <c r="W453" s="113"/>
      <c r="X453" s="113"/>
      <c r="Y453" s="113"/>
      <c r="Z453" s="113"/>
      <c r="AA453" s="113"/>
      <c r="AB453" s="113"/>
      <c r="AC453" s="113"/>
      <c r="AD453" s="113"/>
      <c r="AE453" s="113"/>
      <c r="AF453" s="113"/>
      <c r="AG453" s="113"/>
    </row>
    <row r="454" spans="1:33" ht="13.8">
      <c r="A454" s="113"/>
      <c r="B454" s="113"/>
      <c r="C454" s="113"/>
      <c r="D454" s="111"/>
      <c r="E454" s="113"/>
      <c r="F454" s="111"/>
      <c r="G454" s="113"/>
      <c r="H454" s="111"/>
      <c r="I454" s="113"/>
      <c r="J454" s="113"/>
      <c r="K454" s="113"/>
      <c r="L454" s="113"/>
      <c r="M454" s="113"/>
      <c r="N454" s="113"/>
      <c r="O454" s="113"/>
      <c r="P454" s="113"/>
      <c r="Q454" s="113"/>
      <c r="R454" s="113"/>
      <c r="S454" s="113"/>
      <c r="T454" s="113"/>
      <c r="U454" s="113"/>
      <c r="V454" s="113"/>
      <c r="W454" s="113"/>
      <c r="X454" s="113"/>
      <c r="Y454" s="113"/>
      <c r="Z454" s="113"/>
      <c r="AA454" s="113"/>
      <c r="AB454" s="113"/>
      <c r="AC454" s="113"/>
      <c r="AD454" s="113"/>
      <c r="AE454" s="113"/>
      <c r="AF454" s="113"/>
      <c r="AG454" s="113"/>
    </row>
    <row r="455" spans="1:33" ht="13.8">
      <c r="A455" s="113"/>
      <c r="B455" s="113"/>
      <c r="C455" s="113"/>
      <c r="D455" s="111"/>
      <c r="E455" s="113"/>
      <c r="F455" s="111"/>
      <c r="G455" s="113"/>
      <c r="H455" s="111"/>
      <c r="I455" s="113"/>
      <c r="J455" s="113"/>
      <c r="K455" s="113"/>
      <c r="L455" s="113"/>
      <c r="M455" s="113"/>
      <c r="N455" s="113"/>
      <c r="O455" s="113"/>
      <c r="P455" s="113"/>
      <c r="Q455" s="113"/>
      <c r="R455" s="113"/>
      <c r="S455" s="113"/>
      <c r="T455" s="113"/>
      <c r="U455" s="113"/>
      <c r="V455" s="113"/>
      <c r="W455" s="113"/>
      <c r="X455" s="113"/>
      <c r="Y455" s="113"/>
      <c r="Z455" s="113"/>
      <c r="AA455" s="113"/>
      <c r="AB455" s="113"/>
      <c r="AC455" s="113"/>
      <c r="AD455" s="113"/>
      <c r="AE455" s="113"/>
      <c r="AF455" s="113"/>
      <c r="AG455" s="113"/>
    </row>
    <row r="456" spans="1:33" ht="13.8">
      <c r="A456" s="113"/>
      <c r="B456" s="113"/>
      <c r="C456" s="113"/>
      <c r="D456" s="111"/>
      <c r="E456" s="113"/>
      <c r="F456" s="111"/>
      <c r="G456" s="113"/>
      <c r="H456" s="111"/>
      <c r="I456" s="113"/>
      <c r="J456" s="113"/>
      <c r="K456" s="113"/>
      <c r="L456" s="113"/>
      <c r="M456" s="113"/>
      <c r="N456" s="113"/>
      <c r="O456" s="113"/>
      <c r="P456" s="113"/>
      <c r="Q456" s="113"/>
      <c r="R456" s="113"/>
      <c r="S456" s="113"/>
      <c r="T456" s="113"/>
      <c r="U456" s="113"/>
      <c r="V456" s="113"/>
      <c r="W456" s="113"/>
      <c r="X456" s="113"/>
      <c r="Y456" s="113"/>
      <c r="Z456" s="113"/>
      <c r="AA456" s="113"/>
      <c r="AB456" s="113"/>
      <c r="AC456" s="113"/>
      <c r="AD456" s="113"/>
      <c r="AE456" s="113"/>
      <c r="AF456" s="113"/>
      <c r="AG456" s="113"/>
    </row>
    <row r="457" spans="1:33" ht="13.8">
      <c r="A457" s="113"/>
      <c r="B457" s="113"/>
      <c r="C457" s="113"/>
      <c r="D457" s="111"/>
      <c r="E457" s="113"/>
      <c r="F457" s="111"/>
      <c r="G457" s="113"/>
      <c r="H457" s="111"/>
      <c r="I457" s="113"/>
      <c r="J457" s="113"/>
      <c r="K457" s="113"/>
      <c r="L457" s="113"/>
      <c r="M457" s="113"/>
      <c r="N457" s="113"/>
      <c r="O457" s="113"/>
      <c r="P457" s="113"/>
      <c r="Q457" s="113"/>
      <c r="R457" s="113"/>
      <c r="S457" s="113"/>
      <c r="T457" s="113"/>
      <c r="U457" s="113"/>
      <c r="V457" s="113"/>
      <c r="W457" s="113"/>
      <c r="X457" s="113"/>
      <c r="Y457" s="113"/>
      <c r="Z457" s="113"/>
      <c r="AA457" s="113"/>
      <c r="AB457" s="113"/>
      <c r="AC457" s="113"/>
      <c r="AD457" s="113"/>
      <c r="AE457" s="113"/>
      <c r="AF457" s="113"/>
      <c r="AG457" s="113"/>
    </row>
    <row r="458" spans="1:33" ht="13.8">
      <c r="A458" s="113"/>
      <c r="B458" s="113"/>
      <c r="C458" s="113"/>
      <c r="D458" s="111"/>
      <c r="E458" s="113"/>
      <c r="F458" s="111"/>
      <c r="G458" s="113"/>
      <c r="H458" s="111"/>
      <c r="I458" s="113"/>
      <c r="J458" s="113"/>
      <c r="K458" s="113"/>
      <c r="L458" s="113"/>
      <c r="M458" s="113"/>
      <c r="N458" s="113"/>
      <c r="O458" s="113"/>
      <c r="P458" s="113"/>
      <c r="Q458" s="113"/>
      <c r="R458" s="113"/>
      <c r="S458" s="113"/>
      <c r="T458" s="113"/>
      <c r="U458" s="113"/>
      <c r="V458" s="113"/>
      <c r="W458" s="113"/>
      <c r="X458" s="113"/>
      <c r="Y458" s="113"/>
      <c r="Z458" s="113"/>
      <c r="AA458" s="113"/>
      <c r="AB458" s="113"/>
      <c r="AC458" s="113"/>
      <c r="AD458" s="113"/>
      <c r="AE458" s="113"/>
      <c r="AF458" s="113"/>
      <c r="AG458" s="113"/>
    </row>
    <row r="459" spans="1:33" ht="13.8">
      <c r="A459" s="113"/>
      <c r="B459" s="113"/>
      <c r="C459" s="113"/>
      <c r="D459" s="111"/>
      <c r="E459" s="113"/>
      <c r="F459" s="111"/>
      <c r="G459" s="113"/>
      <c r="H459" s="111"/>
      <c r="I459" s="113"/>
      <c r="J459" s="113"/>
      <c r="K459" s="113"/>
      <c r="L459" s="113"/>
      <c r="M459" s="113"/>
      <c r="N459" s="113"/>
      <c r="O459" s="113"/>
      <c r="P459" s="113"/>
      <c r="Q459" s="113"/>
      <c r="R459" s="113"/>
      <c r="S459" s="113"/>
      <c r="T459" s="113"/>
      <c r="U459" s="113"/>
      <c r="V459" s="113"/>
      <c r="W459" s="113"/>
      <c r="X459" s="113"/>
      <c r="Y459" s="113"/>
      <c r="Z459" s="113"/>
      <c r="AA459" s="113"/>
      <c r="AB459" s="113"/>
      <c r="AC459" s="113"/>
      <c r="AD459" s="113"/>
      <c r="AE459" s="113"/>
      <c r="AF459" s="113"/>
      <c r="AG459" s="113"/>
    </row>
    <row r="460" spans="1:33" ht="13.8">
      <c r="A460" s="113"/>
      <c r="B460" s="113"/>
      <c r="C460" s="113"/>
      <c r="D460" s="111"/>
      <c r="E460" s="113"/>
      <c r="F460" s="111"/>
      <c r="G460" s="113"/>
      <c r="H460" s="111"/>
      <c r="I460" s="113"/>
      <c r="J460" s="113"/>
      <c r="K460" s="113"/>
      <c r="L460" s="113"/>
      <c r="M460" s="113"/>
      <c r="N460" s="113"/>
      <c r="O460" s="113"/>
      <c r="P460" s="113"/>
      <c r="Q460" s="113"/>
      <c r="R460" s="113"/>
      <c r="S460" s="113"/>
      <c r="T460" s="113"/>
      <c r="U460" s="113"/>
      <c r="V460" s="113"/>
      <c r="W460" s="113"/>
      <c r="X460" s="113"/>
      <c r="Y460" s="113"/>
      <c r="Z460" s="113"/>
      <c r="AA460" s="113"/>
      <c r="AB460" s="113"/>
      <c r="AC460" s="113"/>
      <c r="AD460" s="113"/>
      <c r="AE460" s="113"/>
      <c r="AF460" s="113"/>
      <c r="AG460" s="113"/>
    </row>
    <row r="461" spans="1:33" ht="13.8">
      <c r="A461" s="113"/>
      <c r="B461" s="113"/>
      <c r="C461" s="113"/>
      <c r="D461" s="111"/>
      <c r="E461" s="113"/>
      <c r="F461" s="111"/>
      <c r="G461" s="113"/>
      <c r="H461" s="111"/>
      <c r="I461" s="113"/>
      <c r="J461" s="113"/>
      <c r="K461" s="113"/>
      <c r="L461" s="113"/>
      <c r="M461" s="113"/>
      <c r="N461" s="113"/>
      <c r="O461" s="113"/>
      <c r="P461" s="113"/>
      <c r="Q461" s="113"/>
      <c r="R461" s="113"/>
      <c r="S461" s="113"/>
      <c r="T461" s="113"/>
      <c r="U461" s="113"/>
      <c r="V461" s="113"/>
      <c r="W461" s="113"/>
      <c r="X461" s="113"/>
      <c r="Y461" s="113"/>
      <c r="Z461" s="113"/>
      <c r="AA461" s="113"/>
      <c r="AB461" s="113"/>
      <c r="AC461" s="113"/>
      <c r="AD461" s="113"/>
      <c r="AE461" s="113"/>
      <c r="AF461" s="113"/>
      <c r="AG461" s="113"/>
    </row>
    <row r="462" spans="1:33" ht="13.8">
      <c r="A462" s="113"/>
      <c r="B462" s="113"/>
      <c r="C462" s="113"/>
      <c r="D462" s="111"/>
      <c r="E462" s="113"/>
      <c r="F462" s="111"/>
      <c r="G462" s="113"/>
      <c r="H462" s="111"/>
      <c r="I462" s="113"/>
      <c r="J462" s="113"/>
      <c r="K462" s="113"/>
      <c r="L462" s="113"/>
      <c r="M462" s="113"/>
      <c r="N462" s="113"/>
      <c r="O462" s="113"/>
      <c r="P462" s="113"/>
      <c r="Q462" s="113"/>
      <c r="R462" s="113"/>
      <c r="S462" s="113"/>
      <c r="T462" s="113"/>
      <c r="U462" s="113"/>
      <c r="V462" s="113"/>
      <c r="W462" s="113"/>
      <c r="X462" s="113"/>
      <c r="Y462" s="113"/>
      <c r="Z462" s="113"/>
      <c r="AA462" s="113"/>
      <c r="AB462" s="113"/>
      <c r="AC462" s="113"/>
      <c r="AD462" s="113"/>
      <c r="AE462" s="113"/>
      <c r="AF462" s="113"/>
      <c r="AG462" s="113"/>
    </row>
    <row r="463" spans="1:33" ht="13.8">
      <c r="A463" s="113"/>
      <c r="B463" s="113"/>
      <c r="C463" s="113"/>
      <c r="D463" s="111"/>
      <c r="E463" s="113"/>
      <c r="F463" s="111"/>
      <c r="G463" s="113"/>
      <c r="H463" s="111"/>
      <c r="I463" s="113"/>
      <c r="J463" s="113"/>
      <c r="K463" s="113"/>
      <c r="L463" s="113"/>
      <c r="M463" s="113"/>
      <c r="N463" s="113"/>
      <c r="O463" s="113"/>
      <c r="P463" s="113"/>
      <c r="Q463" s="113"/>
      <c r="R463" s="113"/>
      <c r="S463" s="113"/>
      <c r="T463" s="113"/>
      <c r="U463" s="113"/>
      <c r="V463" s="113"/>
      <c r="W463" s="113"/>
      <c r="X463" s="113"/>
      <c r="Y463" s="113"/>
      <c r="Z463" s="113"/>
      <c r="AA463" s="113"/>
      <c r="AB463" s="113"/>
      <c r="AC463" s="113"/>
      <c r="AD463" s="113"/>
      <c r="AE463" s="113"/>
      <c r="AF463" s="113"/>
      <c r="AG463" s="113"/>
    </row>
    <row r="464" spans="1:33" ht="13.8">
      <c r="A464" s="113"/>
      <c r="B464" s="113"/>
      <c r="C464" s="113"/>
      <c r="D464" s="111"/>
      <c r="E464" s="113"/>
      <c r="F464" s="111"/>
      <c r="G464" s="113"/>
      <c r="H464" s="111"/>
      <c r="I464" s="113"/>
      <c r="J464" s="113"/>
      <c r="K464" s="113"/>
      <c r="L464" s="113"/>
      <c r="M464" s="113"/>
      <c r="N464" s="113"/>
      <c r="O464" s="113"/>
      <c r="P464" s="113"/>
      <c r="Q464" s="113"/>
      <c r="R464" s="113"/>
      <c r="S464" s="113"/>
      <c r="T464" s="113"/>
      <c r="U464" s="113"/>
      <c r="V464" s="113"/>
      <c r="W464" s="113"/>
      <c r="X464" s="113"/>
      <c r="Y464" s="113"/>
      <c r="Z464" s="113"/>
      <c r="AA464" s="113"/>
      <c r="AB464" s="113"/>
      <c r="AC464" s="113"/>
      <c r="AD464" s="113"/>
      <c r="AE464" s="113"/>
      <c r="AF464" s="113"/>
      <c r="AG464" s="113"/>
    </row>
    <row r="465" spans="1:33" ht="13.8">
      <c r="A465" s="113"/>
      <c r="B465" s="113"/>
      <c r="C465" s="113"/>
      <c r="D465" s="111"/>
      <c r="E465" s="113"/>
      <c r="F465" s="111"/>
      <c r="G465" s="113"/>
      <c r="H465" s="111"/>
      <c r="I465" s="113"/>
      <c r="J465" s="113"/>
      <c r="K465" s="113"/>
      <c r="L465" s="113"/>
      <c r="M465" s="113"/>
      <c r="N465" s="113"/>
      <c r="O465" s="113"/>
      <c r="P465" s="113"/>
      <c r="Q465" s="113"/>
      <c r="R465" s="113"/>
      <c r="S465" s="113"/>
      <c r="T465" s="113"/>
      <c r="U465" s="113"/>
      <c r="V465" s="113"/>
      <c r="W465" s="113"/>
      <c r="X465" s="113"/>
      <c r="Y465" s="113"/>
      <c r="Z465" s="113"/>
      <c r="AA465" s="113"/>
      <c r="AB465" s="113"/>
      <c r="AC465" s="113"/>
      <c r="AD465" s="113"/>
      <c r="AE465" s="113"/>
      <c r="AF465" s="113"/>
      <c r="AG465" s="113"/>
    </row>
    <row r="466" spans="1:33" ht="13.8">
      <c r="A466" s="113"/>
      <c r="B466" s="113"/>
      <c r="C466" s="113"/>
      <c r="D466" s="111"/>
      <c r="E466" s="113"/>
      <c r="F466" s="111"/>
      <c r="G466" s="113"/>
      <c r="H466" s="111"/>
      <c r="I466" s="113"/>
      <c r="J466" s="113"/>
      <c r="K466" s="113"/>
      <c r="L466" s="113"/>
      <c r="M466" s="113"/>
      <c r="N466" s="113"/>
      <c r="O466" s="113"/>
      <c r="P466" s="113"/>
      <c r="Q466" s="113"/>
      <c r="R466" s="113"/>
      <c r="S466" s="113"/>
      <c r="T466" s="113"/>
      <c r="U466" s="113"/>
      <c r="V466" s="113"/>
      <c r="W466" s="113"/>
      <c r="X466" s="113"/>
      <c r="Y466" s="113"/>
      <c r="Z466" s="113"/>
      <c r="AA466" s="113"/>
      <c r="AB466" s="113"/>
      <c r="AC466" s="113"/>
      <c r="AD466" s="113"/>
      <c r="AE466" s="113"/>
      <c r="AF466" s="113"/>
      <c r="AG466" s="113"/>
    </row>
    <row r="467" spans="1:33" ht="13.8">
      <c r="A467" s="113"/>
      <c r="B467" s="113"/>
      <c r="C467" s="113"/>
      <c r="D467" s="111"/>
      <c r="E467" s="113"/>
      <c r="F467" s="111"/>
      <c r="G467" s="113"/>
      <c r="H467" s="111"/>
      <c r="I467" s="113"/>
      <c r="J467" s="113"/>
      <c r="K467" s="113"/>
      <c r="L467" s="113"/>
      <c r="M467" s="113"/>
      <c r="N467" s="113"/>
      <c r="O467" s="113"/>
      <c r="P467" s="113"/>
      <c r="Q467" s="113"/>
      <c r="R467" s="113"/>
      <c r="S467" s="113"/>
      <c r="T467" s="113"/>
      <c r="U467" s="113"/>
      <c r="V467" s="113"/>
      <c r="W467" s="113"/>
      <c r="X467" s="113"/>
      <c r="Y467" s="113"/>
      <c r="Z467" s="113"/>
      <c r="AA467" s="113"/>
      <c r="AB467" s="113"/>
      <c r="AC467" s="113"/>
      <c r="AD467" s="113"/>
      <c r="AE467" s="113"/>
      <c r="AF467" s="113"/>
      <c r="AG467" s="113"/>
    </row>
    <row r="468" spans="1:33" ht="13.8">
      <c r="A468" s="113"/>
      <c r="B468" s="113"/>
      <c r="C468" s="113"/>
      <c r="D468" s="111"/>
      <c r="E468" s="113"/>
      <c r="F468" s="111"/>
      <c r="G468" s="113"/>
      <c r="H468" s="111"/>
      <c r="I468" s="113"/>
      <c r="J468" s="113"/>
      <c r="K468" s="113"/>
      <c r="L468" s="113"/>
      <c r="M468" s="113"/>
      <c r="N468" s="113"/>
      <c r="O468" s="113"/>
      <c r="P468" s="113"/>
      <c r="Q468" s="113"/>
      <c r="R468" s="113"/>
      <c r="S468" s="113"/>
      <c r="T468" s="113"/>
      <c r="U468" s="113"/>
      <c r="V468" s="113"/>
      <c r="W468" s="113"/>
      <c r="X468" s="113"/>
      <c r="Y468" s="113"/>
      <c r="Z468" s="113"/>
      <c r="AA468" s="113"/>
      <c r="AB468" s="113"/>
      <c r="AC468" s="113"/>
      <c r="AD468" s="113"/>
      <c r="AE468" s="113"/>
      <c r="AF468" s="113"/>
      <c r="AG468" s="113"/>
    </row>
    <row r="469" spans="1:33" ht="13.8">
      <c r="A469" s="113"/>
      <c r="B469" s="113"/>
      <c r="C469" s="113"/>
      <c r="D469" s="111"/>
      <c r="E469" s="113"/>
      <c r="F469" s="111"/>
      <c r="G469" s="113"/>
      <c r="H469" s="111"/>
      <c r="I469" s="113"/>
      <c r="J469" s="113"/>
      <c r="K469" s="113"/>
      <c r="L469" s="113"/>
      <c r="M469" s="113"/>
      <c r="N469" s="113"/>
      <c r="O469" s="113"/>
      <c r="P469" s="113"/>
      <c r="Q469" s="113"/>
      <c r="R469" s="113"/>
      <c r="S469" s="113"/>
      <c r="T469" s="113"/>
      <c r="U469" s="113"/>
      <c r="V469" s="113"/>
      <c r="W469" s="113"/>
      <c r="X469" s="113"/>
      <c r="Y469" s="113"/>
      <c r="Z469" s="113"/>
      <c r="AA469" s="113"/>
      <c r="AB469" s="113"/>
      <c r="AC469" s="113"/>
      <c r="AD469" s="113"/>
      <c r="AE469" s="113"/>
      <c r="AF469" s="113"/>
      <c r="AG469" s="113"/>
    </row>
    <row r="470" spans="1:33" ht="13.8">
      <c r="A470" s="113"/>
      <c r="B470" s="113"/>
      <c r="C470" s="113"/>
      <c r="D470" s="111"/>
      <c r="E470" s="113"/>
      <c r="F470" s="111"/>
      <c r="G470" s="113"/>
      <c r="H470" s="111"/>
      <c r="I470" s="113"/>
      <c r="J470" s="113"/>
      <c r="K470" s="113"/>
      <c r="L470" s="113"/>
      <c r="M470" s="113"/>
      <c r="N470" s="113"/>
      <c r="O470" s="113"/>
      <c r="P470" s="113"/>
      <c r="Q470" s="113"/>
      <c r="R470" s="113"/>
      <c r="S470" s="113"/>
      <c r="T470" s="113"/>
      <c r="U470" s="113"/>
      <c r="V470" s="113"/>
      <c r="W470" s="113"/>
      <c r="X470" s="113"/>
      <c r="Y470" s="113"/>
      <c r="Z470" s="113"/>
      <c r="AA470" s="113"/>
      <c r="AB470" s="113"/>
      <c r="AC470" s="113"/>
      <c r="AD470" s="113"/>
      <c r="AE470" s="113"/>
      <c r="AF470" s="113"/>
      <c r="AG470" s="113"/>
    </row>
    <row r="471" spans="1:33" ht="13.8">
      <c r="A471" s="113"/>
      <c r="B471" s="113"/>
      <c r="C471" s="113"/>
      <c r="D471" s="111"/>
      <c r="E471" s="113"/>
      <c r="F471" s="111"/>
      <c r="G471" s="113"/>
      <c r="H471" s="111"/>
      <c r="I471" s="113"/>
      <c r="J471" s="113"/>
      <c r="K471" s="113"/>
      <c r="L471" s="113"/>
      <c r="M471" s="113"/>
      <c r="N471" s="113"/>
      <c r="O471" s="113"/>
      <c r="P471" s="113"/>
      <c r="Q471" s="113"/>
      <c r="R471" s="113"/>
      <c r="S471" s="113"/>
      <c r="T471" s="113"/>
      <c r="U471" s="113"/>
      <c r="V471" s="113"/>
      <c r="W471" s="113"/>
      <c r="X471" s="113"/>
      <c r="Y471" s="113"/>
      <c r="Z471" s="113"/>
      <c r="AA471" s="113"/>
      <c r="AB471" s="113"/>
      <c r="AC471" s="113"/>
      <c r="AD471" s="113"/>
      <c r="AE471" s="113"/>
      <c r="AF471" s="113"/>
      <c r="AG471" s="113"/>
    </row>
    <row r="472" spans="1:33" ht="13.8">
      <c r="A472" s="113"/>
      <c r="B472" s="113"/>
      <c r="C472" s="113"/>
      <c r="D472" s="111"/>
      <c r="E472" s="113"/>
      <c r="F472" s="111"/>
      <c r="G472" s="113"/>
      <c r="H472" s="111"/>
      <c r="I472" s="113"/>
      <c r="J472" s="113"/>
      <c r="K472" s="113"/>
      <c r="L472" s="113"/>
      <c r="M472" s="113"/>
      <c r="N472" s="113"/>
      <c r="O472" s="113"/>
      <c r="P472" s="113"/>
      <c r="Q472" s="113"/>
      <c r="R472" s="113"/>
      <c r="S472" s="113"/>
      <c r="T472" s="113"/>
      <c r="U472" s="113"/>
      <c r="V472" s="113"/>
      <c r="W472" s="113"/>
      <c r="X472" s="113"/>
      <c r="Y472" s="113"/>
      <c r="Z472" s="113"/>
      <c r="AA472" s="113"/>
      <c r="AB472" s="113"/>
      <c r="AC472" s="113"/>
      <c r="AD472" s="113"/>
      <c r="AE472" s="113"/>
      <c r="AF472" s="113"/>
      <c r="AG472" s="113"/>
    </row>
    <row r="473" spans="1:33" ht="13.8">
      <c r="A473" s="113"/>
      <c r="B473" s="113"/>
      <c r="C473" s="113"/>
      <c r="D473" s="111"/>
      <c r="E473" s="113"/>
      <c r="F473" s="111"/>
      <c r="G473" s="113"/>
      <c r="H473" s="111"/>
      <c r="I473" s="113"/>
      <c r="J473" s="113"/>
      <c r="K473" s="113"/>
      <c r="L473" s="113"/>
      <c r="M473" s="113"/>
      <c r="N473" s="113"/>
      <c r="O473" s="113"/>
      <c r="P473" s="113"/>
      <c r="Q473" s="113"/>
      <c r="R473" s="113"/>
      <c r="S473" s="113"/>
      <c r="T473" s="113"/>
      <c r="U473" s="113"/>
      <c r="V473" s="113"/>
      <c r="W473" s="113"/>
      <c r="X473" s="113"/>
      <c r="Y473" s="113"/>
      <c r="Z473" s="113"/>
      <c r="AA473" s="113"/>
      <c r="AB473" s="113"/>
      <c r="AC473" s="113"/>
      <c r="AD473" s="113"/>
      <c r="AE473" s="113"/>
      <c r="AF473" s="113"/>
      <c r="AG473" s="113"/>
    </row>
    <row r="474" spans="1:33" ht="13.8">
      <c r="A474" s="113"/>
      <c r="B474" s="113"/>
      <c r="C474" s="113"/>
      <c r="D474" s="111"/>
      <c r="E474" s="113"/>
      <c r="F474" s="111"/>
      <c r="G474" s="113"/>
      <c r="H474" s="111"/>
      <c r="I474" s="113"/>
      <c r="J474" s="113"/>
      <c r="K474" s="113"/>
      <c r="L474" s="113"/>
      <c r="M474" s="113"/>
      <c r="N474" s="113"/>
      <c r="O474" s="113"/>
      <c r="P474" s="113"/>
      <c r="Q474" s="113"/>
      <c r="R474" s="113"/>
      <c r="S474" s="113"/>
      <c r="T474" s="113"/>
      <c r="U474" s="113"/>
      <c r="V474" s="113"/>
      <c r="W474" s="113"/>
      <c r="X474" s="113"/>
      <c r="Y474" s="113"/>
      <c r="Z474" s="113"/>
      <c r="AA474" s="113"/>
      <c r="AB474" s="113"/>
      <c r="AC474" s="113"/>
      <c r="AD474" s="113"/>
      <c r="AE474" s="113"/>
      <c r="AF474" s="113"/>
      <c r="AG474" s="113"/>
    </row>
    <row r="475" spans="1:33" ht="13.8">
      <c r="A475" s="113"/>
      <c r="B475" s="113"/>
      <c r="C475" s="113"/>
      <c r="D475" s="111"/>
      <c r="E475" s="113"/>
      <c r="F475" s="111"/>
      <c r="G475" s="113"/>
      <c r="H475" s="111"/>
      <c r="I475" s="113"/>
      <c r="J475" s="113"/>
      <c r="K475" s="113"/>
      <c r="L475" s="113"/>
      <c r="M475" s="113"/>
      <c r="N475" s="113"/>
      <c r="O475" s="113"/>
      <c r="P475" s="113"/>
      <c r="Q475" s="113"/>
      <c r="R475" s="113"/>
      <c r="S475" s="113"/>
      <c r="T475" s="113"/>
      <c r="U475" s="113"/>
      <c r="V475" s="113"/>
      <c r="W475" s="113"/>
      <c r="X475" s="113"/>
      <c r="Y475" s="113"/>
      <c r="Z475" s="113"/>
      <c r="AA475" s="113"/>
      <c r="AB475" s="113"/>
      <c r="AC475" s="113"/>
      <c r="AD475" s="113"/>
      <c r="AE475" s="113"/>
      <c r="AF475" s="113"/>
      <c r="AG475" s="113"/>
    </row>
    <row r="476" spans="1:33" ht="13.8">
      <c r="A476" s="113"/>
      <c r="B476" s="113"/>
      <c r="C476" s="113"/>
      <c r="D476" s="111"/>
      <c r="E476" s="113"/>
      <c r="F476" s="111"/>
      <c r="G476" s="113"/>
      <c r="H476" s="111"/>
      <c r="I476" s="113"/>
      <c r="J476" s="113"/>
      <c r="K476" s="113"/>
      <c r="L476" s="113"/>
      <c r="M476" s="113"/>
      <c r="N476" s="113"/>
      <c r="O476" s="113"/>
      <c r="P476" s="113"/>
      <c r="Q476" s="113"/>
      <c r="R476" s="113"/>
      <c r="S476" s="113"/>
      <c r="T476" s="113"/>
      <c r="U476" s="113"/>
      <c r="V476" s="113"/>
      <c r="W476" s="113"/>
      <c r="X476" s="113"/>
      <c r="Y476" s="113"/>
      <c r="Z476" s="113"/>
      <c r="AA476" s="113"/>
      <c r="AB476" s="113"/>
      <c r="AC476" s="113"/>
      <c r="AD476" s="113"/>
      <c r="AE476" s="113"/>
      <c r="AF476" s="113"/>
      <c r="AG476" s="113"/>
    </row>
    <row r="477" spans="1:33" ht="13.8">
      <c r="A477" s="113"/>
      <c r="B477" s="113"/>
      <c r="C477" s="113"/>
      <c r="D477" s="111"/>
      <c r="E477" s="113"/>
      <c r="F477" s="111"/>
      <c r="G477" s="113"/>
      <c r="H477" s="111"/>
      <c r="I477" s="113"/>
      <c r="J477" s="113"/>
      <c r="K477" s="113"/>
      <c r="L477" s="113"/>
      <c r="M477" s="113"/>
      <c r="N477" s="113"/>
      <c r="O477" s="113"/>
      <c r="P477" s="113"/>
      <c r="Q477" s="113"/>
      <c r="R477" s="113"/>
      <c r="S477" s="113"/>
      <c r="T477" s="113"/>
      <c r="U477" s="113"/>
      <c r="V477" s="113"/>
      <c r="W477" s="113"/>
      <c r="X477" s="113"/>
      <c r="Y477" s="113"/>
      <c r="Z477" s="113"/>
      <c r="AA477" s="113"/>
      <c r="AB477" s="113"/>
      <c r="AC477" s="113"/>
      <c r="AD477" s="113"/>
      <c r="AE477" s="113"/>
      <c r="AF477" s="113"/>
      <c r="AG477" s="113"/>
    </row>
    <row r="478" spans="1:33" ht="13.8">
      <c r="A478" s="113"/>
      <c r="B478" s="113"/>
      <c r="C478" s="113"/>
      <c r="D478" s="111"/>
      <c r="E478" s="113"/>
      <c r="F478" s="111"/>
      <c r="G478" s="113"/>
      <c r="H478" s="111"/>
      <c r="I478" s="113"/>
      <c r="J478" s="113"/>
      <c r="K478" s="113"/>
      <c r="L478" s="113"/>
      <c r="M478" s="113"/>
      <c r="N478" s="113"/>
      <c r="O478" s="113"/>
      <c r="P478" s="113"/>
      <c r="Q478" s="113"/>
      <c r="R478" s="113"/>
      <c r="S478" s="113"/>
      <c r="T478" s="113"/>
      <c r="U478" s="113"/>
      <c r="V478" s="113"/>
      <c r="W478" s="113"/>
      <c r="X478" s="113"/>
      <c r="Y478" s="113"/>
      <c r="Z478" s="113"/>
      <c r="AA478" s="113"/>
      <c r="AB478" s="113"/>
      <c r="AC478" s="113"/>
      <c r="AD478" s="113"/>
      <c r="AE478" s="113"/>
      <c r="AF478" s="113"/>
      <c r="AG478" s="113"/>
    </row>
    <row r="479" spans="1:33" ht="13.8">
      <c r="A479" s="113"/>
      <c r="B479" s="113"/>
      <c r="C479" s="113"/>
      <c r="D479" s="111"/>
      <c r="E479" s="113"/>
      <c r="F479" s="111"/>
      <c r="G479" s="113"/>
      <c r="H479" s="111"/>
      <c r="I479" s="113"/>
      <c r="J479" s="113"/>
      <c r="K479" s="113"/>
      <c r="L479" s="113"/>
      <c r="M479" s="113"/>
      <c r="N479" s="113"/>
      <c r="O479" s="113"/>
      <c r="P479" s="113"/>
      <c r="Q479" s="113"/>
      <c r="R479" s="113"/>
      <c r="S479" s="113"/>
      <c r="T479" s="113"/>
      <c r="U479" s="113"/>
      <c r="V479" s="113"/>
      <c r="W479" s="113"/>
      <c r="X479" s="113"/>
      <c r="Y479" s="113"/>
      <c r="Z479" s="113"/>
      <c r="AA479" s="113"/>
      <c r="AB479" s="113"/>
      <c r="AC479" s="113"/>
      <c r="AD479" s="113"/>
      <c r="AE479" s="113"/>
      <c r="AF479" s="113"/>
      <c r="AG479" s="113"/>
    </row>
    <row r="480" spans="1:33" ht="13.8">
      <c r="A480" s="113"/>
      <c r="B480" s="113"/>
      <c r="C480" s="113"/>
      <c r="D480" s="111"/>
      <c r="E480" s="113"/>
      <c r="F480" s="111"/>
      <c r="G480" s="113"/>
      <c r="H480" s="111"/>
      <c r="I480" s="113"/>
      <c r="J480" s="113"/>
      <c r="K480" s="113"/>
      <c r="L480" s="113"/>
      <c r="M480" s="113"/>
      <c r="N480" s="113"/>
      <c r="O480" s="113"/>
      <c r="P480" s="113"/>
      <c r="Q480" s="113"/>
      <c r="R480" s="113"/>
      <c r="S480" s="113"/>
      <c r="T480" s="113"/>
      <c r="U480" s="113"/>
      <c r="V480" s="113"/>
      <c r="W480" s="113"/>
      <c r="X480" s="113"/>
      <c r="Y480" s="113"/>
      <c r="Z480" s="113"/>
      <c r="AA480" s="113"/>
      <c r="AB480" s="113"/>
      <c r="AC480" s="113"/>
      <c r="AD480" s="113"/>
      <c r="AE480" s="113"/>
      <c r="AF480" s="113"/>
      <c r="AG480" s="113"/>
    </row>
    <row r="481" spans="1:33" ht="13.8">
      <c r="A481" s="113"/>
      <c r="B481" s="113"/>
      <c r="C481" s="113"/>
      <c r="D481" s="111"/>
      <c r="E481" s="113"/>
      <c r="F481" s="111"/>
      <c r="G481" s="113"/>
      <c r="H481" s="111"/>
      <c r="I481" s="113"/>
      <c r="J481" s="113"/>
      <c r="K481" s="113"/>
      <c r="L481" s="113"/>
      <c r="M481" s="113"/>
      <c r="N481" s="113"/>
      <c r="O481" s="113"/>
      <c r="P481" s="113"/>
      <c r="Q481" s="113"/>
      <c r="R481" s="113"/>
      <c r="S481" s="113"/>
      <c r="T481" s="113"/>
      <c r="U481" s="113"/>
      <c r="V481" s="113"/>
      <c r="W481" s="113"/>
      <c r="X481" s="113"/>
      <c r="Y481" s="113"/>
      <c r="Z481" s="113"/>
      <c r="AA481" s="113"/>
      <c r="AB481" s="113"/>
      <c r="AC481" s="113"/>
      <c r="AD481" s="113"/>
      <c r="AE481" s="113"/>
      <c r="AF481" s="113"/>
      <c r="AG481" s="113"/>
    </row>
    <row r="482" spans="1:33" ht="13.8">
      <c r="A482" s="113"/>
      <c r="B482" s="113"/>
      <c r="C482" s="113"/>
      <c r="D482" s="111"/>
      <c r="E482" s="113"/>
      <c r="F482" s="111"/>
      <c r="G482" s="113"/>
      <c r="H482" s="111"/>
      <c r="I482" s="113"/>
      <c r="J482" s="113"/>
      <c r="K482" s="113"/>
      <c r="L482" s="113"/>
      <c r="M482" s="113"/>
      <c r="N482" s="113"/>
      <c r="O482" s="113"/>
      <c r="P482" s="113"/>
      <c r="Q482" s="113"/>
      <c r="R482" s="113"/>
      <c r="S482" s="113"/>
      <c r="T482" s="113"/>
      <c r="U482" s="113"/>
      <c r="V482" s="113"/>
      <c r="W482" s="113"/>
      <c r="X482" s="113"/>
      <c r="Y482" s="113"/>
      <c r="Z482" s="113"/>
      <c r="AA482" s="113"/>
      <c r="AB482" s="113"/>
      <c r="AC482" s="113"/>
      <c r="AD482" s="113"/>
      <c r="AE482" s="113"/>
      <c r="AF482" s="113"/>
      <c r="AG482" s="113"/>
    </row>
    <row r="483" spans="1:33" ht="13.8">
      <c r="A483" s="113"/>
      <c r="B483" s="113"/>
      <c r="C483" s="113"/>
      <c r="D483" s="111"/>
      <c r="E483" s="113"/>
      <c r="F483" s="111"/>
      <c r="G483" s="113"/>
      <c r="H483" s="111"/>
      <c r="I483" s="113"/>
      <c r="J483" s="113"/>
      <c r="K483" s="113"/>
      <c r="L483" s="113"/>
      <c r="M483" s="113"/>
      <c r="N483" s="113"/>
      <c r="O483" s="113"/>
      <c r="P483" s="113"/>
      <c r="Q483" s="113"/>
      <c r="R483" s="113"/>
      <c r="S483" s="113"/>
      <c r="T483" s="113"/>
      <c r="U483" s="113"/>
      <c r="V483" s="113"/>
      <c r="W483" s="113"/>
      <c r="X483" s="113"/>
      <c r="Y483" s="113"/>
      <c r="Z483" s="113"/>
      <c r="AA483" s="113"/>
      <c r="AB483" s="113"/>
      <c r="AC483" s="113"/>
      <c r="AD483" s="113"/>
      <c r="AE483" s="113"/>
      <c r="AF483" s="113"/>
      <c r="AG483" s="113"/>
    </row>
    <row r="484" spans="1:33" ht="13.8">
      <c r="A484" s="113"/>
      <c r="B484" s="113"/>
      <c r="C484" s="113"/>
      <c r="D484" s="111"/>
      <c r="E484" s="113"/>
      <c r="F484" s="111"/>
      <c r="G484" s="113"/>
      <c r="H484" s="111"/>
      <c r="I484" s="113"/>
      <c r="J484" s="113"/>
      <c r="K484" s="113"/>
      <c r="L484" s="113"/>
      <c r="M484" s="113"/>
      <c r="N484" s="113"/>
      <c r="O484" s="113"/>
      <c r="P484" s="113"/>
      <c r="Q484" s="113"/>
      <c r="R484" s="113"/>
      <c r="S484" s="113"/>
      <c r="T484" s="113"/>
      <c r="U484" s="113"/>
      <c r="V484" s="113"/>
      <c r="W484" s="113"/>
      <c r="X484" s="113"/>
      <c r="Y484" s="113"/>
      <c r="Z484" s="113"/>
      <c r="AA484" s="113"/>
      <c r="AB484" s="113"/>
      <c r="AC484" s="113"/>
      <c r="AD484" s="113"/>
      <c r="AE484" s="113"/>
      <c r="AF484" s="113"/>
      <c r="AG484" s="113"/>
    </row>
    <row r="485" spans="1:33" ht="13.8">
      <c r="A485" s="113"/>
      <c r="B485" s="113"/>
      <c r="C485" s="113"/>
      <c r="D485" s="111"/>
      <c r="E485" s="113"/>
      <c r="F485" s="111"/>
      <c r="G485" s="113"/>
      <c r="H485" s="111"/>
      <c r="I485" s="113"/>
      <c r="J485" s="113"/>
      <c r="K485" s="113"/>
      <c r="L485" s="113"/>
      <c r="M485" s="113"/>
      <c r="N485" s="113"/>
      <c r="O485" s="113"/>
      <c r="P485" s="113"/>
      <c r="Q485" s="113"/>
      <c r="R485" s="113"/>
      <c r="S485" s="113"/>
      <c r="T485" s="113"/>
      <c r="U485" s="113"/>
      <c r="V485" s="113"/>
      <c r="W485" s="113"/>
      <c r="X485" s="113"/>
      <c r="Y485" s="113"/>
      <c r="Z485" s="113"/>
      <c r="AA485" s="113"/>
      <c r="AB485" s="113"/>
      <c r="AC485" s="113"/>
      <c r="AD485" s="113"/>
      <c r="AE485" s="113"/>
      <c r="AF485" s="113"/>
      <c r="AG485" s="113"/>
    </row>
    <row r="486" spans="1:33" ht="13.8">
      <c r="A486" s="113"/>
      <c r="B486" s="113"/>
      <c r="C486" s="113"/>
      <c r="D486" s="111"/>
      <c r="E486" s="113"/>
      <c r="F486" s="111"/>
      <c r="G486" s="113"/>
      <c r="H486" s="111"/>
      <c r="I486" s="113"/>
      <c r="J486" s="113"/>
      <c r="K486" s="113"/>
      <c r="L486" s="113"/>
      <c r="M486" s="113"/>
      <c r="N486" s="113"/>
      <c r="O486" s="113"/>
      <c r="P486" s="113"/>
      <c r="Q486" s="113"/>
      <c r="R486" s="113"/>
      <c r="S486" s="113"/>
      <c r="T486" s="113"/>
      <c r="U486" s="113"/>
      <c r="V486" s="113"/>
      <c r="W486" s="113"/>
      <c r="X486" s="113"/>
      <c r="Y486" s="113"/>
      <c r="Z486" s="113"/>
      <c r="AA486" s="113"/>
      <c r="AB486" s="113"/>
      <c r="AC486" s="113"/>
      <c r="AD486" s="113"/>
      <c r="AE486" s="113"/>
      <c r="AF486" s="113"/>
      <c r="AG486" s="113"/>
    </row>
    <row r="487" spans="1:33" ht="13.8">
      <c r="A487" s="113"/>
      <c r="B487" s="113"/>
      <c r="C487" s="113"/>
      <c r="D487" s="111"/>
      <c r="E487" s="113"/>
      <c r="F487" s="111"/>
      <c r="G487" s="113"/>
      <c r="H487" s="111"/>
      <c r="I487" s="113"/>
      <c r="J487" s="113"/>
      <c r="K487" s="113"/>
      <c r="L487" s="113"/>
      <c r="M487" s="113"/>
      <c r="N487" s="113"/>
      <c r="O487" s="113"/>
      <c r="P487" s="113"/>
      <c r="Q487" s="113"/>
      <c r="R487" s="113"/>
      <c r="S487" s="113"/>
      <c r="T487" s="113"/>
      <c r="U487" s="113"/>
      <c r="V487" s="113"/>
      <c r="W487" s="113"/>
      <c r="X487" s="113"/>
      <c r="Y487" s="113"/>
      <c r="Z487" s="113"/>
      <c r="AA487" s="113"/>
      <c r="AB487" s="113"/>
      <c r="AC487" s="113"/>
      <c r="AD487" s="113"/>
      <c r="AE487" s="113"/>
      <c r="AF487" s="113"/>
      <c r="AG487" s="113"/>
    </row>
    <row r="488" spans="1:33" ht="13.8">
      <c r="A488" s="113"/>
      <c r="B488" s="113"/>
      <c r="C488" s="113"/>
      <c r="D488" s="111"/>
      <c r="E488" s="113"/>
      <c r="F488" s="111"/>
      <c r="G488" s="113"/>
      <c r="H488" s="111"/>
      <c r="I488" s="113"/>
      <c r="J488" s="113"/>
      <c r="K488" s="113"/>
      <c r="L488" s="113"/>
      <c r="M488" s="113"/>
      <c r="N488" s="113"/>
      <c r="O488" s="113"/>
      <c r="P488" s="113"/>
      <c r="Q488" s="113"/>
      <c r="R488" s="113"/>
      <c r="S488" s="113"/>
      <c r="T488" s="113"/>
      <c r="U488" s="113"/>
      <c r="V488" s="113"/>
      <c r="W488" s="113"/>
      <c r="X488" s="113"/>
      <c r="Y488" s="113"/>
      <c r="Z488" s="113"/>
      <c r="AA488" s="113"/>
      <c r="AB488" s="113"/>
      <c r="AC488" s="113"/>
      <c r="AD488" s="113"/>
      <c r="AE488" s="113"/>
      <c r="AF488" s="113"/>
      <c r="AG488" s="113"/>
    </row>
    <row r="489" spans="1:33" ht="13.8">
      <c r="A489" s="113"/>
      <c r="B489" s="113"/>
      <c r="C489" s="113"/>
      <c r="D489" s="111"/>
      <c r="E489" s="113"/>
      <c r="F489" s="111"/>
      <c r="G489" s="113"/>
      <c r="H489" s="111"/>
      <c r="I489" s="113"/>
      <c r="J489" s="113"/>
      <c r="K489" s="113"/>
      <c r="L489" s="113"/>
      <c r="M489" s="113"/>
      <c r="N489" s="113"/>
      <c r="O489" s="113"/>
      <c r="P489" s="113"/>
      <c r="Q489" s="113"/>
      <c r="R489" s="113"/>
      <c r="S489" s="113"/>
      <c r="T489" s="113"/>
      <c r="U489" s="113"/>
      <c r="V489" s="113"/>
      <c r="W489" s="113"/>
      <c r="X489" s="113"/>
      <c r="Y489" s="113"/>
      <c r="Z489" s="113"/>
      <c r="AA489" s="113"/>
      <c r="AB489" s="113"/>
      <c r="AC489" s="113"/>
      <c r="AD489" s="113"/>
      <c r="AE489" s="113"/>
      <c r="AF489" s="113"/>
      <c r="AG489" s="113"/>
    </row>
    <row r="490" spans="1:33" ht="13.8">
      <c r="A490" s="113"/>
      <c r="B490" s="113"/>
      <c r="C490" s="113"/>
      <c r="D490" s="111"/>
      <c r="E490" s="113"/>
      <c r="F490" s="111"/>
      <c r="G490" s="113"/>
      <c r="H490" s="111"/>
      <c r="I490" s="113"/>
      <c r="J490" s="113"/>
      <c r="K490" s="113"/>
      <c r="L490" s="113"/>
      <c r="M490" s="113"/>
      <c r="N490" s="113"/>
      <c r="O490" s="113"/>
      <c r="P490" s="113"/>
      <c r="Q490" s="113"/>
      <c r="R490" s="113"/>
      <c r="S490" s="113"/>
      <c r="T490" s="113"/>
      <c r="U490" s="113"/>
      <c r="V490" s="113"/>
      <c r="W490" s="113"/>
      <c r="X490" s="113"/>
      <c r="Y490" s="113"/>
      <c r="Z490" s="113"/>
      <c r="AA490" s="113"/>
      <c r="AB490" s="113"/>
      <c r="AC490" s="113"/>
      <c r="AD490" s="113"/>
      <c r="AE490" s="113"/>
      <c r="AF490" s="113"/>
      <c r="AG490" s="113"/>
    </row>
    <row r="491" spans="1:33" ht="13.8">
      <c r="A491" s="113"/>
      <c r="B491" s="113"/>
      <c r="C491" s="113"/>
      <c r="D491" s="111"/>
      <c r="E491" s="113"/>
      <c r="F491" s="111"/>
      <c r="G491" s="113"/>
      <c r="H491" s="111"/>
      <c r="I491" s="113"/>
      <c r="J491" s="113"/>
      <c r="K491" s="113"/>
      <c r="L491" s="113"/>
      <c r="M491" s="113"/>
      <c r="N491" s="113"/>
      <c r="O491" s="113"/>
      <c r="P491" s="113"/>
      <c r="Q491" s="113"/>
      <c r="R491" s="113"/>
      <c r="S491" s="113"/>
      <c r="T491" s="113"/>
      <c r="U491" s="113"/>
      <c r="V491" s="113"/>
      <c r="W491" s="113"/>
      <c r="X491" s="113"/>
      <c r="Y491" s="113"/>
      <c r="Z491" s="113"/>
      <c r="AA491" s="113"/>
      <c r="AB491" s="113"/>
      <c r="AC491" s="113"/>
      <c r="AD491" s="113"/>
      <c r="AE491" s="113"/>
      <c r="AF491" s="113"/>
      <c r="AG491" s="113"/>
    </row>
    <row r="492" spans="1:33" ht="13.8">
      <c r="A492" s="113"/>
      <c r="B492" s="113"/>
      <c r="C492" s="113"/>
      <c r="D492" s="111"/>
      <c r="E492" s="113"/>
      <c r="F492" s="111"/>
      <c r="G492" s="113"/>
      <c r="H492" s="111"/>
      <c r="I492" s="113"/>
      <c r="J492" s="113"/>
      <c r="K492" s="113"/>
      <c r="L492" s="113"/>
      <c r="M492" s="113"/>
      <c r="N492" s="113"/>
      <c r="O492" s="113"/>
      <c r="P492" s="113"/>
      <c r="Q492" s="113"/>
      <c r="R492" s="113"/>
      <c r="S492" s="113"/>
      <c r="T492" s="113"/>
      <c r="U492" s="113"/>
      <c r="V492" s="113"/>
      <c r="W492" s="113"/>
      <c r="X492" s="113"/>
      <c r="Y492" s="113"/>
      <c r="Z492" s="113"/>
      <c r="AA492" s="113"/>
      <c r="AB492" s="113"/>
      <c r="AC492" s="113"/>
      <c r="AD492" s="113"/>
      <c r="AE492" s="113"/>
      <c r="AF492" s="113"/>
      <c r="AG492" s="113"/>
    </row>
    <row r="493" spans="1:33" ht="13.8">
      <c r="A493" s="113"/>
      <c r="B493" s="113"/>
      <c r="C493" s="113"/>
      <c r="D493" s="111"/>
      <c r="E493" s="113"/>
      <c r="F493" s="111"/>
      <c r="G493" s="113"/>
      <c r="H493" s="111"/>
      <c r="I493" s="113"/>
      <c r="J493" s="113"/>
      <c r="K493" s="113"/>
      <c r="L493" s="113"/>
      <c r="M493" s="113"/>
      <c r="N493" s="113"/>
      <c r="O493" s="113"/>
      <c r="P493" s="113"/>
      <c r="Q493" s="113"/>
      <c r="R493" s="113"/>
      <c r="S493" s="113"/>
      <c r="T493" s="113"/>
      <c r="U493" s="113"/>
      <c r="V493" s="113"/>
      <c r="W493" s="113"/>
      <c r="X493" s="113"/>
      <c r="Y493" s="113"/>
      <c r="Z493" s="113"/>
      <c r="AA493" s="113"/>
      <c r="AB493" s="113"/>
      <c r="AC493" s="113"/>
      <c r="AD493" s="113"/>
      <c r="AE493" s="113"/>
      <c r="AF493" s="113"/>
      <c r="AG493" s="113"/>
    </row>
    <row r="494" spans="1:33" ht="13.8">
      <c r="A494" s="113"/>
      <c r="B494" s="113"/>
      <c r="C494" s="113"/>
      <c r="D494" s="111"/>
      <c r="E494" s="113"/>
      <c r="F494" s="111"/>
      <c r="G494" s="113"/>
      <c r="H494" s="111"/>
      <c r="I494" s="113"/>
      <c r="J494" s="113"/>
      <c r="K494" s="113"/>
      <c r="L494" s="113"/>
      <c r="M494" s="113"/>
      <c r="N494" s="113"/>
      <c r="O494" s="113"/>
      <c r="P494" s="113"/>
      <c r="Q494" s="113"/>
      <c r="R494" s="113"/>
      <c r="S494" s="113"/>
      <c r="T494" s="113"/>
      <c r="U494" s="113"/>
      <c r="V494" s="113"/>
      <c r="W494" s="113"/>
      <c r="X494" s="113"/>
      <c r="Y494" s="113"/>
      <c r="Z494" s="113"/>
      <c r="AA494" s="113"/>
      <c r="AB494" s="113"/>
      <c r="AC494" s="113"/>
      <c r="AD494" s="113"/>
      <c r="AE494" s="113"/>
      <c r="AF494" s="113"/>
      <c r="AG494" s="113"/>
    </row>
    <row r="495" spans="1:33" ht="13.8">
      <c r="A495" s="113"/>
      <c r="B495" s="113"/>
      <c r="C495" s="113"/>
      <c r="D495" s="111"/>
      <c r="E495" s="113"/>
      <c r="F495" s="111"/>
      <c r="G495" s="113"/>
      <c r="H495" s="111"/>
      <c r="I495" s="113"/>
      <c r="J495" s="113"/>
      <c r="K495" s="113"/>
      <c r="L495" s="113"/>
      <c r="M495" s="113"/>
      <c r="N495" s="113"/>
      <c r="O495" s="113"/>
      <c r="P495" s="113"/>
      <c r="Q495" s="113"/>
      <c r="R495" s="113"/>
      <c r="S495" s="113"/>
      <c r="T495" s="113"/>
      <c r="U495" s="113"/>
      <c r="V495" s="113"/>
      <c r="W495" s="113"/>
      <c r="X495" s="113"/>
      <c r="Y495" s="113"/>
      <c r="Z495" s="113"/>
      <c r="AA495" s="113"/>
      <c r="AB495" s="113"/>
      <c r="AC495" s="113"/>
      <c r="AD495" s="113"/>
      <c r="AE495" s="113"/>
      <c r="AF495" s="113"/>
      <c r="AG495" s="113"/>
    </row>
    <row r="496" spans="1:33" ht="13.8">
      <c r="A496" s="113"/>
      <c r="B496" s="113"/>
      <c r="C496" s="113"/>
      <c r="D496" s="111"/>
      <c r="E496" s="113"/>
      <c r="F496" s="111"/>
      <c r="G496" s="113"/>
      <c r="H496" s="111"/>
      <c r="I496" s="113"/>
      <c r="J496" s="113"/>
      <c r="K496" s="113"/>
      <c r="L496" s="113"/>
      <c r="M496" s="113"/>
      <c r="N496" s="113"/>
      <c r="O496" s="113"/>
      <c r="P496" s="113"/>
      <c r="Q496" s="113"/>
      <c r="R496" s="113"/>
      <c r="S496" s="113"/>
      <c r="T496" s="113"/>
      <c r="U496" s="113"/>
      <c r="V496" s="113"/>
      <c r="W496" s="113"/>
      <c r="X496" s="113"/>
      <c r="Y496" s="113"/>
      <c r="Z496" s="113"/>
      <c r="AA496" s="113"/>
      <c r="AB496" s="113"/>
      <c r="AC496" s="113"/>
      <c r="AD496" s="113"/>
      <c r="AE496" s="113"/>
      <c r="AF496" s="113"/>
      <c r="AG496" s="113"/>
    </row>
    <row r="497" spans="1:33" ht="13.8">
      <c r="A497" s="113"/>
      <c r="B497" s="113"/>
      <c r="C497" s="113"/>
      <c r="D497" s="111"/>
      <c r="E497" s="113"/>
      <c r="F497" s="111"/>
      <c r="G497" s="113"/>
      <c r="H497" s="111"/>
      <c r="I497" s="113"/>
      <c r="J497" s="113"/>
      <c r="K497" s="113"/>
      <c r="L497" s="113"/>
      <c r="M497" s="113"/>
      <c r="N497" s="113"/>
      <c r="O497" s="113"/>
      <c r="P497" s="113"/>
      <c r="Q497" s="113"/>
      <c r="R497" s="113"/>
      <c r="S497" s="113"/>
      <c r="T497" s="113"/>
      <c r="U497" s="113"/>
      <c r="V497" s="113"/>
      <c r="W497" s="113"/>
      <c r="X497" s="113"/>
      <c r="Y497" s="113"/>
      <c r="Z497" s="113"/>
      <c r="AA497" s="113"/>
      <c r="AB497" s="113"/>
      <c r="AC497" s="113"/>
      <c r="AD497" s="113"/>
      <c r="AE497" s="113"/>
      <c r="AF497" s="113"/>
      <c r="AG497" s="113"/>
    </row>
    <row r="498" spans="1:33" ht="13.8">
      <c r="A498" s="113"/>
      <c r="B498" s="113"/>
      <c r="C498" s="113"/>
      <c r="D498" s="111"/>
      <c r="E498" s="113"/>
      <c r="F498" s="111"/>
      <c r="G498" s="113"/>
      <c r="H498" s="111"/>
      <c r="I498" s="113"/>
      <c r="J498" s="113"/>
      <c r="K498" s="113"/>
      <c r="L498" s="113"/>
      <c r="M498" s="113"/>
      <c r="N498" s="113"/>
      <c r="O498" s="113"/>
      <c r="P498" s="113"/>
      <c r="Q498" s="113"/>
      <c r="R498" s="113"/>
      <c r="S498" s="113"/>
      <c r="T498" s="113"/>
      <c r="U498" s="113"/>
      <c r="V498" s="113"/>
      <c r="W498" s="113"/>
      <c r="X498" s="113"/>
      <c r="Y498" s="113"/>
      <c r="Z498" s="113"/>
      <c r="AA498" s="113"/>
      <c r="AB498" s="113"/>
      <c r="AC498" s="113"/>
      <c r="AD498" s="113"/>
      <c r="AE498" s="113"/>
      <c r="AF498" s="113"/>
      <c r="AG498" s="113"/>
    </row>
    <row r="499" spans="1:33" ht="13.8">
      <c r="A499" s="113"/>
      <c r="B499" s="113"/>
      <c r="C499" s="113"/>
      <c r="D499" s="111"/>
      <c r="E499" s="113"/>
      <c r="F499" s="111"/>
      <c r="G499" s="113"/>
      <c r="H499" s="111"/>
      <c r="I499" s="113"/>
      <c r="J499" s="113"/>
      <c r="K499" s="113"/>
      <c r="L499" s="113"/>
      <c r="M499" s="113"/>
      <c r="N499" s="113"/>
      <c r="O499" s="113"/>
      <c r="P499" s="113"/>
      <c r="Q499" s="113"/>
      <c r="R499" s="113"/>
      <c r="S499" s="113"/>
      <c r="T499" s="113"/>
      <c r="U499" s="113"/>
      <c r="V499" s="113"/>
      <c r="W499" s="113"/>
      <c r="X499" s="113"/>
      <c r="Y499" s="113"/>
      <c r="Z499" s="113"/>
      <c r="AA499" s="113"/>
      <c r="AB499" s="113"/>
      <c r="AC499" s="113"/>
      <c r="AD499" s="113"/>
      <c r="AE499" s="113"/>
      <c r="AF499" s="113"/>
      <c r="AG499" s="113"/>
    </row>
    <row r="500" spans="1:33" ht="13.8">
      <c r="A500" s="113"/>
      <c r="B500" s="113"/>
      <c r="C500" s="113"/>
      <c r="D500" s="111"/>
      <c r="E500" s="113"/>
      <c r="F500" s="111"/>
      <c r="G500" s="113"/>
      <c r="H500" s="111"/>
      <c r="I500" s="113"/>
      <c r="J500" s="113"/>
      <c r="K500" s="113"/>
      <c r="L500" s="113"/>
      <c r="M500" s="113"/>
      <c r="N500" s="113"/>
      <c r="O500" s="113"/>
      <c r="P500" s="113"/>
      <c r="Q500" s="113"/>
      <c r="R500" s="113"/>
      <c r="S500" s="113"/>
      <c r="T500" s="113"/>
      <c r="U500" s="113"/>
      <c r="V500" s="113"/>
      <c r="W500" s="113"/>
      <c r="X500" s="113"/>
      <c r="Y500" s="113"/>
      <c r="Z500" s="113"/>
      <c r="AA500" s="113"/>
      <c r="AB500" s="113"/>
      <c r="AC500" s="113"/>
      <c r="AD500" s="113"/>
      <c r="AE500" s="113"/>
      <c r="AF500" s="113"/>
      <c r="AG500" s="113"/>
    </row>
    <row r="501" spans="1:33" ht="13.8">
      <c r="A501" s="113"/>
      <c r="B501" s="113"/>
      <c r="C501" s="113"/>
      <c r="D501" s="111"/>
      <c r="E501" s="113"/>
      <c r="F501" s="111"/>
      <c r="G501" s="113"/>
      <c r="H501" s="111"/>
      <c r="I501" s="113"/>
      <c r="J501" s="113"/>
      <c r="K501" s="113"/>
      <c r="L501" s="113"/>
      <c r="M501" s="113"/>
      <c r="N501" s="113"/>
      <c r="O501" s="113"/>
      <c r="P501" s="113"/>
      <c r="Q501" s="113"/>
      <c r="R501" s="113"/>
      <c r="S501" s="113"/>
      <c r="T501" s="113"/>
      <c r="U501" s="113"/>
      <c r="V501" s="113"/>
      <c r="W501" s="113"/>
      <c r="X501" s="113"/>
      <c r="Y501" s="113"/>
      <c r="Z501" s="113"/>
      <c r="AA501" s="113"/>
      <c r="AB501" s="113"/>
      <c r="AC501" s="113"/>
      <c r="AD501" s="113"/>
      <c r="AE501" s="113"/>
      <c r="AF501" s="113"/>
      <c r="AG501" s="113"/>
    </row>
    <row r="502" spans="1:33" ht="13.8">
      <c r="A502" s="113"/>
      <c r="B502" s="113"/>
      <c r="C502" s="113"/>
      <c r="D502" s="111"/>
      <c r="E502" s="113"/>
      <c r="F502" s="111"/>
      <c r="G502" s="113"/>
      <c r="H502" s="111"/>
      <c r="I502" s="113"/>
      <c r="J502" s="113"/>
      <c r="K502" s="113"/>
      <c r="L502" s="113"/>
      <c r="M502" s="113"/>
      <c r="N502" s="113"/>
      <c r="O502" s="113"/>
      <c r="P502" s="113"/>
      <c r="Q502" s="113"/>
      <c r="R502" s="113"/>
      <c r="S502" s="113"/>
      <c r="T502" s="113"/>
      <c r="U502" s="113"/>
      <c r="V502" s="113"/>
      <c r="W502" s="113"/>
      <c r="X502" s="113"/>
      <c r="Y502" s="113"/>
      <c r="Z502" s="113"/>
      <c r="AA502" s="113"/>
      <c r="AB502" s="113"/>
      <c r="AC502" s="113"/>
      <c r="AD502" s="113"/>
      <c r="AE502" s="113"/>
      <c r="AF502" s="113"/>
      <c r="AG502" s="113"/>
    </row>
    <row r="503" spans="1:33" ht="13.8">
      <c r="A503" s="113"/>
      <c r="B503" s="113"/>
      <c r="C503" s="113"/>
      <c r="D503" s="111"/>
      <c r="E503" s="113"/>
      <c r="F503" s="111"/>
      <c r="G503" s="113"/>
      <c r="H503" s="111"/>
      <c r="I503" s="113"/>
      <c r="J503" s="113"/>
      <c r="K503" s="113"/>
      <c r="L503" s="113"/>
      <c r="M503" s="113"/>
      <c r="N503" s="113"/>
      <c r="O503" s="113"/>
      <c r="P503" s="113"/>
      <c r="Q503" s="113"/>
      <c r="R503" s="113"/>
      <c r="S503" s="113"/>
      <c r="T503" s="113"/>
      <c r="U503" s="113"/>
      <c r="V503" s="113"/>
      <c r="W503" s="113"/>
      <c r="X503" s="113"/>
      <c r="Y503" s="113"/>
      <c r="Z503" s="113"/>
      <c r="AA503" s="113"/>
      <c r="AB503" s="113"/>
      <c r="AC503" s="113"/>
      <c r="AD503" s="113"/>
      <c r="AE503" s="113"/>
      <c r="AF503" s="113"/>
      <c r="AG503" s="113"/>
    </row>
    <row r="504" spans="1:33" ht="13.8">
      <c r="A504" s="113"/>
      <c r="B504" s="113"/>
      <c r="C504" s="113"/>
      <c r="D504" s="111"/>
      <c r="E504" s="113"/>
      <c r="F504" s="111"/>
      <c r="G504" s="113"/>
      <c r="H504" s="111"/>
      <c r="I504" s="113"/>
      <c r="J504" s="113"/>
      <c r="K504" s="113"/>
      <c r="L504" s="113"/>
      <c r="M504" s="113"/>
      <c r="N504" s="113"/>
      <c r="O504" s="113"/>
      <c r="P504" s="113"/>
      <c r="Q504" s="113"/>
      <c r="R504" s="113"/>
      <c r="S504" s="113"/>
      <c r="T504" s="113"/>
      <c r="U504" s="113"/>
      <c r="V504" s="113"/>
      <c r="W504" s="113"/>
      <c r="X504" s="113"/>
      <c r="Y504" s="113"/>
      <c r="Z504" s="113"/>
      <c r="AA504" s="113"/>
      <c r="AB504" s="113"/>
      <c r="AC504" s="113"/>
      <c r="AD504" s="113"/>
      <c r="AE504" s="113"/>
      <c r="AF504" s="113"/>
      <c r="AG504" s="113"/>
    </row>
    <row r="505" spans="1:33" ht="13.8">
      <c r="A505" s="113"/>
      <c r="B505" s="113"/>
      <c r="C505" s="113"/>
      <c r="D505" s="111"/>
      <c r="E505" s="113"/>
      <c r="F505" s="111"/>
      <c r="G505" s="113"/>
      <c r="H505" s="111"/>
      <c r="I505" s="113"/>
      <c r="J505" s="113"/>
      <c r="K505" s="113"/>
      <c r="L505" s="113"/>
      <c r="M505" s="113"/>
      <c r="N505" s="113"/>
      <c r="O505" s="113"/>
      <c r="P505" s="113"/>
      <c r="Q505" s="113"/>
      <c r="R505" s="113"/>
      <c r="S505" s="113"/>
      <c r="T505" s="113"/>
      <c r="U505" s="113"/>
      <c r="V505" s="113"/>
      <c r="W505" s="113"/>
      <c r="X505" s="113"/>
      <c r="Y505" s="113"/>
      <c r="Z505" s="113"/>
      <c r="AA505" s="113"/>
      <c r="AB505" s="113"/>
      <c r="AC505" s="113"/>
      <c r="AD505" s="113"/>
      <c r="AE505" s="113"/>
      <c r="AF505" s="113"/>
      <c r="AG505" s="113"/>
    </row>
    <row r="506" spans="1:33" ht="13.8">
      <c r="A506" s="113"/>
      <c r="B506" s="113"/>
      <c r="C506" s="113"/>
      <c r="D506" s="111"/>
      <c r="E506" s="113"/>
      <c r="F506" s="111"/>
      <c r="G506" s="113"/>
      <c r="H506" s="111"/>
      <c r="I506" s="113"/>
      <c r="J506" s="113"/>
      <c r="K506" s="113"/>
      <c r="L506" s="113"/>
      <c r="M506" s="113"/>
      <c r="N506" s="113"/>
      <c r="O506" s="113"/>
      <c r="P506" s="113"/>
      <c r="Q506" s="113"/>
      <c r="R506" s="113"/>
      <c r="S506" s="113"/>
      <c r="T506" s="113"/>
      <c r="U506" s="113"/>
      <c r="V506" s="113"/>
      <c r="W506" s="113"/>
      <c r="X506" s="113"/>
      <c r="Y506" s="113"/>
      <c r="Z506" s="113"/>
      <c r="AA506" s="113"/>
      <c r="AB506" s="113"/>
      <c r="AC506" s="113"/>
      <c r="AD506" s="113"/>
      <c r="AE506" s="113"/>
      <c r="AF506" s="113"/>
      <c r="AG506" s="113"/>
    </row>
    <row r="507" spans="1:33" ht="13.8">
      <c r="A507" s="113"/>
      <c r="B507" s="113"/>
      <c r="C507" s="113"/>
      <c r="D507" s="111"/>
      <c r="E507" s="113"/>
      <c r="F507" s="111"/>
      <c r="G507" s="113"/>
      <c r="H507" s="111"/>
      <c r="I507" s="113"/>
      <c r="J507" s="113"/>
      <c r="K507" s="113"/>
      <c r="L507" s="113"/>
      <c r="M507" s="113"/>
      <c r="N507" s="113"/>
      <c r="O507" s="113"/>
      <c r="P507" s="113"/>
      <c r="Q507" s="113"/>
      <c r="R507" s="113"/>
      <c r="S507" s="113"/>
      <c r="T507" s="113"/>
      <c r="U507" s="113"/>
      <c r="V507" s="113"/>
      <c r="W507" s="113"/>
      <c r="X507" s="113"/>
      <c r="Y507" s="113"/>
      <c r="Z507" s="113"/>
      <c r="AA507" s="113"/>
      <c r="AB507" s="113"/>
      <c r="AC507" s="113"/>
      <c r="AD507" s="113"/>
      <c r="AE507" s="113"/>
      <c r="AF507" s="113"/>
      <c r="AG507" s="113"/>
    </row>
    <row r="508" spans="1:33" ht="13.8">
      <c r="A508" s="113"/>
      <c r="B508" s="113"/>
      <c r="C508" s="113"/>
      <c r="D508" s="111"/>
      <c r="E508" s="113"/>
      <c r="F508" s="111"/>
      <c r="G508" s="113"/>
      <c r="H508" s="111"/>
      <c r="I508" s="113"/>
      <c r="J508" s="113"/>
      <c r="K508" s="113"/>
      <c r="L508" s="113"/>
      <c r="M508" s="113"/>
      <c r="N508" s="113"/>
      <c r="O508" s="113"/>
      <c r="P508" s="113"/>
      <c r="Q508" s="113"/>
      <c r="R508" s="113"/>
      <c r="S508" s="113"/>
      <c r="T508" s="113"/>
      <c r="U508" s="113"/>
      <c r="V508" s="113"/>
      <c r="W508" s="113"/>
      <c r="X508" s="113"/>
      <c r="Y508" s="113"/>
      <c r="Z508" s="113"/>
      <c r="AA508" s="113"/>
      <c r="AB508" s="113"/>
      <c r="AC508" s="113"/>
      <c r="AD508" s="113"/>
      <c r="AE508" s="113"/>
      <c r="AF508" s="113"/>
      <c r="AG508" s="113"/>
    </row>
    <row r="509" spans="1:33" ht="13.8">
      <c r="A509" s="113"/>
      <c r="B509" s="113"/>
      <c r="C509" s="113"/>
      <c r="D509" s="111"/>
      <c r="E509" s="113"/>
      <c r="F509" s="111"/>
      <c r="G509" s="113"/>
      <c r="H509" s="111"/>
      <c r="I509" s="113"/>
      <c r="J509" s="113"/>
      <c r="K509" s="113"/>
      <c r="L509" s="113"/>
      <c r="M509" s="113"/>
      <c r="N509" s="113"/>
      <c r="O509" s="113"/>
      <c r="P509" s="113"/>
      <c r="Q509" s="113"/>
      <c r="R509" s="113"/>
      <c r="S509" s="113"/>
      <c r="T509" s="113"/>
      <c r="U509" s="113"/>
      <c r="V509" s="113"/>
      <c r="W509" s="113"/>
      <c r="X509" s="113"/>
      <c r="Y509" s="113"/>
      <c r="Z509" s="113"/>
      <c r="AA509" s="113"/>
      <c r="AB509" s="113"/>
      <c r="AC509" s="113"/>
      <c r="AD509" s="113"/>
      <c r="AE509" s="113"/>
      <c r="AF509" s="113"/>
      <c r="AG509" s="113"/>
    </row>
    <row r="510" spans="1:33" ht="13.8">
      <c r="A510" s="113"/>
      <c r="B510" s="113"/>
      <c r="C510" s="113"/>
      <c r="D510" s="111"/>
      <c r="E510" s="113"/>
      <c r="F510" s="111"/>
      <c r="G510" s="113"/>
      <c r="H510" s="111"/>
      <c r="I510" s="113"/>
      <c r="J510" s="113"/>
      <c r="K510" s="113"/>
      <c r="L510" s="113"/>
      <c r="M510" s="113"/>
      <c r="N510" s="113"/>
      <c r="O510" s="113"/>
      <c r="P510" s="113"/>
      <c r="Q510" s="113"/>
      <c r="R510" s="113"/>
      <c r="S510" s="113"/>
      <c r="T510" s="113"/>
      <c r="U510" s="113"/>
      <c r="V510" s="113"/>
      <c r="W510" s="113"/>
      <c r="X510" s="113"/>
      <c r="Y510" s="113"/>
      <c r="Z510" s="113"/>
      <c r="AA510" s="113"/>
      <c r="AB510" s="113"/>
      <c r="AC510" s="113"/>
      <c r="AD510" s="113"/>
      <c r="AE510" s="113"/>
      <c r="AF510" s="113"/>
      <c r="AG510" s="113"/>
    </row>
    <row r="511" spans="1:33" ht="13.8">
      <c r="A511" s="113"/>
      <c r="B511" s="113"/>
      <c r="C511" s="113"/>
      <c r="D511" s="111"/>
      <c r="E511" s="113"/>
      <c r="F511" s="111"/>
      <c r="G511" s="113"/>
      <c r="H511" s="111"/>
      <c r="I511" s="113"/>
      <c r="J511" s="113"/>
      <c r="K511" s="113"/>
      <c r="L511" s="113"/>
      <c r="M511" s="113"/>
      <c r="N511" s="113"/>
      <c r="O511" s="113"/>
      <c r="P511" s="113"/>
      <c r="Q511" s="113"/>
      <c r="R511" s="113"/>
      <c r="S511" s="113"/>
      <c r="T511" s="113"/>
      <c r="U511" s="113"/>
      <c r="V511" s="113"/>
      <c r="W511" s="113"/>
      <c r="X511" s="113"/>
      <c r="Y511" s="113"/>
      <c r="Z511" s="113"/>
      <c r="AA511" s="113"/>
      <c r="AB511" s="113"/>
      <c r="AC511" s="113"/>
      <c r="AD511" s="113"/>
      <c r="AE511" s="113"/>
      <c r="AF511" s="113"/>
      <c r="AG511" s="113"/>
    </row>
    <row r="512" spans="1:33" ht="13.8">
      <c r="A512" s="113"/>
      <c r="B512" s="113"/>
      <c r="C512" s="113"/>
      <c r="D512" s="111"/>
      <c r="E512" s="113"/>
      <c r="F512" s="111"/>
      <c r="G512" s="113"/>
      <c r="H512" s="111"/>
      <c r="I512" s="113"/>
      <c r="J512" s="113"/>
      <c r="K512" s="113"/>
      <c r="L512" s="113"/>
      <c r="M512" s="113"/>
      <c r="N512" s="113"/>
      <c r="O512" s="113"/>
      <c r="P512" s="113"/>
      <c r="Q512" s="113"/>
      <c r="R512" s="113"/>
      <c r="S512" s="113"/>
      <c r="T512" s="113"/>
      <c r="U512" s="113"/>
      <c r="V512" s="113"/>
      <c r="W512" s="113"/>
      <c r="X512" s="113"/>
      <c r="Y512" s="113"/>
      <c r="Z512" s="113"/>
      <c r="AA512" s="113"/>
      <c r="AB512" s="113"/>
      <c r="AC512" s="113"/>
      <c r="AD512" s="113"/>
      <c r="AE512" s="113"/>
      <c r="AF512" s="113"/>
      <c r="AG512" s="113"/>
    </row>
    <row r="513" spans="1:33" ht="13.8">
      <c r="A513" s="113"/>
      <c r="B513" s="113"/>
      <c r="C513" s="113"/>
      <c r="D513" s="111"/>
      <c r="E513" s="113"/>
      <c r="F513" s="111"/>
      <c r="G513" s="113"/>
      <c r="H513" s="111"/>
      <c r="I513" s="113"/>
      <c r="J513" s="113"/>
      <c r="K513" s="113"/>
      <c r="L513" s="113"/>
      <c r="M513" s="113"/>
      <c r="N513" s="113"/>
      <c r="O513" s="113"/>
      <c r="P513" s="113"/>
      <c r="Q513" s="113"/>
      <c r="R513" s="113"/>
      <c r="S513" s="113"/>
      <c r="T513" s="113"/>
      <c r="U513" s="113"/>
      <c r="V513" s="113"/>
      <c r="W513" s="113"/>
      <c r="X513" s="113"/>
      <c r="Y513" s="113"/>
      <c r="Z513" s="113"/>
      <c r="AA513" s="113"/>
      <c r="AB513" s="113"/>
      <c r="AC513" s="113"/>
      <c r="AD513" s="113"/>
      <c r="AE513" s="113"/>
      <c r="AF513" s="113"/>
      <c r="AG513" s="113"/>
    </row>
    <row r="514" spans="1:33" ht="13.8">
      <c r="A514" s="113"/>
      <c r="B514" s="113"/>
      <c r="C514" s="113"/>
      <c r="D514" s="111"/>
      <c r="E514" s="113"/>
      <c r="F514" s="111"/>
      <c r="G514" s="113"/>
      <c r="H514" s="111"/>
      <c r="I514" s="113"/>
      <c r="J514" s="113"/>
      <c r="K514" s="113"/>
      <c r="L514" s="113"/>
      <c r="M514" s="113"/>
      <c r="N514" s="113"/>
      <c r="O514" s="113"/>
      <c r="P514" s="113"/>
      <c r="Q514" s="113"/>
      <c r="R514" s="113"/>
      <c r="S514" s="113"/>
      <c r="T514" s="113"/>
      <c r="U514" s="113"/>
      <c r="V514" s="113"/>
      <c r="W514" s="113"/>
      <c r="X514" s="113"/>
      <c r="Y514" s="113"/>
      <c r="Z514" s="113"/>
      <c r="AA514" s="113"/>
      <c r="AB514" s="113"/>
      <c r="AC514" s="113"/>
      <c r="AD514" s="113"/>
      <c r="AE514" s="113"/>
      <c r="AF514" s="113"/>
      <c r="AG514" s="113"/>
    </row>
    <row r="515" spans="1:33" ht="13.8">
      <c r="A515" s="113"/>
      <c r="B515" s="113"/>
      <c r="C515" s="113"/>
      <c r="D515" s="111"/>
      <c r="E515" s="113"/>
      <c r="F515" s="111"/>
      <c r="G515" s="113"/>
      <c r="H515" s="111"/>
      <c r="I515" s="113"/>
      <c r="J515" s="113"/>
      <c r="K515" s="113"/>
      <c r="L515" s="113"/>
      <c r="M515" s="113"/>
      <c r="N515" s="113"/>
      <c r="O515" s="113"/>
      <c r="P515" s="113"/>
      <c r="Q515" s="113"/>
      <c r="R515" s="113"/>
      <c r="S515" s="113"/>
      <c r="T515" s="113"/>
      <c r="U515" s="113"/>
      <c r="V515" s="113"/>
      <c r="W515" s="113"/>
      <c r="X515" s="113"/>
      <c r="Y515" s="113"/>
      <c r="Z515" s="113"/>
      <c r="AA515" s="113"/>
      <c r="AB515" s="113"/>
      <c r="AC515" s="113"/>
      <c r="AD515" s="113"/>
      <c r="AE515" s="113"/>
      <c r="AF515" s="113"/>
      <c r="AG515" s="113"/>
    </row>
    <row r="516" spans="1:33" ht="13.8">
      <c r="A516" s="113"/>
      <c r="B516" s="113"/>
      <c r="C516" s="113"/>
      <c r="D516" s="111"/>
      <c r="E516" s="113"/>
      <c r="F516" s="111"/>
      <c r="G516" s="113"/>
      <c r="H516" s="111"/>
      <c r="I516" s="113"/>
      <c r="J516" s="113"/>
      <c r="K516" s="113"/>
      <c r="L516" s="113"/>
      <c r="M516" s="113"/>
      <c r="N516" s="113"/>
      <c r="O516" s="113"/>
      <c r="P516" s="113"/>
      <c r="Q516" s="113"/>
      <c r="R516" s="113"/>
      <c r="S516" s="113"/>
      <c r="T516" s="113"/>
      <c r="U516" s="113"/>
      <c r="V516" s="113"/>
      <c r="W516" s="113"/>
      <c r="X516" s="113"/>
      <c r="Y516" s="113"/>
      <c r="Z516" s="113"/>
      <c r="AA516" s="113"/>
      <c r="AB516" s="113"/>
      <c r="AC516" s="113"/>
      <c r="AD516" s="113"/>
      <c r="AE516" s="113"/>
      <c r="AF516" s="113"/>
      <c r="AG516" s="113"/>
    </row>
    <row r="517" spans="1:33" ht="13.8">
      <c r="A517" s="113"/>
      <c r="B517" s="113"/>
      <c r="C517" s="113"/>
      <c r="D517" s="111"/>
      <c r="E517" s="113"/>
      <c r="F517" s="111"/>
      <c r="G517" s="113"/>
      <c r="H517" s="111"/>
      <c r="I517" s="113"/>
      <c r="J517" s="113"/>
      <c r="K517" s="113"/>
      <c r="L517" s="113"/>
      <c r="M517" s="113"/>
      <c r="N517" s="113"/>
      <c r="O517" s="113"/>
      <c r="P517" s="113"/>
      <c r="Q517" s="113"/>
      <c r="R517" s="113"/>
      <c r="S517" s="113"/>
      <c r="T517" s="113"/>
      <c r="U517" s="113"/>
      <c r="V517" s="113"/>
      <c r="W517" s="113"/>
      <c r="X517" s="113"/>
      <c r="Y517" s="113"/>
      <c r="Z517" s="113"/>
      <c r="AA517" s="113"/>
      <c r="AB517" s="113"/>
      <c r="AC517" s="113"/>
      <c r="AD517" s="113"/>
      <c r="AE517" s="113"/>
      <c r="AF517" s="113"/>
      <c r="AG517" s="113"/>
    </row>
    <row r="518" spans="1:33" ht="13.8">
      <c r="A518" s="113"/>
      <c r="B518" s="113"/>
      <c r="C518" s="113"/>
      <c r="D518" s="111"/>
      <c r="E518" s="113"/>
      <c r="F518" s="111"/>
      <c r="G518" s="113"/>
      <c r="H518" s="111"/>
      <c r="I518" s="113"/>
      <c r="J518" s="113"/>
      <c r="K518" s="113"/>
      <c r="L518" s="113"/>
      <c r="M518" s="113"/>
      <c r="N518" s="113"/>
      <c r="O518" s="113"/>
      <c r="P518" s="113"/>
      <c r="Q518" s="113"/>
      <c r="R518" s="113"/>
      <c r="S518" s="113"/>
      <c r="T518" s="113"/>
      <c r="U518" s="113"/>
      <c r="V518" s="113"/>
      <c r="W518" s="113"/>
      <c r="X518" s="113"/>
      <c r="Y518" s="113"/>
      <c r="Z518" s="113"/>
      <c r="AA518" s="113"/>
      <c r="AB518" s="113"/>
      <c r="AC518" s="113"/>
      <c r="AD518" s="113"/>
      <c r="AE518" s="113"/>
      <c r="AF518" s="113"/>
      <c r="AG518" s="113"/>
    </row>
    <row r="519" spans="1:33" ht="13.8">
      <c r="A519" s="113"/>
      <c r="B519" s="113"/>
      <c r="C519" s="113"/>
      <c r="D519" s="111"/>
      <c r="E519" s="113"/>
      <c r="F519" s="111"/>
      <c r="G519" s="113"/>
      <c r="H519" s="111"/>
      <c r="I519" s="113"/>
      <c r="J519" s="113"/>
      <c r="K519" s="113"/>
      <c r="L519" s="113"/>
      <c r="M519" s="113"/>
      <c r="N519" s="113"/>
      <c r="O519" s="113"/>
      <c r="P519" s="113"/>
      <c r="Q519" s="113"/>
      <c r="R519" s="113"/>
      <c r="S519" s="113"/>
      <c r="T519" s="113"/>
      <c r="U519" s="113"/>
      <c r="V519" s="113"/>
      <c r="W519" s="113"/>
      <c r="X519" s="113"/>
      <c r="Y519" s="113"/>
      <c r="Z519" s="113"/>
      <c r="AA519" s="113"/>
      <c r="AB519" s="113"/>
      <c r="AC519" s="113"/>
      <c r="AD519" s="113"/>
      <c r="AE519" s="113"/>
      <c r="AF519" s="113"/>
      <c r="AG519" s="113"/>
    </row>
    <row r="520" spans="1:33" ht="13.8">
      <c r="A520" s="113"/>
      <c r="B520" s="113"/>
      <c r="C520" s="113"/>
      <c r="D520" s="111"/>
      <c r="E520" s="113"/>
      <c r="F520" s="111"/>
      <c r="G520" s="113"/>
      <c r="H520" s="111"/>
      <c r="I520" s="113"/>
      <c r="J520" s="113"/>
      <c r="K520" s="113"/>
      <c r="L520" s="113"/>
      <c r="M520" s="113"/>
      <c r="N520" s="113"/>
      <c r="O520" s="113"/>
      <c r="P520" s="113"/>
      <c r="Q520" s="113"/>
      <c r="R520" s="113"/>
      <c r="S520" s="113"/>
      <c r="T520" s="113"/>
      <c r="U520" s="113"/>
      <c r="V520" s="113"/>
      <c r="W520" s="113"/>
      <c r="X520" s="113"/>
      <c r="Y520" s="113"/>
      <c r="Z520" s="113"/>
      <c r="AA520" s="113"/>
      <c r="AB520" s="113"/>
      <c r="AC520" s="113"/>
      <c r="AD520" s="113"/>
      <c r="AE520" s="113"/>
      <c r="AF520" s="113"/>
      <c r="AG520" s="113"/>
    </row>
    <row r="521" spans="1:33" ht="13.8">
      <c r="A521" s="113"/>
      <c r="B521" s="113"/>
      <c r="C521" s="113"/>
      <c r="D521" s="111"/>
      <c r="E521" s="113"/>
      <c r="F521" s="111"/>
      <c r="G521" s="113"/>
      <c r="H521" s="111"/>
      <c r="I521" s="113"/>
      <c r="J521" s="113"/>
      <c r="K521" s="113"/>
      <c r="L521" s="113"/>
      <c r="M521" s="113"/>
      <c r="N521" s="113"/>
      <c r="O521" s="113"/>
      <c r="P521" s="113"/>
      <c r="Q521" s="113"/>
      <c r="R521" s="113"/>
      <c r="S521" s="113"/>
      <c r="T521" s="113"/>
      <c r="U521" s="113"/>
      <c r="V521" s="113"/>
      <c r="W521" s="113"/>
      <c r="X521" s="113"/>
      <c r="Y521" s="113"/>
      <c r="Z521" s="113"/>
      <c r="AA521" s="113"/>
      <c r="AB521" s="113"/>
      <c r="AC521" s="113"/>
      <c r="AD521" s="113"/>
      <c r="AE521" s="113"/>
      <c r="AF521" s="113"/>
      <c r="AG521" s="113"/>
    </row>
    <row r="522" spans="1:33" ht="13.8">
      <c r="A522" s="113"/>
      <c r="B522" s="113"/>
      <c r="C522" s="113"/>
      <c r="D522" s="111"/>
      <c r="E522" s="113"/>
      <c r="F522" s="111"/>
      <c r="G522" s="113"/>
      <c r="H522" s="111"/>
      <c r="I522" s="113"/>
      <c r="J522" s="113"/>
      <c r="K522" s="113"/>
      <c r="L522" s="113"/>
      <c r="M522" s="113"/>
      <c r="N522" s="113"/>
      <c r="O522" s="113"/>
      <c r="P522" s="113"/>
      <c r="Q522" s="113"/>
      <c r="R522" s="113"/>
      <c r="S522" s="113"/>
      <c r="T522" s="113"/>
      <c r="U522" s="113"/>
      <c r="V522" s="113"/>
      <c r="W522" s="113"/>
      <c r="X522" s="113"/>
      <c r="Y522" s="113"/>
      <c r="Z522" s="113"/>
      <c r="AA522" s="113"/>
      <c r="AB522" s="113"/>
      <c r="AC522" s="113"/>
      <c r="AD522" s="113"/>
      <c r="AE522" s="113"/>
      <c r="AF522" s="113"/>
      <c r="AG522" s="113"/>
    </row>
    <row r="523" spans="1:33" ht="13.8">
      <c r="A523" s="113"/>
      <c r="B523" s="113"/>
      <c r="C523" s="113"/>
      <c r="D523" s="111"/>
      <c r="E523" s="113"/>
      <c r="F523" s="111"/>
      <c r="G523" s="113"/>
      <c r="H523" s="111"/>
      <c r="I523" s="113"/>
      <c r="J523" s="113"/>
      <c r="K523" s="113"/>
      <c r="L523" s="113"/>
      <c r="M523" s="113"/>
      <c r="N523" s="113"/>
      <c r="O523" s="113"/>
      <c r="P523" s="113"/>
      <c r="Q523" s="113"/>
      <c r="R523" s="113"/>
      <c r="S523" s="113"/>
      <c r="T523" s="113"/>
      <c r="U523" s="113"/>
      <c r="V523" s="113"/>
      <c r="W523" s="113"/>
      <c r="X523" s="113"/>
      <c r="Y523" s="113"/>
      <c r="Z523" s="113"/>
      <c r="AA523" s="113"/>
      <c r="AB523" s="113"/>
      <c r="AC523" s="113"/>
      <c r="AD523" s="113"/>
      <c r="AE523" s="113"/>
      <c r="AF523" s="113"/>
      <c r="AG523" s="113"/>
    </row>
    <row r="524" spans="1:33" ht="13.8">
      <c r="A524" s="113"/>
      <c r="B524" s="113"/>
      <c r="C524" s="113"/>
      <c r="D524" s="111"/>
      <c r="E524" s="113"/>
      <c r="F524" s="111"/>
      <c r="G524" s="113"/>
      <c r="H524" s="111"/>
      <c r="I524" s="113"/>
      <c r="J524" s="113"/>
      <c r="K524" s="113"/>
      <c r="L524" s="113"/>
      <c r="M524" s="113"/>
      <c r="N524" s="113"/>
      <c r="O524" s="113"/>
      <c r="P524" s="113"/>
      <c r="Q524" s="113"/>
      <c r="R524" s="113"/>
      <c r="S524" s="113"/>
      <c r="T524" s="113"/>
      <c r="U524" s="113"/>
      <c r="V524" s="113"/>
      <c r="W524" s="113"/>
      <c r="X524" s="113"/>
      <c r="Y524" s="113"/>
      <c r="Z524" s="113"/>
      <c r="AA524" s="113"/>
      <c r="AB524" s="113"/>
      <c r="AC524" s="113"/>
      <c r="AD524" s="113"/>
      <c r="AE524" s="113"/>
      <c r="AF524" s="113"/>
      <c r="AG524" s="113"/>
    </row>
    <row r="525" spans="1:33" ht="13.8">
      <c r="A525" s="113"/>
      <c r="B525" s="113"/>
      <c r="C525" s="113"/>
      <c r="D525" s="111"/>
      <c r="E525" s="113"/>
      <c r="F525" s="111"/>
      <c r="G525" s="113"/>
      <c r="H525" s="111"/>
      <c r="I525" s="113"/>
      <c r="J525" s="113"/>
      <c r="K525" s="113"/>
      <c r="L525" s="113"/>
      <c r="M525" s="113"/>
      <c r="N525" s="113"/>
      <c r="O525" s="113"/>
      <c r="P525" s="113"/>
      <c r="Q525" s="113"/>
      <c r="R525" s="113"/>
      <c r="S525" s="113"/>
      <c r="T525" s="113"/>
      <c r="U525" s="113"/>
      <c r="V525" s="113"/>
      <c r="W525" s="113"/>
      <c r="X525" s="113"/>
      <c r="Y525" s="113"/>
      <c r="Z525" s="113"/>
      <c r="AA525" s="113"/>
      <c r="AB525" s="113"/>
      <c r="AC525" s="113"/>
      <c r="AD525" s="113"/>
      <c r="AE525" s="113"/>
      <c r="AF525" s="113"/>
      <c r="AG525" s="113"/>
    </row>
    <row r="526" spans="1:33" ht="13.8">
      <c r="A526" s="113"/>
      <c r="B526" s="113"/>
      <c r="C526" s="113"/>
      <c r="D526" s="111"/>
      <c r="E526" s="113"/>
      <c r="F526" s="111"/>
      <c r="G526" s="113"/>
      <c r="H526" s="111"/>
      <c r="I526" s="113"/>
      <c r="J526" s="113"/>
      <c r="K526" s="113"/>
      <c r="L526" s="113"/>
      <c r="M526" s="113"/>
      <c r="N526" s="113"/>
      <c r="O526" s="113"/>
      <c r="P526" s="113"/>
      <c r="Q526" s="113"/>
      <c r="R526" s="113"/>
      <c r="S526" s="113"/>
      <c r="T526" s="113"/>
      <c r="U526" s="113"/>
      <c r="V526" s="113"/>
      <c r="W526" s="113"/>
      <c r="X526" s="113"/>
      <c r="Y526" s="113"/>
      <c r="Z526" s="113"/>
      <c r="AA526" s="113"/>
      <c r="AB526" s="113"/>
      <c r="AC526" s="113"/>
      <c r="AD526" s="113"/>
      <c r="AE526" s="113"/>
      <c r="AF526" s="113"/>
      <c r="AG526" s="113"/>
    </row>
    <row r="527" spans="1:33" ht="13.8">
      <c r="A527" s="113"/>
      <c r="B527" s="113"/>
      <c r="C527" s="113"/>
      <c r="D527" s="111"/>
      <c r="E527" s="113"/>
      <c r="F527" s="111"/>
      <c r="G527" s="113"/>
      <c r="H527" s="111"/>
      <c r="I527" s="113"/>
      <c r="J527" s="113"/>
      <c r="K527" s="113"/>
      <c r="L527" s="113"/>
      <c r="M527" s="113"/>
      <c r="N527" s="113"/>
      <c r="O527" s="113"/>
      <c r="P527" s="113"/>
      <c r="Q527" s="113"/>
      <c r="R527" s="113"/>
      <c r="S527" s="113"/>
      <c r="T527" s="113"/>
      <c r="U527" s="113"/>
      <c r="V527" s="113"/>
      <c r="W527" s="113"/>
      <c r="X527" s="113"/>
      <c r="Y527" s="113"/>
      <c r="Z527" s="113"/>
      <c r="AA527" s="113"/>
      <c r="AB527" s="113"/>
      <c r="AC527" s="113"/>
      <c r="AD527" s="113"/>
      <c r="AE527" s="113"/>
      <c r="AF527" s="113"/>
      <c r="AG527" s="113"/>
    </row>
    <row r="528" spans="1:33" ht="13.8">
      <c r="A528" s="113"/>
      <c r="B528" s="113"/>
      <c r="C528" s="113"/>
      <c r="D528" s="111"/>
      <c r="E528" s="113"/>
      <c r="F528" s="111"/>
      <c r="G528" s="113"/>
      <c r="H528" s="111"/>
      <c r="I528" s="113"/>
      <c r="J528" s="113"/>
      <c r="K528" s="113"/>
      <c r="L528" s="113"/>
      <c r="M528" s="113"/>
      <c r="N528" s="113"/>
      <c r="O528" s="113"/>
      <c r="P528" s="113"/>
      <c r="Q528" s="113"/>
      <c r="R528" s="113"/>
      <c r="S528" s="113"/>
      <c r="T528" s="113"/>
      <c r="U528" s="113"/>
      <c r="V528" s="113"/>
      <c r="W528" s="113"/>
      <c r="X528" s="113"/>
      <c r="Y528" s="113"/>
      <c r="Z528" s="113"/>
      <c r="AA528" s="113"/>
      <c r="AB528" s="113"/>
      <c r="AC528" s="113"/>
      <c r="AD528" s="113"/>
      <c r="AE528" s="113"/>
      <c r="AF528" s="113"/>
      <c r="AG528" s="113"/>
    </row>
    <row r="529" spans="1:33" ht="13.8">
      <c r="A529" s="113"/>
      <c r="B529" s="113"/>
      <c r="C529" s="113"/>
      <c r="D529" s="111"/>
      <c r="E529" s="113"/>
      <c r="F529" s="111"/>
      <c r="G529" s="113"/>
      <c r="H529" s="111"/>
      <c r="I529" s="113"/>
      <c r="J529" s="113"/>
      <c r="K529" s="113"/>
      <c r="L529" s="113"/>
      <c r="M529" s="113"/>
      <c r="N529" s="113"/>
      <c r="O529" s="113"/>
      <c r="P529" s="113"/>
      <c r="Q529" s="113"/>
      <c r="R529" s="113"/>
      <c r="S529" s="113"/>
      <c r="T529" s="113"/>
      <c r="U529" s="113"/>
      <c r="V529" s="113"/>
      <c r="W529" s="113"/>
      <c r="X529" s="113"/>
      <c r="Y529" s="113"/>
      <c r="Z529" s="113"/>
      <c r="AA529" s="113"/>
      <c r="AB529" s="113"/>
      <c r="AC529" s="113"/>
      <c r="AD529" s="113"/>
      <c r="AE529" s="113"/>
      <c r="AF529" s="113"/>
      <c r="AG529" s="113"/>
    </row>
    <row r="530" spans="1:33" ht="13.8">
      <c r="A530" s="113"/>
      <c r="B530" s="113"/>
      <c r="C530" s="113"/>
      <c r="D530" s="111"/>
      <c r="E530" s="113"/>
      <c r="F530" s="111"/>
      <c r="G530" s="113"/>
      <c r="H530" s="111"/>
      <c r="I530" s="113"/>
      <c r="J530" s="113"/>
      <c r="K530" s="113"/>
      <c r="L530" s="113"/>
      <c r="M530" s="113"/>
      <c r="N530" s="113"/>
      <c r="O530" s="113"/>
      <c r="P530" s="113"/>
      <c r="Q530" s="113"/>
      <c r="R530" s="113"/>
      <c r="S530" s="113"/>
      <c r="T530" s="113"/>
      <c r="U530" s="113"/>
      <c r="V530" s="113"/>
      <c r="W530" s="113"/>
      <c r="X530" s="113"/>
      <c r="Y530" s="113"/>
      <c r="Z530" s="113"/>
      <c r="AA530" s="113"/>
      <c r="AB530" s="113"/>
      <c r="AC530" s="113"/>
      <c r="AD530" s="113"/>
      <c r="AE530" s="113"/>
      <c r="AF530" s="113"/>
      <c r="AG530" s="113"/>
    </row>
    <row r="531" spans="1:33" ht="13.8">
      <c r="A531" s="113"/>
      <c r="B531" s="113"/>
      <c r="C531" s="113"/>
      <c r="D531" s="111"/>
      <c r="E531" s="113"/>
      <c r="F531" s="111"/>
      <c r="G531" s="113"/>
      <c r="H531" s="111"/>
      <c r="I531" s="113"/>
      <c r="J531" s="113"/>
      <c r="K531" s="113"/>
      <c r="L531" s="113"/>
      <c r="M531" s="113"/>
      <c r="N531" s="113"/>
      <c r="O531" s="113"/>
      <c r="P531" s="113"/>
      <c r="Q531" s="113"/>
      <c r="R531" s="113"/>
      <c r="S531" s="113"/>
      <c r="T531" s="113"/>
      <c r="U531" s="113"/>
      <c r="V531" s="113"/>
      <c r="W531" s="113"/>
      <c r="X531" s="113"/>
      <c r="Y531" s="113"/>
      <c r="Z531" s="113"/>
      <c r="AA531" s="113"/>
      <c r="AB531" s="113"/>
      <c r="AC531" s="113"/>
      <c r="AD531" s="113"/>
      <c r="AE531" s="113"/>
      <c r="AF531" s="113"/>
      <c r="AG531" s="113"/>
    </row>
    <row r="532" spans="1:33" ht="13.8">
      <c r="A532" s="113"/>
      <c r="B532" s="113"/>
      <c r="C532" s="113"/>
      <c r="D532" s="111"/>
      <c r="E532" s="113"/>
      <c r="F532" s="111"/>
      <c r="G532" s="113"/>
      <c r="H532" s="111"/>
      <c r="I532" s="113"/>
      <c r="J532" s="113"/>
      <c r="K532" s="113"/>
      <c r="L532" s="113"/>
      <c r="M532" s="113"/>
      <c r="N532" s="113"/>
      <c r="O532" s="113"/>
      <c r="P532" s="113"/>
      <c r="Q532" s="113"/>
      <c r="R532" s="113"/>
      <c r="S532" s="113"/>
      <c r="T532" s="113"/>
      <c r="U532" s="113"/>
      <c r="V532" s="113"/>
      <c r="W532" s="113"/>
      <c r="X532" s="113"/>
      <c r="Y532" s="113"/>
      <c r="Z532" s="113"/>
      <c r="AA532" s="113"/>
      <c r="AB532" s="113"/>
      <c r="AC532" s="113"/>
      <c r="AD532" s="113"/>
      <c r="AE532" s="113"/>
      <c r="AF532" s="113"/>
      <c r="AG532" s="113"/>
    </row>
    <row r="533" spans="1:33" ht="13.8">
      <c r="A533" s="113"/>
      <c r="B533" s="113"/>
      <c r="C533" s="113"/>
      <c r="D533" s="111"/>
      <c r="E533" s="113"/>
      <c r="F533" s="111"/>
      <c r="G533" s="113"/>
      <c r="H533" s="111"/>
      <c r="I533" s="113"/>
      <c r="J533" s="113"/>
      <c r="K533" s="113"/>
      <c r="L533" s="113"/>
      <c r="M533" s="113"/>
      <c r="N533" s="113"/>
      <c r="O533" s="113"/>
      <c r="P533" s="113"/>
      <c r="Q533" s="113"/>
      <c r="R533" s="113"/>
      <c r="S533" s="113"/>
      <c r="T533" s="113"/>
      <c r="U533" s="113"/>
      <c r="V533" s="113"/>
      <c r="W533" s="113"/>
      <c r="X533" s="113"/>
      <c r="Y533" s="113"/>
      <c r="Z533" s="113"/>
      <c r="AA533" s="113"/>
      <c r="AB533" s="113"/>
      <c r="AC533" s="113"/>
      <c r="AD533" s="113"/>
      <c r="AE533" s="113"/>
      <c r="AF533" s="113"/>
      <c r="AG533" s="113"/>
    </row>
    <row r="534" spans="1:33" ht="13.8">
      <c r="A534" s="113"/>
      <c r="B534" s="113"/>
      <c r="C534" s="113"/>
      <c r="D534" s="111"/>
      <c r="E534" s="113"/>
      <c r="F534" s="111"/>
      <c r="G534" s="113"/>
      <c r="H534" s="111"/>
      <c r="I534" s="113"/>
      <c r="J534" s="113"/>
      <c r="K534" s="113"/>
      <c r="L534" s="113"/>
      <c r="M534" s="113"/>
      <c r="N534" s="113"/>
      <c r="O534" s="113"/>
      <c r="P534" s="113"/>
      <c r="Q534" s="113"/>
      <c r="R534" s="113"/>
      <c r="S534" s="113"/>
      <c r="T534" s="113"/>
      <c r="U534" s="113"/>
      <c r="V534" s="113"/>
      <c r="W534" s="113"/>
      <c r="X534" s="113"/>
      <c r="Y534" s="113"/>
      <c r="Z534" s="113"/>
      <c r="AA534" s="113"/>
      <c r="AB534" s="113"/>
      <c r="AC534" s="113"/>
      <c r="AD534" s="113"/>
      <c r="AE534" s="113"/>
      <c r="AF534" s="113"/>
      <c r="AG534" s="113"/>
    </row>
    <row r="535" spans="1:33" ht="13.8">
      <c r="A535" s="113"/>
      <c r="B535" s="113"/>
      <c r="C535" s="113"/>
      <c r="D535" s="111"/>
      <c r="E535" s="113"/>
      <c r="F535" s="111"/>
      <c r="G535" s="113"/>
      <c r="H535" s="111"/>
      <c r="I535" s="113"/>
      <c r="J535" s="113"/>
      <c r="K535" s="113"/>
      <c r="L535" s="113"/>
      <c r="M535" s="113"/>
      <c r="N535" s="113"/>
      <c r="O535" s="113"/>
      <c r="P535" s="113"/>
      <c r="Q535" s="113"/>
      <c r="R535" s="113"/>
      <c r="S535" s="113"/>
      <c r="T535" s="113"/>
      <c r="U535" s="113"/>
      <c r="V535" s="113"/>
      <c r="W535" s="113"/>
      <c r="X535" s="113"/>
      <c r="Y535" s="113"/>
      <c r="Z535" s="113"/>
      <c r="AA535" s="113"/>
      <c r="AB535" s="113"/>
      <c r="AC535" s="113"/>
      <c r="AD535" s="113"/>
      <c r="AE535" s="113"/>
      <c r="AF535" s="113"/>
      <c r="AG535" s="113"/>
    </row>
    <row r="536" spans="1:33" ht="13.8">
      <c r="A536" s="113"/>
      <c r="B536" s="113"/>
      <c r="C536" s="113"/>
      <c r="D536" s="111"/>
      <c r="E536" s="113"/>
      <c r="F536" s="111"/>
      <c r="G536" s="113"/>
      <c r="H536" s="111"/>
      <c r="I536" s="113"/>
      <c r="J536" s="113"/>
      <c r="K536" s="113"/>
      <c r="L536" s="113"/>
      <c r="M536" s="113"/>
      <c r="N536" s="113"/>
      <c r="O536" s="113"/>
      <c r="P536" s="113"/>
      <c r="Q536" s="113"/>
      <c r="R536" s="113"/>
      <c r="S536" s="113"/>
      <c r="T536" s="113"/>
      <c r="U536" s="113"/>
      <c r="V536" s="113"/>
      <c r="W536" s="113"/>
      <c r="X536" s="113"/>
      <c r="Y536" s="113"/>
      <c r="Z536" s="113"/>
      <c r="AA536" s="113"/>
      <c r="AB536" s="113"/>
      <c r="AC536" s="113"/>
      <c r="AD536" s="113"/>
      <c r="AE536" s="113"/>
      <c r="AF536" s="113"/>
      <c r="AG536" s="113"/>
    </row>
    <row r="537" spans="1:33" ht="13.8">
      <c r="A537" s="113"/>
      <c r="B537" s="113"/>
      <c r="C537" s="113"/>
      <c r="D537" s="111"/>
      <c r="E537" s="113"/>
      <c r="F537" s="111"/>
      <c r="G537" s="113"/>
      <c r="H537" s="111"/>
      <c r="I537" s="113"/>
      <c r="J537" s="113"/>
      <c r="K537" s="113"/>
      <c r="L537" s="113"/>
      <c r="M537" s="113"/>
      <c r="N537" s="113"/>
      <c r="O537" s="113"/>
      <c r="P537" s="113"/>
      <c r="Q537" s="113"/>
      <c r="R537" s="113"/>
      <c r="S537" s="113"/>
      <c r="T537" s="113"/>
      <c r="U537" s="113"/>
      <c r="V537" s="113"/>
      <c r="W537" s="113"/>
      <c r="X537" s="113"/>
      <c r="Y537" s="113"/>
      <c r="Z537" s="113"/>
      <c r="AA537" s="113"/>
      <c r="AB537" s="113"/>
      <c r="AC537" s="113"/>
      <c r="AD537" s="113"/>
      <c r="AE537" s="113"/>
      <c r="AF537" s="113"/>
      <c r="AG537" s="113"/>
    </row>
    <row r="538" spans="1:33" ht="13.8">
      <c r="A538" s="113"/>
      <c r="B538" s="113"/>
      <c r="C538" s="113"/>
      <c r="D538" s="111"/>
      <c r="E538" s="113"/>
      <c r="F538" s="111"/>
      <c r="G538" s="113"/>
      <c r="H538" s="111"/>
      <c r="I538" s="113"/>
      <c r="J538" s="113"/>
      <c r="K538" s="113"/>
      <c r="L538" s="113"/>
      <c r="M538" s="113"/>
      <c r="N538" s="113"/>
      <c r="O538" s="113"/>
      <c r="P538" s="113"/>
      <c r="Q538" s="113"/>
      <c r="R538" s="113"/>
      <c r="S538" s="113"/>
      <c r="T538" s="113"/>
      <c r="U538" s="113"/>
      <c r="V538" s="113"/>
      <c r="W538" s="113"/>
      <c r="X538" s="113"/>
      <c r="Y538" s="113"/>
      <c r="Z538" s="113"/>
      <c r="AA538" s="113"/>
      <c r="AB538" s="113"/>
      <c r="AC538" s="113"/>
      <c r="AD538" s="113"/>
      <c r="AE538" s="113"/>
      <c r="AF538" s="113"/>
      <c r="AG538" s="113"/>
    </row>
    <row r="539" spans="1:33" ht="13.8">
      <c r="A539" s="113"/>
      <c r="B539" s="113"/>
      <c r="C539" s="113"/>
      <c r="D539" s="111"/>
      <c r="E539" s="113"/>
      <c r="F539" s="111"/>
      <c r="G539" s="113"/>
      <c r="H539" s="111"/>
      <c r="I539" s="113"/>
      <c r="J539" s="113"/>
      <c r="K539" s="113"/>
      <c r="L539" s="113"/>
      <c r="M539" s="113"/>
      <c r="N539" s="113"/>
      <c r="O539" s="113"/>
      <c r="P539" s="113"/>
      <c r="Q539" s="113"/>
      <c r="R539" s="113"/>
      <c r="S539" s="113"/>
      <c r="T539" s="113"/>
      <c r="U539" s="113"/>
      <c r="V539" s="113"/>
      <c r="W539" s="113"/>
      <c r="X539" s="113"/>
      <c r="Y539" s="113"/>
      <c r="Z539" s="113"/>
      <c r="AA539" s="113"/>
      <c r="AB539" s="113"/>
      <c r="AC539" s="113"/>
      <c r="AD539" s="113"/>
      <c r="AE539" s="113"/>
      <c r="AF539" s="113"/>
      <c r="AG539" s="113"/>
    </row>
    <row r="540" spans="1:33" ht="13.8">
      <c r="A540" s="113"/>
      <c r="B540" s="113"/>
      <c r="C540" s="113"/>
      <c r="D540" s="111"/>
      <c r="E540" s="113"/>
      <c r="F540" s="111"/>
      <c r="G540" s="113"/>
      <c r="H540" s="111"/>
      <c r="I540" s="113"/>
      <c r="J540" s="113"/>
      <c r="K540" s="113"/>
      <c r="L540" s="113"/>
      <c r="M540" s="113"/>
      <c r="N540" s="113"/>
      <c r="O540" s="113"/>
      <c r="P540" s="113"/>
      <c r="Q540" s="113"/>
      <c r="R540" s="113"/>
      <c r="S540" s="113"/>
      <c r="T540" s="113"/>
      <c r="U540" s="113"/>
      <c r="V540" s="113"/>
      <c r="W540" s="113"/>
      <c r="X540" s="113"/>
      <c r="Y540" s="113"/>
      <c r="Z540" s="113"/>
      <c r="AA540" s="113"/>
      <c r="AB540" s="113"/>
      <c r="AC540" s="113"/>
      <c r="AD540" s="113"/>
      <c r="AE540" s="113"/>
      <c r="AF540" s="113"/>
      <c r="AG540" s="113"/>
    </row>
    <row r="541" spans="1:33" ht="13.8">
      <c r="A541" s="113"/>
      <c r="B541" s="113"/>
      <c r="C541" s="113"/>
      <c r="D541" s="111"/>
      <c r="E541" s="113"/>
      <c r="F541" s="111"/>
      <c r="G541" s="113"/>
      <c r="H541" s="111"/>
      <c r="I541" s="113"/>
      <c r="J541" s="113"/>
      <c r="K541" s="113"/>
      <c r="L541" s="113"/>
      <c r="M541" s="113"/>
      <c r="N541" s="113"/>
      <c r="O541" s="113"/>
      <c r="P541" s="113"/>
      <c r="Q541" s="113"/>
      <c r="R541" s="113"/>
      <c r="S541" s="113"/>
      <c r="T541" s="113"/>
      <c r="U541" s="113"/>
      <c r="V541" s="113"/>
      <c r="W541" s="113"/>
      <c r="X541" s="113"/>
      <c r="Y541" s="113"/>
      <c r="Z541" s="113"/>
      <c r="AA541" s="113"/>
      <c r="AB541" s="113"/>
      <c r="AC541" s="113"/>
      <c r="AD541" s="113"/>
      <c r="AE541" s="113"/>
      <c r="AF541" s="113"/>
      <c r="AG541" s="113"/>
    </row>
    <row r="542" spans="1:33" ht="13.8">
      <c r="A542" s="113"/>
      <c r="B542" s="113"/>
      <c r="C542" s="113"/>
      <c r="D542" s="111"/>
      <c r="E542" s="113"/>
      <c r="F542" s="111"/>
      <c r="G542" s="113"/>
      <c r="H542" s="111"/>
      <c r="I542" s="113"/>
      <c r="J542" s="113"/>
      <c r="K542" s="113"/>
      <c r="L542" s="113"/>
      <c r="M542" s="113"/>
      <c r="N542" s="113"/>
      <c r="O542" s="113"/>
      <c r="P542" s="113"/>
      <c r="Q542" s="113"/>
      <c r="R542" s="113"/>
      <c r="S542" s="113"/>
      <c r="T542" s="113"/>
      <c r="U542" s="113"/>
      <c r="V542" s="113"/>
      <c r="W542" s="113"/>
      <c r="X542" s="113"/>
      <c r="Y542" s="113"/>
      <c r="Z542" s="113"/>
      <c r="AA542" s="113"/>
      <c r="AB542" s="113"/>
      <c r="AC542" s="113"/>
      <c r="AD542" s="113"/>
      <c r="AE542" s="113"/>
      <c r="AF542" s="113"/>
      <c r="AG542" s="113"/>
    </row>
    <row r="543" spans="1:33" ht="13.8">
      <c r="A543" s="113"/>
      <c r="B543" s="113"/>
      <c r="C543" s="113"/>
      <c r="D543" s="111"/>
      <c r="E543" s="113"/>
      <c r="F543" s="111"/>
      <c r="G543" s="113"/>
      <c r="H543" s="111"/>
      <c r="I543" s="113"/>
      <c r="J543" s="113"/>
      <c r="K543" s="113"/>
      <c r="L543" s="113"/>
      <c r="M543" s="113"/>
      <c r="N543" s="113"/>
      <c r="O543" s="113"/>
      <c r="P543" s="113"/>
      <c r="Q543" s="113"/>
      <c r="R543" s="113"/>
      <c r="S543" s="113"/>
      <c r="T543" s="113"/>
      <c r="U543" s="113"/>
      <c r="V543" s="113"/>
      <c r="W543" s="113"/>
      <c r="X543" s="113"/>
      <c r="Y543" s="113"/>
      <c r="Z543" s="113"/>
      <c r="AA543" s="113"/>
      <c r="AB543" s="113"/>
      <c r="AC543" s="113"/>
      <c r="AD543" s="113"/>
      <c r="AE543" s="113"/>
      <c r="AF543" s="113"/>
      <c r="AG543" s="113"/>
    </row>
    <row r="544" spans="1:33" ht="13.8">
      <c r="A544" s="113"/>
      <c r="B544" s="113"/>
      <c r="C544" s="113"/>
      <c r="D544" s="111"/>
      <c r="E544" s="113"/>
      <c r="F544" s="111"/>
      <c r="G544" s="113"/>
      <c r="H544" s="111"/>
      <c r="I544" s="113"/>
      <c r="J544" s="113"/>
      <c r="K544" s="113"/>
      <c r="L544" s="113"/>
      <c r="M544" s="113"/>
      <c r="N544" s="113"/>
      <c r="O544" s="113"/>
      <c r="P544" s="113"/>
      <c r="Q544" s="113"/>
      <c r="R544" s="113"/>
      <c r="S544" s="113"/>
      <c r="T544" s="113"/>
      <c r="U544" s="113"/>
      <c r="V544" s="113"/>
      <c r="W544" s="113"/>
      <c r="X544" s="113"/>
      <c r="Y544" s="113"/>
      <c r="Z544" s="113"/>
      <c r="AA544" s="113"/>
      <c r="AB544" s="113"/>
      <c r="AC544" s="113"/>
      <c r="AD544" s="113"/>
      <c r="AE544" s="113"/>
      <c r="AF544" s="113"/>
      <c r="AG544" s="113"/>
    </row>
    <row r="545" spans="1:33" ht="13.8">
      <c r="A545" s="113"/>
      <c r="B545" s="113"/>
      <c r="C545" s="113"/>
      <c r="D545" s="111"/>
      <c r="E545" s="113"/>
      <c r="F545" s="111"/>
      <c r="G545" s="113"/>
      <c r="H545" s="111"/>
      <c r="I545" s="113"/>
      <c r="J545" s="113"/>
      <c r="K545" s="113"/>
      <c r="L545" s="113"/>
      <c r="M545" s="113"/>
      <c r="N545" s="113"/>
      <c r="O545" s="113"/>
      <c r="P545" s="113"/>
      <c r="Q545" s="113"/>
      <c r="R545" s="113"/>
      <c r="S545" s="113"/>
      <c r="T545" s="113"/>
      <c r="U545" s="113"/>
      <c r="V545" s="113"/>
      <c r="W545" s="113"/>
      <c r="X545" s="113"/>
      <c r="Y545" s="113"/>
      <c r="Z545" s="113"/>
      <c r="AA545" s="113"/>
      <c r="AB545" s="113"/>
      <c r="AC545" s="113"/>
      <c r="AD545" s="113"/>
      <c r="AE545" s="113"/>
      <c r="AF545" s="113"/>
      <c r="AG545" s="113"/>
    </row>
    <row r="546" spans="1:33" ht="13.8">
      <c r="A546" s="113"/>
      <c r="B546" s="113"/>
      <c r="C546" s="113"/>
      <c r="D546" s="111"/>
      <c r="E546" s="113"/>
      <c r="F546" s="111"/>
      <c r="G546" s="113"/>
      <c r="H546" s="111"/>
      <c r="I546" s="113"/>
      <c r="J546" s="113"/>
      <c r="K546" s="113"/>
      <c r="L546" s="113"/>
      <c r="M546" s="113"/>
      <c r="N546" s="113"/>
      <c r="O546" s="113"/>
      <c r="P546" s="113"/>
      <c r="Q546" s="113"/>
      <c r="R546" s="113"/>
      <c r="S546" s="113"/>
      <c r="T546" s="113"/>
      <c r="U546" s="113"/>
      <c r="V546" s="113"/>
      <c r="W546" s="113"/>
      <c r="X546" s="113"/>
      <c r="Y546" s="113"/>
      <c r="Z546" s="113"/>
      <c r="AA546" s="113"/>
      <c r="AB546" s="113"/>
      <c r="AC546" s="113"/>
      <c r="AD546" s="113"/>
      <c r="AE546" s="113"/>
      <c r="AF546" s="113"/>
      <c r="AG546" s="113"/>
    </row>
    <row r="547" spans="1:33" ht="13.8">
      <c r="A547" s="113"/>
      <c r="B547" s="113"/>
      <c r="C547" s="113"/>
      <c r="D547" s="111"/>
      <c r="E547" s="113"/>
      <c r="F547" s="111"/>
      <c r="G547" s="113"/>
      <c r="H547" s="111"/>
      <c r="I547" s="113"/>
      <c r="J547" s="113"/>
      <c r="K547" s="113"/>
      <c r="L547" s="113"/>
      <c r="M547" s="113"/>
      <c r="N547" s="113"/>
      <c r="O547" s="113"/>
      <c r="P547" s="113"/>
      <c r="Q547" s="113"/>
      <c r="R547" s="113"/>
      <c r="S547" s="113"/>
      <c r="T547" s="113"/>
      <c r="U547" s="113"/>
      <c r="V547" s="113"/>
      <c r="W547" s="113"/>
      <c r="X547" s="113"/>
      <c r="Y547" s="113"/>
      <c r="Z547" s="113"/>
      <c r="AA547" s="113"/>
      <c r="AB547" s="113"/>
      <c r="AC547" s="113"/>
      <c r="AD547" s="113"/>
      <c r="AE547" s="113"/>
      <c r="AF547" s="113"/>
      <c r="AG547" s="113"/>
    </row>
    <row r="548" spans="1:33" ht="13.8">
      <c r="A548" s="113"/>
      <c r="B548" s="113"/>
      <c r="C548" s="113"/>
      <c r="D548" s="111"/>
      <c r="E548" s="113"/>
      <c r="F548" s="111"/>
      <c r="G548" s="113"/>
      <c r="H548" s="111"/>
      <c r="I548" s="113"/>
      <c r="J548" s="113"/>
      <c r="K548" s="113"/>
      <c r="L548" s="113"/>
      <c r="M548" s="113"/>
      <c r="N548" s="113"/>
      <c r="O548" s="113"/>
      <c r="P548" s="113"/>
      <c r="Q548" s="113"/>
      <c r="R548" s="113"/>
      <c r="S548" s="113"/>
      <c r="T548" s="113"/>
      <c r="U548" s="113"/>
      <c r="V548" s="113"/>
      <c r="W548" s="113"/>
      <c r="X548" s="113"/>
      <c r="Y548" s="113"/>
      <c r="Z548" s="113"/>
      <c r="AA548" s="113"/>
      <c r="AB548" s="113"/>
      <c r="AC548" s="113"/>
      <c r="AD548" s="113"/>
      <c r="AE548" s="113"/>
      <c r="AF548" s="113"/>
      <c r="AG548" s="113"/>
    </row>
    <row r="549" spans="1:33" ht="13.8">
      <c r="A549" s="113"/>
      <c r="B549" s="113"/>
      <c r="C549" s="113"/>
      <c r="D549" s="111"/>
      <c r="E549" s="113"/>
      <c r="F549" s="111"/>
      <c r="G549" s="113"/>
      <c r="H549" s="111"/>
      <c r="I549" s="113"/>
      <c r="J549" s="113"/>
      <c r="K549" s="113"/>
      <c r="L549" s="113"/>
      <c r="M549" s="113"/>
      <c r="N549" s="113"/>
      <c r="O549" s="113"/>
      <c r="P549" s="113"/>
      <c r="Q549" s="113"/>
      <c r="R549" s="113"/>
      <c r="S549" s="113"/>
      <c r="T549" s="113"/>
      <c r="U549" s="113"/>
      <c r="V549" s="113"/>
      <c r="W549" s="113"/>
      <c r="X549" s="113"/>
      <c r="Y549" s="113"/>
      <c r="Z549" s="113"/>
      <c r="AA549" s="113"/>
      <c r="AB549" s="113"/>
      <c r="AC549" s="113"/>
      <c r="AD549" s="113"/>
      <c r="AE549" s="113"/>
      <c r="AF549" s="113"/>
      <c r="AG549" s="113"/>
    </row>
    <row r="550" spans="1:33" ht="13.8">
      <c r="A550" s="113"/>
      <c r="B550" s="113"/>
      <c r="C550" s="113"/>
      <c r="D550" s="111"/>
      <c r="E550" s="113"/>
      <c r="F550" s="111"/>
      <c r="G550" s="113"/>
      <c r="H550" s="111"/>
      <c r="I550" s="113"/>
      <c r="J550" s="113"/>
      <c r="K550" s="113"/>
      <c r="L550" s="113"/>
      <c r="M550" s="113"/>
      <c r="N550" s="113"/>
      <c r="O550" s="113"/>
      <c r="P550" s="113"/>
      <c r="Q550" s="113"/>
      <c r="R550" s="113"/>
      <c r="S550" s="113"/>
      <c r="T550" s="113"/>
      <c r="U550" s="113"/>
      <c r="V550" s="113"/>
      <c r="W550" s="113"/>
      <c r="X550" s="113"/>
      <c r="Y550" s="113"/>
      <c r="Z550" s="113"/>
      <c r="AA550" s="113"/>
      <c r="AB550" s="113"/>
      <c r="AC550" s="113"/>
      <c r="AD550" s="113"/>
      <c r="AE550" s="113"/>
      <c r="AF550" s="113"/>
      <c r="AG550" s="113"/>
    </row>
    <row r="551" spans="1:33" ht="13.8">
      <c r="A551" s="113"/>
      <c r="B551" s="113"/>
      <c r="C551" s="113"/>
      <c r="D551" s="111"/>
      <c r="E551" s="113"/>
      <c r="F551" s="111"/>
      <c r="G551" s="113"/>
      <c r="H551" s="111"/>
      <c r="I551" s="113"/>
      <c r="J551" s="113"/>
      <c r="K551" s="113"/>
      <c r="L551" s="113"/>
      <c r="M551" s="113"/>
      <c r="N551" s="113"/>
      <c r="O551" s="113"/>
      <c r="P551" s="113"/>
      <c r="Q551" s="113"/>
      <c r="R551" s="113"/>
      <c r="S551" s="113"/>
      <c r="T551" s="113"/>
      <c r="U551" s="113"/>
      <c r="V551" s="113"/>
      <c r="W551" s="113"/>
      <c r="X551" s="113"/>
      <c r="Y551" s="113"/>
      <c r="Z551" s="113"/>
      <c r="AA551" s="113"/>
      <c r="AB551" s="113"/>
      <c r="AC551" s="113"/>
      <c r="AD551" s="113"/>
      <c r="AE551" s="113"/>
      <c r="AF551" s="113"/>
      <c r="AG551" s="113"/>
    </row>
    <row r="552" spans="1:33" ht="13.8">
      <c r="A552" s="113"/>
      <c r="B552" s="113"/>
      <c r="C552" s="113"/>
      <c r="D552" s="111"/>
      <c r="E552" s="113"/>
      <c r="F552" s="111"/>
      <c r="G552" s="113"/>
      <c r="H552" s="111"/>
      <c r="I552" s="113"/>
      <c r="J552" s="113"/>
      <c r="K552" s="113"/>
      <c r="L552" s="113"/>
      <c r="M552" s="113"/>
      <c r="N552" s="113"/>
      <c r="O552" s="113"/>
      <c r="P552" s="113"/>
      <c r="Q552" s="113"/>
      <c r="R552" s="113"/>
      <c r="S552" s="113"/>
      <c r="T552" s="113"/>
      <c r="U552" s="113"/>
      <c r="V552" s="113"/>
      <c r="W552" s="113"/>
      <c r="X552" s="113"/>
      <c r="Y552" s="113"/>
      <c r="Z552" s="113"/>
      <c r="AA552" s="113"/>
      <c r="AB552" s="113"/>
      <c r="AC552" s="113"/>
      <c r="AD552" s="113"/>
      <c r="AE552" s="113"/>
      <c r="AF552" s="113"/>
      <c r="AG552" s="113"/>
    </row>
    <row r="553" spans="1:33" ht="13.8">
      <c r="A553" s="113"/>
      <c r="B553" s="113"/>
      <c r="C553" s="113"/>
      <c r="D553" s="111"/>
      <c r="E553" s="113"/>
      <c r="F553" s="111"/>
      <c r="G553" s="113"/>
      <c r="H553" s="111"/>
      <c r="I553" s="113"/>
      <c r="J553" s="113"/>
      <c r="K553" s="113"/>
      <c r="L553" s="113"/>
      <c r="M553" s="113"/>
      <c r="N553" s="113"/>
      <c r="O553" s="113"/>
      <c r="P553" s="113"/>
      <c r="Q553" s="113"/>
      <c r="R553" s="113"/>
      <c r="S553" s="113"/>
      <c r="T553" s="113"/>
      <c r="U553" s="113"/>
      <c r="V553" s="113"/>
      <c r="W553" s="113"/>
      <c r="X553" s="113"/>
      <c r="Y553" s="113"/>
      <c r="Z553" s="113"/>
      <c r="AA553" s="113"/>
      <c r="AB553" s="113"/>
      <c r="AC553" s="113"/>
      <c r="AD553" s="113"/>
      <c r="AE553" s="113"/>
      <c r="AF553" s="113"/>
      <c r="AG553" s="113"/>
    </row>
    <row r="554" spans="1:33" ht="13.8">
      <c r="A554" s="113"/>
      <c r="B554" s="113"/>
      <c r="C554" s="113"/>
      <c r="D554" s="111"/>
      <c r="E554" s="113"/>
      <c r="F554" s="111"/>
      <c r="G554" s="113"/>
      <c r="H554" s="111"/>
      <c r="I554" s="113"/>
      <c r="J554" s="113"/>
      <c r="K554" s="113"/>
      <c r="L554" s="113"/>
      <c r="M554" s="113"/>
      <c r="N554" s="113"/>
      <c r="O554" s="113"/>
      <c r="P554" s="113"/>
      <c r="Q554" s="113"/>
      <c r="R554" s="113"/>
      <c r="S554" s="113"/>
      <c r="T554" s="113"/>
      <c r="U554" s="113"/>
      <c r="V554" s="113"/>
      <c r="W554" s="113"/>
      <c r="X554" s="113"/>
      <c r="Y554" s="113"/>
      <c r="Z554" s="113"/>
      <c r="AA554" s="113"/>
      <c r="AB554" s="113"/>
      <c r="AC554" s="113"/>
      <c r="AD554" s="113"/>
      <c r="AE554" s="113"/>
      <c r="AF554" s="113"/>
      <c r="AG554" s="113"/>
    </row>
    <row r="555" spans="1:33" ht="13.8">
      <c r="A555" s="113"/>
      <c r="B555" s="113"/>
      <c r="C555" s="113"/>
      <c r="D555" s="111"/>
      <c r="E555" s="113"/>
      <c r="F555" s="111"/>
      <c r="G555" s="113"/>
      <c r="H555" s="111"/>
      <c r="I555" s="113"/>
      <c r="J555" s="113"/>
      <c r="K555" s="113"/>
      <c r="L555" s="113"/>
      <c r="M555" s="113"/>
      <c r="N555" s="113"/>
      <c r="O555" s="113"/>
      <c r="P555" s="113"/>
      <c r="Q555" s="113"/>
      <c r="R555" s="113"/>
      <c r="S555" s="113"/>
      <c r="T555" s="113"/>
      <c r="U555" s="113"/>
      <c r="V555" s="113"/>
      <c r="W555" s="113"/>
      <c r="X555" s="113"/>
      <c r="Y555" s="113"/>
      <c r="Z555" s="113"/>
      <c r="AA555" s="113"/>
      <c r="AB555" s="113"/>
      <c r="AC555" s="113"/>
      <c r="AD555" s="113"/>
      <c r="AE555" s="113"/>
      <c r="AF555" s="113"/>
      <c r="AG555" s="113"/>
    </row>
    <row r="556" spans="1:33" ht="13.8">
      <c r="A556" s="113"/>
      <c r="B556" s="113"/>
      <c r="C556" s="113"/>
      <c r="D556" s="111"/>
      <c r="E556" s="113"/>
      <c r="F556" s="111"/>
      <c r="G556" s="113"/>
      <c r="H556" s="111"/>
      <c r="I556" s="113"/>
      <c r="J556" s="113"/>
      <c r="K556" s="113"/>
      <c r="L556" s="113"/>
      <c r="M556" s="113"/>
      <c r="N556" s="113"/>
      <c r="O556" s="113"/>
      <c r="P556" s="113"/>
      <c r="Q556" s="113"/>
      <c r="R556" s="113"/>
      <c r="S556" s="113"/>
      <c r="T556" s="113"/>
      <c r="U556" s="113"/>
      <c r="V556" s="113"/>
      <c r="W556" s="113"/>
      <c r="X556" s="113"/>
      <c r="Y556" s="113"/>
      <c r="Z556" s="113"/>
      <c r="AA556" s="113"/>
      <c r="AB556" s="113"/>
      <c r="AC556" s="113"/>
      <c r="AD556" s="113"/>
      <c r="AE556" s="113"/>
      <c r="AF556" s="113"/>
      <c r="AG556" s="113"/>
    </row>
    <row r="557" spans="1:33" ht="13.8">
      <c r="A557" s="113"/>
      <c r="B557" s="113"/>
      <c r="C557" s="113"/>
      <c r="D557" s="111"/>
      <c r="E557" s="113"/>
      <c r="F557" s="111"/>
      <c r="G557" s="113"/>
      <c r="H557" s="111"/>
      <c r="I557" s="113"/>
      <c r="J557" s="113"/>
      <c r="K557" s="113"/>
      <c r="L557" s="113"/>
      <c r="M557" s="113"/>
      <c r="N557" s="113"/>
      <c r="O557" s="113"/>
      <c r="P557" s="113"/>
      <c r="Q557" s="113"/>
      <c r="R557" s="113"/>
      <c r="S557" s="113"/>
      <c r="T557" s="113"/>
      <c r="U557" s="113"/>
      <c r="V557" s="113"/>
      <c r="W557" s="113"/>
      <c r="X557" s="113"/>
      <c r="Y557" s="113"/>
      <c r="Z557" s="113"/>
      <c r="AA557" s="113"/>
      <c r="AB557" s="113"/>
      <c r="AC557" s="113"/>
      <c r="AD557" s="113"/>
      <c r="AE557" s="113"/>
      <c r="AF557" s="113"/>
      <c r="AG557" s="113"/>
    </row>
    <row r="558" spans="1:33" ht="13.8">
      <c r="A558" s="113"/>
      <c r="B558" s="113"/>
      <c r="C558" s="113"/>
      <c r="D558" s="111"/>
      <c r="E558" s="113"/>
      <c r="F558" s="111"/>
      <c r="G558" s="113"/>
      <c r="H558" s="111"/>
      <c r="I558" s="113"/>
      <c r="J558" s="113"/>
      <c r="K558" s="113"/>
      <c r="L558" s="113"/>
      <c r="M558" s="113"/>
      <c r="N558" s="113"/>
      <c r="O558" s="113"/>
      <c r="P558" s="113"/>
      <c r="Q558" s="113"/>
      <c r="R558" s="113"/>
      <c r="S558" s="113"/>
      <c r="T558" s="113"/>
      <c r="U558" s="113"/>
      <c r="V558" s="113"/>
      <c r="W558" s="113"/>
      <c r="X558" s="113"/>
      <c r="Y558" s="113"/>
      <c r="Z558" s="113"/>
      <c r="AA558" s="113"/>
      <c r="AB558" s="113"/>
      <c r="AC558" s="113"/>
      <c r="AD558" s="113"/>
      <c r="AE558" s="113"/>
      <c r="AF558" s="113"/>
      <c r="AG558" s="113"/>
    </row>
    <row r="559" spans="1:33" ht="13.8">
      <c r="A559" s="113"/>
      <c r="B559" s="113"/>
      <c r="C559" s="113"/>
      <c r="D559" s="111"/>
      <c r="E559" s="113"/>
      <c r="F559" s="111"/>
      <c r="G559" s="113"/>
      <c r="H559" s="111"/>
      <c r="I559" s="113"/>
      <c r="J559" s="113"/>
      <c r="K559" s="113"/>
      <c r="L559" s="113"/>
      <c r="M559" s="113"/>
      <c r="N559" s="113"/>
      <c r="O559" s="113"/>
      <c r="P559" s="113"/>
      <c r="Q559" s="113"/>
      <c r="R559" s="113"/>
      <c r="S559" s="113"/>
      <c r="T559" s="113"/>
      <c r="U559" s="113"/>
      <c r="V559" s="113"/>
      <c r="W559" s="113"/>
      <c r="X559" s="113"/>
      <c r="Y559" s="113"/>
      <c r="Z559" s="113"/>
      <c r="AA559" s="113"/>
      <c r="AB559" s="113"/>
      <c r="AC559" s="113"/>
      <c r="AD559" s="113"/>
      <c r="AE559" s="113"/>
      <c r="AF559" s="113"/>
      <c r="AG559" s="113"/>
    </row>
    <row r="560" spans="1:33" ht="13.8">
      <c r="A560" s="113"/>
      <c r="B560" s="113"/>
      <c r="C560" s="113"/>
      <c r="D560" s="111"/>
      <c r="E560" s="113"/>
      <c r="F560" s="111"/>
      <c r="G560" s="113"/>
      <c r="H560" s="111"/>
      <c r="I560" s="113"/>
      <c r="J560" s="113"/>
      <c r="K560" s="113"/>
      <c r="L560" s="113"/>
      <c r="M560" s="113"/>
      <c r="N560" s="113"/>
      <c r="O560" s="113"/>
      <c r="P560" s="113"/>
      <c r="Q560" s="113"/>
      <c r="R560" s="113"/>
      <c r="S560" s="113"/>
      <c r="T560" s="113"/>
      <c r="U560" s="113"/>
      <c r="V560" s="113"/>
      <c r="W560" s="113"/>
      <c r="X560" s="113"/>
      <c r="Y560" s="113"/>
      <c r="Z560" s="113"/>
      <c r="AA560" s="113"/>
      <c r="AB560" s="113"/>
      <c r="AC560" s="113"/>
      <c r="AD560" s="113"/>
      <c r="AE560" s="113"/>
      <c r="AF560" s="113"/>
      <c r="AG560" s="113"/>
    </row>
    <row r="561" spans="1:33" ht="13.8">
      <c r="A561" s="113"/>
      <c r="B561" s="113"/>
      <c r="C561" s="113"/>
      <c r="D561" s="111"/>
      <c r="E561" s="113"/>
      <c r="F561" s="111"/>
      <c r="G561" s="113"/>
      <c r="H561" s="111"/>
      <c r="I561" s="113"/>
      <c r="J561" s="113"/>
      <c r="K561" s="113"/>
      <c r="L561" s="113"/>
      <c r="M561" s="113"/>
      <c r="N561" s="113"/>
      <c r="O561" s="113"/>
      <c r="P561" s="113"/>
      <c r="Q561" s="113"/>
      <c r="R561" s="113"/>
      <c r="S561" s="113"/>
      <c r="T561" s="113"/>
      <c r="U561" s="113"/>
      <c r="V561" s="113"/>
      <c r="W561" s="113"/>
      <c r="X561" s="113"/>
      <c r="Y561" s="113"/>
      <c r="Z561" s="113"/>
      <c r="AA561" s="113"/>
      <c r="AB561" s="113"/>
      <c r="AC561" s="113"/>
      <c r="AD561" s="113"/>
      <c r="AE561" s="113"/>
      <c r="AF561" s="113"/>
      <c r="AG561" s="113"/>
    </row>
    <row r="562" spans="1:33" ht="13.8">
      <c r="A562" s="113"/>
      <c r="B562" s="113"/>
      <c r="C562" s="113"/>
      <c r="D562" s="111"/>
      <c r="E562" s="113"/>
      <c r="F562" s="111"/>
      <c r="G562" s="113"/>
      <c r="H562" s="111"/>
      <c r="I562" s="113"/>
      <c r="J562" s="113"/>
      <c r="K562" s="113"/>
      <c r="L562" s="113"/>
      <c r="M562" s="113"/>
      <c r="N562" s="113"/>
      <c r="O562" s="113"/>
      <c r="P562" s="113"/>
      <c r="Q562" s="113"/>
      <c r="R562" s="113"/>
      <c r="S562" s="113"/>
      <c r="T562" s="113"/>
      <c r="U562" s="113"/>
      <c r="V562" s="113"/>
      <c r="W562" s="113"/>
      <c r="X562" s="113"/>
      <c r="Y562" s="113"/>
      <c r="Z562" s="113"/>
      <c r="AA562" s="113"/>
      <c r="AB562" s="113"/>
      <c r="AC562" s="113"/>
      <c r="AD562" s="113"/>
      <c r="AE562" s="113"/>
      <c r="AF562" s="113"/>
      <c r="AG562" s="113"/>
    </row>
    <row r="563" spans="1:33" ht="13.8">
      <c r="A563" s="113"/>
      <c r="B563" s="113"/>
      <c r="C563" s="113"/>
      <c r="D563" s="111"/>
      <c r="E563" s="113"/>
      <c r="F563" s="111"/>
      <c r="G563" s="113"/>
      <c r="H563" s="111"/>
      <c r="I563" s="113"/>
      <c r="J563" s="113"/>
      <c r="K563" s="113"/>
      <c r="L563" s="113"/>
      <c r="M563" s="113"/>
      <c r="N563" s="113"/>
      <c r="O563" s="113"/>
      <c r="P563" s="113"/>
      <c r="Q563" s="113"/>
      <c r="R563" s="113"/>
      <c r="S563" s="113"/>
      <c r="T563" s="113"/>
      <c r="U563" s="113"/>
      <c r="V563" s="113"/>
      <c r="W563" s="113"/>
      <c r="X563" s="113"/>
      <c r="Y563" s="113"/>
      <c r="Z563" s="113"/>
      <c r="AA563" s="113"/>
      <c r="AB563" s="113"/>
      <c r="AC563" s="113"/>
      <c r="AD563" s="113"/>
      <c r="AE563" s="113"/>
      <c r="AF563" s="113"/>
      <c r="AG563" s="113"/>
    </row>
    <row r="564" spans="1:33" ht="13.8">
      <c r="A564" s="113"/>
      <c r="B564" s="113"/>
      <c r="C564" s="113"/>
      <c r="D564" s="111"/>
      <c r="E564" s="113"/>
      <c r="F564" s="111"/>
      <c r="G564" s="113"/>
      <c r="H564" s="111"/>
      <c r="I564" s="113"/>
      <c r="J564" s="113"/>
      <c r="K564" s="113"/>
      <c r="L564" s="113"/>
      <c r="M564" s="113"/>
      <c r="N564" s="113"/>
      <c r="O564" s="113"/>
      <c r="P564" s="113"/>
      <c r="Q564" s="113"/>
      <c r="R564" s="113"/>
      <c r="S564" s="113"/>
      <c r="T564" s="113"/>
      <c r="U564" s="113"/>
      <c r="V564" s="113"/>
      <c r="W564" s="113"/>
      <c r="X564" s="113"/>
      <c r="Y564" s="113"/>
      <c r="Z564" s="113"/>
      <c r="AA564" s="113"/>
      <c r="AB564" s="113"/>
      <c r="AC564" s="113"/>
      <c r="AD564" s="113"/>
      <c r="AE564" s="113"/>
      <c r="AF564" s="113"/>
      <c r="AG564" s="113"/>
    </row>
    <row r="565" spans="1:33" ht="13.8">
      <c r="A565" s="113"/>
      <c r="B565" s="113"/>
      <c r="C565" s="113"/>
      <c r="D565" s="111"/>
      <c r="E565" s="113"/>
      <c r="F565" s="111"/>
      <c r="G565" s="113"/>
      <c r="H565" s="111"/>
      <c r="I565" s="113"/>
      <c r="J565" s="113"/>
      <c r="K565" s="113"/>
      <c r="L565" s="113"/>
      <c r="M565" s="113"/>
      <c r="N565" s="113"/>
      <c r="O565" s="113"/>
      <c r="P565" s="113"/>
      <c r="Q565" s="113"/>
      <c r="R565" s="113"/>
      <c r="S565" s="113"/>
      <c r="T565" s="113"/>
      <c r="U565" s="113"/>
      <c r="V565" s="113"/>
      <c r="W565" s="113"/>
      <c r="X565" s="113"/>
      <c r="Y565" s="113"/>
      <c r="Z565" s="113"/>
      <c r="AA565" s="113"/>
      <c r="AB565" s="113"/>
      <c r="AC565" s="113"/>
      <c r="AD565" s="113"/>
      <c r="AE565" s="113"/>
      <c r="AF565" s="113"/>
      <c r="AG565" s="113"/>
    </row>
    <row r="566" spans="1:33" ht="13.8">
      <c r="A566" s="113"/>
      <c r="B566" s="113"/>
      <c r="C566" s="113"/>
      <c r="D566" s="111"/>
      <c r="E566" s="113"/>
      <c r="F566" s="111"/>
      <c r="G566" s="113"/>
      <c r="H566" s="111"/>
      <c r="I566" s="113"/>
      <c r="J566" s="113"/>
      <c r="K566" s="113"/>
      <c r="L566" s="113"/>
      <c r="M566" s="113"/>
      <c r="N566" s="113"/>
      <c r="O566" s="113"/>
      <c r="P566" s="113"/>
      <c r="Q566" s="113"/>
      <c r="R566" s="113"/>
      <c r="S566" s="113"/>
      <c r="T566" s="113"/>
      <c r="U566" s="113"/>
      <c r="V566" s="113"/>
      <c r="W566" s="113"/>
      <c r="X566" s="113"/>
      <c r="Y566" s="113"/>
      <c r="Z566" s="113"/>
      <c r="AA566" s="113"/>
      <c r="AB566" s="113"/>
      <c r="AC566" s="113"/>
      <c r="AD566" s="113"/>
      <c r="AE566" s="113"/>
      <c r="AF566" s="113"/>
      <c r="AG566" s="113"/>
    </row>
    <row r="567" spans="1:33" ht="13.8">
      <c r="A567" s="113"/>
      <c r="B567" s="113"/>
      <c r="C567" s="113"/>
      <c r="D567" s="111"/>
      <c r="E567" s="113"/>
      <c r="F567" s="111"/>
      <c r="G567" s="113"/>
      <c r="H567" s="111"/>
      <c r="I567" s="113"/>
      <c r="J567" s="113"/>
      <c r="K567" s="113"/>
      <c r="L567" s="113"/>
      <c r="M567" s="113"/>
      <c r="N567" s="113"/>
      <c r="O567" s="113"/>
      <c r="P567" s="113"/>
      <c r="Q567" s="113"/>
      <c r="R567" s="113"/>
      <c r="S567" s="113"/>
      <c r="T567" s="113"/>
      <c r="U567" s="113"/>
      <c r="V567" s="113"/>
      <c r="W567" s="113"/>
      <c r="X567" s="113"/>
      <c r="Y567" s="113"/>
      <c r="Z567" s="113"/>
      <c r="AA567" s="113"/>
      <c r="AB567" s="113"/>
      <c r="AC567" s="113"/>
      <c r="AD567" s="113"/>
      <c r="AE567" s="113"/>
      <c r="AF567" s="113"/>
      <c r="AG567" s="113"/>
    </row>
    <row r="568" spans="1:33" ht="13.8">
      <c r="A568" s="113"/>
      <c r="B568" s="113"/>
      <c r="C568" s="113"/>
      <c r="D568" s="111"/>
      <c r="E568" s="113"/>
      <c r="F568" s="111"/>
      <c r="G568" s="113"/>
      <c r="H568" s="111"/>
      <c r="I568" s="113"/>
      <c r="J568" s="113"/>
      <c r="K568" s="113"/>
      <c r="L568" s="113"/>
      <c r="M568" s="113"/>
      <c r="N568" s="113"/>
      <c r="O568" s="113"/>
      <c r="P568" s="113"/>
      <c r="Q568" s="113"/>
      <c r="R568" s="113"/>
      <c r="S568" s="113"/>
      <c r="T568" s="113"/>
      <c r="U568" s="113"/>
      <c r="V568" s="113"/>
      <c r="W568" s="113"/>
      <c r="X568" s="113"/>
      <c r="Y568" s="113"/>
      <c r="Z568" s="113"/>
      <c r="AA568" s="113"/>
      <c r="AB568" s="113"/>
      <c r="AC568" s="113"/>
      <c r="AD568" s="113"/>
      <c r="AE568" s="113"/>
      <c r="AF568" s="113"/>
      <c r="AG568" s="113"/>
    </row>
    <row r="569" spans="1:33" ht="13.8">
      <c r="A569" s="113"/>
      <c r="B569" s="113"/>
      <c r="C569" s="113"/>
      <c r="D569" s="111"/>
      <c r="E569" s="113"/>
      <c r="F569" s="111"/>
      <c r="G569" s="113"/>
      <c r="H569" s="111"/>
      <c r="I569" s="113"/>
      <c r="J569" s="113"/>
      <c r="K569" s="113"/>
      <c r="L569" s="113"/>
      <c r="M569" s="113"/>
      <c r="N569" s="113"/>
      <c r="O569" s="113"/>
      <c r="P569" s="113"/>
      <c r="Q569" s="113"/>
      <c r="R569" s="113"/>
      <c r="S569" s="113"/>
      <c r="T569" s="113"/>
      <c r="U569" s="113"/>
      <c r="V569" s="113"/>
      <c r="W569" s="113"/>
      <c r="X569" s="113"/>
      <c r="Y569" s="113"/>
      <c r="Z569" s="113"/>
      <c r="AA569" s="113"/>
      <c r="AB569" s="113"/>
      <c r="AC569" s="113"/>
      <c r="AD569" s="113"/>
      <c r="AE569" s="113"/>
      <c r="AF569" s="113"/>
      <c r="AG569" s="113"/>
    </row>
    <row r="570" spans="1:33" ht="13.8">
      <c r="A570" s="113"/>
      <c r="B570" s="113"/>
      <c r="C570" s="113"/>
      <c r="D570" s="111"/>
      <c r="E570" s="113"/>
      <c r="F570" s="111"/>
      <c r="G570" s="113"/>
      <c r="H570" s="111"/>
      <c r="I570" s="113"/>
      <c r="J570" s="113"/>
      <c r="K570" s="113"/>
      <c r="L570" s="113"/>
      <c r="M570" s="113"/>
      <c r="N570" s="113"/>
      <c r="O570" s="113"/>
      <c r="P570" s="113"/>
      <c r="Q570" s="113"/>
      <c r="R570" s="113"/>
      <c r="S570" s="113"/>
      <c r="T570" s="113"/>
      <c r="U570" s="113"/>
      <c r="V570" s="113"/>
      <c r="W570" s="113"/>
      <c r="X570" s="113"/>
      <c r="Y570" s="113"/>
      <c r="Z570" s="113"/>
      <c r="AA570" s="113"/>
      <c r="AB570" s="113"/>
      <c r="AC570" s="113"/>
      <c r="AD570" s="113"/>
      <c r="AE570" s="113"/>
      <c r="AF570" s="113"/>
      <c r="AG570" s="113"/>
    </row>
    <row r="571" spans="1:33" ht="13.8">
      <c r="A571" s="113"/>
      <c r="B571" s="113"/>
      <c r="C571" s="113"/>
      <c r="D571" s="111"/>
      <c r="E571" s="113"/>
      <c r="F571" s="111"/>
      <c r="G571" s="113"/>
      <c r="H571" s="111"/>
      <c r="I571" s="113"/>
      <c r="J571" s="113"/>
      <c r="K571" s="113"/>
      <c r="L571" s="113"/>
      <c r="M571" s="113"/>
      <c r="N571" s="113"/>
      <c r="O571" s="113"/>
      <c r="P571" s="113"/>
      <c r="Q571" s="113"/>
      <c r="R571" s="113"/>
      <c r="S571" s="113"/>
      <c r="T571" s="113"/>
      <c r="U571" s="113"/>
      <c r="V571" s="113"/>
      <c r="W571" s="113"/>
      <c r="X571" s="113"/>
      <c r="Y571" s="113"/>
      <c r="Z571" s="113"/>
      <c r="AA571" s="113"/>
      <c r="AB571" s="113"/>
      <c r="AC571" s="113"/>
      <c r="AD571" s="113"/>
      <c r="AE571" s="113"/>
      <c r="AF571" s="113"/>
      <c r="AG571" s="113"/>
    </row>
    <row r="572" spans="1:33" ht="13.8">
      <c r="A572" s="113"/>
      <c r="B572" s="113"/>
      <c r="C572" s="113"/>
      <c r="D572" s="111"/>
      <c r="E572" s="113"/>
      <c r="F572" s="111"/>
      <c r="G572" s="113"/>
      <c r="H572" s="111"/>
      <c r="I572" s="113"/>
      <c r="J572" s="113"/>
      <c r="K572" s="113"/>
      <c r="L572" s="113"/>
      <c r="M572" s="113"/>
      <c r="N572" s="113"/>
      <c r="O572" s="113"/>
      <c r="P572" s="113"/>
      <c r="Q572" s="113"/>
      <c r="R572" s="113"/>
      <c r="S572" s="113"/>
      <c r="T572" s="113"/>
      <c r="U572" s="113"/>
      <c r="V572" s="113"/>
      <c r="W572" s="113"/>
      <c r="X572" s="113"/>
      <c r="Y572" s="113"/>
      <c r="Z572" s="113"/>
      <c r="AA572" s="113"/>
      <c r="AB572" s="113"/>
      <c r="AC572" s="113"/>
      <c r="AD572" s="113"/>
      <c r="AE572" s="113"/>
      <c r="AF572" s="113"/>
      <c r="AG572" s="113"/>
    </row>
    <row r="573" spans="1:33" ht="13.8">
      <c r="A573" s="113"/>
      <c r="B573" s="113"/>
      <c r="C573" s="113"/>
      <c r="D573" s="111"/>
      <c r="E573" s="113"/>
      <c r="F573" s="111"/>
      <c r="G573" s="113"/>
      <c r="H573" s="111"/>
      <c r="I573" s="113"/>
      <c r="J573" s="113"/>
      <c r="K573" s="113"/>
      <c r="L573" s="113"/>
      <c r="M573" s="113"/>
      <c r="N573" s="113"/>
      <c r="O573" s="113"/>
      <c r="P573" s="113"/>
      <c r="Q573" s="113"/>
      <c r="R573" s="113"/>
      <c r="S573" s="113"/>
      <c r="T573" s="113"/>
      <c r="U573" s="113"/>
      <c r="V573" s="113"/>
      <c r="W573" s="113"/>
      <c r="X573" s="113"/>
      <c r="Y573" s="113"/>
      <c r="Z573" s="113"/>
      <c r="AA573" s="113"/>
      <c r="AB573" s="113"/>
      <c r="AC573" s="113"/>
      <c r="AD573" s="113"/>
      <c r="AE573" s="113"/>
      <c r="AF573" s="113"/>
      <c r="AG573" s="113"/>
    </row>
    <row r="574" spans="1:33" ht="13.8">
      <c r="A574" s="113"/>
      <c r="B574" s="113"/>
      <c r="C574" s="113"/>
      <c r="D574" s="111"/>
      <c r="E574" s="113"/>
      <c r="F574" s="111"/>
      <c r="G574" s="113"/>
      <c r="H574" s="111"/>
      <c r="I574" s="113"/>
      <c r="J574" s="113"/>
      <c r="K574" s="113"/>
      <c r="L574" s="113"/>
      <c r="M574" s="113"/>
      <c r="N574" s="113"/>
      <c r="O574" s="113"/>
      <c r="P574" s="113"/>
      <c r="Q574" s="113"/>
      <c r="R574" s="113"/>
      <c r="S574" s="113"/>
      <c r="T574" s="113"/>
      <c r="U574" s="113"/>
      <c r="V574" s="113"/>
      <c r="W574" s="113"/>
      <c r="X574" s="113"/>
      <c r="Y574" s="113"/>
      <c r="Z574" s="113"/>
      <c r="AA574" s="113"/>
      <c r="AB574" s="113"/>
      <c r="AC574" s="113"/>
      <c r="AD574" s="113"/>
      <c r="AE574" s="113"/>
      <c r="AF574" s="113"/>
      <c r="AG574" s="113"/>
    </row>
    <row r="575" spans="1:33" ht="13.8">
      <c r="A575" s="113"/>
      <c r="B575" s="113"/>
      <c r="C575" s="113"/>
      <c r="D575" s="111"/>
      <c r="E575" s="113"/>
      <c r="F575" s="111"/>
      <c r="G575" s="113"/>
      <c r="H575" s="111"/>
      <c r="I575" s="113"/>
      <c r="J575" s="113"/>
      <c r="K575" s="113"/>
      <c r="L575" s="113"/>
      <c r="M575" s="113"/>
      <c r="N575" s="113"/>
      <c r="O575" s="113"/>
      <c r="P575" s="113"/>
      <c r="Q575" s="113"/>
      <c r="R575" s="113"/>
      <c r="S575" s="113"/>
      <c r="T575" s="113"/>
      <c r="U575" s="113"/>
      <c r="V575" s="113"/>
      <c r="W575" s="113"/>
      <c r="X575" s="113"/>
      <c r="Y575" s="113"/>
      <c r="Z575" s="113"/>
      <c r="AA575" s="113"/>
      <c r="AB575" s="113"/>
      <c r="AC575" s="113"/>
      <c r="AD575" s="113"/>
      <c r="AE575" s="113"/>
      <c r="AF575" s="113"/>
      <c r="AG575" s="113"/>
    </row>
    <row r="576" spans="1:33" ht="13.8">
      <c r="A576" s="113"/>
      <c r="B576" s="113"/>
      <c r="C576" s="113"/>
      <c r="D576" s="111"/>
      <c r="E576" s="113"/>
      <c r="F576" s="111"/>
      <c r="G576" s="113"/>
      <c r="H576" s="111"/>
      <c r="I576" s="113"/>
      <c r="J576" s="113"/>
      <c r="K576" s="113"/>
      <c r="L576" s="113"/>
      <c r="M576" s="113"/>
      <c r="N576" s="113"/>
      <c r="O576" s="113"/>
      <c r="P576" s="113"/>
      <c r="Q576" s="113"/>
      <c r="R576" s="113"/>
      <c r="S576" s="113"/>
      <c r="T576" s="113"/>
      <c r="U576" s="113"/>
      <c r="V576" s="113"/>
      <c r="W576" s="113"/>
      <c r="X576" s="113"/>
      <c r="Y576" s="113"/>
      <c r="Z576" s="113"/>
      <c r="AA576" s="113"/>
      <c r="AB576" s="113"/>
      <c r="AC576" s="113"/>
      <c r="AD576" s="113"/>
      <c r="AE576" s="113"/>
      <c r="AF576" s="113"/>
      <c r="AG576" s="113"/>
    </row>
    <row r="577" spans="1:33" ht="13.8">
      <c r="A577" s="113"/>
      <c r="B577" s="113"/>
      <c r="C577" s="113"/>
      <c r="D577" s="111"/>
      <c r="E577" s="113"/>
      <c r="F577" s="111"/>
      <c r="G577" s="113"/>
      <c r="H577" s="111"/>
      <c r="I577" s="113"/>
      <c r="J577" s="113"/>
      <c r="K577" s="113"/>
      <c r="L577" s="113"/>
      <c r="M577" s="113"/>
      <c r="N577" s="113"/>
      <c r="O577" s="113"/>
      <c r="P577" s="113"/>
      <c r="Q577" s="113"/>
      <c r="R577" s="113"/>
      <c r="S577" s="113"/>
      <c r="T577" s="113"/>
      <c r="U577" s="113"/>
      <c r="V577" s="113"/>
      <c r="W577" s="113"/>
      <c r="X577" s="113"/>
      <c r="Y577" s="113"/>
      <c r="Z577" s="113"/>
      <c r="AA577" s="113"/>
      <c r="AB577" s="113"/>
      <c r="AC577" s="113"/>
      <c r="AD577" s="113"/>
      <c r="AE577" s="113"/>
      <c r="AF577" s="113"/>
      <c r="AG577" s="113"/>
    </row>
    <row r="578" spans="1:33" ht="13.8">
      <c r="A578" s="113"/>
      <c r="B578" s="113"/>
      <c r="C578" s="113"/>
      <c r="D578" s="111"/>
      <c r="E578" s="113"/>
      <c r="F578" s="111"/>
      <c r="G578" s="113"/>
      <c r="H578" s="111"/>
      <c r="I578" s="113"/>
      <c r="J578" s="113"/>
      <c r="K578" s="113"/>
      <c r="L578" s="113"/>
      <c r="M578" s="113"/>
      <c r="N578" s="113"/>
      <c r="O578" s="113"/>
      <c r="P578" s="113"/>
      <c r="Q578" s="113"/>
      <c r="R578" s="113"/>
      <c r="S578" s="113"/>
      <c r="T578" s="113"/>
      <c r="U578" s="113"/>
      <c r="V578" s="113"/>
      <c r="W578" s="113"/>
      <c r="X578" s="113"/>
      <c r="Y578" s="113"/>
      <c r="Z578" s="113"/>
      <c r="AA578" s="113"/>
      <c r="AB578" s="113"/>
      <c r="AC578" s="113"/>
      <c r="AD578" s="113"/>
      <c r="AE578" s="113"/>
      <c r="AF578" s="113"/>
      <c r="AG578" s="113"/>
    </row>
    <row r="579" spans="1:33" ht="13.8">
      <c r="A579" s="113"/>
      <c r="B579" s="113"/>
      <c r="C579" s="113"/>
      <c r="D579" s="111"/>
      <c r="E579" s="113"/>
      <c r="F579" s="111"/>
      <c r="G579" s="113"/>
      <c r="H579" s="111"/>
      <c r="I579" s="113"/>
      <c r="J579" s="113"/>
      <c r="K579" s="113"/>
      <c r="L579" s="113"/>
      <c r="M579" s="113"/>
      <c r="N579" s="113"/>
      <c r="O579" s="113"/>
      <c r="P579" s="113"/>
      <c r="Q579" s="113"/>
      <c r="R579" s="113"/>
      <c r="S579" s="113"/>
      <c r="T579" s="113"/>
      <c r="U579" s="113"/>
      <c r="V579" s="113"/>
      <c r="W579" s="113"/>
      <c r="X579" s="113"/>
      <c r="Y579" s="113"/>
      <c r="Z579" s="113"/>
      <c r="AA579" s="113"/>
      <c r="AB579" s="113"/>
      <c r="AC579" s="113"/>
      <c r="AD579" s="113"/>
      <c r="AE579" s="113"/>
      <c r="AF579" s="113"/>
      <c r="AG579" s="113"/>
    </row>
    <row r="580" spans="1:33" ht="13.8">
      <c r="A580" s="113"/>
      <c r="B580" s="113"/>
      <c r="C580" s="113"/>
      <c r="D580" s="111"/>
      <c r="E580" s="113"/>
      <c r="F580" s="111"/>
      <c r="G580" s="113"/>
      <c r="H580" s="111"/>
      <c r="I580" s="113"/>
      <c r="J580" s="113"/>
      <c r="K580" s="113"/>
      <c r="L580" s="113"/>
      <c r="M580" s="113"/>
      <c r="N580" s="113"/>
      <c r="O580" s="113"/>
      <c r="P580" s="113"/>
      <c r="Q580" s="113"/>
      <c r="R580" s="113"/>
      <c r="S580" s="113"/>
      <c r="T580" s="113"/>
      <c r="U580" s="113"/>
      <c r="V580" s="113"/>
      <c r="W580" s="113"/>
      <c r="X580" s="113"/>
      <c r="Y580" s="113"/>
      <c r="Z580" s="113"/>
      <c r="AA580" s="113"/>
      <c r="AB580" s="113"/>
      <c r="AC580" s="113"/>
      <c r="AD580" s="113"/>
      <c r="AE580" s="113"/>
      <c r="AF580" s="113"/>
      <c r="AG580" s="113"/>
    </row>
    <row r="581" spans="1:33" ht="13.8">
      <c r="A581" s="113"/>
      <c r="B581" s="113"/>
      <c r="C581" s="113"/>
      <c r="D581" s="111"/>
      <c r="E581" s="113"/>
      <c r="F581" s="111"/>
      <c r="G581" s="113"/>
      <c r="H581" s="111"/>
      <c r="I581" s="113"/>
      <c r="J581" s="113"/>
      <c r="K581" s="113"/>
      <c r="L581" s="113"/>
      <c r="M581" s="113"/>
      <c r="N581" s="113"/>
      <c r="O581" s="113"/>
      <c r="P581" s="113"/>
      <c r="Q581" s="113"/>
      <c r="R581" s="113"/>
      <c r="S581" s="113"/>
      <c r="T581" s="113"/>
      <c r="U581" s="113"/>
      <c r="V581" s="113"/>
      <c r="W581" s="113"/>
      <c r="X581" s="113"/>
      <c r="Y581" s="113"/>
      <c r="Z581" s="113"/>
      <c r="AA581" s="113"/>
      <c r="AB581" s="113"/>
      <c r="AC581" s="113"/>
      <c r="AD581" s="113"/>
      <c r="AE581" s="113"/>
      <c r="AF581" s="113"/>
      <c r="AG581" s="113"/>
    </row>
    <row r="582" spans="1:33" ht="13.8">
      <c r="A582" s="113"/>
      <c r="B582" s="113"/>
      <c r="C582" s="113"/>
      <c r="D582" s="111"/>
      <c r="E582" s="113"/>
      <c r="F582" s="111"/>
      <c r="G582" s="113"/>
      <c r="H582" s="111"/>
      <c r="I582" s="113"/>
      <c r="J582" s="113"/>
      <c r="K582" s="113"/>
      <c r="L582" s="113"/>
      <c r="M582" s="113"/>
      <c r="N582" s="113"/>
      <c r="O582" s="113"/>
      <c r="P582" s="113"/>
      <c r="Q582" s="113"/>
      <c r="R582" s="113"/>
      <c r="S582" s="113"/>
      <c r="T582" s="113"/>
      <c r="U582" s="113"/>
      <c r="V582" s="113"/>
      <c r="W582" s="113"/>
      <c r="X582" s="113"/>
      <c r="Y582" s="113"/>
      <c r="Z582" s="113"/>
      <c r="AA582" s="113"/>
      <c r="AB582" s="113"/>
      <c r="AC582" s="113"/>
      <c r="AD582" s="113"/>
      <c r="AE582" s="113"/>
      <c r="AF582" s="113"/>
      <c r="AG582" s="113"/>
    </row>
    <row r="583" spans="1:33" ht="13.8">
      <c r="A583" s="113"/>
      <c r="B583" s="113"/>
      <c r="C583" s="113"/>
      <c r="D583" s="111"/>
      <c r="E583" s="113"/>
      <c r="F583" s="111"/>
      <c r="G583" s="113"/>
      <c r="H583" s="111"/>
      <c r="I583" s="113"/>
      <c r="J583" s="113"/>
      <c r="K583" s="113"/>
      <c r="L583" s="113"/>
      <c r="M583" s="113"/>
      <c r="N583" s="113"/>
      <c r="O583" s="113"/>
      <c r="P583" s="113"/>
      <c r="Q583" s="113"/>
      <c r="R583" s="113"/>
      <c r="S583" s="113"/>
      <c r="T583" s="113"/>
      <c r="U583" s="113"/>
      <c r="V583" s="113"/>
      <c r="W583" s="113"/>
      <c r="X583" s="113"/>
      <c r="Y583" s="113"/>
      <c r="Z583" s="113"/>
      <c r="AA583" s="113"/>
      <c r="AB583" s="113"/>
      <c r="AC583" s="113"/>
      <c r="AD583" s="113"/>
      <c r="AE583" s="113"/>
      <c r="AF583" s="113"/>
      <c r="AG583" s="113"/>
    </row>
    <row r="584" spans="1:33" ht="13.8">
      <c r="A584" s="113"/>
      <c r="B584" s="113"/>
      <c r="C584" s="113"/>
      <c r="D584" s="111"/>
      <c r="E584" s="113"/>
      <c r="F584" s="111"/>
      <c r="G584" s="113"/>
      <c r="H584" s="111"/>
      <c r="I584" s="113"/>
      <c r="J584" s="113"/>
      <c r="K584" s="113"/>
      <c r="L584" s="113"/>
      <c r="M584" s="113"/>
      <c r="N584" s="113"/>
      <c r="O584" s="113"/>
      <c r="P584" s="113"/>
      <c r="Q584" s="113"/>
      <c r="R584" s="113"/>
      <c r="S584" s="113"/>
      <c r="T584" s="113"/>
      <c r="U584" s="113"/>
      <c r="V584" s="113"/>
      <c r="W584" s="113"/>
      <c r="X584" s="113"/>
      <c r="Y584" s="113"/>
      <c r="Z584" s="113"/>
      <c r="AA584" s="113"/>
      <c r="AB584" s="113"/>
      <c r="AC584" s="113"/>
      <c r="AD584" s="113"/>
      <c r="AE584" s="113"/>
      <c r="AF584" s="113"/>
      <c r="AG584" s="113"/>
    </row>
    <row r="585" spans="1:33" ht="13.8">
      <c r="A585" s="113"/>
      <c r="B585" s="113"/>
      <c r="C585" s="113"/>
      <c r="D585" s="111"/>
      <c r="E585" s="113"/>
      <c r="F585" s="111"/>
      <c r="G585" s="113"/>
      <c r="H585" s="111"/>
      <c r="I585" s="113"/>
      <c r="J585" s="113"/>
      <c r="K585" s="113"/>
      <c r="L585" s="113"/>
      <c r="M585" s="113"/>
      <c r="N585" s="113"/>
      <c r="O585" s="113"/>
      <c r="P585" s="113"/>
      <c r="Q585" s="113"/>
      <c r="R585" s="113"/>
      <c r="S585" s="113"/>
      <c r="T585" s="113"/>
      <c r="U585" s="113"/>
      <c r="V585" s="113"/>
      <c r="W585" s="113"/>
      <c r="X585" s="113"/>
      <c r="Y585" s="113"/>
      <c r="Z585" s="113"/>
      <c r="AA585" s="113"/>
      <c r="AB585" s="113"/>
      <c r="AC585" s="113"/>
      <c r="AD585" s="113"/>
      <c r="AE585" s="113"/>
      <c r="AF585" s="113"/>
      <c r="AG585" s="113"/>
    </row>
    <row r="586" spans="1:33" ht="13.8">
      <c r="A586" s="113"/>
      <c r="B586" s="113"/>
      <c r="C586" s="113"/>
      <c r="D586" s="111"/>
      <c r="E586" s="113"/>
      <c r="F586" s="111"/>
      <c r="G586" s="113"/>
      <c r="H586" s="111"/>
      <c r="I586" s="113"/>
      <c r="J586" s="113"/>
      <c r="K586" s="113"/>
      <c r="L586" s="113"/>
      <c r="M586" s="113"/>
      <c r="N586" s="113"/>
      <c r="O586" s="113"/>
      <c r="P586" s="113"/>
      <c r="Q586" s="113"/>
      <c r="R586" s="113"/>
      <c r="S586" s="113"/>
      <c r="T586" s="113"/>
      <c r="U586" s="113"/>
      <c r="V586" s="113"/>
      <c r="W586" s="113"/>
      <c r="X586" s="113"/>
      <c r="Y586" s="113"/>
      <c r="Z586" s="113"/>
      <c r="AA586" s="113"/>
      <c r="AB586" s="113"/>
      <c r="AC586" s="113"/>
      <c r="AD586" s="113"/>
      <c r="AE586" s="113"/>
      <c r="AF586" s="113"/>
      <c r="AG586" s="113"/>
    </row>
    <row r="587" spans="1:33" ht="13.8">
      <c r="A587" s="113"/>
      <c r="B587" s="113"/>
      <c r="C587" s="113"/>
      <c r="D587" s="111"/>
      <c r="E587" s="113"/>
      <c r="F587" s="111"/>
      <c r="G587" s="113"/>
      <c r="H587" s="111"/>
      <c r="I587" s="113"/>
      <c r="J587" s="113"/>
      <c r="K587" s="113"/>
      <c r="L587" s="113"/>
      <c r="M587" s="113"/>
      <c r="N587" s="113"/>
      <c r="O587" s="113"/>
      <c r="P587" s="113"/>
      <c r="Q587" s="113"/>
      <c r="R587" s="113"/>
      <c r="S587" s="113"/>
      <c r="T587" s="113"/>
      <c r="U587" s="113"/>
      <c r="V587" s="113"/>
      <c r="W587" s="113"/>
      <c r="X587" s="113"/>
      <c r="Y587" s="113"/>
      <c r="Z587" s="113"/>
      <c r="AA587" s="113"/>
      <c r="AB587" s="113"/>
      <c r="AC587" s="113"/>
      <c r="AD587" s="113"/>
      <c r="AE587" s="113"/>
      <c r="AF587" s="113"/>
      <c r="AG587" s="113"/>
    </row>
    <row r="588" spans="1:33" ht="13.8">
      <c r="A588" s="113"/>
      <c r="B588" s="113"/>
      <c r="C588" s="113"/>
      <c r="D588" s="111"/>
      <c r="E588" s="113"/>
      <c r="F588" s="111"/>
      <c r="G588" s="113"/>
      <c r="H588" s="111"/>
      <c r="I588" s="113"/>
      <c r="J588" s="113"/>
      <c r="K588" s="113"/>
      <c r="L588" s="113"/>
      <c r="M588" s="113"/>
      <c r="N588" s="113"/>
      <c r="O588" s="113"/>
      <c r="P588" s="113"/>
      <c r="Q588" s="113"/>
      <c r="R588" s="113"/>
      <c r="S588" s="113"/>
      <c r="T588" s="113"/>
      <c r="U588" s="113"/>
      <c r="V588" s="113"/>
      <c r="W588" s="113"/>
      <c r="X588" s="113"/>
      <c r="Y588" s="113"/>
      <c r="Z588" s="113"/>
      <c r="AA588" s="113"/>
      <c r="AB588" s="113"/>
      <c r="AC588" s="113"/>
      <c r="AD588" s="113"/>
      <c r="AE588" s="113"/>
      <c r="AF588" s="113"/>
      <c r="AG588" s="113"/>
    </row>
    <row r="589" spans="1:33" ht="13.8">
      <c r="A589" s="113"/>
      <c r="B589" s="113"/>
      <c r="C589" s="113"/>
      <c r="D589" s="111"/>
      <c r="E589" s="113"/>
      <c r="F589" s="111"/>
      <c r="G589" s="113"/>
      <c r="H589" s="111"/>
      <c r="I589" s="113"/>
      <c r="J589" s="113"/>
      <c r="K589" s="113"/>
      <c r="L589" s="113"/>
      <c r="M589" s="113"/>
      <c r="N589" s="113"/>
      <c r="O589" s="113"/>
      <c r="P589" s="113"/>
      <c r="Q589" s="113"/>
      <c r="R589" s="113"/>
      <c r="S589" s="113"/>
      <c r="T589" s="113"/>
      <c r="U589" s="113"/>
      <c r="V589" s="113"/>
      <c r="W589" s="113"/>
      <c r="X589" s="113"/>
      <c r="Y589" s="113"/>
      <c r="Z589" s="113"/>
      <c r="AA589" s="113"/>
      <c r="AB589" s="113"/>
      <c r="AC589" s="113"/>
      <c r="AD589" s="113"/>
      <c r="AE589" s="113"/>
      <c r="AF589" s="113"/>
      <c r="AG589" s="113"/>
    </row>
    <row r="590" spans="1:33" ht="13.8">
      <c r="A590" s="113"/>
      <c r="B590" s="113"/>
      <c r="C590" s="113"/>
      <c r="D590" s="111"/>
      <c r="E590" s="113"/>
      <c r="F590" s="111"/>
      <c r="G590" s="113"/>
      <c r="H590" s="111"/>
      <c r="I590" s="113"/>
      <c r="J590" s="113"/>
      <c r="K590" s="113"/>
      <c r="L590" s="113"/>
      <c r="M590" s="113"/>
      <c r="N590" s="113"/>
      <c r="O590" s="113"/>
      <c r="P590" s="113"/>
      <c r="Q590" s="113"/>
      <c r="R590" s="113"/>
      <c r="S590" s="113"/>
      <c r="T590" s="113"/>
      <c r="U590" s="113"/>
      <c r="V590" s="113"/>
      <c r="W590" s="113"/>
      <c r="X590" s="113"/>
      <c r="Y590" s="113"/>
      <c r="Z590" s="113"/>
      <c r="AA590" s="113"/>
      <c r="AB590" s="113"/>
      <c r="AC590" s="113"/>
      <c r="AD590" s="113"/>
      <c r="AE590" s="113"/>
      <c r="AF590" s="113"/>
      <c r="AG590" s="113"/>
    </row>
    <row r="591" spans="1:33" ht="13.8">
      <c r="A591" s="113"/>
      <c r="B591" s="113"/>
      <c r="C591" s="113"/>
      <c r="D591" s="111"/>
      <c r="E591" s="113"/>
      <c r="F591" s="111"/>
      <c r="G591" s="113"/>
      <c r="H591" s="111"/>
      <c r="I591" s="113"/>
      <c r="J591" s="113"/>
      <c r="K591" s="113"/>
      <c r="L591" s="113"/>
      <c r="M591" s="113"/>
      <c r="N591" s="113"/>
      <c r="O591" s="113"/>
      <c r="P591" s="113"/>
      <c r="Q591" s="113"/>
      <c r="R591" s="113"/>
      <c r="S591" s="113"/>
      <c r="T591" s="113"/>
      <c r="U591" s="113"/>
      <c r="V591" s="113"/>
      <c r="W591" s="113"/>
      <c r="X591" s="113"/>
      <c r="Y591" s="113"/>
      <c r="Z591" s="113"/>
      <c r="AA591" s="113"/>
      <c r="AB591" s="113"/>
      <c r="AC591" s="113"/>
      <c r="AD591" s="113"/>
      <c r="AE591" s="113"/>
      <c r="AF591" s="113"/>
      <c r="AG591" s="113"/>
    </row>
    <row r="592" spans="1:33" ht="13.8">
      <c r="A592" s="113"/>
      <c r="B592" s="113"/>
      <c r="C592" s="113"/>
      <c r="D592" s="111"/>
      <c r="E592" s="113"/>
      <c r="F592" s="111"/>
      <c r="G592" s="113"/>
      <c r="H592" s="111"/>
      <c r="I592" s="113"/>
      <c r="J592" s="113"/>
      <c r="K592" s="113"/>
      <c r="L592" s="113"/>
      <c r="M592" s="113"/>
      <c r="N592" s="113"/>
      <c r="O592" s="113"/>
      <c r="P592" s="113"/>
      <c r="Q592" s="113"/>
      <c r="R592" s="113"/>
      <c r="S592" s="113"/>
      <c r="T592" s="113"/>
      <c r="U592" s="113"/>
      <c r="V592" s="113"/>
      <c r="W592" s="113"/>
      <c r="X592" s="113"/>
      <c r="Y592" s="113"/>
      <c r="Z592" s="113"/>
      <c r="AA592" s="113"/>
      <c r="AB592" s="113"/>
      <c r="AC592" s="113"/>
      <c r="AD592" s="113"/>
      <c r="AE592" s="113"/>
      <c r="AF592" s="113"/>
      <c r="AG592" s="113"/>
    </row>
    <row r="593" spans="1:33" ht="13.8">
      <c r="A593" s="113"/>
      <c r="B593" s="113"/>
      <c r="C593" s="113"/>
      <c r="D593" s="111"/>
      <c r="E593" s="113"/>
      <c r="F593" s="111"/>
      <c r="G593" s="113"/>
      <c r="H593" s="111"/>
      <c r="I593" s="113"/>
      <c r="J593" s="113"/>
      <c r="K593" s="113"/>
      <c r="L593" s="113"/>
      <c r="M593" s="113"/>
      <c r="N593" s="113"/>
      <c r="O593" s="113"/>
      <c r="P593" s="113"/>
      <c r="Q593" s="113"/>
      <c r="R593" s="113"/>
      <c r="S593" s="113"/>
      <c r="T593" s="113"/>
      <c r="U593" s="113"/>
      <c r="V593" s="113"/>
      <c r="W593" s="113"/>
      <c r="X593" s="113"/>
      <c r="Y593" s="113"/>
      <c r="Z593" s="113"/>
      <c r="AA593" s="113"/>
      <c r="AB593" s="113"/>
      <c r="AC593" s="113"/>
      <c r="AD593" s="113"/>
      <c r="AE593" s="113"/>
      <c r="AF593" s="113"/>
      <c r="AG593" s="113"/>
    </row>
    <row r="594" spans="1:33" ht="13.8">
      <c r="A594" s="113"/>
      <c r="B594" s="113"/>
      <c r="C594" s="113"/>
      <c r="D594" s="111"/>
      <c r="E594" s="113"/>
      <c r="F594" s="111"/>
      <c r="G594" s="113"/>
      <c r="H594" s="111"/>
      <c r="I594" s="113"/>
      <c r="J594" s="113"/>
      <c r="K594" s="113"/>
      <c r="L594" s="113"/>
      <c r="M594" s="113"/>
      <c r="N594" s="113"/>
      <c r="O594" s="113"/>
      <c r="P594" s="113"/>
      <c r="Q594" s="113"/>
      <c r="R594" s="113"/>
      <c r="S594" s="113"/>
      <c r="T594" s="113"/>
      <c r="U594" s="113"/>
      <c r="V594" s="113"/>
      <c r="W594" s="113"/>
      <c r="X594" s="113"/>
      <c r="Y594" s="113"/>
      <c r="Z594" s="113"/>
      <c r="AA594" s="113"/>
      <c r="AB594" s="113"/>
      <c r="AC594" s="113"/>
      <c r="AD594" s="113"/>
      <c r="AE594" s="113"/>
      <c r="AF594" s="113"/>
      <c r="AG594" s="113"/>
    </row>
    <row r="595" spans="1:33" ht="13.8">
      <c r="A595" s="113"/>
      <c r="B595" s="113"/>
      <c r="C595" s="113"/>
      <c r="D595" s="111"/>
      <c r="E595" s="113"/>
      <c r="F595" s="111"/>
      <c r="G595" s="113"/>
      <c r="H595" s="111"/>
      <c r="I595" s="113"/>
      <c r="J595" s="113"/>
      <c r="K595" s="113"/>
      <c r="L595" s="113"/>
      <c r="M595" s="113"/>
      <c r="N595" s="113"/>
      <c r="O595" s="113"/>
      <c r="P595" s="113"/>
      <c r="Q595" s="113"/>
      <c r="R595" s="113"/>
      <c r="S595" s="113"/>
      <c r="T595" s="113"/>
      <c r="U595" s="113"/>
      <c r="V595" s="113"/>
      <c r="W595" s="113"/>
      <c r="X595" s="113"/>
      <c r="Y595" s="113"/>
      <c r="Z595" s="113"/>
      <c r="AA595" s="113"/>
      <c r="AB595" s="113"/>
      <c r="AC595" s="113"/>
      <c r="AD595" s="113"/>
      <c r="AE595" s="113"/>
      <c r="AF595" s="113"/>
      <c r="AG595" s="113"/>
    </row>
    <row r="596" spans="1:33" ht="13.8">
      <c r="A596" s="113"/>
      <c r="B596" s="113"/>
      <c r="C596" s="113"/>
      <c r="D596" s="111"/>
      <c r="E596" s="113"/>
      <c r="F596" s="111"/>
      <c r="G596" s="113"/>
      <c r="H596" s="111"/>
      <c r="I596" s="113"/>
      <c r="J596" s="113"/>
      <c r="K596" s="113"/>
      <c r="L596" s="113"/>
      <c r="M596" s="113"/>
      <c r="N596" s="113"/>
      <c r="O596" s="113"/>
      <c r="P596" s="113"/>
      <c r="Q596" s="113"/>
      <c r="R596" s="113"/>
      <c r="S596" s="113"/>
      <c r="T596" s="113"/>
      <c r="U596" s="113"/>
      <c r="V596" s="113"/>
      <c r="W596" s="113"/>
      <c r="X596" s="113"/>
      <c r="Y596" s="113"/>
      <c r="Z596" s="113"/>
      <c r="AA596" s="113"/>
      <c r="AB596" s="113"/>
      <c r="AC596" s="113"/>
      <c r="AD596" s="113"/>
      <c r="AE596" s="113"/>
      <c r="AF596" s="113"/>
      <c r="AG596" s="113"/>
    </row>
    <row r="597" spans="1:33" ht="13.8">
      <c r="A597" s="113"/>
      <c r="B597" s="113"/>
      <c r="C597" s="113"/>
      <c r="D597" s="111"/>
      <c r="E597" s="113"/>
      <c r="F597" s="111"/>
      <c r="G597" s="113"/>
      <c r="H597" s="111"/>
      <c r="I597" s="113"/>
      <c r="J597" s="113"/>
      <c r="K597" s="113"/>
      <c r="L597" s="113"/>
      <c r="M597" s="113"/>
      <c r="N597" s="113"/>
      <c r="O597" s="113"/>
      <c r="P597" s="113"/>
      <c r="Q597" s="113"/>
      <c r="R597" s="113"/>
      <c r="S597" s="113"/>
      <c r="T597" s="113"/>
      <c r="U597" s="113"/>
      <c r="V597" s="113"/>
      <c r="W597" s="113"/>
      <c r="X597" s="113"/>
      <c r="Y597" s="113"/>
      <c r="Z597" s="113"/>
      <c r="AA597" s="113"/>
      <c r="AB597" s="113"/>
      <c r="AC597" s="113"/>
      <c r="AD597" s="113"/>
      <c r="AE597" s="113"/>
      <c r="AF597" s="113"/>
      <c r="AG597" s="113"/>
    </row>
    <row r="598" spans="1:33" ht="13.8">
      <c r="A598" s="113"/>
      <c r="B598" s="113"/>
      <c r="C598" s="113"/>
      <c r="D598" s="111"/>
      <c r="E598" s="113"/>
      <c r="F598" s="111"/>
      <c r="G598" s="113"/>
      <c r="H598" s="111"/>
      <c r="I598" s="113"/>
      <c r="J598" s="113"/>
      <c r="K598" s="113"/>
      <c r="L598" s="113"/>
      <c r="M598" s="113"/>
      <c r="N598" s="113"/>
      <c r="O598" s="113"/>
      <c r="P598" s="113"/>
      <c r="Q598" s="113"/>
      <c r="R598" s="113"/>
      <c r="S598" s="113"/>
      <c r="T598" s="113"/>
      <c r="U598" s="113"/>
      <c r="V598" s="113"/>
      <c r="W598" s="113"/>
      <c r="X598" s="113"/>
      <c r="Y598" s="113"/>
      <c r="Z598" s="113"/>
      <c r="AA598" s="113"/>
      <c r="AB598" s="113"/>
      <c r="AC598" s="113"/>
      <c r="AD598" s="113"/>
      <c r="AE598" s="113"/>
      <c r="AF598" s="113"/>
      <c r="AG598" s="113"/>
    </row>
    <row r="599" spans="1:33" ht="13.8">
      <c r="A599" s="113"/>
      <c r="B599" s="113"/>
      <c r="C599" s="113"/>
      <c r="D599" s="111"/>
      <c r="E599" s="113"/>
      <c r="F599" s="111"/>
      <c r="G599" s="113"/>
      <c r="H599" s="111"/>
      <c r="I599" s="113"/>
      <c r="J599" s="113"/>
      <c r="K599" s="113"/>
      <c r="L599" s="113"/>
      <c r="M599" s="113"/>
      <c r="N599" s="113"/>
      <c r="O599" s="113"/>
      <c r="P599" s="113"/>
      <c r="Q599" s="113"/>
      <c r="R599" s="113"/>
      <c r="S599" s="113"/>
      <c r="T599" s="113"/>
      <c r="U599" s="113"/>
      <c r="V599" s="113"/>
      <c r="W599" s="113"/>
      <c r="X599" s="113"/>
      <c r="Y599" s="113"/>
      <c r="Z599" s="113"/>
      <c r="AA599" s="113"/>
      <c r="AB599" s="113"/>
      <c r="AC599" s="113"/>
      <c r="AD599" s="113"/>
      <c r="AE599" s="113"/>
      <c r="AF599" s="113"/>
      <c r="AG599" s="113"/>
    </row>
    <row r="600" spans="1:33" ht="13.8">
      <c r="A600" s="113"/>
      <c r="B600" s="113"/>
      <c r="C600" s="113"/>
      <c r="D600" s="111"/>
      <c r="E600" s="113"/>
      <c r="F600" s="111"/>
      <c r="G600" s="113"/>
      <c r="H600" s="111"/>
      <c r="I600" s="113"/>
      <c r="J600" s="113"/>
      <c r="K600" s="113"/>
      <c r="L600" s="113"/>
      <c r="M600" s="113"/>
      <c r="N600" s="113"/>
      <c r="O600" s="113"/>
      <c r="P600" s="113"/>
      <c r="Q600" s="113"/>
      <c r="R600" s="113"/>
      <c r="S600" s="113"/>
      <c r="T600" s="113"/>
      <c r="U600" s="113"/>
      <c r="V600" s="113"/>
      <c r="W600" s="113"/>
      <c r="X600" s="113"/>
      <c r="Y600" s="113"/>
      <c r="Z600" s="113"/>
      <c r="AA600" s="113"/>
      <c r="AB600" s="113"/>
      <c r="AC600" s="113"/>
      <c r="AD600" s="113"/>
      <c r="AE600" s="113"/>
      <c r="AF600" s="113"/>
      <c r="AG600" s="113"/>
    </row>
    <row r="601" spans="1:33" ht="13.8">
      <c r="A601" s="113"/>
      <c r="B601" s="113"/>
      <c r="C601" s="113"/>
      <c r="D601" s="111"/>
      <c r="E601" s="113"/>
      <c r="F601" s="111"/>
      <c r="G601" s="113"/>
      <c r="H601" s="111"/>
      <c r="I601" s="113"/>
      <c r="J601" s="113"/>
      <c r="K601" s="113"/>
      <c r="L601" s="113"/>
      <c r="M601" s="113"/>
      <c r="N601" s="113"/>
      <c r="O601" s="113"/>
      <c r="P601" s="113"/>
      <c r="Q601" s="113"/>
      <c r="R601" s="113"/>
      <c r="S601" s="113"/>
      <c r="T601" s="113"/>
      <c r="U601" s="113"/>
      <c r="V601" s="113"/>
      <c r="W601" s="113"/>
      <c r="X601" s="113"/>
      <c r="Y601" s="113"/>
      <c r="Z601" s="113"/>
      <c r="AA601" s="113"/>
      <c r="AB601" s="113"/>
      <c r="AC601" s="113"/>
      <c r="AD601" s="113"/>
      <c r="AE601" s="113"/>
      <c r="AF601" s="113"/>
      <c r="AG601" s="113"/>
    </row>
    <row r="602" spans="1:33" ht="13.8">
      <c r="A602" s="113"/>
      <c r="B602" s="113"/>
      <c r="C602" s="113"/>
      <c r="D602" s="111"/>
      <c r="E602" s="113"/>
      <c r="F602" s="111"/>
      <c r="G602" s="113"/>
      <c r="H602" s="111"/>
      <c r="I602" s="113"/>
      <c r="J602" s="113"/>
      <c r="K602" s="113"/>
      <c r="L602" s="113"/>
      <c r="M602" s="113"/>
      <c r="N602" s="113"/>
      <c r="O602" s="113"/>
      <c r="P602" s="113"/>
      <c r="Q602" s="113"/>
      <c r="R602" s="113"/>
      <c r="S602" s="113"/>
      <c r="T602" s="113"/>
      <c r="U602" s="113"/>
      <c r="V602" s="113"/>
      <c r="W602" s="113"/>
      <c r="X602" s="113"/>
      <c r="Y602" s="113"/>
      <c r="Z602" s="113"/>
      <c r="AA602" s="113"/>
      <c r="AB602" s="113"/>
      <c r="AC602" s="113"/>
      <c r="AD602" s="113"/>
      <c r="AE602" s="113"/>
      <c r="AF602" s="113"/>
      <c r="AG602" s="113"/>
    </row>
    <row r="603" spans="1:33" ht="13.8">
      <c r="A603" s="113"/>
      <c r="B603" s="113"/>
      <c r="C603" s="113"/>
      <c r="D603" s="111"/>
      <c r="E603" s="113"/>
      <c r="F603" s="111"/>
      <c r="G603" s="113"/>
      <c r="H603" s="111"/>
      <c r="I603" s="113"/>
      <c r="J603" s="113"/>
      <c r="K603" s="113"/>
      <c r="L603" s="113"/>
      <c r="M603" s="113"/>
      <c r="N603" s="113"/>
      <c r="O603" s="113"/>
      <c r="P603" s="113"/>
      <c r="Q603" s="113"/>
      <c r="R603" s="113"/>
      <c r="S603" s="113"/>
      <c r="T603" s="113"/>
      <c r="U603" s="113"/>
      <c r="V603" s="113"/>
      <c r="W603" s="113"/>
      <c r="X603" s="113"/>
      <c r="Y603" s="113"/>
      <c r="Z603" s="113"/>
      <c r="AA603" s="113"/>
      <c r="AB603" s="113"/>
      <c r="AC603" s="113"/>
      <c r="AD603" s="113"/>
      <c r="AE603" s="113"/>
      <c r="AF603" s="113"/>
      <c r="AG603" s="113"/>
    </row>
    <row r="604" spans="1:33" ht="13.8">
      <c r="A604" s="113"/>
      <c r="B604" s="113"/>
      <c r="C604" s="113"/>
      <c r="D604" s="111"/>
      <c r="E604" s="113"/>
      <c r="F604" s="111"/>
      <c r="G604" s="113"/>
      <c r="H604" s="111"/>
      <c r="I604" s="113"/>
      <c r="J604" s="113"/>
      <c r="K604" s="113"/>
      <c r="L604" s="113"/>
      <c r="M604" s="113"/>
      <c r="N604" s="113"/>
      <c r="O604" s="113"/>
      <c r="P604" s="113"/>
      <c r="Q604" s="113"/>
      <c r="R604" s="113"/>
      <c r="S604" s="113"/>
      <c r="T604" s="113"/>
      <c r="U604" s="113"/>
      <c r="V604" s="113"/>
      <c r="W604" s="113"/>
      <c r="X604" s="113"/>
      <c r="Y604" s="113"/>
      <c r="Z604" s="113"/>
      <c r="AA604" s="113"/>
      <c r="AB604" s="113"/>
      <c r="AC604" s="113"/>
      <c r="AD604" s="113"/>
      <c r="AE604" s="113"/>
      <c r="AF604" s="113"/>
      <c r="AG604" s="113"/>
    </row>
    <row r="605" spans="1:33" ht="13.8">
      <c r="A605" s="113"/>
      <c r="B605" s="113"/>
      <c r="C605" s="113"/>
      <c r="D605" s="111"/>
      <c r="E605" s="113"/>
      <c r="F605" s="111"/>
      <c r="G605" s="113"/>
      <c r="H605" s="111"/>
      <c r="I605" s="113"/>
      <c r="J605" s="113"/>
      <c r="K605" s="113"/>
      <c r="L605" s="113"/>
      <c r="M605" s="113"/>
      <c r="N605" s="113"/>
      <c r="O605" s="113"/>
      <c r="P605" s="113"/>
      <c r="Q605" s="113"/>
      <c r="R605" s="113"/>
      <c r="S605" s="113"/>
      <c r="T605" s="113"/>
      <c r="U605" s="113"/>
      <c r="V605" s="113"/>
      <c r="W605" s="113"/>
      <c r="X605" s="113"/>
      <c r="Y605" s="113"/>
      <c r="Z605" s="113"/>
      <c r="AA605" s="113"/>
      <c r="AB605" s="113"/>
      <c r="AC605" s="113"/>
      <c r="AD605" s="113"/>
      <c r="AE605" s="113"/>
      <c r="AF605" s="113"/>
      <c r="AG605" s="113"/>
    </row>
    <row r="606" spans="1:33" ht="13.8">
      <c r="A606" s="113"/>
      <c r="B606" s="113"/>
      <c r="C606" s="113"/>
      <c r="D606" s="111"/>
      <c r="E606" s="113"/>
      <c r="F606" s="111"/>
      <c r="G606" s="113"/>
      <c r="H606" s="111"/>
      <c r="I606" s="113"/>
      <c r="J606" s="113"/>
      <c r="K606" s="113"/>
      <c r="L606" s="113"/>
      <c r="M606" s="113"/>
      <c r="N606" s="113"/>
      <c r="O606" s="113"/>
      <c r="P606" s="113"/>
      <c r="Q606" s="113"/>
      <c r="R606" s="113"/>
      <c r="S606" s="113"/>
      <c r="T606" s="113"/>
      <c r="U606" s="113"/>
      <c r="V606" s="113"/>
      <c r="W606" s="113"/>
      <c r="X606" s="113"/>
      <c r="Y606" s="113"/>
      <c r="Z606" s="113"/>
      <c r="AA606" s="113"/>
      <c r="AB606" s="113"/>
      <c r="AC606" s="113"/>
      <c r="AD606" s="113"/>
      <c r="AE606" s="113"/>
      <c r="AF606" s="113"/>
      <c r="AG606" s="113"/>
    </row>
    <row r="607" spans="1:33" ht="13.8">
      <c r="A607" s="113"/>
      <c r="B607" s="113"/>
      <c r="C607" s="113"/>
      <c r="D607" s="111"/>
      <c r="E607" s="113"/>
      <c r="F607" s="111"/>
      <c r="G607" s="113"/>
      <c r="H607" s="111"/>
      <c r="I607" s="113"/>
      <c r="J607" s="113"/>
      <c r="K607" s="113"/>
      <c r="L607" s="113"/>
      <c r="M607" s="113"/>
      <c r="N607" s="113"/>
      <c r="O607" s="113"/>
      <c r="P607" s="113"/>
      <c r="Q607" s="113"/>
      <c r="R607" s="113"/>
      <c r="S607" s="113"/>
      <c r="T607" s="113"/>
      <c r="U607" s="113"/>
      <c r="V607" s="113"/>
      <c r="W607" s="113"/>
      <c r="X607" s="113"/>
      <c r="Y607" s="113"/>
      <c r="Z607" s="113"/>
      <c r="AA607" s="113"/>
      <c r="AB607" s="113"/>
      <c r="AC607" s="113"/>
      <c r="AD607" s="113"/>
      <c r="AE607" s="113"/>
      <c r="AF607" s="113"/>
      <c r="AG607" s="113"/>
    </row>
    <row r="608" spans="1:33" ht="13.8">
      <c r="A608" s="113"/>
      <c r="B608" s="113"/>
      <c r="C608" s="113"/>
      <c r="D608" s="111"/>
      <c r="E608" s="113"/>
      <c r="F608" s="111"/>
      <c r="G608" s="113"/>
      <c r="H608" s="111"/>
      <c r="I608" s="113"/>
      <c r="J608" s="113"/>
      <c r="K608" s="113"/>
      <c r="L608" s="113"/>
      <c r="M608" s="113"/>
      <c r="N608" s="113"/>
      <c r="O608" s="113"/>
      <c r="P608" s="113"/>
      <c r="Q608" s="113"/>
      <c r="R608" s="113"/>
      <c r="S608" s="113"/>
      <c r="T608" s="113"/>
      <c r="U608" s="113"/>
      <c r="V608" s="113"/>
      <c r="W608" s="113"/>
      <c r="X608" s="113"/>
      <c r="Y608" s="113"/>
      <c r="Z608" s="113"/>
      <c r="AA608" s="113"/>
      <c r="AB608" s="113"/>
      <c r="AC608" s="113"/>
      <c r="AD608" s="113"/>
      <c r="AE608" s="113"/>
      <c r="AF608" s="113"/>
      <c r="AG608" s="113"/>
    </row>
    <row r="609" spans="1:33" ht="13.8">
      <c r="A609" s="113"/>
      <c r="B609" s="113"/>
      <c r="C609" s="113"/>
      <c r="D609" s="111"/>
      <c r="E609" s="113"/>
      <c r="F609" s="111"/>
      <c r="G609" s="113"/>
      <c r="H609" s="111"/>
      <c r="I609" s="113"/>
      <c r="J609" s="113"/>
      <c r="K609" s="113"/>
      <c r="L609" s="113"/>
      <c r="M609" s="113"/>
      <c r="N609" s="113"/>
      <c r="O609" s="113"/>
      <c r="P609" s="113"/>
      <c r="Q609" s="113"/>
      <c r="R609" s="113"/>
      <c r="S609" s="113"/>
      <c r="T609" s="113"/>
      <c r="U609" s="113"/>
      <c r="V609" s="113"/>
      <c r="W609" s="113"/>
      <c r="X609" s="113"/>
      <c r="Y609" s="113"/>
      <c r="Z609" s="113"/>
      <c r="AA609" s="113"/>
      <c r="AB609" s="113"/>
      <c r="AC609" s="113"/>
      <c r="AD609" s="113"/>
      <c r="AE609" s="113"/>
      <c r="AF609" s="113"/>
      <c r="AG609" s="113"/>
    </row>
    <row r="610" spans="1:33" ht="13.8">
      <c r="A610" s="113"/>
      <c r="B610" s="113"/>
      <c r="C610" s="113"/>
      <c r="D610" s="111"/>
      <c r="E610" s="113"/>
      <c r="F610" s="111"/>
      <c r="G610" s="113"/>
      <c r="H610" s="111"/>
      <c r="I610" s="113"/>
      <c r="J610" s="113"/>
      <c r="K610" s="113"/>
      <c r="L610" s="113"/>
      <c r="M610" s="113"/>
      <c r="N610" s="113"/>
      <c r="O610" s="113"/>
      <c r="P610" s="113"/>
      <c r="Q610" s="113"/>
      <c r="R610" s="113"/>
      <c r="S610" s="113"/>
      <c r="T610" s="113"/>
      <c r="U610" s="113"/>
      <c r="V610" s="113"/>
      <c r="W610" s="113"/>
      <c r="X610" s="113"/>
      <c r="Y610" s="113"/>
      <c r="Z610" s="113"/>
      <c r="AA610" s="113"/>
      <c r="AB610" s="113"/>
      <c r="AC610" s="113"/>
      <c r="AD610" s="113"/>
      <c r="AE610" s="113"/>
      <c r="AF610" s="113"/>
      <c r="AG610" s="113"/>
    </row>
    <row r="611" spans="1:33" ht="13.8">
      <c r="A611" s="113"/>
      <c r="B611" s="113"/>
      <c r="C611" s="113"/>
      <c r="D611" s="111"/>
      <c r="E611" s="113"/>
      <c r="F611" s="111"/>
      <c r="G611" s="113"/>
      <c r="H611" s="111"/>
      <c r="I611" s="113"/>
      <c r="J611" s="113"/>
      <c r="K611" s="113"/>
      <c r="L611" s="113"/>
      <c r="M611" s="113"/>
      <c r="N611" s="113"/>
      <c r="O611" s="113"/>
      <c r="P611" s="113"/>
      <c r="Q611" s="113"/>
      <c r="R611" s="113"/>
      <c r="S611" s="113"/>
      <c r="T611" s="113"/>
      <c r="U611" s="113"/>
      <c r="V611" s="113"/>
      <c r="W611" s="113"/>
      <c r="X611" s="113"/>
      <c r="Y611" s="113"/>
      <c r="Z611" s="113"/>
      <c r="AA611" s="113"/>
      <c r="AB611" s="113"/>
      <c r="AC611" s="113"/>
      <c r="AD611" s="113"/>
      <c r="AE611" s="113"/>
      <c r="AF611" s="113"/>
      <c r="AG611" s="113"/>
    </row>
    <row r="612" spans="1:33" ht="13.8">
      <c r="A612" s="113"/>
      <c r="B612" s="113"/>
      <c r="C612" s="113"/>
      <c r="D612" s="111"/>
      <c r="E612" s="113"/>
      <c r="F612" s="111"/>
      <c r="G612" s="113"/>
      <c r="H612" s="111"/>
      <c r="I612" s="113"/>
      <c r="J612" s="113"/>
      <c r="K612" s="113"/>
      <c r="L612" s="113"/>
      <c r="M612" s="113"/>
      <c r="N612" s="113"/>
      <c r="O612" s="113"/>
      <c r="P612" s="113"/>
      <c r="Q612" s="113"/>
      <c r="R612" s="113"/>
      <c r="S612" s="113"/>
      <c r="T612" s="113"/>
      <c r="U612" s="113"/>
      <c r="V612" s="113"/>
      <c r="W612" s="113"/>
      <c r="X612" s="113"/>
      <c r="Y612" s="113"/>
      <c r="Z612" s="113"/>
      <c r="AA612" s="113"/>
      <c r="AB612" s="113"/>
      <c r="AC612" s="113"/>
      <c r="AD612" s="113"/>
      <c r="AE612" s="113"/>
      <c r="AF612" s="113"/>
      <c r="AG612" s="113"/>
    </row>
    <row r="613" spans="1:33" ht="13.8">
      <c r="A613" s="113"/>
      <c r="B613" s="113"/>
      <c r="C613" s="113"/>
      <c r="D613" s="111"/>
      <c r="E613" s="113"/>
      <c r="F613" s="111"/>
      <c r="G613" s="113"/>
      <c r="H613" s="111"/>
      <c r="I613" s="113"/>
      <c r="J613" s="113"/>
      <c r="K613" s="113"/>
      <c r="L613" s="113"/>
      <c r="M613" s="113"/>
      <c r="N613" s="113"/>
      <c r="O613" s="113"/>
      <c r="P613" s="113"/>
      <c r="Q613" s="113"/>
      <c r="R613" s="113"/>
      <c r="S613" s="113"/>
      <c r="T613" s="113"/>
      <c r="U613" s="113"/>
      <c r="V613" s="113"/>
      <c r="W613" s="113"/>
      <c r="X613" s="113"/>
      <c r="Y613" s="113"/>
      <c r="Z613" s="113"/>
      <c r="AA613" s="113"/>
      <c r="AB613" s="113"/>
      <c r="AC613" s="113"/>
      <c r="AD613" s="113"/>
      <c r="AE613" s="113"/>
      <c r="AF613" s="113"/>
      <c r="AG613" s="113"/>
    </row>
    <row r="614" spans="1:33" ht="13.8">
      <c r="A614" s="113"/>
      <c r="B614" s="113"/>
      <c r="C614" s="113"/>
      <c r="D614" s="111"/>
      <c r="E614" s="113"/>
      <c r="F614" s="111"/>
      <c r="G614" s="113"/>
      <c r="H614" s="111"/>
      <c r="I614" s="113"/>
      <c r="J614" s="113"/>
      <c r="K614" s="113"/>
      <c r="L614" s="113"/>
      <c r="M614" s="113"/>
      <c r="N614" s="113"/>
      <c r="O614" s="113"/>
      <c r="P614" s="113"/>
      <c r="Q614" s="113"/>
      <c r="R614" s="113"/>
      <c r="S614" s="113"/>
      <c r="T614" s="113"/>
      <c r="U614" s="113"/>
      <c r="V614" s="113"/>
      <c r="W614" s="113"/>
      <c r="X614" s="113"/>
      <c r="Y614" s="113"/>
      <c r="Z614" s="113"/>
      <c r="AA614" s="113"/>
      <c r="AB614" s="113"/>
      <c r="AC614" s="113"/>
      <c r="AD614" s="113"/>
      <c r="AE614" s="113"/>
      <c r="AF614" s="113"/>
      <c r="AG614" s="113"/>
    </row>
    <row r="615" spans="1:33" ht="13.8">
      <c r="A615" s="113"/>
      <c r="B615" s="113"/>
      <c r="C615" s="113"/>
      <c r="D615" s="111"/>
      <c r="E615" s="113"/>
      <c r="F615" s="111"/>
      <c r="G615" s="113"/>
      <c r="H615" s="111"/>
      <c r="I615" s="113"/>
      <c r="J615" s="113"/>
      <c r="K615" s="113"/>
      <c r="L615" s="113"/>
      <c r="M615" s="113"/>
      <c r="N615" s="113"/>
      <c r="O615" s="113"/>
      <c r="P615" s="113"/>
      <c r="Q615" s="113"/>
      <c r="R615" s="113"/>
      <c r="S615" s="113"/>
      <c r="T615" s="113"/>
      <c r="U615" s="113"/>
      <c r="V615" s="113"/>
      <c r="W615" s="113"/>
      <c r="X615" s="113"/>
      <c r="Y615" s="113"/>
      <c r="Z615" s="113"/>
      <c r="AA615" s="113"/>
      <c r="AB615" s="113"/>
      <c r="AC615" s="113"/>
      <c r="AD615" s="113"/>
      <c r="AE615" s="113"/>
      <c r="AF615" s="113"/>
      <c r="AG615" s="113"/>
    </row>
    <row r="616" spans="1:33" ht="13.8">
      <c r="A616" s="113"/>
      <c r="B616" s="113"/>
      <c r="C616" s="113"/>
      <c r="D616" s="111"/>
      <c r="E616" s="113"/>
      <c r="F616" s="111"/>
      <c r="G616" s="113"/>
      <c r="H616" s="111"/>
      <c r="I616" s="113"/>
      <c r="J616" s="113"/>
      <c r="K616" s="113"/>
      <c r="L616" s="113"/>
      <c r="M616" s="113"/>
      <c r="N616" s="113"/>
      <c r="O616" s="113"/>
      <c r="P616" s="113"/>
      <c r="Q616" s="113"/>
      <c r="R616" s="113"/>
      <c r="S616" s="113"/>
      <c r="T616" s="113"/>
      <c r="U616" s="113"/>
      <c r="V616" s="113"/>
      <c r="W616" s="113"/>
      <c r="X616" s="113"/>
      <c r="Y616" s="113"/>
      <c r="Z616" s="113"/>
      <c r="AA616" s="113"/>
      <c r="AB616" s="113"/>
      <c r="AC616" s="113"/>
      <c r="AD616" s="113"/>
      <c r="AE616" s="113"/>
      <c r="AF616" s="113"/>
      <c r="AG616" s="113"/>
    </row>
    <row r="617" spans="1:33" ht="13.8">
      <c r="A617" s="113"/>
      <c r="B617" s="113"/>
      <c r="C617" s="113"/>
      <c r="D617" s="111"/>
      <c r="E617" s="113"/>
      <c r="F617" s="111"/>
      <c r="G617" s="113"/>
      <c r="H617" s="111"/>
      <c r="I617" s="113"/>
      <c r="J617" s="113"/>
      <c r="K617" s="113"/>
      <c r="L617" s="113"/>
      <c r="M617" s="113"/>
      <c r="N617" s="113"/>
      <c r="O617" s="113"/>
      <c r="P617" s="113"/>
      <c r="Q617" s="113"/>
      <c r="R617" s="113"/>
      <c r="S617" s="113"/>
      <c r="T617" s="113"/>
      <c r="U617" s="113"/>
      <c r="V617" s="113"/>
      <c r="W617" s="113"/>
      <c r="X617" s="113"/>
      <c r="Y617" s="113"/>
      <c r="Z617" s="113"/>
      <c r="AA617" s="113"/>
      <c r="AB617" s="113"/>
      <c r="AC617" s="113"/>
      <c r="AD617" s="113"/>
      <c r="AE617" s="113"/>
      <c r="AF617" s="113"/>
      <c r="AG617" s="113"/>
    </row>
    <row r="618" spans="1:33" ht="13.8">
      <c r="A618" s="113"/>
      <c r="B618" s="113"/>
      <c r="C618" s="113"/>
      <c r="D618" s="111"/>
      <c r="E618" s="113"/>
      <c r="F618" s="111"/>
      <c r="G618" s="113"/>
      <c r="H618" s="111"/>
      <c r="I618" s="113"/>
      <c r="J618" s="113"/>
      <c r="K618" s="113"/>
      <c r="L618" s="113"/>
      <c r="M618" s="113"/>
      <c r="N618" s="113"/>
      <c r="O618" s="113"/>
      <c r="P618" s="113"/>
      <c r="Q618" s="113"/>
      <c r="R618" s="113"/>
      <c r="S618" s="113"/>
      <c r="T618" s="113"/>
      <c r="U618" s="113"/>
      <c r="V618" s="113"/>
      <c r="W618" s="113"/>
      <c r="X618" s="113"/>
      <c r="Y618" s="113"/>
      <c r="Z618" s="113"/>
      <c r="AA618" s="113"/>
      <c r="AB618" s="113"/>
      <c r="AC618" s="113"/>
      <c r="AD618" s="113"/>
      <c r="AE618" s="113"/>
      <c r="AF618" s="113"/>
      <c r="AG618" s="113"/>
    </row>
    <row r="619" spans="1:33" ht="13.8">
      <c r="A619" s="113"/>
      <c r="B619" s="113"/>
      <c r="C619" s="113"/>
      <c r="D619" s="111"/>
      <c r="E619" s="113"/>
      <c r="F619" s="111"/>
      <c r="G619" s="113"/>
      <c r="H619" s="111"/>
      <c r="I619" s="113"/>
      <c r="J619" s="113"/>
      <c r="K619" s="113"/>
      <c r="L619" s="113"/>
      <c r="M619" s="113"/>
      <c r="N619" s="113"/>
      <c r="O619" s="113"/>
      <c r="P619" s="113"/>
      <c r="Q619" s="113"/>
      <c r="R619" s="113"/>
      <c r="S619" s="113"/>
      <c r="T619" s="113"/>
      <c r="U619" s="113"/>
      <c r="V619" s="113"/>
      <c r="W619" s="113"/>
      <c r="X619" s="113"/>
      <c r="Y619" s="113"/>
      <c r="Z619" s="113"/>
      <c r="AA619" s="113"/>
      <c r="AB619" s="113"/>
      <c r="AC619" s="113"/>
      <c r="AD619" s="113"/>
      <c r="AE619" s="113"/>
      <c r="AF619" s="113"/>
      <c r="AG619" s="113"/>
    </row>
    <row r="620" spans="1:33" ht="13.8">
      <c r="A620" s="113"/>
      <c r="B620" s="113"/>
      <c r="C620" s="113"/>
      <c r="D620" s="111"/>
      <c r="E620" s="113"/>
      <c r="F620" s="111"/>
      <c r="G620" s="113"/>
      <c r="H620" s="111"/>
      <c r="I620" s="113"/>
      <c r="J620" s="113"/>
      <c r="K620" s="113"/>
      <c r="L620" s="113"/>
      <c r="M620" s="113"/>
      <c r="N620" s="113"/>
      <c r="O620" s="113"/>
      <c r="P620" s="113"/>
      <c r="Q620" s="113"/>
      <c r="R620" s="113"/>
      <c r="S620" s="113"/>
      <c r="T620" s="113"/>
      <c r="U620" s="113"/>
      <c r="V620" s="113"/>
      <c r="W620" s="113"/>
      <c r="X620" s="113"/>
      <c r="Y620" s="113"/>
      <c r="Z620" s="113"/>
      <c r="AA620" s="113"/>
      <c r="AB620" s="113"/>
      <c r="AC620" s="113"/>
      <c r="AD620" s="113"/>
      <c r="AE620" s="113"/>
      <c r="AF620" s="113"/>
      <c r="AG620" s="113"/>
    </row>
    <row r="621" spans="1:33" ht="13.8">
      <c r="A621" s="113"/>
      <c r="B621" s="113"/>
      <c r="C621" s="113"/>
      <c r="D621" s="111"/>
      <c r="E621" s="113"/>
      <c r="F621" s="111"/>
      <c r="G621" s="113"/>
      <c r="H621" s="111"/>
      <c r="I621" s="113"/>
      <c r="J621" s="113"/>
      <c r="K621" s="113"/>
      <c r="L621" s="113"/>
      <c r="M621" s="113"/>
      <c r="N621" s="113"/>
      <c r="O621" s="113"/>
      <c r="P621" s="113"/>
      <c r="Q621" s="113"/>
      <c r="R621" s="113"/>
      <c r="S621" s="113"/>
      <c r="T621" s="113"/>
      <c r="U621" s="113"/>
      <c r="V621" s="113"/>
      <c r="W621" s="113"/>
      <c r="X621" s="113"/>
      <c r="Y621" s="113"/>
      <c r="Z621" s="113"/>
      <c r="AA621" s="113"/>
      <c r="AB621" s="113"/>
      <c r="AC621" s="113"/>
      <c r="AD621" s="113"/>
      <c r="AE621" s="113"/>
      <c r="AF621" s="113"/>
      <c r="AG621" s="113"/>
    </row>
    <row r="622" spans="1:33" ht="13.8">
      <c r="A622" s="113"/>
      <c r="B622" s="113"/>
      <c r="C622" s="113"/>
      <c r="D622" s="111"/>
      <c r="E622" s="113"/>
      <c r="F622" s="111"/>
      <c r="G622" s="113"/>
      <c r="H622" s="111"/>
      <c r="I622" s="113"/>
      <c r="J622" s="113"/>
      <c r="K622" s="113"/>
      <c r="L622" s="113"/>
      <c r="M622" s="113"/>
      <c r="N622" s="113"/>
      <c r="O622" s="113"/>
      <c r="P622" s="113"/>
      <c r="Q622" s="113"/>
      <c r="R622" s="113"/>
      <c r="S622" s="113"/>
      <c r="T622" s="113"/>
      <c r="U622" s="113"/>
      <c r="V622" s="113"/>
      <c r="W622" s="113"/>
      <c r="X622" s="113"/>
      <c r="Y622" s="113"/>
      <c r="Z622" s="113"/>
      <c r="AA622" s="113"/>
      <c r="AB622" s="113"/>
      <c r="AC622" s="113"/>
      <c r="AD622" s="113"/>
      <c r="AE622" s="113"/>
      <c r="AF622" s="113"/>
      <c r="AG622" s="113"/>
    </row>
    <row r="623" spans="1:33" ht="13.8">
      <c r="A623" s="113"/>
      <c r="B623" s="113"/>
      <c r="C623" s="113"/>
      <c r="D623" s="111"/>
      <c r="E623" s="113"/>
      <c r="F623" s="111"/>
      <c r="G623" s="113"/>
      <c r="H623" s="111"/>
      <c r="I623" s="113"/>
      <c r="J623" s="113"/>
      <c r="K623" s="113"/>
      <c r="L623" s="113"/>
      <c r="M623" s="113"/>
      <c r="N623" s="113"/>
      <c r="O623" s="113"/>
      <c r="P623" s="113"/>
      <c r="Q623" s="113"/>
      <c r="R623" s="113"/>
      <c r="S623" s="113"/>
      <c r="T623" s="113"/>
      <c r="U623" s="113"/>
      <c r="V623" s="113"/>
      <c r="W623" s="113"/>
      <c r="X623" s="113"/>
      <c r="Y623" s="113"/>
      <c r="Z623" s="113"/>
      <c r="AA623" s="113"/>
      <c r="AB623" s="113"/>
      <c r="AC623" s="113"/>
      <c r="AD623" s="113"/>
      <c r="AE623" s="113"/>
      <c r="AF623" s="113"/>
      <c r="AG623" s="113"/>
    </row>
    <row r="624" spans="1:33" ht="13.8">
      <c r="A624" s="113"/>
      <c r="B624" s="113"/>
      <c r="C624" s="113"/>
      <c r="D624" s="111"/>
      <c r="E624" s="113"/>
      <c r="F624" s="111"/>
      <c r="G624" s="113"/>
      <c r="H624" s="111"/>
      <c r="I624" s="113"/>
      <c r="J624" s="113"/>
      <c r="K624" s="113"/>
      <c r="L624" s="113"/>
      <c r="M624" s="113"/>
      <c r="N624" s="113"/>
      <c r="O624" s="113"/>
      <c r="P624" s="113"/>
      <c r="Q624" s="113"/>
      <c r="R624" s="113"/>
      <c r="S624" s="113"/>
      <c r="T624" s="113"/>
      <c r="U624" s="113"/>
      <c r="V624" s="113"/>
      <c r="W624" s="113"/>
      <c r="X624" s="113"/>
      <c r="Y624" s="113"/>
      <c r="Z624" s="113"/>
      <c r="AA624" s="113"/>
      <c r="AB624" s="113"/>
      <c r="AC624" s="113"/>
      <c r="AD624" s="113"/>
      <c r="AE624" s="113"/>
      <c r="AF624" s="113"/>
      <c r="AG624" s="113"/>
    </row>
    <row r="625" spans="1:33" ht="13.8">
      <c r="A625" s="113"/>
      <c r="B625" s="113"/>
      <c r="C625" s="113"/>
      <c r="D625" s="111"/>
      <c r="E625" s="113"/>
      <c r="F625" s="111"/>
      <c r="G625" s="113"/>
      <c r="H625" s="111"/>
      <c r="I625" s="113"/>
      <c r="J625" s="113"/>
      <c r="K625" s="113"/>
      <c r="L625" s="113"/>
      <c r="M625" s="113"/>
      <c r="N625" s="113"/>
      <c r="O625" s="113"/>
      <c r="P625" s="113"/>
      <c r="Q625" s="113"/>
      <c r="R625" s="113"/>
      <c r="S625" s="113"/>
      <c r="T625" s="113"/>
      <c r="U625" s="113"/>
      <c r="V625" s="113"/>
      <c r="W625" s="113"/>
      <c r="X625" s="113"/>
      <c r="Y625" s="113"/>
      <c r="Z625" s="113"/>
      <c r="AA625" s="113"/>
      <c r="AB625" s="113"/>
      <c r="AC625" s="113"/>
      <c r="AD625" s="113"/>
      <c r="AE625" s="113"/>
      <c r="AF625" s="113"/>
      <c r="AG625" s="113"/>
    </row>
    <row r="626" spans="1:33" ht="13.8">
      <c r="A626" s="113"/>
      <c r="B626" s="113"/>
      <c r="C626" s="113"/>
      <c r="D626" s="111"/>
      <c r="E626" s="113"/>
      <c r="F626" s="111"/>
      <c r="G626" s="113"/>
      <c r="H626" s="111"/>
      <c r="I626" s="113"/>
      <c r="J626" s="113"/>
      <c r="K626" s="113"/>
      <c r="L626" s="113"/>
      <c r="M626" s="113"/>
      <c r="N626" s="113"/>
      <c r="O626" s="113"/>
      <c r="P626" s="113"/>
      <c r="Q626" s="113"/>
      <c r="R626" s="113"/>
      <c r="S626" s="113"/>
      <c r="T626" s="113"/>
      <c r="U626" s="113"/>
      <c r="V626" s="113"/>
      <c r="W626" s="113"/>
      <c r="X626" s="113"/>
      <c r="Y626" s="113"/>
      <c r="Z626" s="113"/>
      <c r="AA626" s="113"/>
      <c r="AB626" s="113"/>
      <c r="AC626" s="113"/>
      <c r="AD626" s="113"/>
      <c r="AE626" s="113"/>
      <c r="AF626" s="113"/>
      <c r="AG626" s="113"/>
    </row>
    <row r="627" spans="1:33" ht="13.8">
      <c r="A627" s="113"/>
      <c r="B627" s="113"/>
      <c r="C627" s="113"/>
      <c r="D627" s="111"/>
      <c r="E627" s="113"/>
      <c r="F627" s="111"/>
      <c r="G627" s="113"/>
      <c r="H627" s="111"/>
      <c r="I627" s="113"/>
      <c r="J627" s="113"/>
      <c r="K627" s="113"/>
      <c r="L627" s="113"/>
      <c r="M627" s="113"/>
      <c r="N627" s="113"/>
      <c r="O627" s="113"/>
      <c r="P627" s="113"/>
      <c r="Q627" s="113"/>
      <c r="R627" s="113"/>
      <c r="S627" s="113"/>
      <c r="T627" s="113"/>
      <c r="U627" s="113"/>
      <c r="V627" s="113"/>
      <c r="W627" s="113"/>
      <c r="X627" s="113"/>
      <c r="Y627" s="113"/>
      <c r="Z627" s="113"/>
      <c r="AA627" s="113"/>
      <c r="AB627" s="113"/>
      <c r="AC627" s="113"/>
      <c r="AD627" s="113"/>
      <c r="AE627" s="113"/>
      <c r="AF627" s="113"/>
      <c r="AG627" s="113"/>
    </row>
    <row r="628" spans="1:33" ht="13.8">
      <c r="A628" s="113"/>
      <c r="B628" s="113"/>
      <c r="C628" s="113"/>
      <c r="D628" s="111"/>
      <c r="E628" s="113"/>
      <c r="F628" s="111"/>
      <c r="G628" s="113"/>
      <c r="H628" s="111"/>
      <c r="I628" s="113"/>
      <c r="J628" s="113"/>
      <c r="K628" s="113"/>
      <c r="L628" s="113"/>
      <c r="M628" s="113"/>
      <c r="N628" s="113"/>
      <c r="O628" s="113"/>
      <c r="P628" s="113"/>
      <c r="Q628" s="113"/>
      <c r="R628" s="113"/>
      <c r="S628" s="113"/>
      <c r="T628" s="113"/>
      <c r="U628" s="113"/>
      <c r="V628" s="113"/>
      <c r="W628" s="113"/>
      <c r="X628" s="113"/>
      <c r="Y628" s="113"/>
      <c r="Z628" s="113"/>
      <c r="AA628" s="113"/>
      <c r="AB628" s="113"/>
      <c r="AC628" s="113"/>
      <c r="AD628" s="113"/>
      <c r="AE628" s="113"/>
      <c r="AF628" s="113"/>
      <c r="AG628" s="113"/>
    </row>
    <row r="629" spans="1:33" ht="13.8">
      <c r="A629" s="113"/>
      <c r="B629" s="113"/>
      <c r="C629" s="113"/>
      <c r="D629" s="111"/>
      <c r="E629" s="113"/>
      <c r="F629" s="111"/>
      <c r="G629" s="113"/>
      <c r="H629" s="111"/>
      <c r="I629" s="113"/>
      <c r="J629" s="113"/>
      <c r="K629" s="113"/>
      <c r="L629" s="113"/>
      <c r="M629" s="113"/>
      <c r="N629" s="113"/>
      <c r="O629" s="113"/>
      <c r="P629" s="113"/>
      <c r="Q629" s="113"/>
      <c r="R629" s="113"/>
      <c r="S629" s="113"/>
      <c r="T629" s="113"/>
      <c r="U629" s="113"/>
      <c r="V629" s="113"/>
      <c r="W629" s="113"/>
      <c r="X629" s="113"/>
      <c r="Y629" s="113"/>
      <c r="Z629" s="113"/>
      <c r="AA629" s="113"/>
      <c r="AB629" s="113"/>
      <c r="AC629" s="113"/>
      <c r="AD629" s="113"/>
      <c r="AE629" s="113"/>
      <c r="AF629" s="113"/>
      <c r="AG629" s="113"/>
    </row>
    <row r="630" spans="1:33" ht="13.8">
      <c r="A630" s="113"/>
      <c r="B630" s="113"/>
      <c r="C630" s="113"/>
      <c r="D630" s="111"/>
      <c r="E630" s="113"/>
      <c r="F630" s="111"/>
      <c r="G630" s="113"/>
      <c r="H630" s="111"/>
      <c r="I630" s="113"/>
      <c r="J630" s="113"/>
      <c r="K630" s="113"/>
      <c r="L630" s="113"/>
      <c r="M630" s="113"/>
      <c r="N630" s="113"/>
      <c r="O630" s="113"/>
      <c r="P630" s="113"/>
      <c r="Q630" s="113"/>
      <c r="R630" s="113"/>
      <c r="S630" s="113"/>
      <c r="T630" s="113"/>
      <c r="U630" s="113"/>
      <c r="V630" s="113"/>
      <c r="W630" s="113"/>
      <c r="X630" s="113"/>
      <c r="Y630" s="113"/>
      <c r="Z630" s="113"/>
      <c r="AA630" s="113"/>
      <c r="AB630" s="113"/>
      <c r="AC630" s="113"/>
      <c r="AD630" s="113"/>
      <c r="AE630" s="113"/>
      <c r="AF630" s="113"/>
      <c r="AG630" s="113"/>
    </row>
    <row r="631" spans="1:33" ht="13.8">
      <c r="A631" s="113"/>
      <c r="B631" s="113"/>
      <c r="C631" s="113"/>
      <c r="D631" s="111"/>
      <c r="E631" s="113"/>
      <c r="F631" s="111"/>
      <c r="G631" s="113"/>
      <c r="H631" s="111"/>
      <c r="I631" s="113"/>
      <c r="J631" s="113"/>
      <c r="K631" s="113"/>
      <c r="L631" s="113"/>
      <c r="M631" s="113"/>
      <c r="N631" s="113"/>
      <c r="O631" s="113"/>
      <c r="P631" s="113"/>
      <c r="Q631" s="113"/>
      <c r="R631" s="113"/>
      <c r="S631" s="113"/>
      <c r="T631" s="113"/>
      <c r="U631" s="113"/>
      <c r="V631" s="113"/>
      <c r="W631" s="113"/>
      <c r="X631" s="113"/>
      <c r="Y631" s="113"/>
      <c r="Z631" s="113"/>
      <c r="AA631" s="113"/>
      <c r="AB631" s="113"/>
      <c r="AC631" s="113"/>
      <c r="AD631" s="113"/>
      <c r="AE631" s="113"/>
      <c r="AF631" s="113"/>
      <c r="AG631" s="113"/>
    </row>
    <row r="632" spans="1:33" ht="13.8">
      <c r="A632" s="113"/>
      <c r="B632" s="113"/>
      <c r="C632" s="113"/>
      <c r="D632" s="111"/>
      <c r="E632" s="113"/>
      <c r="F632" s="111"/>
      <c r="G632" s="113"/>
      <c r="H632" s="111"/>
      <c r="I632" s="113"/>
      <c r="J632" s="113"/>
      <c r="K632" s="113"/>
      <c r="L632" s="113"/>
      <c r="M632" s="113"/>
      <c r="N632" s="113"/>
      <c r="O632" s="113"/>
      <c r="P632" s="113"/>
      <c r="Q632" s="113"/>
      <c r="R632" s="113"/>
      <c r="S632" s="113"/>
      <c r="T632" s="113"/>
      <c r="U632" s="113"/>
      <c r="V632" s="113"/>
      <c r="W632" s="113"/>
      <c r="X632" s="113"/>
      <c r="Y632" s="113"/>
      <c r="Z632" s="113"/>
      <c r="AA632" s="113"/>
      <c r="AB632" s="113"/>
      <c r="AC632" s="113"/>
      <c r="AD632" s="113"/>
      <c r="AE632" s="113"/>
      <c r="AF632" s="113"/>
      <c r="AG632" s="113"/>
    </row>
    <row r="633" spans="1:33" ht="13.8">
      <c r="A633" s="113"/>
      <c r="B633" s="113"/>
      <c r="C633" s="113"/>
      <c r="D633" s="111"/>
      <c r="E633" s="113"/>
      <c r="F633" s="111"/>
      <c r="G633" s="113"/>
      <c r="H633" s="111"/>
      <c r="I633" s="113"/>
      <c r="J633" s="113"/>
      <c r="K633" s="113"/>
      <c r="L633" s="113"/>
      <c r="M633" s="113"/>
      <c r="N633" s="113"/>
      <c r="O633" s="113"/>
      <c r="P633" s="113"/>
      <c r="Q633" s="113"/>
      <c r="R633" s="113"/>
      <c r="S633" s="113"/>
      <c r="T633" s="113"/>
      <c r="U633" s="113"/>
      <c r="V633" s="113"/>
      <c r="W633" s="113"/>
      <c r="X633" s="113"/>
      <c r="Y633" s="113"/>
      <c r="Z633" s="113"/>
      <c r="AA633" s="113"/>
      <c r="AB633" s="113"/>
      <c r="AC633" s="113"/>
      <c r="AD633" s="113"/>
      <c r="AE633" s="113"/>
      <c r="AF633" s="113"/>
      <c r="AG633" s="113"/>
    </row>
    <row r="634" spans="1:33" ht="13.8">
      <c r="A634" s="113"/>
      <c r="B634" s="113"/>
      <c r="C634" s="113"/>
      <c r="D634" s="111"/>
      <c r="E634" s="113"/>
      <c r="F634" s="111"/>
      <c r="G634" s="113"/>
      <c r="H634" s="111"/>
      <c r="I634" s="113"/>
      <c r="J634" s="113"/>
      <c r="K634" s="113"/>
      <c r="L634" s="113"/>
      <c r="M634" s="113"/>
      <c r="N634" s="113"/>
      <c r="O634" s="113"/>
      <c r="P634" s="113"/>
      <c r="Q634" s="113"/>
      <c r="R634" s="113"/>
      <c r="S634" s="113"/>
      <c r="T634" s="113"/>
      <c r="U634" s="113"/>
      <c r="V634" s="113"/>
      <c r="W634" s="113"/>
      <c r="X634" s="113"/>
      <c r="Y634" s="113"/>
      <c r="Z634" s="113"/>
      <c r="AA634" s="113"/>
      <c r="AB634" s="113"/>
      <c r="AC634" s="113"/>
      <c r="AD634" s="113"/>
      <c r="AE634" s="113"/>
      <c r="AF634" s="113"/>
      <c r="AG634" s="113"/>
    </row>
    <row r="635" spans="1:33" ht="13.8">
      <c r="A635" s="113"/>
      <c r="B635" s="113"/>
      <c r="C635" s="113"/>
      <c r="D635" s="111"/>
      <c r="E635" s="113"/>
      <c r="F635" s="111"/>
      <c r="G635" s="113"/>
      <c r="H635" s="111"/>
      <c r="I635" s="113"/>
      <c r="J635" s="113"/>
      <c r="K635" s="113"/>
      <c r="L635" s="113"/>
      <c r="M635" s="113"/>
      <c r="N635" s="113"/>
      <c r="O635" s="113"/>
      <c r="P635" s="113"/>
      <c r="Q635" s="113"/>
      <c r="R635" s="113"/>
      <c r="S635" s="113"/>
      <c r="T635" s="113"/>
      <c r="U635" s="113"/>
      <c r="V635" s="113"/>
      <c r="W635" s="113"/>
      <c r="X635" s="113"/>
      <c r="Y635" s="113"/>
      <c r="Z635" s="113"/>
      <c r="AA635" s="113"/>
      <c r="AB635" s="113"/>
      <c r="AC635" s="113"/>
      <c r="AD635" s="113"/>
      <c r="AE635" s="113"/>
      <c r="AF635" s="113"/>
      <c r="AG635" s="113"/>
    </row>
    <row r="636" spans="1:33" ht="13.8">
      <c r="A636" s="113"/>
      <c r="B636" s="113"/>
      <c r="C636" s="113"/>
      <c r="D636" s="111"/>
      <c r="E636" s="113"/>
      <c r="F636" s="111"/>
      <c r="G636" s="113"/>
      <c r="H636" s="111"/>
      <c r="I636" s="113"/>
      <c r="J636" s="113"/>
      <c r="K636" s="113"/>
      <c r="L636" s="113"/>
      <c r="M636" s="113"/>
      <c r="N636" s="113"/>
      <c r="O636" s="113"/>
      <c r="P636" s="113"/>
      <c r="Q636" s="113"/>
      <c r="R636" s="113"/>
      <c r="S636" s="113"/>
      <c r="T636" s="113"/>
      <c r="U636" s="113"/>
      <c r="V636" s="113"/>
      <c r="W636" s="113"/>
      <c r="X636" s="113"/>
      <c r="Y636" s="113"/>
      <c r="Z636" s="113"/>
      <c r="AA636" s="113"/>
      <c r="AB636" s="113"/>
      <c r="AC636" s="113"/>
      <c r="AD636" s="113"/>
      <c r="AE636" s="113"/>
      <c r="AF636" s="113"/>
      <c r="AG636" s="113"/>
    </row>
    <row r="637" spans="1:33" ht="13.8">
      <c r="A637" s="113"/>
      <c r="B637" s="113"/>
      <c r="C637" s="113"/>
      <c r="D637" s="111"/>
      <c r="E637" s="113"/>
      <c r="F637" s="111"/>
      <c r="G637" s="113"/>
      <c r="H637" s="111"/>
      <c r="I637" s="113"/>
      <c r="J637" s="113"/>
      <c r="K637" s="113"/>
      <c r="L637" s="113"/>
      <c r="M637" s="113"/>
      <c r="N637" s="113"/>
      <c r="O637" s="113"/>
      <c r="P637" s="113"/>
      <c r="Q637" s="113"/>
      <c r="R637" s="113"/>
      <c r="S637" s="113"/>
      <c r="T637" s="113"/>
      <c r="U637" s="113"/>
      <c r="V637" s="113"/>
      <c r="W637" s="113"/>
      <c r="X637" s="113"/>
      <c r="Y637" s="113"/>
      <c r="Z637" s="113"/>
      <c r="AA637" s="113"/>
      <c r="AB637" s="113"/>
      <c r="AC637" s="113"/>
      <c r="AD637" s="113"/>
      <c r="AE637" s="113"/>
      <c r="AF637" s="113"/>
      <c r="AG637" s="113"/>
    </row>
    <row r="638" spans="1:33" ht="13.8">
      <c r="A638" s="113"/>
      <c r="B638" s="113"/>
      <c r="C638" s="113"/>
      <c r="D638" s="111"/>
      <c r="E638" s="113"/>
      <c r="F638" s="111"/>
      <c r="G638" s="113"/>
      <c r="H638" s="111"/>
      <c r="I638" s="113"/>
      <c r="J638" s="113"/>
      <c r="K638" s="113"/>
      <c r="L638" s="113"/>
      <c r="M638" s="113"/>
      <c r="N638" s="113"/>
      <c r="O638" s="113"/>
      <c r="P638" s="113"/>
      <c r="Q638" s="113"/>
      <c r="R638" s="113"/>
      <c r="S638" s="113"/>
      <c r="T638" s="113"/>
      <c r="U638" s="113"/>
      <c r="V638" s="113"/>
      <c r="W638" s="113"/>
      <c r="X638" s="113"/>
      <c r="Y638" s="113"/>
      <c r="Z638" s="113"/>
      <c r="AA638" s="113"/>
      <c r="AB638" s="113"/>
      <c r="AC638" s="113"/>
      <c r="AD638" s="113"/>
      <c r="AE638" s="113"/>
      <c r="AF638" s="113"/>
      <c r="AG638" s="113"/>
    </row>
    <row r="639" spans="1:33" ht="13.8">
      <c r="A639" s="113"/>
      <c r="B639" s="113"/>
      <c r="C639" s="113"/>
      <c r="D639" s="111"/>
      <c r="E639" s="113"/>
      <c r="F639" s="111"/>
      <c r="G639" s="113"/>
      <c r="H639" s="111"/>
      <c r="I639" s="113"/>
      <c r="J639" s="113"/>
      <c r="K639" s="113"/>
      <c r="L639" s="113"/>
      <c r="M639" s="113"/>
      <c r="N639" s="113"/>
      <c r="O639" s="113"/>
      <c r="P639" s="113"/>
      <c r="Q639" s="113"/>
      <c r="R639" s="113"/>
      <c r="S639" s="113"/>
      <c r="T639" s="113"/>
      <c r="U639" s="113"/>
      <c r="V639" s="113"/>
      <c r="W639" s="113"/>
      <c r="X639" s="113"/>
      <c r="Y639" s="113"/>
      <c r="Z639" s="113"/>
      <c r="AA639" s="113"/>
      <c r="AB639" s="113"/>
      <c r="AC639" s="113"/>
      <c r="AD639" s="113"/>
      <c r="AE639" s="113"/>
      <c r="AF639" s="113"/>
      <c r="AG639" s="113"/>
    </row>
    <row r="640" spans="1:33" ht="13.8">
      <c r="A640" s="113"/>
      <c r="B640" s="113"/>
      <c r="C640" s="113"/>
      <c r="D640" s="111"/>
      <c r="E640" s="113"/>
      <c r="F640" s="111"/>
      <c r="G640" s="113"/>
      <c r="H640" s="111"/>
      <c r="I640" s="113"/>
      <c r="J640" s="113"/>
      <c r="K640" s="113"/>
      <c r="L640" s="113"/>
      <c r="M640" s="113"/>
      <c r="N640" s="113"/>
      <c r="O640" s="113"/>
      <c r="P640" s="113"/>
      <c r="Q640" s="113"/>
      <c r="R640" s="113"/>
      <c r="S640" s="113"/>
      <c r="T640" s="113"/>
      <c r="U640" s="113"/>
      <c r="V640" s="113"/>
      <c r="W640" s="113"/>
      <c r="X640" s="113"/>
      <c r="Y640" s="113"/>
      <c r="Z640" s="113"/>
      <c r="AA640" s="113"/>
      <c r="AB640" s="113"/>
      <c r="AC640" s="113"/>
      <c r="AD640" s="113"/>
      <c r="AE640" s="113"/>
      <c r="AF640" s="113"/>
      <c r="AG640" s="113"/>
    </row>
    <row r="641" spans="1:33" ht="13.8">
      <c r="A641" s="113"/>
      <c r="B641" s="113"/>
      <c r="C641" s="113"/>
      <c r="D641" s="111"/>
      <c r="E641" s="113"/>
      <c r="F641" s="111"/>
      <c r="G641" s="113"/>
      <c r="H641" s="111"/>
      <c r="I641" s="113"/>
      <c r="J641" s="113"/>
      <c r="K641" s="113"/>
      <c r="L641" s="113"/>
      <c r="M641" s="113"/>
      <c r="N641" s="113"/>
      <c r="O641" s="113"/>
      <c r="P641" s="113"/>
      <c r="Q641" s="113"/>
      <c r="R641" s="113"/>
      <c r="S641" s="113"/>
      <c r="T641" s="113"/>
      <c r="U641" s="113"/>
      <c r="V641" s="113"/>
      <c r="W641" s="113"/>
      <c r="X641" s="113"/>
      <c r="Y641" s="113"/>
      <c r="Z641" s="113"/>
      <c r="AA641" s="113"/>
      <c r="AB641" s="113"/>
      <c r="AC641" s="113"/>
      <c r="AD641" s="113"/>
      <c r="AE641" s="113"/>
      <c r="AF641" s="113"/>
      <c r="AG641" s="113"/>
    </row>
    <row r="642" spans="1:33" ht="13.8">
      <c r="A642" s="113"/>
      <c r="B642" s="113"/>
      <c r="C642" s="113"/>
      <c r="D642" s="111"/>
      <c r="E642" s="113"/>
      <c r="F642" s="111"/>
      <c r="G642" s="113"/>
      <c r="H642" s="111"/>
      <c r="I642" s="113"/>
      <c r="J642" s="113"/>
      <c r="K642" s="113"/>
      <c r="L642" s="113"/>
      <c r="M642" s="113"/>
      <c r="N642" s="113"/>
      <c r="O642" s="113"/>
      <c r="P642" s="113"/>
      <c r="Q642" s="113"/>
      <c r="R642" s="113"/>
      <c r="S642" s="113"/>
      <c r="T642" s="113"/>
      <c r="U642" s="113"/>
      <c r="V642" s="113"/>
      <c r="W642" s="113"/>
      <c r="X642" s="113"/>
      <c r="Y642" s="113"/>
      <c r="Z642" s="113"/>
      <c r="AA642" s="113"/>
      <c r="AB642" s="113"/>
      <c r="AC642" s="113"/>
      <c r="AD642" s="113"/>
      <c r="AE642" s="113"/>
      <c r="AF642" s="113"/>
      <c r="AG642" s="113"/>
    </row>
    <row r="643" spans="1:33" ht="13.8">
      <c r="A643" s="113"/>
      <c r="B643" s="113"/>
      <c r="C643" s="113"/>
      <c r="D643" s="111"/>
      <c r="E643" s="113"/>
      <c r="F643" s="111"/>
      <c r="G643" s="113"/>
      <c r="H643" s="111"/>
      <c r="I643" s="113"/>
      <c r="J643" s="113"/>
      <c r="K643" s="113"/>
      <c r="L643" s="113"/>
      <c r="M643" s="113"/>
      <c r="N643" s="113"/>
      <c r="O643" s="113"/>
      <c r="P643" s="113"/>
      <c r="Q643" s="113"/>
      <c r="R643" s="113"/>
      <c r="S643" s="113"/>
      <c r="T643" s="113"/>
      <c r="U643" s="113"/>
      <c r="V643" s="113"/>
      <c r="W643" s="113"/>
      <c r="X643" s="113"/>
      <c r="Y643" s="113"/>
      <c r="Z643" s="113"/>
      <c r="AA643" s="113"/>
      <c r="AB643" s="113"/>
      <c r="AC643" s="113"/>
      <c r="AD643" s="113"/>
      <c r="AE643" s="113"/>
      <c r="AF643" s="113"/>
      <c r="AG643" s="113"/>
    </row>
    <row r="644" spans="1:33" ht="13.8">
      <c r="A644" s="113"/>
      <c r="B644" s="113"/>
      <c r="C644" s="113"/>
      <c r="D644" s="111"/>
      <c r="E644" s="113"/>
      <c r="F644" s="111"/>
      <c r="G644" s="113"/>
      <c r="H644" s="111"/>
      <c r="I644" s="113"/>
      <c r="J644" s="113"/>
      <c r="K644" s="113"/>
      <c r="L644" s="113"/>
      <c r="M644" s="113"/>
      <c r="N644" s="113"/>
      <c r="O644" s="113"/>
      <c r="P644" s="113"/>
      <c r="Q644" s="113"/>
      <c r="R644" s="113"/>
      <c r="S644" s="113"/>
      <c r="T644" s="113"/>
      <c r="U644" s="113"/>
      <c r="V644" s="113"/>
      <c r="W644" s="113"/>
      <c r="X644" s="113"/>
      <c r="Y644" s="113"/>
      <c r="Z644" s="113"/>
      <c r="AA644" s="113"/>
      <c r="AB644" s="113"/>
      <c r="AC644" s="113"/>
      <c r="AD644" s="113"/>
      <c r="AE644" s="113"/>
      <c r="AF644" s="113"/>
      <c r="AG644" s="113"/>
    </row>
    <row r="645" spans="1:33" ht="13.8">
      <c r="A645" s="113"/>
      <c r="B645" s="113"/>
      <c r="C645" s="113"/>
      <c r="D645" s="111"/>
      <c r="E645" s="113"/>
      <c r="F645" s="111"/>
      <c r="G645" s="113"/>
      <c r="H645" s="111"/>
      <c r="I645" s="113"/>
      <c r="J645" s="113"/>
      <c r="K645" s="113"/>
      <c r="L645" s="113"/>
      <c r="M645" s="113"/>
      <c r="N645" s="113"/>
      <c r="O645" s="113"/>
      <c r="P645" s="113"/>
      <c r="Q645" s="113"/>
      <c r="R645" s="113"/>
      <c r="S645" s="113"/>
      <c r="T645" s="113"/>
      <c r="U645" s="113"/>
      <c r="V645" s="113"/>
      <c r="W645" s="113"/>
      <c r="X645" s="113"/>
      <c r="Y645" s="113"/>
      <c r="Z645" s="113"/>
      <c r="AA645" s="113"/>
      <c r="AB645" s="113"/>
      <c r="AC645" s="113"/>
      <c r="AD645" s="113"/>
      <c r="AE645" s="113"/>
      <c r="AF645" s="113"/>
      <c r="AG645" s="113"/>
    </row>
    <row r="646" spans="1:33" ht="13.8">
      <c r="A646" s="113"/>
      <c r="B646" s="113"/>
      <c r="C646" s="113"/>
      <c r="D646" s="111"/>
      <c r="E646" s="113"/>
      <c r="F646" s="111"/>
      <c r="G646" s="113"/>
      <c r="H646" s="111"/>
      <c r="I646" s="113"/>
      <c r="J646" s="113"/>
      <c r="K646" s="113"/>
      <c r="L646" s="113"/>
      <c r="M646" s="113"/>
      <c r="N646" s="113"/>
      <c r="O646" s="113"/>
      <c r="P646" s="113"/>
      <c r="Q646" s="113"/>
      <c r="R646" s="113"/>
      <c r="S646" s="113"/>
      <c r="T646" s="113"/>
      <c r="U646" s="113"/>
      <c r="V646" s="113"/>
      <c r="W646" s="113"/>
      <c r="X646" s="113"/>
      <c r="Y646" s="113"/>
      <c r="Z646" s="113"/>
      <c r="AA646" s="113"/>
      <c r="AB646" s="113"/>
      <c r="AC646" s="113"/>
      <c r="AD646" s="113"/>
      <c r="AE646" s="113"/>
      <c r="AF646" s="113"/>
      <c r="AG646" s="113"/>
    </row>
    <row r="647" spans="1:33" ht="13.8">
      <c r="A647" s="113"/>
      <c r="B647" s="113"/>
      <c r="C647" s="113"/>
      <c r="D647" s="111"/>
      <c r="E647" s="113"/>
      <c r="F647" s="111"/>
      <c r="G647" s="113"/>
      <c r="H647" s="111"/>
      <c r="I647" s="113"/>
      <c r="J647" s="113"/>
      <c r="K647" s="113"/>
      <c r="L647" s="113"/>
      <c r="M647" s="113"/>
      <c r="N647" s="113"/>
      <c r="O647" s="113"/>
      <c r="P647" s="113"/>
      <c r="Q647" s="113"/>
      <c r="R647" s="113"/>
      <c r="S647" s="113"/>
      <c r="T647" s="113"/>
      <c r="U647" s="113"/>
      <c r="V647" s="113"/>
      <c r="W647" s="113"/>
      <c r="X647" s="113"/>
      <c r="Y647" s="113"/>
      <c r="Z647" s="113"/>
      <c r="AA647" s="113"/>
      <c r="AB647" s="113"/>
      <c r="AC647" s="113"/>
      <c r="AD647" s="113"/>
      <c r="AE647" s="113"/>
      <c r="AF647" s="113"/>
      <c r="AG647" s="113"/>
    </row>
    <row r="648" spans="1:33" ht="13.8">
      <c r="A648" s="113"/>
      <c r="B648" s="113"/>
      <c r="C648" s="113"/>
      <c r="D648" s="111"/>
      <c r="E648" s="113"/>
      <c r="F648" s="111"/>
      <c r="G648" s="113"/>
      <c r="H648" s="111"/>
      <c r="I648" s="113"/>
      <c r="J648" s="113"/>
      <c r="K648" s="113"/>
      <c r="L648" s="113"/>
      <c r="M648" s="113"/>
      <c r="N648" s="113"/>
      <c r="O648" s="113"/>
      <c r="P648" s="113"/>
      <c r="Q648" s="113"/>
      <c r="R648" s="113"/>
      <c r="S648" s="113"/>
      <c r="T648" s="113"/>
      <c r="U648" s="113"/>
      <c r="V648" s="113"/>
      <c r="W648" s="113"/>
      <c r="X648" s="113"/>
      <c r="Y648" s="113"/>
      <c r="Z648" s="113"/>
      <c r="AA648" s="113"/>
      <c r="AB648" s="113"/>
      <c r="AC648" s="113"/>
      <c r="AD648" s="113"/>
      <c r="AE648" s="113"/>
      <c r="AF648" s="113"/>
      <c r="AG648" s="113"/>
    </row>
    <row r="649" spans="1:33" ht="13.8">
      <c r="A649" s="113"/>
      <c r="B649" s="113"/>
      <c r="C649" s="113"/>
      <c r="D649" s="111"/>
      <c r="E649" s="113"/>
      <c r="F649" s="111"/>
      <c r="G649" s="113"/>
      <c r="H649" s="111"/>
      <c r="I649" s="113"/>
      <c r="J649" s="113"/>
      <c r="K649" s="113"/>
      <c r="L649" s="113"/>
      <c r="M649" s="113"/>
      <c r="N649" s="113"/>
      <c r="O649" s="113"/>
      <c r="P649" s="113"/>
      <c r="Q649" s="113"/>
      <c r="R649" s="113"/>
      <c r="S649" s="113"/>
      <c r="T649" s="113"/>
      <c r="U649" s="113"/>
      <c r="V649" s="113"/>
      <c r="W649" s="113"/>
      <c r="X649" s="113"/>
      <c r="Y649" s="113"/>
      <c r="Z649" s="113"/>
      <c r="AA649" s="113"/>
      <c r="AB649" s="113"/>
      <c r="AC649" s="113"/>
      <c r="AD649" s="113"/>
      <c r="AE649" s="113"/>
      <c r="AF649" s="113"/>
      <c r="AG649" s="113"/>
    </row>
    <row r="650" spans="1:33" ht="13.8">
      <c r="A650" s="113"/>
      <c r="B650" s="113"/>
      <c r="C650" s="113"/>
      <c r="D650" s="111"/>
      <c r="E650" s="113"/>
      <c r="F650" s="111"/>
      <c r="G650" s="113"/>
      <c r="H650" s="111"/>
      <c r="I650" s="113"/>
      <c r="J650" s="113"/>
      <c r="K650" s="113"/>
      <c r="L650" s="113"/>
      <c r="M650" s="113"/>
      <c r="N650" s="113"/>
      <c r="O650" s="113"/>
      <c r="P650" s="113"/>
      <c r="Q650" s="113"/>
      <c r="R650" s="113"/>
      <c r="S650" s="113"/>
      <c r="T650" s="113"/>
      <c r="U650" s="113"/>
      <c r="V650" s="113"/>
      <c r="W650" s="113"/>
      <c r="X650" s="113"/>
      <c r="Y650" s="113"/>
      <c r="Z650" s="113"/>
      <c r="AA650" s="113"/>
      <c r="AB650" s="113"/>
      <c r="AC650" s="113"/>
      <c r="AD650" s="113"/>
      <c r="AE650" s="113"/>
      <c r="AF650" s="113"/>
      <c r="AG650" s="113"/>
    </row>
    <row r="651" spans="1:33" ht="13.8">
      <c r="A651" s="113"/>
      <c r="B651" s="113"/>
      <c r="C651" s="113"/>
      <c r="D651" s="111"/>
      <c r="E651" s="113"/>
      <c r="F651" s="111"/>
      <c r="G651" s="113"/>
      <c r="H651" s="111"/>
      <c r="I651" s="113"/>
      <c r="J651" s="113"/>
      <c r="K651" s="113"/>
      <c r="L651" s="113"/>
      <c r="M651" s="113"/>
      <c r="N651" s="113"/>
      <c r="O651" s="113"/>
      <c r="P651" s="113"/>
      <c r="Q651" s="113"/>
      <c r="R651" s="113"/>
      <c r="S651" s="113"/>
      <c r="T651" s="113"/>
      <c r="U651" s="113"/>
      <c r="V651" s="113"/>
      <c r="W651" s="113"/>
      <c r="X651" s="113"/>
      <c r="Y651" s="113"/>
      <c r="Z651" s="113"/>
      <c r="AA651" s="113"/>
      <c r="AB651" s="113"/>
      <c r="AC651" s="113"/>
      <c r="AD651" s="113"/>
      <c r="AE651" s="113"/>
      <c r="AF651" s="113"/>
      <c r="AG651" s="113"/>
    </row>
    <row r="652" spans="1:33" ht="13.8">
      <c r="A652" s="113"/>
      <c r="B652" s="113"/>
      <c r="C652" s="113"/>
      <c r="D652" s="111"/>
      <c r="E652" s="113"/>
      <c r="F652" s="111"/>
      <c r="G652" s="113"/>
      <c r="H652" s="111"/>
      <c r="I652" s="113"/>
      <c r="J652" s="113"/>
      <c r="K652" s="113"/>
      <c r="L652" s="113"/>
      <c r="M652" s="113"/>
      <c r="N652" s="113"/>
      <c r="O652" s="113"/>
      <c r="P652" s="113"/>
      <c r="Q652" s="113"/>
      <c r="R652" s="113"/>
      <c r="S652" s="113"/>
      <c r="T652" s="113"/>
      <c r="U652" s="113"/>
      <c r="V652" s="113"/>
      <c r="W652" s="113"/>
      <c r="X652" s="113"/>
      <c r="Y652" s="113"/>
      <c r="Z652" s="113"/>
      <c r="AA652" s="113"/>
      <c r="AB652" s="113"/>
      <c r="AC652" s="113"/>
      <c r="AD652" s="113"/>
      <c r="AE652" s="113"/>
      <c r="AF652" s="113"/>
      <c r="AG652" s="113"/>
    </row>
    <row r="653" spans="1:33" ht="13.8">
      <c r="A653" s="113"/>
      <c r="B653" s="113"/>
      <c r="C653" s="113"/>
      <c r="D653" s="111"/>
      <c r="E653" s="113"/>
      <c r="F653" s="111"/>
      <c r="G653" s="113"/>
      <c r="H653" s="111"/>
      <c r="I653" s="113"/>
      <c r="J653" s="113"/>
      <c r="K653" s="113"/>
      <c r="L653" s="113"/>
      <c r="M653" s="113"/>
      <c r="N653" s="113"/>
      <c r="O653" s="113"/>
      <c r="P653" s="113"/>
      <c r="Q653" s="113"/>
      <c r="R653" s="113"/>
      <c r="S653" s="113"/>
      <c r="T653" s="113"/>
      <c r="U653" s="113"/>
      <c r="V653" s="113"/>
      <c r="W653" s="113"/>
      <c r="X653" s="113"/>
      <c r="Y653" s="113"/>
      <c r="Z653" s="113"/>
      <c r="AA653" s="113"/>
      <c r="AB653" s="113"/>
      <c r="AC653" s="113"/>
      <c r="AD653" s="113"/>
      <c r="AE653" s="113"/>
      <c r="AF653" s="113"/>
      <c r="AG653" s="113"/>
    </row>
    <row r="654" spans="1:33" ht="13.8">
      <c r="A654" s="113"/>
      <c r="B654" s="113"/>
      <c r="C654" s="113"/>
      <c r="D654" s="111"/>
      <c r="E654" s="113"/>
      <c r="F654" s="111"/>
      <c r="G654" s="113"/>
      <c r="H654" s="111"/>
      <c r="I654" s="113"/>
      <c r="J654" s="113"/>
      <c r="K654" s="113"/>
      <c r="L654" s="113"/>
      <c r="M654" s="113"/>
      <c r="N654" s="113"/>
      <c r="O654" s="113"/>
      <c r="P654" s="113"/>
      <c r="Q654" s="113"/>
      <c r="R654" s="113"/>
      <c r="S654" s="113"/>
      <c r="T654" s="113"/>
      <c r="U654" s="113"/>
      <c r="V654" s="113"/>
      <c r="W654" s="113"/>
      <c r="X654" s="113"/>
      <c r="Y654" s="113"/>
      <c r="Z654" s="113"/>
      <c r="AA654" s="113"/>
      <c r="AB654" s="113"/>
      <c r="AC654" s="113"/>
      <c r="AD654" s="113"/>
      <c r="AE654" s="113"/>
      <c r="AF654" s="113"/>
      <c r="AG654" s="113"/>
    </row>
    <row r="655" spans="1:33" ht="13.8">
      <c r="A655" s="113"/>
      <c r="B655" s="113"/>
      <c r="C655" s="113"/>
      <c r="D655" s="111"/>
      <c r="E655" s="113"/>
      <c r="F655" s="111"/>
      <c r="G655" s="113"/>
      <c r="H655" s="111"/>
      <c r="I655" s="113"/>
      <c r="J655" s="113"/>
      <c r="K655" s="113"/>
      <c r="L655" s="113"/>
      <c r="M655" s="113"/>
      <c r="N655" s="113"/>
      <c r="O655" s="113"/>
      <c r="P655" s="113"/>
      <c r="Q655" s="113"/>
      <c r="R655" s="113"/>
      <c r="S655" s="113"/>
      <c r="T655" s="113"/>
      <c r="U655" s="113"/>
      <c r="V655" s="113"/>
      <c r="W655" s="113"/>
      <c r="X655" s="113"/>
      <c r="Y655" s="113"/>
      <c r="Z655" s="113"/>
      <c r="AA655" s="113"/>
      <c r="AB655" s="113"/>
      <c r="AC655" s="113"/>
      <c r="AD655" s="113"/>
      <c r="AE655" s="113"/>
      <c r="AF655" s="113"/>
      <c r="AG655" s="113"/>
    </row>
    <row r="656" spans="1:33" ht="13.8">
      <c r="A656" s="113"/>
      <c r="B656" s="113"/>
      <c r="C656" s="113"/>
      <c r="D656" s="111"/>
      <c r="E656" s="113"/>
      <c r="F656" s="111"/>
      <c r="G656" s="113"/>
      <c r="H656" s="111"/>
      <c r="I656" s="113"/>
      <c r="J656" s="113"/>
      <c r="K656" s="113"/>
      <c r="L656" s="113"/>
      <c r="M656" s="113"/>
      <c r="N656" s="113"/>
      <c r="O656" s="113"/>
      <c r="P656" s="113"/>
      <c r="Q656" s="113"/>
      <c r="R656" s="113"/>
      <c r="S656" s="113"/>
      <c r="T656" s="113"/>
      <c r="U656" s="113"/>
      <c r="V656" s="113"/>
      <c r="W656" s="113"/>
      <c r="X656" s="113"/>
      <c r="Y656" s="113"/>
      <c r="Z656" s="113"/>
      <c r="AA656" s="113"/>
      <c r="AB656" s="113"/>
      <c r="AC656" s="113"/>
      <c r="AD656" s="113"/>
      <c r="AE656" s="113"/>
      <c r="AF656" s="113"/>
      <c r="AG656" s="113"/>
    </row>
    <row r="657" spans="1:33" ht="13.8">
      <c r="A657" s="113"/>
      <c r="B657" s="113"/>
      <c r="C657" s="113"/>
      <c r="D657" s="111"/>
      <c r="E657" s="113"/>
      <c r="F657" s="111"/>
      <c r="G657" s="113"/>
      <c r="H657" s="111"/>
      <c r="I657" s="113"/>
      <c r="J657" s="113"/>
      <c r="K657" s="113"/>
      <c r="L657" s="113"/>
      <c r="M657" s="113"/>
      <c r="N657" s="113"/>
      <c r="O657" s="113"/>
      <c r="P657" s="113"/>
      <c r="Q657" s="113"/>
      <c r="R657" s="113"/>
      <c r="S657" s="113"/>
      <c r="T657" s="113"/>
      <c r="U657" s="113"/>
      <c r="V657" s="113"/>
      <c r="W657" s="113"/>
      <c r="X657" s="113"/>
      <c r="Y657" s="113"/>
      <c r="Z657" s="113"/>
      <c r="AA657" s="113"/>
      <c r="AB657" s="113"/>
      <c r="AC657" s="113"/>
      <c r="AD657" s="113"/>
      <c r="AE657" s="113"/>
      <c r="AF657" s="113"/>
      <c r="AG657" s="113"/>
    </row>
    <row r="658" spans="1:33" ht="13.8">
      <c r="A658" s="113"/>
      <c r="B658" s="113"/>
      <c r="C658" s="113"/>
      <c r="D658" s="111"/>
      <c r="E658" s="113"/>
      <c r="F658" s="111"/>
      <c r="G658" s="113"/>
      <c r="H658" s="111"/>
      <c r="I658" s="113"/>
      <c r="J658" s="113"/>
      <c r="K658" s="113"/>
      <c r="L658" s="113"/>
      <c r="M658" s="113"/>
      <c r="N658" s="113"/>
      <c r="O658" s="113"/>
      <c r="P658" s="113"/>
      <c r="Q658" s="113"/>
      <c r="R658" s="113"/>
      <c r="S658" s="113"/>
      <c r="T658" s="113"/>
      <c r="U658" s="113"/>
      <c r="V658" s="113"/>
      <c r="W658" s="113"/>
      <c r="X658" s="113"/>
      <c r="Y658" s="113"/>
      <c r="Z658" s="113"/>
      <c r="AA658" s="113"/>
      <c r="AB658" s="113"/>
      <c r="AC658" s="113"/>
      <c r="AD658" s="113"/>
      <c r="AE658" s="113"/>
      <c r="AF658" s="113"/>
      <c r="AG658" s="113"/>
    </row>
    <row r="659" spans="1:33" ht="13.8">
      <c r="A659" s="113"/>
      <c r="B659" s="113"/>
      <c r="C659" s="113"/>
      <c r="D659" s="111"/>
      <c r="E659" s="113"/>
      <c r="F659" s="111"/>
      <c r="G659" s="113"/>
      <c r="H659" s="111"/>
      <c r="I659" s="113"/>
      <c r="J659" s="113"/>
      <c r="K659" s="113"/>
      <c r="L659" s="113"/>
      <c r="M659" s="113"/>
      <c r="N659" s="113"/>
      <c r="O659" s="113"/>
      <c r="P659" s="113"/>
      <c r="Q659" s="113"/>
      <c r="R659" s="113"/>
      <c r="S659" s="113"/>
      <c r="T659" s="113"/>
      <c r="U659" s="113"/>
      <c r="V659" s="113"/>
      <c r="W659" s="113"/>
      <c r="X659" s="113"/>
      <c r="Y659" s="113"/>
      <c r="Z659" s="113"/>
      <c r="AA659" s="113"/>
      <c r="AB659" s="113"/>
      <c r="AC659" s="113"/>
      <c r="AD659" s="113"/>
      <c r="AE659" s="113"/>
      <c r="AF659" s="113"/>
      <c r="AG659" s="113"/>
    </row>
    <row r="660" spans="1:33" ht="13.8">
      <c r="A660" s="113"/>
      <c r="B660" s="113"/>
      <c r="C660" s="113"/>
      <c r="D660" s="111"/>
      <c r="E660" s="113"/>
      <c r="F660" s="111"/>
      <c r="G660" s="113"/>
      <c r="H660" s="111"/>
      <c r="I660" s="113"/>
      <c r="J660" s="113"/>
      <c r="K660" s="113"/>
      <c r="L660" s="113"/>
      <c r="M660" s="113"/>
      <c r="N660" s="113"/>
      <c r="O660" s="113"/>
      <c r="P660" s="113"/>
      <c r="Q660" s="113"/>
      <c r="R660" s="113"/>
      <c r="S660" s="113"/>
      <c r="T660" s="113"/>
      <c r="U660" s="113"/>
      <c r="V660" s="113"/>
      <c r="W660" s="113"/>
      <c r="X660" s="113"/>
      <c r="Y660" s="113"/>
      <c r="Z660" s="113"/>
      <c r="AA660" s="113"/>
      <c r="AB660" s="113"/>
      <c r="AC660" s="113"/>
      <c r="AD660" s="113"/>
      <c r="AE660" s="113"/>
      <c r="AF660" s="113"/>
      <c r="AG660" s="113"/>
    </row>
    <row r="661" spans="1:33" ht="13.8">
      <c r="A661" s="113"/>
      <c r="B661" s="113"/>
      <c r="C661" s="113"/>
      <c r="D661" s="111"/>
      <c r="E661" s="113"/>
      <c r="F661" s="111"/>
      <c r="G661" s="113"/>
      <c r="H661" s="111"/>
      <c r="I661" s="113"/>
      <c r="J661" s="113"/>
      <c r="K661" s="113"/>
      <c r="L661" s="113"/>
      <c r="M661" s="113"/>
      <c r="N661" s="113"/>
      <c r="O661" s="113"/>
      <c r="P661" s="113"/>
      <c r="Q661" s="113"/>
      <c r="R661" s="113"/>
      <c r="S661" s="113"/>
      <c r="T661" s="113"/>
      <c r="U661" s="113"/>
      <c r="V661" s="113"/>
      <c r="W661" s="113"/>
      <c r="X661" s="113"/>
      <c r="Y661" s="113"/>
      <c r="Z661" s="113"/>
      <c r="AA661" s="113"/>
      <c r="AB661" s="113"/>
      <c r="AC661" s="113"/>
      <c r="AD661" s="113"/>
      <c r="AE661" s="113"/>
      <c r="AF661" s="113"/>
      <c r="AG661" s="113"/>
    </row>
    <row r="662" spans="1:33" ht="13.8">
      <c r="A662" s="113"/>
      <c r="B662" s="113"/>
      <c r="C662" s="113"/>
      <c r="D662" s="111"/>
      <c r="E662" s="113"/>
      <c r="F662" s="111"/>
      <c r="G662" s="113"/>
      <c r="H662" s="111"/>
      <c r="I662" s="113"/>
      <c r="J662" s="113"/>
      <c r="K662" s="113"/>
      <c r="L662" s="113"/>
      <c r="M662" s="113"/>
      <c r="N662" s="113"/>
      <c r="O662" s="113"/>
      <c r="P662" s="113"/>
      <c r="Q662" s="113"/>
      <c r="R662" s="113"/>
      <c r="S662" s="113"/>
      <c r="T662" s="113"/>
      <c r="U662" s="113"/>
      <c r="V662" s="113"/>
      <c r="W662" s="113"/>
      <c r="X662" s="113"/>
      <c r="Y662" s="113"/>
      <c r="Z662" s="113"/>
      <c r="AA662" s="113"/>
      <c r="AB662" s="113"/>
      <c r="AC662" s="113"/>
      <c r="AD662" s="113"/>
      <c r="AE662" s="113"/>
      <c r="AF662" s="113"/>
      <c r="AG662" s="113"/>
    </row>
    <row r="663" spans="1:33" ht="13.8">
      <c r="A663" s="113"/>
      <c r="B663" s="113"/>
      <c r="C663" s="113"/>
      <c r="D663" s="111"/>
      <c r="E663" s="113"/>
      <c r="F663" s="111"/>
      <c r="G663" s="113"/>
      <c r="H663" s="111"/>
      <c r="I663" s="113"/>
      <c r="J663" s="113"/>
      <c r="K663" s="113"/>
      <c r="L663" s="113"/>
      <c r="M663" s="113"/>
      <c r="N663" s="113"/>
      <c r="O663" s="113"/>
      <c r="P663" s="113"/>
      <c r="Q663" s="113"/>
      <c r="R663" s="113"/>
      <c r="S663" s="113"/>
      <c r="T663" s="113"/>
      <c r="U663" s="113"/>
      <c r="V663" s="113"/>
      <c r="W663" s="113"/>
      <c r="X663" s="113"/>
      <c r="Y663" s="113"/>
      <c r="Z663" s="113"/>
      <c r="AA663" s="113"/>
      <c r="AB663" s="113"/>
      <c r="AC663" s="113"/>
      <c r="AD663" s="113"/>
      <c r="AE663" s="113"/>
      <c r="AF663" s="113"/>
      <c r="AG663" s="113"/>
    </row>
    <row r="664" spans="1:33" ht="13.8">
      <c r="A664" s="113"/>
      <c r="B664" s="113"/>
      <c r="C664" s="113"/>
      <c r="D664" s="111"/>
      <c r="E664" s="113"/>
      <c r="F664" s="111"/>
      <c r="G664" s="113"/>
      <c r="H664" s="111"/>
      <c r="I664" s="113"/>
      <c r="J664" s="113"/>
      <c r="K664" s="113"/>
      <c r="L664" s="113"/>
      <c r="M664" s="113"/>
      <c r="N664" s="113"/>
      <c r="O664" s="113"/>
      <c r="P664" s="113"/>
      <c r="Q664" s="113"/>
      <c r="R664" s="113"/>
      <c r="S664" s="113"/>
      <c r="T664" s="113"/>
      <c r="U664" s="113"/>
      <c r="V664" s="113"/>
      <c r="W664" s="113"/>
      <c r="X664" s="113"/>
      <c r="Y664" s="113"/>
      <c r="Z664" s="113"/>
      <c r="AA664" s="113"/>
      <c r="AB664" s="113"/>
      <c r="AC664" s="113"/>
      <c r="AD664" s="113"/>
      <c r="AE664" s="113"/>
      <c r="AF664" s="113"/>
      <c r="AG664" s="113"/>
    </row>
    <row r="665" spans="1:33" ht="13.8">
      <c r="A665" s="113"/>
      <c r="B665" s="113"/>
      <c r="C665" s="113"/>
      <c r="D665" s="111"/>
      <c r="E665" s="113"/>
      <c r="F665" s="111"/>
      <c r="G665" s="113"/>
      <c r="H665" s="111"/>
      <c r="I665" s="113"/>
      <c r="J665" s="113"/>
      <c r="K665" s="113"/>
      <c r="L665" s="113"/>
      <c r="M665" s="113"/>
      <c r="N665" s="113"/>
      <c r="O665" s="113"/>
      <c r="P665" s="113"/>
      <c r="Q665" s="113"/>
      <c r="R665" s="113"/>
      <c r="S665" s="113"/>
      <c r="T665" s="113"/>
      <c r="U665" s="113"/>
      <c r="V665" s="113"/>
      <c r="W665" s="113"/>
      <c r="X665" s="113"/>
      <c r="Y665" s="113"/>
      <c r="Z665" s="113"/>
      <c r="AA665" s="113"/>
      <c r="AB665" s="113"/>
      <c r="AC665" s="113"/>
      <c r="AD665" s="113"/>
      <c r="AE665" s="113"/>
      <c r="AF665" s="113"/>
      <c r="AG665" s="113"/>
    </row>
    <row r="666" spans="1:33" ht="13.8">
      <c r="A666" s="113"/>
      <c r="B666" s="113"/>
      <c r="C666" s="113"/>
      <c r="D666" s="111"/>
      <c r="E666" s="113"/>
      <c r="F666" s="111"/>
      <c r="G666" s="113"/>
      <c r="H666" s="111"/>
      <c r="I666" s="113"/>
      <c r="J666" s="113"/>
      <c r="K666" s="113"/>
      <c r="L666" s="113"/>
      <c r="M666" s="113"/>
      <c r="N666" s="113"/>
      <c r="O666" s="113"/>
      <c r="P666" s="113"/>
      <c r="Q666" s="113"/>
      <c r="R666" s="113"/>
      <c r="S666" s="113"/>
      <c r="T666" s="113"/>
      <c r="U666" s="113"/>
      <c r="V666" s="113"/>
      <c r="W666" s="113"/>
      <c r="X666" s="113"/>
      <c r="Y666" s="113"/>
      <c r="Z666" s="113"/>
      <c r="AA666" s="113"/>
      <c r="AB666" s="113"/>
      <c r="AC666" s="113"/>
      <c r="AD666" s="113"/>
      <c r="AE666" s="113"/>
      <c r="AF666" s="113"/>
      <c r="AG666" s="113"/>
    </row>
    <row r="667" spans="1:33" ht="13.8">
      <c r="A667" s="113"/>
      <c r="B667" s="113"/>
      <c r="C667" s="113"/>
      <c r="D667" s="111"/>
      <c r="E667" s="113"/>
      <c r="F667" s="111"/>
      <c r="G667" s="113"/>
      <c r="H667" s="111"/>
      <c r="I667" s="113"/>
      <c r="J667" s="113"/>
      <c r="K667" s="113"/>
      <c r="L667" s="113"/>
      <c r="M667" s="113"/>
      <c r="N667" s="113"/>
      <c r="O667" s="113"/>
      <c r="P667" s="113"/>
      <c r="Q667" s="113"/>
      <c r="R667" s="113"/>
      <c r="S667" s="113"/>
      <c r="T667" s="113"/>
      <c r="U667" s="113"/>
      <c r="V667" s="113"/>
      <c r="W667" s="113"/>
      <c r="X667" s="113"/>
      <c r="Y667" s="113"/>
      <c r="Z667" s="113"/>
      <c r="AA667" s="113"/>
      <c r="AB667" s="113"/>
      <c r="AC667" s="113"/>
      <c r="AD667" s="113"/>
      <c r="AE667" s="113"/>
      <c r="AF667" s="113"/>
      <c r="AG667" s="113"/>
    </row>
    <row r="668" spans="1:33" ht="13.8">
      <c r="A668" s="113"/>
      <c r="B668" s="113"/>
      <c r="C668" s="113"/>
      <c r="D668" s="111"/>
      <c r="E668" s="113"/>
      <c r="F668" s="111"/>
      <c r="G668" s="113"/>
      <c r="H668" s="111"/>
      <c r="I668" s="113"/>
      <c r="J668" s="113"/>
      <c r="K668" s="113"/>
      <c r="L668" s="113"/>
      <c r="M668" s="113"/>
      <c r="N668" s="113"/>
      <c r="O668" s="113"/>
      <c r="P668" s="113"/>
      <c r="Q668" s="113"/>
      <c r="R668" s="113"/>
      <c r="S668" s="113"/>
      <c r="T668" s="113"/>
      <c r="U668" s="113"/>
      <c r="V668" s="113"/>
      <c r="W668" s="113"/>
      <c r="X668" s="113"/>
      <c r="Y668" s="113"/>
      <c r="Z668" s="113"/>
      <c r="AA668" s="113"/>
      <c r="AB668" s="113"/>
      <c r="AC668" s="113"/>
      <c r="AD668" s="113"/>
      <c r="AE668" s="113"/>
      <c r="AF668" s="113"/>
      <c r="AG668" s="113"/>
    </row>
    <row r="669" spans="1:33" ht="13.8">
      <c r="A669" s="113"/>
      <c r="B669" s="113"/>
      <c r="C669" s="113"/>
      <c r="D669" s="111"/>
      <c r="E669" s="113"/>
      <c r="F669" s="111"/>
      <c r="G669" s="113"/>
      <c r="H669" s="111"/>
      <c r="I669" s="113"/>
      <c r="J669" s="113"/>
      <c r="K669" s="113"/>
      <c r="L669" s="113"/>
      <c r="M669" s="113"/>
      <c r="N669" s="113"/>
      <c r="O669" s="113"/>
      <c r="P669" s="113"/>
      <c r="Q669" s="113"/>
      <c r="R669" s="113"/>
      <c r="S669" s="113"/>
      <c r="T669" s="113"/>
      <c r="U669" s="113"/>
      <c r="V669" s="113"/>
      <c r="W669" s="113"/>
      <c r="X669" s="113"/>
      <c r="Y669" s="113"/>
      <c r="Z669" s="113"/>
      <c r="AA669" s="113"/>
      <c r="AB669" s="113"/>
      <c r="AC669" s="113"/>
      <c r="AD669" s="113"/>
      <c r="AE669" s="113"/>
      <c r="AF669" s="113"/>
      <c r="AG669" s="113"/>
    </row>
    <row r="670" spans="1:33" ht="13.8">
      <c r="A670" s="113"/>
      <c r="B670" s="113"/>
      <c r="C670" s="113"/>
      <c r="D670" s="111"/>
      <c r="E670" s="113"/>
      <c r="F670" s="111"/>
      <c r="G670" s="113"/>
      <c r="H670" s="111"/>
      <c r="I670" s="113"/>
      <c r="J670" s="113"/>
      <c r="K670" s="113"/>
      <c r="L670" s="113"/>
      <c r="M670" s="113"/>
      <c r="N670" s="113"/>
      <c r="O670" s="113"/>
      <c r="P670" s="113"/>
      <c r="Q670" s="113"/>
      <c r="R670" s="113"/>
      <c r="S670" s="113"/>
      <c r="T670" s="113"/>
      <c r="U670" s="113"/>
      <c r="V670" s="113"/>
      <c r="W670" s="113"/>
      <c r="X670" s="113"/>
      <c r="Y670" s="113"/>
      <c r="Z670" s="113"/>
      <c r="AA670" s="113"/>
      <c r="AB670" s="113"/>
      <c r="AC670" s="113"/>
      <c r="AD670" s="113"/>
      <c r="AE670" s="113"/>
      <c r="AF670" s="113"/>
      <c r="AG670" s="113"/>
    </row>
    <row r="671" spans="1:33" ht="13.8">
      <c r="A671" s="113"/>
      <c r="B671" s="113"/>
      <c r="C671" s="113"/>
      <c r="D671" s="111"/>
      <c r="E671" s="113"/>
      <c r="F671" s="111"/>
      <c r="G671" s="113"/>
      <c r="H671" s="111"/>
      <c r="I671" s="113"/>
      <c r="J671" s="113"/>
      <c r="K671" s="113"/>
      <c r="L671" s="113"/>
      <c r="M671" s="113"/>
      <c r="N671" s="113"/>
      <c r="O671" s="113"/>
      <c r="P671" s="113"/>
      <c r="Q671" s="113"/>
      <c r="R671" s="113"/>
      <c r="S671" s="113"/>
      <c r="T671" s="113"/>
      <c r="U671" s="113"/>
      <c r="V671" s="113"/>
      <c r="W671" s="113"/>
      <c r="X671" s="113"/>
      <c r="Y671" s="113"/>
      <c r="Z671" s="113"/>
      <c r="AA671" s="113"/>
      <c r="AB671" s="113"/>
      <c r="AC671" s="113"/>
      <c r="AD671" s="113"/>
      <c r="AE671" s="113"/>
      <c r="AF671" s="113"/>
      <c r="AG671" s="113"/>
    </row>
    <row r="672" spans="1:33" ht="13.8">
      <c r="A672" s="113"/>
      <c r="B672" s="113"/>
      <c r="C672" s="113"/>
      <c r="D672" s="111"/>
      <c r="E672" s="113"/>
      <c r="F672" s="111"/>
      <c r="G672" s="113"/>
      <c r="H672" s="111"/>
      <c r="I672" s="113"/>
      <c r="J672" s="113"/>
      <c r="K672" s="113"/>
      <c r="L672" s="113"/>
      <c r="M672" s="113"/>
      <c r="N672" s="113"/>
      <c r="O672" s="113"/>
      <c r="P672" s="113"/>
      <c r="Q672" s="113"/>
      <c r="R672" s="113"/>
      <c r="S672" s="113"/>
      <c r="T672" s="113"/>
      <c r="U672" s="113"/>
      <c r="V672" s="113"/>
      <c r="W672" s="113"/>
      <c r="X672" s="113"/>
      <c r="Y672" s="113"/>
      <c r="Z672" s="113"/>
      <c r="AA672" s="113"/>
      <c r="AB672" s="113"/>
      <c r="AC672" s="113"/>
      <c r="AD672" s="113"/>
      <c r="AE672" s="113"/>
      <c r="AF672" s="113"/>
      <c r="AG672" s="113"/>
    </row>
    <row r="673" spans="1:33" ht="13.8">
      <c r="A673" s="113"/>
      <c r="B673" s="113"/>
      <c r="C673" s="113"/>
      <c r="D673" s="111"/>
      <c r="E673" s="113"/>
      <c r="F673" s="111"/>
      <c r="G673" s="113"/>
      <c r="H673" s="111"/>
      <c r="I673" s="113"/>
      <c r="J673" s="113"/>
      <c r="K673" s="113"/>
      <c r="L673" s="113"/>
      <c r="M673" s="113"/>
      <c r="N673" s="113"/>
      <c r="O673" s="113"/>
      <c r="P673" s="113"/>
      <c r="Q673" s="113"/>
      <c r="R673" s="113"/>
      <c r="S673" s="113"/>
      <c r="T673" s="113"/>
      <c r="U673" s="113"/>
      <c r="V673" s="113"/>
      <c r="W673" s="113"/>
      <c r="X673" s="113"/>
      <c r="Y673" s="113"/>
      <c r="Z673" s="113"/>
      <c r="AA673" s="113"/>
      <c r="AB673" s="113"/>
      <c r="AC673" s="113"/>
      <c r="AD673" s="113"/>
      <c r="AE673" s="113"/>
      <c r="AF673" s="113"/>
      <c r="AG673" s="113"/>
    </row>
    <row r="674" spans="1:33" ht="13.8">
      <c r="A674" s="113"/>
      <c r="B674" s="113"/>
      <c r="C674" s="113"/>
      <c r="D674" s="111"/>
      <c r="E674" s="113"/>
      <c r="F674" s="111"/>
      <c r="G674" s="113"/>
      <c r="H674" s="111"/>
      <c r="I674" s="113"/>
      <c r="J674" s="113"/>
      <c r="K674" s="113"/>
      <c r="L674" s="113"/>
      <c r="M674" s="113"/>
      <c r="N674" s="113"/>
      <c r="O674" s="113"/>
      <c r="P674" s="113"/>
      <c r="Q674" s="113"/>
      <c r="R674" s="113"/>
      <c r="S674" s="113"/>
      <c r="T674" s="113"/>
      <c r="U674" s="113"/>
      <c r="V674" s="113"/>
      <c r="W674" s="113"/>
      <c r="X674" s="113"/>
      <c r="Y674" s="113"/>
      <c r="Z674" s="113"/>
      <c r="AA674" s="113"/>
      <c r="AB674" s="113"/>
      <c r="AC674" s="113"/>
      <c r="AD674" s="113"/>
      <c r="AE674" s="113"/>
      <c r="AF674" s="113"/>
      <c r="AG674" s="113"/>
    </row>
    <row r="675" spans="1:33" ht="13.8">
      <c r="A675" s="113"/>
      <c r="B675" s="113"/>
      <c r="C675" s="113"/>
      <c r="D675" s="111"/>
      <c r="E675" s="113"/>
      <c r="F675" s="111"/>
      <c r="G675" s="113"/>
      <c r="H675" s="111"/>
      <c r="I675" s="113"/>
      <c r="J675" s="113"/>
      <c r="K675" s="113"/>
      <c r="L675" s="113"/>
      <c r="M675" s="113"/>
      <c r="N675" s="113"/>
      <c r="O675" s="113"/>
      <c r="P675" s="113"/>
      <c r="Q675" s="113"/>
      <c r="R675" s="113"/>
      <c r="S675" s="113"/>
      <c r="T675" s="113"/>
      <c r="U675" s="113"/>
      <c r="V675" s="113"/>
      <c r="W675" s="113"/>
      <c r="X675" s="113"/>
      <c r="Y675" s="113"/>
      <c r="Z675" s="113"/>
      <c r="AA675" s="113"/>
      <c r="AB675" s="113"/>
      <c r="AC675" s="113"/>
      <c r="AD675" s="113"/>
      <c r="AE675" s="113"/>
      <c r="AF675" s="113"/>
      <c r="AG675" s="113"/>
    </row>
    <row r="676" spans="1:33" ht="13.8">
      <c r="A676" s="113"/>
      <c r="B676" s="113"/>
      <c r="C676" s="113"/>
      <c r="D676" s="111"/>
      <c r="E676" s="113"/>
      <c r="F676" s="111"/>
      <c r="G676" s="113"/>
      <c r="H676" s="111"/>
      <c r="I676" s="113"/>
      <c r="J676" s="113"/>
      <c r="K676" s="113"/>
      <c r="L676" s="113"/>
      <c r="M676" s="113"/>
      <c r="N676" s="113"/>
      <c r="O676" s="113"/>
      <c r="P676" s="113"/>
      <c r="Q676" s="113"/>
      <c r="R676" s="113"/>
      <c r="S676" s="113"/>
      <c r="T676" s="113"/>
      <c r="U676" s="113"/>
      <c r="V676" s="113"/>
      <c r="W676" s="113"/>
      <c r="X676" s="113"/>
      <c r="Y676" s="113"/>
      <c r="Z676" s="113"/>
      <c r="AA676" s="113"/>
      <c r="AB676" s="113"/>
      <c r="AC676" s="113"/>
      <c r="AD676" s="113"/>
      <c r="AE676" s="113"/>
      <c r="AF676" s="113"/>
      <c r="AG676" s="113"/>
    </row>
    <row r="677" spans="1:33" ht="13.8">
      <c r="A677" s="113"/>
      <c r="B677" s="113"/>
      <c r="C677" s="113"/>
      <c r="D677" s="111"/>
      <c r="E677" s="113"/>
      <c r="F677" s="111"/>
      <c r="G677" s="113"/>
      <c r="H677" s="111"/>
      <c r="I677" s="113"/>
      <c r="J677" s="113"/>
      <c r="K677" s="113"/>
      <c r="L677" s="113"/>
      <c r="M677" s="113"/>
      <c r="N677" s="113"/>
      <c r="O677" s="113"/>
      <c r="P677" s="113"/>
      <c r="Q677" s="113"/>
      <c r="R677" s="113"/>
      <c r="S677" s="113"/>
      <c r="T677" s="113"/>
      <c r="U677" s="113"/>
      <c r="V677" s="113"/>
      <c r="W677" s="113"/>
      <c r="X677" s="113"/>
      <c r="Y677" s="113"/>
      <c r="Z677" s="113"/>
      <c r="AA677" s="113"/>
      <c r="AB677" s="113"/>
      <c r="AC677" s="113"/>
      <c r="AD677" s="113"/>
      <c r="AE677" s="113"/>
      <c r="AF677" s="113"/>
      <c r="AG677" s="113"/>
    </row>
    <row r="678" spans="1:33" ht="13.8">
      <c r="A678" s="113"/>
      <c r="B678" s="113"/>
      <c r="C678" s="113"/>
      <c r="D678" s="111"/>
      <c r="E678" s="113"/>
      <c r="F678" s="111"/>
      <c r="G678" s="113"/>
      <c r="H678" s="111"/>
      <c r="I678" s="113"/>
      <c r="J678" s="113"/>
      <c r="K678" s="113"/>
      <c r="L678" s="113"/>
      <c r="M678" s="113"/>
      <c r="N678" s="113"/>
      <c r="O678" s="113"/>
      <c r="P678" s="113"/>
      <c r="Q678" s="113"/>
      <c r="R678" s="113"/>
      <c r="S678" s="113"/>
      <c r="T678" s="113"/>
      <c r="U678" s="113"/>
      <c r="V678" s="113"/>
      <c r="W678" s="113"/>
      <c r="X678" s="113"/>
      <c r="Y678" s="113"/>
      <c r="Z678" s="113"/>
      <c r="AA678" s="113"/>
      <c r="AB678" s="113"/>
      <c r="AC678" s="113"/>
      <c r="AD678" s="113"/>
      <c r="AE678" s="113"/>
      <c r="AF678" s="113"/>
      <c r="AG678" s="113"/>
    </row>
    <row r="679" spans="1:33" ht="13.8">
      <c r="A679" s="113"/>
      <c r="B679" s="113"/>
      <c r="C679" s="113"/>
      <c r="D679" s="111"/>
      <c r="E679" s="113"/>
      <c r="F679" s="111"/>
      <c r="G679" s="113"/>
      <c r="H679" s="111"/>
      <c r="I679" s="113"/>
      <c r="J679" s="113"/>
      <c r="K679" s="113"/>
      <c r="L679" s="113"/>
      <c r="M679" s="113"/>
      <c r="N679" s="113"/>
      <c r="O679" s="113"/>
      <c r="P679" s="113"/>
      <c r="Q679" s="113"/>
      <c r="R679" s="113"/>
      <c r="S679" s="113"/>
      <c r="T679" s="113"/>
      <c r="U679" s="113"/>
      <c r="V679" s="113"/>
      <c r="W679" s="113"/>
      <c r="X679" s="113"/>
      <c r="Y679" s="113"/>
      <c r="Z679" s="113"/>
      <c r="AA679" s="113"/>
      <c r="AB679" s="113"/>
      <c r="AC679" s="113"/>
      <c r="AD679" s="113"/>
      <c r="AE679" s="113"/>
      <c r="AF679" s="113"/>
      <c r="AG679" s="113"/>
    </row>
    <row r="680" spans="1:33" ht="13.8">
      <c r="A680" s="113"/>
      <c r="B680" s="113"/>
      <c r="C680" s="113"/>
      <c r="D680" s="111"/>
      <c r="E680" s="113"/>
      <c r="F680" s="111"/>
      <c r="G680" s="113"/>
      <c r="H680" s="111"/>
      <c r="I680" s="113"/>
      <c r="J680" s="113"/>
      <c r="K680" s="113"/>
      <c r="L680" s="113"/>
      <c r="M680" s="113"/>
      <c r="N680" s="113"/>
      <c r="O680" s="113"/>
      <c r="P680" s="113"/>
      <c r="Q680" s="113"/>
      <c r="R680" s="113"/>
      <c r="S680" s="113"/>
      <c r="T680" s="113"/>
      <c r="U680" s="113"/>
      <c r="V680" s="113"/>
      <c r="W680" s="113"/>
      <c r="X680" s="113"/>
      <c r="Y680" s="113"/>
      <c r="Z680" s="113"/>
      <c r="AA680" s="113"/>
      <c r="AB680" s="113"/>
      <c r="AC680" s="113"/>
      <c r="AD680" s="113"/>
      <c r="AE680" s="113"/>
      <c r="AF680" s="113"/>
      <c r="AG680" s="113"/>
    </row>
    <row r="681" spans="1:33" ht="13.8">
      <c r="A681" s="113"/>
      <c r="B681" s="113"/>
      <c r="C681" s="113"/>
      <c r="D681" s="111"/>
      <c r="E681" s="113"/>
      <c r="F681" s="111"/>
      <c r="G681" s="113"/>
      <c r="H681" s="111"/>
      <c r="I681" s="113"/>
      <c r="J681" s="113"/>
      <c r="K681" s="113"/>
      <c r="L681" s="113"/>
      <c r="M681" s="113"/>
      <c r="N681" s="113"/>
      <c r="O681" s="113"/>
      <c r="P681" s="113"/>
      <c r="Q681" s="113"/>
      <c r="R681" s="113"/>
      <c r="S681" s="113"/>
      <c r="T681" s="113"/>
      <c r="U681" s="113"/>
      <c r="V681" s="113"/>
      <c r="W681" s="113"/>
      <c r="X681" s="113"/>
      <c r="Y681" s="113"/>
      <c r="Z681" s="113"/>
      <c r="AA681" s="113"/>
      <c r="AB681" s="113"/>
      <c r="AC681" s="113"/>
      <c r="AD681" s="113"/>
      <c r="AE681" s="113"/>
      <c r="AF681" s="113"/>
      <c r="AG681" s="113"/>
    </row>
    <row r="682" spans="1:33" ht="13.8">
      <c r="A682" s="113"/>
      <c r="B682" s="113"/>
      <c r="C682" s="113"/>
      <c r="D682" s="111"/>
      <c r="E682" s="113"/>
      <c r="F682" s="111"/>
      <c r="G682" s="113"/>
      <c r="H682" s="111"/>
      <c r="I682" s="113"/>
      <c r="J682" s="113"/>
      <c r="K682" s="113"/>
      <c r="L682" s="113"/>
      <c r="M682" s="113"/>
      <c r="N682" s="113"/>
      <c r="O682" s="113"/>
      <c r="P682" s="113"/>
      <c r="Q682" s="113"/>
      <c r="R682" s="113"/>
      <c r="S682" s="113"/>
      <c r="T682" s="113"/>
      <c r="U682" s="113"/>
      <c r="V682" s="113"/>
      <c r="W682" s="113"/>
      <c r="X682" s="113"/>
      <c r="Y682" s="113"/>
      <c r="Z682" s="113"/>
      <c r="AA682" s="113"/>
      <c r="AB682" s="113"/>
      <c r="AC682" s="113"/>
      <c r="AD682" s="113"/>
      <c r="AE682" s="113"/>
      <c r="AF682" s="113"/>
      <c r="AG682" s="113"/>
    </row>
    <row r="683" spans="1:33" ht="13.8">
      <c r="A683" s="113"/>
      <c r="B683" s="113"/>
      <c r="C683" s="113"/>
      <c r="D683" s="111"/>
      <c r="E683" s="113"/>
      <c r="F683" s="111"/>
      <c r="G683" s="113"/>
      <c r="H683" s="111"/>
      <c r="I683" s="113"/>
      <c r="J683" s="113"/>
      <c r="K683" s="113"/>
      <c r="L683" s="113"/>
      <c r="M683" s="113"/>
      <c r="N683" s="113"/>
      <c r="O683" s="113"/>
      <c r="P683" s="113"/>
      <c r="Q683" s="113"/>
      <c r="R683" s="113"/>
      <c r="S683" s="113"/>
      <c r="T683" s="113"/>
      <c r="U683" s="113"/>
      <c r="V683" s="113"/>
      <c r="W683" s="113"/>
      <c r="X683" s="113"/>
      <c r="Y683" s="113"/>
      <c r="Z683" s="113"/>
      <c r="AA683" s="113"/>
      <c r="AB683" s="113"/>
      <c r="AC683" s="113"/>
      <c r="AD683" s="113"/>
      <c r="AE683" s="113"/>
      <c r="AF683" s="113"/>
      <c r="AG683" s="113"/>
    </row>
    <row r="684" spans="1:33" ht="13.8">
      <c r="A684" s="113"/>
      <c r="B684" s="113"/>
      <c r="C684" s="113"/>
      <c r="D684" s="111"/>
      <c r="E684" s="113"/>
      <c r="F684" s="111"/>
      <c r="G684" s="113"/>
      <c r="H684" s="111"/>
      <c r="I684" s="113"/>
      <c r="J684" s="113"/>
      <c r="K684" s="113"/>
      <c r="L684" s="113"/>
      <c r="M684" s="113"/>
      <c r="N684" s="113"/>
      <c r="O684" s="113"/>
      <c r="P684" s="113"/>
      <c r="Q684" s="113"/>
      <c r="R684" s="113"/>
      <c r="S684" s="113"/>
      <c r="T684" s="113"/>
      <c r="U684" s="113"/>
      <c r="V684" s="113"/>
      <c r="W684" s="113"/>
      <c r="X684" s="113"/>
      <c r="Y684" s="113"/>
      <c r="Z684" s="113"/>
      <c r="AA684" s="113"/>
      <c r="AB684" s="113"/>
      <c r="AC684" s="113"/>
      <c r="AD684" s="113"/>
      <c r="AE684" s="113"/>
      <c r="AF684" s="113"/>
      <c r="AG684" s="113"/>
    </row>
    <row r="685" spans="1:33" ht="13.8">
      <c r="A685" s="113"/>
      <c r="B685" s="113"/>
      <c r="C685" s="113"/>
      <c r="D685" s="111"/>
      <c r="E685" s="113"/>
      <c r="F685" s="111"/>
      <c r="G685" s="113"/>
      <c r="H685" s="111"/>
      <c r="I685" s="113"/>
      <c r="J685" s="113"/>
      <c r="K685" s="113"/>
      <c r="L685" s="113"/>
      <c r="M685" s="113"/>
      <c r="N685" s="113"/>
      <c r="O685" s="113"/>
      <c r="P685" s="113"/>
      <c r="Q685" s="113"/>
      <c r="R685" s="113"/>
      <c r="S685" s="113"/>
      <c r="T685" s="113"/>
      <c r="U685" s="113"/>
      <c r="V685" s="113"/>
      <c r="W685" s="113"/>
      <c r="X685" s="113"/>
      <c r="Y685" s="113"/>
      <c r="Z685" s="113"/>
      <c r="AA685" s="113"/>
      <c r="AB685" s="113"/>
      <c r="AC685" s="113"/>
      <c r="AD685" s="113"/>
      <c r="AE685" s="113"/>
      <c r="AF685" s="113"/>
      <c r="AG685" s="113"/>
    </row>
    <row r="686" spans="1:33" ht="13.8">
      <c r="A686" s="113"/>
      <c r="B686" s="113"/>
      <c r="C686" s="113"/>
      <c r="D686" s="111"/>
      <c r="E686" s="113"/>
      <c r="F686" s="111"/>
      <c r="G686" s="113"/>
      <c r="H686" s="111"/>
      <c r="I686" s="113"/>
      <c r="J686" s="113"/>
      <c r="K686" s="113"/>
      <c r="L686" s="113"/>
      <c r="M686" s="113"/>
      <c r="N686" s="113"/>
      <c r="O686" s="113"/>
      <c r="P686" s="113"/>
      <c r="Q686" s="113"/>
      <c r="R686" s="113"/>
      <c r="S686" s="113"/>
      <c r="T686" s="113"/>
      <c r="U686" s="113"/>
      <c r="V686" s="113"/>
      <c r="W686" s="113"/>
      <c r="X686" s="113"/>
      <c r="Y686" s="113"/>
      <c r="Z686" s="113"/>
      <c r="AA686" s="113"/>
      <c r="AB686" s="113"/>
      <c r="AC686" s="113"/>
      <c r="AD686" s="113"/>
      <c r="AE686" s="113"/>
      <c r="AF686" s="113"/>
      <c r="AG686" s="113"/>
    </row>
    <row r="687" spans="1:33" ht="13.8">
      <c r="A687" s="113"/>
      <c r="B687" s="113"/>
      <c r="C687" s="113"/>
      <c r="D687" s="111"/>
      <c r="E687" s="113"/>
      <c r="F687" s="111"/>
      <c r="G687" s="113"/>
      <c r="H687" s="111"/>
      <c r="I687" s="113"/>
      <c r="J687" s="113"/>
      <c r="K687" s="113"/>
      <c r="L687" s="113"/>
      <c r="M687" s="113"/>
      <c r="N687" s="113"/>
      <c r="O687" s="113"/>
      <c r="P687" s="113"/>
      <c r="Q687" s="113"/>
      <c r="R687" s="113"/>
      <c r="S687" s="113"/>
      <c r="T687" s="113"/>
      <c r="U687" s="113"/>
      <c r="V687" s="113"/>
      <c r="W687" s="113"/>
      <c r="X687" s="113"/>
      <c r="Y687" s="113"/>
      <c r="Z687" s="113"/>
      <c r="AA687" s="113"/>
      <c r="AB687" s="113"/>
      <c r="AC687" s="113"/>
      <c r="AD687" s="113"/>
      <c r="AE687" s="113"/>
      <c r="AF687" s="113"/>
      <c r="AG687" s="113"/>
    </row>
    <row r="688" spans="1:33" ht="13.8">
      <c r="A688" s="113"/>
      <c r="B688" s="113"/>
      <c r="C688" s="113"/>
      <c r="D688" s="111"/>
      <c r="E688" s="113"/>
      <c r="F688" s="111"/>
      <c r="G688" s="113"/>
      <c r="H688" s="111"/>
      <c r="I688" s="113"/>
      <c r="J688" s="113"/>
      <c r="K688" s="113"/>
      <c r="L688" s="113"/>
      <c r="M688" s="113"/>
      <c r="N688" s="113"/>
      <c r="O688" s="113"/>
      <c r="P688" s="113"/>
      <c r="Q688" s="113"/>
      <c r="R688" s="113"/>
      <c r="S688" s="113"/>
      <c r="T688" s="113"/>
      <c r="U688" s="113"/>
      <c r="V688" s="113"/>
      <c r="W688" s="113"/>
      <c r="X688" s="113"/>
      <c r="Y688" s="113"/>
      <c r="Z688" s="113"/>
      <c r="AA688" s="113"/>
      <c r="AB688" s="113"/>
      <c r="AC688" s="113"/>
      <c r="AD688" s="113"/>
      <c r="AE688" s="113"/>
      <c r="AF688" s="113"/>
      <c r="AG688" s="113"/>
    </row>
    <row r="689" spans="1:33" ht="13.8">
      <c r="A689" s="113"/>
      <c r="B689" s="113"/>
      <c r="C689" s="113"/>
      <c r="D689" s="111"/>
      <c r="E689" s="113"/>
      <c r="F689" s="111"/>
      <c r="G689" s="113"/>
      <c r="H689" s="111"/>
      <c r="I689" s="113"/>
      <c r="J689" s="113"/>
      <c r="K689" s="113"/>
      <c r="L689" s="113"/>
      <c r="M689" s="113"/>
      <c r="N689" s="113"/>
      <c r="O689" s="113"/>
      <c r="P689" s="113"/>
      <c r="Q689" s="113"/>
      <c r="R689" s="113"/>
      <c r="S689" s="113"/>
      <c r="T689" s="113"/>
      <c r="U689" s="113"/>
      <c r="V689" s="113"/>
      <c r="W689" s="113"/>
      <c r="X689" s="113"/>
      <c r="Y689" s="113"/>
      <c r="Z689" s="113"/>
      <c r="AA689" s="113"/>
      <c r="AB689" s="113"/>
      <c r="AC689" s="113"/>
      <c r="AD689" s="113"/>
      <c r="AE689" s="113"/>
      <c r="AF689" s="113"/>
      <c r="AG689" s="113"/>
    </row>
    <row r="690" spans="1:33" ht="13.8">
      <c r="A690" s="113"/>
      <c r="B690" s="113"/>
      <c r="C690" s="113"/>
      <c r="D690" s="111"/>
      <c r="E690" s="113"/>
      <c r="F690" s="111"/>
      <c r="G690" s="113"/>
      <c r="H690" s="111"/>
      <c r="I690" s="113"/>
      <c r="J690" s="113"/>
      <c r="K690" s="113"/>
      <c r="L690" s="113"/>
      <c r="M690" s="113"/>
      <c r="N690" s="113"/>
      <c r="O690" s="113"/>
      <c r="P690" s="113"/>
      <c r="Q690" s="113"/>
      <c r="R690" s="113"/>
      <c r="S690" s="113"/>
      <c r="T690" s="113"/>
      <c r="U690" s="113"/>
      <c r="V690" s="113"/>
      <c r="W690" s="113"/>
      <c r="X690" s="113"/>
      <c r="Y690" s="113"/>
      <c r="Z690" s="113"/>
      <c r="AA690" s="113"/>
      <c r="AB690" s="113"/>
      <c r="AC690" s="113"/>
      <c r="AD690" s="113"/>
      <c r="AE690" s="113"/>
      <c r="AF690" s="113"/>
      <c r="AG690" s="113"/>
    </row>
    <row r="691" spans="1:33" ht="13.8">
      <c r="A691" s="113"/>
      <c r="B691" s="113"/>
      <c r="C691" s="113"/>
      <c r="D691" s="111"/>
      <c r="E691" s="113"/>
      <c r="F691" s="111"/>
      <c r="G691" s="113"/>
      <c r="H691" s="111"/>
      <c r="I691" s="113"/>
      <c r="J691" s="113"/>
      <c r="K691" s="113"/>
      <c r="L691" s="113"/>
      <c r="M691" s="113"/>
      <c r="N691" s="113"/>
      <c r="O691" s="113"/>
      <c r="P691" s="113"/>
      <c r="Q691" s="113"/>
      <c r="R691" s="113"/>
      <c r="S691" s="113"/>
      <c r="T691" s="113"/>
      <c r="U691" s="113"/>
      <c r="V691" s="113"/>
      <c r="W691" s="113"/>
      <c r="X691" s="113"/>
      <c r="Y691" s="113"/>
      <c r="Z691" s="113"/>
      <c r="AA691" s="113"/>
      <c r="AB691" s="113"/>
      <c r="AC691" s="113"/>
      <c r="AD691" s="113"/>
      <c r="AE691" s="113"/>
      <c r="AF691" s="113"/>
      <c r="AG691" s="113"/>
    </row>
    <row r="692" spans="1:33" ht="13.8">
      <c r="A692" s="113"/>
      <c r="B692" s="113"/>
      <c r="C692" s="113"/>
      <c r="D692" s="111"/>
      <c r="E692" s="113"/>
      <c r="F692" s="111"/>
      <c r="G692" s="113"/>
      <c r="H692" s="111"/>
      <c r="I692" s="113"/>
      <c r="J692" s="113"/>
      <c r="K692" s="113"/>
      <c r="L692" s="113"/>
      <c r="M692" s="113"/>
      <c r="N692" s="113"/>
      <c r="O692" s="113"/>
      <c r="P692" s="113"/>
      <c r="Q692" s="113"/>
      <c r="R692" s="113"/>
      <c r="S692" s="113"/>
      <c r="T692" s="113"/>
      <c r="U692" s="113"/>
      <c r="V692" s="113"/>
      <c r="W692" s="113"/>
      <c r="X692" s="113"/>
      <c r="Y692" s="113"/>
      <c r="Z692" s="113"/>
      <c r="AA692" s="113"/>
      <c r="AB692" s="113"/>
      <c r="AC692" s="113"/>
      <c r="AD692" s="113"/>
      <c r="AE692" s="113"/>
      <c r="AF692" s="113"/>
      <c r="AG692" s="113"/>
    </row>
    <row r="693" spans="1:33" ht="13.8">
      <c r="A693" s="113"/>
      <c r="B693" s="113"/>
      <c r="C693" s="113"/>
      <c r="D693" s="111"/>
      <c r="E693" s="113"/>
      <c r="F693" s="111"/>
      <c r="G693" s="113"/>
      <c r="H693" s="111"/>
      <c r="I693" s="113"/>
      <c r="J693" s="113"/>
      <c r="K693" s="113"/>
      <c r="L693" s="113"/>
      <c r="M693" s="113"/>
      <c r="N693" s="113"/>
      <c r="O693" s="113"/>
      <c r="P693" s="113"/>
      <c r="Q693" s="113"/>
      <c r="R693" s="113"/>
      <c r="S693" s="113"/>
      <c r="T693" s="113"/>
      <c r="U693" s="113"/>
      <c r="V693" s="113"/>
      <c r="W693" s="113"/>
      <c r="X693" s="113"/>
      <c r="Y693" s="113"/>
      <c r="Z693" s="113"/>
      <c r="AA693" s="113"/>
      <c r="AB693" s="113"/>
      <c r="AC693" s="113"/>
      <c r="AD693" s="113"/>
      <c r="AE693" s="113"/>
      <c r="AF693" s="113"/>
      <c r="AG693" s="113"/>
    </row>
    <row r="694" spans="1:33" ht="13.8">
      <c r="A694" s="113"/>
      <c r="B694" s="113"/>
      <c r="C694" s="113"/>
      <c r="D694" s="111"/>
      <c r="E694" s="113"/>
      <c r="F694" s="111"/>
      <c r="G694" s="113"/>
      <c r="H694" s="111"/>
      <c r="I694" s="113"/>
      <c r="J694" s="113"/>
      <c r="K694" s="113"/>
      <c r="L694" s="113"/>
      <c r="M694" s="113"/>
      <c r="N694" s="113"/>
      <c r="O694" s="113"/>
      <c r="P694" s="113"/>
      <c r="Q694" s="113"/>
      <c r="R694" s="113"/>
      <c r="S694" s="113"/>
      <c r="T694" s="113"/>
      <c r="U694" s="113"/>
      <c r="V694" s="113"/>
      <c r="W694" s="113"/>
      <c r="X694" s="113"/>
      <c r="Y694" s="113"/>
      <c r="Z694" s="113"/>
      <c r="AA694" s="113"/>
      <c r="AB694" s="113"/>
      <c r="AC694" s="113"/>
      <c r="AD694" s="113"/>
      <c r="AE694" s="113"/>
      <c r="AF694" s="113"/>
      <c r="AG694" s="113"/>
    </row>
    <row r="695" spans="1:33" ht="13.8">
      <c r="A695" s="113"/>
      <c r="B695" s="113"/>
      <c r="C695" s="113"/>
      <c r="D695" s="111"/>
      <c r="E695" s="113"/>
      <c r="F695" s="111"/>
      <c r="G695" s="113"/>
      <c r="H695" s="111"/>
      <c r="I695" s="113"/>
      <c r="J695" s="113"/>
      <c r="K695" s="113"/>
      <c r="L695" s="113"/>
      <c r="M695" s="113"/>
      <c r="N695" s="113"/>
      <c r="O695" s="113"/>
      <c r="P695" s="113"/>
      <c r="Q695" s="113"/>
      <c r="R695" s="113"/>
      <c r="S695" s="113"/>
      <c r="T695" s="113"/>
      <c r="U695" s="113"/>
      <c r="V695" s="113"/>
      <c r="W695" s="113"/>
      <c r="X695" s="113"/>
      <c r="Y695" s="113"/>
      <c r="Z695" s="113"/>
      <c r="AA695" s="113"/>
      <c r="AB695" s="113"/>
      <c r="AC695" s="113"/>
      <c r="AD695" s="113"/>
      <c r="AE695" s="113"/>
      <c r="AF695" s="113"/>
      <c r="AG695" s="113"/>
    </row>
    <row r="696" spans="1:33" ht="13.8">
      <c r="A696" s="113"/>
      <c r="B696" s="113"/>
      <c r="C696" s="113"/>
      <c r="D696" s="111"/>
      <c r="E696" s="113"/>
      <c r="F696" s="111"/>
      <c r="G696" s="113"/>
      <c r="H696" s="111"/>
      <c r="I696" s="113"/>
      <c r="J696" s="113"/>
      <c r="K696" s="113"/>
      <c r="L696" s="113"/>
      <c r="M696" s="113"/>
      <c r="N696" s="113"/>
      <c r="O696" s="113"/>
      <c r="P696" s="113"/>
      <c r="Q696" s="113"/>
      <c r="R696" s="113"/>
      <c r="S696" s="113"/>
      <c r="T696" s="113"/>
      <c r="U696" s="113"/>
      <c r="V696" s="113"/>
      <c r="W696" s="113"/>
      <c r="X696" s="113"/>
      <c r="Y696" s="113"/>
      <c r="Z696" s="113"/>
      <c r="AA696" s="113"/>
      <c r="AB696" s="113"/>
      <c r="AC696" s="113"/>
      <c r="AD696" s="113"/>
      <c r="AE696" s="113"/>
      <c r="AF696" s="113"/>
      <c r="AG696" s="113"/>
    </row>
    <row r="697" spans="1:33" ht="13.8">
      <c r="A697" s="113"/>
      <c r="B697" s="113"/>
      <c r="C697" s="113"/>
      <c r="D697" s="111"/>
      <c r="E697" s="113"/>
      <c r="F697" s="111"/>
      <c r="G697" s="113"/>
      <c r="H697" s="111"/>
      <c r="I697" s="113"/>
      <c r="J697" s="113"/>
      <c r="K697" s="113"/>
      <c r="L697" s="113"/>
      <c r="M697" s="113"/>
      <c r="N697" s="113"/>
      <c r="O697" s="113"/>
      <c r="P697" s="113"/>
      <c r="Q697" s="113"/>
      <c r="R697" s="113"/>
      <c r="S697" s="113"/>
      <c r="T697" s="113"/>
      <c r="U697" s="113"/>
      <c r="V697" s="113"/>
      <c r="W697" s="113"/>
      <c r="X697" s="113"/>
      <c r="Y697" s="113"/>
      <c r="Z697" s="113"/>
      <c r="AA697" s="113"/>
      <c r="AB697" s="113"/>
      <c r="AC697" s="113"/>
      <c r="AD697" s="113"/>
      <c r="AE697" s="113"/>
      <c r="AF697" s="113"/>
      <c r="AG697" s="113"/>
    </row>
    <row r="698" spans="1:33" ht="13.8">
      <c r="A698" s="113"/>
      <c r="B698" s="113"/>
      <c r="C698" s="113"/>
      <c r="D698" s="111"/>
      <c r="E698" s="113"/>
      <c r="F698" s="111"/>
      <c r="G698" s="113"/>
      <c r="H698" s="111"/>
      <c r="I698" s="113"/>
      <c r="J698" s="113"/>
      <c r="K698" s="113"/>
      <c r="L698" s="113"/>
      <c r="M698" s="113"/>
      <c r="N698" s="113"/>
      <c r="O698" s="113"/>
      <c r="P698" s="113"/>
      <c r="Q698" s="113"/>
      <c r="R698" s="113"/>
      <c r="S698" s="113"/>
      <c r="T698" s="113"/>
      <c r="U698" s="113"/>
      <c r="V698" s="113"/>
      <c r="W698" s="113"/>
      <c r="X698" s="113"/>
      <c r="Y698" s="113"/>
      <c r="Z698" s="113"/>
      <c r="AA698" s="113"/>
      <c r="AB698" s="113"/>
      <c r="AC698" s="113"/>
      <c r="AD698" s="113"/>
      <c r="AE698" s="113"/>
      <c r="AF698" s="113"/>
      <c r="AG698" s="113"/>
    </row>
    <row r="699" spans="1:33" ht="13.8">
      <c r="A699" s="113"/>
      <c r="B699" s="113"/>
      <c r="C699" s="113"/>
      <c r="D699" s="111"/>
      <c r="E699" s="113"/>
      <c r="F699" s="111"/>
      <c r="G699" s="113"/>
      <c r="H699" s="111"/>
      <c r="I699" s="113"/>
      <c r="J699" s="113"/>
      <c r="K699" s="113"/>
      <c r="L699" s="113"/>
      <c r="M699" s="113"/>
      <c r="N699" s="113"/>
      <c r="O699" s="113"/>
      <c r="P699" s="113"/>
      <c r="Q699" s="113"/>
      <c r="R699" s="113"/>
      <c r="S699" s="113"/>
      <c r="T699" s="113"/>
      <c r="U699" s="113"/>
      <c r="V699" s="113"/>
      <c r="W699" s="113"/>
      <c r="X699" s="113"/>
      <c r="Y699" s="113"/>
      <c r="Z699" s="113"/>
      <c r="AA699" s="113"/>
      <c r="AB699" s="113"/>
      <c r="AC699" s="113"/>
      <c r="AD699" s="113"/>
      <c r="AE699" s="113"/>
      <c r="AF699" s="113"/>
      <c r="AG699" s="113"/>
    </row>
    <row r="700" spans="1:33" ht="13.8">
      <c r="A700" s="113"/>
      <c r="B700" s="113"/>
      <c r="C700" s="113"/>
      <c r="D700" s="111"/>
      <c r="E700" s="113"/>
      <c r="F700" s="111"/>
      <c r="G700" s="113"/>
      <c r="H700" s="111"/>
      <c r="I700" s="113"/>
      <c r="J700" s="113"/>
      <c r="K700" s="113"/>
      <c r="L700" s="113"/>
      <c r="M700" s="113"/>
      <c r="N700" s="113"/>
      <c r="O700" s="113"/>
      <c r="P700" s="113"/>
      <c r="Q700" s="113"/>
      <c r="R700" s="113"/>
      <c r="S700" s="113"/>
      <c r="T700" s="113"/>
      <c r="U700" s="113"/>
      <c r="V700" s="113"/>
      <c r="W700" s="113"/>
      <c r="X700" s="113"/>
      <c r="Y700" s="113"/>
      <c r="Z700" s="113"/>
      <c r="AA700" s="113"/>
      <c r="AB700" s="113"/>
      <c r="AC700" s="113"/>
      <c r="AD700" s="113"/>
      <c r="AE700" s="113"/>
      <c r="AF700" s="113"/>
      <c r="AG700" s="113"/>
    </row>
    <row r="701" spans="1:33" ht="13.8">
      <c r="A701" s="113"/>
      <c r="B701" s="113"/>
      <c r="C701" s="113"/>
      <c r="D701" s="111"/>
      <c r="E701" s="113"/>
      <c r="F701" s="111"/>
      <c r="G701" s="113"/>
      <c r="H701" s="111"/>
      <c r="I701" s="113"/>
      <c r="J701" s="113"/>
      <c r="K701" s="113"/>
      <c r="L701" s="113"/>
      <c r="M701" s="113"/>
      <c r="N701" s="113"/>
      <c r="O701" s="113"/>
      <c r="P701" s="113"/>
      <c r="Q701" s="113"/>
      <c r="R701" s="113"/>
      <c r="S701" s="113"/>
      <c r="T701" s="113"/>
      <c r="U701" s="113"/>
      <c r="V701" s="113"/>
      <c r="W701" s="113"/>
      <c r="X701" s="113"/>
      <c r="Y701" s="113"/>
      <c r="Z701" s="113"/>
      <c r="AA701" s="113"/>
      <c r="AB701" s="113"/>
      <c r="AC701" s="113"/>
      <c r="AD701" s="113"/>
      <c r="AE701" s="113"/>
      <c r="AF701" s="113"/>
      <c r="AG701" s="113"/>
    </row>
    <row r="702" spans="1:33" ht="13.8">
      <c r="A702" s="113"/>
      <c r="B702" s="113"/>
      <c r="C702" s="113"/>
      <c r="D702" s="111"/>
      <c r="E702" s="113"/>
      <c r="F702" s="111"/>
      <c r="G702" s="113"/>
      <c r="H702" s="111"/>
      <c r="I702" s="113"/>
      <c r="J702" s="113"/>
      <c r="K702" s="113"/>
      <c r="L702" s="113"/>
      <c r="M702" s="113"/>
      <c r="N702" s="113"/>
      <c r="O702" s="113"/>
      <c r="P702" s="113"/>
      <c r="Q702" s="113"/>
      <c r="R702" s="113"/>
      <c r="S702" s="113"/>
      <c r="T702" s="113"/>
      <c r="U702" s="113"/>
      <c r="V702" s="113"/>
      <c r="W702" s="113"/>
      <c r="X702" s="113"/>
      <c r="Y702" s="113"/>
      <c r="Z702" s="113"/>
      <c r="AA702" s="113"/>
      <c r="AB702" s="113"/>
      <c r="AC702" s="113"/>
      <c r="AD702" s="113"/>
      <c r="AE702" s="113"/>
      <c r="AF702" s="113"/>
      <c r="AG702" s="113"/>
    </row>
    <row r="703" spans="1:33" ht="13.8">
      <c r="A703" s="113"/>
      <c r="B703" s="113"/>
      <c r="C703" s="113"/>
      <c r="D703" s="111"/>
      <c r="E703" s="113"/>
      <c r="F703" s="111"/>
      <c r="G703" s="113"/>
      <c r="H703" s="111"/>
      <c r="I703" s="113"/>
      <c r="J703" s="113"/>
      <c r="K703" s="113"/>
      <c r="L703" s="113"/>
      <c r="M703" s="113"/>
      <c r="N703" s="113"/>
      <c r="O703" s="113"/>
      <c r="P703" s="113"/>
      <c r="Q703" s="113"/>
      <c r="R703" s="113"/>
      <c r="S703" s="113"/>
      <c r="T703" s="113"/>
      <c r="U703" s="113"/>
      <c r="V703" s="113"/>
      <c r="W703" s="113"/>
      <c r="X703" s="113"/>
      <c r="Y703" s="113"/>
      <c r="Z703" s="113"/>
      <c r="AA703" s="113"/>
      <c r="AB703" s="113"/>
      <c r="AC703" s="113"/>
      <c r="AD703" s="113"/>
      <c r="AE703" s="113"/>
      <c r="AF703" s="113"/>
      <c r="AG703" s="113"/>
    </row>
    <row r="704" spans="1:33" ht="13.8">
      <c r="A704" s="113"/>
      <c r="B704" s="113"/>
      <c r="C704" s="113"/>
      <c r="D704" s="111"/>
      <c r="E704" s="113"/>
      <c r="F704" s="111"/>
      <c r="G704" s="113"/>
      <c r="H704" s="111"/>
      <c r="I704" s="113"/>
      <c r="J704" s="113"/>
      <c r="K704" s="113"/>
      <c r="L704" s="113"/>
      <c r="M704" s="113"/>
      <c r="N704" s="113"/>
      <c r="O704" s="113"/>
      <c r="P704" s="113"/>
      <c r="Q704" s="113"/>
      <c r="R704" s="113"/>
      <c r="S704" s="113"/>
      <c r="T704" s="113"/>
      <c r="U704" s="113"/>
      <c r="V704" s="113"/>
      <c r="W704" s="113"/>
      <c r="X704" s="113"/>
      <c r="Y704" s="113"/>
      <c r="Z704" s="113"/>
      <c r="AA704" s="113"/>
      <c r="AB704" s="113"/>
      <c r="AC704" s="113"/>
      <c r="AD704" s="113"/>
      <c r="AE704" s="113"/>
      <c r="AF704" s="113"/>
      <c r="AG704" s="113"/>
    </row>
    <row r="705" spans="1:33" ht="13.8">
      <c r="A705" s="113"/>
      <c r="B705" s="113"/>
      <c r="C705" s="113"/>
      <c r="D705" s="111"/>
      <c r="E705" s="113"/>
      <c r="F705" s="111"/>
      <c r="G705" s="113"/>
      <c r="H705" s="111"/>
      <c r="I705" s="113"/>
      <c r="J705" s="113"/>
      <c r="K705" s="113"/>
      <c r="L705" s="113"/>
      <c r="M705" s="113"/>
      <c r="N705" s="113"/>
      <c r="O705" s="113"/>
      <c r="P705" s="113"/>
      <c r="Q705" s="113"/>
      <c r="R705" s="113"/>
      <c r="S705" s="113"/>
      <c r="T705" s="113"/>
      <c r="U705" s="113"/>
      <c r="V705" s="113"/>
      <c r="W705" s="113"/>
      <c r="X705" s="113"/>
      <c r="Y705" s="113"/>
      <c r="Z705" s="113"/>
      <c r="AA705" s="113"/>
      <c r="AB705" s="113"/>
      <c r="AC705" s="113"/>
      <c r="AD705" s="113"/>
      <c r="AE705" s="113"/>
      <c r="AF705" s="113"/>
      <c r="AG705" s="113"/>
    </row>
    <row r="706" spans="1:33" ht="13.8">
      <c r="A706" s="113"/>
      <c r="B706" s="113"/>
      <c r="C706" s="113"/>
      <c r="D706" s="111"/>
      <c r="E706" s="113"/>
      <c r="F706" s="111"/>
      <c r="G706" s="113"/>
      <c r="H706" s="111"/>
      <c r="I706" s="113"/>
      <c r="J706" s="113"/>
      <c r="K706" s="113"/>
      <c r="L706" s="113"/>
      <c r="M706" s="113"/>
      <c r="N706" s="113"/>
      <c r="O706" s="113"/>
      <c r="P706" s="113"/>
      <c r="Q706" s="113"/>
      <c r="R706" s="113"/>
      <c r="S706" s="113"/>
      <c r="T706" s="113"/>
      <c r="U706" s="113"/>
      <c r="V706" s="113"/>
      <c r="W706" s="113"/>
      <c r="X706" s="113"/>
      <c r="Y706" s="113"/>
      <c r="Z706" s="113"/>
      <c r="AA706" s="113"/>
      <c r="AB706" s="113"/>
      <c r="AC706" s="113"/>
      <c r="AD706" s="113"/>
      <c r="AE706" s="113"/>
      <c r="AF706" s="113"/>
      <c r="AG706" s="113"/>
    </row>
    <row r="707" spans="1:33" ht="13.8">
      <c r="A707" s="113"/>
      <c r="B707" s="113"/>
      <c r="C707" s="113"/>
      <c r="D707" s="111"/>
      <c r="E707" s="113"/>
      <c r="F707" s="111"/>
      <c r="G707" s="113"/>
      <c r="H707" s="111"/>
      <c r="I707" s="113"/>
      <c r="J707" s="113"/>
      <c r="K707" s="113"/>
      <c r="L707" s="113"/>
      <c r="M707" s="113"/>
      <c r="N707" s="113"/>
      <c r="O707" s="113"/>
      <c r="P707" s="113"/>
      <c r="Q707" s="113"/>
      <c r="R707" s="113"/>
      <c r="S707" s="113"/>
      <c r="T707" s="113"/>
      <c r="U707" s="113"/>
      <c r="V707" s="113"/>
      <c r="W707" s="113"/>
      <c r="X707" s="113"/>
      <c r="Y707" s="113"/>
      <c r="Z707" s="113"/>
      <c r="AA707" s="113"/>
      <c r="AB707" s="113"/>
      <c r="AC707" s="113"/>
      <c r="AD707" s="113"/>
      <c r="AE707" s="113"/>
      <c r="AF707" s="113"/>
      <c r="AG707" s="113"/>
    </row>
    <row r="708" spans="1:33" ht="13.8">
      <c r="A708" s="113"/>
      <c r="B708" s="113"/>
      <c r="C708" s="113"/>
      <c r="D708" s="111"/>
      <c r="E708" s="113"/>
      <c r="F708" s="111"/>
      <c r="G708" s="113"/>
      <c r="H708" s="111"/>
      <c r="I708" s="113"/>
      <c r="J708" s="113"/>
      <c r="K708" s="113"/>
      <c r="L708" s="113"/>
      <c r="M708" s="113"/>
      <c r="N708" s="113"/>
      <c r="O708" s="113"/>
      <c r="P708" s="113"/>
      <c r="Q708" s="113"/>
      <c r="R708" s="113"/>
      <c r="S708" s="113"/>
      <c r="T708" s="113"/>
      <c r="U708" s="113"/>
      <c r="V708" s="113"/>
      <c r="W708" s="113"/>
      <c r="X708" s="113"/>
      <c r="Y708" s="113"/>
      <c r="Z708" s="113"/>
      <c r="AA708" s="113"/>
      <c r="AB708" s="113"/>
      <c r="AC708" s="113"/>
      <c r="AD708" s="113"/>
      <c r="AE708" s="113"/>
      <c r="AF708" s="113"/>
      <c r="AG708" s="113"/>
    </row>
    <row r="709" spans="1:33" ht="13.8">
      <c r="A709" s="113"/>
      <c r="B709" s="113"/>
      <c r="C709" s="113"/>
      <c r="D709" s="111"/>
      <c r="E709" s="113"/>
      <c r="F709" s="111"/>
      <c r="G709" s="113"/>
      <c r="H709" s="111"/>
      <c r="I709" s="113"/>
      <c r="J709" s="113"/>
      <c r="K709" s="113"/>
      <c r="L709" s="113"/>
      <c r="M709" s="113"/>
      <c r="N709" s="113"/>
      <c r="O709" s="113"/>
      <c r="P709" s="113"/>
      <c r="Q709" s="113"/>
      <c r="R709" s="113"/>
      <c r="S709" s="113"/>
      <c r="T709" s="113"/>
      <c r="U709" s="113"/>
      <c r="V709" s="113"/>
      <c r="W709" s="113"/>
      <c r="X709" s="113"/>
      <c r="Y709" s="113"/>
      <c r="Z709" s="113"/>
      <c r="AA709" s="113"/>
      <c r="AB709" s="113"/>
      <c r="AC709" s="113"/>
      <c r="AD709" s="113"/>
      <c r="AE709" s="113"/>
      <c r="AF709" s="113"/>
      <c r="AG709" s="113"/>
    </row>
    <row r="710" spans="1:33" ht="13.8">
      <c r="A710" s="113"/>
      <c r="B710" s="113"/>
      <c r="C710" s="113"/>
      <c r="D710" s="111"/>
      <c r="E710" s="113"/>
      <c r="F710" s="111"/>
      <c r="G710" s="113"/>
      <c r="H710" s="111"/>
      <c r="I710" s="113"/>
      <c r="J710" s="113"/>
      <c r="K710" s="113"/>
      <c r="L710" s="113"/>
      <c r="M710" s="113"/>
      <c r="N710" s="113"/>
      <c r="O710" s="113"/>
      <c r="P710" s="113"/>
      <c r="Q710" s="113"/>
      <c r="R710" s="113"/>
      <c r="S710" s="113"/>
      <c r="T710" s="113"/>
      <c r="U710" s="113"/>
      <c r="V710" s="113"/>
      <c r="W710" s="113"/>
      <c r="X710" s="113"/>
      <c r="Y710" s="113"/>
      <c r="Z710" s="113"/>
      <c r="AA710" s="113"/>
      <c r="AB710" s="113"/>
      <c r="AC710" s="113"/>
      <c r="AD710" s="113"/>
      <c r="AE710" s="113"/>
      <c r="AF710" s="113"/>
      <c r="AG710" s="113"/>
    </row>
    <row r="711" spans="1:33" ht="13.8">
      <c r="A711" s="113"/>
      <c r="B711" s="113"/>
      <c r="C711" s="113"/>
      <c r="D711" s="111"/>
      <c r="E711" s="113"/>
      <c r="F711" s="111"/>
      <c r="G711" s="113"/>
      <c r="H711" s="111"/>
      <c r="I711" s="113"/>
      <c r="J711" s="113"/>
      <c r="K711" s="113"/>
      <c r="L711" s="113"/>
      <c r="M711" s="113"/>
      <c r="N711" s="113"/>
      <c r="O711" s="113"/>
      <c r="P711" s="113"/>
      <c r="Q711" s="113"/>
      <c r="R711" s="113"/>
      <c r="S711" s="113"/>
      <c r="T711" s="113"/>
      <c r="U711" s="113"/>
      <c r="V711" s="113"/>
      <c r="W711" s="113"/>
      <c r="X711" s="113"/>
      <c r="Y711" s="113"/>
      <c r="Z711" s="113"/>
      <c r="AA711" s="113"/>
      <c r="AB711" s="113"/>
      <c r="AC711" s="113"/>
      <c r="AD711" s="113"/>
      <c r="AE711" s="113"/>
      <c r="AF711" s="113"/>
      <c r="AG711" s="113"/>
    </row>
    <row r="712" spans="1:33" ht="13.8">
      <c r="A712" s="113"/>
      <c r="B712" s="113"/>
      <c r="C712" s="113"/>
      <c r="D712" s="111"/>
      <c r="E712" s="113"/>
      <c r="F712" s="111"/>
      <c r="G712" s="113"/>
      <c r="H712" s="111"/>
      <c r="I712" s="113"/>
      <c r="J712" s="113"/>
      <c r="K712" s="113"/>
      <c r="L712" s="113"/>
      <c r="M712" s="113"/>
      <c r="N712" s="113"/>
      <c r="O712" s="113"/>
      <c r="P712" s="113"/>
      <c r="Q712" s="113"/>
      <c r="R712" s="113"/>
      <c r="S712" s="113"/>
      <c r="T712" s="113"/>
      <c r="U712" s="113"/>
      <c r="V712" s="113"/>
      <c r="W712" s="113"/>
      <c r="X712" s="113"/>
      <c r="Y712" s="113"/>
      <c r="Z712" s="113"/>
      <c r="AA712" s="113"/>
      <c r="AB712" s="113"/>
      <c r="AC712" s="113"/>
      <c r="AD712" s="113"/>
      <c r="AE712" s="113"/>
      <c r="AF712" s="113"/>
      <c r="AG712" s="113"/>
    </row>
    <row r="713" spans="1:33" ht="13.8">
      <c r="A713" s="113"/>
      <c r="B713" s="113"/>
      <c r="C713" s="113"/>
      <c r="D713" s="111"/>
      <c r="E713" s="113"/>
      <c r="F713" s="111"/>
      <c r="G713" s="113"/>
      <c r="H713" s="111"/>
      <c r="I713" s="113"/>
      <c r="J713" s="113"/>
      <c r="K713" s="113"/>
      <c r="L713" s="113"/>
      <c r="M713" s="113"/>
      <c r="N713" s="113"/>
      <c r="O713" s="113"/>
      <c r="P713" s="113"/>
      <c r="Q713" s="113"/>
      <c r="R713" s="113"/>
      <c r="S713" s="113"/>
      <c r="T713" s="113"/>
      <c r="U713" s="113"/>
      <c r="V713" s="113"/>
      <c r="W713" s="113"/>
      <c r="X713" s="113"/>
      <c r="Y713" s="113"/>
      <c r="Z713" s="113"/>
      <c r="AA713" s="113"/>
      <c r="AB713" s="113"/>
      <c r="AC713" s="113"/>
      <c r="AD713" s="113"/>
      <c r="AE713" s="113"/>
      <c r="AF713" s="113"/>
      <c r="AG713" s="113"/>
    </row>
    <row r="714" spans="1:33" ht="13.8">
      <c r="A714" s="113"/>
      <c r="B714" s="113"/>
      <c r="C714" s="113"/>
      <c r="D714" s="111"/>
      <c r="E714" s="113"/>
      <c r="F714" s="111"/>
      <c r="G714" s="113"/>
      <c r="H714" s="111"/>
      <c r="I714" s="113"/>
      <c r="J714" s="113"/>
      <c r="K714" s="113"/>
      <c r="L714" s="113"/>
      <c r="M714" s="113"/>
      <c r="N714" s="113"/>
      <c r="O714" s="113"/>
      <c r="P714" s="113"/>
      <c r="Q714" s="113"/>
      <c r="R714" s="113"/>
      <c r="S714" s="113"/>
      <c r="T714" s="113"/>
      <c r="U714" s="113"/>
      <c r="V714" s="113"/>
      <c r="W714" s="113"/>
      <c r="X714" s="113"/>
      <c r="Y714" s="113"/>
      <c r="Z714" s="113"/>
      <c r="AA714" s="113"/>
      <c r="AB714" s="113"/>
      <c r="AC714" s="113"/>
      <c r="AD714" s="113"/>
      <c r="AE714" s="113"/>
      <c r="AF714" s="113"/>
      <c r="AG714" s="113"/>
    </row>
    <row r="715" spans="1:33" ht="13.8">
      <c r="A715" s="113"/>
      <c r="B715" s="113"/>
      <c r="C715" s="113"/>
      <c r="D715" s="111"/>
      <c r="E715" s="113"/>
      <c r="F715" s="111"/>
      <c r="G715" s="113"/>
      <c r="H715" s="111"/>
      <c r="I715" s="113"/>
      <c r="J715" s="113"/>
      <c r="K715" s="113"/>
      <c r="L715" s="113"/>
      <c r="M715" s="113"/>
      <c r="N715" s="113"/>
      <c r="O715" s="113"/>
      <c r="P715" s="113"/>
      <c r="Q715" s="113"/>
      <c r="R715" s="113"/>
      <c r="S715" s="113"/>
      <c r="T715" s="113"/>
      <c r="U715" s="113"/>
      <c r="V715" s="113"/>
      <c r="W715" s="113"/>
      <c r="X715" s="113"/>
      <c r="Y715" s="113"/>
      <c r="Z715" s="113"/>
      <c r="AA715" s="113"/>
      <c r="AB715" s="113"/>
      <c r="AC715" s="113"/>
      <c r="AD715" s="113"/>
      <c r="AE715" s="113"/>
      <c r="AF715" s="113"/>
      <c r="AG715" s="113"/>
    </row>
    <row r="716" spans="1:33" ht="13.8">
      <c r="A716" s="113"/>
      <c r="B716" s="113"/>
      <c r="C716" s="113"/>
      <c r="D716" s="111"/>
      <c r="E716" s="113"/>
      <c r="F716" s="111"/>
      <c r="G716" s="113"/>
      <c r="H716" s="111"/>
      <c r="I716" s="113"/>
      <c r="J716" s="113"/>
      <c r="K716" s="113"/>
      <c r="L716" s="113"/>
      <c r="M716" s="113"/>
      <c r="N716" s="113"/>
      <c r="O716" s="113"/>
      <c r="P716" s="113"/>
      <c r="Q716" s="113"/>
      <c r="R716" s="113"/>
      <c r="S716" s="113"/>
      <c r="T716" s="113"/>
      <c r="U716" s="113"/>
      <c r="V716" s="113"/>
      <c r="W716" s="113"/>
      <c r="X716" s="113"/>
      <c r="Y716" s="113"/>
      <c r="Z716" s="113"/>
      <c r="AA716" s="113"/>
      <c r="AB716" s="113"/>
      <c r="AC716" s="113"/>
      <c r="AD716" s="113"/>
      <c r="AE716" s="113"/>
      <c r="AF716" s="113"/>
      <c r="AG716" s="113"/>
    </row>
    <row r="717" spans="1:33" ht="13.8">
      <c r="A717" s="113"/>
      <c r="B717" s="113"/>
      <c r="C717" s="113"/>
      <c r="D717" s="111"/>
      <c r="E717" s="113"/>
      <c r="F717" s="111"/>
      <c r="G717" s="113"/>
      <c r="H717" s="111"/>
      <c r="I717" s="113"/>
      <c r="J717" s="113"/>
      <c r="K717" s="113"/>
      <c r="L717" s="113"/>
      <c r="M717" s="113"/>
      <c r="N717" s="113"/>
      <c r="O717" s="113"/>
      <c r="P717" s="113"/>
      <c r="Q717" s="113"/>
      <c r="R717" s="113"/>
      <c r="S717" s="113"/>
      <c r="T717" s="113"/>
      <c r="U717" s="113"/>
      <c r="V717" s="113"/>
      <c r="W717" s="113"/>
      <c r="X717" s="113"/>
      <c r="Y717" s="113"/>
      <c r="Z717" s="113"/>
      <c r="AA717" s="113"/>
      <c r="AB717" s="113"/>
      <c r="AC717" s="113"/>
      <c r="AD717" s="113"/>
      <c r="AE717" s="113"/>
      <c r="AF717" s="113"/>
      <c r="AG717" s="113"/>
    </row>
    <row r="718" spans="1:33" ht="13.8">
      <c r="A718" s="113"/>
      <c r="B718" s="113"/>
      <c r="C718" s="113"/>
      <c r="D718" s="111"/>
      <c r="E718" s="113"/>
      <c r="F718" s="111"/>
      <c r="G718" s="113"/>
      <c r="H718" s="111"/>
      <c r="I718" s="113"/>
      <c r="J718" s="113"/>
      <c r="K718" s="113"/>
      <c r="L718" s="113"/>
      <c r="M718" s="113"/>
      <c r="N718" s="113"/>
      <c r="O718" s="113"/>
      <c r="P718" s="113"/>
      <c r="Q718" s="113"/>
      <c r="R718" s="113"/>
      <c r="S718" s="113"/>
      <c r="T718" s="113"/>
      <c r="U718" s="113"/>
      <c r="V718" s="113"/>
      <c r="W718" s="113"/>
      <c r="X718" s="113"/>
      <c r="Y718" s="113"/>
      <c r="Z718" s="113"/>
      <c r="AA718" s="113"/>
      <c r="AB718" s="113"/>
      <c r="AC718" s="113"/>
      <c r="AD718" s="113"/>
      <c r="AE718" s="113"/>
      <c r="AF718" s="113"/>
      <c r="AG718" s="113"/>
    </row>
    <row r="719" spans="1:33" ht="13.8">
      <c r="A719" s="113"/>
      <c r="B719" s="113"/>
      <c r="C719" s="113"/>
      <c r="D719" s="111"/>
      <c r="E719" s="113"/>
      <c r="F719" s="111"/>
      <c r="G719" s="113"/>
      <c r="H719" s="111"/>
      <c r="I719" s="113"/>
      <c r="J719" s="113"/>
      <c r="K719" s="113"/>
      <c r="L719" s="113"/>
      <c r="M719" s="113"/>
      <c r="N719" s="113"/>
      <c r="O719" s="113"/>
      <c r="P719" s="113"/>
      <c r="Q719" s="113"/>
      <c r="R719" s="113"/>
      <c r="S719" s="113"/>
      <c r="T719" s="113"/>
      <c r="U719" s="113"/>
      <c r="V719" s="113"/>
      <c r="W719" s="113"/>
      <c r="X719" s="113"/>
      <c r="Y719" s="113"/>
      <c r="Z719" s="113"/>
      <c r="AA719" s="113"/>
      <c r="AB719" s="113"/>
      <c r="AC719" s="113"/>
      <c r="AD719" s="113"/>
      <c r="AE719" s="113"/>
      <c r="AF719" s="113"/>
      <c r="AG719" s="113"/>
    </row>
    <row r="720" spans="1:33" ht="13.8">
      <c r="A720" s="113"/>
      <c r="B720" s="113"/>
      <c r="C720" s="113"/>
      <c r="D720" s="111"/>
      <c r="E720" s="113"/>
      <c r="F720" s="111"/>
      <c r="G720" s="113"/>
      <c r="H720" s="111"/>
      <c r="I720" s="113"/>
      <c r="J720" s="113"/>
      <c r="K720" s="113"/>
      <c r="L720" s="113"/>
      <c r="M720" s="113"/>
      <c r="N720" s="113"/>
      <c r="O720" s="113"/>
      <c r="P720" s="113"/>
      <c r="Q720" s="113"/>
      <c r="R720" s="113"/>
      <c r="S720" s="113"/>
      <c r="T720" s="113"/>
      <c r="U720" s="113"/>
      <c r="V720" s="113"/>
      <c r="W720" s="113"/>
      <c r="X720" s="113"/>
      <c r="Y720" s="113"/>
      <c r="Z720" s="113"/>
      <c r="AA720" s="113"/>
      <c r="AB720" s="113"/>
      <c r="AC720" s="113"/>
      <c r="AD720" s="113"/>
      <c r="AE720" s="113"/>
      <c r="AF720" s="113"/>
      <c r="AG720" s="113"/>
    </row>
    <row r="721" spans="1:33" ht="13.8">
      <c r="A721" s="113"/>
      <c r="B721" s="113"/>
      <c r="C721" s="113"/>
      <c r="D721" s="111"/>
      <c r="E721" s="113"/>
      <c r="F721" s="111"/>
      <c r="G721" s="113"/>
      <c r="H721" s="111"/>
      <c r="I721" s="113"/>
      <c r="J721" s="113"/>
      <c r="K721" s="113"/>
      <c r="L721" s="113"/>
      <c r="M721" s="113"/>
      <c r="N721" s="113"/>
      <c r="O721" s="113"/>
      <c r="P721" s="113"/>
      <c r="Q721" s="113"/>
      <c r="R721" s="113"/>
      <c r="S721" s="113"/>
      <c r="T721" s="113"/>
      <c r="U721" s="113"/>
      <c r="V721" s="113"/>
      <c r="W721" s="113"/>
      <c r="X721" s="113"/>
      <c r="Y721" s="113"/>
      <c r="Z721" s="113"/>
      <c r="AA721" s="113"/>
      <c r="AB721" s="113"/>
      <c r="AC721" s="113"/>
      <c r="AD721" s="113"/>
      <c r="AE721" s="113"/>
      <c r="AF721" s="113"/>
      <c r="AG721" s="113"/>
    </row>
    <row r="722" spans="1:33" ht="13.8">
      <c r="A722" s="113"/>
      <c r="B722" s="113"/>
      <c r="C722" s="113"/>
      <c r="D722" s="111"/>
      <c r="E722" s="113"/>
      <c r="F722" s="111"/>
      <c r="G722" s="113"/>
      <c r="H722" s="111"/>
      <c r="I722" s="113"/>
      <c r="J722" s="113"/>
      <c r="K722" s="113"/>
      <c r="L722" s="113"/>
      <c r="M722" s="113"/>
      <c r="N722" s="113"/>
      <c r="O722" s="113"/>
      <c r="P722" s="113"/>
      <c r="Q722" s="113"/>
      <c r="R722" s="113"/>
      <c r="S722" s="113"/>
      <c r="T722" s="113"/>
      <c r="U722" s="113"/>
      <c r="V722" s="113"/>
      <c r="W722" s="113"/>
      <c r="X722" s="113"/>
      <c r="Y722" s="113"/>
      <c r="Z722" s="113"/>
      <c r="AA722" s="113"/>
      <c r="AB722" s="113"/>
      <c r="AC722" s="113"/>
      <c r="AD722" s="113"/>
      <c r="AE722" s="113"/>
      <c r="AF722" s="113"/>
      <c r="AG722" s="113"/>
    </row>
    <row r="723" spans="1:33" ht="13.8">
      <c r="A723" s="113"/>
      <c r="B723" s="113"/>
      <c r="C723" s="113"/>
      <c r="D723" s="111"/>
      <c r="E723" s="113"/>
      <c r="F723" s="111"/>
      <c r="G723" s="113"/>
      <c r="H723" s="111"/>
      <c r="I723" s="113"/>
      <c r="J723" s="113"/>
      <c r="K723" s="113"/>
      <c r="L723" s="113"/>
      <c r="M723" s="113"/>
      <c r="N723" s="113"/>
      <c r="O723" s="113"/>
      <c r="P723" s="113"/>
      <c r="Q723" s="113"/>
      <c r="R723" s="113"/>
      <c r="S723" s="113"/>
      <c r="T723" s="113"/>
      <c r="U723" s="113"/>
      <c r="V723" s="113"/>
      <c r="W723" s="113"/>
      <c r="X723" s="113"/>
      <c r="Y723" s="113"/>
      <c r="Z723" s="113"/>
      <c r="AA723" s="113"/>
      <c r="AB723" s="113"/>
      <c r="AC723" s="113"/>
      <c r="AD723" s="113"/>
      <c r="AE723" s="113"/>
      <c r="AF723" s="113"/>
      <c r="AG723" s="113"/>
    </row>
    <row r="724" spans="1:33" ht="13.8">
      <c r="A724" s="113"/>
      <c r="B724" s="113"/>
      <c r="C724" s="113"/>
      <c r="D724" s="111"/>
      <c r="E724" s="113"/>
      <c r="F724" s="111"/>
      <c r="G724" s="113"/>
      <c r="H724" s="111"/>
      <c r="I724" s="113"/>
      <c r="J724" s="113"/>
      <c r="K724" s="113"/>
      <c r="L724" s="113"/>
      <c r="M724" s="113"/>
      <c r="N724" s="113"/>
      <c r="O724" s="113"/>
      <c r="P724" s="113"/>
      <c r="Q724" s="113"/>
      <c r="R724" s="113"/>
      <c r="S724" s="113"/>
      <c r="T724" s="113"/>
      <c r="U724" s="113"/>
      <c r="V724" s="113"/>
      <c r="W724" s="113"/>
      <c r="X724" s="113"/>
      <c r="Y724" s="113"/>
      <c r="Z724" s="113"/>
      <c r="AA724" s="113"/>
      <c r="AB724" s="113"/>
      <c r="AC724" s="113"/>
      <c r="AD724" s="113"/>
      <c r="AE724" s="113"/>
      <c r="AF724" s="113"/>
      <c r="AG724" s="113"/>
    </row>
    <row r="725" spans="1:33" ht="13.8">
      <c r="A725" s="113"/>
      <c r="B725" s="113"/>
      <c r="C725" s="113"/>
      <c r="D725" s="111"/>
      <c r="E725" s="113"/>
      <c r="F725" s="111"/>
      <c r="G725" s="113"/>
      <c r="H725" s="111"/>
      <c r="I725" s="113"/>
      <c r="J725" s="113"/>
      <c r="K725" s="113"/>
      <c r="L725" s="113"/>
      <c r="M725" s="113"/>
      <c r="N725" s="113"/>
      <c r="O725" s="113"/>
      <c r="P725" s="113"/>
      <c r="Q725" s="113"/>
      <c r="R725" s="113"/>
      <c r="S725" s="113"/>
      <c r="T725" s="113"/>
      <c r="U725" s="113"/>
      <c r="V725" s="113"/>
      <c r="W725" s="113"/>
      <c r="X725" s="113"/>
      <c r="Y725" s="113"/>
      <c r="Z725" s="113"/>
      <c r="AA725" s="113"/>
      <c r="AB725" s="113"/>
      <c r="AC725" s="113"/>
      <c r="AD725" s="113"/>
      <c r="AE725" s="113"/>
      <c r="AF725" s="113"/>
      <c r="AG725" s="113"/>
    </row>
    <row r="726" spans="1:33" ht="13.8">
      <c r="A726" s="113"/>
      <c r="B726" s="113"/>
      <c r="C726" s="113"/>
      <c r="D726" s="111"/>
      <c r="E726" s="113"/>
      <c r="F726" s="111"/>
      <c r="G726" s="113"/>
      <c r="H726" s="111"/>
      <c r="I726" s="113"/>
      <c r="J726" s="113"/>
      <c r="K726" s="113"/>
      <c r="L726" s="113"/>
      <c r="M726" s="113"/>
      <c r="N726" s="113"/>
      <c r="O726" s="113"/>
      <c r="P726" s="113"/>
      <c r="Q726" s="113"/>
      <c r="R726" s="113"/>
      <c r="S726" s="113"/>
      <c r="T726" s="113"/>
      <c r="U726" s="113"/>
      <c r="V726" s="113"/>
      <c r="W726" s="113"/>
      <c r="X726" s="113"/>
      <c r="Y726" s="113"/>
      <c r="Z726" s="113"/>
      <c r="AA726" s="113"/>
      <c r="AB726" s="113"/>
      <c r="AC726" s="113"/>
      <c r="AD726" s="113"/>
      <c r="AE726" s="113"/>
      <c r="AF726" s="113"/>
      <c r="AG726" s="113"/>
    </row>
    <row r="727" spans="1:33" ht="13.8">
      <c r="A727" s="113"/>
      <c r="B727" s="113"/>
      <c r="C727" s="113"/>
      <c r="D727" s="111"/>
      <c r="E727" s="113"/>
      <c r="F727" s="111"/>
      <c r="G727" s="113"/>
      <c r="H727" s="111"/>
      <c r="I727" s="113"/>
      <c r="J727" s="113"/>
      <c r="K727" s="113"/>
      <c r="L727" s="113"/>
      <c r="M727" s="113"/>
      <c r="N727" s="113"/>
      <c r="O727" s="113"/>
      <c r="P727" s="113"/>
      <c r="Q727" s="113"/>
      <c r="R727" s="113"/>
      <c r="S727" s="113"/>
      <c r="T727" s="113"/>
      <c r="U727" s="113"/>
      <c r="V727" s="113"/>
      <c r="W727" s="113"/>
      <c r="X727" s="113"/>
      <c r="Y727" s="113"/>
      <c r="Z727" s="113"/>
      <c r="AA727" s="113"/>
      <c r="AB727" s="113"/>
      <c r="AC727" s="113"/>
      <c r="AD727" s="113"/>
      <c r="AE727" s="113"/>
      <c r="AF727" s="113"/>
      <c r="AG727" s="113"/>
    </row>
    <row r="728" spans="1:33" ht="13.8">
      <c r="A728" s="113"/>
      <c r="B728" s="113"/>
      <c r="C728" s="113"/>
      <c r="D728" s="111"/>
      <c r="E728" s="113"/>
      <c r="F728" s="111"/>
      <c r="G728" s="113"/>
      <c r="H728" s="111"/>
      <c r="I728" s="113"/>
      <c r="J728" s="113"/>
      <c r="K728" s="113"/>
      <c r="L728" s="113"/>
      <c r="M728" s="113"/>
      <c r="N728" s="113"/>
      <c r="O728" s="113"/>
      <c r="P728" s="113"/>
      <c r="Q728" s="113"/>
      <c r="R728" s="113"/>
      <c r="S728" s="113"/>
      <c r="T728" s="113"/>
      <c r="U728" s="113"/>
      <c r="V728" s="113"/>
      <c r="W728" s="113"/>
      <c r="X728" s="113"/>
      <c r="Y728" s="113"/>
      <c r="Z728" s="113"/>
      <c r="AA728" s="113"/>
      <c r="AB728" s="113"/>
      <c r="AC728" s="113"/>
      <c r="AD728" s="113"/>
      <c r="AE728" s="113"/>
      <c r="AF728" s="113"/>
      <c r="AG728" s="113"/>
    </row>
    <row r="729" spans="1:33" ht="13.8">
      <c r="A729" s="113"/>
      <c r="B729" s="113"/>
      <c r="C729" s="113"/>
      <c r="D729" s="111"/>
      <c r="E729" s="113"/>
      <c r="F729" s="111"/>
      <c r="G729" s="113"/>
      <c r="H729" s="111"/>
      <c r="I729" s="113"/>
      <c r="J729" s="113"/>
      <c r="K729" s="113"/>
      <c r="L729" s="113"/>
      <c r="M729" s="113"/>
      <c r="N729" s="113"/>
      <c r="O729" s="113"/>
      <c r="P729" s="113"/>
      <c r="Q729" s="113"/>
      <c r="R729" s="113"/>
      <c r="S729" s="113"/>
      <c r="T729" s="113"/>
      <c r="U729" s="113"/>
      <c r="V729" s="113"/>
      <c r="W729" s="113"/>
      <c r="X729" s="113"/>
      <c r="Y729" s="113"/>
      <c r="Z729" s="113"/>
      <c r="AA729" s="113"/>
      <c r="AB729" s="113"/>
      <c r="AC729" s="113"/>
      <c r="AD729" s="113"/>
      <c r="AE729" s="113"/>
      <c r="AF729" s="113"/>
      <c r="AG729" s="113"/>
    </row>
    <row r="730" spans="1:33" ht="13.8">
      <c r="A730" s="113"/>
      <c r="B730" s="113"/>
      <c r="C730" s="113"/>
      <c r="D730" s="111"/>
      <c r="E730" s="113"/>
      <c r="F730" s="111"/>
      <c r="G730" s="113"/>
      <c r="H730" s="111"/>
      <c r="I730" s="113"/>
      <c r="J730" s="113"/>
      <c r="K730" s="113"/>
      <c r="L730" s="113"/>
      <c r="M730" s="113"/>
      <c r="N730" s="113"/>
      <c r="O730" s="113"/>
      <c r="P730" s="113"/>
      <c r="Q730" s="113"/>
      <c r="R730" s="113"/>
      <c r="S730" s="113"/>
      <c r="T730" s="113"/>
      <c r="U730" s="113"/>
      <c r="V730" s="113"/>
      <c r="W730" s="113"/>
      <c r="X730" s="113"/>
      <c r="Y730" s="113"/>
      <c r="Z730" s="113"/>
      <c r="AA730" s="113"/>
      <c r="AB730" s="113"/>
      <c r="AC730" s="113"/>
      <c r="AD730" s="113"/>
      <c r="AE730" s="113"/>
      <c r="AF730" s="113"/>
      <c r="AG730" s="113"/>
    </row>
    <row r="731" spans="1:33" ht="13.8">
      <c r="A731" s="113"/>
      <c r="B731" s="113"/>
      <c r="C731" s="113"/>
      <c r="D731" s="111"/>
      <c r="E731" s="113"/>
      <c r="F731" s="111"/>
      <c r="G731" s="113"/>
      <c r="H731" s="111"/>
      <c r="I731" s="113"/>
      <c r="J731" s="113"/>
      <c r="K731" s="113"/>
      <c r="L731" s="113"/>
      <c r="M731" s="113"/>
      <c r="N731" s="113"/>
      <c r="O731" s="113"/>
      <c r="P731" s="113"/>
      <c r="Q731" s="113"/>
      <c r="R731" s="113"/>
      <c r="S731" s="113"/>
      <c r="T731" s="113"/>
      <c r="U731" s="113"/>
      <c r="V731" s="113"/>
      <c r="W731" s="113"/>
      <c r="X731" s="113"/>
      <c r="Y731" s="113"/>
      <c r="Z731" s="113"/>
      <c r="AA731" s="113"/>
      <c r="AB731" s="113"/>
      <c r="AC731" s="113"/>
      <c r="AD731" s="113"/>
      <c r="AE731" s="113"/>
      <c r="AF731" s="113"/>
      <c r="AG731" s="113"/>
    </row>
    <row r="732" spans="1:33" ht="13.8">
      <c r="A732" s="113"/>
      <c r="B732" s="113"/>
      <c r="C732" s="113"/>
      <c r="D732" s="111"/>
      <c r="E732" s="113"/>
      <c r="F732" s="111"/>
      <c r="G732" s="113"/>
      <c r="H732" s="111"/>
      <c r="I732" s="113"/>
      <c r="J732" s="113"/>
      <c r="K732" s="113"/>
      <c r="L732" s="113"/>
      <c r="M732" s="113"/>
      <c r="N732" s="113"/>
      <c r="O732" s="113"/>
      <c r="P732" s="113"/>
      <c r="Q732" s="113"/>
      <c r="R732" s="113"/>
      <c r="S732" s="113"/>
      <c r="T732" s="113"/>
      <c r="U732" s="113"/>
      <c r="V732" s="113"/>
      <c r="W732" s="113"/>
      <c r="X732" s="113"/>
      <c r="Y732" s="113"/>
      <c r="Z732" s="113"/>
      <c r="AA732" s="113"/>
      <c r="AB732" s="113"/>
      <c r="AC732" s="113"/>
      <c r="AD732" s="113"/>
      <c r="AE732" s="113"/>
      <c r="AF732" s="113"/>
      <c r="AG732" s="113"/>
    </row>
    <row r="733" spans="1:33" ht="13.8">
      <c r="A733" s="113"/>
      <c r="B733" s="113"/>
      <c r="C733" s="113"/>
      <c r="D733" s="111"/>
      <c r="E733" s="113"/>
      <c r="F733" s="111"/>
      <c r="G733" s="113"/>
      <c r="H733" s="111"/>
      <c r="I733" s="113"/>
      <c r="J733" s="113"/>
      <c r="K733" s="113"/>
      <c r="L733" s="113"/>
      <c r="M733" s="113"/>
      <c r="N733" s="113"/>
      <c r="O733" s="113"/>
      <c r="P733" s="113"/>
      <c r="Q733" s="113"/>
      <c r="R733" s="113"/>
      <c r="S733" s="113"/>
      <c r="T733" s="113"/>
      <c r="U733" s="113"/>
      <c r="V733" s="113"/>
      <c r="W733" s="113"/>
      <c r="X733" s="113"/>
      <c r="Y733" s="113"/>
      <c r="Z733" s="113"/>
      <c r="AA733" s="113"/>
      <c r="AB733" s="113"/>
      <c r="AC733" s="113"/>
      <c r="AD733" s="113"/>
      <c r="AE733" s="113"/>
      <c r="AF733" s="113"/>
      <c r="AG733" s="113"/>
    </row>
    <row r="734" spans="1:33" ht="13.8">
      <c r="A734" s="113"/>
      <c r="B734" s="113"/>
      <c r="C734" s="113"/>
      <c r="D734" s="111"/>
      <c r="E734" s="113"/>
      <c r="F734" s="111"/>
      <c r="G734" s="113"/>
      <c r="H734" s="111"/>
      <c r="I734" s="113"/>
      <c r="J734" s="113"/>
      <c r="K734" s="113"/>
      <c r="L734" s="113"/>
      <c r="M734" s="113"/>
      <c r="N734" s="113"/>
      <c r="O734" s="113"/>
      <c r="P734" s="113"/>
      <c r="Q734" s="113"/>
      <c r="R734" s="113"/>
      <c r="S734" s="113"/>
      <c r="T734" s="113"/>
      <c r="U734" s="113"/>
      <c r="V734" s="113"/>
      <c r="W734" s="113"/>
      <c r="X734" s="113"/>
      <c r="Y734" s="113"/>
      <c r="Z734" s="113"/>
      <c r="AA734" s="113"/>
      <c r="AB734" s="113"/>
      <c r="AC734" s="113"/>
      <c r="AD734" s="113"/>
      <c r="AE734" s="113"/>
      <c r="AF734" s="113"/>
      <c r="AG734" s="113"/>
    </row>
    <row r="735" spans="1:33" ht="13.8">
      <c r="A735" s="113"/>
      <c r="B735" s="113"/>
      <c r="C735" s="113"/>
      <c r="D735" s="111"/>
      <c r="E735" s="113"/>
      <c r="F735" s="111"/>
      <c r="G735" s="113"/>
      <c r="H735" s="111"/>
      <c r="I735" s="113"/>
      <c r="J735" s="113"/>
      <c r="K735" s="113"/>
      <c r="L735" s="113"/>
      <c r="M735" s="113"/>
      <c r="N735" s="113"/>
      <c r="O735" s="113"/>
      <c r="P735" s="113"/>
      <c r="Q735" s="113"/>
      <c r="R735" s="113"/>
      <c r="S735" s="113"/>
      <c r="T735" s="113"/>
      <c r="U735" s="113"/>
      <c r="V735" s="113"/>
      <c r="W735" s="113"/>
      <c r="X735" s="113"/>
      <c r="Y735" s="113"/>
      <c r="Z735" s="113"/>
      <c r="AA735" s="113"/>
      <c r="AB735" s="113"/>
      <c r="AC735" s="113"/>
      <c r="AD735" s="113"/>
      <c r="AE735" s="113"/>
      <c r="AF735" s="113"/>
      <c r="AG735" s="113"/>
    </row>
    <row r="736" spans="1:33" ht="13.8">
      <c r="A736" s="113"/>
      <c r="B736" s="113"/>
      <c r="C736" s="113"/>
      <c r="D736" s="111"/>
      <c r="E736" s="113"/>
      <c r="F736" s="111"/>
      <c r="G736" s="113"/>
      <c r="H736" s="111"/>
      <c r="I736" s="113"/>
      <c r="J736" s="113"/>
      <c r="K736" s="113"/>
      <c r="L736" s="113"/>
      <c r="M736" s="113"/>
      <c r="N736" s="113"/>
      <c r="O736" s="113"/>
      <c r="P736" s="113"/>
      <c r="Q736" s="113"/>
      <c r="R736" s="113"/>
      <c r="S736" s="113"/>
      <c r="T736" s="113"/>
      <c r="U736" s="113"/>
      <c r="V736" s="113"/>
      <c r="W736" s="113"/>
      <c r="X736" s="113"/>
      <c r="Y736" s="113"/>
      <c r="Z736" s="113"/>
      <c r="AA736" s="113"/>
      <c r="AB736" s="113"/>
      <c r="AC736" s="113"/>
      <c r="AD736" s="113"/>
      <c r="AE736" s="113"/>
      <c r="AF736" s="113"/>
      <c r="AG736" s="113"/>
    </row>
    <row r="737" spans="1:33" ht="13.8">
      <c r="A737" s="113"/>
      <c r="B737" s="113"/>
      <c r="C737" s="113"/>
      <c r="D737" s="111"/>
      <c r="E737" s="113"/>
      <c r="F737" s="111"/>
      <c r="G737" s="113"/>
      <c r="H737" s="111"/>
      <c r="I737" s="113"/>
      <c r="J737" s="113"/>
      <c r="K737" s="113"/>
      <c r="L737" s="113"/>
      <c r="M737" s="113"/>
      <c r="N737" s="113"/>
      <c r="O737" s="113"/>
      <c r="P737" s="113"/>
      <c r="Q737" s="113"/>
      <c r="R737" s="113"/>
      <c r="S737" s="113"/>
      <c r="T737" s="113"/>
      <c r="U737" s="113"/>
      <c r="V737" s="113"/>
      <c r="W737" s="113"/>
      <c r="X737" s="113"/>
      <c r="Y737" s="113"/>
      <c r="Z737" s="113"/>
      <c r="AA737" s="113"/>
      <c r="AB737" s="113"/>
      <c r="AC737" s="113"/>
      <c r="AD737" s="113"/>
      <c r="AE737" s="113"/>
      <c r="AF737" s="113"/>
      <c r="AG737" s="113"/>
    </row>
    <row r="738" spans="1:33" ht="13.8">
      <c r="A738" s="113"/>
      <c r="B738" s="113"/>
      <c r="C738" s="113"/>
      <c r="D738" s="111"/>
      <c r="E738" s="113"/>
      <c r="F738" s="111"/>
      <c r="G738" s="113"/>
      <c r="H738" s="111"/>
      <c r="I738" s="113"/>
      <c r="J738" s="113"/>
      <c r="K738" s="113"/>
      <c r="L738" s="113"/>
      <c r="M738" s="113"/>
      <c r="N738" s="113"/>
      <c r="O738" s="113"/>
      <c r="P738" s="113"/>
      <c r="Q738" s="113"/>
      <c r="R738" s="113"/>
      <c r="S738" s="113"/>
      <c r="T738" s="113"/>
      <c r="U738" s="113"/>
      <c r="V738" s="113"/>
      <c r="W738" s="113"/>
      <c r="X738" s="113"/>
      <c r="Y738" s="113"/>
      <c r="Z738" s="113"/>
      <c r="AA738" s="113"/>
      <c r="AB738" s="113"/>
      <c r="AC738" s="113"/>
      <c r="AD738" s="113"/>
      <c r="AE738" s="113"/>
      <c r="AF738" s="113"/>
      <c r="AG738" s="113"/>
    </row>
    <row r="739" spans="1:33" ht="13.8">
      <c r="A739" s="113"/>
      <c r="B739" s="113"/>
      <c r="C739" s="113"/>
      <c r="D739" s="111"/>
      <c r="E739" s="113"/>
      <c r="F739" s="111"/>
      <c r="G739" s="113"/>
      <c r="H739" s="111"/>
      <c r="I739" s="113"/>
      <c r="J739" s="113"/>
      <c r="K739" s="113"/>
      <c r="L739" s="113"/>
      <c r="M739" s="113"/>
      <c r="N739" s="113"/>
      <c r="O739" s="113"/>
      <c r="P739" s="113"/>
      <c r="Q739" s="113"/>
      <c r="R739" s="113"/>
      <c r="S739" s="113"/>
      <c r="T739" s="113"/>
      <c r="U739" s="113"/>
      <c r="V739" s="113"/>
      <c r="W739" s="113"/>
      <c r="X739" s="113"/>
      <c r="Y739" s="113"/>
      <c r="Z739" s="113"/>
      <c r="AA739" s="113"/>
      <c r="AB739" s="113"/>
      <c r="AC739" s="113"/>
      <c r="AD739" s="113"/>
      <c r="AE739" s="113"/>
      <c r="AF739" s="113"/>
      <c r="AG739" s="113"/>
    </row>
    <row r="740" spans="1:33" ht="13.8">
      <c r="A740" s="113"/>
      <c r="B740" s="113"/>
      <c r="C740" s="113"/>
      <c r="D740" s="111"/>
      <c r="E740" s="113"/>
      <c r="F740" s="111"/>
      <c r="G740" s="113"/>
      <c r="H740" s="111"/>
      <c r="I740" s="113"/>
      <c r="J740" s="113"/>
      <c r="K740" s="113"/>
      <c r="L740" s="113"/>
      <c r="M740" s="113"/>
      <c r="N740" s="113"/>
      <c r="O740" s="113"/>
      <c r="P740" s="113"/>
      <c r="Q740" s="113"/>
      <c r="R740" s="113"/>
      <c r="S740" s="113"/>
      <c r="T740" s="113"/>
      <c r="U740" s="113"/>
      <c r="V740" s="113"/>
      <c r="W740" s="113"/>
      <c r="X740" s="113"/>
      <c r="Y740" s="113"/>
      <c r="Z740" s="113"/>
      <c r="AA740" s="113"/>
      <c r="AB740" s="113"/>
      <c r="AC740" s="113"/>
      <c r="AD740" s="113"/>
      <c r="AE740" s="113"/>
      <c r="AF740" s="113"/>
      <c r="AG740" s="113"/>
    </row>
    <row r="741" spans="1:33" ht="13.8">
      <c r="A741" s="113"/>
      <c r="B741" s="113"/>
      <c r="C741" s="113"/>
      <c r="D741" s="111"/>
      <c r="E741" s="113"/>
      <c r="F741" s="111"/>
      <c r="G741" s="113"/>
      <c r="H741" s="111"/>
      <c r="I741" s="113"/>
      <c r="J741" s="113"/>
      <c r="K741" s="113"/>
      <c r="L741" s="113"/>
      <c r="M741" s="113"/>
      <c r="N741" s="113"/>
      <c r="O741" s="113"/>
      <c r="P741" s="113"/>
      <c r="Q741" s="113"/>
      <c r="R741" s="113"/>
      <c r="S741" s="113"/>
      <c r="T741" s="113"/>
      <c r="U741" s="113"/>
      <c r="V741" s="113"/>
      <c r="W741" s="113"/>
      <c r="X741" s="113"/>
      <c r="Y741" s="113"/>
      <c r="Z741" s="113"/>
      <c r="AA741" s="113"/>
      <c r="AB741" s="113"/>
      <c r="AC741" s="113"/>
      <c r="AD741" s="113"/>
      <c r="AE741" s="113"/>
      <c r="AF741" s="113"/>
      <c r="AG741" s="113"/>
    </row>
    <row r="742" spans="1:33" ht="13.8">
      <c r="A742" s="113"/>
      <c r="B742" s="113"/>
      <c r="C742" s="113"/>
      <c r="D742" s="111"/>
      <c r="E742" s="113"/>
      <c r="F742" s="111"/>
      <c r="G742" s="113"/>
      <c r="H742" s="111"/>
      <c r="I742" s="113"/>
      <c r="J742" s="113"/>
      <c r="K742" s="113"/>
      <c r="L742" s="113"/>
      <c r="M742" s="113"/>
      <c r="N742" s="113"/>
      <c r="O742" s="113"/>
      <c r="P742" s="113"/>
      <c r="Q742" s="113"/>
      <c r="R742" s="113"/>
      <c r="S742" s="113"/>
      <c r="T742" s="113"/>
      <c r="U742" s="113"/>
      <c r="V742" s="113"/>
      <c r="W742" s="113"/>
      <c r="X742" s="113"/>
      <c r="Y742" s="113"/>
      <c r="Z742" s="113"/>
      <c r="AA742" s="113"/>
      <c r="AB742" s="113"/>
      <c r="AC742" s="113"/>
      <c r="AD742" s="113"/>
      <c r="AE742" s="113"/>
      <c r="AF742" s="113"/>
      <c r="AG742" s="113"/>
    </row>
    <row r="743" spans="1:33" ht="13.8">
      <c r="A743" s="113"/>
      <c r="B743" s="113"/>
      <c r="C743" s="113"/>
      <c r="D743" s="111"/>
      <c r="E743" s="113"/>
      <c r="F743" s="111"/>
      <c r="G743" s="113"/>
      <c r="H743" s="111"/>
      <c r="I743" s="113"/>
      <c r="J743" s="113"/>
      <c r="K743" s="113"/>
      <c r="L743" s="113"/>
      <c r="M743" s="113"/>
      <c r="N743" s="113"/>
      <c r="O743" s="113"/>
      <c r="P743" s="113"/>
      <c r="Q743" s="113"/>
      <c r="R743" s="113"/>
      <c r="S743" s="113"/>
      <c r="T743" s="113"/>
      <c r="U743" s="113"/>
      <c r="V743" s="113"/>
      <c r="W743" s="113"/>
      <c r="X743" s="113"/>
      <c r="Y743" s="113"/>
      <c r="Z743" s="113"/>
      <c r="AA743" s="113"/>
      <c r="AB743" s="113"/>
      <c r="AC743" s="113"/>
      <c r="AD743" s="113"/>
      <c r="AE743" s="113"/>
      <c r="AF743" s="113"/>
      <c r="AG743" s="113"/>
    </row>
    <row r="744" spans="1:33" ht="13.8">
      <c r="A744" s="113"/>
      <c r="B744" s="113"/>
      <c r="C744" s="113"/>
      <c r="D744" s="111"/>
      <c r="E744" s="113"/>
      <c r="F744" s="111"/>
      <c r="G744" s="113"/>
      <c r="H744" s="111"/>
      <c r="I744" s="113"/>
      <c r="J744" s="113"/>
      <c r="K744" s="113"/>
      <c r="L744" s="113"/>
      <c r="M744" s="113"/>
      <c r="N744" s="113"/>
      <c r="O744" s="113"/>
      <c r="P744" s="113"/>
      <c r="Q744" s="113"/>
      <c r="R744" s="113"/>
      <c r="S744" s="113"/>
      <c r="T744" s="113"/>
      <c r="U744" s="113"/>
      <c r="V744" s="113"/>
      <c r="W744" s="113"/>
      <c r="X744" s="113"/>
      <c r="Y744" s="113"/>
      <c r="Z744" s="113"/>
      <c r="AA744" s="113"/>
      <c r="AB744" s="113"/>
      <c r="AC744" s="113"/>
      <c r="AD744" s="113"/>
      <c r="AE744" s="113"/>
      <c r="AF744" s="113"/>
      <c r="AG744" s="113"/>
    </row>
    <row r="745" spans="1:33" ht="13.8">
      <c r="A745" s="113"/>
      <c r="B745" s="113"/>
      <c r="C745" s="113"/>
      <c r="D745" s="111"/>
      <c r="E745" s="113"/>
      <c r="F745" s="111"/>
      <c r="G745" s="113"/>
      <c r="H745" s="111"/>
      <c r="I745" s="113"/>
      <c r="J745" s="113"/>
      <c r="K745" s="113"/>
      <c r="L745" s="113"/>
      <c r="M745" s="113"/>
      <c r="N745" s="113"/>
      <c r="O745" s="113"/>
      <c r="P745" s="113"/>
      <c r="Q745" s="113"/>
      <c r="R745" s="113"/>
      <c r="S745" s="113"/>
      <c r="T745" s="113"/>
      <c r="U745" s="113"/>
      <c r="V745" s="113"/>
      <c r="W745" s="113"/>
      <c r="X745" s="113"/>
      <c r="Y745" s="113"/>
      <c r="Z745" s="113"/>
      <c r="AA745" s="113"/>
      <c r="AB745" s="113"/>
      <c r="AC745" s="113"/>
      <c r="AD745" s="113"/>
      <c r="AE745" s="113"/>
      <c r="AF745" s="113"/>
      <c r="AG745" s="113"/>
    </row>
    <row r="746" spans="1:33" ht="13.8">
      <c r="A746" s="113"/>
      <c r="B746" s="113"/>
      <c r="C746" s="113"/>
      <c r="D746" s="111"/>
      <c r="E746" s="113"/>
      <c r="F746" s="111"/>
      <c r="G746" s="113"/>
      <c r="H746" s="111"/>
      <c r="I746" s="113"/>
      <c r="J746" s="113"/>
      <c r="K746" s="113"/>
      <c r="L746" s="113"/>
      <c r="M746" s="113"/>
      <c r="N746" s="113"/>
      <c r="O746" s="113"/>
      <c r="P746" s="113"/>
      <c r="Q746" s="113"/>
      <c r="R746" s="113"/>
      <c r="S746" s="113"/>
      <c r="T746" s="113"/>
      <c r="U746" s="113"/>
      <c r="V746" s="113"/>
      <c r="W746" s="113"/>
      <c r="X746" s="113"/>
      <c r="Y746" s="113"/>
      <c r="Z746" s="113"/>
      <c r="AA746" s="113"/>
      <c r="AB746" s="113"/>
      <c r="AC746" s="113"/>
      <c r="AD746" s="113"/>
      <c r="AE746" s="113"/>
      <c r="AF746" s="113"/>
      <c r="AG746" s="113"/>
    </row>
    <row r="747" spans="1:33" ht="13.8">
      <c r="A747" s="113"/>
      <c r="B747" s="113"/>
      <c r="C747" s="113"/>
      <c r="D747" s="111"/>
      <c r="E747" s="113"/>
      <c r="F747" s="111"/>
      <c r="G747" s="113"/>
      <c r="H747" s="111"/>
      <c r="I747" s="113"/>
      <c r="J747" s="113"/>
      <c r="K747" s="113"/>
      <c r="L747" s="113"/>
      <c r="M747" s="113"/>
      <c r="N747" s="113"/>
      <c r="O747" s="113"/>
      <c r="P747" s="113"/>
      <c r="Q747" s="113"/>
      <c r="R747" s="113"/>
      <c r="S747" s="113"/>
      <c r="T747" s="113"/>
      <c r="U747" s="113"/>
      <c r="V747" s="113"/>
      <c r="W747" s="113"/>
      <c r="X747" s="113"/>
      <c r="Y747" s="113"/>
      <c r="Z747" s="113"/>
      <c r="AA747" s="113"/>
      <c r="AB747" s="113"/>
      <c r="AC747" s="113"/>
      <c r="AD747" s="113"/>
      <c r="AE747" s="113"/>
      <c r="AF747" s="113"/>
      <c r="AG747" s="113"/>
    </row>
    <row r="748" spans="1:33" ht="13.8">
      <c r="A748" s="113"/>
      <c r="B748" s="113"/>
      <c r="C748" s="113"/>
      <c r="D748" s="111"/>
      <c r="E748" s="113"/>
      <c r="F748" s="111"/>
      <c r="G748" s="113"/>
      <c r="H748" s="111"/>
      <c r="I748" s="113"/>
      <c r="J748" s="113"/>
      <c r="K748" s="113"/>
      <c r="L748" s="113"/>
      <c r="M748" s="113"/>
      <c r="N748" s="113"/>
      <c r="O748" s="113"/>
      <c r="P748" s="113"/>
      <c r="Q748" s="113"/>
      <c r="R748" s="113"/>
      <c r="S748" s="113"/>
      <c r="T748" s="113"/>
      <c r="U748" s="113"/>
      <c r="V748" s="113"/>
      <c r="W748" s="113"/>
      <c r="X748" s="113"/>
      <c r="Y748" s="113"/>
      <c r="Z748" s="113"/>
      <c r="AA748" s="113"/>
      <c r="AB748" s="113"/>
      <c r="AC748" s="113"/>
      <c r="AD748" s="113"/>
      <c r="AE748" s="113"/>
      <c r="AF748" s="113"/>
      <c r="AG748" s="113"/>
    </row>
    <row r="749" spans="1:33" ht="13.8">
      <c r="A749" s="113"/>
      <c r="B749" s="113"/>
      <c r="C749" s="113"/>
      <c r="D749" s="111"/>
      <c r="E749" s="113"/>
      <c r="F749" s="111"/>
      <c r="G749" s="113"/>
      <c r="H749" s="111"/>
      <c r="I749" s="113"/>
      <c r="J749" s="113"/>
      <c r="K749" s="113"/>
      <c r="L749" s="113"/>
      <c r="M749" s="113"/>
      <c r="N749" s="113"/>
      <c r="O749" s="113"/>
      <c r="P749" s="113"/>
      <c r="Q749" s="113"/>
      <c r="R749" s="113"/>
      <c r="S749" s="113"/>
      <c r="T749" s="113"/>
      <c r="U749" s="113"/>
      <c r="V749" s="113"/>
      <c r="W749" s="113"/>
      <c r="X749" s="113"/>
      <c r="Y749" s="113"/>
      <c r="Z749" s="113"/>
      <c r="AA749" s="113"/>
      <c r="AB749" s="113"/>
      <c r="AC749" s="113"/>
      <c r="AD749" s="113"/>
      <c r="AE749" s="113"/>
      <c r="AF749" s="113"/>
      <c r="AG749" s="113"/>
    </row>
    <row r="750" spans="1:33" ht="13.8">
      <c r="A750" s="113"/>
      <c r="B750" s="113"/>
      <c r="C750" s="113"/>
      <c r="D750" s="111"/>
      <c r="E750" s="113"/>
      <c r="F750" s="111"/>
      <c r="G750" s="113"/>
      <c r="H750" s="111"/>
      <c r="I750" s="113"/>
      <c r="J750" s="113"/>
      <c r="K750" s="113"/>
      <c r="L750" s="113"/>
      <c r="M750" s="113"/>
      <c r="N750" s="113"/>
      <c r="O750" s="113"/>
      <c r="P750" s="113"/>
      <c r="Q750" s="113"/>
      <c r="R750" s="113"/>
      <c r="S750" s="113"/>
      <c r="T750" s="113"/>
      <c r="U750" s="113"/>
      <c r="V750" s="113"/>
      <c r="W750" s="113"/>
      <c r="X750" s="113"/>
      <c r="Y750" s="113"/>
      <c r="Z750" s="113"/>
      <c r="AA750" s="113"/>
      <c r="AB750" s="113"/>
      <c r="AC750" s="113"/>
      <c r="AD750" s="113"/>
      <c r="AE750" s="113"/>
      <c r="AF750" s="113"/>
      <c r="AG750" s="113"/>
    </row>
    <row r="751" spans="1:33" ht="13.8">
      <c r="A751" s="113"/>
      <c r="B751" s="113"/>
      <c r="C751" s="113"/>
      <c r="D751" s="111"/>
      <c r="E751" s="113"/>
      <c r="F751" s="111"/>
      <c r="G751" s="113"/>
      <c r="H751" s="111"/>
      <c r="I751" s="113"/>
      <c r="J751" s="113"/>
      <c r="K751" s="113"/>
      <c r="L751" s="113"/>
      <c r="M751" s="113"/>
      <c r="N751" s="113"/>
      <c r="O751" s="113"/>
      <c r="P751" s="113"/>
      <c r="Q751" s="113"/>
      <c r="R751" s="113"/>
      <c r="S751" s="113"/>
      <c r="T751" s="113"/>
      <c r="U751" s="113"/>
      <c r="V751" s="113"/>
      <c r="W751" s="113"/>
      <c r="X751" s="113"/>
      <c r="Y751" s="113"/>
      <c r="Z751" s="113"/>
      <c r="AA751" s="113"/>
      <c r="AB751" s="113"/>
      <c r="AC751" s="113"/>
      <c r="AD751" s="113"/>
      <c r="AE751" s="113"/>
      <c r="AF751" s="113"/>
      <c r="AG751" s="113"/>
    </row>
    <row r="752" spans="1:33" ht="13.8">
      <c r="A752" s="113"/>
      <c r="B752" s="113"/>
      <c r="C752" s="113"/>
      <c r="D752" s="111"/>
      <c r="E752" s="113"/>
      <c r="F752" s="111"/>
      <c r="G752" s="113"/>
      <c r="H752" s="111"/>
      <c r="I752" s="113"/>
      <c r="J752" s="113"/>
      <c r="K752" s="113"/>
      <c r="L752" s="113"/>
      <c r="M752" s="113"/>
      <c r="N752" s="113"/>
      <c r="O752" s="113"/>
      <c r="P752" s="113"/>
      <c r="Q752" s="113"/>
      <c r="R752" s="113"/>
      <c r="S752" s="113"/>
      <c r="T752" s="113"/>
      <c r="U752" s="113"/>
      <c r="V752" s="113"/>
      <c r="W752" s="113"/>
      <c r="X752" s="113"/>
      <c r="Y752" s="113"/>
      <c r="Z752" s="113"/>
      <c r="AA752" s="113"/>
      <c r="AB752" s="113"/>
      <c r="AC752" s="113"/>
      <c r="AD752" s="113"/>
      <c r="AE752" s="113"/>
      <c r="AF752" s="113"/>
      <c r="AG752" s="113"/>
    </row>
    <row r="753" spans="1:33" ht="13.8">
      <c r="A753" s="113"/>
      <c r="B753" s="113"/>
      <c r="C753" s="113"/>
      <c r="D753" s="111"/>
      <c r="E753" s="113"/>
      <c r="F753" s="111"/>
      <c r="G753" s="113"/>
      <c r="H753" s="111"/>
      <c r="I753" s="113"/>
      <c r="J753" s="113"/>
      <c r="K753" s="113"/>
      <c r="L753" s="113"/>
      <c r="M753" s="113"/>
      <c r="N753" s="113"/>
      <c r="O753" s="113"/>
      <c r="P753" s="113"/>
      <c r="Q753" s="113"/>
      <c r="R753" s="113"/>
      <c r="S753" s="113"/>
      <c r="T753" s="113"/>
      <c r="U753" s="113"/>
      <c r="V753" s="113"/>
      <c r="W753" s="113"/>
      <c r="X753" s="113"/>
      <c r="Y753" s="113"/>
      <c r="Z753" s="113"/>
      <c r="AA753" s="113"/>
      <c r="AB753" s="113"/>
      <c r="AC753" s="113"/>
      <c r="AD753" s="113"/>
      <c r="AE753" s="113"/>
      <c r="AF753" s="113"/>
      <c r="AG753" s="113"/>
    </row>
    <row r="754" spans="1:33" ht="13.8">
      <c r="A754" s="113"/>
      <c r="B754" s="113"/>
      <c r="C754" s="113"/>
      <c r="D754" s="111"/>
      <c r="E754" s="113"/>
      <c r="F754" s="111"/>
      <c r="G754" s="113"/>
      <c r="H754" s="111"/>
      <c r="I754" s="113"/>
      <c r="J754" s="113"/>
      <c r="K754" s="113"/>
      <c r="L754" s="113"/>
      <c r="M754" s="113"/>
      <c r="N754" s="113"/>
      <c r="O754" s="113"/>
      <c r="P754" s="113"/>
      <c r="Q754" s="113"/>
      <c r="R754" s="113"/>
      <c r="S754" s="113"/>
      <c r="T754" s="113"/>
      <c r="U754" s="113"/>
      <c r="V754" s="113"/>
      <c r="W754" s="113"/>
      <c r="X754" s="113"/>
      <c r="Y754" s="113"/>
      <c r="Z754" s="113"/>
      <c r="AA754" s="113"/>
      <c r="AB754" s="113"/>
      <c r="AC754" s="113"/>
      <c r="AD754" s="113"/>
      <c r="AE754" s="113"/>
      <c r="AF754" s="113"/>
      <c r="AG754" s="113"/>
    </row>
    <row r="755" spans="1:33" ht="13.8">
      <c r="A755" s="113"/>
      <c r="B755" s="113"/>
      <c r="C755" s="113"/>
      <c r="D755" s="111"/>
      <c r="E755" s="113"/>
      <c r="F755" s="111"/>
      <c r="G755" s="113"/>
      <c r="H755" s="111"/>
      <c r="I755" s="113"/>
      <c r="J755" s="113"/>
      <c r="K755" s="113"/>
      <c r="L755" s="113"/>
      <c r="M755" s="113"/>
      <c r="N755" s="113"/>
      <c r="O755" s="113"/>
      <c r="P755" s="113"/>
      <c r="Q755" s="113"/>
      <c r="R755" s="113"/>
      <c r="S755" s="113"/>
      <c r="T755" s="113"/>
      <c r="U755" s="113"/>
      <c r="V755" s="113"/>
      <c r="W755" s="113"/>
      <c r="X755" s="113"/>
      <c r="Y755" s="113"/>
      <c r="Z755" s="113"/>
      <c r="AA755" s="113"/>
      <c r="AB755" s="113"/>
      <c r="AC755" s="113"/>
      <c r="AD755" s="113"/>
      <c r="AE755" s="113"/>
      <c r="AF755" s="113"/>
      <c r="AG755" s="113"/>
    </row>
    <row r="756" spans="1:33" ht="13.8">
      <c r="A756" s="113"/>
      <c r="B756" s="113"/>
      <c r="C756" s="113"/>
      <c r="D756" s="111"/>
      <c r="E756" s="113"/>
      <c r="F756" s="111"/>
      <c r="G756" s="113"/>
      <c r="H756" s="111"/>
      <c r="I756" s="113"/>
      <c r="J756" s="113"/>
      <c r="K756" s="113"/>
      <c r="L756" s="113"/>
      <c r="M756" s="113"/>
      <c r="N756" s="113"/>
      <c r="O756" s="113"/>
      <c r="P756" s="113"/>
      <c r="Q756" s="113"/>
      <c r="R756" s="113"/>
      <c r="S756" s="113"/>
      <c r="T756" s="113"/>
      <c r="U756" s="113"/>
      <c r="V756" s="113"/>
      <c r="W756" s="113"/>
      <c r="X756" s="113"/>
      <c r="Y756" s="113"/>
      <c r="Z756" s="113"/>
      <c r="AA756" s="113"/>
      <c r="AB756" s="113"/>
      <c r="AC756" s="113"/>
      <c r="AD756" s="113"/>
      <c r="AE756" s="113"/>
      <c r="AF756" s="113"/>
      <c r="AG756" s="113"/>
    </row>
    <row r="757" spans="1:33" ht="13.8">
      <c r="A757" s="113"/>
      <c r="B757" s="113"/>
      <c r="C757" s="113"/>
      <c r="D757" s="111"/>
      <c r="E757" s="113"/>
      <c r="F757" s="111"/>
      <c r="G757" s="113"/>
      <c r="H757" s="111"/>
      <c r="I757" s="113"/>
      <c r="J757" s="113"/>
      <c r="K757" s="113"/>
      <c r="L757" s="113"/>
      <c r="M757" s="113"/>
      <c r="N757" s="113"/>
      <c r="O757" s="113"/>
      <c r="P757" s="113"/>
      <c r="Q757" s="113"/>
      <c r="R757" s="113"/>
      <c r="S757" s="113"/>
      <c r="T757" s="113"/>
      <c r="U757" s="113"/>
      <c r="V757" s="113"/>
      <c r="W757" s="113"/>
      <c r="X757" s="113"/>
      <c r="Y757" s="113"/>
      <c r="Z757" s="113"/>
      <c r="AA757" s="113"/>
      <c r="AB757" s="113"/>
      <c r="AC757" s="113"/>
      <c r="AD757" s="113"/>
      <c r="AE757" s="113"/>
      <c r="AF757" s="113"/>
      <c r="AG757" s="113"/>
    </row>
    <row r="758" spans="1:33" ht="13.8">
      <c r="A758" s="113"/>
      <c r="B758" s="113"/>
      <c r="C758" s="113"/>
      <c r="D758" s="111"/>
      <c r="E758" s="113"/>
      <c r="F758" s="111"/>
      <c r="G758" s="113"/>
      <c r="H758" s="111"/>
      <c r="I758" s="113"/>
      <c r="J758" s="113"/>
      <c r="K758" s="113"/>
      <c r="L758" s="113"/>
      <c r="M758" s="113"/>
      <c r="N758" s="113"/>
      <c r="O758" s="113"/>
      <c r="P758" s="113"/>
      <c r="Q758" s="113"/>
      <c r="R758" s="113"/>
      <c r="S758" s="113"/>
      <c r="T758" s="113"/>
      <c r="U758" s="113"/>
      <c r="V758" s="113"/>
      <c r="W758" s="113"/>
      <c r="X758" s="113"/>
      <c r="Y758" s="113"/>
      <c r="Z758" s="113"/>
      <c r="AA758" s="113"/>
      <c r="AB758" s="113"/>
      <c r="AC758" s="113"/>
      <c r="AD758" s="113"/>
      <c r="AE758" s="113"/>
      <c r="AF758" s="113"/>
      <c r="AG758" s="113"/>
    </row>
    <row r="759" spans="1:33" ht="13.8">
      <c r="A759" s="113"/>
      <c r="B759" s="113"/>
      <c r="C759" s="113"/>
      <c r="D759" s="111"/>
      <c r="E759" s="113"/>
      <c r="F759" s="111"/>
      <c r="G759" s="113"/>
      <c r="H759" s="111"/>
      <c r="I759" s="113"/>
      <c r="J759" s="113"/>
      <c r="K759" s="113"/>
      <c r="L759" s="113"/>
      <c r="M759" s="113"/>
      <c r="N759" s="113"/>
      <c r="O759" s="113"/>
      <c r="P759" s="113"/>
      <c r="Q759" s="113"/>
      <c r="R759" s="113"/>
      <c r="S759" s="113"/>
      <c r="T759" s="113"/>
      <c r="U759" s="113"/>
      <c r="V759" s="113"/>
      <c r="W759" s="113"/>
      <c r="X759" s="113"/>
      <c r="Y759" s="113"/>
      <c r="Z759" s="113"/>
      <c r="AA759" s="113"/>
      <c r="AB759" s="113"/>
      <c r="AC759" s="113"/>
      <c r="AD759" s="113"/>
      <c r="AE759" s="113"/>
      <c r="AF759" s="113"/>
      <c r="AG759" s="113"/>
    </row>
    <row r="760" spans="1:33" ht="13.8">
      <c r="A760" s="113"/>
      <c r="B760" s="113"/>
      <c r="C760" s="113"/>
      <c r="D760" s="111"/>
      <c r="E760" s="113"/>
      <c r="F760" s="111"/>
      <c r="G760" s="113"/>
      <c r="H760" s="111"/>
      <c r="I760" s="113"/>
      <c r="J760" s="113"/>
      <c r="K760" s="113"/>
      <c r="L760" s="113"/>
      <c r="M760" s="113"/>
      <c r="N760" s="113"/>
      <c r="O760" s="113"/>
      <c r="P760" s="113"/>
      <c r="Q760" s="113"/>
      <c r="R760" s="113"/>
      <c r="S760" s="113"/>
      <c r="T760" s="113"/>
      <c r="U760" s="113"/>
      <c r="V760" s="113"/>
      <c r="W760" s="113"/>
      <c r="X760" s="113"/>
      <c r="Y760" s="113"/>
      <c r="Z760" s="113"/>
      <c r="AA760" s="113"/>
      <c r="AB760" s="113"/>
      <c r="AC760" s="113"/>
      <c r="AD760" s="113"/>
      <c r="AE760" s="113"/>
      <c r="AF760" s="113"/>
      <c r="AG760" s="113"/>
    </row>
    <row r="761" spans="1:33" ht="13.8">
      <c r="A761" s="113"/>
      <c r="B761" s="113"/>
      <c r="C761" s="113"/>
      <c r="D761" s="111"/>
      <c r="E761" s="113"/>
      <c r="F761" s="111"/>
      <c r="G761" s="113"/>
      <c r="H761" s="111"/>
      <c r="I761" s="113"/>
      <c r="J761" s="113"/>
      <c r="K761" s="113"/>
      <c r="L761" s="113"/>
      <c r="M761" s="113"/>
      <c r="N761" s="113"/>
      <c r="O761" s="113"/>
      <c r="P761" s="113"/>
      <c r="Q761" s="113"/>
      <c r="R761" s="113"/>
      <c r="S761" s="113"/>
      <c r="T761" s="113"/>
      <c r="U761" s="113"/>
      <c r="V761" s="113"/>
      <c r="W761" s="113"/>
      <c r="X761" s="113"/>
      <c r="Y761" s="113"/>
      <c r="Z761" s="113"/>
      <c r="AA761" s="113"/>
      <c r="AB761" s="113"/>
      <c r="AC761" s="113"/>
      <c r="AD761" s="113"/>
      <c r="AE761" s="113"/>
      <c r="AF761" s="113"/>
      <c r="AG761" s="113"/>
    </row>
    <row r="762" spans="1:33" ht="13.8">
      <c r="A762" s="113"/>
      <c r="B762" s="113"/>
      <c r="C762" s="113"/>
      <c r="D762" s="111"/>
      <c r="E762" s="113"/>
      <c r="F762" s="111"/>
      <c r="G762" s="113"/>
      <c r="H762" s="111"/>
      <c r="I762" s="113"/>
      <c r="J762" s="113"/>
      <c r="K762" s="113"/>
      <c r="L762" s="113"/>
      <c r="M762" s="113"/>
      <c r="N762" s="113"/>
      <c r="O762" s="113"/>
      <c r="P762" s="113"/>
      <c r="Q762" s="113"/>
      <c r="R762" s="113"/>
      <c r="S762" s="113"/>
      <c r="T762" s="113"/>
      <c r="U762" s="113"/>
      <c r="V762" s="113"/>
      <c r="W762" s="113"/>
      <c r="X762" s="113"/>
      <c r="Y762" s="113"/>
      <c r="Z762" s="113"/>
      <c r="AA762" s="113"/>
      <c r="AB762" s="113"/>
      <c r="AC762" s="113"/>
      <c r="AD762" s="113"/>
      <c r="AE762" s="113"/>
      <c r="AF762" s="113"/>
      <c r="AG762" s="113"/>
    </row>
    <row r="763" spans="1:33" ht="13.8">
      <c r="A763" s="113"/>
      <c r="B763" s="113"/>
      <c r="C763" s="113"/>
      <c r="D763" s="111"/>
      <c r="E763" s="113"/>
      <c r="F763" s="111"/>
      <c r="G763" s="113"/>
      <c r="H763" s="111"/>
      <c r="I763" s="113"/>
      <c r="J763" s="113"/>
      <c r="K763" s="113"/>
      <c r="L763" s="113"/>
      <c r="M763" s="113"/>
      <c r="N763" s="113"/>
      <c r="O763" s="113"/>
      <c r="P763" s="113"/>
      <c r="Q763" s="113"/>
      <c r="R763" s="113"/>
      <c r="S763" s="113"/>
      <c r="T763" s="113"/>
      <c r="U763" s="113"/>
      <c r="V763" s="113"/>
      <c r="W763" s="113"/>
      <c r="X763" s="113"/>
      <c r="Y763" s="113"/>
      <c r="Z763" s="113"/>
      <c r="AA763" s="113"/>
      <c r="AB763" s="113"/>
      <c r="AC763" s="113"/>
      <c r="AD763" s="113"/>
      <c r="AE763" s="113"/>
      <c r="AF763" s="113"/>
      <c r="AG763" s="113"/>
    </row>
    <row r="764" spans="1:33" ht="13.8">
      <c r="A764" s="113"/>
      <c r="B764" s="113"/>
      <c r="C764" s="113"/>
      <c r="D764" s="111"/>
      <c r="E764" s="113"/>
      <c r="F764" s="111"/>
      <c r="G764" s="113"/>
      <c r="H764" s="111"/>
      <c r="I764" s="113"/>
      <c r="J764" s="113"/>
      <c r="K764" s="113"/>
      <c r="L764" s="113"/>
      <c r="M764" s="113"/>
      <c r="N764" s="113"/>
      <c r="O764" s="113"/>
      <c r="P764" s="113"/>
      <c r="Q764" s="113"/>
      <c r="R764" s="113"/>
      <c r="S764" s="113"/>
      <c r="T764" s="113"/>
      <c r="U764" s="113"/>
      <c r="V764" s="113"/>
      <c r="W764" s="113"/>
      <c r="X764" s="113"/>
      <c r="Y764" s="113"/>
      <c r="Z764" s="113"/>
      <c r="AA764" s="113"/>
      <c r="AB764" s="113"/>
      <c r="AC764" s="113"/>
      <c r="AD764" s="113"/>
      <c r="AE764" s="113"/>
      <c r="AF764" s="113"/>
      <c r="AG764" s="113"/>
    </row>
    <row r="765" spans="1:33" ht="13.8">
      <c r="A765" s="113"/>
      <c r="B765" s="113"/>
      <c r="C765" s="113"/>
      <c r="D765" s="111"/>
      <c r="E765" s="113"/>
      <c r="F765" s="111"/>
      <c r="G765" s="113"/>
      <c r="H765" s="111"/>
      <c r="I765" s="113"/>
      <c r="J765" s="113"/>
      <c r="K765" s="113"/>
      <c r="L765" s="113"/>
      <c r="M765" s="113"/>
      <c r="N765" s="113"/>
      <c r="O765" s="113"/>
      <c r="P765" s="113"/>
      <c r="Q765" s="113"/>
      <c r="R765" s="113"/>
      <c r="S765" s="113"/>
      <c r="T765" s="113"/>
      <c r="U765" s="113"/>
      <c r="V765" s="113"/>
      <c r="W765" s="113"/>
      <c r="X765" s="113"/>
      <c r="Y765" s="113"/>
      <c r="Z765" s="113"/>
      <c r="AA765" s="113"/>
      <c r="AB765" s="113"/>
      <c r="AC765" s="113"/>
      <c r="AD765" s="113"/>
      <c r="AE765" s="113"/>
      <c r="AF765" s="113"/>
      <c r="AG765" s="113"/>
    </row>
    <row r="766" spans="1:33" ht="13.8">
      <c r="A766" s="113"/>
      <c r="B766" s="113"/>
      <c r="C766" s="113"/>
      <c r="D766" s="111"/>
      <c r="E766" s="113"/>
      <c r="F766" s="111"/>
      <c r="G766" s="113"/>
      <c r="H766" s="111"/>
      <c r="I766" s="113"/>
      <c r="J766" s="113"/>
      <c r="K766" s="113"/>
      <c r="L766" s="113"/>
      <c r="M766" s="113"/>
      <c r="N766" s="113"/>
      <c r="O766" s="113"/>
      <c r="P766" s="113"/>
      <c r="Q766" s="113"/>
      <c r="R766" s="113"/>
      <c r="S766" s="113"/>
      <c r="T766" s="113"/>
      <c r="U766" s="113"/>
      <c r="V766" s="113"/>
      <c r="W766" s="113"/>
      <c r="X766" s="113"/>
      <c r="Y766" s="113"/>
      <c r="Z766" s="113"/>
      <c r="AA766" s="113"/>
      <c r="AB766" s="113"/>
      <c r="AC766" s="113"/>
      <c r="AD766" s="113"/>
      <c r="AE766" s="113"/>
      <c r="AF766" s="113"/>
      <c r="AG766" s="113"/>
    </row>
    <row r="767" spans="1:33" ht="13.8">
      <c r="A767" s="113"/>
      <c r="B767" s="113"/>
      <c r="C767" s="113"/>
      <c r="D767" s="111"/>
      <c r="E767" s="113"/>
      <c r="F767" s="111"/>
      <c r="G767" s="113"/>
      <c r="H767" s="111"/>
      <c r="I767" s="113"/>
      <c r="J767" s="113"/>
      <c r="K767" s="113"/>
      <c r="L767" s="113"/>
      <c r="M767" s="113"/>
      <c r="N767" s="113"/>
      <c r="O767" s="113"/>
      <c r="P767" s="113"/>
      <c r="Q767" s="113"/>
      <c r="R767" s="113"/>
      <c r="S767" s="113"/>
      <c r="T767" s="113"/>
      <c r="U767" s="113"/>
      <c r="V767" s="113"/>
      <c r="W767" s="113"/>
      <c r="X767" s="113"/>
      <c r="Y767" s="113"/>
      <c r="Z767" s="113"/>
      <c r="AA767" s="113"/>
      <c r="AB767" s="113"/>
      <c r="AC767" s="113"/>
      <c r="AD767" s="113"/>
      <c r="AE767" s="113"/>
      <c r="AF767" s="113"/>
      <c r="AG767" s="113"/>
    </row>
    <row r="768" spans="1:33" ht="13.8">
      <c r="A768" s="113"/>
      <c r="B768" s="113"/>
      <c r="C768" s="113"/>
      <c r="D768" s="111"/>
      <c r="E768" s="113"/>
      <c r="F768" s="111"/>
      <c r="G768" s="113"/>
      <c r="H768" s="111"/>
      <c r="I768" s="113"/>
      <c r="J768" s="113"/>
      <c r="K768" s="113"/>
      <c r="L768" s="113"/>
      <c r="M768" s="113"/>
      <c r="N768" s="113"/>
      <c r="O768" s="113"/>
      <c r="P768" s="113"/>
      <c r="Q768" s="113"/>
      <c r="R768" s="113"/>
      <c r="S768" s="113"/>
      <c r="T768" s="113"/>
      <c r="U768" s="113"/>
      <c r="V768" s="113"/>
      <c r="W768" s="113"/>
      <c r="X768" s="113"/>
      <c r="Y768" s="113"/>
      <c r="Z768" s="113"/>
      <c r="AA768" s="113"/>
      <c r="AB768" s="113"/>
      <c r="AC768" s="113"/>
      <c r="AD768" s="113"/>
      <c r="AE768" s="113"/>
      <c r="AF768" s="113"/>
      <c r="AG768" s="113"/>
    </row>
    <row r="769" spans="1:33" ht="13.8">
      <c r="A769" s="113"/>
      <c r="B769" s="113"/>
      <c r="C769" s="113"/>
      <c r="D769" s="111"/>
      <c r="E769" s="113"/>
      <c r="F769" s="111"/>
      <c r="G769" s="113"/>
      <c r="H769" s="111"/>
      <c r="I769" s="113"/>
      <c r="J769" s="113"/>
      <c r="K769" s="113"/>
      <c r="L769" s="113"/>
      <c r="M769" s="113"/>
      <c r="N769" s="113"/>
      <c r="O769" s="113"/>
      <c r="P769" s="113"/>
      <c r="Q769" s="113"/>
      <c r="R769" s="113"/>
      <c r="S769" s="113"/>
      <c r="T769" s="113"/>
      <c r="U769" s="113"/>
      <c r="V769" s="113"/>
      <c r="W769" s="113"/>
      <c r="X769" s="113"/>
      <c r="Y769" s="113"/>
      <c r="Z769" s="113"/>
      <c r="AA769" s="113"/>
      <c r="AB769" s="113"/>
      <c r="AC769" s="113"/>
      <c r="AD769" s="113"/>
      <c r="AE769" s="113"/>
      <c r="AF769" s="113"/>
      <c r="AG769" s="113"/>
    </row>
    <row r="770" spans="1:33" ht="13.8">
      <c r="A770" s="113"/>
      <c r="B770" s="113"/>
      <c r="C770" s="113"/>
      <c r="D770" s="111"/>
      <c r="E770" s="113"/>
      <c r="F770" s="111"/>
      <c r="G770" s="113"/>
      <c r="H770" s="111"/>
      <c r="I770" s="113"/>
      <c r="J770" s="113"/>
      <c r="K770" s="113"/>
      <c r="L770" s="113"/>
      <c r="M770" s="113"/>
      <c r="N770" s="113"/>
      <c r="O770" s="113"/>
      <c r="P770" s="113"/>
      <c r="Q770" s="113"/>
      <c r="R770" s="113"/>
      <c r="S770" s="113"/>
      <c r="T770" s="113"/>
      <c r="U770" s="113"/>
      <c r="V770" s="113"/>
      <c r="W770" s="113"/>
      <c r="X770" s="113"/>
      <c r="Y770" s="113"/>
      <c r="Z770" s="113"/>
      <c r="AA770" s="113"/>
      <c r="AB770" s="113"/>
      <c r="AC770" s="113"/>
      <c r="AD770" s="113"/>
      <c r="AE770" s="113"/>
      <c r="AF770" s="113"/>
      <c r="AG770" s="113"/>
    </row>
    <row r="771" spans="1:33" ht="13.8">
      <c r="A771" s="113"/>
      <c r="B771" s="113"/>
      <c r="C771" s="113"/>
      <c r="D771" s="111"/>
      <c r="E771" s="113"/>
      <c r="F771" s="111"/>
      <c r="G771" s="113"/>
      <c r="H771" s="111"/>
      <c r="I771" s="113"/>
      <c r="J771" s="113"/>
      <c r="K771" s="113"/>
      <c r="L771" s="113"/>
      <c r="M771" s="113"/>
      <c r="N771" s="113"/>
      <c r="O771" s="113"/>
      <c r="P771" s="113"/>
      <c r="Q771" s="113"/>
      <c r="R771" s="113"/>
      <c r="S771" s="113"/>
      <c r="T771" s="113"/>
      <c r="U771" s="113"/>
      <c r="V771" s="113"/>
      <c r="W771" s="113"/>
      <c r="X771" s="113"/>
      <c r="Y771" s="113"/>
      <c r="Z771" s="113"/>
      <c r="AA771" s="113"/>
      <c r="AB771" s="113"/>
      <c r="AC771" s="113"/>
      <c r="AD771" s="113"/>
      <c r="AE771" s="113"/>
      <c r="AF771" s="113"/>
      <c r="AG771" s="113"/>
    </row>
    <row r="772" spans="1:33" ht="13.8">
      <c r="A772" s="113"/>
      <c r="B772" s="113"/>
      <c r="C772" s="113"/>
      <c r="D772" s="111"/>
      <c r="E772" s="113"/>
      <c r="F772" s="111"/>
      <c r="G772" s="113"/>
      <c r="H772" s="111"/>
      <c r="I772" s="113"/>
      <c r="J772" s="113"/>
      <c r="K772" s="113"/>
      <c r="L772" s="113"/>
      <c r="M772" s="113"/>
      <c r="N772" s="113"/>
      <c r="O772" s="113"/>
      <c r="P772" s="113"/>
      <c r="Q772" s="113"/>
      <c r="R772" s="113"/>
      <c r="S772" s="113"/>
      <c r="T772" s="113"/>
      <c r="U772" s="113"/>
      <c r="V772" s="113"/>
      <c r="W772" s="113"/>
      <c r="X772" s="113"/>
      <c r="Y772" s="113"/>
      <c r="Z772" s="113"/>
      <c r="AA772" s="113"/>
      <c r="AB772" s="113"/>
      <c r="AC772" s="113"/>
      <c r="AD772" s="113"/>
      <c r="AE772" s="113"/>
      <c r="AF772" s="113"/>
      <c r="AG772" s="113"/>
    </row>
    <row r="773" spans="1:33" ht="13.8">
      <c r="A773" s="113"/>
      <c r="B773" s="113"/>
      <c r="C773" s="113"/>
      <c r="D773" s="111"/>
      <c r="E773" s="113"/>
      <c r="F773" s="111"/>
      <c r="G773" s="113"/>
      <c r="H773" s="111"/>
      <c r="I773" s="113"/>
      <c r="J773" s="113"/>
      <c r="K773" s="113"/>
      <c r="L773" s="113"/>
      <c r="M773" s="113"/>
      <c r="N773" s="113"/>
      <c r="O773" s="113"/>
      <c r="P773" s="113"/>
      <c r="Q773" s="113"/>
      <c r="R773" s="113"/>
      <c r="S773" s="113"/>
      <c r="T773" s="113"/>
      <c r="U773" s="113"/>
      <c r="V773" s="113"/>
      <c r="W773" s="113"/>
      <c r="X773" s="113"/>
      <c r="Y773" s="113"/>
      <c r="Z773" s="113"/>
      <c r="AA773" s="113"/>
      <c r="AB773" s="113"/>
      <c r="AC773" s="113"/>
      <c r="AD773" s="113"/>
      <c r="AE773" s="113"/>
      <c r="AF773" s="113"/>
      <c r="AG773" s="113"/>
    </row>
    <row r="774" spans="1:33" ht="13.8">
      <c r="A774" s="113"/>
      <c r="B774" s="113"/>
      <c r="C774" s="113"/>
      <c r="D774" s="111"/>
      <c r="E774" s="113"/>
      <c r="F774" s="111"/>
      <c r="G774" s="113"/>
      <c r="H774" s="111"/>
      <c r="I774" s="113"/>
      <c r="J774" s="113"/>
      <c r="K774" s="113"/>
      <c r="L774" s="113"/>
      <c r="M774" s="113"/>
      <c r="N774" s="113"/>
      <c r="O774" s="113"/>
      <c r="P774" s="113"/>
      <c r="Q774" s="113"/>
      <c r="R774" s="113"/>
      <c r="S774" s="113"/>
      <c r="T774" s="113"/>
      <c r="U774" s="113"/>
      <c r="V774" s="113"/>
      <c r="W774" s="113"/>
      <c r="X774" s="113"/>
      <c r="Y774" s="113"/>
      <c r="Z774" s="113"/>
      <c r="AA774" s="113"/>
      <c r="AB774" s="113"/>
      <c r="AC774" s="113"/>
      <c r="AD774" s="113"/>
      <c r="AE774" s="113"/>
      <c r="AF774" s="113"/>
      <c r="AG774" s="113"/>
    </row>
    <row r="775" spans="1:33" ht="13.8">
      <c r="A775" s="113"/>
      <c r="B775" s="113"/>
      <c r="C775" s="113"/>
      <c r="D775" s="111"/>
      <c r="E775" s="113"/>
      <c r="F775" s="111"/>
      <c r="G775" s="113"/>
      <c r="H775" s="111"/>
      <c r="I775" s="113"/>
      <c r="J775" s="113"/>
      <c r="K775" s="113"/>
      <c r="L775" s="113"/>
      <c r="M775" s="113"/>
      <c r="N775" s="113"/>
      <c r="O775" s="113"/>
      <c r="P775" s="113"/>
      <c r="Q775" s="113"/>
      <c r="R775" s="113"/>
      <c r="S775" s="113"/>
      <c r="T775" s="113"/>
      <c r="U775" s="113"/>
      <c r="V775" s="113"/>
      <c r="W775" s="113"/>
      <c r="X775" s="113"/>
      <c r="Y775" s="113"/>
      <c r="Z775" s="113"/>
      <c r="AA775" s="113"/>
      <c r="AB775" s="113"/>
      <c r="AC775" s="113"/>
      <c r="AD775" s="113"/>
      <c r="AE775" s="113"/>
      <c r="AF775" s="113"/>
      <c r="AG775" s="113"/>
    </row>
    <row r="776" spans="1:33" ht="13.8">
      <c r="A776" s="113"/>
      <c r="B776" s="113"/>
      <c r="C776" s="113"/>
      <c r="D776" s="111"/>
      <c r="E776" s="113"/>
      <c r="F776" s="111"/>
      <c r="G776" s="113"/>
      <c r="H776" s="111"/>
      <c r="I776" s="113"/>
      <c r="J776" s="113"/>
      <c r="K776" s="113"/>
      <c r="L776" s="113"/>
      <c r="M776" s="113"/>
      <c r="N776" s="113"/>
      <c r="O776" s="113"/>
      <c r="P776" s="113"/>
      <c r="Q776" s="113"/>
      <c r="R776" s="113"/>
      <c r="S776" s="113"/>
      <c r="T776" s="113"/>
      <c r="U776" s="113"/>
      <c r="V776" s="113"/>
      <c r="W776" s="113"/>
      <c r="X776" s="113"/>
      <c r="Y776" s="113"/>
      <c r="Z776" s="113"/>
      <c r="AA776" s="113"/>
      <c r="AB776" s="113"/>
      <c r="AC776" s="113"/>
      <c r="AD776" s="113"/>
      <c r="AE776" s="113"/>
      <c r="AF776" s="113"/>
      <c r="AG776" s="113"/>
    </row>
    <row r="777" spans="1:33" ht="13.8">
      <c r="A777" s="113"/>
      <c r="B777" s="113"/>
      <c r="C777" s="113"/>
      <c r="D777" s="111"/>
      <c r="E777" s="113"/>
      <c r="F777" s="111"/>
      <c r="G777" s="113"/>
      <c r="H777" s="111"/>
      <c r="I777" s="113"/>
      <c r="J777" s="113"/>
      <c r="K777" s="113"/>
      <c r="L777" s="113"/>
      <c r="M777" s="113"/>
      <c r="N777" s="113"/>
      <c r="O777" s="113"/>
      <c r="P777" s="113"/>
      <c r="Q777" s="113"/>
      <c r="R777" s="113"/>
      <c r="S777" s="113"/>
      <c r="T777" s="113"/>
      <c r="U777" s="113"/>
      <c r="V777" s="113"/>
      <c r="W777" s="113"/>
      <c r="X777" s="113"/>
      <c r="Y777" s="113"/>
      <c r="Z777" s="113"/>
      <c r="AA777" s="113"/>
      <c r="AB777" s="113"/>
      <c r="AC777" s="113"/>
      <c r="AD777" s="113"/>
      <c r="AE777" s="113"/>
      <c r="AF777" s="113"/>
      <c r="AG777" s="113"/>
    </row>
    <row r="778" spans="1:33" ht="13.8">
      <c r="A778" s="113"/>
      <c r="B778" s="113"/>
      <c r="C778" s="113"/>
      <c r="D778" s="111"/>
      <c r="E778" s="113"/>
      <c r="F778" s="111"/>
      <c r="G778" s="113"/>
      <c r="H778" s="111"/>
      <c r="I778" s="113"/>
      <c r="J778" s="113"/>
      <c r="K778" s="113"/>
      <c r="L778" s="113"/>
      <c r="M778" s="113"/>
      <c r="N778" s="113"/>
      <c r="O778" s="113"/>
      <c r="P778" s="113"/>
      <c r="Q778" s="113"/>
      <c r="R778" s="113"/>
      <c r="S778" s="113"/>
      <c r="T778" s="113"/>
      <c r="U778" s="113"/>
      <c r="V778" s="113"/>
      <c r="W778" s="113"/>
      <c r="X778" s="113"/>
      <c r="Y778" s="113"/>
      <c r="Z778" s="113"/>
      <c r="AA778" s="113"/>
      <c r="AB778" s="113"/>
      <c r="AC778" s="113"/>
      <c r="AD778" s="113"/>
      <c r="AE778" s="113"/>
      <c r="AF778" s="113"/>
      <c r="AG778" s="113"/>
    </row>
    <row r="779" spans="1:33" ht="13.8">
      <c r="A779" s="113"/>
      <c r="B779" s="113"/>
      <c r="C779" s="113"/>
      <c r="D779" s="111"/>
      <c r="E779" s="113"/>
      <c r="F779" s="111"/>
      <c r="G779" s="113"/>
      <c r="H779" s="111"/>
      <c r="I779" s="113"/>
      <c r="J779" s="113"/>
      <c r="K779" s="113"/>
      <c r="L779" s="113"/>
      <c r="M779" s="113"/>
      <c r="N779" s="113"/>
      <c r="O779" s="113"/>
      <c r="P779" s="113"/>
      <c r="Q779" s="113"/>
      <c r="R779" s="113"/>
      <c r="S779" s="113"/>
      <c r="T779" s="113"/>
      <c r="U779" s="113"/>
      <c r="V779" s="113"/>
      <c r="W779" s="113"/>
      <c r="X779" s="113"/>
      <c r="Y779" s="113"/>
      <c r="Z779" s="113"/>
      <c r="AA779" s="113"/>
      <c r="AB779" s="113"/>
      <c r="AC779" s="113"/>
      <c r="AD779" s="113"/>
      <c r="AE779" s="113"/>
      <c r="AF779" s="113"/>
      <c r="AG779" s="113"/>
    </row>
    <row r="780" spans="1:33" ht="13.8">
      <c r="A780" s="113"/>
      <c r="B780" s="113"/>
      <c r="C780" s="113"/>
      <c r="D780" s="111"/>
      <c r="E780" s="113"/>
      <c r="F780" s="111"/>
      <c r="G780" s="113"/>
      <c r="H780" s="111"/>
      <c r="I780" s="113"/>
      <c r="J780" s="113"/>
      <c r="K780" s="113"/>
      <c r="L780" s="113"/>
      <c r="M780" s="113"/>
      <c r="N780" s="113"/>
      <c r="O780" s="113"/>
      <c r="P780" s="113"/>
      <c r="Q780" s="113"/>
      <c r="R780" s="113"/>
      <c r="S780" s="113"/>
      <c r="T780" s="113"/>
      <c r="U780" s="113"/>
      <c r="V780" s="113"/>
      <c r="W780" s="113"/>
      <c r="X780" s="113"/>
      <c r="Y780" s="113"/>
      <c r="Z780" s="113"/>
      <c r="AA780" s="113"/>
      <c r="AB780" s="113"/>
      <c r="AC780" s="113"/>
      <c r="AD780" s="113"/>
      <c r="AE780" s="113"/>
      <c r="AF780" s="113"/>
      <c r="AG780" s="113"/>
    </row>
    <row r="781" spans="1:33" ht="13.8">
      <c r="A781" s="113"/>
      <c r="B781" s="113"/>
      <c r="C781" s="113"/>
      <c r="D781" s="111"/>
      <c r="E781" s="113"/>
      <c r="F781" s="111"/>
      <c r="G781" s="113"/>
      <c r="H781" s="111"/>
      <c r="I781" s="113"/>
      <c r="J781" s="113"/>
      <c r="K781" s="113"/>
      <c r="L781" s="113"/>
      <c r="M781" s="113"/>
      <c r="N781" s="113"/>
      <c r="O781" s="113"/>
      <c r="P781" s="113"/>
      <c r="Q781" s="113"/>
      <c r="R781" s="113"/>
      <c r="S781" s="113"/>
      <c r="T781" s="113"/>
      <c r="U781" s="113"/>
      <c r="V781" s="113"/>
      <c r="W781" s="113"/>
      <c r="X781" s="113"/>
      <c r="Y781" s="113"/>
      <c r="Z781" s="113"/>
      <c r="AA781" s="113"/>
      <c r="AB781" s="113"/>
      <c r="AC781" s="113"/>
      <c r="AD781" s="113"/>
      <c r="AE781" s="113"/>
      <c r="AF781" s="113"/>
      <c r="AG781" s="113"/>
    </row>
    <row r="782" spans="1:33" ht="13.8">
      <c r="A782" s="113"/>
      <c r="B782" s="113"/>
      <c r="C782" s="113"/>
      <c r="D782" s="111"/>
      <c r="E782" s="113"/>
      <c r="F782" s="111"/>
      <c r="G782" s="113"/>
      <c r="H782" s="111"/>
      <c r="I782" s="113"/>
      <c r="J782" s="113"/>
      <c r="K782" s="113"/>
      <c r="L782" s="113"/>
      <c r="M782" s="113"/>
      <c r="N782" s="113"/>
      <c r="O782" s="113"/>
      <c r="P782" s="113"/>
      <c r="Q782" s="113"/>
      <c r="R782" s="113"/>
      <c r="S782" s="113"/>
      <c r="T782" s="113"/>
      <c r="U782" s="113"/>
      <c r="V782" s="113"/>
      <c r="W782" s="113"/>
      <c r="X782" s="113"/>
      <c r="Y782" s="113"/>
      <c r="Z782" s="113"/>
      <c r="AA782" s="113"/>
      <c r="AB782" s="113"/>
      <c r="AC782" s="113"/>
      <c r="AD782" s="113"/>
      <c r="AE782" s="113"/>
      <c r="AF782" s="113"/>
      <c r="AG782" s="113"/>
    </row>
    <row r="783" spans="1:33" ht="13.8">
      <c r="A783" s="113"/>
      <c r="B783" s="113"/>
      <c r="C783" s="113"/>
      <c r="D783" s="111"/>
      <c r="E783" s="113"/>
      <c r="F783" s="111"/>
      <c r="G783" s="113"/>
      <c r="H783" s="111"/>
      <c r="I783" s="113"/>
      <c r="J783" s="113"/>
      <c r="K783" s="113"/>
      <c r="L783" s="113"/>
      <c r="M783" s="113"/>
      <c r="N783" s="113"/>
      <c r="O783" s="113"/>
      <c r="P783" s="113"/>
      <c r="Q783" s="113"/>
      <c r="R783" s="113"/>
      <c r="S783" s="113"/>
      <c r="T783" s="113"/>
      <c r="U783" s="113"/>
      <c r="V783" s="113"/>
      <c r="W783" s="113"/>
      <c r="X783" s="113"/>
      <c r="Y783" s="113"/>
      <c r="Z783" s="113"/>
      <c r="AA783" s="113"/>
      <c r="AB783" s="113"/>
      <c r="AC783" s="113"/>
      <c r="AD783" s="113"/>
      <c r="AE783" s="113"/>
      <c r="AF783" s="113"/>
      <c r="AG783" s="113"/>
    </row>
    <row r="784" spans="1:33" ht="13.8">
      <c r="A784" s="113"/>
      <c r="B784" s="113"/>
      <c r="C784" s="113"/>
      <c r="D784" s="111"/>
      <c r="E784" s="113"/>
      <c r="F784" s="111"/>
      <c r="G784" s="113"/>
      <c r="H784" s="111"/>
      <c r="I784" s="113"/>
      <c r="J784" s="113"/>
      <c r="K784" s="113"/>
      <c r="L784" s="113"/>
      <c r="M784" s="113"/>
      <c r="N784" s="113"/>
      <c r="O784" s="113"/>
      <c r="P784" s="113"/>
      <c r="Q784" s="113"/>
      <c r="R784" s="113"/>
      <c r="S784" s="113"/>
      <c r="T784" s="113"/>
      <c r="U784" s="113"/>
      <c r="V784" s="113"/>
      <c r="W784" s="113"/>
      <c r="X784" s="113"/>
      <c r="Y784" s="113"/>
      <c r="Z784" s="113"/>
      <c r="AA784" s="113"/>
      <c r="AB784" s="113"/>
      <c r="AC784" s="113"/>
      <c r="AD784" s="113"/>
      <c r="AE784" s="113"/>
      <c r="AF784" s="113"/>
      <c r="AG784" s="113"/>
    </row>
    <row r="785" spans="1:33" ht="13.8">
      <c r="A785" s="113"/>
      <c r="B785" s="113"/>
      <c r="C785" s="113"/>
      <c r="D785" s="111"/>
      <c r="E785" s="113"/>
      <c r="F785" s="111"/>
      <c r="G785" s="113"/>
      <c r="H785" s="111"/>
      <c r="I785" s="113"/>
      <c r="J785" s="113"/>
      <c r="K785" s="113"/>
      <c r="L785" s="113"/>
      <c r="M785" s="113"/>
      <c r="N785" s="113"/>
      <c r="O785" s="113"/>
      <c r="P785" s="113"/>
      <c r="Q785" s="113"/>
      <c r="R785" s="113"/>
      <c r="S785" s="113"/>
      <c r="T785" s="113"/>
      <c r="U785" s="113"/>
      <c r="V785" s="113"/>
      <c r="W785" s="113"/>
      <c r="X785" s="113"/>
      <c r="Y785" s="113"/>
      <c r="Z785" s="113"/>
      <c r="AA785" s="113"/>
      <c r="AB785" s="113"/>
      <c r="AC785" s="113"/>
      <c r="AD785" s="113"/>
      <c r="AE785" s="113"/>
      <c r="AF785" s="113"/>
      <c r="AG785" s="113"/>
    </row>
    <row r="786" spans="1:33" ht="13.8">
      <c r="A786" s="113"/>
      <c r="B786" s="113"/>
      <c r="C786" s="113"/>
      <c r="D786" s="111"/>
      <c r="E786" s="113"/>
      <c r="F786" s="111"/>
      <c r="G786" s="113"/>
      <c r="H786" s="111"/>
      <c r="I786" s="113"/>
      <c r="J786" s="113"/>
      <c r="K786" s="113"/>
      <c r="L786" s="113"/>
      <c r="M786" s="113"/>
      <c r="N786" s="113"/>
      <c r="O786" s="113"/>
      <c r="P786" s="113"/>
      <c r="Q786" s="113"/>
      <c r="R786" s="113"/>
      <c r="S786" s="113"/>
      <c r="T786" s="113"/>
      <c r="U786" s="113"/>
      <c r="V786" s="113"/>
      <c r="W786" s="113"/>
      <c r="X786" s="113"/>
      <c r="Y786" s="113"/>
      <c r="Z786" s="113"/>
      <c r="AA786" s="113"/>
      <c r="AB786" s="113"/>
      <c r="AC786" s="113"/>
      <c r="AD786" s="113"/>
      <c r="AE786" s="113"/>
      <c r="AF786" s="113"/>
      <c r="AG786" s="113"/>
    </row>
    <row r="787" spans="1:33" ht="13.8">
      <c r="A787" s="113"/>
      <c r="B787" s="113"/>
      <c r="C787" s="113"/>
      <c r="D787" s="111"/>
      <c r="E787" s="113"/>
      <c r="F787" s="111"/>
      <c r="G787" s="113"/>
      <c r="H787" s="111"/>
      <c r="I787" s="113"/>
      <c r="J787" s="113"/>
      <c r="K787" s="113"/>
      <c r="L787" s="113"/>
      <c r="M787" s="113"/>
      <c r="N787" s="113"/>
      <c r="O787" s="113"/>
      <c r="P787" s="113"/>
      <c r="Q787" s="113"/>
      <c r="R787" s="113"/>
      <c r="S787" s="113"/>
      <c r="T787" s="113"/>
      <c r="U787" s="113"/>
      <c r="V787" s="113"/>
      <c r="W787" s="113"/>
      <c r="X787" s="113"/>
      <c r="Y787" s="113"/>
      <c r="Z787" s="113"/>
      <c r="AA787" s="113"/>
      <c r="AB787" s="113"/>
      <c r="AC787" s="113"/>
      <c r="AD787" s="113"/>
      <c r="AE787" s="113"/>
      <c r="AF787" s="113"/>
      <c r="AG787" s="113"/>
    </row>
    <row r="788" spans="1:33" ht="13.8">
      <c r="A788" s="113"/>
      <c r="B788" s="113"/>
      <c r="C788" s="113"/>
      <c r="D788" s="111"/>
      <c r="E788" s="113"/>
      <c r="F788" s="111"/>
      <c r="G788" s="113"/>
      <c r="H788" s="111"/>
      <c r="I788" s="113"/>
      <c r="J788" s="113"/>
      <c r="K788" s="113"/>
      <c r="L788" s="113"/>
      <c r="M788" s="113"/>
      <c r="N788" s="113"/>
      <c r="O788" s="113"/>
      <c r="P788" s="113"/>
      <c r="Q788" s="113"/>
      <c r="R788" s="113"/>
      <c r="S788" s="113"/>
      <c r="T788" s="113"/>
      <c r="U788" s="113"/>
      <c r="V788" s="113"/>
      <c r="W788" s="113"/>
      <c r="X788" s="113"/>
      <c r="Y788" s="113"/>
      <c r="Z788" s="113"/>
      <c r="AA788" s="113"/>
      <c r="AB788" s="113"/>
      <c r="AC788" s="113"/>
      <c r="AD788" s="113"/>
      <c r="AE788" s="113"/>
      <c r="AF788" s="113"/>
      <c r="AG788" s="113"/>
    </row>
    <row r="789" spans="1:33" ht="13.8">
      <c r="A789" s="113"/>
      <c r="B789" s="113"/>
      <c r="C789" s="113"/>
      <c r="D789" s="111"/>
      <c r="E789" s="113"/>
      <c r="F789" s="111"/>
      <c r="G789" s="113"/>
      <c r="H789" s="111"/>
      <c r="I789" s="113"/>
      <c r="J789" s="113"/>
      <c r="K789" s="113"/>
      <c r="L789" s="113"/>
      <c r="M789" s="113"/>
      <c r="N789" s="113"/>
      <c r="O789" s="113"/>
      <c r="P789" s="113"/>
      <c r="Q789" s="113"/>
      <c r="R789" s="113"/>
      <c r="S789" s="113"/>
      <c r="T789" s="113"/>
      <c r="U789" s="113"/>
      <c r="V789" s="113"/>
      <c r="W789" s="113"/>
      <c r="X789" s="113"/>
      <c r="Y789" s="113"/>
      <c r="Z789" s="113"/>
      <c r="AA789" s="113"/>
      <c r="AB789" s="113"/>
      <c r="AC789" s="113"/>
      <c r="AD789" s="113"/>
      <c r="AE789" s="113"/>
      <c r="AF789" s="113"/>
      <c r="AG789" s="113"/>
    </row>
    <row r="790" spans="1:33" ht="13.8">
      <c r="A790" s="113"/>
      <c r="B790" s="113"/>
      <c r="C790" s="113"/>
      <c r="D790" s="111"/>
      <c r="E790" s="113"/>
      <c r="F790" s="111"/>
      <c r="G790" s="113"/>
      <c r="H790" s="111"/>
      <c r="I790" s="113"/>
      <c r="J790" s="113"/>
      <c r="K790" s="113"/>
      <c r="L790" s="113"/>
      <c r="M790" s="113"/>
      <c r="N790" s="113"/>
      <c r="O790" s="113"/>
      <c r="P790" s="113"/>
      <c r="Q790" s="113"/>
      <c r="R790" s="113"/>
      <c r="S790" s="113"/>
      <c r="T790" s="113"/>
      <c r="U790" s="113"/>
      <c r="V790" s="113"/>
      <c r="W790" s="113"/>
      <c r="X790" s="113"/>
      <c r="Y790" s="113"/>
      <c r="Z790" s="113"/>
      <c r="AA790" s="113"/>
      <c r="AB790" s="113"/>
      <c r="AC790" s="113"/>
      <c r="AD790" s="113"/>
      <c r="AE790" s="113"/>
      <c r="AF790" s="113"/>
      <c r="AG790" s="113"/>
    </row>
    <row r="791" spans="1:33" ht="13.8">
      <c r="A791" s="113"/>
      <c r="B791" s="113"/>
      <c r="C791" s="113"/>
      <c r="D791" s="111"/>
      <c r="E791" s="113"/>
      <c r="F791" s="111"/>
      <c r="G791" s="113"/>
      <c r="H791" s="111"/>
      <c r="I791" s="113"/>
      <c r="J791" s="113"/>
      <c r="K791" s="113"/>
      <c r="L791" s="113"/>
      <c r="M791" s="113"/>
      <c r="N791" s="113"/>
      <c r="O791" s="113"/>
      <c r="P791" s="113"/>
      <c r="Q791" s="113"/>
      <c r="R791" s="113"/>
      <c r="S791" s="113"/>
      <c r="T791" s="113"/>
      <c r="U791" s="113"/>
      <c r="V791" s="113"/>
      <c r="W791" s="113"/>
      <c r="X791" s="113"/>
      <c r="Y791" s="113"/>
      <c r="Z791" s="113"/>
      <c r="AA791" s="113"/>
      <c r="AB791" s="113"/>
      <c r="AC791" s="113"/>
      <c r="AD791" s="113"/>
      <c r="AE791" s="113"/>
      <c r="AF791" s="113"/>
      <c r="AG791" s="113"/>
    </row>
    <row r="792" spans="1:33" ht="13.8">
      <c r="A792" s="113"/>
      <c r="B792" s="113"/>
      <c r="C792" s="113"/>
      <c r="D792" s="111"/>
      <c r="E792" s="113"/>
      <c r="F792" s="111"/>
      <c r="G792" s="113"/>
      <c r="H792" s="111"/>
      <c r="I792" s="113"/>
      <c r="J792" s="113"/>
      <c r="K792" s="113"/>
      <c r="L792" s="113"/>
      <c r="M792" s="113"/>
      <c r="N792" s="113"/>
      <c r="O792" s="113"/>
      <c r="P792" s="113"/>
      <c r="Q792" s="113"/>
      <c r="R792" s="113"/>
      <c r="S792" s="113"/>
      <c r="T792" s="113"/>
      <c r="U792" s="113"/>
      <c r="V792" s="113"/>
      <c r="W792" s="113"/>
      <c r="X792" s="113"/>
      <c r="Y792" s="113"/>
      <c r="Z792" s="113"/>
      <c r="AA792" s="113"/>
      <c r="AB792" s="113"/>
      <c r="AC792" s="113"/>
      <c r="AD792" s="113"/>
      <c r="AE792" s="113"/>
      <c r="AF792" s="113"/>
      <c r="AG792" s="113"/>
    </row>
    <row r="793" spans="1:33" ht="13.8">
      <c r="A793" s="113"/>
      <c r="B793" s="113"/>
      <c r="C793" s="113"/>
      <c r="D793" s="111"/>
      <c r="E793" s="113"/>
      <c r="F793" s="111"/>
      <c r="G793" s="113"/>
      <c r="H793" s="111"/>
      <c r="I793" s="113"/>
      <c r="J793" s="113"/>
      <c r="K793" s="113"/>
      <c r="L793" s="113"/>
      <c r="M793" s="113"/>
      <c r="N793" s="113"/>
      <c r="O793" s="113"/>
      <c r="P793" s="113"/>
      <c r="Q793" s="113"/>
      <c r="R793" s="113"/>
      <c r="S793" s="113"/>
      <c r="T793" s="113"/>
      <c r="U793" s="113"/>
      <c r="V793" s="113"/>
      <c r="W793" s="113"/>
      <c r="X793" s="113"/>
      <c r="Y793" s="113"/>
      <c r="Z793" s="113"/>
      <c r="AA793" s="113"/>
      <c r="AB793" s="113"/>
      <c r="AC793" s="113"/>
      <c r="AD793" s="113"/>
      <c r="AE793" s="113"/>
      <c r="AF793" s="113"/>
      <c r="AG793" s="113"/>
    </row>
    <row r="794" spans="1:33" ht="13.8">
      <c r="A794" s="113"/>
      <c r="B794" s="113"/>
      <c r="C794" s="113"/>
      <c r="D794" s="111"/>
      <c r="E794" s="113"/>
      <c r="F794" s="111"/>
      <c r="G794" s="113"/>
      <c r="H794" s="111"/>
      <c r="I794" s="113"/>
      <c r="J794" s="113"/>
      <c r="K794" s="113"/>
      <c r="L794" s="113"/>
      <c r="M794" s="113"/>
      <c r="N794" s="113"/>
      <c r="O794" s="113"/>
      <c r="P794" s="113"/>
      <c r="Q794" s="113"/>
      <c r="R794" s="113"/>
      <c r="S794" s="113"/>
      <c r="T794" s="113"/>
      <c r="U794" s="113"/>
      <c r="V794" s="113"/>
      <c r="W794" s="113"/>
      <c r="X794" s="113"/>
      <c r="Y794" s="113"/>
      <c r="Z794" s="113"/>
      <c r="AA794" s="113"/>
      <c r="AB794" s="113"/>
      <c r="AC794" s="113"/>
      <c r="AD794" s="113"/>
      <c r="AE794" s="113"/>
      <c r="AF794" s="113"/>
      <c r="AG794" s="113"/>
    </row>
    <row r="795" spans="1:33" ht="13.8">
      <c r="A795" s="113"/>
      <c r="B795" s="113"/>
      <c r="C795" s="113"/>
      <c r="D795" s="111"/>
      <c r="E795" s="113"/>
      <c r="F795" s="111"/>
      <c r="G795" s="113"/>
      <c r="H795" s="111"/>
      <c r="I795" s="113"/>
      <c r="J795" s="113"/>
      <c r="K795" s="113"/>
      <c r="L795" s="113"/>
      <c r="M795" s="113"/>
      <c r="N795" s="113"/>
      <c r="O795" s="113"/>
      <c r="P795" s="113"/>
      <c r="Q795" s="113"/>
      <c r="R795" s="113"/>
      <c r="S795" s="113"/>
      <c r="T795" s="113"/>
      <c r="U795" s="113"/>
      <c r="V795" s="113"/>
      <c r="W795" s="113"/>
      <c r="X795" s="113"/>
      <c r="Y795" s="113"/>
      <c r="Z795" s="113"/>
      <c r="AA795" s="113"/>
      <c r="AB795" s="113"/>
      <c r="AC795" s="113"/>
      <c r="AD795" s="113"/>
      <c r="AE795" s="113"/>
      <c r="AF795" s="113"/>
      <c r="AG795" s="113"/>
    </row>
    <row r="796" spans="1:33" ht="13.8">
      <c r="A796" s="113"/>
      <c r="B796" s="113"/>
      <c r="C796" s="113"/>
      <c r="D796" s="111"/>
      <c r="E796" s="113"/>
      <c r="F796" s="111"/>
      <c r="G796" s="113"/>
      <c r="H796" s="111"/>
      <c r="I796" s="113"/>
      <c r="J796" s="113"/>
      <c r="K796" s="113"/>
      <c r="L796" s="113"/>
      <c r="M796" s="113"/>
      <c r="N796" s="113"/>
      <c r="O796" s="113"/>
      <c r="P796" s="113"/>
      <c r="Q796" s="113"/>
      <c r="R796" s="113"/>
      <c r="S796" s="113"/>
      <c r="T796" s="113"/>
      <c r="U796" s="113"/>
      <c r="V796" s="113"/>
      <c r="W796" s="113"/>
      <c r="X796" s="113"/>
      <c r="Y796" s="113"/>
      <c r="Z796" s="113"/>
      <c r="AA796" s="113"/>
      <c r="AB796" s="113"/>
      <c r="AC796" s="113"/>
      <c r="AD796" s="113"/>
      <c r="AE796" s="113"/>
      <c r="AF796" s="113"/>
      <c r="AG796" s="113"/>
    </row>
    <row r="797" spans="1:33" ht="13.8">
      <c r="A797" s="113"/>
      <c r="B797" s="113"/>
      <c r="C797" s="113"/>
      <c r="D797" s="111"/>
      <c r="E797" s="113"/>
      <c r="F797" s="111"/>
      <c r="G797" s="113"/>
      <c r="H797" s="111"/>
      <c r="I797" s="113"/>
      <c r="J797" s="113"/>
      <c r="K797" s="113"/>
      <c r="L797" s="113"/>
      <c r="M797" s="113"/>
      <c r="N797" s="113"/>
      <c r="O797" s="113"/>
      <c r="P797" s="113"/>
      <c r="Q797" s="113"/>
      <c r="R797" s="113"/>
      <c r="S797" s="113"/>
      <c r="T797" s="113"/>
      <c r="U797" s="113"/>
      <c r="V797" s="113"/>
      <c r="W797" s="113"/>
      <c r="X797" s="113"/>
      <c r="Y797" s="113"/>
      <c r="Z797" s="113"/>
      <c r="AA797" s="113"/>
      <c r="AB797" s="113"/>
      <c r="AC797" s="113"/>
      <c r="AD797" s="113"/>
      <c r="AE797" s="113"/>
      <c r="AF797" s="113"/>
      <c r="AG797" s="113"/>
    </row>
    <row r="798" spans="1:33" ht="13.8">
      <c r="A798" s="113"/>
      <c r="B798" s="113"/>
      <c r="C798" s="113"/>
      <c r="D798" s="111"/>
      <c r="E798" s="113"/>
      <c r="F798" s="111"/>
      <c r="G798" s="113"/>
      <c r="H798" s="111"/>
      <c r="I798" s="113"/>
      <c r="J798" s="113"/>
      <c r="K798" s="113"/>
      <c r="L798" s="113"/>
      <c r="M798" s="113"/>
      <c r="N798" s="113"/>
      <c r="O798" s="113"/>
      <c r="P798" s="113"/>
      <c r="Q798" s="113"/>
      <c r="R798" s="113"/>
      <c r="S798" s="113"/>
      <c r="T798" s="113"/>
      <c r="U798" s="113"/>
      <c r="V798" s="113"/>
      <c r="W798" s="113"/>
      <c r="X798" s="113"/>
      <c r="Y798" s="113"/>
      <c r="Z798" s="113"/>
      <c r="AA798" s="113"/>
      <c r="AB798" s="113"/>
      <c r="AC798" s="113"/>
      <c r="AD798" s="113"/>
      <c r="AE798" s="113"/>
      <c r="AF798" s="113"/>
      <c r="AG798" s="113"/>
    </row>
    <row r="799" spans="1:33" ht="13.8">
      <c r="A799" s="113"/>
      <c r="B799" s="113"/>
      <c r="C799" s="113"/>
      <c r="D799" s="111"/>
      <c r="E799" s="113"/>
      <c r="F799" s="111"/>
      <c r="G799" s="113"/>
      <c r="H799" s="111"/>
      <c r="I799" s="113"/>
      <c r="J799" s="113"/>
      <c r="K799" s="113"/>
      <c r="L799" s="113"/>
      <c r="M799" s="113"/>
      <c r="N799" s="113"/>
      <c r="O799" s="113"/>
      <c r="P799" s="113"/>
      <c r="Q799" s="113"/>
      <c r="R799" s="113"/>
      <c r="S799" s="113"/>
      <c r="T799" s="113"/>
      <c r="U799" s="113"/>
      <c r="V799" s="113"/>
      <c r="W799" s="113"/>
      <c r="X799" s="113"/>
      <c r="Y799" s="113"/>
      <c r="Z799" s="113"/>
      <c r="AA799" s="113"/>
      <c r="AB799" s="113"/>
      <c r="AC799" s="113"/>
      <c r="AD799" s="113"/>
      <c r="AE799" s="113"/>
      <c r="AF799" s="113"/>
      <c r="AG799" s="113"/>
    </row>
    <row r="800" spans="1:33" ht="13.8">
      <c r="A800" s="113"/>
      <c r="B800" s="113"/>
      <c r="C800" s="113"/>
      <c r="D800" s="111"/>
      <c r="E800" s="113"/>
      <c r="F800" s="111"/>
      <c r="G800" s="113"/>
      <c r="H800" s="111"/>
      <c r="I800" s="113"/>
      <c r="J800" s="113"/>
      <c r="K800" s="113"/>
      <c r="L800" s="113"/>
      <c r="M800" s="113"/>
      <c r="N800" s="113"/>
      <c r="O800" s="113"/>
      <c r="P800" s="113"/>
      <c r="Q800" s="113"/>
      <c r="R800" s="113"/>
      <c r="S800" s="113"/>
      <c r="T800" s="113"/>
      <c r="U800" s="113"/>
      <c r="V800" s="113"/>
      <c r="W800" s="113"/>
      <c r="X800" s="113"/>
      <c r="Y800" s="113"/>
      <c r="Z800" s="113"/>
      <c r="AA800" s="113"/>
      <c r="AB800" s="113"/>
      <c r="AC800" s="113"/>
      <c r="AD800" s="113"/>
      <c r="AE800" s="113"/>
      <c r="AF800" s="113"/>
      <c r="AG800" s="113"/>
    </row>
    <row r="801" spans="1:33" ht="13.8">
      <c r="A801" s="113"/>
      <c r="B801" s="113"/>
      <c r="C801" s="113"/>
      <c r="D801" s="111"/>
      <c r="E801" s="113"/>
      <c r="F801" s="111"/>
      <c r="G801" s="113"/>
      <c r="H801" s="111"/>
      <c r="I801" s="113"/>
      <c r="J801" s="113"/>
      <c r="K801" s="113"/>
      <c r="L801" s="113"/>
      <c r="M801" s="113"/>
      <c r="N801" s="113"/>
      <c r="O801" s="113"/>
      <c r="P801" s="113"/>
      <c r="Q801" s="113"/>
      <c r="R801" s="113"/>
      <c r="S801" s="113"/>
      <c r="T801" s="113"/>
      <c r="U801" s="113"/>
      <c r="V801" s="113"/>
      <c r="W801" s="113"/>
      <c r="X801" s="113"/>
      <c r="Y801" s="113"/>
      <c r="Z801" s="113"/>
      <c r="AA801" s="113"/>
      <c r="AB801" s="113"/>
      <c r="AC801" s="113"/>
      <c r="AD801" s="113"/>
      <c r="AE801" s="113"/>
      <c r="AF801" s="113"/>
      <c r="AG801" s="113"/>
    </row>
    <row r="802" spans="1:33" ht="13.8">
      <c r="A802" s="113"/>
      <c r="B802" s="113"/>
      <c r="C802" s="113"/>
      <c r="D802" s="111"/>
      <c r="E802" s="113"/>
      <c r="F802" s="111"/>
      <c r="G802" s="113"/>
      <c r="H802" s="111"/>
      <c r="I802" s="113"/>
      <c r="J802" s="113"/>
      <c r="K802" s="113"/>
      <c r="L802" s="113"/>
      <c r="M802" s="113"/>
      <c r="N802" s="113"/>
      <c r="O802" s="113"/>
      <c r="P802" s="113"/>
      <c r="Q802" s="113"/>
      <c r="R802" s="113"/>
      <c r="S802" s="113"/>
      <c r="T802" s="113"/>
      <c r="U802" s="113"/>
      <c r="V802" s="113"/>
      <c r="W802" s="113"/>
      <c r="X802" s="113"/>
      <c r="Y802" s="113"/>
      <c r="Z802" s="113"/>
      <c r="AA802" s="113"/>
      <c r="AB802" s="113"/>
      <c r="AC802" s="113"/>
      <c r="AD802" s="113"/>
      <c r="AE802" s="113"/>
      <c r="AF802" s="113"/>
      <c r="AG802" s="113"/>
    </row>
    <row r="803" spans="1:33" ht="13.8">
      <c r="A803" s="113"/>
      <c r="B803" s="113"/>
      <c r="C803" s="113"/>
      <c r="D803" s="111"/>
      <c r="E803" s="113"/>
      <c r="F803" s="111"/>
      <c r="G803" s="113"/>
      <c r="H803" s="111"/>
      <c r="I803" s="113"/>
      <c r="J803" s="113"/>
      <c r="K803" s="113"/>
      <c r="L803" s="113"/>
      <c r="M803" s="113"/>
      <c r="N803" s="113"/>
      <c r="O803" s="113"/>
      <c r="P803" s="113"/>
      <c r="Q803" s="113"/>
      <c r="R803" s="113"/>
      <c r="S803" s="113"/>
      <c r="T803" s="113"/>
      <c r="U803" s="113"/>
      <c r="V803" s="113"/>
      <c r="W803" s="113"/>
      <c r="X803" s="113"/>
      <c r="Y803" s="113"/>
      <c r="Z803" s="113"/>
      <c r="AA803" s="113"/>
      <c r="AB803" s="113"/>
      <c r="AC803" s="113"/>
      <c r="AD803" s="113"/>
      <c r="AE803" s="113"/>
      <c r="AF803" s="113"/>
      <c r="AG803" s="113"/>
    </row>
    <row r="804" spans="1:33" ht="13.8">
      <c r="A804" s="113"/>
      <c r="B804" s="113"/>
      <c r="C804" s="113"/>
      <c r="D804" s="111"/>
      <c r="E804" s="113"/>
      <c r="F804" s="111"/>
      <c r="G804" s="113"/>
      <c r="H804" s="111"/>
      <c r="I804" s="113"/>
      <c r="J804" s="113"/>
      <c r="K804" s="113"/>
      <c r="L804" s="113"/>
      <c r="M804" s="113"/>
      <c r="N804" s="113"/>
      <c r="O804" s="113"/>
      <c r="P804" s="113"/>
      <c r="Q804" s="113"/>
      <c r="R804" s="113"/>
      <c r="S804" s="113"/>
      <c r="T804" s="113"/>
      <c r="U804" s="113"/>
      <c r="V804" s="113"/>
      <c r="W804" s="113"/>
      <c r="X804" s="113"/>
      <c r="Y804" s="113"/>
      <c r="Z804" s="113"/>
      <c r="AA804" s="113"/>
      <c r="AB804" s="113"/>
      <c r="AC804" s="113"/>
      <c r="AD804" s="113"/>
      <c r="AE804" s="113"/>
      <c r="AF804" s="113"/>
      <c r="AG804" s="113"/>
    </row>
    <row r="805" spans="1:33" ht="13.8">
      <c r="A805" s="113"/>
      <c r="B805" s="113"/>
      <c r="C805" s="113"/>
      <c r="D805" s="111"/>
      <c r="E805" s="113"/>
      <c r="F805" s="111"/>
      <c r="G805" s="113"/>
      <c r="H805" s="111"/>
      <c r="I805" s="113"/>
      <c r="J805" s="113"/>
      <c r="K805" s="113"/>
      <c r="L805" s="113"/>
      <c r="M805" s="113"/>
      <c r="N805" s="113"/>
      <c r="O805" s="113"/>
      <c r="P805" s="113"/>
      <c r="Q805" s="113"/>
      <c r="R805" s="113"/>
      <c r="S805" s="113"/>
      <c r="T805" s="113"/>
      <c r="U805" s="113"/>
      <c r="V805" s="113"/>
      <c r="W805" s="113"/>
      <c r="X805" s="113"/>
      <c r="Y805" s="113"/>
      <c r="Z805" s="113"/>
      <c r="AA805" s="113"/>
      <c r="AB805" s="113"/>
      <c r="AC805" s="113"/>
      <c r="AD805" s="113"/>
      <c r="AE805" s="113"/>
      <c r="AF805" s="113"/>
      <c r="AG805" s="113"/>
    </row>
    <row r="806" spans="1:33" ht="13.8">
      <c r="A806" s="113"/>
      <c r="B806" s="113"/>
      <c r="C806" s="113"/>
      <c r="D806" s="111"/>
      <c r="E806" s="113"/>
      <c r="F806" s="111"/>
      <c r="G806" s="113"/>
      <c r="H806" s="111"/>
      <c r="I806" s="113"/>
      <c r="J806" s="113"/>
      <c r="K806" s="113"/>
      <c r="L806" s="113"/>
      <c r="M806" s="113"/>
      <c r="N806" s="113"/>
      <c r="O806" s="113"/>
      <c r="P806" s="113"/>
      <c r="Q806" s="113"/>
      <c r="R806" s="113"/>
      <c r="S806" s="113"/>
      <c r="T806" s="113"/>
      <c r="U806" s="113"/>
      <c r="V806" s="113"/>
      <c r="W806" s="113"/>
      <c r="X806" s="113"/>
      <c r="Y806" s="113"/>
      <c r="Z806" s="113"/>
      <c r="AA806" s="113"/>
      <c r="AB806" s="113"/>
      <c r="AC806" s="113"/>
      <c r="AD806" s="113"/>
      <c r="AE806" s="113"/>
      <c r="AF806" s="113"/>
      <c r="AG806" s="113"/>
    </row>
    <row r="807" spans="1:33" ht="13.8">
      <c r="A807" s="113"/>
      <c r="B807" s="113"/>
      <c r="C807" s="113"/>
      <c r="D807" s="111"/>
      <c r="E807" s="113"/>
      <c r="F807" s="111"/>
      <c r="G807" s="113"/>
      <c r="H807" s="111"/>
      <c r="I807" s="113"/>
      <c r="J807" s="113"/>
      <c r="K807" s="113"/>
      <c r="L807" s="113"/>
      <c r="M807" s="113"/>
      <c r="N807" s="113"/>
      <c r="O807" s="113"/>
      <c r="P807" s="113"/>
      <c r="Q807" s="113"/>
      <c r="R807" s="113"/>
      <c r="S807" s="113"/>
      <c r="T807" s="113"/>
      <c r="U807" s="113"/>
      <c r="V807" s="113"/>
      <c r="W807" s="113"/>
      <c r="X807" s="113"/>
      <c r="Y807" s="113"/>
      <c r="Z807" s="113"/>
      <c r="AA807" s="113"/>
      <c r="AB807" s="113"/>
      <c r="AC807" s="113"/>
      <c r="AD807" s="113"/>
      <c r="AE807" s="113"/>
      <c r="AF807" s="113"/>
      <c r="AG807" s="113"/>
    </row>
    <row r="808" spans="1:33" ht="13.8">
      <c r="A808" s="113"/>
      <c r="B808" s="113"/>
      <c r="C808" s="113"/>
      <c r="D808" s="111"/>
      <c r="E808" s="113"/>
      <c r="F808" s="111"/>
      <c r="G808" s="113"/>
      <c r="H808" s="111"/>
      <c r="I808" s="113"/>
      <c r="J808" s="113"/>
      <c r="K808" s="113"/>
      <c r="L808" s="113"/>
      <c r="M808" s="113"/>
      <c r="N808" s="113"/>
      <c r="O808" s="113"/>
      <c r="P808" s="113"/>
      <c r="Q808" s="113"/>
      <c r="R808" s="113"/>
      <c r="S808" s="113"/>
      <c r="T808" s="113"/>
      <c r="U808" s="113"/>
      <c r="V808" s="113"/>
      <c r="W808" s="113"/>
      <c r="X808" s="113"/>
      <c r="Y808" s="113"/>
      <c r="Z808" s="113"/>
      <c r="AA808" s="113"/>
      <c r="AB808" s="113"/>
      <c r="AC808" s="113"/>
      <c r="AD808" s="113"/>
      <c r="AE808" s="113"/>
      <c r="AF808" s="113"/>
      <c r="AG808" s="113"/>
    </row>
    <row r="809" spans="1:33" ht="13.8">
      <c r="A809" s="113"/>
      <c r="B809" s="113"/>
      <c r="C809" s="113"/>
      <c r="D809" s="111"/>
      <c r="E809" s="113"/>
      <c r="F809" s="111"/>
      <c r="G809" s="113"/>
      <c r="H809" s="111"/>
      <c r="I809" s="113"/>
      <c r="J809" s="113"/>
      <c r="K809" s="113"/>
      <c r="L809" s="113"/>
      <c r="M809" s="113"/>
      <c r="N809" s="113"/>
      <c r="O809" s="113"/>
      <c r="P809" s="113"/>
      <c r="Q809" s="113"/>
      <c r="R809" s="113"/>
      <c r="S809" s="113"/>
      <c r="T809" s="113"/>
      <c r="U809" s="113"/>
      <c r="V809" s="113"/>
      <c r="W809" s="113"/>
      <c r="X809" s="113"/>
      <c r="Y809" s="113"/>
      <c r="Z809" s="113"/>
      <c r="AA809" s="113"/>
      <c r="AB809" s="113"/>
      <c r="AC809" s="113"/>
      <c r="AD809" s="113"/>
      <c r="AE809" s="113"/>
      <c r="AF809" s="113"/>
      <c r="AG809" s="113"/>
    </row>
    <row r="810" spans="1:33" ht="13.8">
      <c r="A810" s="113"/>
      <c r="B810" s="113"/>
      <c r="C810" s="113"/>
      <c r="D810" s="111"/>
      <c r="E810" s="113"/>
      <c r="F810" s="111"/>
      <c r="G810" s="113"/>
      <c r="H810" s="111"/>
      <c r="I810" s="113"/>
      <c r="J810" s="113"/>
      <c r="K810" s="113"/>
      <c r="L810" s="113"/>
      <c r="M810" s="113"/>
      <c r="N810" s="113"/>
      <c r="O810" s="113"/>
      <c r="P810" s="113"/>
      <c r="Q810" s="113"/>
      <c r="R810" s="113"/>
      <c r="S810" s="113"/>
      <c r="T810" s="113"/>
      <c r="U810" s="113"/>
      <c r="V810" s="113"/>
      <c r="W810" s="113"/>
      <c r="X810" s="113"/>
      <c r="Y810" s="113"/>
      <c r="Z810" s="113"/>
      <c r="AA810" s="113"/>
      <c r="AB810" s="113"/>
      <c r="AC810" s="113"/>
      <c r="AD810" s="113"/>
      <c r="AE810" s="113"/>
      <c r="AF810" s="113"/>
      <c r="AG810" s="113"/>
    </row>
    <row r="811" spans="1:33" ht="13.8">
      <c r="A811" s="113"/>
      <c r="B811" s="113"/>
      <c r="C811" s="113"/>
      <c r="D811" s="111"/>
      <c r="E811" s="113"/>
      <c r="F811" s="111"/>
      <c r="G811" s="113"/>
      <c r="H811" s="111"/>
      <c r="I811" s="113"/>
      <c r="J811" s="113"/>
      <c r="K811" s="113"/>
      <c r="L811" s="113"/>
      <c r="M811" s="113"/>
      <c r="N811" s="113"/>
      <c r="O811" s="113"/>
      <c r="P811" s="113"/>
      <c r="Q811" s="113"/>
      <c r="R811" s="113"/>
      <c r="S811" s="113"/>
      <c r="T811" s="113"/>
      <c r="U811" s="113"/>
      <c r="V811" s="113"/>
      <c r="W811" s="113"/>
      <c r="X811" s="113"/>
      <c r="Y811" s="113"/>
      <c r="Z811" s="113"/>
      <c r="AA811" s="113"/>
      <c r="AB811" s="113"/>
      <c r="AC811" s="113"/>
      <c r="AD811" s="113"/>
      <c r="AE811" s="113"/>
      <c r="AF811" s="113"/>
      <c r="AG811" s="113"/>
    </row>
    <row r="812" spans="1:33" ht="13.8">
      <c r="A812" s="113"/>
      <c r="B812" s="113"/>
      <c r="C812" s="113"/>
      <c r="D812" s="111"/>
      <c r="E812" s="113"/>
      <c r="F812" s="111"/>
      <c r="G812" s="113"/>
      <c r="H812" s="111"/>
      <c r="I812" s="113"/>
      <c r="J812" s="113"/>
      <c r="K812" s="113"/>
      <c r="L812" s="113"/>
      <c r="M812" s="113"/>
      <c r="N812" s="113"/>
      <c r="O812" s="113"/>
      <c r="P812" s="113"/>
      <c r="Q812" s="113"/>
      <c r="R812" s="113"/>
      <c r="S812" s="113"/>
      <c r="T812" s="113"/>
      <c r="U812" s="113"/>
      <c r="V812" s="113"/>
      <c r="W812" s="113"/>
      <c r="X812" s="113"/>
      <c r="Y812" s="113"/>
      <c r="Z812" s="113"/>
      <c r="AA812" s="113"/>
      <c r="AB812" s="113"/>
      <c r="AC812" s="113"/>
      <c r="AD812" s="113"/>
      <c r="AE812" s="113"/>
      <c r="AF812" s="113"/>
      <c r="AG812" s="113"/>
    </row>
    <row r="813" spans="1:33" ht="13.8">
      <c r="A813" s="113"/>
      <c r="B813" s="113"/>
      <c r="C813" s="113"/>
      <c r="D813" s="111"/>
      <c r="E813" s="113"/>
      <c r="F813" s="111"/>
      <c r="G813" s="113"/>
      <c r="H813" s="111"/>
      <c r="I813" s="113"/>
      <c r="J813" s="113"/>
      <c r="K813" s="113"/>
      <c r="L813" s="113"/>
      <c r="M813" s="113"/>
      <c r="N813" s="113"/>
      <c r="O813" s="113"/>
      <c r="P813" s="113"/>
      <c r="Q813" s="113"/>
      <c r="R813" s="113"/>
      <c r="S813" s="113"/>
      <c r="T813" s="113"/>
      <c r="U813" s="113"/>
      <c r="V813" s="113"/>
      <c r="W813" s="113"/>
      <c r="X813" s="113"/>
      <c r="Y813" s="113"/>
      <c r="Z813" s="113"/>
      <c r="AA813" s="113"/>
      <c r="AB813" s="113"/>
      <c r="AC813" s="113"/>
      <c r="AD813" s="113"/>
      <c r="AE813" s="113"/>
      <c r="AF813" s="113"/>
      <c r="AG813" s="113"/>
    </row>
    <row r="814" spans="1:33" ht="13.8">
      <c r="A814" s="113"/>
      <c r="B814" s="113"/>
      <c r="C814" s="113"/>
      <c r="D814" s="111"/>
      <c r="E814" s="113"/>
      <c r="F814" s="111"/>
      <c r="G814" s="113"/>
      <c r="H814" s="111"/>
      <c r="I814" s="113"/>
      <c r="J814" s="113"/>
      <c r="K814" s="113"/>
      <c r="L814" s="113"/>
      <c r="M814" s="113"/>
      <c r="N814" s="113"/>
      <c r="O814" s="113"/>
      <c r="P814" s="113"/>
      <c r="Q814" s="113"/>
      <c r="R814" s="113"/>
      <c r="S814" s="113"/>
      <c r="T814" s="113"/>
      <c r="U814" s="113"/>
      <c r="V814" s="113"/>
      <c r="W814" s="113"/>
      <c r="X814" s="113"/>
      <c r="Y814" s="113"/>
      <c r="Z814" s="113"/>
      <c r="AA814" s="113"/>
      <c r="AB814" s="113"/>
      <c r="AC814" s="113"/>
      <c r="AD814" s="113"/>
      <c r="AE814" s="113"/>
      <c r="AF814" s="113"/>
      <c r="AG814" s="113"/>
    </row>
    <row r="815" spans="1:33" ht="13.8">
      <c r="A815" s="113"/>
      <c r="B815" s="113"/>
      <c r="C815" s="113"/>
      <c r="D815" s="111"/>
      <c r="E815" s="113"/>
      <c r="F815" s="111"/>
      <c r="G815" s="113"/>
      <c r="H815" s="111"/>
      <c r="I815" s="113"/>
      <c r="J815" s="113"/>
      <c r="K815" s="113"/>
      <c r="L815" s="113"/>
      <c r="M815" s="113"/>
      <c r="N815" s="113"/>
      <c r="O815" s="113"/>
      <c r="P815" s="113"/>
      <c r="Q815" s="113"/>
      <c r="R815" s="113"/>
      <c r="S815" s="113"/>
      <c r="T815" s="113"/>
      <c r="U815" s="113"/>
      <c r="V815" s="113"/>
      <c r="W815" s="113"/>
      <c r="X815" s="113"/>
      <c r="Y815" s="113"/>
      <c r="Z815" s="113"/>
      <c r="AA815" s="113"/>
      <c r="AB815" s="113"/>
      <c r="AC815" s="113"/>
      <c r="AD815" s="113"/>
      <c r="AE815" s="113"/>
      <c r="AF815" s="113"/>
      <c r="AG815" s="113"/>
    </row>
    <row r="816" spans="1:33" ht="13.8">
      <c r="A816" s="113"/>
      <c r="B816" s="113"/>
      <c r="C816" s="113"/>
      <c r="D816" s="111"/>
      <c r="E816" s="113"/>
      <c r="F816" s="111"/>
      <c r="G816" s="113"/>
      <c r="H816" s="111"/>
      <c r="I816" s="113"/>
      <c r="J816" s="113"/>
      <c r="K816" s="113"/>
      <c r="L816" s="113"/>
      <c r="M816" s="113"/>
      <c r="N816" s="113"/>
      <c r="O816" s="113"/>
      <c r="P816" s="113"/>
      <c r="Q816" s="113"/>
      <c r="R816" s="113"/>
      <c r="S816" s="113"/>
      <c r="T816" s="113"/>
      <c r="U816" s="113"/>
      <c r="V816" s="113"/>
      <c r="W816" s="113"/>
      <c r="X816" s="113"/>
      <c r="Y816" s="113"/>
      <c r="Z816" s="113"/>
      <c r="AA816" s="113"/>
      <c r="AB816" s="113"/>
      <c r="AC816" s="113"/>
      <c r="AD816" s="113"/>
      <c r="AE816" s="113"/>
      <c r="AF816" s="113"/>
      <c r="AG816" s="113"/>
    </row>
    <row r="817" spans="1:33" ht="13.8">
      <c r="A817" s="113"/>
      <c r="B817" s="113"/>
      <c r="C817" s="113"/>
      <c r="D817" s="111"/>
      <c r="E817" s="113"/>
      <c r="F817" s="111"/>
      <c r="G817" s="113"/>
      <c r="H817" s="111"/>
      <c r="I817" s="113"/>
      <c r="J817" s="113"/>
      <c r="K817" s="113"/>
      <c r="L817" s="113"/>
      <c r="M817" s="113"/>
      <c r="N817" s="113"/>
      <c r="O817" s="113"/>
      <c r="P817" s="113"/>
      <c r="Q817" s="113"/>
      <c r="R817" s="113"/>
      <c r="S817" s="113"/>
      <c r="T817" s="113"/>
      <c r="U817" s="113"/>
      <c r="V817" s="113"/>
      <c r="W817" s="113"/>
      <c r="X817" s="113"/>
      <c r="Y817" s="113"/>
      <c r="Z817" s="113"/>
      <c r="AA817" s="113"/>
      <c r="AB817" s="113"/>
      <c r="AC817" s="113"/>
      <c r="AD817" s="113"/>
      <c r="AE817" s="113"/>
      <c r="AF817" s="113"/>
      <c r="AG817" s="113"/>
    </row>
    <row r="818" spans="1:33" ht="13.8">
      <c r="A818" s="113"/>
      <c r="B818" s="113"/>
      <c r="C818" s="113"/>
      <c r="D818" s="111"/>
      <c r="E818" s="113"/>
      <c r="F818" s="111"/>
      <c r="G818" s="113"/>
      <c r="H818" s="111"/>
      <c r="I818" s="113"/>
      <c r="J818" s="113"/>
      <c r="K818" s="113"/>
      <c r="L818" s="113"/>
      <c r="M818" s="113"/>
      <c r="N818" s="113"/>
      <c r="O818" s="113"/>
      <c r="P818" s="113"/>
      <c r="Q818" s="113"/>
      <c r="R818" s="113"/>
      <c r="S818" s="113"/>
      <c r="T818" s="113"/>
      <c r="U818" s="113"/>
      <c r="V818" s="113"/>
      <c r="W818" s="113"/>
      <c r="X818" s="113"/>
      <c r="Y818" s="113"/>
      <c r="Z818" s="113"/>
      <c r="AA818" s="113"/>
      <c r="AB818" s="113"/>
      <c r="AC818" s="113"/>
      <c r="AD818" s="113"/>
      <c r="AE818" s="113"/>
      <c r="AF818" s="113"/>
      <c r="AG818" s="113"/>
    </row>
    <row r="819" spans="1:33" ht="13.8">
      <c r="A819" s="113"/>
      <c r="B819" s="113"/>
      <c r="C819" s="113"/>
      <c r="D819" s="111"/>
      <c r="E819" s="113"/>
      <c r="F819" s="111"/>
      <c r="G819" s="113"/>
      <c r="H819" s="111"/>
      <c r="I819" s="113"/>
      <c r="J819" s="113"/>
      <c r="K819" s="113"/>
      <c r="L819" s="113"/>
      <c r="M819" s="113"/>
      <c r="N819" s="113"/>
      <c r="O819" s="113"/>
      <c r="P819" s="113"/>
      <c r="Q819" s="113"/>
      <c r="R819" s="113"/>
      <c r="S819" s="113"/>
      <c r="T819" s="113"/>
      <c r="U819" s="113"/>
      <c r="V819" s="113"/>
      <c r="W819" s="113"/>
      <c r="X819" s="113"/>
      <c r="Y819" s="113"/>
      <c r="Z819" s="113"/>
      <c r="AA819" s="113"/>
      <c r="AB819" s="113"/>
      <c r="AC819" s="113"/>
      <c r="AD819" s="113"/>
      <c r="AE819" s="113"/>
      <c r="AF819" s="113"/>
      <c r="AG819" s="113"/>
    </row>
    <row r="820" spans="1:33" ht="13.8">
      <c r="A820" s="113"/>
      <c r="B820" s="113"/>
      <c r="C820" s="113"/>
      <c r="D820" s="111"/>
      <c r="E820" s="113"/>
      <c r="F820" s="111"/>
      <c r="G820" s="113"/>
      <c r="H820" s="111"/>
      <c r="I820" s="113"/>
      <c r="J820" s="113"/>
      <c r="K820" s="113"/>
      <c r="L820" s="113"/>
      <c r="M820" s="113"/>
      <c r="N820" s="113"/>
      <c r="O820" s="113"/>
      <c r="P820" s="113"/>
      <c r="Q820" s="113"/>
      <c r="R820" s="113"/>
      <c r="S820" s="113"/>
      <c r="T820" s="113"/>
      <c r="U820" s="113"/>
      <c r="V820" s="113"/>
      <c r="W820" s="113"/>
      <c r="X820" s="113"/>
      <c r="Y820" s="113"/>
      <c r="Z820" s="113"/>
      <c r="AA820" s="113"/>
      <c r="AB820" s="113"/>
      <c r="AC820" s="113"/>
      <c r="AD820" s="113"/>
      <c r="AE820" s="113"/>
      <c r="AF820" s="113"/>
      <c r="AG820" s="113"/>
    </row>
    <row r="821" spans="1:33" ht="13.8">
      <c r="A821" s="113"/>
      <c r="B821" s="113"/>
      <c r="C821" s="113"/>
      <c r="D821" s="111"/>
      <c r="E821" s="113"/>
      <c r="F821" s="111"/>
      <c r="G821" s="113"/>
      <c r="H821" s="111"/>
      <c r="I821" s="113"/>
      <c r="J821" s="113"/>
      <c r="K821" s="113"/>
      <c r="L821" s="113"/>
      <c r="M821" s="113"/>
      <c r="N821" s="113"/>
      <c r="O821" s="113"/>
      <c r="P821" s="113"/>
      <c r="Q821" s="113"/>
      <c r="R821" s="113"/>
      <c r="S821" s="113"/>
      <c r="T821" s="113"/>
      <c r="U821" s="113"/>
      <c r="V821" s="113"/>
      <c r="W821" s="113"/>
      <c r="X821" s="113"/>
      <c r="Y821" s="113"/>
      <c r="Z821" s="113"/>
      <c r="AA821" s="113"/>
      <c r="AB821" s="113"/>
      <c r="AC821" s="113"/>
      <c r="AD821" s="113"/>
      <c r="AE821" s="113"/>
      <c r="AF821" s="113"/>
      <c r="AG821" s="113"/>
    </row>
    <row r="822" spans="1:33" ht="13.8">
      <c r="A822" s="113"/>
      <c r="B822" s="113"/>
      <c r="C822" s="113"/>
      <c r="D822" s="111"/>
      <c r="E822" s="113"/>
      <c r="F822" s="111"/>
      <c r="G822" s="113"/>
      <c r="H822" s="111"/>
      <c r="I822" s="113"/>
      <c r="J822" s="113"/>
      <c r="K822" s="113"/>
      <c r="L822" s="113"/>
      <c r="M822" s="113"/>
      <c r="N822" s="113"/>
      <c r="O822" s="113"/>
      <c r="P822" s="113"/>
      <c r="Q822" s="113"/>
      <c r="R822" s="113"/>
      <c r="S822" s="113"/>
      <c r="T822" s="113"/>
      <c r="U822" s="113"/>
      <c r="V822" s="113"/>
      <c r="W822" s="113"/>
      <c r="X822" s="113"/>
      <c r="Y822" s="113"/>
      <c r="Z822" s="113"/>
      <c r="AA822" s="113"/>
      <c r="AB822" s="113"/>
      <c r="AC822" s="113"/>
      <c r="AD822" s="113"/>
      <c r="AE822" s="113"/>
      <c r="AF822" s="113"/>
      <c r="AG822" s="113"/>
    </row>
    <row r="823" spans="1:33" ht="13.8">
      <c r="A823" s="113"/>
      <c r="B823" s="113"/>
      <c r="C823" s="113"/>
      <c r="D823" s="111"/>
      <c r="E823" s="113"/>
      <c r="F823" s="111"/>
      <c r="G823" s="113"/>
      <c r="H823" s="111"/>
      <c r="I823" s="113"/>
      <c r="J823" s="113"/>
      <c r="K823" s="113"/>
      <c r="L823" s="113"/>
      <c r="M823" s="113"/>
      <c r="N823" s="113"/>
      <c r="O823" s="113"/>
      <c r="P823" s="113"/>
      <c r="Q823" s="113"/>
      <c r="R823" s="113"/>
      <c r="S823" s="113"/>
      <c r="T823" s="113"/>
      <c r="U823" s="113"/>
      <c r="V823" s="113"/>
      <c r="W823" s="113"/>
      <c r="X823" s="113"/>
      <c r="Y823" s="113"/>
      <c r="Z823" s="113"/>
      <c r="AA823" s="113"/>
      <c r="AB823" s="113"/>
      <c r="AC823" s="113"/>
      <c r="AD823" s="113"/>
      <c r="AE823" s="113"/>
      <c r="AF823" s="113"/>
      <c r="AG823" s="113"/>
    </row>
    <row r="824" spans="1:33" ht="13.8">
      <c r="A824" s="113"/>
      <c r="B824" s="113"/>
      <c r="C824" s="113"/>
      <c r="D824" s="111"/>
      <c r="E824" s="113"/>
      <c r="F824" s="111"/>
      <c r="G824" s="113"/>
      <c r="H824" s="111"/>
      <c r="I824" s="113"/>
      <c r="J824" s="113"/>
      <c r="K824" s="113"/>
      <c r="L824" s="113"/>
      <c r="M824" s="113"/>
      <c r="N824" s="113"/>
      <c r="O824" s="113"/>
      <c r="P824" s="113"/>
      <c r="Q824" s="113"/>
      <c r="R824" s="113"/>
      <c r="S824" s="113"/>
      <c r="T824" s="113"/>
      <c r="U824" s="113"/>
      <c r="V824" s="113"/>
      <c r="W824" s="113"/>
      <c r="X824" s="113"/>
      <c r="Y824" s="113"/>
      <c r="Z824" s="113"/>
      <c r="AA824" s="113"/>
      <c r="AB824" s="113"/>
      <c r="AC824" s="113"/>
      <c r="AD824" s="113"/>
      <c r="AE824" s="113"/>
      <c r="AF824" s="113"/>
      <c r="AG824" s="113"/>
    </row>
    <row r="825" spans="1:33" ht="13.8">
      <c r="A825" s="113"/>
      <c r="B825" s="113"/>
      <c r="C825" s="113"/>
      <c r="D825" s="111"/>
      <c r="E825" s="113"/>
      <c r="F825" s="111"/>
      <c r="G825" s="113"/>
      <c r="H825" s="111"/>
      <c r="I825" s="113"/>
      <c r="J825" s="113"/>
      <c r="K825" s="113"/>
      <c r="L825" s="113"/>
      <c r="M825" s="113"/>
      <c r="N825" s="113"/>
      <c r="O825" s="113"/>
      <c r="P825" s="113"/>
      <c r="Q825" s="113"/>
      <c r="R825" s="113"/>
      <c r="S825" s="113"/>
      <c r="T825" s="113"/>
      <c r="U825" s="113"/>
      <c r="V825" s="113"/>
      <c r="W825" s="113"/>
      <c r="X825" s="113"/>
      <c r="Y825" s="113"/>
      <c r="Z825" s="113"/>
      <c r="AA825" s="113"/>
      <c r="AB825" s="113"/>
      <c r="AC825" s="113"/>
      <c r="AD825" s="113"/>
      <c r="AE825" s="113"/>
      <c r="AF825" s="113"/>
      <c r="AG825" s="113"/>
    </row>
    <row r="826" spans="1:33" ht="13.8">
      <c r="A826" s="113"/>
      <c r="B826" s="113"/>
      <c r="C826" s="113"/>
      <c r="D826" s="111"/>
      <c r="E826" s="113"/>
      <c r="F826" s="111"/>
      <c r="G826" s="113"/>
      <c r="H826" s="111"/>
      <c r="I826" s="113"/>
      <c r="J826" s="113"/>
      <c r="K826" s="113"/>
      <c r="L826" s="113"/>
      <c r="M826" s="113"/>
      <c r="N826" s="113"/>
      <c r="O826" s="113"/>
      <c r="P826" s="113"/>
      <c r="Q826" s="113"/>
      <c r="R826" s="113"/>
      <c r="S826" s="113"/>
      <c r="T826" s="113"/>
      <c r="U826" s="113"/>
      <c r="V826" s="113"/>
      <c r="W826" s="113"/>
      <c r="X826" s="113"/>
      <c r="Y826" s="113"/>
      <c r="Z826" s="113"/>
      <c r="AA826" s="113"/>
      <c r="AB826" s="113"/>
      <c r="AC826" s="113"/>
      <c r="AD826" s="113"/>
      <c r="AE826" s="113"/>
      <c r="AF826" s="113"/>
      <c r="AG826" s="113"/>
    </row>
    <row r="827" spans="1:33" ht="13.8">
      <c r="A827" s="113"/>
      <c r="B827" s="113"/>
      <c r="C827" s="113"/>
      <c r="D827" s="111"/>
      <c r="E827" s="113"/>
      <c r="F827" s="111"/>
      <c r="G827" s="113"/>
      <c r="H827" s="111"/>
      <c r="I827" s="113"/>
      <c r="J827" s="113"/>
      <c r="K827" s="113"/>
      <c r="L827" s="113"/>
      <c r="M827" s="113"/>
      <c r="N827" s="113"/>
      <c r="O827" s="113"/>
      <c r="P827" s="113"/>
      <c r="Q827" s="113"/>
      <c r="R827" s="113"/>
      <c r="S827" s="113"/>
      <c r="T827" s="113"/>
      <c r="U827" s="113"/>
      <c r="V827" s="113"/>
      <c r="W827" s="113"/>
      <c r="X827" s="113"/>
      <c r="Y827" s="113"/>
      <c r="Z827" s="113"/>
      <c r="AA827" s="113"/>
      <c r="AB827" s="113"/>
      <c r="AC827" s="113"/>
      <c r="AD827" s="113"/>
      <c r="AE827" s="113"/>
      <c r="AF827" s="113"/>
      <c r="AG827" s="113"/>
    </row>
    <row r="828" spans="1:33" ht="13.8">
      <c r="A828" s="113"/>
      <c r="B828" s="113"/>
      <c r="C828" s="113"/>
      <c r="D828" s="111"/>
      <c r="E828" s="113"/>
      <c r="F828" s="111"/>
      <c r="G828" s="113"/>
      <c r="H828" s="111"/>
      <c r="I828" s="113"/>
      <c r="J828" s="113"/>
      <c r="K828" s="113"/>
      <c r="L828" s="113"/>
      <c r="M828" s="113"/>
      <c r="N828" s="113"/>
      <c r="O828" s="113"/>
      <c r="P828" s="113"/>
      <c r="Q828" s="113"/>
      <c r="R828" s="113"/>
      <c r="S828" s="113"/>
      <c r="T828" s="113"/>
      <c r="U828" s="113"/>
      <c r="V828" s="113"/>
      <c r="W828" s="113"/>
      <c r="X828" s="113"/>
      <c r="Y828" s="113"/>
      <c r="Z828" s="113"/>
      <c r="AA828" s="113"/>
      <c r="AB828" s="113"/>
      <c r="AC828" s="113"/>
      <c r="AD828" s="113"/>
      <c r="AE828" s="113"/>
      <c r="AF828" s="113"/>
      <c r="AG828" s="113"/>
    </row>
    <row r="829" spans="1:33" ht="13.8">
      <c r="A829" s="113"/>
      <c r="B829" s="113"/>
      <c r="C829" s="113"/>
      <c r="D829" s="111"/>
      <c r="E829" s="113"/>
      <c r="F829" s="111"/>
      <c r="G829" s="113"/>
      <c r="H829" s="111"/>
      <c r="I829" s="113"/>
      <c r="J829" s="113"/>
      <c r="K829" s="113"/>
      <c r="L829" s="113"/>
      <c r="M829" s="113"/>
      <c r="N829" s="113"/>
      <c r="O829" s="113"/>
      <c r="P829" s="113"/>
      <c r="Q829" s="113"/>
      <c r="R829" s="113"/>
      <c r="S829" s="113"/>
      <c r="T829" s="113"/>
      <c r="U829" s="113"/>
      <c r="V829" s="113"/>
      <c r="W829" s="113"/>
      <c r="X829" s="113"/>
      <c r="Y829" s="113"/>
      <c r="Z829" s="113"/>
      <c r="AA829" s="113"/>
      <c r="AB829" s="113"/>
      <c r="AC829" s="113"/>
      <c r="AD829" s="113"/>
      <c r="AE829" s="113"/>
      <c r="AF829" s="113"/>
      <c r="AG829" s="113"/>
    </row>
    <row r="830" spans="1:33" ht="13.8">
      <c r="A830" s="113"/>
      <c r="B830" s="113"/>
      <c r="C830" s="113"/>
      <c r="D830" s="111"/>
      <c r="E830" s="113"/>
      <c r="F830" s="111"/>
      <c r="G830" s="113"/>
      <c r="H830" s="111"/>
      <c r="I830" s="113"/>
      <c r="J830" s="113"/>
      <c r="K830" s="113"/>
      <c r="L830" s="113"/>
      <c r="M830" s="113"/>
      <c r="N830" s="113"/>
      <c r="O830" s="113"/>
      <c r="P830" s="113"/>
      <c r="Q830" s="113"/>
      <c r="R830" s="113"/>
      <c r="S830" s="113"/>
      <c r="T830" s="113"/>
      <c r="U830" s="113"/>
      <c r="V830" s="113"/>
      <c r="W830" s="113"/>
      <c r="X830" s="113"/>
      <c r="Y830" s="113"/>
      <c r="Z830" s="113"/>
      <c r="AA830" s="113"/>
      <c r="AB830" s="113"/>
      <c r="AC830" s="113"/>
      <c r="AD830" s="113"/>
      <c r="AE830" s="113"/>
      <c r="AF830" s="113"/>
      <c r="AG830" s="113"/>
    </row>
    <row r="831" spans="1:33" ht="13.8">
      <c r="A831" s="113"/>
      <c r="B831" s="113"/>
      <c r="C831" s="113"/>
      <c r="D831" s="111"/>
      <c r="E831" s="113"/>
      <c r="F831" s="111"/>
      <c r="G831" s="113"/>
      <c r="H831" s="111"/>
      <c r="I831" s="113"/>
      <c r="J831" s="113"/>
      <c r="K831" s="113"/>
      <c r="L831" s="113"/>
      <c r="M831" s="113"/>
      <c r="N831" s="113"/>
      <c r="O831" s="113"/>
      <c r="P831" s="113"/>
      <c r="Q831" s="113"/>
      <c r="R831" s="113"/>
      <c r="S831" s="113"/>
      <c r="T831" s="113"/>
      <c r="U831" s="113"/>
      <c r="V831" s="113"/>
      <c r="W831" s="113"/>
      <c r="X831" s="113"/>
      <c r="Y831" s="113"/>
      <c r="Z831" s="113"/>
      <c r="AA831" s="113"/>
      <c r="AB831" s="113"/>
      <c r="AC831" s="113"/>
      <c r="AD831" s="113"/>
      <c r="AE831" s="113"/>
      <c r="AF831" s="113"/>
      <c r="AG831" s="113"/>
    </row>
    <row r="832" spans="1:33" ht="13.8">
      <c r="A832" s="113"/>
      <c r="B832" s="113"/>
      <c r="C832" s="113"/>
      <c r="D832" s="111"/>
      <c r="E832" s="113"/>
      <c r="F832" s="111"/>
      <c r="G832" s="113"/>
      <c r="H832" s="111"/>
      <c r="I832" s="113"/>
      <c r="J832" s="113"/>
      <c r="K832" s="113"/>
      <c r="L832" s="113"/>
      <c r="M832" s="113"/>
      <c r="N832" s="113"/>
      <c r="O832" s="113"/>
      <c r="P832" s="113"/>
      <c r="Q832" s="113"/>
      <c r="R832" s="113"/>
      <c r="S832" s="113"/>
      <c r="T832" s="113"/>
      <c r="U832" s="113"/>
      <c r="V832" s="113"/>
      <c r="W832" s="113"/>
      <c r="X832" s="113"/>
      <c r="Y832" s="113"/>
      <c r="Z832" s="113"/>
      <c r="AA832" s="113"/>
      <c r="AB832" s="113"/>
      <c r="AC832" s="113"/>
      <c r="AD832" s="113"/>
      <c r="AE832" s="113"/>
      <c r="AF832" s="113"/>
      <c r="AG832" s="113"/>
    </row>
    <row r="833" spans="1:33" ht="13.8">
      <c r="A833" s="113"/>
      <c r="B833" s="113"/>
      <c r="C833" s="113"/>
      <c r="D833" s="111"/>
      <c r="E833" s="113"/>
      <c r="F833" s="111"/>
      <c r="G833" s="113"/>
      <c r="H833" s="111"/>
      <c r="I833" s="113"/>
      <c r="J833" s="113"/>
      <c r="K833" s="113"/>
      <c r="L833" s="113"/>
      <c r="M833" s="113"/>
      <c r="N833" s="113"/>
      <c r="O833" s="113"/>
      <c r="P833" s="113"/>
      <c r="Q833" s="113"/>
      <c r="R833" s="113"/>
      <c r="S833" s="113"/>
      <c r="T833" s="113"/>
      <c r="U833" s="113"/>
      <c r="V833" s="113"/>
      <c r="W833" s="113"/>
      <c r="X833" s="113"/>
      <c r="Y833" s="113"/>
      <c r="Z833" s="113"/>
      <c r="AA833" s="113"/>
      <c r="AB833" s="113"/>
      <c r="AC833" s="113"/>
      <c r="AD833" s="113"/>
      <c r="AE833" s="113"/>
      <c r="AF833" s="113"/>
      <c r="AG833" s="113"/>
    </row>
    <row r="834" spans="1:33" ht="13.8">
      <c r="A834" s="113"/>
      <c r="B834" s="113"/>
      <c r="C834" s="113"/>
      <c r="D834" s="111"/>
      <c r="E834" s="113"/>
      <c r="F834" s="111"/>
      <c r="G834" s="113"/>
      <c r="H834" s="111"/>
      <c r="I834" s="113"/>
      <c r="J834" s="113"/>
      <c r="K834" s="113"/>
      <c r="L834" s="113"/>
      <c r="M834" s="113"/>
      <c r="N834" s="113"/>
      <c r="O834" s="113"/>
      <c r="P834" s="113"/>
      <c r="Q834" s="113"/>
      <c r="R834" s="113"/>
      <c r="S834" s="113"/>
      <c r="T834" s="113"/>
      <c r="U834" s="113"/>
      <c r="V834" s="113"/>
      <c r="W834" s="113"/>
      <c r="X834" s="113"/>
      <c r="Y834" s="113"/>
      <c r="Z834" s="113"/>
      <c r="AA834" s="113"/>
      <c r="AB834" s="113"/>
      <c r="AC834" s="113"/>
      <c r="AD834" s="113"/>
      <c r="AE834" s="113"/>
      <c r="AF834" s="113"/>
      <c r="AG834" s="113"/>
    </row>
    <row r="835" spans="1:33" ht="13.8">
      <c r="A835" s="113"/>
      <c r="B835" s="113"/>
      <c r="C835" s="113"/>
      <c r="D835" s="111"/>
      <c r="E835" s="113"/>
      <c r="F835" s="111"/>
      <c r="G835" s="113"/>
      <c r="H835" s="111"/>
      <c r="I835" s="113"/>
      <c r="J835" s="113"/>
      <c r="K835" s="113"/>
      <c r="L835" s="113"/>
      <c r="M835" s="113"/>
      <c r="N835" s="113"/>
      <c r="O835" s="113"/>
      <c r="P835" s="113"/>
      <c r="Q835" s="113"/>
      <c r="R835" s="113"/>
      <c r="S835" s="113"/>
      <c r="T835" s="113"/>
      <c r="U835" s="113"/>
      <c r="V835" s="113"/>
      <c r="W835" s="113"/>
      <c r="X835" s="113"/>
      <c r="Y835" s="113"/>
      <c r="Z835" s="113"/>
      <c r="AA835" s="113"/>
      <c r="AB835" s="113"/>
      <c r="AC835" s="113"/>
      <c r="AD835" s="113"/>
      <c r="AE835" s="113"/>
      <c r="AF835" s="113"/>
      <c r="AG835" s="113"/>
    </row>
    <row r="836" spans="1:33" ht="13.8">
      <c r="A836" s="113"/>
      <c r="B836" s="113"/>
      <c r="C836" s="113"/>
      <c r="D836" s="111"/>
      <c r="E836" s="113"/>
      <c r="F836" s="111"/>
      <c r="G836" s="113"/>
      <c r="H836" s="111"/>
      <c r="I836" s="113"/>
      <c r="J836" s="113"/>
      <c r="K836" s="113"/>
      <c r="L836" s="113"/>
      <c r="M836" s="113"/>
      <c r="N836" s="113"/>
      <c r="O836" s="113"/>
      <c r="P836" s="113"/>
      <c r="Q836" s="113"/>
      <c r="R836" s="113"/>
      <c r="S836" s="113"/>
      <c r="T836" s="113"/>
      <c r="U836" s="113"/>
      <c r="V836" s="113"/>
      <c r="W836" s="113"/>
      <c r="X836" s="113"/>
      <c r="Y836" s="113"/>
      <c r="Z836" s="113"/>
      <c r="AA836" s="113"/>
      <c r="AB836" s="113"/>
      <c r="AC836" s="113"/>
      <c r="AD836" s="113"/>
      <c r="AE836" s="113"/>
      <c r="AF836" s="113"/>
      <c r="AG836" s="113"/>
    </row>
    <row r="837" spans="1:33" ht="13.8">
      <c r="A837" s="113"/>
      <c r="B837" s="113"/>
      <c r="C837" s="113"/>
      <c r="D837" s="111"/>
      <c r="E837" s="113"/>
      <c r="F837" s="111"/>
      <c r="G837" s="113"/>
      <c r="H837" s="111"/>
      <c r="I837" s="113"/>
      <c r="J837" s="113"/>
      <c r="K837" s="113"/>
      <c r="L837" s="113"/>
      <c r="M837" s="113"/>
      <c r="N837" s="113"/>
      <c r="O837" s="113"/>
      <c r="P837" s="113"/>
      <c r="Q837" s="113"/>
      <c r="R837" s="113"/>
      <c r="S837" s="113"/>
      <c r="T837" s="113"/>
      <c r="U837" s="113"/>
      <c r="V837" s="113"/>
      <c r="W837" s="113"/>
      <c r="X837" s="113"/>
      <c r="Y837" s="113"/>
      <c r="Z837" s="113"/>
      <c r="AA837" s="113"/>
      <c r="AB837" s="113"/>
      <c r="AC837" s="113"/>
      <c r="AD837" s="113"/>
      <c r="AE837" s="113"/>
      <c r="AF837" s="113"/>
      <c r="AG837" s="113"/>
    </row>
    <row r="838" spans="1:33" ht="13.8">
      <c r="A838" s="113"/>
      <c r="B838" s="113"/>
      <c r="C838" s="113"/>
      <c r="D838" s="111"/>
      <c r="E838" s="113"/>
      <c r="F838" s="111"/>
      <c r="G838" s="113"/>
      <c r="H838" s="111"/>
      <c r="I838" s="113"/>
      <c r="J838" s="113"/>
      <c r="K838" s="113"/>
      <c r="L838" s="113"/>
      <c r="M838" s="113"/>
      <c r="N838" s="113"/>
      <c r="O838" s="113"/>
      <c r="P838" s="113"/>
      <c r="Q838" s="113"/>
      <c r="R838" s="113"/>
      <c r="S838" s="113"/>
      <c r="T838" s="113"/>
      <c r="U838" s="113"/>
      <c r="V838" s="113"/>
      <c r="W838" s="113"/>
      <c r="X838" s="113"/>
      <c r="Y838" s="113"/>
      <c r="Z838" s="113"/>
      <c r="AA838" s="113"/>
      <c r="AB838" s="113"/>
      <c r="AC838" s="113"/>
      <c r="AD838" s="113"/>
      <c r="AE838" s="113"/>
      <c r="AF838" s="113"/>
      <c r="AG838" s="113"/>
    </row>
    <row r="839" spans="1:33" ht="13.8">
      <c r="A839" s="113"/>
      <c r="B839" s="113"/>
      <c r="C839" s="113"/>
      <c r="D839" s="111"/>
      <c r="E839" s="113"/>
      <c r="F839" s="111"/>
      <c r="G839" s="113"/>
      <c r="H839" s="111"/>
      <c r="I839" s="113"/>
      <c r="J839" s="113"/>
      <c r="K839" s="113"/>
      <c r="L839" s="113"/>
      <c r="M839" s="113"/>
      <c r="N839" s="113"/>
      <c r="O839" s="113"/>
      <c r="P839" s="113"/>
      <c r="Q839" s="113"/>
      <c r="R839" s="113"/>
      <c r="S839" s="113"/>
      <c r="T839" s="113"/>
      <c r="U839" s="113"/>
      <c r="V839" s="113"/>
      <c r="W839" s="113"/>
      <c r="X839" s="113"/>
      <c r="Y839" s="113"/>
      <c r="Z839" s="113"/>
      <c r="AA839" s="113"/>
      <c r="AB839" s="113"/>
      <c r="AC839" s="113"/>
      <c r="AD839" s="113"/>
      <c r="AE839" s="113"/>
      <c r="AF839" s="113"/>
      <c r="AG839" s="113"/>
    </row>
    <row r="840" spans="1:33" ht="13.8">
      <c r="A840" s="113"/>
      <c r="B840" s="113"/>
      <c r="C840" s="113"/>
      <c r="D840" s="111"/>
      <c r="E840" s="113"/>
      <c r="F840" s="111"/>
      <c r="G840" s="113"/>
      <c r="H840" s="111"/>
      <c r="I840" s="113"/>
      <c r="J840" s="113"/>
      <c r="K840" s="113"/>
      <c r="L840" s="113"/>
      <c r="M840" s="113"/>
      <c r="N840" s="113"/>
      <c r="O840" s="113"/>
      <c r="P840" s="113"/>
      <c r="Q840" s="113"/>
      <c r="R840" s="113"/>
      <c r="S840" s="113"/>
      <c r="T840" s="113"/>
      <c r="U840" s="113"/>
      <c r="V840" s="113"/>
      <c r="W840" s="113"/>
      <c r="X840" s="113"/>
      <c r="Y840" s="113"/>
      <c r="Z840" s="113"/>
      <c r="AA840" s="113"/>
      <c r="AB840" s="113"/>
      <c r="AC840" s="113"/>
      <c r="AD840" s="113"/>
      <c r="AE840" s="113"/>
      <c r="AF840" s="113"/>
      <c r="AG840" s="113"/>
    </row>
    <row r="841" spans="1:33" ht="13.8">
      <c r="A841" s="113"/>
      <c r="B841" s="113"/>
      <c r="C841" s="113"/>
      <c r="D841" s="111"/>
      <c r="E841" s="113"/>
      <c r="F841" s="111"/>
      <c r="G841" s="113"/>
      <c r="H841" s="111"/>
      <c r="I841" s="113"/>
      <c r="J841" s="113"/>
      <c r="K841" s="113"/>
      <c r="L841" s="113"/>
      <c r="M841" s="113"/>
      <c r="N841" s="113"/>
      <c r="O841" s="113"/>
      <c r="P841" s="113"/>
      <c r="Q841" s="113"/>
      <c r="R841" s="113"/>
      <c r="S841" s="113"/>
      <c r="T841" s="113"/>
      <c r="U841" s="113"/>
      <c r="V841" s="113"/>
      <c r="W841" s="113"/>
      <c r="X841" s="113"/>
      <c r="Y841" s="113"/>
      <c r="Z841" s="113"/>
      <c r="AA841" s="113"/>
      <c r="AB841" s="113"/>
      <c r="AC841" s="113"/>
      <c r="AD841" s="113"/>
      <c r="AE841" s="113"/>
      <c r="AF841" s="113"/>
      <c r="AG841" s="113"/>
    </row>
    <row r="842" spans="1:33" ht="13.8">
      <c r="A842" s="113"/>
      <c r="B842" s="113"/>
      <c r="C842" s="113"/>
      <c r="D842" s="111"/>
      <c r="E842" s="113"/>
      <c r="F842" s="111"/>
      <c r="G842" s="113"/>
      <c r="H842" s="111"/>
      <c r="I842" s="113"/>
      <c r="J842" s="113"/>
      <c r="K842" s="113"/>
      <c r="L842" s="113"/>
      <c r="M842" s="113"/>
      <c r="N842" s="113"/>
      <c r="O842" s="113"/>
      <c r="P842" s="113"/>
      <c r="Q842" s="113"/>
      <c r="R842" s="113"/>
      <c r="S842" s="113"/>
      <c r="T842" s="113"/>
      <c r="U842" s="113"/>
      <c r="V842" s="113"/>
      <c r="W842" s="113"/>
      <c r="X842" s="113"/>
      <c r="Y842" s="113"/>
      <c r="Z842" s="113"/>
      <c r="AA842" s="113"/>
      <c r="AB842" s="113"/>
      <c r="AC842" s="113"/>
      <c r="AD842" s="113"/>
      <c r="AE842" s="113"/>
      <c r="AF842" s="113"/>
      <c r="AG842" s="113"/>
    </row>
    <row r="843" spans="1:33" ht="13.8">
      <c r="A843" s="113"/>
      <c r="B843" s="113"/>
      <c r="C843" s="113"/>
      <c r="D843" s="111"/>
      <c r="E843" s="113"/>
      <c r="F843" s="111"/>
      <c r="G843" s="113"/>
      <c r="H843" s="111"/>
      <c r="I843" s="113"/>
      <c r="J843" s="113"/>
      <c r="K843" s="113"/>
      <c r="L843" s="113"/>
      <c r="M843" s="113"/>
      <c r="N843" s="113"/>
      <c r="O843" s="113"/>
      <c r="P843" s="113"/>
      <c r="Q843" s="113"/>
      <c r="R843" s="113"/>
      <c r="S843" s="113"/>
      <c r="T843" s="113"/>
      <c r="U843" s="113"/>
      <c r="V843" s="113"/>
      <c r="W843" s="113"/>
      <c r="X843" s="113"/>
      <c r="Y843" s="113"/>
      <c r="Z843" s="113"/>
      <c r="AA843" s="113"/>
      <c r="AB843" s="113"/>
      <c r="AC843" s="113"/>
      <c r="AD843" s="113"/>
      <c r="AE843" s="113"/>
      <c r="AF843" s="113"/>
      <c r="AG843" s="113"/>
    </row>
    <row r="844" spans="1:33" ht="13.8">
      <c r="A844" s="113"/>
      <c r="B844" s="113"/>
      <c r="C844" s="113"/>
      <c r="D844" s="111"/>
      <c r="E844" s="113"/>
      <c r="F844" s="111"/>
      <c r="G844" s="113"/>
      <c r="H844" s="111"/>
      <c r="I844" s="113"/>
      <c r="J844" s="113"/>
      <c r="K844" s="113"/>
      <c r="L844" s="113"/>
      <c r="M844" s="113"/>
      <c r="N844" s="113"/>
      <c r="O844" s="113"/>
      <c r="P844" s="113"/>
      <c r="Q844" s="113"/>
      <c r="R844" s="113"/>
      <c r="S844" s="113"/>
      <c r="T844" s="113"/>
      <c r="U844" s="113"/>
      <c r="V844" s="113"/>
      <c r="W844" s="113"/>
      <c r="X844" s="113"/>
      <c r="Y844" s="113"/>
      <c r="Z844" s="113"/>
      <c r="AA844" s="113"/>
      <c r="AB844" s="113"/>
      <c r="AC844" s="113"/>
      <c r="AD844" s="113"/>
      <c r="AE844" s="113"/>
      <c r="AF844" s="113"/>
      <c r="AG844" s="113"/>
    </row>
    <row r="845" spans="1:33" ht="13.8">
      <c r="A845" s="113"/>
      <c r="B845" s="113"/>
      <c r="C845" s="113"/>
      <c r="D845" s="111"/>
      <c r="E845" s="113"/>
      <c r="F845" s="111"/>
      <c r="G845" s="113"/>
      <c r="H845" s="111"/>
      <c r="I845" s="113"/>
      <c r="J845" s="113"/>
      <c r="K845" s="113"/>
      <c r="L845" s="113"/>
      <c r="M845" s="113"/>
      <c r="N845" s="113"/>
      <c r="O845" s="113"/>
      <c r="P845" s="113"/>
      <c r="Q845" s="113"/>
      <c r="R845" s="113"/>
      <c r="S845" s="113"/>
      <c r="T845" s="113"/>
      <c r="U845" s="113"/>
      <c r="V845" s="113"/>
      <c r="W845" s="113"/>
      <c r="X845" s="113"/>
      <c r="Y845" s="113"/>
      <c r="Z845" s="113"/>
      <c r="AA845" s="113"/>
      <c r="AB845" s="113"/>
      <c r="AC845" s="113"/>
      <c r="AD845" s="113"/>
      <c r="AE845" s="113"/>
      <c r="AF845" s="113"/>
      <c r="AG845" s="113"/>
    </row>
    <row r="846" spans="1:33" ht="13.8">
      <c r="A846" s="113"/>
      <c r="B846" s="113"/>
      <c r="C846" s="113"/>
      <c r="D846" s="111"/>
      <c r="E846" s="113"/>
      <c r="F846" s="111"/>
      <c r="G846" s="113"/>
      <c r="H846" s="111"/>
      <c r="I846" s="113"/>
      <c r="J846" s="113"/>
      <c r="K846" s="113"/>
      <c r="L846" s="113"/>
      <c r="M846" s="113"/>
      <c r="N846" s="113"/>
      <c r="O846" s="113"/>
      <c r="P846" s="113"/>
      <c r="Q846" s="113"/>
      <c r="R846" s="113"/>
      <c r="S846" s="113"/>
      <c r="T846" s="113"/>
      <c r="U846" s="113"/>
      <c r="V846" s="113"/>
      <c r="W846" s="113"/>
      <c r="X846" s="113"/>
      <c r="Y846" s="113"/>
      <c r="Z846" s="113"/>
      <c r="AA846" s="113"/>
      <c r="AB846" s="113"/>
      <c r="AC846" s="113"/>
      <c r="AD846" s="113"/>
      <c r="AE846" s="113"/>
      <c r="AF846" s="113"/>
      <c r="AG846" s="113"/>
    </row>
    <row r="847" spans="1:33" ht="13.8">
      <c r="A847" s="113"/>
      <c r="B847" s="113"/>
      <c r="C847" s="113"/>
      <c r="D847" s="111"/>
      <c r="E847" s="113"/>
      <c r="F847" s="111"/>
      <c r="G847" s="113"/>
      <c r="H847" s="111"/>
      <c r="I847" s="113"/>
      <c r="J847" s="113"/>
      <c r="K847" s="113"/>
      <c r="L847" s="113"/>
      <c r="M847" s="113"/>
      <c r="N847" s="113"/>
      <c r="O847" s="113"/>
      <c r="P847" s="113"/>
      <c r="Q847" s="113"/>
      <c r="R847" s="113"/>
      <c r="S847" s="113"/>
      <c r="T847" s="113"/>
      <c r="U847" s="113"/>
      <c r="V847" s="113"/>
      <c r="W847" s="113"/>
      <c r="X847" s="113"/>
      <c r="Y847" s="113"/>
      <c r="Z847" s="113"/>
      <c r="AA847" s="113"/>
      <c r="AB847" s="113"/>
      <c r="AC847" s="113"/>
      <c r="AD847" s="113"/>
      <c r="AE847" s="113"/>
      <c r="AF847" s="113"/>
      <c r="AG847" s="113"/>
    </row>
    <row r="848" spans="1:33" ht="13.8">
      <c r="A848" s="113"/>
      <c r="B848" s="113"/>
      <c r="C848" s="113"/>
      <c r="D848" s="111"/>
      <c r="E848" s="113"/>
      <c r="F848" s="111"/>
      <c r="G848" s="113"/>
      <c r="H848" s="111"/>
      <c r="I848" s="113"/>
      <c r="J848" s="113"/>
      <c r="K848" s="113"/>
      <c r="L848" s="113"/>
      <c r="M848" s="113"/>
      <c r="N848" s="113"/>
      <c r="O848" s="113"/>
      <c r="P848" s="113"/>
      <c r="Q848" s="113"/>
      <c r="R848" s="113"/>
      <c r="S848" s="113"/>
      <c r="T848" s="113"/>
      <c r="U848" s="113"/>
      <c r="V848" s="113"/>
      <c r="W848" s="113"/>
      <c r="X848" s="113"/>
      <c r="Y848" s="113"/>
      <c r="Z848" s="113"/>
      <c r="AA848" s="113"/>
      <c r="AB848" s="113"/>
      <c r="AC848" s="113"/>
      <c r="AD848" s="113"/>
      <c r="AE848" s="113"/>
      <c r="AF848" s="113"/>
      <c r="AG848" s="113"/>
    </row>
    <row r="849" spans="1:33" ht="13.8">
      <c r="A849" s="113"/>
      <c r="B849" s="113"/>
      <c r="C849" s="113"/>
      <c r="D849" s="111"/>
      <c r="E849" s="113"/>
      <c r="F849" s="111"/>
      <c r="G849" s="113"/>
      <c r="H849" s="111"/>
      <c r="I849" s="113"/>
      <c r="J849" s="113"/>
      <c r="K849" s="113"/>
      <c r="L849" s="113"/>
      <c r="M849" s="113"/>
      <c r="N849" s="113"/>
      <c r="O849" s="113"/>
      <c r="P849" s="113"/>
      <c r="Q849" s="113"/>
      <c r="R849" s="113"/>
      <c r="S849" s="113"/>
      <c r="T849" s="113"/>
      <c r="U849" s="113"/>
      <c r="V849" s="113"/>
      <c r="W849" s="113"/>
      <c r="X849" s="113"/>
      <c r="Y849" s="113"/>
      <c r="Z849" s="113"/>
      <c r="AA849" s="113"/>
      <c r="AB849" s="113"/>
      <c r="AC849" s="113"/>
      <c r="AD849" s="113"/>
      <c r="AE849" s="113"/>
      <c r="AF849" s="113"/>
      <c r="AG849" s="113"/>
    </row>
    <row r="850" spans="1:33" ht="13.8">
      <c r="A850" s="113"/>
      <c r="B850" s="113"/>
      <c r="C850" s="113"/>
      <c r="D850" s="111"/>
      <c r="E850" s="113"/>
      <c r="F850" s="111"/>
      <c r="G850" s="113"/>
      <c r="H850" s="111"/>
      <c r="I850" s="113"/>
      <c r="J850" s="113"/>
      <c r="K850" s="113"/>
      <c r="L850" s="113"/>
      <c r="M850" s="113"/>
      <c r="N850" s="113"/>
      <c r="O850" s="113"/>
      <c r="P850" s="113"/>
      <c r="Q850" s="113"/>
      <c r="R850" s="113"/>
      <c r="S850" s="113"/>
      <c r="T850" s="113"/>
      <c r="U850" s="113"/>
      <c r="V850" s="113"/>
      <c r="W850" s="113"/>
      <c r="X850" s="113"/>
      <c r="Y850" s="113"/>
      <c r="Z850" s="113"/>
      <c r="AA850" s="113"/>
      <c r="AB850" s="113"/>
      <c r="AC850" s="113"/>
      <c r="AD850" s="113"/>
      <c r="AE850" s="113"/>
      <c r="AF850" s="113"/>
      <c r="AG850" s="113"/>
    </row>
    <row r="851" spans="1:33" ht="13.8">
      <c r="A851" s="113"/>
      <c r="B851" s="113"/>
      <c r="C851" s="113"/>
      <c r="D851" s="111"/>
      <c r="E851" s="113"/>
      <c r="F851" s="111"/>
      <c r="G851" s="113"/>
      <c r="H851" s="111"/>
      <c r="I851" s="113"/>
      <c r="J851" s="113"/>
      <c r="K851" s="113"/>
      <c r="L851" s="113"/>
      <c r="M851" s="113"/>
      <c r="N851" s="113"/>
      <c r="O851" s="113"/>
      <c r="P851" s="113"/>
      <c r="Q851" s="113"/>
      <c r="R851" s="113"/>
      <c r="S851" s="113"/>
      <c r="T851" s="113"/>
      <c r="U851" s="113"/>
      <c r="V851" s="113"/>
      <c r="W851" s="113"/>
      <c r="X851" s="113"/>
      <c r="Y851" s="113"/>
      <c r="Z851" s="113"/>
      <c r="AA851" s="113"/>
      <c r="AB851" s="113"/>
      <c r="AC851" s="113"/>
      <c r="AD851" s="113"/>
      <c r="AE851" s="113"/>
      <c r="AF851" s="113"/>
      <c r="AG851" s="113"/>
    </row>
    <row r="852" spans="1:33" ht="13.8">
      <c r="A852" s="113"/>
      <c r="B852" s="113"/>
      <c r="C852" s="113"/>
      <c r="D852" s="111"/>
      <c r="E852" s="113"/>
      <c r="F852" s="111"/>
      <c r="G852" s="113"/>
      <c r="H852" s="111"/>
      <c r="I852" s="113"/>
      <c r="J852" s="113"/>
      <c r="K852" s="113"/>
      <c r="L852" s="113"/>
      <c r="M852" s="113"/>
      <c r="N852" s="113"/>
      <c r="O852" s="113"/>
      <c r="P852" s="113"/>
      <c r="Q852" s="113"/>
      <c r="R852" s="113"/>
      <c r="S852" s="113"/>
      <c r="T852" s="113"/>
      <c r="U852" s="113"/>
      <c r="V852" s="113"/>
      <c r="W852" s="113"/>
      <c r="X852" s="113"/>
      <c r="Y852" s="113"/>
      <c r="Z852" s="113"/>
      <c r="AA852" s="113"/>
      <c r="AB852" s="113"/>
      <c r="AC852" s="113"/>
      <c r="AD852" s="113"/>
      <c r="AE852" s="113"/>
      <c r="AF852" s="113"/>
      <c r="AG852" s="113"/>
    </row>
    <row r="853" spans="1:33" ht="13.8">
      <c r="A853" s="113"/>
      <c r="B853" s="113"/>
      <c r="C853" s="113"/>
      <c r="D853" s="111"/>
      <c r="E853" s="113"/>
      <c r="F853" s="111"/>
      <c r="G853" s="113"/>
      <c r="H853" s="111"/>
      <c r="I853" s="113"/>
      <c r="J853" s="113"/>
      <c r="K853" s="113"/>
      <c r="L853" s="113"/>
      <c r="M853" s="113"/>
      <c r="N853" s="113"/>
      <c r="O853" s="113"/>
      <c r="P853" s="113"/>
      <c r="Q853" s="113"/>
      <c r="R853" s="113"/>
      <c r="S853" s="113"/>
      <c r="T853" s="113"/>
      <c r="U853" s="113"/>
      <c r="V853" s="113"/>
      <c r="W853" s="113"/>
      <c r="X853" s="113"/>
      <c r="Y853" s="113"/>
      <c r="Z853" s="113"/>
      <c r="AA853" s="113"/>
      <c r="AB853" s="113"/>
      <c r="AC853" s="113"/>
      <c r="AD853" s="113"/>
      <c r="AE853" s="113"/>
      <c r="AF853" s="113"/>
      <c r="AG853" s="113"/>
    </row>
    <row r="854" spans="1:33" ht="13.8">
      <c r="A854" s="113"/>
      <c r="B854" s="113"/>
      <c r="C854" s="113"/>
      <c r="D854" s="111"/>
      <c r="E854" s="113"/>
      <c r="F854" s="111"/>
      <c r="G854" s="113"/>
      <c r="H854" s="111"/>
      <c r="I854" s="113"/>
      <c r="J854" s="113"/>
      <c r="K854" s="113"/>
      <c r="L854" s="113"/>
      <c r="M854" s="113"/>
      <c r="N854" s="113"/>
      <c r="O854" s="113"/>
      <c r="P854" s="113"/>
      <c r="Q854" s="113"/>
      <c r="R854" s="113"/>
      <c r="S854" s="113"/>
      <c r="T854" s="113"/>
      <c r="U854" s="113"/>
      <c r="V854" s="113"/>
      <c r="W854" s="113"/>
      <c r="X854" s="113"/>
      <c r="Y854" s="113"/>
      <c r="Z854" s="113"/>
      <c r="AA854" s="113"/>
      <c r="AB854" s="113"/>
      <c r="AC854" s="113"/>
      <c r="AD854" s="113"/>
      <c r="AE854" s="113"/>
      <c r="AF854" s="113"/>
      <c r="AG854" s="113"/>
    </row>
    <row r="855" spans="1:33" ht="13.8">
      <c r="A855" s="113"/>
      <c r="B855" s="113"/>
      <c r="C855" s="113"/>
      <c r="D855" s="111"/>
      <c r="E855" s="113"/>
      <c r="F855" s="111"/>
      <c r="G855" s="113"/>
      <c r="H855" s="111"/>
      <c r="I855" s="113"/>
      <c r="J855" s="113"/>
      <c r="K855" s="113"/>
      <c r="L855" s="113"/>
      <c r="M855" s="113"/>
      <c r="N855" s="113"/>
      <c r="O855" s="113"/>
      <c r="P855" s="113"/>
      <c r="Q855" s="113"/>
      <c r="R855" s="113"/>
      <c r="S855" s="113"/>
      <c r="T855" s="113"/>
      <c r="U855" s="113"/>
      <c r="V855" s="113"/>
      <c r="W855" s="113"/>
      <c r="X855" s="113"/>
      <c r="Y855" s="113"/>
      <c r="Z855" s="113"/>
      <c r="AA855" s="113"/>
      <c r="AB855" s="113"/>
      <c r="AC855" s="113"/>
      <c r="AD855" s="113"/>
      <c r="AE855" s="113"/>
      <c r="AF855" s="113"/>
      <c r="AG855" s="113"/>
    </row>
    <row r="856" spans="1:33" ht="13.8">
      <c r="A856" s="113"/>
      <c r="B856" s="113"/>
      <c r="C856" s="113"/>
      <c r="D856" s="111"/>
      <c r="E856" s="113"/>
      <c r="F856" s="111"/>
      <c r="G856" s="113"/>
      <c r="H856" s="111"/>
      <c r="I856" s="113"/>
      <c r="J856" s="113"/>
      <c r="K856" s="113"/>
      <c r="L856" s="113"/>
      <c r="M856" s="113"/>
      <c r="N856" s="113"/>
      <c r="O856" s="113"/>
      <c r="P856" s="113"/>
      <c r="Q856" s="113"/>
      <c r="R856" s="113"/>
      <c r="S856" s="113"/>
      <c r="T856" s="113"/>
      <c r="U856" s="113"/>
      <c r="V856" s="113"/>
      <c r="W856" s="113"/>
      <c r="X856" s="113"/>
      <c r="Y856" s="113"/>
      <c r="Z856" s="113"/>
      <c r="AA856" s="113"/>
      <c r="AB856" s="113"/>
      <c r="AC856" s="113"/>
      <c r="AD856" s="113"/>
      <c r="AE856" s="113"/>
      <c r="AF856" s="113"/>
      <c r="AG856" s="113"/>
    </row>
    <row r="857" spans="1:33" ht="13.8">
      <c r="A857" s="113"/>
      <c r="B857" s="113"/>
      <c r="C857" s="113"/>
      <c r="D857" s="111"/>
      <c r="E857" s="113"/>
      <c r="F857" s="111"/>
      <c r="G857" s="113"/>
      <c r="H857" s="111"/>
      <c r="I857" s="113"/>
      <c r="J857" s="113"/>
      <c r="K857" s="113"/>
      <c r="L857" s="113"/>
      <c r="M857" s="113"/>
      <c r="N857" s="113"/>
      <c r="O857" s="113"/>
      <c r="P857" s="113"/>
      <c r="Q857" s="113"/>
      <c r="R857" s="113"/>
      <c r="S857" s="113"/>
      <c r="T857" s="113"/>
      <c r="U857" s="113"/>
      <c r="V857" s="113"/>
      <c r="W857" s="113"/>
      <c r="X857" s="113"/>
      <c r="Y857" s="113"/>
      <c r="Z857" s="113"/>
      <c r="AA857" s="113"/>
      <c r="AB857" s="113"/>
      <c r="AC857" s="113"/>
      <c r="AD857" s="113"/>
      <c r="AE857" s="113"/>
      <c r="AF857" s="113"/>
      <c r="AG857" s="113"/>
    </row>
    <row r="858" spans="1:33" ht="13.8">
      <c r="A858" s="113"/>
      <c r="B858" s="113"/>
      <c r="C858" s="113"/>
      <c r="D858" s="111"/>
      <c r="E858" s="113"/>
      <c r="F858" s="111"/>
      <c r="G858" s="113"/>
      <c r="H858" s="111"/>
      <c r="I858" s="113"/>
      <c r="J858" s="113"/>
      <c r="K858" s="113"/>
      <c r="L858" s="113"/>
      <c r="M858" s="113"/>
      <c r="N858" s="113"/>
      <c r="O858" s="113"/>
      <c r="P858" s="113"/>
      <c r="Q858" s="113"/>
      <c r="R858" s="113"/>
      <c r="S858" s="113"/>
      <c r="T858" s="113"/>
      <c r="U858" s="113"/>
      <c r="V858" s="113"/>
      <c r="W858" s="113"/>
      <c r="X858" s="113"/>
      <c r="Y858" s="113"/>
      <c r="Z858" s="113"/>
      <c r="AA858" s="113"/>
      <c r="AB858" s="113"/>
      <c r="AC858" s="113"/>
      <c r="AD858" s="113"/>
      <c r="AE858" s="113"/>
      <c r="AF858" s="113"/>
      <c r="AG858" s="113"/>
    </row>
    <row r="859" spans="1:33" ht="13.8">
      <c r="A859" s="113"/>
      <c r="B859" s="113"/>
      <c r="C859" s="113"/>
      <c r="D859" s="111"/>
      <c r="E859" s="113"/>
      <c r="F859" s="111"/>
      <c r="G859" s="113"/>
      <c r="H859" s="111"/>
      <c r="I859" s="113"/>
      <c r="J859" s="113"/>
      <c r="K859" s="113"/>
      <c r="L859" s="113"/>
      <c r="M859" s="113"/>
      <c r="N859" s="113"/>
      <c r="O859" s="113"/>
      <c r="P859" s="113"/>
      <c r="Q859" s="113"/>
      <c r="R859" s="113"/>
      <c r="S859" s="113"/>
      <c r="T859" s="113"/>
      <c r="U859" s="113"/>
      <c r="V859" s="113"/>
      <c r="W859" s="113"/>
      <c r="X859" s="113"/>
      <c r="Y859" s="113"/>
      <c r="Z859" s="113"/>
      <c r="AA859" s="113"/>
      <c r="AB859" s="113"/>
      <c r="AC859" s="113"/>
      <c r="AD859" s="113"/>
      <c r="AE859" s="113"/>
      <c r="AF859" s="113"/>
      <c r="AG859" s="113"/>
    </row>
    <row r="860" spans="1:33" ht="13.8">
      <c r="A860" s="113"/>
      <c r="B860" s="113"/>
      <c r="C860" s="113"/>
      <c r="D860" s="111"/>
      <c r="E860" s="113"/>
      <c r="F860" s="111"/>
      <c r="G860" s="113"/>
      <c r="H860" s="111"/>
      <c r="I860" s="113"/>
      <c r="J860" s="113"/>
      <c r="K860" s="113"/>
      <c r="L860" s="113"/>
      <c r="M860" s="113"/>
      <c r="N860" s="113"/>
      <c r="O860" s="113"/>
      <c r="P860" s="113"/>
      <c r="Q860" s="113"/>
      <c r="R860" s="113"/>
      <c r="S860" s="113"/>
      <c r="T860" s="113"/>
      <c r="U860" s="113"/>
      <c r="V860" s="113"/>
      <c r="W860" s="113"/>
      <c r="X860" s="113"/>
      <c r="Y860" s="113"/>
      <c r="Z860" s="113"/>
      <c r="AA860" s="113"/>
      <c r="AB860" s="113"/>
      <c r="AC860" s="113"/>
      <c r="AD860" s="113"/>
      <c r="AE860" s="113"/>
      <c r="AF860" s="113"/>
      <c r="AG860" s="113"/>
    </row>
    <row r="861" spans="1:33" ht="13.8">
      <c r="A861" s="113"/>
      <c r="B861" s="113"/>
      <c r="C861" s="113"/>
      <c r="D861" s="111"/>
      <c r="E861" s="113"/>
      <c r="F861" s="111"/>
      <c r="G861" s="113"/>
      <c r="H861" s="111"/>
      <c r="I861" s="113"/>
      <c r="J861" s="113"/>
      <c r="K861" s="113"/>
      <c r="L861" s="113"/>
      <c r="M861" s="113"/>
      <c r="N861" s="113"/>
      <c r="O861" s="113"/>
      <c r="P861" s="113"/>
      <c r="Q861" s="113"/>
      <c r="R861" s="113"/>
      <c r="S861" s="113"/>
      <c r="T861" s="113"/>
      <c r="U861" s="113"/>
      <c r="V861" s="113"/>
      <c r="W861" s="113"/>
      <c r="X861" s="113"/>
      <c r="Y861" s="113"/>
      <c r="Z861" s="113"/>
      <c r="AA861" s="113"/>
      <c r="AB861" s="113"/>
      <c r="AC861" s="113"/>
      <c r="AD861" s="113"/>
      <c r="AE861" s="113"/>
      <c r="AF861" s="113"/>
      <c r="AG861" s="113"/>
    </row>
    <row r="862" spans="1:33" ht="13.8">
      <c r="A862" s="113"/>
      <c r="B862" s="113"/>
      <c r="C862" s="113"/>
      <c r="D862" s="111"/>
      <c r="E862" s="113"/>
      <c r="F862" s="111"/>
      <c r="G862" s="113"/>
      <c r="H862" s="111"/>
      <c r="I862" s="113"/>
      <c r="J862" s="113"/>
      <c r="K862" s="113"/>
      <c r="L862" s="113"/>
      <c r="M862" s="113"/>
      <c r="N862" s="113"/>
      <c r="O862" s="113"/>
      <c r="P862" s="113"/>
      <c r="Q862" s="113"/>
      <c r="R862" s="113"/>
      <c r="S862" s="113"/>
      <c r="T862" s="113"/>
      <c r="U862" s="113"/>
      <c r="V862" s="113"/>
      <c r="W862" s="113"/>
      <c r="X862" s="113"/>
      <c r="Y862" s="113"/>
      <c r="Z862" s="113"/>
      <c r="AA862" s="113"/>
      <c r="AB862" s="113"/>
      <c r="AC862" s="113"/>
      <c r="AD862" s="113"/>
      <c r="AE862" s="113"/>
      <c r="AF862" s="113"/>
      <c r="AG862" s="113"/>
    </row>
    <row r="863" spans="1:33" ht="13.8">
      <c r="A863" s="113"/>
      <c r="B863" s="113"/>
      <c r="C863" s="113"/>
      <c r="D863" s="111"/>
      <c r="E863" s="113"/>
      <c r="F863" s="111"/>
      <c r="G863" s="113"/>
      <c r="H863" s="111"/>
      <c r="I863" s="113"/>
      <c r="J863" s="113"/>
      <c r="K863" s="113"/>
      <c r="L863" s="113"/>
      <c r="M863" s="113"/>
      <c r="N863" s="113"/>
      <c r="O863" s="113"/>
      <c r="P863" s="113"/>
      <c r="Q863" s="113"/>
      <c r="R863" s="113"/>
      <c r="S863" s="113"/>
      <c r="T863" s="113"/>
      <c r="U863" s="113"/>
      <c r="V863" s="113"/>
      <c r="W863" s="113"/>
      <c r="X863" s="113"/>
      <c r="Y863" s="113"/>
      <c r="Z863" s="113"/>
      <c r="AA863" s="113"/>
      <c r="AB863" s="113"/>
      <c r="AC863" s="113"/>
      <c r="AD863" s="113"/>
      <c r="AE863" s="113"/>
      <c r="AF863" s="113"/>
      <c r="AG863" s="113"/>
    </row>
    <row r="864" spans="1:33" ht="13.8">
      <c r="A864" s="113"/>
      <c r="B864" s="113"/>
      <c r="C864" s="113"/>
      <c r="D864" s="111"/>
      <c r="E864" s="113"/>
      <c r="F864" s="111"/>
      <c r="G864" s="113"/>
      <c r="H864" s="111"/>
      <c r="I864" s="113"/>
      <c r="J864" s="113"/>
      <c r="K864" s="113"/>
      <c r="L864" s="113"/>
      <c r="M864" s="113"/>
      <c r="N864" s="113"/>
      <c r="O864" s="113"/>
      <c r="P864" s="113"/>
      <c r="Q864" s="113"/>
      <c r="R864" s="113"/>
      <c r="S864" s="113"/>
      <c r="T864" s="113"/>
      <c r="U864" s="113"/>
      <c r="V864" s="113"/>
      <c r="W864" s="113"/>
      <c r="X864" s="113"/>
      <c r="Y864" s="113"/>
      <c r="Z864" s="113"/>
      <c r="AA864" s="113"/>
      <c r="AB864" s="113"/>
      <c r="AC864" s="113"/>
      <c r="AD864" s="113"/>
      <c r="AE864" s="113"/>
      <c r="AF864" s="113"/>
      <c r="AG864" s="113"/>
    </row>
    <row r="865" spans="1:33" ht="13.8">
      <c r="A865" s="113"/>
      <c r="B865" s="113"/>
      <c r="C865" s="113"/>
      <c r="D865" s="111"/>
      <c r="E865" s="113"/>
      <c r="F865" s="111"/>
      <c r="G865" s="113"/>
      <c r="H865" s="111"/>
      <c r="I865" s="113"/>
      <c r="J865" s="113"/>
      <c r="K865" s="113"/>
      <c r="L865" s="113"/>
      <c r="M865" s="113"/>
      <c r="N865" s="113"/>
      <c r="O865" s="113"/>
      <c r="P865" s="113"/>
      <c r="Q865" s="113"/>
      <c r="R865" s="113"/>
      <c r="S865" s="113"/>
      <c r="T865" s="113"/>
      <c r="U865" s="113"/>
      <c r="V865" s="113"/>
      <c r="W865" s="113"/>
      <c r="X865" s="113"/>
      <c r="Y865" s="113"/>
      <c r="Z865" s="113"/>
      <c r="AA865" s="113"/>
      <c r="AB865" s="113"/>
      <c r="AC865" s="113"/>
      <c r="AD865" s="113"/>
      <c r="AE865" s="113"/>
      <c r="AF865" s="113"/>
      <c r="AG865" s="113"/>
    </row>
    <row r="866" spans="1:33" ht="13.8">
      <c r="A866" s="113"/>
      <c r="B866" s="113"/>
      <c r="C866" s="113"/>
      <c r="D866" s="111"/>
      <c r="E866" s="113"/>
      <c r="F866" s="111"/>
      <c r="G866" s="113"/>
      <c r="H866" s="111"/>
      <c r="I866" s="113"/>
      <c r="J866" s="113"/>
      <c r="K866" s="113"/>
      <c r="L866" s="113"/>
      <c r="M866" s="113"/>
      <c r="N866" s="113"/>
      <c r="O866" s="113"/>
      <c r="P866" s="113"/>
      <c r="Q866" s="113"/>
      <c r="R866" s="113"/>
      <c r="S866" s="113"/>
      <c r="T866" s="113"/>
      <c r="U866" s="113"/>
      <c r="V866" s="113"/>
      <c r="W866" s="113"/>
      <c r="X866" s="113"/>
      <c r="Y866" s="113"/>
      <c r="Z866" s="113"/>
      <c r="AA866" s="113"/>
      <c r="AB866" s="113"/>
      <c r="AC866" s="113"/>
      <c r="AD866" s="113"/>
      <c r="AE866" s="113"/>
      <c r="AF866" s="113"/>
      <c r="AG866" s="113"/>
    </row>
    <row r="867" spans="1:33" ht="13.8">
      <c r="A867" s="113"/>
      <c r="B867" s="113"/>
      <c r="C867" s="113"/>
      <c r="D867" s="111"/>
      <c r="E867" s="113"/>
      <c r="F867" s="111"/>
      <c r="G867" s="113"/>
      <c r="H867" s="111"/>
      <c r="I867" s="113"/>
      <c r="J867" s="113"/>
      <c r="K867" s="113"/>
      <c r="L867" s="113"/>
      <c r="M867" s="113"/>
      <c r="N867" s="113"/>
      <c r="O867" s="113"/>
      <c r="P867" s="113"/>
      <c r="Q867" s="113"/>
      <c r="R867" s="113"/>
      <c r="S867" s="113"/>
      <c r="T867" s="113"/>
      <c r="U867" s="113"/>
      <c r="V867" s="113"/>
      <c r="W867" s="113"/>
      <c r="X867" s="113"/>
      <c r="Y867" s="113"/>
      <c r="Z867" s="113"/>
      <c r="AA867" s="113"/>
      <c r="AB867" s="113"/>
      <c r="AC867" s="113"/>
      <c r="AD867" s="113"/>
      <c r="AE867" s="113"/>
      <c r="AF867" s="113"/>
      <c r="AG867" s="113"/>
    </row>
    <row r="868" spans="1:33" ht="13.8">
      <c r="A868" s="113"/>
      <c r="B868" s="113"/>
      <c r="C868" s="113"/>
      <c r="D868" s="111"/>
      <c r="E868" s="113"/>
      <c r="F868" s="111"/>
      <c r="G868" s="113"/>
      <c r="H868" s="111"/>
      <c r="I868" s="113"/>
      <c r="J868" s="113"/>
      <c r="K868" s="113"/>
      <c r="L868" s="113"/>
      <c r="M868" s="113"/>
      <c r="N868" s="113"/>
      <c r="O868" s="113"/>
      <c r="P868" s="113"/>
      <c r="Q868" s="113"/>
      <c r="R868" s="113"/>
      <c r="S868" s="113"/>
      <c r="T868" s="113"/>
      <c r="U868" s="113"/>
      <c r="V868" s="113"/>
      <c r="W868" s="113"/>
      <c r="X868" s="113"/>
      <c r="Y868" s="113"/>
      <c r="Z868" s="113"/>
      <c r="AA868" s="113"/>
      <c r="AB868" s="113"/>
      <c r="AC868" s="113"/>
      <c r="AD868" s="113"/>
      <c r="AE868" s="113"/>
      <c r="AF868" s="113"/>
      <c r="AG868" s="113"/>
    </row>
    <row r="869" spans="1:33" ht="13.8">
      <c r="A869" s="113"/>
      <c r="B869" s="113"/>
      <c r="C869" s="113"/>
      <c r="D869" s="111"/>
      <c r="E869" s="113"/>
      <c r="F869" s="111"/>
      <c r="G869" s="113"/>
      <c r="H869" s="111"/>
      <c r="I869" s="113"/>
      <c r="J869" s="113"/>
      <c r="K869" s="113"/>
      <c r="L869" s="113"/>
      <c r="M869" s="113"/>
      <c r="N869" s="113"/>
      <c r="O869" s="113"/>
      <c r="P869" s="113"/>
      <c r="Q869" s="113"/>
      <c r="R869" s="113"/>
      <c r="S869" s="113"/>
      <c r="T869" s="113"/>
      <c r="U869" s="113"/>
      <c r="V869" s="113"/>
      <c r="W869" s="113"/>
      <c r="X869" s="113"/>
      <c r="Y869" s="113"/>
      <c r="Z869" s="113"/>
      <c r="AA869" s="113"/>
      <c r="AB869" s="113"/>
      <c r="AC869" s="113"/>
      <c r="AD869" s="113"/>
      <c r="AE869" s="113"/>
      <c r="AF869" s="113"/>
      <c r="AG869" s="113"/>
    </row>
    <row r="870" spans="1:33" ht="13.8">
      <c r="A870" s="113"/>
      <c r="B870" s="113"/>
      <c r="C870" s="113"/>
      <c r="D870" s="111"/>
      <c r="E870" s="113"/>
      <c r="F870" s="111"/>
      <c r="G870" s="113"/>
      <c r="H870" s="111"/>
      <c r="I870" s="113"/>
      <c r="J870" s="113"/>
      <c r="K870" s="113"/>
      <c r="L870" s="113"/>
      <c r="M870" s="113"/>
      <c r="N870" s="113"/>
      <c r="O870" s="113"/>
      <c r="P870" s="113"/>
      <c r="Q870" s="113"/>
      <c r="R870" s="113"/>
      <c r="S870" s="113"/>
      <c r="T870" s="113"/>
      <c r="U870" s="113"/>
      <c r="V870" s="113"/>
      <c r="W870" s="113"/>
      <c r="X870" s="113"/>
      <c r="Y870" s="113"/>
      <c r="Z870" s="113"/>
      <c r="AA870" s="113"/>
      <c r="AB870" s="113"/>
      <c r="AC870" s="113"/>
      <c r="AD870" s="113"/>
      <c r="AE870" s="113"/>
      <c r="AF870" s="113"/>
      <c r="AG870" s="113"/>
    </row>
    <row r="871" spans="1:33" ht="13.8">
      <c r="A871" s="113"/>
      <c r="B871" s="113"/>
      <c r="C871" s="113"/>
      <c r="D871" s="111"/>
      <c r="E871" s="113"/>
      <c r="F871" s="111"/>
      <c r="G871" s="113"/>
      <c r="H871" s="111"/>
      <c r="I871" s="113"/>
      <c r="J871" s="113"/>
      <c r="K871" s="113"/>
      <c r="L871" s="113"/>
      <c r="M871" s="113"/>
      <c r="N871" s="113"/>
      <c r="O871" s="113"/>
      <c r="P871" s="113"/>
      <c r="Q871" s="113"/>
      <c r="R871" s="113"/>
      <c r="S871" s="113"/>
      <c r="T871" s="113"/>
      <c r="U871" s="113"/>
      <c r="V871" s="113"/>
      <c r="W871" s="113"/>
      <c r="X871" s="113"/>
      <c r="Y871" s="113"/>
      <c r="Z871" s="113"/>
      <c r="AA871" s="113"/>
      <c r="AB871" s="113"/>
      <c r="AC871" s="113"/>
      <c r="AD871" s="113"/>
      <c r="AE871" s="113"/>
      <c r="AF871" s="113"/>
      <c r="AG871" s="113"/>
    </row>
    <row r="872" spans="1:33" ht="13.8">
      <c r="A872" s="113"/>
      <c r="B872" s="113"/>
      <c r="C872" s="113"/>
      <c r="D872" s="111"/>
      <c r="E872" s="113"/>
      <c r="F872" s="111"/>
      <c r="G872" s="113"/>
      <c r="H872" s="111"/>
      <c r="I872" s="113"/>
      <c r="J872" s="113"/>
      <c r="K872" s="113"/>
      <c r="L872" s="113"/>
      <c r="M872" s="113"/>
      <c r="N872" s="113"/>
      <c r="O872" s="113"/>
      <c r="P872" s="113"/>
      <c r="Q872" s="113"/>
      <c r="R872" s="113"/>
      <c r="S872" s="113"/>
      <c r="T872" s="113"/>
      <c r="U872" s="113"/>
      <c r="V872" s="113"/>
      <c r="W872" s="113"/>
      <c r="X872" s="113"/>
      <c r="Y872" s="113"/>
      <c r="Z872" s="113"/>
      <c r="AA872" s="113"/>
      <c r="AB872" s="113"/>
      <c r="AC872" s="113"/>
      <c r="AD872" s="113"/>
      <c r="AE872" s="113"/>
      <c r="AF872" s="113"/>
      <c r="AG872" s="113"/>
    </row>
    <row r="873" spans="1:33" ht="13.8">
      <c r="A873" s="113"/>
      <c r="B873" s="113"/>
      <c r="C873" s="113"/>
      <c r="D873" s="111"/>
      <c r="E873" s="113"/>
      <c r="F873" s="111"/>
      <c r="G873" s="113"/>
      <c r="H873" s="111"/>
      <c r="I873" s="113"/>
      <c r="J873" s="113"/>
      <c r="K873" s="113"/>
      <c r="L873" s="113"/>
      <c r="M873" s="113"/>
      <c r="N873" s="113"/>
      <c r="O873" s="113"/>
      <c r="P873" s="113"/>
      <c r="Q873" s="113"/>
      <c r="R873" s="113"/>
      <c r="S873" s="113"/>
      <c r="T873" s="113"/>
      <c r="U873" s="113"/>
      <c r="V873" s="113"/>
      <c r="W873" s="113"/>
      <c r="X873" s="113"/>
      <c r="Y873" s="113"/>
      <c r="Z873" s="113"/>
      <c r="AA873" s="113"/>
      <c r="AB873" s="113"/>
      <c r="AC873" s="113"/>
      <c r="AD873" s="113"/>
      <c r="AE873" s="113"/>
      <c r="AF873" s="113"/>
      <c r="AG873" s="113"/>
    </row>
    <row r="874" spans="1:33" ht="13.8">
      <c r="A874" s="113"/>
      <c r="B874" s="113"/>
      <c r="C874" s="113"/>
      <c r="D874" s="111"/>
      <c r="E874" s="113"/>
      <c r="F874" s="111"/>
      <c r="G874" s="113"/>
      <c r="H874" s="111"/>
      <c r="I874" s="113"/>
      <c r="J874" s="113"/>
      <c r="K874" s="113"/>
      <c r="L874" s="113"/>
      <c r="M874" s="113"/>
      <c r="N874" s="113"/>
      <c r="O874" s="113"/>
      <c r="P874" s="113"/>
      <c r="Q874" s="113"/>
      <c r="R874" s="113"/>
      <c r="S874" s="113"/>
      <c r="T874" s="113"/>
      <c r="U874" s="113"/>
      <c r="V874" s="113"/>
      <c r="W874" s="113"/>
      <c r="X874" s="113"/>
      <c r="Y874" s="113"/>
      <c r="Z874" s="113"/>
      <c r="AA874" s="113"/>
      <c r="AB874" s="113"/>
      <c r="AC874" s="113"/>
      <c r="AD874" s="113"/>
      <c r="AE874" s="113"/>
      <c r="AF874" s="113"/>
      <c r="AG874" s="113"/>
    </row>
    <row r="875" spans="1:33" ht="13.8">
      <c r="A875" s="113"/>
      <c r="B875" s="113"/>
      <c r="C875" s="113"/>
      <c r="D875" s="111"/>
      <c r="E875" s="113"/>
      <c r="F875" s="111"/>
      <c r="G875" s="113"/>
      <c r="H875" s="111"/>
      <c r="I875" s="113"/>
      <c r="J875" s="113"/>
      <c r="K875" s="113"/>
      <c r="L875" s="113"/>
      <c r="M875" s="113"/>
      <c r="N875" s="113"/>
      <c r="O875" s="113"/>
      <c r="P875" s="113"/>
      <c r="Q875" s="113"/>
      <c r="R875" s="113"/>
      <c r="S875" s="113"/>
      <c r="T875" s="113"/>
      <c r="U875" s="113"/>
      <c r="V875" s="113"/>
      <c r="W875" s="113"/>
      <c r="X875" s="113"/>
      <c r="Y875" s="113"/>
      <c r="Z875" s="113"/>
      <c r="AA875" s="113"/>
      <c r="AB875" s="113"/>
      <c r="AC875" s="113"/>
      <c r="AD875" s="113"/>
      <c r="AE875" s="113"/>
      <c r="AF875" s="113"/>
      <c r="AG875" s="113"/>
    </row>
    <row r="876" spans="1:33" ht="13.8">
      <c r="A876" s="113"/>
      <c r="B876" s="113"/>
      <c r="C876" s="113"/>
      <c r="D876" s="111"/>
      <c r="E876" s="113"/>
      <c r="F876" s="111"/>
      <c r="G876" s="113"/>
      <c r="H876" s="111"/>
      <c r="I876" s="113"/>
      <c r="J876" s="113"/>
      <c r="K876" s="113"/>
      <c r="L876" s="113"/>
      <c r="M876" s="113"/>
      <c r="N876" s="113"/>
      <c r="O876" s="113"/>
      <c r="P876" s="113"/>
      <c r="Q876" s="113"/>
      <c r="R876" s="113"/>
      <c r="S876" s="113"/>
      <c r="T876" s="113"/>
      <c r="U876" s="113"/>
      <c r="V876" s="113"/>
      <c r="W876" s="113"/>
      <c r="X876" s="113"/>
      <c r="Y876" s="113"/>
      <c r="Z876" s="113"/>
      <c r="AA876" s="113"/>
      <c r="AB876" s="113"/>
      <c r="AC876" s="113"/>
      <c r="AD876" s="113"/>
      <c r="AE876" s="113"/>
      <c r="AF876" s="113"/>
      <c r="AG876" s="113"/>
    </row>
    <row r="877" spans="1:33" ht="13.8">
      <c r="A877" s="113"/>
      <c r="B877" s="113"/>
      <c r="C877" s="113"/>
      <c r="D877" s="111"/>
      <c r="E877" s="113"/>
      <c r="F877" s="111"/>
      <c r="G877" s="113"/>
      <c r="H877" s="111"/>
      <c r="I877" s="113"/>
      <c r="J877" s="113"/>
      <c r="K877" s="113"/>
      <c r="L877" s="113"/>
      <c r="M877" s="113"/>
      <c r="N877" s="113"/>
      <c r="O877" s="113"/>
      <c r="P877" s="113"/>
      <c r="Q877" s="113"/>
      <c r="R877" s="113"/>
      <c r="S877" s="113"/>
      <c r="T877" s="113"/>
      <c r="U877" s="113"/>
      <c r="V877" s="113"/>
      <c r="W877" s="113"/>
      <c r="X877" s="113"/>
      <c r="Y877" s="113"/>
      <c r="Z877" s="113"/>
      <c r="AA877" s="113"/>
      <c r="AB877" s="113"/>
      <c r="AC877" s="113"/>
      <c r="AD877" s="113"/>
      <c r="AE877" s="113"/>
      <c r="AF877" s="113"/>
      <c r="AG877" s="113"/>
    </row>
    <row r="878" spans="1:33" ht="13.8">
      <c r="A878" s="113"/>
      <c r="B878" s="113"/>
      <c r="C878" s="113"/>
      <c r="D878" s="111"/>
      <c r="E878" s="113"/>
      <c r="F878" s="111"/>
      <c r="G878" s="113"/>
      <c r="H878" s="111"/>
      <c r="I878" s="113"/>
      <c r="J878" s="113"/>
      <c r="K878" s="113"/>
      <c r="L878" s="113"/>
      <c r="M878" s="113"/>
      <c r="N878" s="113"/>
      <c r="O878" s="113"/>
      <c r="P878" s="113"/>
      <c r="Q878" s="113"/>
      <c r="R878" s="113"/>
      <c r="S878" s="113"/>
      <c r="T878" s="113"/>
      <c r="U878" s="113"/>
      <c r="V878" s="113"/>
      <c r="W878" s="113"/>
      <c r="X878" s="113"/>
      <c r="Y878" s="113"/>
      <c r="Z878" s="113"/>
      <c r="AA878" s="113"/>
      <c r="AB878" s="113"/>
      <c r="AC878" s="113"/>
      <c r="AD878" s="113"/>
      <c r="AE878" s="113"/>
      <c r="AF878" s="113"/>
      <c r="AG878" s="113"/>
    </row>
    <row r="879" spans="1:33" ht="13.8">
      <c r="A879" s="113"/>
      <c r="B879" s="113"/>
      <c r="C879" s="113"/>
      <c r="D879" s="111"/>
      <c r="E879" s="113"/>
      <c r="F879" s="111"/>
      <c r="G879" s="113"/>
      <c r="H879" s="111"/>
      <c r="I879" s="113"/>
      <c r="J879" s="113"/>
      <c r="K879" s="113"/>
      <c r="L879" s="113"/>
      <c r="M879" s="113"/>
      <c r="N879" s="113"/>
      <c r="O879" s="113"/>
      <c r="P879" s="113"/>
      <c r="Q879" s="113"/>
      <c r="R879" s="113"/>
      <c r="S879" s="113"/>
      <c r="T879" s="113"/>
      <c r="U879" s="113"/>
      <c r="V879" s="113"/>
      <c r="W879" s="113"/>
      <c r="X879" s="113"/>
      <c r="Y879" s="113"/>
      <c r="Z879" s="113"/>
      <c r="AA879" s="113"/>
      <c r="AB879" s="113"/>
      <c r="AC879" s="113"/>
      <c r="AD879" s="113"/>
      <c r="AE879" s="113"/>
      <c r="AF879" s="113"/>
      <c r="AG879" s="113"/>
    </row>
    <row r="880" spans="1:33" ht="13.8">
      <c r="A880" s="113"/>
      <c r="B880" s="113"/>
      <c r="C880" s="113"/>
      <c r="D880" s="111"/>
      <c r="E880" s="113"/>
      <c r="F880" s="111"/>
      <c r="G880" s="113"/>
      <c r="H880" s="111"/>
      <c r="I880" s="113"/>
      <c r="J880" s="113"/>
      <c r="K880" s="113"/>
      <c r="L880" s="113"/>
      <c r="M880" s="113"/>
      <c r="N880" s="113"/>
      <c r="O880" s="113"/>
      <c r="P880" s="113"/>
      <c r="Q880" s="113"/>
      <c r="R880" s="113"/>
      <c r="S880" s="113"/>
      <c r="T880" s="113"/>
      <c r="U880" s="113"/>
      <c r="V880" s="113"/>
      <c r="W880" s="113"/>
      <c r="X880" s="113"/>
      <c r="Y880" s="113"/>
      <c r="Z880" s="113"/>
      <c r="AA880" s="113"/>
      <c r="AB880" s="113"/>
      <c r="AC880" s="113"/>
      <c r="AD880" s="113"/>
      <c r="AE880" s="113"/>
      <c r="AF880" s="113"/>
      <c r="AG880" s="113"/>
    </row>
    <row r="881" spans="1:33" ht="13.8">
      <c r="A881" s="113"/>
      <c r="B881" s="113"/>
      <c r="C881" s="113"/>
      <c r="D881" s="111"/>
      <c r="E881" s="113"/>
      <c r="F881" s="111"/>
      <c r="G881" s="113"/>
      <c r="H881" s="111"/>
      <c r="I881" s="113"/>
      <c r="J881" s="113"/>
      <c r="K881" s="113"/>
      <c r="L881" s="113"/>
      <c r="M881" s="113"/>
      <c r="N881" s="113"/>
      <c r="O881" s="113"/>
      <c r="P881" s="113"/>
      <c r="Q881" s="113"/>
      <c r="R881" s="113"/>
      <c r="S881" s="113"/>
      <c r="T881" s="113"/>
      <c r="U881" s="113"/>
      <c r="V881" s="113"/>
      <c r="W881" s="113"/>
      <c r="X881" s="113"/>
      <c r="Y881" s="113"/>
      <c r="Z881" s="113"/>
      <c r="AA881" s="113"/>
      <c r="AB881" s="113"/>
      <c r="AC881" s="113"/>
      <c r="AD881" s="113"/>
      <c r="AE881" s="113"/>
      <c r="AF881" s="113"/>
      <c r="AG881" s="113"/>
    </row>
    <row r="882" spans="1:33" ht="13.8">
      <c r="A882" s="113"/>
      <c r="B882" s="113"/>
      <c r="C882" s="113"/>
      <c r="D882" s="111"/>
      <c r="E882" s="113"/>
      <c r="F882" s="111"/>
      <c r="G882" s="113"/>
      <c r="H882" s="111"/>
      <c r="I882" s="113"/>
      <c r="J882" s="113"/>
      <c r="K882" s="113"/>
      <c r="L882" s="113"/>
      <c r="M882" s="113"/>
      <c r="N882" s="113"/>
      <c r="O882" s="113"/>
      <c r="P882" s="113"/>
      <c r="Q882" s="113"/>
      <c r="R882" s="113"/>
      <c r="S882" s="113"/>
      <c r="T882" s="113"/>
      <c r="U882" s="113"/>
      <c r="V882" s="113"/>
      <c r="W882" s="113"/>
      <c r="X882" s="113"/>
      <c r="Y882" s="113"/>
      <c r="Z882" s="113"/>
      <c r="AA882" s="113"/>
      <c r="AB882" s="113"/>
      <c r="AC882" s="113"/>
      <c r="AD882" s="113"/>
      <c r="AE882" s="113"/>
      <c r="AF882" s="113"/>
      <c r="AG882" s="113"/>
    </row>
    <row r="883" spans="1:33" ht="13.8">
      <c r="A883" s="113"/>
      <c r="B883" s="113"/>
      <c r="C883" s="113"/>
      <c r="D883" s="111"/>
      <c r="E883" s="113"/>
      <c r="F883" s="111"/>
      <c r="G883" s="113"/>
      <c r="H883" s="111"/>
      <c r="I883" s="113"/>
      <c r="J883" s="113"/>
      <c r="K883" s="113"/>
      <c r="L883" s="113"/>
      <c r="M883" s="113"/>
      <c r="N883" s="113"/>
      <c r="O883" s="113"/>
      <c r="P883" s="113"/>
      <c r="Q883" s="113"/>
      <c r="R883" s="113"/>
      <c r="S883" s="113"/>
      <c r="T883" s="113"/>
      <c r="U883" s="113"/>
      <c r="V883" s="113"/>
      <c r="W883" s="113"/>
      <c r="X883" s="113"/>
      <c r="Y883" s="113"/>
      <c r="Z883" s="113"/>
      <c r="AA883" s="113"/>
      <c r="AB883" s="113"/>
      <c r="AC883" s="113"/>
      <c r="AD883" s="113"/>
      <c r="AE883" s="113"/>
      <c r="AF883" s="113"/>
      <c r="AG883" s="113"/>
    </row>
    <row r="884" spans="1:33" ht="13.8">
      <c r="A884" s="113"/>
      <c r="B884" s="113"/>
      <c r="C884" s="113"/>
      <c r="D884" s="111"/>
      <c r="E884" s="113"/>
      <c r="F884" s="111"/>
      <c r="G884" s="113"/>
      <c r="H884" s="111"/>
      <c r="I884" s="113"/>
      <c r="J884" s="113"/>
      <c r="K884" s="113"/>
      <c r="L884" s="113"/>
      <c r="M884" s="113"/>
      <c r="N884" s="113"/>
      <c r="O884" s="113"/>
      <c r="P884" s="113"/>
      <c r="Q884" s="113"/>
      <c r="R884" s="113"/>
      <c r="S884" s="113"/>
      <c r="T884" s="113"/>
      <c r="U884" s="113"/>
      <c r="V884" s="113"/>
      <c r="W884" s="113"/>
      <c r="X884" s="113"/>
      <c r="Y884" s="113"/>
      <c r="Z884" s="113"/>
      <c r="AA884" s="113"/>
      <c r="AB884" s="113"/>
      <c r="AC884" s="113"/>
      <c r="AD884" s="113"/>
      <c r="AE884" s="113"/>
      <c r="AF884" s="113"/>
      <c r="AG884" s="113"/>
    </row>
    <row r="885" spans="1:33" ht="13.8">
      <c r="A885" s="113"/>
      <c r="B885" s="113"/>
      <c r="C885" s="113"/>
      <c r="D885" s="111"/>
      <c r="E885" s="113"/>
      <c r="F885" s="111"/>
      <c r="G885" s="113"/>
      <c r="H885" s="111"/>
      <c r="I885" s="113"/>
      <c r="J885" s="113"/>
      <c r="K885" s="113"/>
      <c r="L885" s="113"/>
      <c r="M885" s="113"/>
      <c r="N885" s="113"/>
      <c r="O885" s="113"/>
      <c r="P885" s="113"/>
      <c r="Q885" s="113"/>
      <c r="R885" s="113"/>
      <c r="S885" s="113"/>
      <c r="T885" s="113"/>
      <c r="U885" s="113"/>
      <c r="V885" s="113"/>
      <c r="W885" s="113"/>
      <c r="X885" s="113"/>
      <c r="Y885" s="113"/>
      <c r="Z885" s="113"/>
      <c r="AA885" s="113"/>
      <c r="AB885" s="113"/>
      <c r="AC885" s="113"/>
      <c r="AD885" s="113"/>
      <c r="AE885" s="113"/>
      <c r="AF885" s="113"/>
      <c r="AG885" s="113"/>
    </row>
    <row r="886" spans="1:33" ht="13.8">
      <c r="A886" s="113"/>
      <c r="B886" s="113"/>
      <c r="C886" s="113"/>
      <c r="D886" s="111"/>
      <c r="E886" s="113"/>
      <c r="F886" s="111"/>
      <c r="G886" s="113"/>
      <c r="H886" s="111"/>
      <c r="I886" s="113"/>
      <c r="J886" s="113"/>
      <c r="K886" s="113"/>
      <c r="L886" s="113"/>
      <c r="M886" s="113"/>
      <c r="N886" s="113"/>
      <c r="O886" s="113"/>
      <c r="P886" s="113"/>
      <c r="Q886" s="113"/>
      <c r="R886" s="113"/>
      <c r="S886" s="113"/>
      <c r="T886" s="113"/>
      <c r="U886" s="113"/>
      <c r="V886" s="113"/>
      <c r="W886" s="113"/>
      <c r="X886" s="113"/>
      <c r="Y886" s="113"/>
      <c r="Z886" s="113"/>
      <c r="AA886" s="113"/>
      <c r="AB886" s="113"/>
      <c r="AC886" s="113"/>
      <c r="AD886" s="113"/>
      <c r="AE886" s="113"/>
      <c r="AF886" s="113"/>
      <c r="AG886" s="113"/>
    </row>
    <row r="887" spans="1:33" ht="13.8">
      <c r="A887" s="113"/>
      <c r="B887" s="113"/>
      <c r="C887" s="113"/>
      <c r="D887" s="111"/>
      <c r="E887" s="113"/>
      <c r="F887" s="111"/>
      <c r="G887" s="113"/>
      <c r="H887" s="111"/>
      <c r="I887" s="113"/>
      <c r="J887" s="113"/>
      <c r="K887" s="113"/>
      <c r="L887" s="113"/>
      <c r="M887" s="113"/>
      <c r="N887" s="113"/>
      <c r="O887" s="113"/>
      <c r="P887" s="113"/>
      <c r="Q887" s="113"/>
      <c r="R887" s="113"/>
      <c r="S887" s="113"/>
      <c r="T887" s="113"/>
      <c r="U887" s="113"/>
      <c r="V887" s="113"/>
      <c r="W887" s="113"/>
      <c r="X887" s="113"/>
      <c r="Y887" s="113"/>
      <c r="Z887" s="113"/>
      <c r="AA887" s="113"/>
      <c r="AB887" s="113"/>
      <c r="AC887" s="113"/>
      <c r="AD887" s="113"/>
      <c r="AE887" s="113"/>
      <c r="AF887" s="113"/>
      <c r="AG887" s="113"/>
    </row>
    <row r="888" spans="1:33" ht="13.8">
      <c r="A888" s="113"/>
      <c r="B888" s="113"/>
      <c r="C888" s="113"/>
      <c r="D888" s="111"/>
      <c r="E888" s="113"/>
      <c r="F888" s="111"/>
      <c r="G888" s="113"/>
      <c r="H888" s="111"/>
      <c r="I888" s="113"/>
      <c r="J888" s="113"/>
      <c r="K888" s="113"/>
      <c r="L888" s="113"/>
      <c r="M888" s="113"/>
      <c r="N888" s="113"/>
      <c r="O888" s="113"/>
      <c r="P888" s="113"/>
      <c r="Q888" s="113"/>
      <c r="R888" s="113"/>
      <c r="S888" s="113"/>
      <c r="T888" s="113"/>
      <c r="U888" s="113"/>
      <c r="V888" s="113"/>
      <c r="W888" s="113"/>
      <c r="X888" s="113"/>
      <c r="Y888" s="113"/>
      <c r="Z888" s="113"/>
      <c r="AA888" s="113"/>
      <c r="AB888" s="113"/>
      <c r="AC888" s="113"/>
      <c r="AD888" s="113"/>
      <c r="AE888" s="113"/>
      <c r="AF888" s="113"/>
      <c r="AG888" s="113"/>
    </row>
    <row r="889" spans="1:33" ht="13.8">
      <c r="A889" s="113"/>
      <c r="B889" s="113"/>
      <c r="C889" s="113"/>
      <c r="D889" s="111"/>
      <c r="E889" s="113"/>
      <c r="F889" s="111"/>
      <c r="G889" s="113"/>
      <c r="H889" s="111"/>
      <c r="I889" s="113"/>
      <c r="J889" s="113"/>
      <c r="K889" s="113"/>
      <c r="L889" s="113"/>
      <c r="M889" s="113"/>
      <c r="N889" s="113"/>
      <c r="O889" s="113"/>
      <c r="P889" s="113"/>
      <c r="Q889" s="113"/>
      <c r="R889" s="113"/>
      <c r="S889" s="113"/>
      <c r="T889" s="113"/>
      <c r="U889" s="113"/>
      <c r="V889" s="113"/>
      <c r="W889" s="113"/>
      <c r="X889" s="113"/>
      <c r="Y889" s="113"/>
      <c r="Z889" s="113"/>
      <c r="AA889" s="113"/>
      <c r="AB889" s="113"/>
      <c r="AC889" s="113"/>
      <c r="AD889" s="113"/>
      <c r="AE889" s="113"/>
      <c r="AF889" s="113"/>
      <c r="AG889" s="113"/>
    </row>
    <row r="890" spans="1:33" ht="13.8">
      <c r="A890" s="113"/>
      <c r="B890" s="113"/>
      <c r="C890" s="113"/>
      <c r="D890" s="111"/>
      <c r="E890" s="113"/>
      <c r="F890" s="111"/>
      <c r="G890" s="113"/>
      <c r="H890" s="111"/>
      <c r="I890" s="113"/>
      <c r="J890" s="113"/>
      <c r="K890" s="113"/>
      <c r="L890" s="113"/>
      <c r="M890" s="113"/>
      <c r="N890" s="113"/>
      <c r="O890" s="113"/>
      <c r="P890" s="113"/>
      <c r="Q890" s="113"/>
      <c r="R890" s="113"/>
      <c r="S890" s="113"/>
      <c r="T890" s="113"/>
      <c r="U890" s="113"/>
      <c r="V890" s="113"/>
      <c r="W890" s="113"/>
      <c r="X890" s="113"/>
      <c r="Y890" s="113"/>
      <c r="Z890" s="113"/>
      <c r="AA890" s="113"/>
      <c r="AB890" s="113"/>
      <c r="AC890" s="113"/>
      <c r="AD890" s="113"/>
      <c r="AE890" s="113"/>
      <c r="AF890" s="113"/>
      <c r="AG890" s="113"/>
    </row>
    <row r="891" spans="1:33" ht="13.8">
      <c r="A891" s="113"/>
      <c r="B891" s="113"/>
      <c r="C891" s="113"/>
      <c r="D891" s="111"/>
      <c r="E891" s="113"/>
      <c r="F891" s="111"/>
      <c r="G891" s="113"/>
      <c r="H891" s="111"/>
      <c r="I891" s="113"/>
      <c r="J891" s="113"/>
      <c r="K891" s="113"/>
      <c r="L891" s="113"/>
      <c r="M891" s="113"/>
      <c r="N891" s="113"/>
      <c r="O891" s="113"/>
      <c r="P891" s="113"/>
      <c r="Q891" s="113"/>
      <c r="R891" s="113"/>
      <c r="S891" s="113"/>
      <c r="T891" s="113"/>
      <c r="U891" s="113"/>
      <c r="V891" s="113"/>
      <c r="W891" s="113"/>
      <c r="X891" s="113"/>
      <c r="Y891" s="113"/>
      <c r="Z891" s="113"/>
      <c r="AA891" s="113"/>
      <c r="AB891" s="113"/>
      <c r="AC891" s="113"/>
      <c r="AD891" s="113"/>
      <c r="AE891" s="113"/>
      <c r="AF891" s="113"/>
      <c r="AG891" s="113"/>
    </row>
    <row r="892" spans="1:33" ht="13.8">
      <c r="A892" s="113"/>
      <c r="B892" s="113"/>
      <c r="C892" s="113"/>
      <c r="D892" s="111"/>
      <c r="E892" s="113"/>
      <c r="F892" s="111"/>
      <c r="G892" s="113"/>
      <c r="H892" s="111"/>
      <c r="I892" s="113"/>
      <c r="J892" s="113"/>
      <c r="K892" s="113"/>
      <c r="L892" s="113"/>
      <c r="M892" s="113"/>
      <c r="N892" s="113"/>
      <c r="O892" s="113"/>
      <c r="P892" s="113"/>
      <c r="Q892" s="113"/>
      <c r="R892" s="113"/>
      <c r="S892" s="113"/>
      <c r="T892" s="113"/>
      <c r="U892" s="113"/>
      <c r="V892" s="113"/>
      <c r="W892" s="113"/>
      <c r="X892" s="113"/>
      <c r="Y892" s="113"/>
      <c r="Z892" s="113"/>
      <c r="AA892" s="113"/>
      <c r="AB892" s="113"/>
      <c r="AC892" s="113"/>
      <c r="AD892" s="113"/>
      <c r="AE892" s="113"/>
      <c r="AF892" s="113"/>
      <c r="AG892" s="113"/>
    </row>
    <row r="893" spans="1:33" ht="13.8">
      <c r="A893" s="113"/>
      <c r="B893" s="113"/>
      <c r="C893" s="113"/>
      <c r="D893" s="111"/>
      <c r="E893" s="113"/>
      <c r="F893" s="111"/>
      <c r="G893" s="113"/>
      <c r="H893" s="111"/>
      <c r="I893" s="113"/>
      <c r="J893" s="113"/>
      <c r="K893" s="113"/>
      <c r="L893" s="113"/>
      <c r="M893" s="113"/>
      <c r="N893" s="113"/>
      <c r="O893" s="113"/>
      <c r="P893" s="113"/>
      <c r="Q893" s="113"/>
      <c r="R893" s="113"/>
      <c r="S893" s="113"/>
      <c r="T893" s="113"/>
      <c r="U893" s="113"/>
      <c r="V893" s="113"/>
      <c r="W893" s="113"/>
      <c r="X893" s="113"/>
      <c r="Y893" s="113"/>
      <c r="Z893" s="113"/>
      <c r="AA893" s="113"/>
      <c r="AB893" s="113"/>
      <c r="AC893" s="113"/>
      <c r="AD893" s="113"/>
      <c r="AE893" s="113"/>
      <c r="AF893" s="113"/>
      <c r="AG893" s="113"/>
    </row>
    <row r="894" spans="1:33" ht="13.8">
      <c r="A894" s="113"/>
      <c r="B894" s="113"/>
      <c r="C894" s="113"/>
      <c r="D894" s="111"/>
      <c r="E894" s="113"/>
      <c r="F894" s="111"/>
      <c r="G894" s="113"/>
      <c r="H894" s="111"/>
      <c r="I894" s="113"/>
      <c r="J894" s="113"/>
      <c r="K894" s="113"/>
      <c r="L894" s="113"/>
      <c r="M894" s="113"/>
      <c r="N894" s="113"/>
      <c r="O894" s="113"/>
      <c r="P894" s="113"/>
      <c r="Q894" s="113"/>
      <c r="R894" s="113"/>
      <c r="S894" s="113"/>
      <c r="T894" s="113"/>
      <c r="U894" s="113"/>
      <c r="V894" s="113"/>
      <c r="W894" s="113"/>
      <c r="X894" s="113"/>
      <c r="Y894" s="113"/>
      <c r="Z894" s="113"/>
      <c r="AA894" s="113"/>
      <c r="AB894" s="113"/>
      <c r="AC894" s="113"/>
      <c r="AD894" s="113"/>
      <c r="AE894" s="113"/>
      <c r="AF894" s="113"/>
      <c r="AG894" s="113"/>
    </row>
    <row r="895" spans="1:33" ht="13.8">
      <c r="A895" s="113"/>
      <c r="B895" s="113"/>
      <c r="C895" s="113"/>
      <c r="D895" s="111"/>
      <c r="E895" s="113"/>
      <c r="F895" s="111"/>
      <c r="G895" s="113"/>
      <c r="H895" s="111"/>
      <c r="I895" s="113"/>
      <c r="J895" s="113"/>
      <c r="K895" s="113"/>
      <c r="L895" s="113"/>
      <c r="M895" s="113"/>
      <c r="N895" s="113"/>
      <c r="O895" s="113"/>
      <c r="P895" s="113"/>
      <c r="Q895" s="113"/>
      <c r="R895" s="113"/>
      <c r="S895" s="113"/>
      <c r="T895" s="113"/>
      <c r="U895" s="113"/>
      <c r="V895" s="113"/>
      <c r="W895" s="113"/>
      <c r="X895" s="113"/>
      <c r="Y895" s="113"/>
      <c r="Z895" s="113"/>
      <c r="AA895" s="113"/>
      <c r="AB895" s="113"/>
      <c r="AC895" s="113"/>
      <c r="AD895" s="113"/>
      <c r="AE895" s="113"/>
      <c r="AF895" s="113"/>
      <c r="AG895" s="113"/>
    </row>
    <row r="896" spans="1:33" ht="13.8">
      <c r="A896" s="113"/>
      <c r="B896" s="113"/>
      <c r="C896" s="113"/>
      <c r="D896" s="111"/>
      <c r="E896" s="113"/>
      <c r="F896" s="111"/>
      <c r="G896" s="113"/>
      <c r="H896" s="111"/>
      <c r="I896" s="113"/>
      <c r="J896" s="113"/>
      <c r="K896" s="113"/>
      <c r="L896" s="113"/>
      <c r="M896" s="113"/>
      <c r="N896" s="113"/>
      <c r="O896" s="113"/>
      <c r="P896" s="113"/>
      <c r="Q896" s="113"/>
      <c r="R896" s="113"/>
      <c r="S896" s="113"/>
      <c r="T896" s="113"/>
      <c r="U896" s="113"/>
      <c r="V896" s="113"/>
      <c r="W896" s="113"/>
      <c r="X896" s="113"/>
      <c r="Y896" s="113"/>
      <c r="Z896" s="113"/>
      <c r="AA896" s="113"/>
      <c r="AB896" s="113"/>
      <c r="AC896" s="113"/>
      <c r="AD896" s="113"/>
      <c r="AE896" s="113"/>
      <c r="AF896" s="113"/>
      <c r="AG896" s="113"/>
    </row>
    <row r="897" spans="1:33" ht="13.8">
      <c r="A897" s="113"/>
      <c r="B897" s="113"/>
      <c r="C897" s="113"/>
      <c r="D897" s="111"/>
      <c r="E897" s="113"/>
      <c r="F897" s="111"/>
      <c r="G897" s="113"/>
      <c r="H897" s="111"/>
      <c r="I897" s="113"/>
      <c r="J897" s="113"/>
      <c r="K897" s="113"/>
      <c r="L897" s="113"/>
      <c r="M897" s="113"/>
      <c r="N897" s="113"/>
      <c r="O897" s="113"/>
      <c r="P897" s="113"/>
      <c r="Q897" s="113"/>
      <c r="R897" s="113"/>
      <c r="S897" s="113"/>
      <c r="T897" s="113"/>
      <c r="U897" s="113"/>
      <c r="V897" s="113"/>
      <c r="W897" s="113"/>
      <c r="X897" s="113"/>
      <c r="Y897" s="113"/>
      <c r="Z897" s="113"/>
      <c r="AA897" s="113"/>
      <c r="AB897" s="113"/>
      <c r="AC897" s="113"/>
      <c r="AD897" s="113"/>
      <c r="AE897" s="113"/>
      <c r="AF897" s="113"/>
      <c r="AG897" s="113"/>
    </row>
    <row r="898" spans="1:33" ht="13.8">
      <c r="A898" s="113"/>
      <c r="B898" s="113"/>
      <c r="C898" s="113"/>
      <c r="D898" s="111"/>
      <c r="E898" s="113"/>
      <c r="F898" s="111"/>
      <c r="G898" s="113"/>
      <c r="H898" s="111"/>
      <c r="I898" s="113"/>
      <c r="J898" s="113"/>
      <c r="K898" s="113"/>
      <c r="L898" s="113"/>
      <c r="M898" s="113"/>
      <c r="N898" s="113"/>
      <c r="O898" s="113"/>
      <c r="P898" s="113"/>
      <c r="Q898" s="113"/>
      <c r="R898" s="113"/>
      <c r="S898" s="113"/>
      <c r="T898" s="113"/>
      <c r="U898" s="113"/>
      <c r="V898" s="113"/>
      <c r="W898" s="113"/>
      <c r="X898" s="113"/>
      <c r="Y898" s="113"/>
      <c r="Z898" s="113"/>
      <c r="AA898" s="113"/>
      <c r="AB898" s="113"/>
      <c r="AC898" s="113"/>
      <c r="AD898" s="113"/>
      <c r="AE898" s="113"/>
      <c r="AF898" s="113"/>
      <c r="AG898" s="113"/>
    </row>
    <row r="899" spans="1:33" ht="13.8">
      <c r="A899" s="113"/>
      <c r="B899" s="113"/>
      <c r="C899" s="113"/>
      <c r="D899" s="111"/>
      <c r="E899" s="113"/>
      <c r="F899" s="111"/>
      <c r="G899" s="113"/>
      <c r="H899" s="111"/>
      <c r="I899" s="113"/>
      <c r="J899" s="113"/>
      <c r="K899" s="113"/>
      <c r="L899" s="113"/>
      <c r="M899" s="113"/>
      <c r="N899" s="113"/>
      <c r="O899" s="113"/>
      <c r="P899" s="113"/>
      <c r="Q899" s="113"/>
      <c r="R899" s="113"/>
      <c r="S899" s="113"/>
      <c r="T899" s="113"/>
      <c r="U899" s="113"/>
      <c r="V899" s="113"/>
      <c r="W899" s="113"/>
      <c r="X899" s="113"/>
      <c r="Y899" s="113"/>
      <c r="Z899" s="113"/>
      <c r="AA899" s="113"/>
      <c r="AB899" s="113"/>
      <c r="AC899" s="113"/>
      <c r="AD899" s="113"/>
      <c r="AE899" s="113"/>
      <c r="AF899" s="113"/>
      <c r="AG899" s="113"/>
    </row>
    <row r="900" spans="1:33" ht="13.8">
      <c r="A900" s="113"/>
      <c r="B900" s="113"/>
      <c r="C900" s="113"/>
      <c r="D900" s="111"/>
      <c r="E900" s="113"/>
      <c r="F900" s="111"/>
      <c r="G900" s="113"/>
      <c r="H900" s="111"/>
      <c r="I900" s="113"/>
      <c r="J900" s="113"/>
      <c r="K900" s="113"/>
      <c r="L900" s="113"/>
      <c r="M900" s="113"/>
      <c r="N900" s="113"/>
      <c r="O900" s="113"/>
      <c r="P900" s="113"/>
      <c r="Q900" s="113"/>
      <c r="R900" s="113"/>
      <c r="S900" s="113"/>
      <c r="T900" s="113"/>
      <c r="U900" s="113"/>
      <c r="V900" s="113"/>
      <c r="W900" s="113"/>
      <c r="X900" s="113"/>
      <c r="Y900" s="113"/>
      <c r="Z900" s="113"/>
      <c r="AA900" s="113"/>
      <c r="AB900" s="113"/>
      <c r="AC900" s="113"/>
      <c r="AD900" s="113"/>
      <c r="AE900" s="113"/>
      <c r="AF900" s="113"/>
      <c r="AG900" s="113"/>
    </row>
    <row r="901" spans="1:33" ht="13.8">
      <c r="A901" s="113"/>
      <c r="B901" s="113"/>
      <c r="C901" s="113"/>
      <c r="D901" s="111"/>
      <c r="E901" s="113"/>
      <c r="F901" s="111"/>
      <c r="G901" s="113"/>
      <c r="H901" s="111"/>
      <c r="I901" s="113"/>
      <c r="J901" s="113"/>
      <c r="K901" s="113"/>
      <c r="L901" s="113"/>
      <c r="M901" s="113"/>
      <c r="N901" s="113"/>
      <c r="O901" s="113"/>
      <c r="P901" s="113"/>
      <c r="Q901" s="113"/>
      <c r="R901" s="113"/>
      <c r="S901" s="113"/>
      <c r="T901" s="113"/>
      <c r="U901" s="113"/>
      <c r="V901" s="113"/>
      <c r="W901" s="113"/>
      <c r="X901" s="113"/>
      <c r="Y901" s="113"/>
      <c r="Z901" s="113"/>
      <c r="AA901" s="113"/>
      <c r="AB901" s="113"/>
      <c r="AC901" s="113"/>
      <c r="AD901" s="113"/>
      <c r="AE901" s="113"/>
      <c r="AF901" s="113"/>
      <c r="AG901" s="113"/>
    </row>
    <row r="902" spans="1:33" ht="13.8">
      <c r="A902" s="113"/>
      <c r="B902" s="113"/>
      <c r="C902" s="113"/>
      <c r="D902" s="111"/>
      <c r="E902" s="113"/>
      <c r="F902" s="111"/>
      <c r="G902" s="113"/>
      <c r="H902" s="111"/>
      <c r="I902" s="113"/>
      <c r="J902" s="113"/>
      <c r="K902" s="113"/>
      <c r="L902" s="113"/>
      <c r="M902" s="113"/>
      <c r="N902" s="113"/>
      <c r="O902" s="113"/>
      <c r="P902" s="113"/>
      <c r="Q902" s="113"/>
      <c r="R902" s="113"/>
      <c r="S902" s="113"/>
      <c r="T902" s="113"/>
      <c r="U902" s="113"/>
      <c r="V902" s="113"/>
      <c r="W902" s="113"/>
      <c r="X902" s="113"/>
      <c r="Y902" s="113"/>
      <c r="Z902" s="113"/>
      <c r="AA902" s="113"/>
      <c r="AB902" s="113"/>
      <c r="AC902" s="113"/>
      <c r="AD902" s="113"/>
      <c r="AE902" s="113"/>
      <c r="AF902" s="113"/>
      <c r="AG902" s="113"/>
    </row>
    <row r="903" spans="1:33" ht="13.8">
      <c r="A903" s="113"/>
      <c r="B903" s="113"/>
      <c r="C903" s="113"/>
      <c r="D903" s="111"/>
      <c r="E903" s="113"/>
      <c r="F903" s="111"/>
      <c r="G903" s="113"/>
      <c r="H903" s="111"/>
      <c r="I903" s="113"/>
      <c r="J903" s="113"/>
      <c r="K903" s="113"/>
      <c r="L903" s="113"/>
      <c r="M903" s="113"/>
      <c r="N903" s="113"/>
      <c r="O903" s="113"/>
      <c r="P903" s="113"/>
      <c r="Q903" s="113"/>
      <c r="R903" s="113"/>
      <c r="S903" s="113"/>
      <c r="T903" s="113"/>
      <c r="U903" s="113"/>
      <c r="V903" s="113"/>
      <c r="W903" s="113"/>
      <c r="X903" s="113"/>
      <c r="Y903" s="113"/>
      <c r="Z903" s="113"/>
      <c r="AA903" s="113"/>
      <c r="AB903" s="113"/>
      <c r="AC903" s="113"/>
      <c r="AD903" s="113"/>
      <c r="AE903" s="113"/>
      <c r="AF903" s="113"/>
      <c r="AG903" s="113"/>
    </row>
    <row r="904" spans="1:33" ht="13.8">
      <c r="A904" s="113"/>
      <c r="B904" s="113"/>
      <c r="C904" s="113"/>
      <c r="D904" s="111"/>
      <c r="E904" s="113"/>
      <c r="F904" s="111"/>
      <c r="G904" s="113"/>
      <c r="H904" s="111"/>
      <c r="I904" s="113"/>
      <c r="J904" s="113"/>
      <c r="K904" s="113"/>
      <c r="L904" s="113"/>
      <c r="M904" s="113"/>
      <c r="N904" s="113"/>
      <c r="O904" s="113"/>
      <c r="P904" s="113"/>
      <c r="Q904" s="113"/>
      <c r="R904" s="113"/>
      <c r="S904" s="113"/>
      <c r="T904" s="113"/>
      <c r="U904" s="113"/>
      <c r="V904" s="113"/>
      <c r="W904" s="113"/>
      <c r="X904" s="113"/>
      <c r="Y904" s="113"/>
      <c r="Z904" s="113"/>
      <c r="AA904" s="113"/>
      <c r="AB904" s="113"/>
      <c r="AC904" s="113"/>
      <c r="AD904" s="113"/>
      <c r="AE904" s="113"/>
      <c r="AF904" s="113"/>
      <c r="AG904" s="113"/>
    </row>
    <row r="905" spans="1:33" ht="13.8">
      <c r="A905" s="113"/>
      <c r="B905" s="113"/>
      <c r="C905" s="113"/>
      <c r="D905" s="111"/>
      <c r="E905" s="113"/>
      <c r="F905" s="111"/>
      <c r="G905" s="113"/>
      <c r="H905" s="111"/>
      <c r="I905" s="113"/>
      <c r="J905" s="113"/>
      <c r="K905" s="113"/>
      <c r="L905" s="113"/>
      <c r="M905" s="113"/>
      <c r="N905" s="113"/>
      <c r="O905" s="113"/>
      <c r="P905" s="113"/>
      <c r="Q905" s="113"/>
      <c r="R905" s="113"/>
      <c r="S905" s="113"/>
      <c r="T905" s="113"/>
      <c r="U905" s="113"/>
      <c r="V905" s="113"/>
      <c r="W905" s="113"/>
      <c r="X905" s="113"/>
      <c r="Y905" s="113"/>
      <c r="Z905" s="113"/>
      <c r="AA905" s="113"/>
      <c r="AB905" s="113"/>
      <c r="AC905" s="113"/>
      <c r="AD905" s="113"/>
      <c r="AE905" s="113"/>
      <c r="AF905" s="113"/>
      <c r="AG905" s="113"/>
    </row>
    <row r="906" spans="1:33" ht="13.8">
      <c r="A906" s="113"/>
      <c r="B906" s="113"/>
      <c r="C906" s="113"/>
      <c r="D906" s="111"/>
      <c r="E906" s="113"/>
      <c r="F906" s="111"/>
      <c r="G906" s="113"/>
      <c r="H906" s="111"/>
      <c r="I906" s="113"/>
      <c r="J906" s="113"/>
      <c r="K906" s="113"/>
      <c r="L906" s="113"/>
      <c r="M906" s="113"/>
      <c r="N906" s="113"/>
      <c r="O906" s="113"/>
      <c r="P906" s="113"/>
      <c r="Q906" s="113"/>
      <c r="R906" s="113"/>
      <c r="S906" s="113"/>
      <c r="T906" s="113"/>
      <c r="U906" s="113"/>
      <c r="V906" s="113"/>
      <c r="W906" s="113"/>
      <c r="X906" s="113"/>
      <c r="Y906" s="113"/>
      <c r="Z906" s="113"/>
      <c r="AA906" s="113"/>
      <c r="AB906" s="113"/>
      <c r="AC906" s="113"/>
      <c r="AD906" s="113"/>
      <c r="AE906" s="113"/>
      <c r="AF906" s="113"/>
      <c r="AG906" s="113"/>
    </row>
    <row r="907" spans="1:33" ht="13.8">
      <c r="A907" s="113"/>
      <c r="B907" s="113"/>
      <c r="C907" s="113"/>
      <c r="D907" s="111"/>
      <c r="E907" s="113"/>
      <c r="F907" s="111"/>
      <c r="G907" s="113"/>
      <c r="H907" s="111"/>
      <c r="I907" s="113"/>
      <c r="J907" s="113"/>
      <c r="K907" s="113"/>
      <c r="L907" s="113"/>
      <c r="M907" s="113"/>
      <c r="N907" s="113"/>
      <c r="O907" s="113"/>
      <c r="P907" s="113"/>
      <c r="Q907" s="113"/>
      <c r="R907" s="113"/>
      <c r="S907" s="113"/>
      <c r="T907" s="113"/>
      <c r="U907" s="113"/>
      <c r="V907" s="113"/>
      <c r="W907" s="113"/>
      <c r="X907" s="113"/>
      <c r="Y907" s="113"/>
      <c r="Z907" s="113"/>
      <c r="AA907" s="113"/>
      <c r="AB907" s="113"/>
      <c r="AC907" s="113"/>
      <c r="AD907" s="113"/>
      <c r="AE907" s="113"/>
      <c r="AF907" s="113"/>
      <c r="AG907" s="113"/>
    </row>
    <row r="908" spans="1:33" ht="13.8">
      <c r="A908" s="113"/>
      <c r="B908" s="113"/>
      <c r="C908" s="113"/>
      <c r="D908" s="111"/>
      <c r="E908" s="113"/>
      <c r="F908" s="111"/>
      <c r="G908" s="113"/>
      <c r="H908" s="111"/>
      <c r="I908" s="113"/>
      <c r="J908" s="113"/>
      <c r="K908" s="113"/>
      <c r="L908" s="113"/>
      <c r="M908" s="113"/>
      <c r="N908" s="113"/>
      <c r="O908" s="113"/>
      <c r="P908" s="113"/>
      <c r="Q908" s="113"/>
      <c r="R908" s="113"/>
      <c r="S908" s="113"/>
      <c r="T908" s="113"/>
      <c r="U908" s="113"/>
      <c r="V908" s="113"/>
      <c r="W908" s="113"/>
      <c r="X908" s="113"/>
      <c r="Y908" s="113"/>
      <c r="Z908" s="113"/>
      <c r="AA908" s="113"/>
      <c r="AB908" s="113"/>
      <c r="AC908" s="113"/>
      <c r="AD908" s="113"/>
      <c r="AE908" s="113"/>
      <c r="AF908" s="113"/>
      <c r="AG908" s="113"/>
    </row>
    <row r="909" spans="1:33" ht="13.8">
      <c r="A909" s="113"/>
      <c r="B909" s="113"/>
      <c r="C909" s="113"/>
      <c r="D909" s="111"/>
      <c r="E909" s="113"/>
      <c r="F909" s="111"/>
      <c r="G909" s="113"/>
      <c r="H909" s="111"/>
      <c r="I909" s="113"/>
      <c r="J909" s="113"/>
      <c r="K909" s="113"/>
      <c r="L909" s="113"/>
      <c r="M909" s="113"/>
      <c r="N909" s="113"/>
      <c r="O909" s="113"/>
      <c r="P909" s="113"/>
      <c r="Q909" s="113"/>
      <c r="R909" s="113"/>
      <c r="S909" s="113"/>
      <c r="T909" s="113"/>
      <c r="U909" s="113"/>
      <c r="V909" s="113"/>
      <c r="W909" s="113"/>
      <c r="X909" s="113"/>
      <c r="Y909" s="113"/>
      <c r="Z909" s="113"/>
      <c r="AA909" s="113"/>
      <c r="AB909" s="113"/>
      <c r="AC909" s="113"/>
      <c r="AD909" s="113"/>
      <c r="AE909" s="113"/>
      <c r="AF909" s="113"/>
      <c r="AG909" s="113"/>
    </row>
    <row r="910" spans="1:33" ht="13.8">
      <c r="A910" s="113"/>
      <c r="B910" s="113"/>
      <c r="C910" s="113"/>
      <c r="D910" s="111"/>
      <c r="E910" s="113"/>
      <c r="F910" s="111"/>
      <c r="G910" s="113"/>
      <c r="H910" s="111"/>
      <c r="I910" s="113"/>
      <c r="J910" s="113"/>
      <c r="K910" s="113"/>
      <c r="L910" s="113"/>
      <c r="M910" s="113"/>
      <c r="N910" s="113"/>
      <c r="O910" s="113"/>
      <c r="P910" s="113"/>
      <c r="Q910" s="113"/>
      <c r="R910" s="113"/>
      <c r="S910" s="113"/>
      <c r="T910" s="113"/>
      <c r="U910" s="113"/>
      <c r="V910" s="113"/>
      <c r="W910" s="113"/>
      <c r="X910" s="113"/>
      <c r="Y910" s="113"/>
      <c r="Z910" s="113"/>
      <c r="AA910" s="113"/>
      <c r="AB910" s="113"/>
      <c r="AC910" s="113"/>
      <c r="AD910" s="113"/>
      <c r="AE910" s="113"/>
      <c r="AF910" s="113"/>
      <c r="AG910" s="113"/>
    </row>
    <row r="911" spans="1:33" ht="13.8">
      <c r="A911" s="113"/>
      <c r="B911" s="113"/>
      <c r="C911" s="113"/>
      <c r="D911" s="111"/>
      <c r="E911" s="113"/>
      <c r="F911" s="111"/>
      <c r="G911" s="113"/>
      <c r="H911" s="111"/>
      <c r="I911" s="113"/>
      <c r="J911" s="113"/>
      <c r="K911" s="113"/>
      <c r="L911" s="113"/>
      <c r="M911" s="113"/>
      <c r="N911" s="113"/>
      <c r="O911" s="113"/>
      <c r="P911" s="113"/>
      <c r="Q911" s="113"/>
      <c r="R911" s="113"/>
      <c r="S911" s="113"/>
      <c r="T911" s="113"/>
      <c r="U911" s="113"/>
      <c r="V911" s="113"/>
      <c r="W911" s="113"/>
      <c r="X911" s="113"/>
      <c r="Y911" s="113"/>
      <c r="Z911" s="113"/>
      <c r="AA911" s="113"/>
      <c r="AB911" s="113"/>
      <c r="AC911" s="113"/>
      <c r="AD911" s="113"/>
      <c r="AE911" s="113"/>
      <c r="AF911" s="113"/>
      <c r="AG911" s="113"/>
    </row>
    <row r="912" spans="1:33" ht="13.8">
      <c r="A912" s="113"/>
      <c r="B912" s="113"/>
      <c r="C912" s="113"/>
      <c r="D912" s="111"/>
      <c r="E912" s="113"/>
      <c r="F912" s="111"/>
      <c r="G912" s="113"/>
      <c r="H912" s="111"/>
      <c r="I912" s="113"/>
      <c r="J912" s="113"/>
      <c r="K912" s="113"/>
      <c r="L912" s="113"/>
      <c r="M912" s="113"/>
      <c r="N912" s="113"/>
      <c r="O912" s="113"/>
      <c r="P912" s="113"/>
      <c r="Q912" s="113"/>
      <c r="R912" s="113"/>
      <c r="S912" s="113"/>
      <c r="T912" s="113"/>
      <c r="U912" s="113"/>
      <c r="V912" s="113"/>
      <c r="W912" s="113"/>
      <c r="X912" s="113"/>
      <c r="Y912" s="113"/>
      <c r="Z912" s="113"/>
      <c r="AA912" s="113"/>
      <c r="AB912" s="113"/>
      <c r="AC912" s="113"/>
      <c r="AD912" s="113"/>
      <c r="AE912" s="113"/>
      <c r="AF912" s="113"/>
      <c r="AG912" s="113"/>
    </row>
    <row r="913" spans="1:33" ht="13.8">
      <c r="A913" s="113"/>
      <c r="B913" s="113"/>
      <c r="C913" s="113"/>
      <c r="D913" s="111"/>
      <c r="E913" s="113"/>
      <c r="F913" s="111"/>
      <c r="G913" s="113"/>
      <c r="H913" s="111"/>
      <c r="I913" s="113"/>
      <c r="J913" s="113"/>
      <c r="K913" s="113"/>
      <c r="L913" s="113"/>
      <c r="M913" s="113"/>
      <c r="N913" s="113"/>
      <c r="O913" s="113"/>
      <c r="P913" s="113"/>
      <c r="Q913" s="113"/>
      <c r="R913" s="113"/>
      <c r="S913" s="113"/>
      <c r="T913" s="113"/>
      <c r="U913" s="113"/>
      <c r="V913" s="113"/>
      <c r="W913" s="113"/>
      <c r="X913" s="113"/>
      <c r="Y913" s="113"/>
      <c r="Z913" s="113"/>
      <c r="AA913" s="113"/>
      <c r="AB913" s="113"/>
      <c r="AC913" s="113"/>
      <c r="AD913" s="113"/>
      <c r="AE913" s="113"/>
      <c r="AF913" s="113"/>
      <c r="AG913" s="113"/>
    </row>
    <row r="914" spans="1:33" ht="13.8">
      <c r="A914" s="113"/>
      <c r="B914" s="113"/>
      <c r="C914" s="113"/>
      <c r="D914" s="111"/>
      <c r="E914" s="113"/>
      <c r="F914" s="111"/>
      <c r="G914" s="113"/>
      <c r="H914" s="111"/>
      <c r="I914" s="113"/>
      <c r="J914" s="113"/>
      <c r="K914" s="113"/>
      <c r="L914" s="113"/>
      <c r="M914" s="113"/>
      <c r="N914" s="113"/>
      <c r="O914" s="113"/>
      <c r="P914" s="113"/>
      <c r="Q914" s="113"/>
      <c r="R914" s="113"/>
      <c r="S914" s="113"/>
      <c r="T914" s="113"/>
      <c r="U914" s="113"/>
      <c r="V914" s="113"/>
      <c r="W914" s="113"/>
      <c r="X914" s="113"/>
      <c r="Y914" s="113"/>
      <c r="Z914" s="113"/>
      <c r="AA914" s="113"/>
      <c r="AB914" s="113"/>
      <c r="AC914" s="113"/>
      <c r="AD914" s="113"/>
      <c r="AE914" s="113"/>
      <c r="AF914" s="113"/>
      <c r="AG914" s="113"/>
    </row>
    <row r="915" spans="1:33" ht="13.8">
      <c r="A915" s="113"/>
      <c r="B915" s="113"/>
      <c r="C915" s="113"/>
      <c r="D915" s="111"/>
      <c r="E915" s="113"/>
      <c r="F915" s="111"/>
      <c r="G915" s="113"/>
      <c r="H915" s="111"/>
      <c r="I915" s="113"/>
      <c r="J915" s="113"/>
      <c r="K915" s="113"/>
      <c r="L915" s="113"/>
      <c r="M915" s="113"/>
      <c r="N915" s="113"/>
      <c r="O915" s="113"/>
      <c r="P915" s="113"/>
      <c r="Q915" s="113"/>
      <c r="R915" s="113"/>
      <c r="S915" s="113"/>
      <c r="T915" s="113"/>
      <c r="U915" s="113"/>
      <c r="V915" s="113"/>
      <c r="W915" s="113"/>
      <c r="X915" s="113"/>
      <c r="Y915" s="113"/>
      <c r="Z915" s="113"/>
      <c r="AA915" s="113"/>
      <c r="AB915" s="113"/>
      <c r="AC915" s="113"/>
      <c r="AD915" s="113"/>
      <c r="AE915" s="113"/>
      <c r="AF915" s="113"/>
      <c r="AG915" s="113"/>
    </row>
    <row r="916" spans="1:33" ht="13.8">
      <c r="A916" s="113"/>
      <c r="B916" s="113"/>
      <c r="C916" s="113"/>
      <c r="D916" s="111"/>
      <c r="E916" s="113"/>
      <c r="F916" s="111"/>
      <c r="G916" s="113"/>
      <c r="H916" s="111"/>
      <c r="I916" s="113"/>
      <c r="J916" s="113"/>
      <c r="K916" s="113"/>
      <c r="L916" s="113"/>
      <c r="M916" s="113"/>
      <c r="N916" s="113"/>
      <c r="O916" s="113"/>
      <c r="P916" s="113"/>
      <c r="Q916" s="113"/>
      <c r="R916" s="113"/>
      <c r="S916" s="113"/>
      <c r="T916" s="113"/>
      <c r="U916" s="113"/>
      <c r="V916" s="113"/>
      <c r="W916" s="113"/>
      <c r="X916" s="113"/>
      <c r="Y916" s="113"/>
      <c r="Z916" s="113"/>
      <c r="AA916" s="113"/>
      <c r="AB916" s="113"/>
      <c r="AC916" s="113"/>
      <c r="AD916" s="113"/>
      <c r="AE916" s="113"/>
      <c r="AF916" s="113"/>
      <c r="AG916" s="113"/>
    </row>
    <row r="917" spans="1:33" ht="13.8">
      <c r="A917" s="113"/>
      <c r="B917" s="113"/>
      <c r="C917" s="113"/>
      <c r="D917" s="111"/>
      <c r="E917" s="113"/>
      <c r="F917" s="111"/>
      <c r="G917" s="113"/>
      <c r="H917" s="111"/>
      <c r="I917" s="113"/>
      <c r="J917" s="113"/>
      <c r="K917" s="113"/>
      <c r="L917" s="113"/>
      <c r="M917" s="113"/>
      <c r="N917" s="113"/>
      <c r="O917" s="113"/>
      <c r="P917" s="113"/>
      <c r="Q917" s="113"/>
      <c r="R917" s="113"/>
      <c r="S917" s="113"/>
      <c r="T917" s="113"/>
      <c r="U917" s="113"/>
      <c r="V917" s="113"/>
      <c r="W917" s="113"/>
      <c r="X917" s="113"/>
      <c r="Y917" s="113"/>
      <c r="Z917" s="113"/>
      <c r="AA917" s="113"/>
      <c r="AB917" s="113"/>
      <c r="AC917" s="113"/>
      <c r="AD917" s="113"/>
      <c r="AE917" s="113"/>
      <c r="AF917" s="113"/>
      <c r="AG917" s="113"/>
    </row>
    <row r="918" spans="1:33" ht="13.8">
      <c r="A918" s="113"/>
      <c r="B918" s="113"/>
      <c r="C918" s="113"/>
      <c r="D918" s="111"/>
      <c r="E918" s="113"/>
      <c r="F918" s="111"/>
      <c r="G918" s="113"/>
      <c r="H918" s="111"/>
      <c r="I918" s="113"/>
      <c r="J918" s="113"/>
      <c r="K918" s="113"/>
      <c r="L918" s="113"/>
      <c r="M918" s="113"/>
      <c r="N918" s="113"/>
      <c r="O918" s="113"/>
      <c r="P918" s="113"/>
      <c r="Q918" s="113"/>
      <c r="R918" s="113"/>
      <c r="S918" s="113"/>
      <c r="T918" s="113"/>
      <c r="U918" s="113"/>
      <c r="V918" s="113"/>
      <c r="W918" s="113"/>
      <c r="X918" s="113"/>
      <c r="Y918" s="113"/>
      <c r="Z918" s="113"/>
      <c r="AA918" s="113"/>
      <c r="AB918" s="113"/>
      <c r="AC918" s="113"/>
      <c r="AD918" s="113"/>
      <c r="AE918" s="113"/>
      <c r="AF918" s="113"/>
      <c r="AG918" s="113"/>
    </row>
    <row r="919" spans="1:33" ht="13.8">
      <c r="A919" s="113"/>
      <c r="B919" s="113"/>
      <c r="C919" s="113"/>
      <c r="D919" s="111"/>
      <c r="E919" s="113"/>
      <c r="F919" s="111"/>
      <c r="G919" s="113"/>
      <c r="H919" s="111"/>
      <c r="I919" s="113"/>
      <c r="J919" s="113"/>
      <c r="K919" s="113"/>
      <c r="L919" s="113"/>
      <c r="M919" s="113"/>
      <c r="N919" s="113"/>
      <c r="O919" s="113"/>
      <c r="P919" s="113"/>
      <c r="Q919" s="113"/>
      <c r="R919" s="113"/>
      <c r="S919" s="113"/>
      <c r="T919" s="113"/>
      <c r="U919" s="113"/>
      <c r="V919" s="113"/>
      <c r="W919" s="113"/>
      <c r="X919" s="113"/>
      <c r="Y919" s="113"/>
      <c r="Z919" s="113"/>
      <c r="AA919" s="113"/>
      <c r="AB919" s="113"/>
      <c r="AC919" s="113"/>
      <c r="AD919" s="113"/>
      <c r="AE919" s="113"/>
      <c r="AF919" s="113"/>
      <c r="AG919" s="113"/>
    </row>
    <row r="920" spans="1:33" ht="13.8">
      <c r="A920" s="113"/>
      <c r="B920" s="113"/>
      <c r="C920" s="113"/>
      <c r="D920" s="111"/>
      <c r="E920" s="113"/>
      <c r="F920" s="111"/>
      <c r="G920" s="113"/>
      <c r="H920" s="111"/>
      <c r="I920" s="113"/>
      <c r="J920" s="113"/>
      <c r="K920" s="113"/>
      <c r="L920" s="113"/>
      <c r="M920" s="113"/>
      <c r="N920" s="113"/>
      <c r="O920" s="113"/>
      <c r="P920" s="113"/>
      <c r="Q920" s="113"/>
      <c r="R920" s="113"/>
      <c r="S920" s="113"/>
      <c r="T920" s="113"/>
      <c r="U920" s="113"/>
      <c r="V920" s="113"/>
      <c r="W920" s="113"/>
      <c r="X920" s="113"/>
      <c r="Y920" s="113"/>
      <c r="Z920" s="113"/>
      <c r="AA920" s="113"/>
      <c r="AB920" s="113"/>
      <c r="AC920" s="113"/>
      <c r="AD920" s="113"/>
      <c r="AE920" s="113"/>
      <c r="AF920" s="113"/>
      <c r="AG920" s="113"/>
    </row>
    <row r="921" spans="1:33" ht="13.8">
      <c r="A921" s="113"/>
      <c r="B921" s="113"/>
      <c r="C921" s="113"/>
      <c r="D921" s="111"/>
      <c r="E921" s="113"/>
      <c r="F921" s="111"/>
      <c r="G921" s="113"/>
      <c r="H921" s="111"/>
      <c r="I921" s="113"/>
      <c r="J921" s="113"/>
      <c r="K921" s="113"/>
      <c r="L921" s="113"/>
      <c r="M921" s="113"/>
      <c r="N921" s="113"/>
      <c r="O921" s="113"/>
      <c r="P921" s="113"/>
      <c r="Q921" s="113"/>
      <c r="R921" s="113"/>
      <c r="S921" s="113"/>
      <c r="T921" s="113"/>
      <c r="U921" s="113"/>
      <c r="V921" s="113"/>
      <c r="W921" s="113"/>
      <c r="X921" s="113"/>
      <c r="Y921" s="113"/>
      <c r="Z921" s="113"/>
      <c r="AA921" s="113"/>
      <c r="AB921" s="113"/>
      <c r="AC921" s="113"/>
      <c r="AD921" s="113"/>
      <c r="AE921" s="113"/>
      <c r="AF921" s="113"/>
      <c r="AG921" s="113"/>
    </row>
    <row r="922" spans="1:33" ht="13.8">
      <c r="A922" s="113"/>
      <c r="B922" s="113"/>
      <c r="C922" s="113"/>
      <c r="D922" s="111"/>
      <c r="E922" s="113"/>
      <c r="F922" s="111"/>
      <c r="G922" s="113"/>
      <c r="H922" s="111"/>
      <c r="I922" s="113"/>
      <c r="J922" s="113"/>
      <c r="K922" s="113"/>
      <c r="L922" s="113"/>
      <c r="M922" s="113"/>
      <c r="N922" s="113"/>
      <c r="O922" s="113"/>
      <c r="P922" s="113"/>
      <c r="Q922" s="113"/>
      <c r="R922" s="113"/>
      <c r="S922" s="113"/>
      <c r="T922" s="113"/>
      <c r="U922" s="113"/>
      <c r="V922" s="113"/>
      <c r="W922" s="113"/>
      <c r="X922" s="113"/>
      <c r="Y922" s="113"/>
      <c r="Z922" s="113"/>
      <c r="AA922" s="113"/>
      <c r="AB922" s="113"/>
      <c r="AC922" s="113"/>
      <c r="AD922" s="113"/>
      <c r="AE922" s="113"/>
      <c r="AF922" s="113"/>
      <c r="AG922" s="113"/>
    </row>
    <row r="923" spans="1:33" ht="13.8">
      <c r="A923" s="113"/>
      <c r="B923" s="113"/>
      <c r="C923" s="113"/>
      <c r="D923" s="111"/>
      <c r="E923" s="113"/>
      <c r="F923" s="111"/>
      <c r="G923" s="113"/>
      <c r="H923" s="111"/>
      <c r="I923" s="113"/>
      <c r="J923" s="113"/>
      <c r="K923" s="113"/>
      <c r="L923" s="113"/>
      <c r="M923" s="113"/>
      <c r="N923" s="113"/>
      <c r="O923" s="113"/>
      <c r="P923" s="113"/>
      <c r="Q923" s="113"/>
      <c r="R923" s="113"/>
      <c r="S923" s="113"/>
      <c r="T923" s="113"/>
      <c r="U923" s="113"/>
      <c r="V923" s="113"/>
      <c r="W923" s="113"/>
      <c r="X923" s="113"/>
      <c r="Y923" s="113"/>
      <c r="Z923" s="113"/>
      <c r="AA923" s="113"/>
      <c r="AB923" s="113"/>
      <c r="AC923" s="113"/>
      <c r="AD923" s="113"/>
      <c r="AE923" s="113"/>
      <c r="AF923" s="113"/>
      <c r="AG923" s="113"/>
    </row>
    <row r="924" spans="1:33" ht="13.8">
      <c r="A924" s="113"/>
      <c r="B924" s="113"/>
      <c r="C924" s="113"/>
      <c r="D924" s="111"/>
      <c r="E924" s="113"/>
      <c r="F924" s="111"/>
      <c r="G924" s="113"/>
      <c r="H924" s="111"/>
      <c r="I924" s="113"/>
      <c r="J924" s="113"/>
      <c r="K924" s="113"/>
      <c r="L924" s="113"/>
      <c r="M924" s="113"/>
      <c r="N924" s="113"/>
      <c r="O924" s="113"/>
      <c r="P924" s="113"/>
      <c r="Q924" s="113"/>
      <c r="R924" s="113"/>
      <c r="S924" s="113"/>
      <c r="T924" s="113"/>
      <c r="U924" s="113"/>
      <c r="V924" s="113"/>
      <c r="W924" s="113"/>
      <c r="X924" s="113"/>
      <c r="Y924" s="113"/>
      <c r="Z924" s="113"/>
      <c r="AA924" s="113"/>
      <c r="AB924" s="113"/>
      <c r="AC924" s="113"/>
      <c r="AD924" s="113"/>
      <c r="AE924" s="113"/>
      <c r="AF924" s="113"/>
      <c r="AG924" s="113"/>
    </row>
    <row r="925" spans="1:33" ht="13.8">
      <c r="A925" s="113"/>
      <c r="B925" s="113"/>
      <c r="C925" s="113"/>
      <c r="D925" s="111"/>
      <c r="E925" s="113"/>
      <c r="F925" s="111"/>
      <c r="G925" s="113"/>
      <c r="H925" s="111"/>
      <c r="I925" s="113"/>
      <c r="J925" s="113"/>
      <c r="K925" s="113"/>
      <c r="L925" s="113"/>
      <c r="M925" s="113"/>
      <c r="N925" s="113"/>
      <c r="O925" s="113"/>
      <c r="P925" s="113"/>
      <c r="Q925" s="113"/>
      <c r="R925" s="113"/>
      <c r="S925" s="113"/>
      <c r="T925" s="113"/>
      <c r="U925" s="113"/>
      <c r="V925" s="113"/>
      <c r="W925" s="113"/>
      <c r="X925" s="113"/>
      <c r="Y925" s="113"/>
      <c r="Z925" s="113"/>
      <c r="AA925" s="113"/>
      <c r="AB925" s="113"/>
      <c r="AC925" s="113"/>
      <c r="AD925" s="113"/>
      <c r="AE925" s="113"/>
      <c r="AF925" s="113"/>
      <c r="AG925" s="113"/>
    </row>
    <row r="926" spans="1:33" ht="13.8">
      <c r="A926" s="113"/>
      <c r="B926" s="113"/>
      <c r="C926" s="113"/>
      <c r="D926" s="111"/>
      <c r="E926" s="113"/>
      <c r="F926" s="111"/>
      <c r="G926" s="113"/>
      <c r="H926" s="111"/>
      <c r="I926" s="113"/>
      <c r="J926" s="113"/>
      <c r="K926" s="113"/>
      <c r="L926" s="113"/>
      <c r="M926" s="113"/>
      <c r="N926" s="113"/>
      <c r="O926" s="113"/>
      <c r="P926" s="113"/>
      <c r="Q926" s="113"/>
      <c r="R926" s="113"/>
      <c r="S926" s="113"/>
      <c r="T926" s="113"/>
      <c r="U926" s="113"/>
      <c r="V926" s="113"/>
      <c r="W926" s="113"/>
      <c r="X926" s="113"/>
      <c r="Y926" s="113"/>
      <c r="Z926" s="113"/>
      <c r="AA926" s="113"/>
      <c r="AB926" s="113"/>
      <c r="AC926" s="113"/>
      <c r="AD926" s="113"/>
      <c r="AE926" s="113"/>
      <c r="AF926" s="113"/>
      <c r="AG926" s="113"/>
    </row>
    <row r="927" spans="1:33" ht="13.8">
      <c r="A927" s="113"/>
      <c r="B927" s="113"/>
      <c r="C927" s="113"/>
      <c r="D927" s="111"/>
      <c r="E927" s="113"/>
      <c r="F927" s="111"/>
      <c r="G927" s="113"/>
      <c r="H927" s="111"/>
      <c r="I927" s="113"/>
      <c r="J927" s="113"/>
      <c r="K927" s="113"/>
      <c r="L927" s="113"/>
      <c r="M927" s="113"/>
      <c r="N927" s="113"/>
      <c r="O927" s="113"/>
      <c r="P927" s="113"/>
      <c r="Q927" s="113"/>
      <c r="R927" s="113"/>
      <c r="S927" s="113"/>
      <c r="T927" s="113"/>
      <c r="U927" s="113"/>
      <c r="V927" s="113"/>
      <c r="W927" s="113"/>
      <c r="X927" s="113"/>
      <c r="Y927" s="113"/>
      <c r="Z927" s="113"/>
      <c r="AA927" s="113"/>
      <c r="AB927" s="113"/>
      <c r="AC927" s="113"/>
      <c r="AD927" s="113"/>
      <c r="AE927" s="113"/>
      <c r="AF927" s="113"/>
      <c r="AG927" s="113"/>
    </row>
    <row r="928" spans="1:33" ht="13.8">
      <c r="A928" s="113"/>
      <c r="B928" s="113"/>
      <c r="C928" s="113"/>
      <c r="D928" s="111"/>
      <c r="E928" s="113"/>
      <c r="F928" s="111"/>
      <c r="G928" s="113"/>
      <c r="H928" s="111"/>
      <c r="I928" s="113"/>
      <c r="J928" s="113"/>
      <c r="K928" s="113"/>
      <c r="L928" s="113"/>
      <c r="M928" s="113"/>
      <c r="N928" s="113"/>
      <c r="O928" s="113"/>
      <c r="P928" s="113"/>
      <c r="Q928" s="113"/>
      <c r="R928" s="113"/>
      <c r="S928" s="113"/>
      <c r="T928" s="113"/>
      <c r="U928" s="113"/>
      <c r="V928" s="113"/>
      <c r="W928" s="113"/>
      <c r="X928" s="113"/>
      <c r="Y928" s="113"/>
      <c r="Z928" s="113"/>
      <c r="AA928" s="113"/>
      <c r="AB928" s="113"/>
      <c r="AC928" s="113"/>
      <c r="AD928" s="113"/>
      <c r="AE928" s="113"/>
      <c r="AF928" s="113"/>
      <c r="AG928" s="113"/>
    </row>
    <row r="929" spans="1:33" ht="13.8">
      <c r="A929" s="113"/>
      <c r="B929" s="113"/>
      <c r="C929" s="113"/>
      <c r="D929" s="111"/>
      <c r="E929" s="113"/>
      <c r="F929" s="111"/>
      <c r="G929" s="113"/>
      <c r="H929" s="111"/>
      <c r="I929" s="113"/>
      <c r="J929" s="113"/>
      <c r="K929" s="113"/>
      <c r="L929" s="113"/>
      <c r="M929" s="113"/>
      <c r="N929" s="113"/>
      <c r="O929" s="113"/>
      <c r="P929" s="113"/>
      <c r="Q929" s="113"/>
      <c r="R929" s="113"/>
      <c r="S929" s="113"/>
      <c r="T929" s="113"/>
      <c r="U929" s="113"/>
      <c r="V929" s="113"/>
      <c r="W929" s="113"/>
      <c r="X929" s="113"/>
      <c r="Y929" s="113"/>
      <c r="Z929" s="113"/>
      <c r="AA929" s="113"/>
      <c r="AB929" s="113"/>
      <c r="AC929" s="113"/>
      <c r="AD929" s="113"/>
      <c r="AE929" s="113"/>
      <c r="AF929" s="113"/>
      <c r="AG929" s="113"/>
    </row>
    <row r="930" spans="1:33" ht="13.8">
      <c r="A930" s="113"/>
      <c r="B930" s="113"/>
      <c r="C930" s="113"/>
      <c r="D930" s="111"/>
      <c r="E930" s="113"/>
      <c r="F930" s="111"/>
      <c r="G930" s="113"/>
      <c r="H930" s="111"/>
      <c r="I930" s="113"/>
      <c r="J930" s="113"/>
      <c r="K930" s="113"/>
      <c r="L930" s="113"/>
      <c r="M930" s="113"/>
      <c r="N930" s="113"/>
      <c r="O930" s="113"/>
      <c r="P930" s="113"/>
      <c r="Q930" s="113"/>
      <c r="R930" s="113"/>
      <c r="S930" s="113"/>
      <c r="T930" s="113"/>
      <c r="U930" s="113"/>
      <c r="V930" s="113"/>
      <c r="W930" s="113"/>
      <c r="X930" s="113"/>
      <c r="Y930" s="113"/>
      <c r="Z930" s="113"/>
      <c r="AA930" s="113"/>
      <c r="AB930" s="113"/>
      <c r="AC930" s="113"/>
      <c r="AD930" s="113"/>
      <c r="AE930" s="113"/>
      <c r="AF930" s="113"/>
      <c r="AG930" s="113"/>
    </row>
    <row r="931" spans="1:33" ht="13.8">
      <c r="A931" s="113"/>
      <c r="B931" s="113"/>
      <c r="C931" s="113"/>
      <c r="D931" s="111"/>
      <c r="E931" s="113"/>
      <c r="F931" s="111"/>
      <c r="G931" s="113"/>
      <c r="H931" s="111"/>
      <c r="I931" s="113"/>
      <c r="J931" s="113"/>
      <c r="K931" s="113"/>
      <c r="L931" s="113"/>
      <c r="M931" s="113"/>
      <c r="N931" s="113"/>
      <c r="O931" s="113"/>
      <c r="P931" s="113"/>
      <c r="Q931" s="113"/>
      <c r="R931" s="113"/>
      <c r="S931" s="113"/>
      <c r="T931" s="113"/>
      <c r="U931" s="113"/>
      <c r="V931" s="113"/>
      <c r="W931" s="113"/>
      <c r="X931" s="113"/>
      <c r="Y931" s="113"/>
      <c r="Z931" s="113"/>
      <c r="AA931" s="113"/>
      <c r="AB931" s="113"/>
      <c r="AC931" s="113"/>
      <c r="AD931" s="113"/>
      <c r="AE931" s="113"/>
      <c r="AF931" s="113"/>
      <c r="AG931" s="113"/>
    </row>
    <row r="932" spans="1:33" ht="13.8">
      <c r="A932" s="113"/>
      <c r="B932" s="113"/>
      <c r="C932" s="113"/>
      <c r="D932" s="111"/>
      <c r="E932" s="113"/>
      <c r="F932" s="111"/>
      <c r="G932" s="113"/>
      <c r="H932" s="111"/>
      <c r="I932" s="113"/>
      <c r="J932" s="113"/>
      <c r="K932" s="113"/>
      <c r="L932" s="113"/>
      <c r="M932" s="113"/>
      <c r="N932" s="113"/>
      <c r="O932" s="113"/>
      <c r="P932" s="113"/>
      <c r="Q932" s="113"/>
      <c r="R932" s="113"/>
      <c r="S932" s="113"/>
      <c r="T932" s="113"/>
      <c r="U932" s="113"/>
      <c r="V932" s="113"/>
      <c r="W932" s="113"/>
      <c r="X932" s="113"/>
      <c r="Y932" s="113"/>
      <c r="Z932" s="113"/>
      <c r="AA932" s="113"/>
      <c r="AB932" s="113"/>
      <c r="AC932" s="113"/>
      <c r="AD932" s="113"/>
      <c r="AE932" s="113"/>
      <c r="AF932" s="113"/>
      <c r="AG932" s="113"/>
    </row>
    <row r="933" spans="1:33" ht="13.8">
      <c r="A933" s="113"/>
      <c r="B933" s="113"/>
      <c r="C933" s="113"/>
      <c r="D933" s="111"/>
      <c r="E933" s="113"/>
      <c r="F933" s="111"/>
      <c r="G933" s="113"/>
      <c r="H933" s="111"/>
      <c r="I933" s="113"/>
      <c r="J933" s="113"/>
      <c r="K933" s="113"/>
      <c r="L933" s="113"/>
      <c r="M933" s="113"/>
      <c r="N933" s="113"/>
      <c r="O933" s="113"/>
      <c r="P933" s="113"/>
      <c r="Q933" s="113"/>
      <c r="R933" s="113"/>
      <c r="S933" s="113"/>
      <c r="T933" s="113"/>
      <c r="U933" s="113"/>
      <c r="V933" s="113"/>
      <c r="W933" s="113"/>
      <c r="X933" s="113"/>
      <c r="Y933" s="113"/>
      <c r="Z933" s="113"/>
      <c r="AA933" s="113"/>
      <c r="AB933" s="113"/>
      <c r="AC933" s="113"/>
      <c r="AD933" s="113"/>
      <c r="AE933" s="113"/>
      <c r="AF933" s="113"/>
      <c r="AG933" s="113"/>
    </row>
    <row r="934" spans="1:33" ht="13.8">
      <c r="A934" s="113"/>
      <c r="B934" s="113"/>
      <c r="C934" s="113"/>
      <c r="D934" s="111"/>
      <c r="E934" s="113"/>
      <c r="F934" s="111"/>
      <c r="G934" s="113"/>
      <c r="H934" s="111"/>
      <c r="I934" s="113"/>
      <c r="J934" s="113"/>
      <c r="K934" s="113"/>
      <c r="L934" s="113"/>
      <c r="M934" s="113"/>
      <c r="N934" s="113"/>
      <c r="O934" s="113"/>
      <c r="P934" s="113"/>
      <c r="Q934" s="113"/>
      <c r="R934" s="113"/>
      <c r="S934" s="113"/>
      <c r="T934" s="113"/>
      <c r="U934" s="113"/>
      <c r="V934" s="113"/>
      <c r="W934" s="113"/>
      <c r="X934" s="113"/>
      <c r="Y934" s="113"/>
      <c r="Z934" s="113"/>
      <c r="AA934" s="113"/>
      <c r="AB934" s="113"/>
      <c r="AC934" s="113"/>
      <c r="AD934" s="113"/>
      <c r="AE934" s="113"/>
      <c r="AF934" s="113"/>
      <c r="AG934" s="113"/>
    </row>
    <row r="935" spans="1:33" ht="13.8">
      <c r="A935" s="113"/>
      <c r="B935" s="113"/>
      <c r="C935" s="113"/>
      <c r="D935" s="111"/>
      <c r="E935" s="113"/>
      <c r="F935" s="111"/>
      <c r="G935" s="113"/>
      <c r="H935" s="111"/>
      <c r="I935" s="113"/>
      <c r="J935" s="113"/>
      <c r="K935" s="113"/>
      <c r="L935" s="113"/>
      <c r="M935" s="113"/>
      <c r="N935" s="113"/>
      <c r="O935" s="113"/>
      <c r="P935" s="113"/>
      <c r="Q935" s="113"/>
      <c r="R935" s="113"/>
      <c r="S935" s="113"/>
      <c r="T935" s="113"/>
      <c r="U935" s="113"/>
      <c r="V935" s="113"/>
      <c r="W935" s="113"/>
      <c r="X935" s="113"/>
      <c r="Y935" s="113"/>
      <c r="Z935" s="113"/>
      <c r="AA935" s="113"/>
      <c r="AB935" s="113"/>
      <c r="AC935" s="113"/>
      <c r="AD935" s="113"/>
      <c r="AE935" s="113"/>
      <c r="AF935" s="113"/>
      <c r="AG935" s="113"/>
    </row>
    <row r="936" spans="1:33" ht="13.8">
      <c r="A936" s="113"/>
      <c r="B936" s="113"/>
      <c r="C936" s="113"/>
      <c r="D936" s="111"/>
      <c r="E936" s="113"/>
      <c r="F936" s="111"/>
      <c r="G936" s="113"/>
      <c r="H936" s="111"/>
      <c r="I936" s="113"/>
      <c r="J936" s="113"/>
      <c r="K936" s="113"/>
      <c r="L936" s="113"/>
      <c r="M936" s="113"/>
      <c r="N936" s="113"/>
      <c r="O936" s="113"/>
      <c r="P936" s="113"/>
      <c r="Q936" s="113"/>
      <c r="R936" s="113"/>
      <c r="S936" s="113"/>
      <c r="T936" s="113"/>
      <c r="U936" s="113"/>
      <c r="V936" s="113"/>
      <c r="W936" s="113"/>
      <c r="X936" s="113"/>
      <c r="Y936" s="113"/>
      <c r="Z936" s="113"/>
      <c r="AA936" s="113"/>
      <c r="AB936" s="113"/>
      <c r="AC936" s="113"/>
      <c r="AD936" s="113"/>
      <c r="AE936" s="113"/>
      <c r="AF936" s="113"/>
      <c r="AG936" s="113"/>
    </row>
    <row r="937" spans="1:33" ht="13.8">
      <c r="A937" s="113"/>
      <c r="B937" s="113"/>
      <c r="C937" s="113"/>
      <c r="D937" s="111"/>
      <c r="E937" s="113"/>
      <c r="F937" s="111"/>
      <c r="G937" s="113"/>
      <c r="H937" s="111"/>
      <c r="I937" s="113"/>
      <c r="J937" s="113"/>
      <c r="K937" s="113"/>
      <c r="L937" s="113"/>
      <c r="M937" s="113"/>
      <c r="N937" s="113"/>
      <c r="O937" s="113"/>
      <c r="P937" s="113"/>
      <c r="Q937" s="113"/>
      <c r="R937" s="113"/>
      <c r="S937" s="113"/>
      <c r="T937" s="113"/>
      <c r="U937" s="113"/>
      <c r="V937" s="113"/>
      <c r="W937" s="113"/>
      <c r="X937" s="113"/>
      <c r="Y937" s="113"/>
      <c r="Z937" s="113"/>
      <c r="AA937" s="113"/>
      <c r="AB937" s="113"/>
      <c r="AC937" s="113"/>
      <c r="AD937" s="113"/>
      <c r="AE937" s="113"/>
      <c r="AF937" s="113"/>
      <c r="AG937" s="113"/>
    </row>
    <row r="938" spans="1:33" ht="13.8">
      <c r="A938" s="113"/>
      <c r="B938" s="113"/>
      <c r="C938" s="113"/>
      <c r="D938" s="111"/>
      <c r="E938" s="113"/>
      <c r="F938" s="111"/>
      <c r="G938" s="113"/>
      <c r="H938" s="111"/>
      <c r="I938" s="113"/>
      <c r="J938" s="113"/>
      <c r="K938" s="113"/>
      <c r="L938" s="113"/>
      <c r="M938" s="113"/>
      <c r="N938" s="113"/>
      <c r="O938" s="113"/>
      <c r="P938" s="113"/>
      <c r="Q938" s="113"/>
      <c r="R938" s="113"/>
      <c r="S938" s="113"/>
      <c r="T938" s="113"/>
      <c r="U938" s="113"/>
      <c r="V938" s="113"/>
      <c r="W938" s="113"/>
      <c r="X938" s="113"/>
      <c r="Y938" s="113"/>
      <c r="Z938" s="113"/>
      <c r="AA938" s="113"/>
      <c r="AB938" s="113"/>
      <c r="AC938" s="113"/>
      <c r="AD938" s="113"/>
      <c r="AE938" s="113"/>
      <c r="AF938" s="113"/>
      <c r="AG938" s="113"/>
    </row>
    <row r="939" spans="1:33" ht="13.8">
      <c r="A939" s="113"/>
      <c r="B939" s="113"/>
      <c r="C939" s="113"/>
      <c r="D939" s="111"/>
      <c r="E939" s="113"/>
      <c r="F939" s="111"/>
      <c r="G939" s="113"/>
      <c r="H939" s="111"/>
      <c r="I939" s="113"/>
      <c r="J939" s="113"/>
      <c r="K939" s="113"/>
      <c r="L939" s="113"/>
      <c r="M939" s="113"/>
      <c r="N939" s="113"/>
      <c r="O939" s="113"/>
      <c r="P939" s="113"/>
      <c r="Q939" s="113"/>
      <c r="R939" s="113"/>
      <c r="S939" s="113"/>
      <c r="T939" s="113"/>
      <c r="U939" s="113"/>
      <c r="V939" s="113"/>
      <c r="W939" s="113"/>
      <c r="X939" s="113"/>
      <c r="Y939" s="113"/>
      <c r="Z939" s="113"/>
      <c r="AA939" s="113"/>
      <c r="AB939" s="113"/>
      <c r="AC939" s="113"/>
      <c r="AD939" s="113"/>
      <c r="AE939" s="113"/>
      <c r="AF939" s="113"/>
      <c r="AG939" s="113"/>
    </row>
    <row r="940" spans="1:33" ht="13.8">
      <c r="A940" s="113"/>
      <c r="B940" s="113"/>
      <c r="C940" s="113"/>
      <c r="D940" s="111"/>
      <c r="E940" s="113"/>
      <c r="F940" s="111"/>
      <c r="G940" s="113"/>
      <c r="H940" s="111"/>
      <c r="I940" s="113"/>
      <c r="J940" s="113"/>
      <c r="K940" s="113"/>
      <c r="L940" s="113"/>
      <c r="M940" s="113"/>
      <c r="N940" s="113"/>
      <c r="O940" s="113"/>
      <c r="P940" s="113"/>
      <c r="Q940" s="113"/>
      <c r="R940" s="113"/>
      <c r="S940" s="113"/>
      <c r="T940" s="113"/>
      <c r="U940" s="113"/>
      <c r="V940" s="113"/>
      <c r="W940" s="113"/>
      <c r="X940" s="113"/>
      <c r="Y940" s="113"/>
      <c r="Z940" s="113"/>
      <c r="AA940" s="113"/>
      <c r="AB940" s="113"/>
      <c r="AC940" s="113"/>
      <c r="AD940" s="113"/>
      <c r="AE940" s="113"/>
      <c r="AF940" s="113"/>
      <c r="AG940" s="113"/>
    </row>
    <row r="941" spans="1:33" ht="13.8">
      <c r="A941" s="113"/>
      <c r="B941" s="113"/>
      <c r="C941" s="113"/>
      <c r="D941" s="111"/>
      <c r="E941" s="113"/>
      <c r="F941" s="111"/>
      <c r="G941" s="113"/>
      <c r="H941" s="111"/>
      <c r="I941" s="113"/>
      <c r="J941" s="113"/>
      <c r="K941" s="113"/>
      <c r="L941" s="113"/>
      <c r="M941" s="113"/>
      <c r="N941" s="113"/>
      <c r="O941" s="113"/>
      <c r="P941" s="113"/>
      <c r="Q941" s="113"/>
      <c r="R941" s="113"/>
      <c r="S941" s="113"/>
      <c r="T941" s="113"/>
      <c r="U941" s="113"/>
      <c r="V941" s="113"/>
      <c r="W941" s="113"/>
      <c r="X941" s="113"/>
      <c r="Y941" s="113"/>
      <c r="Z941" s="113"/>
      <c r="AA941" s="113"/>
      <c r="AB941" s="113"/>
      <c r="AC941" s="113"/>
      <c r="AD941" s="113"/>
      <c r="AE941" s="113"/>
      <c r="AF941" s="113"/>
      <c r="AG941" s="113"/>
    </row>
    <row r="942" spans="1:33" ht="13.8">
      <c r="A942" s="113"/>
      <c r="B942" s="113"/>
      <c r="C942" s="113"/>
      <c r="D942" s="111"/>
      <c r="E942" s="113"/>
      <c r="F942" s="111"/>
      <c r="G942" s="113"/>
      <c r="H942" s="111"/>
      <c r="I942" s="113"/>
      <c r="J942" s="113"/>
      <c r="K942" s="113"/>
      <c r="L942" s="113"/>
      <c r="M942" s="113"/>
      <c r="N942" s="113"/>
      <c r="O942" s="113"/>
      <c r="P942" s="113"/>
      <c r="Q942" s="113"/>
      <c r="R942" s="113"/>
      <c r="S942" s="113"/>
      <c r="T942" s="113"/>
      <c r="U942" s="113"/>
      <c r="V942" s="113"/>
      <c r="W942" s="113"/>
      <c r="X942" s="113"/>
      <c r="Y942" s="113"/>
      <c r="Z942" s="113"/>
      <c r="AA942" s="113"/>
      <c r="AB942" s="113"/>
      <c r="AC942" s="113"/>
      <c r="AD942" s="113"/>
      <c r="AE942" s="113"/>
      <c r="AF942" s="113"/>
      <c r="AG942" s="113"/>
    </row>
    <row r="943" spans="1:33" ht="13.8">
      <c r="A943" s="113"/>
      <c r="B943" s="113"/>
      <c r="C943" s="113"/>
      <c r="D943" s="111"/>
      <c r="E943" s="113"/>
      <c r="F943" s="111"/>
      <c r="G943" s="113"/>
      <c r="H943" s="111"/>
      <c r="I943" s="113"/>
      <c r="J943" s="113"/>
      <c r="K943" s="113"/>
      <c r="L943" s="113"/>
      <c r="M943" s="113"/>
      <c r="N943" s="113"/>
      <c r="O943" s="113"/>
      <c r="P943" s="113"/>
      <c r="Q943" s="113"/>
      <c r="R943" s="113"/>
      <c r="S943" s="113"/>
      <c r="T943" s="113"/>
      <c r="U943" s="113"/>
      <c r="V943" s="113"/>
      <c r="W943" s="113"/>
      <c r="X943" s="113"/>
      <c r="Y943" s="113"/>
      <c r="Z943" s="113"/>
      <c r="AA943" s="113"/>
      <c r="AB943" s="113"/>
      <c r="AC943" s="113"/>
      <c r="AD943" s="113"/>
      <c r="AE943" s="113"/>
      <c r="AF943" s="113"/>
      <c r="AG943" s="113"/>
    </row>
    <row r="944" spans="1:33" ht="13.8">
      <c r="A944" s="113"/>
      <c r="B944" s="113"/>
      <c r="C944" s="113"/>
      <c r="D944" s="111"/>
      <c r="E944" s="113"/>
      <c r="F944" s="111"/>
      <c r="G944" s="113"/>
      <c r="H944" s="111"/>
      <c r="I944" s="113"/>
      <c r="J944" s="113"/>
      <c r="K944" s="113"/>
      <c r="L944" s="113"/>
      <c r="M944" s="113"/>
      <c r="N944" s="113"/>
      <c r="O944" s="113"/>
      <c r="P944" s="113"/>
      <c r="Q944" s="113"/>
      <c r="R944" s="113"/>
      <c r="S944" s="113"/>
      <c r="T944" s="113"/>
      <c r="U944" s="113"/>
      <c r="V944" s="113"/>
      <c r="W944" s="113"/>
      <c r="X944" s="113"/>
      <c r="Y944" s="113"/>
      <c r="Z944" s="113"/>
      <c r="AA944" s="113"/>
      <c r="AB944" s="113"/>
      <c r="AC944" s="113"/>
      <c r="AD944" s="113"/>
      <c r="AE944" s="113"/>
      <c r="AF944" s="113"/>
      <c r="AG944" s="113"/>
    </row>
    <row r="945" spans="1:33" ht="13.8">
      <c r="A945" s="113"/>
      <c r="B945" s="113"/>
      <c r="C945" s="113"/>
      <c r="D945" s="111"/>
      <c r="E945" s="113"/>
      <c r="F945" s="111"/>
      <c r="G945" s="113"/>
      <c r="H945" s="111"/>
      <c r="I945" s="113"/>
      <c r="J945" s="113"/>
      <c r="K945" s="113"/>
      <c r="L945" s="113"/>
      <c r="M945" s="113"/>
      <c r="N945" s="113"/>
      <c r="O945" s="113"/>
      <c r="P945" s="113"/>
      <c r="Q945" s="113"/>
      <c r="R945" s="113"/>
      <c r="S945" s="113"/>
      <c r="T945" s="113"/>
      <c r="U945" s="113"/>
      <c r="V945" s="113"/>
      <c r="W945" s="113"/>
      <c r="X945" s="113"/>
      <c r="Y945" s="113"/>
      <c r="Z945" s="113"/>
      <c r="AA945" s="113"/>
      <c r="AB945" s="113"/>
      <c r="AC945" s="113"/>
      <c r="AD945" s="113"/>
      <c r="AE945" s="113"/>
      <c r="AF945" s="113"/>
      <c r="AG945" s="113"/>
    </row>
    <row r="946" spans="1:33" ht="13.8">
      <c r="A946" s="113"/>
      <c r="B946" s="113"/>
      <c r="C946" s="113"/>
      <c r="D946" s="111"/>
      <c r="E946" s="113"/>
      <c r="F946" s="111"/>
      <c r="G946" s="113"/>
      <c r="H946" s="111"/>
      <c r="I946" s="113"/>
      <c r="J946" s="113"/>
      <c r="K946" s="113"/>
      <c r="L946" s="113"/>
      <c r="M946" s="113"/>
      <c r="N946" s="113"/>
      <c r="O946" s="113"/>
      <c r="P946" s="113"/>
      <c r="Q946" s="113"/>
      <c r="R946" s="113"/>
      <c r="S946" s="113"/>
      <c r="T946" s="113"/>
      <c r="U946" s="113"/>
      <c r="V946" s="113"/>
      <c r="W946" s="113"/>
      <c r="X946" s="113"/>
      <c r="Y946" s="113"/>
      <c r="Z946" s="113"/>
      <c r="AA946" s="113"/>
      <c r="AB946" s="113"/>
      <c r="AC946" s="113"/>
      <c r="AD946" s="113"/>
      <c r="AE946" s="113"/>
      <c r="AF946" s="113"/>
      <c r="AG946" s="113"/>
    </row>
    <row r="947" spans="1:33" ht="13.8">
      <c r="A947" s="113"/>
      <c r="B947" s="113"/>
      <c r="C947" s="113"/>
      <c r="D947" s="111"/>
      <c r="E947" s="113"/>
      <c r="F947" s="111"/>
      <c r="G947" s="113"/>
      <c r="H947" s="111"/>
      <c r="I947" s="113"/>
      <c r="J947" s="113"/>
      <c r="K947" s="113"/>
      <c r="L947" s="113"/>
      <c r="M947" s="113"/>
      <c r="N947" s="113"/>
      <c r="O947" s="113"/>
      <c r="P947" s="113"/>
      <c r="Q947" s="113"/>
      <c r="R947" s="113"/>
      <c r="S947" s="113"/>
      <c r="T947" s="113"/>
      <c r="U947" s="113"/>
      <c r="V947" s="113"/>
      <c r="W947" s="113"/>
      <c r="X947" s="113"/>
      <c r="Y947" s="113"/>
      <c r="Z947" s="113"/>
      <c r="AA947" s="113"/>
      <c r="AB947" s="113"/>
      <c r="AC947" s="113"/>
      <c r="AD947" s="113"/>
      <c r="AE947" s="113"/>
      <c r="AF947" s="113"/>
      <c r="AG947" s="113"/>
    </row>
    <row r="948" spans="1:33" ht="13.8">
      <c r="A948" s="113"/>
      <c r="B948" s="113"/>
      <c r="C948" s="113"/>
      <c r="D948" s="111"/>
      <c r="E948" s="113"/>
      <c r="F948" s="111"/>
      <c r="G948" s="113"/>
      <c r="H948" s="111"/>
      <c r="I948" s="113"/>
      <c r="J948" s="113"/>
      <c r="K948" s="113"/>
      <c r="L948" s="113"/>
      <c r="M948" s="113"/>
      <c r="N948" s="113"/>
      <c r="O948" s="113"/>
      <c r="P948" s="113"/>
      <c r="Q948" s="113"/>
      <c r="R948" s="113"/>
      <c r="S948" s="113"/>
      <c r="T948" s="113"/>
      <c r="U948" s="113"/>
      <c r="V948" s="113"/>
      <c r="W948" s="113"/>
      <c r="X948" s="113"/>
      <c r="Y948" s="113"/>
      <c r="Z948" s="113"/>
      <c r="AA948" s="113"/>
      <c r="AB948" s="113"/>
      <c r="AC948" s="113"/>
      <c r="AD948" s="113"/>
      <c r="AE948" s="113"/>
      <c r="AF948" s="113"/>
      <c r="AG948" s="113"/>
    </row>
    <row r="949" spans="1:33" ht="13.8">
      <c r="A949" s="113"/>
      <c r="B949" s="113"/>
      <c r="C949" s="113"/>
      <c r="D949" s="111"/>
      <c r="E949" s="113"/>
      <c r="F949" s="111"/>
      <c r="G949" s="113"/>
      <c r="H949" s="111"/>
      <c r="I949" s="113"/>
      <c r="J949" s="113"/>
      <c r="K949" s="113"/>
      <c r="L949" s="113"/>
      <c r="M949" s="113"/>
      <c r="N949" s="113"/>
      <c r="O949" s="113"/>
      <c r="P949" s="113"/>
      <c r="Q949" s="113"/>
      <c r="R949" s="113"/>
      <c r="S949" s="113"/>
      <c r="T949" s="113"/>
      <c r="U949" s="113"/>
      <c r="V949" s="113"/>
      <c r="W949" s="113"/>
      <c r="X949" s="113"/>
      <c r="Y949" s="113"/>
      <c r="Z949" s="113"/>
      <c r="AA949" s="113"/>
      <c r="AB949" s="113"/>
      <c r="AC949" s="113"/>
      <c r="AD949" s="113"/>
      <c r="AE949" s="113"/>
      <c r="AF949" s="113"/>
      <c r="AG949" s="113"/>
    </row>
    <row r="950" spans="1:33" ht="13.8">
      <c r="A950" s="113"/>
      <c r="B950" s="113"/>
      <c r="C950" s="113"/>
      <c r="D950" s="111"/>
      <c r="E950" s="113"/>
      <c r="F950" s="111"/>
      <c r="G950" s="113"/>
      <c r="H950" s="111"/>
      <c r="I950" s="113"/>
      <c r="J950" s="113"/>
      <c r="K950" s="113"/>
      <c r="L950" s="113"/>
      <c r="M950" s="113"/>
      <c r="N950" s="113"/>
      <c r="O950" s="113"/>
      <c r="P950" s="113"/>
      <c r="Q950" s="113"/>
      <c r="R950" s="113"/>
      <c r="S950" s="113"/>
      <c r="T950" s="113"/>
      <c r="U950" s="113"/>
      <c r="V950" s="113"/>
      <c r="W950" s="113"/>
      <c r="X950" s="113"/>
      <c r="Y950" s="113"/>
      <c r="Z950" s="113"/>
      <c r="AA950" s="113"/>
      <c r="AB950" s="113"/>
      <c r="AC950" s="113"/>
      <c r="AD950" s="113"/>
      <c r="AE950" s="113"/>
      <c r="AF950" s="113"/>
      <c r="AG950" s="113"/>
    </row>
    <row r="951" spans="1:33" ht="13.8">
      <c r="A951" s="113"/>
      <c r="B951" s="113"/>
      <c r="C951" s="113"/>
      <c r="D951" s="111"/>
      <c r="E951" s="113"/>
      <c r="F951" s="111"/>
      <c r="G951" s="113"/>
      <c r="H951" s="111"/>
      <c r="I951" s="113"/>
      <c r="J951" s="113"/>
      <c r="K951" s="113"/>
      <c r="L951" s="113"/>
      <c r="M951" s="113"/>
      <c r="N951" s="113"/>
      <c r="O951" s="113"/>
      <c r="P951" s="113"/>
      <c r="Q951" s="113"/>
      <c r="R951" s="113"/>
      <c r="S951" s="113"/>
      <c r="T951" s="113"/>
      <c r="U951" s="113"/>
      <c r="V951" s="113"/>
      <c r="W951" s="113"/>
      <c r="X951" s="113"/>
      <c r="Y951" s="113"/>
      <c r="Z951" s="113"/>
      <c r="AA951" s="113"/>
      <c r="AB951" s="113"/>
      <c r="AC951" s="113"/>
      <c r="AD951" s="113"/>
      <c r="AE951" s="113"/>
      <c r="AF951" s="113"/>
      <c r="AG951" s="113"/>
    </row>
    <row r="952" spans="1:33" ht="13.8">
      <c r="A952" s="113"/>
      <c r="B952" s="113"/>
      <c r="C952" s="113"/>
      <c r="D952" s="111"/>
      <c r="E952" s="113"/>
      <c r="F952" s="111"/>
      <c r="G952" s="113"/>
      <c r="H952" s="111"/>
      <c r="I952" s="113"/>
      <c r="J952" s="113"/>
      <c r="K952" s="113"/>
      <c r="L952" s="113"/>
      <c r="M952" s="113"/>
      <c r="N952" s="113"/>
      <c r="O952" s="113"/>
      <c r="P952" s="113"/>
      <c r="Q952" s="113"/>
      <c r="R952" s="113"/>
      <c r="S952" s="113"/>
      <c r="T952" s="113"/>
      <c r="U952" s="113"/>
      <c r="V952" s="113"/>
      <c r="W952" s="113"/>
      <c r="X952" s="113"/>
      <c r="Y952" s="113"/>
      <c r="Z952" s="113"/>
      <c r="AA952" s="113"/>
      <c r="AB952" s="113"/>
      <c r="AC952" s="113"/>
      <c r="AD952" s="113"/>
      <c r="AE952" s="113"/>
      <c r="AF952" s="113"/>
      <c r="AG952" s="113"/>
    </row>
    <row r="953" spans="1:33" ht="13.8">
      <c r="A953" s="113"/>
      <c r="B953" s="113"/>
      <c r="C953" s="113"/>
      <c r="D953" s="111"/>
      <c r="E953" s="113"/>
      <c r="F953" s="111"/>
      <c r="G953" s="113"/>
      <c r="H953" s="111"/>
      <c r="I953" s="113"/>
      <c r="J953" s="113"/>
      <c r="K953" s="113"/>
      <c r="L953" s="113"/>
      <c r="M953" s="113"/>
      <c r="N953" s="113"/>
      <c r="O953" s="113"/>
      <c r="P953" s="113"/>
      <c r="Q953" s="113"/>
      <c r="R953" s="113"/>
      <c r="S953" s="113"/>
      <c r="T953" s="113"/>
      <c r="U953" s="113"/>
      <c r="V953" s="113"/>
      <c r="W953" s="113"/>
      <c r="X953" s="113"/>
      <c r="Y953" s="113"/>
      <c r="Z953" s="113"/>
      <c r="AA953" s="113"/>
      <c r="AB953" s="113"/>
      <c r="AC953" s="113"/>
      <c r="AD953" s="113"/>
      <c r="AE953" s="113"/>
      <c r="AF953" s="113"/>
      <c r="AG953" s="113"/>
    </row>
    <row r="954" spans="1:33" ht="13.8">
      <c r="A954" s="113"/>
      <c r="B954" s="113"/>
      <c r="C954" s="113"/>
      <c r="D954" s="111"/>
      <c r="E954" s="113"/>
      <c r="F954" s="111"/>
      <c r="G954" s="113"/>
      <c r="H954" s="111"/>
      <c r="I954" s="113"/>
      <c r="J954" s="113"/>
      <c r="K954" s="113"/>
      <c r="L954" s="113"/>
      <c r="M954" s="113"/>
      <c r="N954" s="113"/>
      <c r="O954" s="113"/>
      <c r="P954" s="113"/>
      <c r="Q954" s="113"/>
      <c r="R954" s="113"/>
      <c r="S954" s="113"/>
      <c r="T954" s="113"/>
      <c r="U954" s="113"/>
      <c r="V954" s="113"/>
      <c r="W954" s="113"/>
      <c r="X954" s="113"/>
      <c r="Y954" s="113"/>
      <c r="Z954" s="113"/>
      <c r="AA954" s="113"/>
      <c r="AB954" s="113"/>
      <c r="AC954" s="113"/>
      <c r="AD954" s="113"/>
      <c r="AE954" s="113"/>
      <c r="AF954" s="113"/>
      <c r="AG954" s="113"/>
    </row>
    <row r="955" spans="1:33" ht="13.8">
      <c r="A955" s="113"/>
      <c r="B955" s="113"/>
      <c r="C955" s="113"/>
      <c r="D955" s="111"/>
      <c r="E955" s="113"/>
      <c r="F955" s="111"/>
      <c r="G955" s="113"/>
      <c r="H955" s="111"/>
      <c r="I955" s="113"/>
      <c r="J955" s="113"/>
      <c r="K955" s="113"/>
      <c r="L955" s="113"/>
      <c r="M955" s="113"/>
      <c r="N955" s="113"/>
      <c r="O955" s="113"/>
      <c r="P955" s="113"/>
      <c r="Q955" s="113"/>
      <c r="R955" s="113"/>
      <c r="S955" s="113"/>
      <c r="T955" s="113"/>
      <c r="U955" s="113"/>
      <c r="V955" s="113"/>
      <c r="W955" s="113"/>
      <c r="X955" s="113"/>
      <c r="Y955" s="113"/>
      <c r="Z955" s="113"/>
      <c r="AA955" s="113"/>
      <c r="AB955" s="113"/>
      <c r="AC955" s="113"/>
      <c r="AD955" s="113"/>
      <c r="AE955" s="113"/>
      <c r="AF955" s="113"/>
      <c r="AG955" s="113"/>
    </row>
    <row r="956" spans="1:33" ht="13.8">
      <c r="A956" s="113"/>
      <c r="B956" s="113"/>
      <c r="C956" s="113"/>
      <c r="D956" s="111"/>
      <c r="E956" s="113"/>
      <c r="F956" s="111"/>
      <c r="G956" s="113"/>
      <c r="H956" s="111"/>
      <c r="I956" s="113"/>
      <c r="J956" s="113"/>
      <c r="K956" s="113"/>
      <c r="L956" s="113"/>
      <c r="M956" s="113"/>
      <c r="N956" s="113"/>
      <c r="O956" s="113"/>
      <c r="P956" s="113"/>
      <c r="Q956" s="113"/>
      <c r="R956" s="113"/>
      <c r="S956" s="113"/>
      <c r="T956" s="113"/>
      <c r="U956" s="113"/>
      <c r="V956" s="113"/>
      <c r="W956" s="113"/>
      <c r="X956" s="113"/>
      <c r="Y956" s="113"/>
      <c r="Z956" s="113"/>
      <c r="AA956" s="113"/>
      <c r="AB956" s="113"/>
      <c r="AC956" s="113"/>
      <c r="AD956" s="113"/>
      <c r="AE956" s="113"/>
      <c r="AF956" s="113"/>
      <c r="AG956" s="113"/>
    </row>
    <row r="957" spans="1:33" ht="13.8">
      <c r="A957" s="113"/>
      <c r="B957" s="113"/>
      <c r="C957" s="113"/>
      <c r="D957" s="111"/>
      <c r="E957" s="113"/>
      <c r="F957" s="111"/>
      <c r="G957" s="113"/>
      <c r="H957" s="111"/>
      <c r="I957" s="113"/>
      <c r="J957" s="113"/>
      <c r="K957" s="113"/>
      <c r="L957" s="113"/>
      <c r="M957" s="113"/>
      <c r="N957" s="113"/>
      <c r="O957" s="113"/>
      <c r="P957" s="113"/>
      <c r="Q957" s="113"/>
      <c r="R957" s="113"/>
      <c r="S957" s="113"/>
      <c r="T957" s="113"/>
      <c r="U957" s="113"/>
      <c r="V957" s="113"/>
      <c r="W957" s="113"/>
      <c r="X957" s="113"/>
      <c r="Y957" s="113"/>
      <c r="Z957" s="113"/>
      <c r="AA957" s="113"/>
      <c r="AB957" s="113"/>
      <c r="AC957" s="113"/>
      <c r="AD957" s="113"/>
      <c r="AE957" s="113"/>
      <c r="AF957" s="113"/>
      <c r="AG957" s="113"/>
    </row>
    <row r="958" spans="1:33" ht="13.8">
      <c r="A958" s="113"/>
      <c r="B958" s="113"/>
      <c r="C958" s="113"/>
      <c r="D958" s="111"/>
      <c r="E958" s="113"/>
      <c r="F958" s="111"/>
      <c r="G958" s="113"/>
      <c r="H958" s="111"/>
      <c r="I958" s="113"/>
      <c r="J958" s="113"/>
      <c r="K958" s="113"/>
      <c r="L958" s="113"/>
      <c r="M958" s="113"/>
      <c r="N958" s="113"/>
      <c r="O958" s="113"/>
      <c r="P958" s="113"/>
      <c r="Q958" s="113"/>
      <c r="R958" s="113"/>
      <c r="S958" s="113"/>
      <c r="T958" s="113"/>
      <c r="U958" s="113"/>
      <c r="V958" s="113"/>
      <c r="W958" s="113"/>
      <c r="X958" s="113"/>
      <c r="Y958" s="113"/>
      <c r="Z958" s="113"/>
      <c r="AA958" s="113"/>
      <c r="AB958" s="113"/>
      <c r="AC958" s="113"/>
      <c r="AD958" s="113"/>
      <c r="AE958" s="113"/>
      <c r="AF958" s="113"/>
      <c r="AG958" s="113"/>
    </row>
    <row r="959" spans="1:33" ht="13.8">
      <c r="A959" s="113"/>
      <c r="B959" s="113"/>
      <c r="C959" s="113"/>
      <c r="D959" s="111"/>
      <c r="E959" s="113"/>
      <c r="F959" s="111"/>
      <c r="G959" s="113"/>
      <c r="H959" s="111"/>
      <c r="I959" s="113"/>
      <c r="J959" s="113"/>
      <c r="K959" s="113"/>
      <c r="L959" s="113"/>
      <c r="M959" s="113"/>
      <c r="N959" s="113"/>
      <c r="O959" s="113"/>
      <c r="P959" s="113"/>
      <c r="Q959" s="113"/>
      <c r="R959" s="113"/>
      <c r="S959" s="113"/>
      <c r="T959" s="113"/>
      <c r="U959" s="113"/>
      <c r="V959" s="113"/>
      <c r="W959" s="113"/>
      <c r="X959" s="113"/>
      <c r="Y959" s="113"/>
      <c r="Z959" s="113"/>
      <c r="AA959" s="113"/>
      <c r="AB959" s="113"/>
      <c r="AC959" s="113"/>
      <c r="AD959" s="113"/>
      <c r="AE959" s="113"/>
      <c r="AF959" s="113"/>
      <c r="AG959" s="113"/>
    </row>
    <row r="960" spans="1:33" ht="13.8">
      <c r="A960" s="113"/>
      <c r="B960" s="113"/>
      <c r="C960" s="113"/>
      <c r="D960" s="111"/>
      <c r="E960" s="113"/>
      <c r="F960" s="111"/>
      <c r="G960" s="113"/>
      <c r="H960" s="111"/>
      <c r="I960" s="113"/>
      <c r="J960" s="113"/>
      <c r="K960" s="113"/>
      <c r="L960" s="113"/>
      <c r="M960" s="113"/>
      <c r="N960" s="113"/>
      <c r="O960" s="113"/>
      <c r="P960" s="113"/>
      <c r="Q960" s="113"/>
      <c r="R960" s="113"/>
      <c r="S960" s="113"/>
      <c r="T960" s="113"/>
      <c r="U960" s="113"/>
      <c r="V960" s="113"/>
      <c r="W960" s="113"/>
      <c r="X960" s="113"/>
      <c r="Y960" s="113"/>
      <c r="Z960" s="113"/>
      <c r="AA960" s="113"/>
      <c r="AB960" s="113"/>
      <c r="AC960" s="113"/>
      <c r="AD960" s="113"/>
      <c r="AE960" s="113"/>
      <c r="AF960" s="113"/>
      <c r="AG960" s="113"/>
    </row>
    <row r="961" spans="1:33" ht="13.8">
      <c r="A961" s="113"/>
      <c r="B961" s="113"/>
      <c r="C961" s="113"/>
      <c r="D961" s="111"/>
      <c r="E961" s="113"/>
      <c r="F961" s="111"/>
      <c r="G961" s="113"/>
      <c r="H961" s="111"/>
      <c r="I961" s="113"/>
      <c r="J961" s="113"/>
      <c r="K961" s="113"/>
      <c r="L961" s="113"/>
      <c r="M961" s="113"/>
      <c r="N961" s="113"/>
      <c r="O961" s="113"/>
      <c r="P961" s="113"/>
      <c r="Q961" s="113"/>
      <c r="R961" s="113"/>
      <c r="S961" s="113"/>
      <c r="T961" s="113"/>
      <c r="U961" s="113"/>
      <c r="V961" s="113"/>
      <c r="W961" s="113"/>
      <c r="X961" s="113"/>
      <c r="Y961" s="113"/>
      <c r="Z961" s="113"/>
      <c r="AA961" s="113"/>
      <c r="AB961" s="113"/>
      <c r="AC961" s="113"/>
      <c r="AD961" s="113"/>
      <c r="AE961" s="113"/>
      <c r="AF961" s="113"/>
      <c r="AG961" s="113"/>
    </row>
    <row r="962" spans="1:33" ht="13.8">
      <c r="A962" s="113"/>
      <c r="B962" s="113"/>
      <c r="C962" s="113"/>
      <c r="D962" s="111"/>
      <c r="E962" s="113"/>
      <c r="F962" s="111"/>
      <c r="G962" s="113"/>
      <c r="H962" s="111"/>
      <c r="I962" s="113"/>
      <c r="J962" s="113"/>
      <c r="K962" s="113"/>
      <c r="L962" s="113"/>
      <c r="M962" s="113"/>
      <c r="N962" s="113"/>
      <c r="O962" s="113"/>
      <c r="P962" s="113"/>
      <c r="Q962" s="113"/>
      <c r="R962" s="113"/>
      <c r="S962" s="113"/>
      <c r="T962" s="113"/>
      <c r="U962" s="113"/>
      <c r="V962" s="113"/>
      <c r="W962" s="113"/>
      <c r="X962" s="113"/>
      <c r="Y962" s="113"/>
      <c r="Z962" s="113"/>
      <c r="AA962" s="113"/>
      <c r="AB962" s="113"/>
      <c r="AC962" s="113"/>
      <c r="AD962" s="113"/>
      <c r="AE962" s="113"/>
      <c r="AF962" s="113"/>
      <c r="AG962" s="113"/>
    </row>
    <row r="963" spans="1:33" ht="13.8">
      <c r="A963" s="113"/>
      <c r="B963" s="113"/>
      <c r="C963" s="113"/>
      <c r="D963" s="111"/>
      <c r="E963" s="113"/>
      <c r="F963" s="111"/>
      <c r="G963" s="113"/>
      <c r="H963" s="111"/>
      <c r="I963" s="113"/>
      <c r="J963" s="113"/>
      <c r="K963" s="113"/>
      <c r="L963" s="113"/>
      <c r="M963" s="113"/>
      <c r="N963" s="113"/>
      <c r="O963" s="113"/>
      <c r="P963" s="113"/>
      <c r="Q963" s="113"/>
      <c r="R963" s="113"/>
      <c r="S963" s="113"/>
      <c r="T963" s="113"/>
      <c r="U963" s="113"/>
      <c r="V963" s="113"/>
      <c r="W963" s="113"/>
      <c r="X963" s="113"/>
      <c r="Y963" s="113"/>
      <c r="Z963" s="113"/>
      <c r="AA963" s="113"/>
      <c r="AB963" s="113"/>
      <c r="AC963" s="113"/>
      <c r="AD963" s="113"/>
      <c r="AE963" s="113"/>
      <c r="AF963" s="113"/>
      <c r="AG963" s="113"/>
    </row>
    <row r="964" spans="1:33" ht="13.8">
      <c r="A964" s="113"/>
      <c r="B964" s="113"/>
      <c r="C964" s="113"/>
      <c r="D964" s="111"/>
      <c r="E964" s="113"/>
      <c r="F964" s="111"/>
      <c r="G964" s="113"/>
      <c r="H964" s="111"/>
      <c r="I964" s="113"/>
      <c r="J964" s="113"/>
      <c r="K964" s="113"/>
      <c r="L964" s="113"/>
      <c r="M964" s="113"/>
      <c r="N964" s="113"/>
      <c r="O964" s="113"/>
      <c r="P964" s="113"/>
      <c r="Q964" s="113"/>
      <c r="R964" s="113"/>
      <c r="S964" s="113"/>
      <c r="T964" s="113"/>
      <c r="U964" s="113"/>
      <c r="V964" s="113"/>
      <c r="W964" s="113"/>
      <c r="X964" s="113"/>
      <c r="Y964" s="113"/>
      <c r="Z964" s="113"/>
      <c r="AA964" s="113"/>
      <c r="AB964" s="113"/>
      <c r="AC964" s="113"/>
      <c r="AD964" s="113"/>
      <c r="AE964" s="113"/>
      <c r="AF964" s="113"/>
      <c r="AG964" s="113"/>
    </row>
    <row r="965" spans="1:33" ht="13.8">
      <c r="A965" s="113"/>
      <c r="B965" s="113"/>
      <c r="C965" s="113"/>
      <c r="D965" s="111"/>
      <c r="E965" s="113"/>
      <c r="F965" s="111"/>
      <c r="G965" s="113"/>
      <c r="H965" s="111"/>
      <c r="I965" s="113"/>
      <c r="J965" s="113"/>
      <c r="K965" s="113"/>
      <c r="L965" s="113"/>
      <c r="M965" s="113"/>
      <c r="N965" s="113"/>
      <c r="O965" s="113"/>
      <c r="P965" s="113"/>
      <c r="Q965" s="113"/>
      <c r="R965" s="113"/>
      <c r="S965" s="113"/>
      <c r="T965" s="113"/>
      <c r="U965" s="113"/>
      <c r="V965" s="113"/>
      <c r="W965" s="113"/>
      <c r="X965" s="113"/>
      <c r="Y965" s="113"/>
      <c r="Z965" s="113"/>
      <c r="AA965" s="113"/>
      <c r="AB965" s="113"/>
      <c r="AC965" s="113"/>
      <c r="AD965" s="113"/>
      <c r="AE965" s="113"/>
      <c r="AF965" s="113"/>
      <c r="AG965" s="113"/>
    </row>
    <row r="966" spans="1:33" ht="13.8">
      <c r="A966" s="113"/>
      <c r="B966" s="113"/>
      <c r="C966" s="113"/>
      <c r="D966" s="111"/>
      <c r="E966" s="113"/>
      <c r="F966" s="111"/>
      <c r="G966" s="113"/>
      <c r="H966" s="111"/>
      <c r="I966" s="113"/>
      <c r="J966" s="113"/>
      <c r="K966" s="113"/>
      <c r="L966" s="113"/>
      <c r="M966" s="113"/>
      <c r="N966" s="113"/>
      <c r="O966" s="113"/>
      <c r="P966" s="113"/>
      <c r="Q966" s="113"/>
      <c r="R966" s="113"/>
      <c r="S966" s="113"/>
      <c r="T966" s="113"/>
      <c r="U966" s="113"/>
      <c r="V966" s="113"/>
      <c r="W966" s="113"/>
      <c r="X966" s="113"/>
      <c r="Y966" s="113"/>
      <c r="Z966" s="113"/>
      <c r="AA966" s="113"/>
      <c r="AB966" s="113"/>
      <c r="AC966" s="113"/>
      <c r="AD966" s="113"/>
      <c r="AE966" s="113"/>
      <c r="AF966" s="113"/>
      <c r="AG966" s="113"/>
    </row>
    <row r="967" spans="1:33" ht="13.8">
      <c r="A967" s="113"/>
      <c r="B967" s="113"/>
      <c r="C967" s="113"/>
      <c r="D967" s="111"/>
      <c r="E967" s="113"/>
      <c r="F967" s="111"/>
      <c r="G967" s="113"/>
      <c r="H967" s="111"/>
      <c r="I967" s="113"/>
      <c r="J967" s="113"/>
      <c r="K967" s="113"/>
      <c r="L967" s="113"/>
      <c r="M967" s="113"/>
      <c r="N967" s="113"/>
      <c r="O967" s="113"/>
      <c r="P967" s="113"/>
      <c r="Q967" s="113"/>
      <c r="R967" s="113"/>
      <c r="S967" s="113"/>
      <c r="T967" s="113"/>
      <c r="U967" s="113"/>
      <c r="V967" s="113"/>
      <c r="W967" s="113"/>
      <c r="X967" s="113"/>
      <c r="Y967" s="113"/>
      <c r="Z967" s="113"/>
      <c r="AA967" s="113"/>
      <c r="AB967" s="113"/>
      <c r="AC967" s="113"/>
      <c r="AD967" s="113"/>
      <c r="AE967" s="113"/>
      <c r="AF967" s="113"/>
      <c r="AG967" s="113"/>
    </row>
    <row r="968" spans="1:33" ht="13.8">
      <c r="A968" s="113"/>
      <c r="B968" s="113"/>
      <c r="C968" s="113"/>
      <c r="D968" s="111"/>
      <c r="E968" s="113"/>
      <c r="F968" s="111"/>
      <c r="G968" s="113"/>
      <c r="H968" s="111"/>
      <c r="I968" s="113"/>
      <c r="J968" s="113"/>
      <c r="K968" s="113"/>
      <c r="L968" s="113"/>
      <c r="M968" s="113"/>
      <c r="N968" s="113"/>
      <c r="O968" s="113"/>
      <c r="P968" s="113"/>
      <c r="Q968" s="113"/>
      <c r="R968" s="113"/>
      <c r="S968" s="113"/>
      <c r="T968" s="113"/>
      <c r="U968" s="113"/>
      <c r="V968" s="113"/>
      <c r="W968" s="113"/>
      <c r="X968" s="113"/>
      <c r="Y968" s="113"/>
      <c r="Z968" s="113"/>
      <c r="AA968" s="113"/>
      <c r="AB968" s="113"/>
      <c r="AC968" s="113"/>
      <c r="AD968" s="113"/>
      <c r="AE968" s="113"/>
      <c r="AF968" s="113"/>
      <c r="AG968" s="113"/>
    </row>
    <row r="969" spans="1:33" ht="13.8">
      <c r="A969" s="113"/>
      <c r="B969" s="113"/>
      <c r="C969" s="113"/>
      <c r="D969" s="111"/>
      <c r="E969" s="113"/>
      <c r="F969" s="111"/>
      <c r="G969" s="113"/>
      <c r="H969" s="111"/>
      <c r="I969" s="113"/>
      <c r="J969" s="113"/>
      <c r="K969" s="113"/>
      <c r="L969" s="113"/>
      <c r="M969" s="113"/>
      <c r="N969" s="113"/>
      <c r="O969" s="113"/>
      <c r="P969" s="113"/>
      <c r="Q969" s="113"/>
      <c r="R969" s="113"/>
      <c r="S969" s="113"/>
      <c r="T969" s="113"/>
      <c r="U969" s="113"/>
      <c r="V969" s="113"/>
      <c r="W969" s="113"/>
      <c r="X969" s="113"/>
      <c r="Y969" s="113"/>
      <c r="Z969" s="113"/>
      <c r="AA969" s="113"/>
      <c r="AB969" s="113"/>
      <c r="AC969" s="113"/>
      <c r="AD969" s="113"/>
      <c r="AE969" s="113"/>
      <c r="AF969" s="113"/>
      <c r="AG969" s="113"/>
    </row>
    <row r="970" spans="1:33" ht="13.8">
      <c r="A970" s="113"/>
      <c r="B970" s="113"/>
      <c r="C970" s="113"/>
      <c r="D970" s="111"/>
      <c r="E970" s="113"/>
      <c r="F970" s="111"/>
      <c r="G970" s="113"/>
      <c r="H970" s="111"/>
      <c r="I970" s="113"/>
      <c r="J970" s="113"/>
      <c r="K970" s="113"/>
      <c r="L970" s="113"/>
      <c r="M970" s="113"/>
      <c r="N970" s="113"/>
      <c r="O970" s="113"/>
      <c r="P970" s="113"/>
      <c r="Q970" s="113"/>
      <c r="R970" s="113"/>
      <c r="S970" s="113"/>
      <c r="T970" s="113"/>
      <c r="U970" s="113"/>
      <c r="V970" s="113"/>
      <c r="W970" s="113"/>
      <c r="X970" s="113"/>
      <c r="Y970" s="113"/>
      <c r="Z970" s="113"/>
      <c r="AA970" s="113"/>
      <c r="AB970" s="113"/>
      <c r="AC970" s="113"/>
      <c r="AD970" s="113"/>
      <c r="AE970" s="113"/>
      <c r="AF970" s="113"/>
      <c r="AG970" s="113"/>
    </row>
    <row r="971" spans="1:33" ht="13.8">
      <c r="A971" s="113"/>
      <c r="B971" s="113"/>
      <c r="C971" s="113"/>
      <c r="D971" s="111"/>
      <c r="E971" s="113"/>
      <c r="F971" s="111"/>
      <c r="G971" s="113"/>
      <c r="H971" s="111"/>
      <c r="I971" s="113"/>
      <c r="J971" s="113"/>
      <c r="K971" s="113"/>
      <c r="L971" s="113"/>
      <c r="M971" s="113"/>
      <c r="N971" s="113"/>
      <c r="O971" s="113"/>
      <c r="P971" s="113"/>
      <c r="Q971" s="113"/>
      <c r="R971" s="113"/>
      <c r="S971" s="113"/>
      <c r="T971" s="113"/>
      <c r="U971" s="113"/>
      <c r="V971" s="113"/>
      <c r="W971" s="113"/>
      <c r="X971" s="113"/>
      <c r="Y971" s="113"/>
      <c r="Z971" s="113"/>
      <c r="AA971" s="113"/>
      <c r="AB971" s="113"/>
      <c r="AC971" s="113"/>
      <c r="AD971" s="113"/>
      <c r="AE971" s="113"/>
      <c r="AF971" s="113"/>
      <c r="AG971" s="113"/>
    </row>
    <row r="972" spans="1:33" ht="13.8">
      <c r="A972" s="113"/>
      <c r="B972" s="113"/>
      <c r="C972" s="113"/>
      <c r="D972" s="111"/>
      <c r="E972" s="113"/>
      <c r="F972" s="111"/>
      <c r="G972" s="113"/>
      <c r="H972" s="111"/>
      <c r="I972" s="113"/>
      <c r="J972" s="113"/>
      <c r="K972" s="113"/>
      <c r="L972" s="113"/>
      <c r="M972" s="113"/>
      <c r="N972" s="113"/>
      <c r="O972" s="113"/>
      <c r="P972" s="113"/>
      <c r="Q972" s="113"/>
      <c r="R972" s="113"/>
      <c r="S972" s="113"/>
      <c r="T972" s="113"/>
      <c r="U972" s="113"/>
      <c r="V972" s="113"/>
      <c r="W972" s="113"/>
      <c r="X972" s="113"/>
      <c r="Y972" s="113"/>
      <c r="Z972" s="113"/>
      <c r="AA972" s="113"/>
      <c r="AB972" s="113"/>
      <c r="AC972" s="113"/>
      <c r="AD972" s="113"/>
      <c r="AE972" s="113"/>
      <c r="AF972" s="113"/>
      <c r="AG972" s="113"/>
    </row>
  </sheetData>
  <dataValidations count="2">
    <dataValidation type="list" allowBlank="1" showErrorMessage="1" sqref="C2:C52" xr:uid="{00000000-0002-0000-0D00-000000000000}">
      <formula1>"6,7,8"</formula1>
      <formula2>0</formula2>
    </dataValidation>
    <dataValidation type="list" allowBlank="1" showErrorMessage="1" sqref="E2:E52" xr:uid="{00000000-0002-0000-0D00-000001000000}">
      <formula1>"Physics,Biology,Chemistry"</formula1>
      <formula2>0</formula2>
    </dataValidation>
  </dataValidations>
  <pageMargins left="0.74791666666666701" right="0.74791666666666701" top="0.98402777777777795" bottom="0.98402777777777795" header="0.511811023622047" footer="0.511811023622047"/>
  <pageSetup paperSize="9" orientation="portrait" horizontalDpi="300" verticalDpi="300"/>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G997"/>
  <sheetViews>
    <sheetView zoomScaleNormal="100" workbookViewId="0">
      <pane ySplit="1" topLeftCell="A14" activePane="bottomLeft" state="frozen"/>
      <selection pane="bottomLeft" activeCell="H3" sqref="H3"/>
    </sheetView>
  </sheetViews>
  <sheetFormatPr defaultColWidth="12.6640625" defaultRowHeight="13.2"/>
  <cols>
    <col min="1" max="1" width="10.6640625" customWidth="1"/>
    <col min="2" max="2" width="8.44140625" customWidth="1"/>
    <col min="4" max="4" width="26" customWidth="1"/>
    <col min="5" max="5" width="14.33203125" customWidth="1"/>
    <col min="6" max="6" width="24.77734375" customWidth="1"/>
    <col min="8" max="8" width="29.109375" customWidth="1"/>
    <col min="9" max="9" width="12.6640625" hidden="1"/>
    <col min="11" max="11" width="29.88671875" customWidth="1"/>
    <col min="13" max="13" width="33.33203125" customWidth="1"/>
    <col min="15" max="15" width="32.33203125" customWidth="1"/>
    <col min="17" max="17" width="31.21875" customWidth="1"/>
    <col min="19" max="19" width="26.88671875" customWidth="1"/>
    <col min="21" max="21" width="36.21875" customWidth="1"/>
  </cols>
  <sheetData>
    <row r="1" spans="1:33" ht="27.6">
      <c r="A1" s="3" t="s">
        <v>0</v>
      </c>
      <c r="B1" s="109" t="s">
        <v>1</v>
      </c>
      <c r="C1" s="109" t="s">
        <v>3</v>
      </c>
      <c r="D1" s="109" t="s">
        <v>1280</v>
      </c>
      <c r="E1" s="109" t="s">
        <v>2</v>
      </c>
      <c r="F1" s="115" t="s">
        <v>4</v>
      </c>
      <c r="G1" s="110" t="s">
        <v>1844</v>
      </c>
      <c r="H1" s="110" t="s">
        <v>307</v>
      </c>
      <c r="I1" s="111" t="s">
        <v>1670</v>
      </c>
      <c r="J1" s="20" t="s">
        <v>5</v>
      </c>
      <c r="K1" s="20" t="s">
        <v>6</v>
      </c>
      <c r="L1" s="20" t="s">
        <v>7</v>
      </c>
      <c r="M1" s="20" t="s">
        <v>8</v>
      </c>
      <c r="N1" s="20" t="s">
        <v>9</v>
      </c>
      <c r="O1" s="20" t="s">
        <v>10</v>
      </c>
      <c r="P1" s="20" t="s">
        <v>11</v>
      </c>
      <c r="Q1" s="20" t="s">
        <v>12</v>
      </c>
      <c r="R1" s="20" t="s">
        <v>13</v>
      </c>
      <c r="S1" s="20" t="s">
        <v>14</v>
      </c>
      <c r="T1" s="20" t="s">
        <v>15</v>
      </c>
      <c r="U1" s="20" t="s">
        <v>16</v>
      </c>
      <c r="V1" s="9" t="s">
        <v>17</v>
      </c>
      <c r="W1" s="9" t="s">
        <v>18</v>
      </c>
      <c r="X1" s="9" t="s">
        <v>19</v>
      </c>
      <c r="Y1" s="9" t="s">
        <v>20</v>
      </c>
      <c r="Z1" s="9" t="s">
        <v>21</v>
      </c>
      <c r="AA1" s="9" t="s">
        <v>22</v>
      </c>
      <c r="AB1" s="9" t="s">
        <v>23</v>
      </c>
      <c r="AC1" s="10" t="s">
        <v>24</v>
      </c>
      <c r="AD1" s="11" t="s">
        <v>25</v>
      </c>
      <c r="AE1" s="11" t="s">
        <v>26</v>
      </c>
      <c r="AF1" s="11" t="s">
        <v>27</v>
      </c>
      <c r="AG1" s="12" t="s">
        <v>28</v>
      </c>
    </row>
    <row r="2" spans="1:33" ht="27.6">
      <c r="A2" s="111"/>
      <c r="B2" s="111" t="s">
        <v>29</v>
      </c>
      <c r="C2" s="111">
        <v>8</v>
      </c>
      <c r="D2" s="111" t="s">
        <v>31</v>
      </c>
      <c r="E2" s="111" t="s">
        <v>1613</v>
      </c>
      <c r="F2" s="113" t="s">
        <v>1755</v>
      </c>
      <c r="G2" s="14" t="s">
        <v>1756</v>
      </c>
      <c r="H2" s="112" t="str">
        <f ca="1">IFERROR(__xludf.dummyfunction("IFERROR(
  VLOOKUP(G2, IMPORTRANGE(""https://docs.google.com/spreadsheets/d/14deopnvwcrKtEGCKuYXdUHJbeLDZlkiSSWWT0g7x2pM/edit#gid=849066331"", ""LU List Maths (Filter)!A:B""), 2, FALSE),
  IFERROR(
    VLOOKUP(G2, IMPORTRANGE(""https://docs.google.com/spr"&amp;"eadsheets/d/14deopnvwcrKtEGCKuYXdUHJbeLDZlkiSSWWT0g7x2pM/edit#gid=849066331"", ""LU List Science (Filter)!A:B""), 2, FALSE),
    ""Not Found""
  )
)
"),"Postulates of Kinetic Molecular Theory of Matter")</f>
        <v>Postulates of Kinetic Molecular Theory of Matter</v>
      </c>
      <c r="I2" s="111"/>
      <c r="J2" s="1" t="str">
        <f t="shared" ref="J2:J33" si="0">G2 &amp; ".001"</f>
        <v>LU006741.001</v>
      </c>
      <c r="K2" s="1" t="str">
        <f ca="1">IFERROR(__xludf.dummyfunction("VLOOKUP(J2, IMPORTRANGE(""https://docs.google.com/spreadsheets/d/1yDAaXNsi4Mr5FtRQL4tbmSdIzhx6_m4wkOD7IG-k_eo/edit#gid=1336395716"", ""Science!M:N""), 2, FALSE)"),"(LU006741.001); Default - Remember")</f>
        <v>(LU006741.001); Default - Remember</v>
      </c>
      <c r="L2" s="1" t="str">
        <f t="shared" ref="L2:L33" si="1">G2 &amp; ".002"</f>
        <v>LU006741.002</v>
      </c>
      <c r="M2" s="1" t="str">
        <f ca="1">IFERROR(__xludf.dummyfunction("VLOOKUP(L2, IMPORTRANGE(""https://docs.google.com/spreadsheets/d/1yDAaXNsi4Mr5FtRQL4tbmSdIzhx6_m4wkOD7IG-k_eo/edit#gid=1336395716"", ""Science!M:N""), 2, FALSE)"),"(LU006741.002); Default - Understand")</f>
        <v>(LU006741.002); Default - Understand</v>
      </c>
      <c r="N2" s="1" t="str">
        <f t="shared" ref="N2:N33" si="2">G2 &amp; ".003"</f>
        <v>LU006741.003</v>
      </c>
      <c r="O2" s="1" t="str">
        <f ca="1">IFERROR(__xludf.dummyfunction("VLOOKUP(N2, IMPORTRANGE(""https://docs.google.com/spreadsheets/d/1yDAaXNsi4Mr5FtRQL4tbmSdIzhx6_m4wkOD7IG-k_eo/edit#gid=1336395716"", ""Science!M:N""), 2, FALSE)"),"(LU006741.003); Default - Apply")</f>
        <v>(LU006741.003); Default - Apply</v>
      </c>
      <c r="P2" s="1" t="str">
        <f t="shared" ref="P2:P33" si="3">G2 &amp; ".004"</f>
        <v>LU006741.004</v>
      </c>
      <c r="Q2" s="15" t="str">
        <f ca="1">IFERROR(__xludf.dummyfunction("VLOOKUP(P2, IMPORTRANGE(""https://docs.google.com/spreadsheets/d/1yDAaXNsi4Mr5FtRQL4tbmSdIzhx6_m4wkOD7IG-k_eo/edit#gid=1336395716"", ""Science!M:N""), 2, FALSE)"),"(LU006741.004); Default - Analyse")</f>
        <v>(LU006741.004); Default - Analyse</v>
      </c>
      <c r="R2" s="1" t="str">
        <f t="shared" ref="R2:R33" si="4">G2 &amp; ".005"</f>
        <v>LU006741.005</v>
      </c>
      <c r="S2" s="15" t="str">
        <f ca="1">IFERROR(__xludf.dummyfunction("VLOOKUP(R2, IMPORTRANGE(""https://docs.google.com/spreadsheets/d/1yDAaXNsi4Mr5FtRQL4tbmSdIzhx6_m4wkOD7IG-k_eo/edit#gid=1336395716"", ""Science!M:N""), 2, FALSE)"),"(LU006741.005); Default - Evaluate")</f>
        <v>(LU006741.005); Default - Evaluate</v>
      </c>
      <c r="T2" s="1" t="str">
        <f t="shared" ref="T2:T33" si="5">G2 &amp; ".006"</f>
        <v>LU006741.006</v>
      </c>
      <c r="U2" s="15" t="str">
        <f ca="1">IFERROR(__xludf.dummyfunction("VLOOKUP(T2, IMPORTRANGE(""https://docs.google.com/spreadsheets/d/1yDAaXNsi4Mr5FtRQL4tbmSdIzhx6_m4wkOD7IG-k_eo/edit#gid=1336395716"", ""Science!M:N""), 2, FALSE)"),"(LU006741.006); Default - Create")</f>
        <v>(LU006741.006); Default - Create</v>
      </c>
      <c r="V2" s="16" t="str">
        <f ca="1">IFERROR(__xludf.dummyfunction("ArrayFormula(VLOOKUP(G2, IMPORTRANGE(""https://docs.google.com/spreadsheets/d/1p7R4vtkWt5VOBim4ltsDG9KTzSjrtKXsMtQGXPHyND0/edit#gid=795171502"", ""'Filter 30_05_2024'!A1:M2000""), {2, 3, 4, 5,6,7,8,9,10,11,12,13}, 0))"),"#N/A")</f>
        <v>#N/A</v>
      </c>
      <c r="W2" s="16" t="str">
        <f ca="1">IFERROR(__xludf.dummyfunction("""COMPUTED_VALUE"""),"#N/A")</f>
        <v>#N/A</v>
      </c>
      <c r="X2" s="16" t="str">
        <f ca="1">IFERROR(__xludf.dummyfunction("""COMPUTED_VALUE"""),"#N/A")</f>
        <v>#N/A</v>
      </c>
      <c r="Y2" s="16" t="str">
        <f ca="1">IFERROR(__xludf.dummyfunction("""COMPUTED_VALUE"""),"#N/A")</f>
        <v>#N/A</v>
      </c>
      <c r="Z2" s="16" t="str">
        <f ca="1">IFERROR(__xludf.dummyfunction("""COMPUTED_VALUE"""),"#N/A")</f>
        <v>#N/A</v>
      </c>
      <c r="AA2" s="17" t="str">
        <f ca="1">IFERROR(__xludf.dummyfunction("""COMPUTED_VALUE"""),"#N/A")</f>
        <v>#N/A</v>
      </c>
      <c r="AB2" s="17" t="str">
        <f ca="1">IFERROR(__xludf.dummyfunction("""COMPUTED_VALUE"""),"#N/A")</f>
        <v>#N/A</v>
      </c>
      <c r="AC2" s="17" t="str">
        <f ca="1">IFERROR(__xludf.dummyfunction("""COMPUTED_VALUE"""),"#N/A")</f>
        <v>#N/A</v>
      </c>
      <c r="AD2" s="2" t="str">
        <f ca="1">IFERROR(__xludf.dummyfunction("""COMPUTED_VALUE"""),"#N/A")</f>
        <v>#N/A</v>
      </c>
      <c r="AE2" s="2" t="str">
        <f ca="1">IFERROR(__xludf.dummyfunction("""COMPUTED_VALUE"""),"#N/A")</f>
        <v>#N/A</v>
      </c>
      <c r="AF2" s="2" t="str">
        <f ca="1">IFERROR(__xludf.dummyfunction("""COMPUTED_VALUE"""),"#N/A")</f>
        <v>#N/A</v>
      </c>
      <c r="AG2" s="2" t="str">
        <f ca="1">IFERROR(__xludf.dummyfunction("""COMPUTED_VALUE"""),"#N/A")</f>
        <v>#N/A</v>
      </c>
    </row>
    <row r="3" spans="1:33" ht="41.4">
      <c r="A3" s="111"/>
      <c r="B3" s="111" t="s">
        <v>29</v>
      </c>
      <c r="C3" s="111">
        <v>8</v>
      </c>
      <c r="D3" s="111" t="s">
        <v>31</v>
      </c>
      <c r="E3" s="111" t="s">
        <v>1613</v>
      </c>
      <c r="F3" s="113" t="s">
        <v>1757</v>
      </c>
      <c r="G3" s="14" t="s">
        <v>1758</v>
      </c>
      <c r="H3" s="112" t="str">
        <f ca="1">IFERROR(__xludf.dummyfunction("IFERROR(
  VLOOKUP(G3, IMPORTRANGE(""https://docs.google.com/spreadsheets/d/14deopnvwcrKtEGCKuYXdUHJbeLDZlkiSSWWT0g7x2pM/edit#gid=849066331"", ""LU List Maths (Filter)!A:B""), 2, FALSE),
  IFERROR(
    VLOOKUP(G3, IMPORTRANGE(""https://docs.google.com/spr"&amp;"eadsheets/d/14deopnvwcrKtEGCKuYXdUHJbeLDZlkiSSWWT0g7x2pM/edit#gid=849066331"", ""LU List Science (Filter)!A:B""), 2, FALSE),
    ""Not Found""
  )
)
"),"Interparticle Attraction and Spaces in Different States of Matter")</f>
        <v>Interparticle Attraction and Spaces in Different States of Matter</v>
      </c>
      <c r="I3" s="111"/>
      <c r="J3" s="1" t="str">
        <f t="shared" si="0"/>
        <v>LU006742.001</v>
      </c>
      <c r="K3" s="1" t="str">
        <f ca="1">IFERROR(__xludf.dummyfunction("VLOOKUP(J3, IMPORTRANGE(""https://docs.google.com/spreadsheets/d/1yDAaXNsi4Mr5FtRQL4tbmSdIzhx6_m4wkOD7IG-k_eo/edit#gid=1336395716"", ""Science!M:N""), 2, FALSE)"),"(LU006742.001); Default - Remember")</f>
        <v>(LU006742.001); Default - Remember</v>
      </c>
      <c r="L3" s="1" t="str">
        <f t="shared" si="1"/>
        <v>LU006742.002</v>
      </c>
      <c r="M3" s="1" t="str">
        <f ca="1">IFERROR(__xludf.dummyfunction("VLOOKUP(L3, IMPORTRANGE(""https://docs.google.com/spreadsheets/d/1yDAaXNsi4Mr5FtRQL4tbmSdIzhx6_m4wkOD7IG-k_eo/edit#gid=1336395716"", ""Science!M:N""), 2, FALSE)"),"(LU006742.002); Default - Understand")</f>
        <v>(LU006742.002); Default - Understand</v>
      </c>
      <c r="N3" s="1" t="str">
        <f t="shared" si="2"/>
        <v>LU006742.003</v>
      </c>
      <c r="O3" s="1" t="str">
        <f ca="1">IFERROR(__xludf.dummyfunction("VLOOKUP(N3, IMPORTRANGE(""https://docs.google.com/spreadsheets/d/1yDAaXNsi4Mr5FtRQL4tbmSdIzhx6_m4wkOD7IG-k_eo/edit#gid=1336395716"", ""Science!M:N""), 2, FALSE)"),"(LU006742.003); Default - Apply")</f>
        <v>(LU006742.003); Default - Apply</v>
      </c>
      <c r="P3" s="1" t="str">
        <f t="shared" si="3"/>
        <v>LU006742.004</v>
      </c>
      <c r="Q3" s="15" t="str">
        <f ca="1">IFERROR(__xludf.dummyfunction("VLOOKUP(P3, IMPORTRANGE(""https://docs.google.com/spreadsheets/d/1yDAaXNsi4Mr5FtRQL4tbmSdIzhx6_m4wkOD7IG-k_eo/edit#gid=1336395716"", ""Science!M:N""), 2, FALSE)"),"(LU006742.004); Default - Analyse")</f>
        <v>(LU006742.004); Default - Analyse</v>
      </c>
      <c r="R3" s="1" t="str">
        <f t="shared" si="4"/>
        <v>LU006742.005</v>
      </c>
      <c r="S3" s="15" t="str">
        <f ca="1">IFERROR(__xludf.dummyfunction("VLOOKUP(R3, IMPORTRANGE(""https://docs.google.com/spreadsheets/d/1yDAaXNsi4Mr5FtRQL4tbmSdIzhx6_m4wkOD7IG-k_eo/edit#gid=1336395716"", ""Science!M:N""), 2, FALSE)"),"(LU006742.005); Default - Evaluate")</f>
        <v>(LU006742.005); Default - Evaluate</v>
      </c>
      <c r="T3" s="1" t="str">
        <f t="shared" si="5"/>
        <v>LU006742.006</v>
      </c>
      <c r="U3" s="15" t="str">
        <f ca="1">IFERROR(__xludf.dummyfunction("VLOOKUP(T3, IMPORTRANGE(""https://docs.google.com/spreadsheets/d/1yDAaXNsi4Mr5FtRQL4tbmSdIzhx6_m4wkOD7IG-k_eo/edit#gid=1336395716"", ""Science!M:N""), 2, FALSE)"),"(LU006742.006); Default - Create")</f>
        <v>(LU006742.006); Default - Create</v>
      </c>
      <c r="V3" s="113"/>
      <c r="W3" s="113"/>
      <c r="X3" s="113"/>
      <c r="Y3" s="113"/>
      <c r="Z3" s="113"/>
      <c r="AA3" s="113"/>
      <c r="AB3" s="113"/>
      <c r="AC3" s="113"/>
      <c r="AD3" s="113"/>
      <c r="AE3" s="113"/>
      <c r="AF3" s="113"/>
      <c r="AG3" s="113"/>
    </row>
    <row r="4" spans="1:33" ht="27.6">
      <c r="A4" s="111"/>
      <c r="B4" s="111" t="s">
        <v>29</v>
      </c>
      <c r="C4" s="111">
        <v>8</v>
      </c>
      <c r="D4" s="111" t="s">
        <v>31</v>
      </c>
      <c r="E4" s="111" t="s">
        <v>1613</v>
      </c>
      <c r="F4" s="113" t="s">
        <v>1757</v>
      </c>
      <c r="G4" s="14" t="s">
        <v>1759</v>
      </c>
      <c r="H4" s="112" t="str">
        <f ca="1">IFERROR(__xludf.dummyfunction("IFERROR(
  VLOOKUP(G4, IMPORTRANGE(""https://docs.google.com/spreadsheets/d/14deopnvwcrKtEGCKuYXdUHJbeLDZlkiSSWWT0g7x2pM/edit#gid=849066331"", ""LU List Maths (Filter)!A:B""), 2, FALSE),
  IFERROR(
    VLOOKUP(G4, IMPORTRANGE(""https://docs.google.com/spr"&amp;"eadsheets/d/14deopnvwcrKtEGCKuYXdUHJbeLDZlkiSSWWT0g7x2pM/edit#gid=849066331"", ""LU List Science (Filter)!A:B""), 2, FALSE),
    ""Not Found""
  )
)
"),"Conditions of Interconversion of Different States of Matter")</f>
        <v>Conditions of Interconversion of Different States of Matter</v>
      </c>
      <c r="I4" s="111"/>
      <c r="J4" s="1" t="str">
        <f t="shared" si="0"/>
        <v>LU006743.001</v>
      </c>
      <c r="K4" s="1" t="str">
        <f ca="1">IFERROR(__xludf.dummyfunction("VLOOKUP(J4, IMPORTRANGE(""https://docs.google.com/spreadsheets/d/1yDAaXNsi4Mr5FtRQL4tbmSdIzhx6_m4wkOD7IG-k_eo/edit#gid=1336395716"", ""Science!M:N""), 2, FALSE)"),"(LU006743.001); Default - Remember")</f>
        <v>(LU006743.001); Default - Remember</v>
      </c>
      <c r="L4" s="1" t="str">
        <f t="shared" si="1"/>
        <v>LU006743.002</v>
      </c>
      <c r="M4" s="1" t="str">
        <f ca="1">IFERROR(__xludf.dummyfunction("VLOOKUP(L4, IMPORTRANGE(""https://docs.google.com/spreadsheets/d/1yDAaXNsi4Mr5FtRQL4tbmSdIzhx6_m4wkOD7IG-k_eo/edit#gid=1336395716"", ""Science!M:N""), 2, FALSE)"),"(LU006743.002); Default - Understand")</f>
        <v>(LU006743.002); Default - Understand</v>
      </c>
      <c r="N4" s="1" t="str">
        <f t="shared" si="2"/>
        <v>LU006743.003</v>
      </c>
      <c r="O4" s="1" t="str">
        <f ca="1">IFERROR(__xludf.dummyfunction("VLOOKUP(N4, IMPORTRANGE(""https://docs.google.com/spreadsheets/d/1yDAaXNsi4Mr5FtRQL4tbmSdIzhx6_m4wkOD7IG-k_eo/edit#gid=1336395716"", ""Science!M:N""), 2, FALSE)"),"(LU006743.003); Default - Apply")</f>
        <v>(LU006743.003); Default - Apply</v>
      </c>
      <c r="P4" s="1" t="str">
        <f t="shared" si="3"/>
        <v>LU006743.004</v>
      </c>
      <c r="Q4" s="15" t="str">
        <f ca="1">IFERROR(__xludf.dummyfunction("VLOOKUP(P4, IMPORTRANGE(""https://docs.google.com/spreadsheets/d/1yDAaXNsi4Mr5FtRQL4tbmSdIzhx6_m4wkOD7IG-k_eo/edit#gid=1336395716"", ""Science!M:N""), 2, FALSE)"),"(LU006743.004); Default - Analyse")</f>
        <v>(LU006743.004); Default - Analyse</v>
      </c>
      <c r="R4" s="1" t="str">
        <f t="shared" si="4"/>
        <v>LU006743.005</v>
      </c>
      <c r="S4" s="15" t="str">
        <f ca="1">IFERROR(__xludf.dummyfunction("VLOOKUP(R4, IMPORTRANGE(""https://docs.google.com/spreadsheets/d/1yDAaXNsi4Mr5FtRQL4tbmSdIzhx6_m4wkOD7IG-k_eo/edit#gid=1336395716"", ""Science!M:N""), 2, FALSE)"),"(LU006743.005); Default - Evaluate")</f>
        <v>(LU006743.005); Default - Evaluate</v>
      </c>
      <c r="T4" s="1" t="str">
        <f t="shared" si="5"/>
        <v>LU006743.006</v>
      </c>
      <c r="U4" s="15" t="str">
        <f ca="1">IFERROR(__xludf.dummyfunction("VLOOKUP(T4, IMPORTRANGE(""https://docs.google.com/spreadsheets/d/1yDAaXNsi4Mr5FtRQL4tbmSdIzhx6_m4wkOD7IG-k_eo/edit#gid=1336395716"", ""Science!M:N""), 2, FALSE)"),"(LU006743.006); Default - Create")</f>
        <v>(LU006743.006); Default - Create</v>
      </c>
      <c r="V4" s="113"/>
      <c r="W4" s="113"/>
      <c r="X4" s="113"/>
      <c r="Y4" s="113"/>
      <c r="Z4" s="113"/>
      <c r="AA4" s="113"/>
      <c r="AB4" s="113"/>
      <c r="AC4" s="113"/>
      <c r="AD4" s="113"/>
      <c r="AE4" s="113"/>
      <c r="AF4" s="113"/>
      <c r="AG4" s="113"/>
    </row>
    <row r="5" spans="1:33" ht="41.4">
      <c r="A5" s="111"/>
      <c r="B5" s="111" t="s">
        <v>29</v>
      </c>
      <c r="C5" s="111">
        <v>8</v>
      </c>
      <c r="D5" s="111" t="s">
        <v>31</v>
      </c>
      <c r="E5" s="111" t="s">
        <v>1613</v>
      </c>
      <c r="F5" s="113" t="s">
        <v>1760</v>
      </c>
      <c r="G5" s="1" t="s">
        <v>1761</v>
      </c>
      <c r="H5" s="112" t="str">
        <f ca="1">IFERROR(__xludf.dummyfunction("IFERROR(
  VLOOKUP(G5, IMPORTRANGE(""https://docs.google.com/spreadsheets/d/14deopnvwcrKtEGCKuYXdUHJbeLDZlkiSSWWT0g7x2pM/edit#gid=849066331"", ""LU List Maths (Filter)!A:B""), 2, FALSE),
  IFERROR(
    VLOOKUP(G5, IMPORTRANGE(""https://docs.google.com/spr"&amp;"eadsheets/d/14deopnvwcrKtEGCKuYXdUHJbeLDZlkiSSWWT0g7x2pM/edit#gid=849066331"", ""LU List Science (Filter)!A:B""), 2, FALSE),
    ""Not Found""
  )
)
"),"Introduction to Law of Conservation of Mass")</f>
        <v>Introduction to Law of Conservation of Mass</v>
      </c>
      <c r="I5" s="111" t="s">
        <v>1633</v>
      </c>
      <c r="J5" s="1" t="str">
        <f t="shared" si="0"/>
        <v>LU006374.001</v>
      </c>
      <c r="K5" s="1" t="str">
        <f ca="1">IFERROR(__xludf.dummyfunction("VLOOKUP(J5, IMPORTRANGE(""https://docs.google.com/spreadsheets/d/1yDAaXNsi4Mr5FtRQL4tbmSdIzhx6_m4wkOD7IG-k_eo/edit#gid=1336395716"", ""Science!M:N""), 2, FALSE)"),"Define the Law of Conservation of Mass.")</f>
        <v>Define the Law of Conservation of Mass.</v>
      </c>
      <c r="L5" s="1" t="str">
        <f t="shared" si="1"/>
        <v>LU006374.002</v>
      </c>
      <c r="M5" s="1" t="str">
        <f ca="1">IFERROR(__xludf.dummyfunction("VLOOKUP(L5, IMPORTRANGE(""https://docs.google.com/spreadsheets/d/1yDAaXNsi4Mr5FtRQL4tbmSdIzhx6_m4wkOD7IG-k_eo/edit#gid=1336395716"", ""Science!M:N""), 2, FALSE)"),"Explain how the Law of Conservation of Mass applies to a chemical reaction.")</f>
        <v>Explain how the Law of Conservation of Mass applies to a chemical reaction.</v>
      </c>
      <c r="N5" s="1" t="str">
        <f t="shared" si="2"/>
        <v>LU006374.003</v>
      </c>
      <c r="O5" s="1" t="str">
        <f ca="1">IFERROR(__xludf.dummyfunction("VLOOKUP(N5, IMPORTRANGE(""https://docs.google.com/spreadsheets/d/1yDAaXNsi4Mr5FtRQL4tbmSdIzhx6_m4wkOD7IG-k_eo/edit#gid=1336395716"", ""Science!M:N""), 2, FALSE)"),"Demonstrate an experiment that shows the Law of Conservation of Mass.")</f>
        <v>Demonstrate an experiment that shows the Law of Conservation of Mass.</v>
      </c>
      <c r="P5" s="1" t="str">
        <f t="shared" si="3"/>
        <v>LU006374.004</v>
      </c>
      <c r="Q5" s="15" t="str">
        <f ca="1">IFERROR(__xludf.dummyfunction("VLOOKUP(P5, IMPORTRANGE(""https://docs.google.com/spreadsheets/d/1yDAaXNsi4Mr5FtRQL4tbmSdIzhx6_m4wkOD7IG-k_eo/edit#gid=1336395716"", ""Science!M:N""), 2, FALSE)"),"Compare and contrast mass changes before and after a chemical reaction.")</f>
        <v>Compare and contrast mass changes before and after a chemical reaction.</v>
      </c>
      <c r="R5" s="1" t="str">
        <f t="shared" si="4"/>
        <v>LU006374.005</v>
      </c>
      <c r="S5" s="15" t="str">
        <f ca="1">IFERROR(__xludf.dummyfunction("VLOOKUP(R5, IMPORTRANGE(""https://docs.google.com/spreadsheets/d/1yDAaXNsi4Mr5FtRQL4tbmSdIzhx6_m4wkOD7IG-k_eo/edit#gid=1336395716"", ""Science!M:N""), 2, FALSE)"),"Assess the significance of the Law of Conservation of Mass in chemical equations.")</f>
        <v>Assess the significance of the Law of Conservation of Mass in chemical equations.</v>
      </c>
      <c r="T5" s="1" t="str">
        <f t="shared" si="5"/>
        <v>LU006374.006</v>
      </c>
      <c r="U5" s="15" t="str">
        <f ca="1">IFERROR(__xludf.dummyfunction("VLOOKUP(T5, IMPORTRANGE(""https://docs.google.com/spreadsheets/d/1yDAaXNsi4Mr5FtRQL4tbmSdIzhx6_m4wkOD7IG-k_eo/edit#gid=1336395716"", ""Science!M:N""), 2, FALSE)"),"Design a new experiment to verify the Law of Conservation of Mass.")</f>
        <v>Design a new experiment to verify the Law of Conservation of Mass.</v>
      </c>
      <c r="V5" s="113"/>
      <c r="W5" s="113"/>
      <c r="X5" s="113"/>
      <c r="Y5" s="113"/>
      <c r="Z5" s="113"/>
      <c r="AA5" s="113"/>
      <c r="AB5" s="113"/>
      <c r="AC5" s="113"/>
      <c r="AD5" s="113"/>
      <c r="AE5" s="113"/>
      <c r="AF5" s="113"/>
      <c r="AG5" s="113"/>
    </row>
    <row r="6" spans="1:33" ht="27.6">
      <c r="A6" s="111"/>
      <c r="B6" s="111" t="s">
        <v>29</v>
      </c>
      <c r="C6" s="111">
        <v>8</v>
      </c>
      <c r="D6" s="111" t="s">
        <v>1678</v>
      </c>
      <c r="E6" s="111" t="s">
        <v>1613</v>
      </c>
      <c r="F6" s="113" t="s">
        <v>1762</v>
      </c>
      <c r="G6" s="14" t="s">
        <v>1763</v>
      </c>
      <c r="H6" s="112" t="str">
        <f ca="1">IFERROR(__xludf.dummyfunction("IFERROR(
  VLOOKUP(G6, IMPORTRANGE(""https://docs.google.com/spreadsheets/d/14deopnvwcrKtEGCKuYXdUHJbeLDZlkiSSWWT0g7x2pM/edit#gid=849066331"", ""LU List Maths (Filter)!A:B""), 2, FALSE),
  IFERROR(
    VLOOKUP(G6, IMPORTRANGE(""https://docs.google.com/spr"&amp;"eadsheets/d/14deopnvwcrKtEGCKuYXdUHJbeLDZlkiSSWWT0g7x2pM/edit#gid=849066331"", ""LU List Science (Filter)!A:B""), 2, FALSE),
    ""Not Found""
  )
)
"),"Natural, Man-made, Desirable and Undesirable Changes")</f>
        <v>Natural, Man-made, Desirable and Undesirable Changes</v>
      </c>
      <c r="I6" s="111"/>
      <c r="J6" s="1" t="str">
        <f t="shared" si="0"/>
        <v>LU006744.001</v>
      </c>
      <c r="K6" s="1" t="str">
        <f ca="1">IFERROR(__xludf.dummyfunction("VLOOKUP(J6, IMPORTRANGE(""https://docs.google.com/spreadsheets/d/1yDAaXNsi4Mr5FtRQL4tbmSdIzhx6_m4wkOD7IG-k_eo/edit#gid=1336395716"", ""Science!M:N""), 2, FALSE)"),"(LU006744.001); Default - Remember")</f>
        <v>(LU006744.001); Default - Remember</v>
      </c>
      <c r="L6" s="1" t="str">
        <f t="shared" si="1"/>
        <v>LU006744.002</v>
      </c>
      <c r="M6" s="1" t="str">
        <f ca="1">IFERROR(__xludf.dummyfunction("VLOOKUP(L6, IMPORTRANGE(""https://docs.google.com/spreadsheets/d/1yDAaXNsi4Mr5FtRQL4tbmSdIzhx6_m4wkOD7IG-k_eo/edit#gid=1336395716"", ""Science!M:N""), 2, FALSE)"),"(LU006744.002); Default - Understand")</f>
        <v>(LU006744.002); Default - Understand</v>
      </c>
      <c r="N6" s="1" t="str">
        <f t="shared" si="2"/>
        <v>LU006744.003</v>
      </c>
      <c r="O6" s="1" t="str">
        <f ca="1">IFERROR(__xludf.dummyfunction("VLOOKUP(N6, IMPORTRANGE(""https://docs.google.com/spreadsheets/d/1yDAaXNsi4Mr5FtRQL4tbmSdIzhx6_m4wkOD7IG-k_eo/edit#gid=1336395716"", ""Science!M:N""), 2, FALSE)"),"(LU006744.003); Default - Apply")</f>
        <v>(LU006744.003); Default - Apply</v>
      </c>
      <c r="P6" s="1" t="str">
        <f t="shared" si="3"/>
        <v>LU006744.004</v>
      </c>
      <c r="Q6" s="15" t="str">
        <f ca="1">IFERROR(__xludf.dummyfunction("VLOOKUP(P6, IMPORTRANGE(""https://docs.google.com/spreadsheets/d/1yDAaXNsi4Mr5FtRQL4tbmSdIzhx6_m4wkOD7IG-k_eo/edit#gid=1336395716"", ""Science!M:N""), 2, FALSE)"),"(LU006744.004); Default - Analyse")</f>
        <v>(LU006744.004); Default - Analyse</v>
      </c>
      <c r="R6" s="1" t="str">
        <f t="shared" si="4"/>
        <v>LU006744.005</v>
      </c>
      <c r="S6" s="15" t="str">
        <f ca="1">IFERROR(__xludf.dummyfunction("VLOOKUP(R6, IMPORTRANGE(""https://docs.google.com/spreadsheets/d/1yDAaXNsi4Mr5FtRQL4tbmSdIzhx6_m4wkOD7IG-k_eo/edit#gid=1336395716"", ""Science!M:N""), 2, FALSE)"),"(LU006744.005); Default - Evaluate")</f>
        <v>(LU006744.005); Default - Evaluate</v>
      </c>
      <c r="T6" s="1" t="str">
        <f t="shared" si="5"/>
        <v>LU006744.006</v>
      </c>
      <c r="U6" s="15" t="str">
        <f ca="1">IFERROR(__xludf.dummyfunction("VLOOKUP(T6, IMPORTRANGE(""https://docs.google.com/spreadsheets/d/1yDAaXNsi4Mr5FtRQL4tbmSdIzhx6_m4wkOD7IG-k_eo/edit#gid=1336395716"", ""Science!M:N""), 2, FALSE)"),"(LU006744.006); Default - Create")</f>
        <v>(LU006744.006); Default - Create</v>
      </c>
      <c r="V6" s="113"/>
      <c r="W6" s="113"/>
      <c r="X6" s="113"/>
      <c r="Y6" s="113"/>
      <c r="Z6" s="113"/>
      <c r="AA6" s="113"/>
      <c r="AB6" s="113"/>
      <c r="AC6" s="113"/>
      <c r="AD6" s="113"/>
      <c r="AE6" s="113"/>
      <c r="AF6" s="113"/>
      <c r="AG6" s="113"/>
    </row>
    <row r="7" spans="1:33" ht="27.6">
      <c r="A7" s="111"/>
      <c r="B7" s="111" t="s">
        <v>29</v>
      </c>
      <c r="C7" s="111">
        <v>8</v>
      </c>
      <c r="D7" s="111" t="s">
        <v>1678</v>
      </c>
      <c r="E7" s="111" t="s">
        <v>1613</v>
      </c>
      <c r="F7" s="113" t="s">
        <v>1762</v>
      </c>
      <c r="G7" s="14" t="s">
        <v>1764</v>
      </c>
      <c r="H7" s="112" t="str">
        <f ca="1">IFERROR(__xludf.dummyfunction("IFERROR(
  VLOOKUP(G7, IMPORTRANGE(""https://docs.google.com/spreadsheets/d/14deopnvwcrKtEGCKuYXdUHJbeLDZlkiSSWWT0g7x2pM/edit#gid=849066331"", ""LU List Maths (Filter)!A:B""), 2, FALSE),
  IFERROR(
    VLOOKUP(G7, IMPORTRANGE(""https://docs.google.com/spr"&amp;"eadsheets/d/14deopnvwcrKtEGCKuYXdUHJbeLDZlkiSSWWT0g7x2pM/edit#gid=849066331"", ""LU List Science (Filter)!A:B""), 2, FALSE),
    ""Not Found""
  )
)
"),"Slow, Fast, Periodic and Non-Periodic Changes")</f>
        <v>Slow, Fast, Periodic and Non-Periodic Changes</v>
      </c>
      <c r="I7" s="111"/>
      <c r="J7" s="1" t="str">
        <f t="shared" si="0"/>
        <v>LU006745.001</v>
      </c>
      <c r="K7" s="1" t="str">
        <f ca="1">IFERROR(__xludf.dummyfunction("VLOOKUP(J7, IMPORTRANGE(""https://docs.google.com/spreadsheets/d/1yDAaXNsi4Mr5FtRQL4tbmSdIzhx6_m4wkOD7IG-k_eo/edit#gid=1336395716"", ""Science!M:N""), 2, FALSE)"),"(LU006745.001); Default - Remember")</f>
        <v>(LU006745.001); Default - Remember</v>
      </c>
      <c r="L7" s="1" t="str">
        <f t="shared" si="1"/>
        <v>LU006745.002</v>
      </c>
      <c r="M7" s="1" t="str">
        <f ca="1">IFERROR(__xludf.dummyfunction("VLOOKUP(L7, IMPORTRANGE(""https://docs.google.com/spreadsheets/d/1yDAaXNsi4Mr5FtRQL4tbmSdIzhx6_m4wkOD7IG-k_eo/edit#gid=1336395716"", ""Science!M:N""), 2, FALSE)"),"(LU006745.002); Default - Understand")</f>
        <v>(LU006745.002); Default - Understand</v>
      </c>
      <c r="N7" s="1" t="str">
        <f t="shared" si="2"/>
        <v>LU006745.003</v>
      </c>
      <c r="O7" s="1" t="str">
        <f ca="1">IFERROR(__xludf.dummyfunction("VLOOKUP(N7, IMPORTRANGE(""https://docs.google.com/spreadsheets/d/1yDAaXNsi4Mr5FtRQL4tbmSdIzhx6_m4wkOD7IG-k_eo/edit#gid=1336395716"", ""Science!M:N""), 2, FALSE)"),"(LU006745.003); Default - Apply")</f>
        <v>(LU006745.003); Default - Apply</v>
      </c>
      <c r="P7" s="1" t="str">
        <f t="shared" si="3"/>
        <v>LU006745.004</v>
      </c>
      <c r="Q7" s="15" t="str">
        <f ca="1">IFERROR(__xludf.dummyfunction("VLOOKUP(P7, IMPORTRANGE(""https://docs.google.com/spreadsheets/d/1yDAaXNsi4Mr5FtRQL4tbmSdIzhx6_m4wkOD7IG-k_eo/edit#gid=1336395716"", ""Science!M:N""), 2, FALSE)"),"(LU006745.004); Default - Analyse")</f>
        <v>(LU006745.004); Default - Analyse</v>
      </c>
      <c r="R7" s="1" t="str">
        <f t="shared" si="4"/>
        <v>LU006745.005</v>
      </c>
      <c r="S7" s="15" t="str">
        <f ca="1">IFERROR(__xludf.dummyfunction("VLOOKUP(R7, IMPORTRANGE(""https://docs.google.com/spreadsheets/d/1yDAaXNsi4Mr5FtRQL4tbmSdIzhx6_m4wkOD7IG-k_eo/edit#gid=1336395716"", ""Science!M:N""), 2, FALSE)"),"(LU006745.005); Default - Evaluate")</f>
        <v>(LU006745.005); Default - Evaluate</v>
      </c>
      <c r="T7" s="1" t="str">
        <f t="shared" si="5"/>
        <v>LU006745.006</v>
      </c>
      <c r="U7" s="15" t="str">
        <f ca="1">IFERROR(__xludf.dummyfunction("VLOOKUP(T7, IMPORTRANGE(""https://docs.google.com/spreadsheets/d/1yDAaXNsi4Mr5FtRQL4tbmSdIzhx6_m4wkOD7IG-k_eo/edit#gid=1336395716"", ""Science!M:N""), 2, FALSE)"),"(LU006745.006); Default - Create")</f>
        <v>(LU006745.006); Default - Create</v>
      </c>
      <c r="V7" s="113"/>
      <c r="W7" s="113"/>
      <c r="X7" s="113"/>
      <c r="Y7" s="113"/>
      <c r="Z7" s="113"/>
      <c r="AA7" s="113"/>
      <c r="AB7" s="113"/>
      <c r="AC7" s="113"/>
      <c r="AD7" s="113"/>
      <c r="AE7" s="113"/>
      <c r="AF7" s="113"/>
      <c r="AG7" s="113"/>
    </row>
    <row r="8" spans="1:33" ht="55.2">
      <c r="A8" s="111"/>
      <c r="B8" s="111" t="s">
        <v>29</v>
      </c>
      <c r="C8" s="111">
        <v>8</v>
      </c>
      <c r="D8" s="111" t="s">
        <v>1678</v>
      </c>
      <c r="E8" s="111" t="s">
        <v>1613</v>
      </c>
      <c r="F8" s="113" t="s">
        <v>1762</v>
      </c>
      <c r="G8" s="14" t="s">
        <v>1765</v>
      </c>
      <c r="H8" s="112" t="str">
        <f ca="1">IFERROR(__xludf.dummyfunction("IFERROR(
  VLOOKUP(G8, IMPORTRANGE(""https://docs.google.com/spreadsheets/d/14deopnvwcrKtEGCKuYXdUHJbeLDZlkiSSWWT0g7x2pM/edit#gid=849066331"", ""LU List Maths (Filter)!A:B""), 2, FALSE),
  IFERROR(
    VLOOKUP(G8, IMPORTRANGE(""https://docs.google.com/spr"&amp;"eadsheets/d/14deopnvwcrKtEGCKuYXdUHJbeLDZlkiSSWWT0g7x2pM/edit#gid=849066331"", ""LU List Science (Filter)!A:B""), 2, FALSE),
    ""Not Found""
  )
)
"),"Reversible, Irreversible, Physical and Chemical Changes")</f>
        <v>Reversible, Irreversible, Physical and Chemical Changes</v>
      </c>
      <c r="I8" s="111" t="s">
        <v>1766</v>
      </c>
      <c r="J8" s="1" t="str">
        <f t="shared" si="0"/>
        <v>LU006746.001</v>
      </c>
      <c r="K8" s="1" t="str">
        <f ca="1">IFERROR(__xludf.dummyfunction("VLOOKUP(J8, IMPORTRANGE(""https://docs.google.com/spreadsheets/d/1yDAaXNsi4Mr5FtRQL4tbmSdIzhx6_m4wkOD7IG-k_eo/edit#gid=1336395716"", ""Science!M:N""), 2, FALSE)"),"(LU006746.001); Default - Remember")</f>
        <v>(LU006746.001); Default - Remember</v>
      </c>
      <c r="L8" s="1" t="str">
        <f t="shared" si="1"/>
        <v>LU006746.002</v>
      </c>
      <c r="M8" s="1" t="str">
        <f ca="1">IFERROR(__xludf.dummyfunction("VLOOKUP(L8, IMPORTRANGE(""https://docs.google.com/spreadsheets/d/1yDAaXNsi4Mr5FtRQL4tbmSdIzhx6_m4wkOD7IG-k_eo/edit#gid=1336395716"", ""Science!M:N""), 2, FALSE)"),"(LU006746.002); Default - Understand")</f>
        <v>(LU006746.002); Default - Understand</v>
      </c>
      <c r="N8" s="1" t="str">
        <f t="shared" si="2"/>
        <v>LU006746.003</v>
      </c>
      <c r="O8" s="1" t="str">
        <f ca="1">IFERROR(__xludf.dummyfunction("VLOOKUP(N8, IMPORTRANGE(""https://docs.google.com/spreadsheets/d/1yDAaXNsi4Mr5FtRQL4tbmSdIzhx6_m4wkOD7IG-k_eo/edit#gid=1336395716"", ""Science!M:N""), 2, FALSE)"),"(LU006746.003); Default - Apply")</f>
        <v>(LU006746.003); Default - Apply</v>
      </c>
      <c r="P8" s="1" t="str">
        <f t="shared" si="3"/>
        <v>LU006746.004</v>
      </c>
      <c r="Q8" s="15" t="str">
        <f ca="1">IFERROR(__xludf.dummyfunction("VLOOKUP(P8, IMPORTRANGE(""https://docs.google.com/spreadsheets/d/1yDAaXNsi4Mr5FtRQL4tbmSdIzhx6_m4wkOD7IG-k_eo/edit#gid=1336395716"", ""Science!M:N""), 2, FALSE)"),"(LU006746.004); Default - Analyse")</f>
        <v>(LU006746.004); Default - Analyse</v>
      </c>
      <c r="R8" s="1" t="str">
        <f t="shared" si="4"/>
        <v>LU006746.005</v>
      </c>
      <c r="S8" s="15" t="str">
        <f ca="1">IFERROR(__xludf.dummyfunction("VLOOKUP(R8, IMPORTRANGE(""https://docs.google.com/spreadsheets/d/1yDAaXNsi4Mr5FtRQL4tbmSdIzhx6_m4wkOD7IG-k_eo/edit#gid=1336395716"", ""Science!M:N""), 2, FALSE)"),"(LU006746.005); Default - Evaluate")</f>
        <v>(LU006746.005); Default - Evaluate</v>
      </c>
      <c r="T8" s="1" t="str">
        <f t="shared" si="5"/>
        <v>LU006746.006</v>
      </c>
      <c r="U8" s="15" t="str">
        <f ca="1">IFERROR(__xludf.dummyfunction("VLOOKUP(T8, IMPORTRANGE(""https://docs.google.com/spreadsheets/d/1yDAaXNsi4Mr5FtRQL4tbmSdIzhx6_m4wkOD7IG-k_eo/edit#gid=1336395716"", ""Science!M:N""), 2, FALSE)"),"(LU006746.006); Default - Create")</f>
        <v>(LU006746.006); Default - Create</v>
      </c>
      <c r="V8" s="113"/>
      <c r="W8" s="113"/>
      <c r="X8" s="113"/>
      <c r="Y8" s="113"/>
      <c r="Z8" s="113"/>
      <c r="AA8" s="113"/>
      <c r="AB8" s="113"/>
      <c r="AC8" s="113"/>
      <c r="AD8" s="113"/>
      <c r="AE8" s="113"/>
      <c r="AF8" s="113"/>
      <c r="AG8" s="113"/>
    </row>
    <row r="9" spans="1:33" ht="41.4">
      <c r="A9" s="111"/>
      <c r="B9" s="111" t="s">
        <v>29</v>
      </c>
      <c r="C9" s="111">
        <v>8</v>
      </c>
      <c r="D9" s="111" t="s">
        <v>1678</v>
      </c>
      <c r="E9" s="111" t="s">
        <v>1613</v>
      </c>
      <c r="F9" s="113" t="s">
        <v>1767</v>
      </c>
      <c r="G9" s="14" t="s">
        <v>1768</v>
      </c>
      <c r="H9" s="112" t="str">
        <f ca="1">IFERROR(__xludf.dummyfunction("IFERROR(
  VLOOKUP(G9, IMPORTRANGE(""https://docs.google.com/spreadsheets/d/14deopnvwcrKtEGCKuYXdUHJbeLDZlkiSSWWT0g7x2pM/edit#gid=849066331"", ""LU List Maths (Filter)!A:B""), 2, FALSE),
  IFERROR(
    VLOOKUP(G9, IMPORTRANGE(""https://docs.google.com/spr"&amp;"eadsheets/d/14deopnvwcrKtEGCKuYXdUHJbeLDZlkiSSWWT0g7x2pM/edit#gid=849066331"", ""LU List Science (Filter)!A:B""), 2, FALSE),
    ""Not Found""
  )
)
"),"Comparative Study of Different Types of Changes")</f>
        <v>Comparative Study of Different Types of Changes</v>
      </c>
      <c r="I9" s="111"/>
      <c r="J9" s="1" t="str">
        <f t="shared" si="0"/>
        <v>LU006747.001</v>
      </c>
      <c r="K9" s="1" t="str">
        <f ca="1">IFERROR(__xludf.dummyfunction("VLOOKUP(J9, IMPORTRANGE(""https://docs.google.com/spreadsheets/d/1yDAaXNsi4Mr5FtRQL4tbmSdIzhx6_m4wkOD7IG-k_eo/edit#gid=1336395716"", ""Science!M:N""), 2, FALSE)"),"(LU006747.001); Default - Remember")</f>
        <v>(LU006747.001); Default - Remember</v>
      </c>
      <c r="L9" s="1" t="str">
        <f t="shared" si="1"/>
        <v>LU006747.002</v>
      </c>
      <c r="M9" s="1" t="str">
        <f ca="1">IFERROR(__xludf.dummyfunction("VLOOKUP(L9, IMPORTRANGE(""https://docs.google.com/spreadsheets/d/1yDAaXNsi4Mr5FtRQL4tbmSdIzhx6_m4wkOD7IG-k_eo/edit#gid=1336395716"", ""Science!M:N""), 2, FALSE)"),"(LU006747.002); Default - Understand")</f>
        <v>(LU006747.002); Default - Understand</v>
      </c>
      <c r="N9" s="1" t="str">
        <f t="shared" si="2"/>
        <v>LU006747.003</v>
      </c>
      <c r="O9" s="1" t="str">
        <f ca="1">IFERROR(__xludf.dummyfunction("VLOOKUP(N9, IMPORTRANGE(""https://docs.google.com/spreadsheets/d/1yDAaXNsi4Mr5FtRQL4tbmSdIzhx6_m4wkOD7IG-k_eo/edit#gid=1336395716"", ""Science!M:N""), 2, FALSE)"),"(LU006747.003); Default - Apply")</f>
        <v>(LU006747.003); Default - Apply</v>
      </c>
      <c r="P9" s="1" t="str">
        <f t="shared" si="3"/>
        <v>LU006747.004</v>
      </c>
      <c r="Q9" s="15" t="str">
        <f ca="1">IFERROR(__xludf.dummyfunction("VLOOKUP(P9, IMPORTRANGE(""https://docs.google.com/spreadsheets/d/1yDAaXNsi4Mr5FtRQL4tbmSdIzhx6_m4wkOD7IG-k_eo/edit#gid=1336395716"", ""Science!M:N""), 2, FALSE)"),"(LU006747.004); Default - Analyse")</f>
        <v>(LU006747.004); Default - Analyse</v>
      </c>
      <c r="R9" s="1" t="str">
        <f t="shared" si="4"/>
        <v>LU006747.005</v>
      </c>
      <c r="S9" s="15" t="str">
        <f ca="1">IFERROR(__xludf.dummyfunction("VLOOKUP(R9, IMPORTRANGE(""https://docs.google.com/spreadsheets/d/1yDAaXNsi4Mr5FtRQL4tbmSdIzhx6_m4wkOD7IG-k_eo/edit#gid=1336395716"", ""Science!M:N""), 2, FALSE)"),"(LU006747.005); Default - Evaluate")</f>
        <v>(LU006747.005); Default - Evaluate</v>
      </c>
      <c r="T9" s="1" t="str">
        <f t="shared" si="5"/>
        <v>LU006747.006</v>
      </c>
      <c r="U9" s="15" t="str">
        <f ca="1">IFERROR(__xludf.dummyfunction("VLOOKUP(T9, IMPORTRANGE(""https://docs.google.com/spreadsheets/d/1yDAaXNsi4Mr5FtRQL4tbmSdIzhx6_m4wkOD7IG-k_eo/edit#gid=1336395716"", ""Science!M:N""), 2, FALSE)"),"(LU006747.006); Default - Create")</f>
        <v>(LU006747.006); Default - Create</v>
      </c>
      <c r="V9" s="113"/>
      <c r="W9" s="113"/>
      <c r="X9" s="113"/>
      <c r="Y9" s="113"/>
      <c r="Z9" s="113"/>
      <c r="AA9" s="113"/>
      <c r="AB9" s="113"/>
      <c r="AC9" s="113"/>
      <c r="AD9" s="113"/>
      <c r="AE9" s="113"/>
      <c r="AF9" s="113"/>
      <c r="AG9" s="113"/>
    </row>
    <row r="10" spans="1:33" ht="41.4">
      <c r="A10" s="111"/>
      <c r="B10" s="111" t="s">
        <v>29</v>
      </c>
      <c r="C10" s="111">
        <v>8</v>
      </c>
      <c r="D10" s="111" t="s">
        <v>1622</v>
      </c>
      <c r="E10" s="111" t="s">
        <v>1613</v>
      </c>
      <c r="F10" s="113" t="s">
        <v>1622</v>
      </c>
      <c r="G10" s="14" t="s">
        <v>1769</v>
      </c>
      <c r="H10" s="112" t="str">
        <f ca="1">IFERROR(__xludf.dummyfunction("IFERROR(
  VLOOKUP(G10, IMPORTRANGE(""https://docs.google.com/spreadsheets/d/14deopnvwcrKtEGCKuYXdUHJbeLDZlkiSSWWT0g7x2pM/edit#gid=849066331"", ""LU List Maths (Filter)!A:B""), 2, FALSE),
  IFERROR(
    VLOOKUP(G10, IMPORTRANGE(""https://docs.google.com/s"&amp;"preadsheets/d/14deopnvwcrKtEGCKuYXdUHJbeLDZlkiSSWWT0g7x2pM/edit#gid=849066331"", ""LU List Science (Filter)!A:B""), 2, FALSE),
    ""Not Found""
  )
)
"),"Comparative Study of Elements, Compounds and Mixtures")</f>
        <v>Comparative Study of Elements, Compounds and Mixtures</v>
      </c>
      <c r="I10" s="111"/>
      <c r="J10" s="1" t="str">
        <f t="shared" si="0"/>
        <v>LU006748.001</v>
      </c>
      <c r="K10" s="1" t="str">
        <f ca="1">IFERROR(__xludf.dummyfunction("VLOOKUP(J10, IMPORTRANGE(""https://docs.google.com/spreadsheets/d/1yDAaXNsi4Mr5FtRQL4tbmSdIzhx6_m4wkOD7IG-k_eo/edit#gid=1336395716"", ""Science!M:N""), 2, FALSE)"),"(LU006748.001); Default - Remember")</f>
        <v>(LU006748.001); Default - Remember</v>
      </c>
      <c r="L10" s="1" t="str">
        <f t="shared" si="1"/>
        <v>LU006748.002</v>
      </c>
      <c r="M10" s="1" t="str">
        <f ca="1">IFERROR(__xludf.dummyfunction("VLOOKUP(L10, IMPORTRANGE(""https://docs.google.com/spreadsheets/d/1yDAaXNsi4Mr5FtRQL4tbmSdIzhx6_m4wkOD7IG-k_eo/edit#gid=1336395716"", ""Science!M:N""), 2, FALSE)"),"(LU006748.002); Default - Understand")</f>
        <v>(LU006748.002); Default - Understand</v>
      </c>
      <c r="N10" s="1" t="str">
        <f t="shared" si="2"/>
        <v>LU006748.003</v>
      </c>
      <c r="O10" s="1" t="str">
        <f ca="1">IFERROR(__xludf.dummyfunction("VLOOKUP(N10, IMPORTRANGE(""https://docs.google.com/spreadsheets/d/1yDAaXNsi4Mr5FtRQL4tbmSdIzhx6_m4wkOD7IG-k_eo/edit#gid=1336395716"", ""Science!M:N""), 2, FALSE)"),"(LU006748.003); Default - Apply")</f>
        <v>(LU006748.003); Default - Apply</v>
      </c>
      <c r="P10" s="1" t="str">
        <f t="shared" si="3"/>
        <v>LU006748.004</v>
      </c>
      <c r="Q10" s="15" t="str">
        <f ca="1">IFERROR(__xludf.dummyfunction("VLOOKUP(P10, IMPORTRANGE(""https://docs.google.com/spreadsheets/d/1yDAaXNsi4Mr5FtRQL4tbmSdIzhx6_m4wkOD7IG-k_eo/edit#gid=1336395716"", ""Science!M:N""), 2, FALSE)"),"(LU006748.004); Default - Analyse")</f>
        <v>(LU006748.004); Default - Analyse</v>
      </c>
      <c r="R10" s="1" t="str">
        <f t="shared" si="4"/>
        <v>LU006748.005</v>
      </c>
      <c r="S10" s="15" t="str">
        <f ca="1">IFERROR(__xludf.dummyfunction("VLOOKUP(R10, IMPORTRANGE(""https://docs.google.com/spreadsheets/d/1yDAaXNsi4Mr5FtRQL4tbmSdIzhx6_m4wkOD7IG-k_eo/edit#gid=1336395716"", ""Science!M:N""), 2, FALSE)"),"(LU006748.005); Default - Evaluate")</f>
        <v>(LU006748.005); Default - Evaluate</v>
      </c>
      <c r="T10" s="1" t="str">
        <f t="shared" si="5"/>
        <v>LU006748.006</v>
      </c>
      <c r="U10" s="15" t="str">
        <f ca="1">IFERROR(__xludf.dummyfunction("VLOOKUP(T10, IMPORTRANGE(""https://docs.google.com/spreadsheets/d/1yDAaXNsi4Mr5FtRQL4tbmSdIzhx6_m4wkOD7IG-k_eo/edit#gid=1336395716"", ""Science!M:N""), 2, FALSE)"),"(LU006748.006); Default - Create")</f>
        <v>(LU006748.006); Default - Create</v>
      </c>
      <c r="V10" s="113"/>
      <c r="W10" s="113"/>
      <c r="X10" s="113"/>
      <c r="Y10" s="113"/>
      <c r="Z10" s="113"/>
      <c r="AA10" s="113"/>
      <c r="AB10" s="113"/>
      <c r="AC10" s="113"/>
      <c r="AD10" s="113"/>
      <c r="AE10" s="113"/>
      <c r="AF10" s="113"/>
      <c r="AG10" s="113"/>
    </row>
    <row r="11" spans="1:33" ht="27.6">
      <c r="A11" s="111"/>
      <c r="B11" s="111" t="s">
        <v>29</v>
      </c>
      <c r="C11" s="111">
        <v>8</v>
      </c>
      <c r="D11" s="111" t="s">
        <v>1622</v>
      </c>
      <c r="E11" s="111" t="s">
        <v>1613</v>
      </c>
      <c r="F11" s="113" t="s">
        <v>1770</v>
      </c>
      <c r="G11" s="14" t="s">
        <v>1771</v>
      </c>
      <c r="H11" s="112" t="str">
        <f ca="1">IFERROR(__xludf.dummyfunction("IFERROR(
  VLOOKUP(G11, IMPORTRANGE(""https://docs.google.com/spreadsheets/d/14deopnvwcrKtEGCKuYXdUHJbeLDZlkiSSWWT0g7x2pM/edit#gid=849066331"", ""LU List Maths (Filter)!A:B""), 2, FALSE),
  IFERROR(
    VLOOKUP(G11, IMPORTRANGE(""https://docs.google.com/s"&amp;"preadsheets/d/14deopnvwcrKtEGCKuYXdUHJbeLDZlkiSSWWT0g7x2pM/edit#gid=849066331"", ""LU List Science (Filter)!A:B""), 2, FALSE),
    ""Not Found""
  )
)
"),"Different Techniques Used for Separation of Mixtures")</f>
        <v>Different Techniques Used for Separation of Mixtures</v>
      </c>
      <c r="I11" s="111"/>
      <c r="J11" s="1" t="str">
        <f t="shared" si="0"/>
        <v>LU006749.001</v>
      </c>
      <c r="K11" s="1" t="str">
        <f ca="1">IFERROR(__xludf.dummyfunction("VLOOKUP(J11, IMPORTRANGE(""https://docs.google.com/spreadsheets/d/1yDAaXNsi4Mr5FtRQL4tbmSdIzhx6_m4wkOD7IG-k_eo/edit#gid=1336395716"", ""Science!M:N""), 2, FALSE)"),"(LU006749.001); Default - Remember")</f>
        <v>(LU006749.001); Default - Remember</v>
      </c>
      <c r="L11" s="1" t="str">
        <f t="shared" si="1"/>
        <v>LU006749.002</v>
      </c>
      <c r="M11" s="1" t="str">
        <f ca="1">IFERROR(__xludf.dummyfunction("VLOOKUP(L11, IMPORTRANGE(""https://docs.google.com/spreadsheets/d/1yDAaXNsi4Mr5FtRQL4tbmSdIzhx6_m4wkOD7IG-k_eo/edit#gid=1336395716"", ""Science!M:N""), 2, FALSE)"),"(LU006749.002); Default - Understand")</f>
        <v>(LU006749.002); Default - Understand</v>
      </c>
      <c r="N11" s="1" t="str">
        <f t="shared" si="2"/>
        <v>LU006749.003</v>
      </c>
      <c r="O11" s="1" t="str">
        <f ca="1">IFERROR(__xludf.dummyfunction("VLOOKUP(N11, IMPORTRANGE(""https://docs.google.com/spreadsheets/d/1yDAaXNsi4Mr5FtRQL4tbmSdIzhx6_m4wkOD7IG-k_eo/edit#gid=1336395716"", ""Science!M:N""), 2, FALSE)"),"(LU006749.003); Default - Apply")</f>
        <v>(LU006749.003); Default - Apply</v>
      </c>
      <c r="P11" s="1" t="str">
        <f t="shared" si="3"/>
        <v>LU006749.004</v>
      </c>
      <c r="Q11" s="15" t="str">
        <f ca="1">IFERROR(__xludf.dummyfunction("VLOOKUP(P11, IMPORTRANGE(""https://docs.google.com/spreadsheets/d/1yDAaXNsi4Mr5FtRQL4tbmSdIzhx6_m4wkOD7IG-k_eo/edit#gid=1336395716"", ""Science!M:N""), 2, FALSE)"),"(LU006749.004); Default - Analyse")</f>
        <v>(LU006749.004); Default - Analyse</v>
      </c>
      <c r="R11" s="1" t="str">
        <f t="shared" si="4"/>
        <v>LU006749.005</v>
      </c>
      <c r="S11" s="15" t="str">
        <f ca="1">IFERROR(__xludf.dummyfunction("VLOOKUP(R11, IMPORTRANGE(""https://docs.google.com/spreadsheets/d/1yDAaXNsi4Mr5FtRQL4tbmSdIzhx6_m4wkOD7IG-k_eo/edit#gid=1336395716"", ""Science!M:N""), 2, FALSE)"),"(LU006749.005); Default - Evaluate")</f>
        <v>(LU006749.005); Default - Evaluate</v>
      </c>
      <c r="T11" s="1" t="str">
        <f t="shared" si="5"/>
        <v>LU006749.006</v>
      </c>
      <c r="U11" s="15" t="str">
        <f ca="1">IFERROR(__xludf.dummyfunction("VLOOKUP(T11, IMPORTRANGE(""https://docs.google.com/spreadsheets/d/1yDAaXNsi4Mr5FtRQL4tbmSdIzhx6_m4wkOD7IG-k_eo/edit#gid=1336395716"", ""Science!M:N""), 2, FALSE)"),"(LU006749.006); Default - Create")</f>
        <v>(LU006749.006); Default - Create</v>
      </c>
      <c r="V11" s="113"/>
      <c r="W11" s="113"/>
      <c r="X11" s="113"/>
      <c r="Y11" s="113"/>
      <c r="Z11" s="113"/>
      <c r="AA11" s="113"/>
      <c r="AB11" s="113"/>
      <c r="AC11" s="113"/>
      <c r="AD11" s="113"/>
      <c r="AE11" s="113"/>
      <c r="AF11" s="113"/>
      <c r="AG11" s="113"/>
    </row>
    <row r="12" spans="1:33" ht="41.4">
      <c r="A12" s="111"/>
      <c r="B12" s="111" t="s">
        <v>29</v>
      </c>
      <c r="C12" s="111">
        <v>8</v>
      </c>
      <c r="D12" s="111" t="s">
        <v>1622</v>
      </c>
      <c r="E12" s="111" t="s">
        <v>1613</v>
      </c>
      <c r="F12" s="113" t="s">
        <v>1770</v>
      </c>
      <c r="G12" s="14" t="s">
        <v>1772</v>
      </c>
      <c r="H12" s="112" t="str">
        <f ca="1">IFERROR(__xludf.dummyfunction("IFERROR(
  VLOOKUP(G12, IMPORTRANGE(""https://docs.google.com/spreadsheets/d/14deopnvwcrKtEGCKuYXdUHJbeLDZlkiSSWWT0g7x2pM/edit#gid=849066331"", ""LU List Maths (Filter)!A:B""), 2, FALSE),
  IFERROR(
    VLOOKUP(G12, IMPORTRANGE(""https://docs.google.com/s"&amp;"preadsheets/d/14deopnvwcrKtEGCKuYXdUHJbeLDZlkiSSWWT0g7x2pM/edit#gid=849066331"", ""LU List Science (Filter)!A:B""), 2, FALSE),
    ""Not Found""
  )
)
"),"Principle of Techniques Involved in Separation of Mixtures")</f>
        <v>Principle of Techniques Involved in Separation of Mixtures</v>
      </c>
      <c r="I12" s="111"/>
      <c r="J12" s="1" t="str">
        <f t="shared" si="0"/>
        <v>LU006750.001</v>
      </c>
      <c r="K12" s="1" t="str">
        <f ca="1">IFERROR(__xludf.dummyfunction("VLOOKUP(J12, IMPORTRANGE(""https://docs.google.com/spreadsheets/d/1yDAaXNsi4Mr5FtRQL4tbmSdIzhx6_m4wkOD7IG-k_eo/edit#gid=1336395716"", ""Science!M:N""), 2, FALSE)"),"(LU006750.001); Default - Remember")</f>
        <v>(LU006750.001); Default - Remember</v>
      </c>
      <c r="L12" s="1" t="str">
        <f t="shared" si="1"/>
        <v>LU006750.002</v>
      </c>
      <c r="M12" s="1" t="str">
        <f ca="1">IFERROR(__xludf.dummyfunction("VLOOKUP(L12, IMPORTRANGE(""https://docs.google.com/spreadsheets/d/1yDAaXNsi4Mr5FtRQL4tbmSdIzhx6_m4wkOD7IG-k_eo/edit#gid=1336395716"", ""Science!M:N""), 2, FALSE)"),"(LU006750.002); Default - Understand")</f>
        <v>(LU006750.002); Default - Understand</v>
      </c>
      <c r="N12" s="1" t="str">
        <f t="shared" si="2"/>
        <v>LU006750.003</v>
      </c>
      <c r="O12" s="1" t="str">
        <f ca="1">IFERROR(__xludf.dummyfunction("VLOOKUP(N12, IMPORTRANGE(""https://docs.google.com/spreadsheets/d/1yDAaXNsi4Mr5FtRQL4tbmSdIzhx6_m4wkOD7IG-k_eo/edit#gid=1336395716"", ""Science!M:N""), 2, FALSE)"),"(LU006750.003); Default - Apply")</f>
        <v>(LU006750.003); Default - Apply</v>
      </c>
      <c r="P12" s="1" t="str">
        <f t="shared" si="3"/>
        <v>LU006750.004</v>
      </c>
      <c r="Q12" s="15" t="str">
        <f ca="1">IFERROR(__xludf.dummyfunction("VLOOKUP(P12, IMPORTRANGE(""https://docs.google.com/spreadsheets/d/1yDAaXNsi4Mr5FtRQL4tbmSdIzhx6_m4wkOD7IG-k_eo/edit#gid=1336395716"", ""Science!M:N""), 2, FALSE)"),"(LU006750.004); Default - Analyse")</f>
        <v>(LU006750.004); Default - Analyse</v>
      </c>
      <c r="R12" s="1" t="str">
        <f t="shared" si="4"/>
        <v>LU006750.005</v>
      </c>
      <c r="S12" s="15" t="str">
        <f ca="1">IFERROR(__xludf.dummyfunction("VLOOKUP(R12, IMPORTRANGE(""https://docs.google.com/spreadsheets/d/1yDAaXNsi4Mr5FtRQL4tbmSdIzhx6_m4wkOD7IG-k_eo/edit#gid=1336395716"", ""Science!M:N""), 2, FALSE)"),"(LU006750.005); Default - Evaluate")</f>
        <v>(LU006750.005); Default - Evaluate</v>
      </c>
      <c r="T12" s="1" t="str">
        <f t="shared" si="5"/>
        <v>LU006750.006</v>
      </c>
      <c r="U12" s="15" t="str">
        <f ca="1">IFERROR(__xludf.dummyfunction("VLOOKUP(T12, IMPORTRANGE(""https://docs.google.com/spreadsheets/d/1yDAaXNsi4Mr5FtRQL4tbmSdIzhx6_m4wkOD7IG-k_eo/edit#gid=1336395716"", ""Science!M:N""), 2, FALSE)"),"(LU006750.006); Default - Create")</f>
        <v>(LU006750.006); Default - Create</v>
      </c>
      <c r="V12" s="113"/>
      <c r="W12" s="113"/>
      <c r="X12" s="113"/>
      <c r="Y12" s="113"/>
      <c r="Z12" s="113"/>
      <c r="AA12" s="113"/>
      <c r="AB12" s="113"/>
      <c r="AC12" s="113"/>
      <c r="AD12" s="113"/>
      <c r="AE12" s="113"/>
      <c r="AF12" s="113"/>
      <c r="AG12" s="113"/>
    </row>
    <row r="13" spans="1:33" ht="96.6">
      <c r="A13" s="111"/>
      <c r="B13" s="111" t="s">
        <v>29</v>
      </c>
      <c r="C13" s="111">
        <v>8</v>
      </c>
      <c r="D13" s="111" t="s">
        <v>1622</v>
      </c>
      <c r="E13" s="111" t="s">
        <v>1613</v>
      </c>
      <c r="F13" s="113" t="s">
        <v>1770</v>
      </c>
      <c r="G13" s="1" t="s">
        <v>1773</v>
      </c>
      <c r="H13" s="112" t="str">
        <f ca="1">IFERROR(__xludf.dummyfunction("IFERROR(
  VLOOKUP(G13, IMPORTRANGE(""https://docs.google.com/spreadsheets/d/14deopnvwcrKtEGCKuYXdUHJbeLDZlkiSSWWT0g7x2pM/edit#gid=849066331"", ""LU List Maths (Filter)!A:B""), 2, FALSE),
  IFERROR(
    VLOOKUP(G13, IMPORTRANGE(""https://docs.google.com/s"&amp;"preadsheets/d/14deopnvwcrKtEGCKuYXdUHJbeLDZlkiSSWWT0g7x2pM/edit#gid=849066331"", ""LU List Science (Filter)!A:B""), 2, FALSE),
    ""Not Found""
  )
)
"),"Using more than one method of separation")</f>
        <v>Using more than one method of separation</v>
      </c>
      <c r="I13" s="111" t="s">
        <v>1633</v>
      </c>
      <c r="J13" s="1" t="str">
        <f t="shared" si="0"/>
        <v>LU005297.001</v>
      </c>
      <c r="K13" s="1" t="str">
        <f ca="1">IFERROR(__xludf.dummyfunction("VLOOKUP(J13, IMPORTRANGE(""https://docs.google.com/spreadsheets/d/1yDAaXNsi4Mr5FtRQL4tbmSdIzhx6_m4wkOD7IG-k_eo/edit#gid=1336395716"", ""Science!M:N""), 2, FALSE)"),"List different methods of separation and describe how they can be combined in the use of more than one method for effective separation.")</f>
        <v>List different methods of separation and describe how they can be combined in the use of more than one method for effective separation.</v>
      </c>
      <c r="L13" s="1" t="str">
        <f t="shared" si="1"/>
        <v>LU005297.002</v>
      </c>
      <c r="M13" s="1" t="str">
        <f ca="1">IFERROR(__xludf.dummyfunction("VLOOKUP(L13, IMPORTRANGE(""https://docs.google.com/spreadsheets/d/1yDAaXNsi4Mr5FtRQL4tbmSdIzhx6_m4wkOD7IG-k_eo/edit#gid=1336395716"", ""Science!M:N""), 2, FALSE)"),"Comprehend the rationale behind using multiple methods of separation in tandem and explain how their combination enhances the separation process.")</f>
        <v>Comprehend the rationale behind using multiple methods of separation in tandem and explain how their combination enhances the separation process.</v>
      </c>
      <c r="N13" s="1" t="str">
        <f t="shared" si="2"/>
        <v>LU005297.003</v>
      </c>
      <c r="O13" s="1" t="str">
        <f ca="1">IFERROR(__xludf.dummyfunction("VLOOKUP(N13, IMPORTRANGE(""https://docs.google.com/spreadsheets/d/1yDAaXNsi4Mr5FtRQL4tbmSdIzhx6_m4wkOD7IG-k_eo/edit#gid=1336395716"", ""Science!M:N""), 2, FALSE)"),"Utilize your knowledge of various separation techniques to propose a scenario where combining two or more methods would achieve better separation results.")</f>
        <v>Utilize your knowledge of various separation techniques to propose a scenario where combining two or more methods would achieve better separation results.</v>
      </c>
      <c r="P13" s="1" t="str">
        <f t="shared" si="3"/>
        <v>LU005297.004</v>
      </c>
      <c r="Q13" s="15" t="str">
        <f ca="1">IFERROR(__xludf.dummyfunction("VLOOKUP(P13, IMPORTRANGE(""https://docs.google.com/spreadsheets/d/1yDAaXNsi4Mr5FtRQL4tbmSdIzhx6_m4wkOD7IG-k_eo/edit#gid=1336395716"", ""Science!M:N""), 2, FALSE)"),"Analyze the factors that determine the appropriateness of using more than one method of separation, considering the properties of the mixture and the characteristics of the substances.")</f>
        <v>Analyze the factors that determine the appropriateness of using more than one method of separation, considering the properties of the mixture and the characteristics of the substances.</v>
      </c>
      <c r="R13" s="1" t="str">
        <f t="shared" si="4"/>
        <v>LU005297.005</v>
      </c>
      <c r="S13" s="15" t="str">
        <f ca="1">IFERROR(__xludf.dummyfunction("VLOOKUP(R13, IMPORTRANGE(""https://docs.google.com/spreadsheets/d/1yDAaXNsi4Mr5FtRQL4tbmSdIzhx6_m4wkOD7IG-k_eo/edit#gid=1336395716"", ""Science!M:N""), 2, FALSE)"),"Evaluate the advantages and limitations of employing a combination of separation methods, comparing the efficiency of multiple methods with single methods.")</f>
        <v>Evaluate the advantages and limitations of employing a combination of separation methods, comparing the efficiency of multiple methods with single methods.</v>
      </c>
      <c r="T13" s="1" t="str">
        <f t="shared" si="5"/>
        <v>LU005297.006</v>
      </c>
      <c r="U13" s="15" t="str">
        <f ca="1">IFERROR(__xludf.dummyfunction("VLOOKUP(T13, IMPORTRANGE(""https://docs.google.com/spreadsheets/d/1yDAaXNsi4Mr5FtRQL4tbmSdIzhx6_m4wkOD7IG-k_eo/edit#gid=1336395716"", ""Science!M:N""), 2, FALSE)"),"Devise a complex mixture scenario and propose a comprehensive strategy that combines several separation methods to achieve complete separation. Justify your choice based on the properties of the mixture and the principles of the methods.")</f>
        <v>Devise a complex mixture scenario and propose a comprehensive strategy that combines several separation methods to achieve complete separation. Justify your choice based on the properties of the mixture and the principles of the methods.</v>
      </c>
      <c r="V13" s="113"/>
      <c r="W13" s="113"/>
      <c r="X13" s="113"/>
      <c r="Y13" s="113"/>
      <c r="Z13" s="113"/>
      <c r="AA13" s="113"/>
      <c r="AB13" s="113"/>
      <c r="AC13" s="113"/>
      <c r="AD13" s="113"/>
      <c r="AE13" s="113"/>
      <c r="AF13" s="113"/>
      <c r="AG13" s="113"/>
    </row>
    <row r="14" spans="1:33" ht="27.6">
      <c r="A14" s="111"/>
      <c r="B14" s="111" t="s">
        <v>29</v>
      </c>
      <c r="C14" s="111">
        <v>8</v>
      </c>
      <c r="D14" s="111" t="s">
        <v>1714</v>
      </c>
      <c r="E14" s="111" t="s">
        <v>1613</v>
      </c>
      <c r="F14" s="113" t="s">
        <v>1774</v>
      </c>
      <c r="G14" s="14" t="s">
        <v>1775</v>
      </c>
      <c r="H14" s="112" t="str">
        <f ca="1">IFERROR(__xludf.dummyfunction("IFERROR(
  VLOOKUP(G14, IMPORTRANGE(""https://docs.google.com/spreadsheets/d/14deopnvwcrKtEGCKuYXdUHJbeLDZlkiSSWWT0g7x2pM/edit#gid=849066331"", ""LU List Maths (Filter)!A:B""), 2, FALSE),
  IFERROR(
    VLOOKUP(G14, IMPORTRANGE(""https://docs.google.com/s"&amp;"preadsheets/d/14deopnvwcrKtEGCKuYXdUHJbeLDZlkiSSWWT0g7x2pM/edit#gid=849066331"", ""LU List Science (Filter)!A:B""), 2, FALSE),
    ""Not Found""
  )
)
"),"Discovery of electrons, protons and neutrons")</f>
        <v>Discovery of electrons, protons and neutrons</v>
      </c>
      <c r="I14" s="111"/>
      <c r="J14" s="1" t="str">
        <f t="shared" si="0"/>
        <v>LU006751.001</v>
      </c>
      <c r="K14" s="1" t="str">
        <f ca="1">IFERROR(__xludf.dummyfunction("VLOOKUP(J14, IMPORTRANGE(""https://docs.google.com/spreadsheets/d/1yDAaXNsi4Mr5FtRQL4tbmSdIzhx6_m4wkOD7IG-k_eo/edit#gid=1336395716"", ""Science!M:N""), 2, FALSE)"),"(LU006751.001); Default - Remember")</f>
        <v>(LU006751.001); Default - Remember</v>
      </c>
      <c r="L14" s="1" t="str">
        <f t="shared" si="1"/>
        <v>LU006751.002</v>
      </c>
      <c r="M14" s="1" t="str">
        <f ca="1">IFERROR(__xludf.dummyfunction("VLOOKUP(L14, IMPORTRANGE(""https://docs.google.com/spreadsheets/d/1yDAaXNsi4Mr5FtRQL4tbmSdIzhx6_m4wkOD7IG-k_eo/edit#gid=1336395716"", ""Science!M:N""), 2, FALSE)"),"(LU006751.002); Default - Understand")</f>
        <v>(LU006751.002); Default - Understand</v>
      </c>
      <c r="N14" s="1" t="str">
        <f t="shared" si="2"/>
        <v>LU006751.003</v>
      </c>
      <c r="O14" s="1" t="str">
        <f ca="1">IFERROR(__xludf.dummyfunction("VLOOKUP(N14, IMPORTRANGE(""https://docs.google.com/spreadsheets/d/1yDAaXNsi4Mr5FtRQL4tbmSdIzhx6_m4wkOD7IG-k_eo/edit#gid=1336395716"", ""Science!M:N""), 2, FALSE)"),"(LU006751.003); Default - Apply")</f>
        <v>(LU006751.003); Default - Apply</v>
      </c>
      <c r="P14" s="1" t="str">
        <f t="shared" si="3"/>
        <v>LU006751.004</v>
      </c>
      <c r="Q14" s="15" t="str">
        <f ca="1">IFERROR(__xludf.dummyfunction("VLOOKUP(P14, IMPORTRANGE(""https://docs.google.com/spreadsheets/d/1yDAaXNsi4Mr5FtRQL4tbmSdIzhx6_m4wkOD7IG-k_eo/edit#gid=1336395716"", ""Science!M:N""), 2, FALSE)"),"(LU006751.004); Default - Analyse")</f>
        <v>(LU006751.004); Default - Analyse</v>
      </c>
      <c r="R14" s="1" t="str">
        <f t="shared" si="4"/>
        <v>LU006751.005</v>
      </c>
      <c r="S14" s="15" t="str">
        <f ca="1">IFERROR(__xludf.dummyfunction("VLOOKUP(R14, IMPORTRANGE(""https://docs.google.com/spreadsheets/d/1yDAaXNsi4Mr5FtRQL4tbmSdIzhx6_m4wkOD7IG-k_eo/edit#gid=1336395716"", ""Science!M:N""), 2, FALSE)"),"(LU006751.005); Default - Evaluate")</f>
        <v>(LU006751.005); Default - Evaluate</v>
      </c>
      <c r="T14" s="1" t="str">
        <f t="shared" si="5"/>
        <v>LU006751.006</v>
      </c>
      <c r="U14" s="15" t="str">
        <f ca="1">IFERROR(__xludf.dummyfunction("VLOOKUP(T14, IMPORTRANGE(""https://docs.google.com/spreadsheets/d/1yDAaXNsi4Mr5FtRQL4tbmSdIzhx6_m4wkOD7IG-k_eo/edit#gid=1336395716"", ""Science!M:N""), 2, FALSE)"),"(LU006751.006); Default - Create")</f>
        <v>(LU006751.006); Default - Create</v>
      </c>
      <c r="V14" s="113"/>
      <c r="W14" s="113"/>
      <c r="X14" s="113"/>
      <c r="Y14" s="113"/>
      <c r="Z14" s="113"/>
      <c r="AA14" s="113"/>
      <c r="AB14" s="113"/>
      <c r="AC14" s="113"/>
      <c r="AD14" s="113"/>
      <c r="AE14" s="113"/>
      <c r="AF14" s="113"/>
      <c r="AG14" s="113"/>
    </row>
    <row r="15" spans="1:33" ht="27.6">
      <c r="A15" s="111"/>
      <c r="B15" s="111" t="s">
        <v>29</v>
      </c>
      <c r="C15" s="111">
        <v>8</v>
      </c>
      <c r="D15" s="111" t="s">
        <v>1714</v>
      </c>
      <c r="E15" s="111" t="s">
        <v>1613</v>
      </c>
      <c r="F15" s="113" t="s">
        <v>1776</v>
      </c>
      <c r="G15" s="14" t="s">
        <v>1777</v>
      </c>
      <c r="H15" s="112" t="str">
        <f ca="1">IFERROR(__xludf.dummyfunction("IFERROR(
  VLOOKUP(G15, IMPORTRANGE(""https://docs.google.com/spreadsheets/d/14deopnvwcrKtEGCKuYXdUHJbeLDZlkiSSWWT0g7x2pM/edit#gid=849066331"", ""LU List Maths (Filter)!A:B""), 2, FALSE),
  IFERROR(
    VLOOKUP(G15, IMPORTRANGE(""https://docs.google.com/s"&amp;"preadsheets/d/14deopnvwcrKtEGCKuYXdUHJbeLDZlkiSSWWT0g7x2pM/edit#gid=849066331"", ""LU List Science (Filter)!A:B""), 2, FALSE),
    ""Not Found""
  )
)
"),"Nucleus and Extra Nuclear Part")</f>
        <v>Nucleus and Extra Nuclear Part</v>
      </c>
      <c r="I15" s="111"/>
      <c r="J15" s="1" t="str">
        <f t="shared" si="0"/>
        <v>LU006752.001</v>
      </c>
      <c r="K15" s="1" t="str">
        <f ca="1">IFERROR(__xludf.dummyfunction("VLOOKUP(J15, IMPORTRANGE(""https://docs.google.com/spreadsheets/d/1yDAaXNsi4Mr5FtRQL4tbmSdIzhx6_m4wkOD7IG-k_eo/edit#gid=1336395716"", ""Science!M:N""), 2, FALSE)"),"(LU006752.001); Default - Remember")</f>
        <v>(LU006752.001); Default - Remember</v>
      </c>
      <c r="L15" s="1" t="str">
        <f t="shared" si="1"/>
        <v>LU006752.002</v>
      </c>
      <c r="M15" s="1" t="str">
        <f ca="1">IFERROR(__xludf.dummyfunction("VLOOKUP(L15, IMPORTRANGE(""https://docs.google.com/spreadsheets/d/1yDAaXNsi4Mr5FtRQL4tbmSdIzhx6_m4wkOD7IG-k_eo/edit#gid=1336395716"", ""Science!M:N""), 2, FALSE)"),"(LU006752.002); Default - Understand")</f>
        <v>(LU006752.002); Default - Understand</v>
      </c>
      <c r="N15" s="1" t="str">
        <f t="shared" si="2"/>
        <v>LU006752.003</v>
      </c>
      <c r="O15" s="1" t="str">
        <f ca="1">IFERROR(__xludf.dummyfunction("VLOOKUP(N15, IMPORTRANGE(""https://docs.google.com/spreadsheets/d/1yDAaXNsi4Mr5FtRQL4tbmSdIzhx6_m4wkOD7IG-k_eo/edit#gid=1336395716"", ""Science!M:N""), 2, FALSE)"),"(LU006752.003); Default - Apply")</f>
        <v>(LU006752.003); Default - Apply</v>
      </c>
      <c r="P15" s="1" t="str">
        <f t="shared" si="3"/>
        <v>LU006752.004</v>
      </c>
      <c r="Q15" s="15" t="str">
        <f ca="1">IFERROR(__xludf.dummyfunction("VLOOKUP(P15, IMPORTRANGE(""https://docs.google.com/spreadsheets/d/1yDAaXNsi4Mr5FtRQL4tbmSdIzhx6_m4wkOD7IG-k_eo/edit#gid=1336395716"", ""Science!M:N""), 2, FALSE)"),"(LU006752.004); Default - Analyse")</f>
        <v>(LU006752.004); Default - Analyse</v>
      </c>
      <c r="R15" s="1" t="str">
        <f t="shared" si="4"/>
        <v>LU006752.005</v>
      </c>
      <c r="S15" s="15" t="str">
        <f ca="1">IFERROR(__xludf.dummyfunction("VLOOKUP(R15, IMPORTRANGE(""https://docs.google.com/spreadsheets/d/1yDAaXNsi4Mr5FtRQL4tbmSdIzhx6_m4wkOD7IG-k_eo/edit#gid=1336395716"", ""Science!M:N""), 2, FALSE)"),"(LU006752.005); Default - Evaluate")</f>
        <v>(LU006752.005); Default - Evaluate</v>
      </c>
      <c r="T15" s="1" t="str">
        <f t="shared" si="5"/>
        <v>LU006752.006</v>
      </c>
      <c r="U15" s="15" t="str">
        <f ca="1">IFERROR(__xludf.dummyfunction("VLOOKUP(T15, IMPORTRANGE(""https://docs.google.com/spreadsheets/d/1yDAaXNsi4Mr5FtRQL4tbmSdIzhx6_m4wkOD7IG-k_eo/edit#gid=1336395716"", ""Science!M:N""), 2, FALSE)"),"(LU006752.006); Default - Create")</f>
        <v>(LU006752.006); Default - Create</v>
      </c>
      <c r="V15" s="113"/>
      <c r="W15" s="113"/>
      <c r="X15" s="113"/>
      <c r="Y15" s="113"/>
      <c r="Z15" s="113"/>
      <c r="AA15" s="113"/>
      <c r="AB15" s="113"/>
      <c r="AC15" s="113"/>
      <c r="AD15" s="113"/>
      <c r="AE15" s="113"/>
      <c r="AF15" s="113"/>
      <c r="AG15" s="113"/>
    </row>
    <row r="16" spans="1:33" ht="27.6">
      <c r="A16" s="111"/>
      <c r="B16" s="111" t="s">
        <v>29</v>
      </c>
      <c r="C16" s="111">
        <v>8</v>
      </c>
      <c r="D16" s="111" t="s">
        <v>1714</v>
      </c>
      <c r="E16" s="111" t="s">
        <v>1613</v>
      </c>
      <c r="F16" s="113" t="s">
        <v>1778</v>
      </c>
      <c r="G16" s="14" t="s">
        <v>1779</v>
      </c>
      <c r="H16" s="112" t="str">
        <f ca="1">IFERROR(__xludf.dummyfunction("IFERROR(
  VLOOKUP(G16, IMPORTRANGE(""https://docs.google.com/spreadsheets/d/14deopnvwcrKtEGCKuYXdUHJbeLDZlkiSSWWT0g7x2pM/edit#gid=849066331"", ""LU List Maths (Filter)!A:B""), 2, FALSE),
  IFERROR(
    VLOOKUP(G16, IMPORTRANGE(""https://docs.google.com/s"&amp;"preadsheets/d/14deopnvwcrKtEGCKuYXdUHJbeLDZlkiSSWWT0g7x2pM/edit#gid=849066331"", ""LU List Science (Filter)!A:B""), 2, FALSE),
    ""Not Found""
  )
)
"),"Introduction to Atomic Number")</f>
        <v>Introduction to Atomic Number</v>
      </c>
      <c r="I16" s="111"/>
      <c r="J16" s="1" t="str">
        <f t="shared" si="0"/>
        <v>LU006753.001</v>
      </c>
      <c r="K16" s="1" t="str">
        <f ca="1">IFERROR(__xludf.dummyfunction("VLOOKUP(J16, IMPORTRANGE(""https://docs.google.com/spreadsheets/d/1yDAaXNsi4Mr5FtRQL4tbmSdIzhx6_m4wkOD7IG-k_eo/edit#gid=1336395716"", ""Science!M:N""), 2, FALSE)"),"(LU006753.001); Default - Remember")</f>
        <v>(LU006753.001); Default - Remember</v>
      </c>
      <c r="L16" s="1" t="str">
        <f t="shared" si="1"/>
        <v>LU006753.002</v>
      </c>
      <c r="M16" s="1" t="str">
        <f ca="1">IFERROR(__xludf.dummyfunction("VLOOKUP(L16, IMPORTRANGE(""https://docs.google.com/spreadsheets/d/1yDAaXNsi4Mr5FtRQL4tbmSdIzhx6_m4wkOD7IG-k_eo/edit#gid=1336395716"", ""Science!M:N""), 2, FALSE)"),"(LU006753.002); Default - Understand")</f>
        <v>(LU006753.002); Default - Understand</v>
      </c>
      <c r="N16" s="1" t="str">
        <f t="shared" si="2"/>
        <v>LU006753.003</v>
      </c>
      <c r="O16" s="1" t="str">
        <f ca="1">IFERROR(__xludf.dummyfunction("VLOOKUP(N16, IMPORTRANGE(""https://docs.google.com/spreadsheets/d/1yDAaXNsi4Mr5FtRQL4tbmSdIzhx6_m4wkOD7IG-k_eo/edit#gid=1336395716"", ""Science!M:N""), 2, FALSE)"),"(LU006753.003); Default - Apply")</f>
        <v>(LU006753.003); Default - Apply</v>
      </c>
      <c r="P16" s="1" t="str">
        <f t="shared" si="3"/>
        <v>LU006753.004</v>
      </c>
      <c r="Q16" s="15" t="str">
        <f ca="1">IFERROR(__xludf.dummyfunction("VLOOKUP(P16, IMPORTRANGE(""https://docs.google.com/spreadsheets/d/1yDAaXNsi4Mr5FtRQL4tbmSdIzhx6_m4wkOD7IG-k_eo/edit#gid=1336395716"", ""Science!M:N""), 2, FALSE)"),"(LU006753.004); Default - Analyse")</f>
        <v>(LU006753.004); Default - Analyse</v>
      </c>
      <c r="R16" s="1" t="str">
        <f t="shared" si="4"/>
        <v>LU006753.005</v>
      </c>
      <c r="S16" s="15" t="str">
        <f ca="1">IFERROR(__xludf.dummyfunction("VLOOKUP(R16, IMPORTRANGE(""https://docs.google.com/spreadsheets/d/1yDAaXNsi4Mr5FtRQL4tbmSdIzhx6_m4wkOD7IG-k_eo/edit#gid=1336395716"", ""Science!M:N""), 2, FALSE)"),"(LU006753.005); Default - Evaluate")</f>
        <v>(LU006753.005); Default - Evaluate</v>
      </c>
      <c r="T16" s="1" t="str">
        <f t="shared" si="5"/>
        <v>LU006753.006</v>
      </c>
      <c r="U16" s="15" t="str">
        <f ca="1">IFERROR(__xludf.dummyfunction("VLOOKUP(T16, IMPORTRANGE(""https://docs.google.com/spreadsheets/d/1yDAaXNsi4Mr5FtRQL4tbmSdIzhx6_m4wkOD7IG-k_eo/edit#gid=1336395716"", ""Science!M:N""), 2, FALSE)"),"(LU006753.006); Default - Create")</f>
        <v>(LU006753.006); Default - Create</v>
      </c>
      <c r="V16" s="113"/>
      <c r="W16" s="113"/>
      <c r="X16" s="113"/>
      <c r="Y16" s="113"/>
      <c r="Z16" s="113"/>
      <c r="AA16" s="113"/>
      <c r="AB16" s="113"/>
      <c r="AC16" s="113"/>
      <c r="AD16" s="113"/>
      <c r="AE16" s="113"/>
      <c r="AF16" s="113"/>
      <c r="AG16" s="113"/>
    </row>
    <row r="17" spans="1:33" ht="27.6">
      <c r="A17" s="111"/>
      <c r="B17" s="111" t="s">
        <v>29</v>
      </c>
      <c r="C17" s="111">
        <v>8</v>
      </c>
      <c r="D17" s="111" t="s">
        <v>1714</v>
      </c>
      <c r="E17" s="111" t="s">
        <v>1613</v>
      </c>
      <c r="F17" s="113" t="s">
        <v>1778</v>
      </c>
      <c r="G17" s="14" t="s">
        <v>1780</v>
      </c>
      <c r="H17" s="112" t="str">
        <f ca="1">IFERROR(__xludf.dummyfunction("IFERROR(
  VLOOKUP(G17, IMPORTRANGE(""https://docs.google.com/spreadsheets/d/14deopnvwcrKtEGCKuYXdUHJbeLDZlkiSSWWT0g7x2pM/edit#gid=849066331"", ""LU List Maths (Filter)!A:B""), 2, FALSE),
  IFERROR(
    VLOOKUP(G17, IMPORTRANGE(""https://docs.google.com/s"&amp;"preadsheets/d/14deopnvwcrKtEGCKuYXdUHJbeLDZlkiSSWWT0g7x2pM/edit#gid=849066331"", ""LU List Science (Filter)!A:B""), 2, FALSE),
    ""Not Found""
  )
)
"),"Introduction to Mass Number")</f>
        <v>Introduction to Mass Number</v>
      </c>
      <c r="I17" s="111"/>
      <c r="J17" s="1" t="str">
        <f t="shared" si="0"/>
        <v>LU006754.001</v>
      </c>
      <c r="K17" s="1" t="str">
        <f ca="1">IFERROR(__xludf.dummyfunction("VLOOKUP(J17, IMPORTRANGE(""https://docs.google.com/spreadsheets/d/1yDAaXNsi4Mr5FtRQL4tbmSdIzhx6_m4wkOD7IG-k_eo/edit#gid=1336395716"", ""Science!M:N""), 2, FALSE)"),"(LU006754.001); Default - Remember")</f>
        <v>(LU006754.001); Default - Remember</v>
      </c>
      <c r="L17" s="1" t="str">
        <f t="shared" si="1"/>
        <v>LU006754.002</v>
      </c>
      <c r="M17" s="1" t="str">
        <f ca="1">IFERROR(__xludf.dummyfunction("VLOOKUP(L17, IMPORTRANGE(""https://docs.google.com/spreadsheets/d/1yDAaXNsi4Mr5FtRQL4tbmSdIzhx6_m4wkOD7IG-k_eo/edit#gid=1336395716"", ""Science!M:N""), 2, FALSE)"),"(LU006754.002); Default - Understand")</f>
        <v>(LU006754.002); Default - Understand</v>
      </c>
      <c r="N17" s="1" t="str">
        <f t="shared" si="2"/>
        <v>LU006754.003</v>
      </c>
      <c r="O17" s="1" t="str">
        <f ca="1">IFERROR(__xludf.dummyfunction("VLOOKUP(N17, IMPORTRANGE(""https://docs.google.com/spreadsheets/d/1yDAaXNsi4Mr5FtRQL4tbmSdIzhx6_m4wkOD7IG-k_eo/edit#gid=1336395716"", ""Science!M:N""), 2, FALSE)"),"(LU006754.003); Default - Apply")</f>
        <v>(LU006754.003); Default - Apply</v>
      </c>
      <c r="P17" s="1" t="str">
        <f t="shared" si="3"/>
        <v>LU006754.004</v>
      </c>
      <c r="Q17" s="15" t="str">
        <f ca="1">IFERROR(__xludf.dummyfunction("VLOOKUP(P17, IMPORTRANGE(""https://docs.google.com/spreadsheets/d/1yDAaXNsi4Mr5FtRQL4tbmSdIzhx6_m4wkOD7IG-k_eo/edit#gid=1336395716"", ""Science!M:N""), 2, FALSE)"),"(LU006754.004); Default - Analyse")</f>
        <v>(LU006754.004); Default - Analyse</v>
      </c>
      <c r="R17" s="1" t="str">
        <f t="shared" si="4"/>
        <v>LU006754.005</v>
      </c>
      <c r="S17" s="15" t="str">
        <f ca="1">IFERROR(__xludf.dummyfunction("VLOOKUP(R17, IMPORTRANGE(""https://docs.google.com/spreadsheets/d/1yDAaXNsi4Mr5FtRQL4tbmSdIzhx6_m4wkOD7IG-k_eo/edit#gid=1336395716"", ""Science!M:N""), 2, FALSE)"),"(LU006754.005); Default - Evaluate")</f>
        <v>(LU006754.005); Default - Evaluate</v>
      </c>
      <c r="T17" s="1" t="str">
        <f t="shared" si="5"/>
        <v>LU006754.006</v>
      </c>
      <c r="U17" s="15" t="str">
        <f ca="1">IFERROR(__xludf.dummyfunction("VLOOKUP(T17, IMPORTRANGE(""https://docs.google.com/spreadsheets/d/1yDAaXNsi4Mr5FtRQL4tbmSdIzhx6_m4wkOD7IG-k_eo/edit#gid=1336395716"", ""Science!M:N""), 2, FALSE)"),"(LU006754.006); Default - Create")</f>
        <v>(LU006754.006); Default - Create</v>
      </c>
      <c r="V17" s="113"/>
      <c r="W17" s="113"/>
      <c r="X17" s="113"/>
      <c r="Y17" s="113"/>
      <c r="Z17" s="113"/>
      <c r="AA17" s="113"/>
      <c r="AB17" s="113"/>
      <c r="AC17" s="113"/>
      <c r="AD17" s="113"/>
      <c r="AE17" s="113"/>
      <c r="AF17" s="113"/>
      <c r="AG17" s="113"/>
    </row>
    <row r="18" spans="1:33" ht="41.4">
      <c r="A18" s="111"/>
      <c r="B18" s="111" t="s">
        <v>29</v>
      </c>
      <c r="C18" s="111">
        <v>8</v>
      </c>
      <c r="D18" s="111" t="s">
        <v>1727</v>
      </c>
      <c r="E18" s="111" t="s">
        <v>1613</v>
      </c>
      <c r="F18" s="113" t="s">
        <v>1781</v>
      </c>
      <c r="G18" s="1" t="s">
        <v>1782</v>
      </c>
      <c r="H18" s="112" t="str">
        <f ca="1">IFERROR(__xludf.dummyfunction("IFERROR(
  VLOOKUP(G18, IMPORTRANGE(""https://docs.google.com/spreadsheets/d/14deopnvwcrKtEGCKuYXdUHJbeLDZlkiSSWWT0g7x2pM/edit#gid=849066331"", ""LU List Maths (Filter)!A:B""), 2, FALSE),
  IFERROR(
    VLOOKUP(G18, IMPORTRANGE(""https://docs.google.com/s"&amp;"preadsheets/d/14deopnvwcrKtEGCKuYXdUHJbeLDZlkiSSWWT0g7x2pM/edit#gid=849066331"", ""LU List Science (Filter)!A:B""), 2, FALSE),
    ""Not Found""
  )
)
"),"Rules for writing chemical formulas for a chemical compound")</f>
        <v>Rules for writing chemical formulas for a chemical compound</v>
      </c>
      <c r="I18" s="111" t="s">
        <v>1633</v>
      </c>
      <c r="J18" s="1" t="str">
        <f t="shared" si="0"/>
        <v>LU006381.001</v>
      </c>
      <c r="K18" s="1" t="str">
        <f ca="1">IFERROR(__xludf.dummyfunction("VLOOKUP(J18, IMPORTRANGE(""https://docs.google.com/spreadsheets/d/1yDAaXNsi4Mr5FtRQL4tbmSdIzhx6_m4wkOD7IG-k_eo/edit#gid=1336395716"", ""Science!M:N""), 2, FALSE)"),"List the rules for writing chemical formulas.")</f>
        <v>List the rules for writing chemical formulas.</v>
      </c>
      <c r="L18" s="1" t="str">
        <f t="shared" si="1"/>
        <v>LU006381.002</v>
      </c>
      <c r="M18" s="1" t="str">
        <f ca="1">IFERROR(__xludf.dummyfunction("VLOOKUP(L18, IMPORTRANGE(""https://docs.google.com/spreadsheets/d/1yDAaXNsi4Mr5FtRQL4tbmSdIzhx6_m4wkOD7IG-k_eo/edit#gid=1336395716"", ""Science!M:N""), 2, FALSE)"),"Explain the steps involved in writing a chemical formula.")</f>
        <v>Explain the steps involved in writing a chemical formula.</v>
      </c>
      <c r="N18" s="1" t="str">
        <f t="shared" si="2"/>
        <v>LU006381.003</v>
      </c>
      <c r="O18" s="1" t="str">
        <f ca="1">IFERROR(__xludf.dummyfunction("VLOOKUP(N18, IMPORTRANGE(""https://docs.google.com/spreadsheets/d/1yDAaXNsi4Mr5FtRQL4tbmSdIzhx6_m4wkOD7IG-k_eo/edit#gid=1336395716"", ""Science!M:N""), 2, FALSE)"),"Write the chemical formula for given compounds using the rules.")</f>
        <v>Write the chemical formula for given compounds using the rules.</v>
      </c>
      <c r="P18" s="1" t="str">
        <f t="shared" si="3"/>
        <v>LU006381.004</v>
      </c>
      <c r="Q18" s="15" t="str">
        <f ca="1">IFERROR(__xludf.dummyfunction("VLOOKUP(P18, IMPORTRANGE(""https://docs.google.com/spreadsheets/d/1yDAaXNsi4Mr5FtRQL4tbmSdIzhx6_m4wkOD7IG-k_eo/edit#gid=1336395716"", ""Science!M:N""), 2, FALSE)"),"Analyze errors in incorrectly written chemical formulas and correct them.")</f>
        <v>Analyze errors in incorrectly written chemical formulas and correct them.</v>
      </c>
      <c r="R18" s="1" t="str">
        <f t="shared" si="4"/>
        <v>LU006381.005</v>
      </c>
      <c r="S18" s="15" t="str">
        <f ca="1">IFERROR(__xludf.dummyfunction("VLOOKUP(R18, IMPORTRANGE(""https://docs.google.com/spreadsheets/d/1yDAaXNsi4Mr5FtRQL4tbmSdIzhx6_m4wkOD7IG-k_eo/edit#gid=1336395716"", ""Science!M:N""), 2, FALSE)"),"Evaluate the importance of correct chemical formulas in chemical reactions.")</f>
        <v>Evaluate the importance of correct chemical formulas in chemical reactions.</v>
      </c>
      <c r="T18" s="1" t="str">
        <f t="shared" si="5"/>
        <v>LU006381.006</v>
      </c>
      <c r="U18" s="15" t="str">
        <f ca="1">IFERROR(__xludf.dummyfunction("VLOOKUP(T18, IMPORTRANGE(""https://docs.google.com/spreadsheets/d/1yDAaXNsi4Mr5FtRQL4tbmSdIzhx6_m4wkOD7IG-k_eo/edit#gid=1336395716"", ""Science!M:N""), 2, FALSE)"),"Create a tutorial that teaches how to write chemical formulas for compounds.")</f>
        <v>Create a tutorial that teaches how to write chemical formulas for compounds.</v>
      </c>
      <c r="V18" s="113"/>
      <c r="W18" s="113"/>
      <c r="X18" s="113"/>
      <c r="Y18" s="113"/>
      <c r="Z18" s="113"/>
      <c r="AA18" s="113"/>
      <c r="AB18" s="113"/>
      <c r="AC18" s="113"/>
      <c r="AD18" s="113"/>
      <c r="AE18" s="113"/>
      <c r="AF18" s="113"/>
      <c r="AG18" s="113"/>
    </row>
    <row r="19" spans="1:33" ht="110.4">
      <c r="A19" s="111"/>
      <c r="B19" s="111" t="s">
        <v>29</v>
      </c>
      <c r="C19" s="111">
        <v>8</v>
      </c>
      <c r="D19" s="111" t="s">
        <v>1727</v>
      </c>
      <c r="E19" s="111" t="s">
        <v>1613</v>
      </c>
      <c r="F19" s="113" t="s">
        <v>1783</v>
      </c>
      <c r="G19" s="1" t="s">
        <v>1784</v>
      </c>
      <c r="H19" s="112" t="str">
        <f ca="1">IFERROR(__xludf.dummyfunction("IFERROR(
  VLOOKUP(G19, IMPORTRANGE(""https://docs.google.com/spreadsheets/d/14deopnvwcrKtEGCKuYXdUHJbeLDZlkiSSWWT0g7x2pM/edit#gid=849066331"", ""LU List Maths (Filter)!A:B""), 2, FALSE),
  IFERROR(
    VLOOKUP(G19, IMPORTRANGE(""https://docs.google.com/s"&amp;"preadsheets/d/14deopnvwcrKtEGCKuYXdUHJbeLDZlkiSSWWT0g7x2pM/edit#gid=849066331"", ""LU List Science (Filter)!A:B""), 2, FALSE),
    ""Not Found""
  )
)
"),"Writing Chemical Equations")</f>
        <v>Writing Chemical Equations</v>
      </c>
      <c r="I19" s="111" t="s">
        <v>1730</v>
      </c>
      <c r="J19" s="1" t="str">
        <f t="shared" si="0"/>
        <v>LU005500.001</v>
      </c>
      <c r="K19" s="1" t="str">
        <f ca="1">IFERROR(__xludf.dummyfunction("VLOOKUP(J19, IMPORTRANGE(""https://docs.google.com/spreadsheets/d/1yDAaXNsi4Mr5FtRQL4tbmSdIzhx6_m4wkOD7IG-k_eo/edit#gid=1336395716"", ""Science!M:N""), 2, FALSE)"),"Recall and list the basic components of a chemical equation, including reactants, products, and common symbols used in chemical reactions.")</f>
        <v>Recall and list the basic components of a chemical equation, including reactants, products, and common symbols used in chemical reactions.</v>
      </c>
      <c r="L19" s="1" t="str">
        <f t="shared" si="1"/>
        <v>LU005500.002</v>
      </c>
      <c r="M19" s="1" t="str">
        <f ca="1">IFERROR(__xludf.dummyfunction("VLOOKUP(L19, IMPORTRANGE(""https://docs.google.com/spreadsheets/d/1yDAaXNsi4Mr5FtRQL4tbmSdIzhx6_m4wkOD7IG-k_eo/edit#gid=1336395716"", ""Science!M:N""), 2, FALSE)"),"Explain the meaning of reactants and products and interpret the symbolic and descriptive notations of simple chemical reactions.")</f>
        <v>Explain the meaning of reactants and products and interpret the symbolic and descriptive notations of simple chemical reactions.</v>
      </c>
      <c r="N19" s="1" t="str">
        <f t="shared" si="2"/>
        <v>LU005500.003</v>
      </c>
      <c r="O19" s="1" t="str">
        <f ca="1">IFERROR(__xludf.dummyfunction("VLOOKUP(N19, IMPORTRANGE(""https://docs.google.com/spreadsheets/d/1yDAaXNsi4Mr5FtRQL4tbmSdIzhx6_m4wkOD7IG-k_eo/edit#gid=1336395716"", ""Science!M:N""), 2, FALSE)"),"Identify reactants and products in given symbolic and descriptive notations of various simple chemical reactions.")</f>
        <v>Identify reactants and products in given symbolic and descriptive notations of various simple chemical reactions.</v>
      </c>
      <c r="P19" s="1" t="str">
        <f t="shared" si="3"/>
        <v>LU005500.004</v>
      </c>
      <c r="Q19" s="15" t="str">
        <f ca="1">IFERROR(__xludf.dummyfunction("VLOOKUP(P19, IMPORTRANGE(""https://docs.google.com/spreadsheets/d/1yDAaXNsi4Mr5FtRQL4tbmSdIzhx6_m4wkOD7IG-k_eo/edit#gid=1336395716"", ""Science!M:N""), 2, FALSE)"),"Compare and contrast different chemical reactions, focusing on differences and similarities in reactants and products based on their symbolic and descriptive notations.")</f>
        <v>Compare and contrast different chemical reactions, focusing on differences and similarities in reactants and products based on their symbolic and descriptive notations.</v>
      </c>
      <c r="R19" s="1" t="str">
        <f t="shared" si="4"/>
        <v>LU005500.005</v>
      </c>
      <c r="S19" s="15" t="str">
        <f ca="1">IFERROR(__xludf.dummyfunction("VLOOKUP(R19, IMPORTRANGE(""https://docs.google.com/spreadsheets/d/1yDAaXNsi4Mr5FtRQL4tbmSdIzhx6_m4wkOD7IG-k_eo/edit#gid=1336395716"", ""Science!M:N""), 2, FALSE)"),"Evaluate the accuracy of simple chemical equations by checking the correct identification and representation of reactants and products in both symbolic and descriptive forms.")</f>
        <v>Evaluate the accuracy of simple chemical equations by checking the correct identification and representation of reactants and products in both symbolic and descriptive forms.</v>
      </c>
      <c r="T19" s="1" t="str">
        <f t="shared" si="5"/>
        <v>LU005500.006</v>
      </c>
      <c r="U19" s="15" t="str">
        <f ca="1">IFERROR(__xludf.dummyfunction("VLOOKUP(T19, IMPORTRANGE(""https://docs.google.com/spreadsheets/d/1yDAaXNsi4Mr5FtRQL4tbmSdIzhx6_m4wkOD7IG-k_eo/edit#gid=1336395716"", ""Science!M:N""), 2, FALSE)"),"(LU005500.006); Default - Create")</f>
        <v>(LU005500.006); Default - Create</v>
      </c>
      <c r="V19" s="113"/>
      <c r="W19" s="113"/>
      <c r="X19" s="113"/>
      <c r="Y19" s="113"/>
      <c r="Z19" s="113"/>
      <c r="AA19" s="113"/>
      <c r="AB19" s="113"/>
      <c r="AC19" s="113"/>
      <c r="AD19" s="113"/>
      <c r="AE19" s="113"/>
      <c r="AF19" s="113"/>
      <c r="AG19" s="113"/>
    </row>
    <row r="20" spans="1:33" ht="27.6">
      <c r="A20" s="111"/>
      <c r="B20" s="111" t="s">
        <v>29</v>
      </c>
      <c r="C20" s="111">
        <v>8</v>
      </c>
      <c r="D20" s="111" t="s">
        <v>1727</v>
      </c>
      <c r="E20" s="111" t="s">
        <v>1613</v>
      </c>
      <c r="F20" s="113" t="s">
        <v>1783</v>
      </c>
      <c r="G20" s="14" t="s">
        <v>1785</v>
      </c>
      <c r="H20" s="112" t="str">
        <f ca="1">IFERROR(__xludf.dummyfunction("IFERROR(
  VLOOKUP(G20, IMPORTRANGE(""https://docs.google.com/spreadsheets/d/14deopnvwcrKtEGCKuYXdUHJbeLDZlkiSSWWT0g7x2pM/edit#gid=849066331"", ""LU List Maths (Filter)!A:B""), 2, FALSE),
  IFERROR(
    VLOOKUP(G20, IMPORTRANGE(""https://docs.google.com/s"&amp;"preadsheets/d/14deopnvwcrKtEGCKuYXdUHJbeLDZlkiSSWWT0g7x2pM/edit#gid=849066331"", ""LU List Science (Filter)!A:B""), 2, FALSE),
    ""Not Found""
  )
)
"),"Gathering Information from a Chemical Equation")</f>
        <v>Gathering Information from a Chemical Equation</v>
      </c>
      <c r="I20" s="111"/>
      <c r="J20" s="1" t="str">
        <f t="shared" si="0"/>
        <v>LU006755.001</v>
      </c>
      <c r="K20" s="1" t="str">
        <f ca="1">IFERROR(__xludf.dummyfunction("VLOOKUP(J20, IMPORTRANGE(""https://docs.google.com/spreadsheets/d/1yDAaXNsi4Mr5FtRQL4tbmSdIzhx6_m4wkOD7IG-k_eo/edit#gid=1336395716"", ""Science!M:N""), 2, FALSE)"),"(LU006755.001); Default - Remember")</f>
        <v>(LU006755.001); Default - Remember</v>
      </c>
      <c r="L20" s="1" t="str">
        <f t="shared" si="1"/>
        <v>LU006755.002</v>
      </c>
      <c r="M20" s="1" t="str">
        <f ca="1">IFERROR(__xludf.dummyfunction("VLOOKUP(L20, IMPORTRANGE(""https://docs.google.com/spreadsheets/d/1yDAaXNsi4Mr5FtRQL4tbmSdIzhx6_m4wkOD7IG-k_eo/edit#gid=1336395716"", ""Science!M:N""), 2, FALSE)"),"(LU006755.002); Default - Understand")</f>
        <v>(LU006755.002); Default - Understand</v>
      </c>
      <c r="N20" s="1" t="str">
        <f t="shared" si="2"/>
        <v>LU006755.003</v>
      </c>
      <c r="O20" s="1" t="str">
        <f ca="1">IFERROR(__xludf.dummyfunction("VLOOKUP(N20, IMPORTRANGE(""https://docs.google.com/spreadsheets/d/1yDAaXNsi4Mr5FtRQL4tbmSdIzhx6_m4wkOD7IG-k_eo/edit#gid=1336395716"", ""Science!M:N""), 2, FALSE)"),"(LU006755.003); Default - Apply")</f>
        <v>(LU006755.003); Default - Apply</v>
      </c>
      <c r="P20" s="1" t="str">
        <f t="shared" si="3"/>
        <v>LU006755.004</v>
      </c>
      <c r="Q20" s="15" t="str">
        <f ca="1">IFERROR(__xludf.dummyfunction("VLOOKUP(P20, IMPORTRANGE(""https://docs.google.com/spreadsheets/d/1yDAaXNsi4Mr5FtRQL4tbmSdIzhx6_m4wkOD7IG-k_eo/edit#gid=1336395716"", ""Science!M:N""), 2, FALSE)"),"(LU006755.004); Default - Analyse")</f>
        <v>(LU006755.004); Default - Analyse</v>
      </c>
      <c r="R20" s="1" t="str">
        <f t="shared" si="4"/>
        <v>LU006755.005</v>
      </c>
      <c r="S20" s="15" t="str">
        <f ca="1">IFERROR(__xludf.dummyfunction("VLOOKUP(R20, IMPORTRANGE(""https://docs.google.com/spreadsheets/d/1yDAaXNsi4Mr5FtRQL4tbmSdIzhx6_m4wkOD7IG-k_eo/edit#gid=1336395716"", ""Science!M:N""), 2, FALSE)"),"(LU006755.005); Default - Evaluate")</f>
        <v>(LU006755.005); Default - Evaluate</v>
      </c>
      <c r="T20" s="1" t="str">
        <f t="shared" si="5"/>
        <v>LU006755.006</v>
      </c>
      <c r="U20" s="15" t="str">
        <f ca="1">IFERROR(__xludf.dummyfunction("VLOOKUP(T20, IMPORTRANGE(""https://docs.google.com/spreadsheets/d/1yDAaXNsi4Mr5FtRQL4tbmSdIzhx6_m4wkOD7IG-k_eo/edit#gid=1336395716"", ""Science!M:N""), 2, FALSE)"),"(LU006755.006); Default - Create")</f>
        <v>(LU006755.006); Default - Create</v>
      </c>
      <c r="V20" s="113"/>
      <c r="W20" s="113"/>
      <c r="X20" s="113"/>
      <c r="Y20" s="113"/>
      <c r="Z20" s="113"/>
      <c r="AA20" s="113"/>
      <c r="AB20" s="113"/>
      <c r="AC20" s="113"/>
      <c r="AD20" s="113"/>
      <c r="AE20" s="113"/>
      <c r="AF20" s="113"/>
      <c r="AG20" s="113"/>
    </row>
    <row r="21" spans="1:33" ht="27.6">
      <c r="A21" s="111"/>
      <c r="B21" s="111" t="s">
        <v>29</v>
      </c>
      <c r="C21" s="111">
        <v>8</v>
      </c>
      <c r="D21" s="111" t="s">
        <v>1727</v>
      </c>
      <c r="E21" s="111" t="s">
        <v>1613</v>
      </c>
      <c r="F21" s="113" t="s">
        <v>1783</v>
      </c>
      <c r="G21" s="14" t="s">
        <v>1786</v>
      </c>
      <c r="H21" s="112" t="str">
        <f ca="1">IFERROR(__xludf.dummyfunction("IFERROR(
  VLOOKUP(G21, IMPORTRANGE(""https://docs.google.com/spreadsheets/d/14deopnvwcrKtEGCKuYXdUHJbeLDZlkiSSWWT0g7x2pM/edit#gid=849066331"", ""LU List Maths (Filter)!A:B""), 2, FALSE),
  IFERROR(
    VLOOKUP(G21, IMPORTRANGE(""https://docs.google.com/s"&amp;"preadsheets/d/14deopnvwcrKtEGCKuYXdUHJbeLDZlkiSSWWT0g7x2pM/edit#gid=849066331"", ""LU List Science (Filter)!A:B""), 2, FALSE),
    ""Not Found""
  )
)
"),"Limitations of a Chemical Equation")</f>
        <v>Limitations of a Chemical Equation</v>
      </c>
      <c r="I21" s="111"/>
      <c r="J21" s="1" t="str">
        <f t="shared" si="0"/>
        <v>LU006756.001</v>
      </c>
      <c r="K21" s="1" t="str">
        <f ca="1">IFERROR(__xludf.dummyfunction("VLOOKUP(J21, IMPORTRANGE(""https://docs.google.com/spreadsheets/d/1yDAaXNsi4Mr5FtRQL4tbmSdIzhx6_m4wkOD7IG-k_eo/edit#gid=1336395716"", ""Science!M:N""), 2, FALSE)"),"(LU006756.001); Default - Remember")</f>
        <v>(LU006756.001); Default - Remember</v>
      </c>
      <c r="L21" s="1" t="str">
        <f t="shared" si="1"/>
        <v>LU006756.002</v>
      </c>
      <c r="M21" s="1" t="str">
        <f ca="1">IFERROR(__xludf.dummyfunction("VLOOKUP(L21, IMPORTRANGE(""https://docs.google.com/spreadsheets/d/1yDAaXNsi4Mr5FtRQL4tbmSdIzhx6_m4wkOD7IG-k_eo/edit#gid=1336395716"", ""Science!M:N""), 2, FALSE)"),"(LU006756.002); Default - Understand")</f>
        <v>(LU006756.002); Default - Understand</v>
      </c>
      <c r="N21" s="1" t="str">
        <f t="shared" si="2"/>
        <v>LU006756.003</v>
      </c>
      <c r="O21" s="1" t="str">
        <f ca="1">IFERROR(__xludf.dummyfunction("VLOOKUP(N21, IMPORTRANGE(""https://docs.google.com/spreadsheets/d/1yDAaXNsi4Mr5FtRQL4tbmSdIzhx6_m4wkOD7IG-k_eo/edit#gid=1336395716"", ""Science!M:N""), 2, FALSE)"),"(LU006756.003); Default - Apply")</f>
        <v>(LU006756.003); Default - Apply</v>
      </c>
      <c r="P21" s="1" t="str">
        <f t="shared" si="3"/>
        <v>LU006756.004</v>
      </c>
      <c r="Q21" s="15" t="str">
        <f ca="1">IFERROR(__xludf.dummyfunction("VLOOKUP(P21, IMPORTRANGE(""https://docs.google.com/spreadsheets/d/1yDAaXNsi4Mr5FtRQL4tbmSdIzhx6_m4wkOD7IG-k_eo/edit#gid=1336395716"", ""Science!M:N""), 2, FALSE)"),"(LU006756.004); Default - Analyse")</f>
        <v>(LU006756.004); Default - Analyse</v>
      </c>
      <c r="R21" s="1" t="str">
        <f t="shared" si="4"/>
        <v>LU006756.005</v>
      </c>
      <c r="S21" s="15" t="str">
        <f ca="1">IFERROR(__xludf.dummyfunction("VLOOKUP(R21, IMPORTRANGE(""https://docs.google.com/spreadsheets/d/1yDAaXNsi4Mr5FtRQL4tbmSdIzhx6_m4wkOD7IG-k_eo/edit#gid=1336395716"", ""Science!M:N""), 2, FALSE)"),"(LU006756.005); Default - Evaluate")</f>
        <v>(LU006756.005); Default - Evaluate</v>
      </c>
      <c r="T21" s="1" t="str">
        <f t="shared" si="5"/>
        <v>LU006756.006</v>
      </c>
      <c r="U21" s="15" t="str">
        <f ca="1">IFERROR(__xludf.dummyfunction("VLOOKUP(T21, IMPORTRANGE(""https://docs.google.com/spreadsheets/d/1yDAaXNsi4Mr5FtRQL4tbmSdIzhx6_m4wkOD7IG-k_eo/edit#gid=1336395716"", ""Science!M:N""), 2, FALSE)"),"(LU006756.006); Default - Create")</f>
        <v>(LU006756.006); Default - Create</v>
      </c>
      <c r="V21" s="113"/>
      <c r="W21" s="113"/>
      <c r="X21" s="113"/>
      <c r="Y21" s="113"/>
      <c r="Z21" s="113"/>
      <c r="AA21" s="113"/>
      <c r="AB21" s="113"/>
      <c r="AC21" s="113"/>
      <c r="AD21" s="113"/>
      <c r="AE21" s="113"/>
      <c r="AF21" s="113"/>
      <c r="AG21" s="113"/>
    </row>
    <row r="22" spans="1:33" ht="41.4">
      <c r="A22" s="111"/>
      <c r="B22" s="111" t="s">
        <v>29</v>
      </c>
      <c r="C22" s="111">
        <v>8</v>
      </c>
      <c r="D22" s="111" t="s">
        <v>1727</v>
      </c>
      <c r="E22" s="111" t="s">
        <v>1613</v>
      </c>
      <c r="F22" s="113" t="s">
        <v>1787</v>
      </c>
      <c r="G22" s="14" t="s">
        <v>1788</v>
      </c>
      <c r="H22" s="112" t="str">
        <f ca="1">IFERROR(__xludf.dummyfunction("IFERROR(
  VLOOKUP(G22, IMPORTRANGE(""https://docs.google.com/spreadsheets/d/14deopnvwcrKtEGCKuYXdUHJbeLDZlkiSSWWT0g7x2pM/edit#gid=849066331"", ""LU List Maths (Filter)!A:B""), 2, FALSE),
  IFERROR(
    VLOOKUP(G22, IMPORTRANGE(""https://docs.google.com/s"&amp;"preadsheets/d/14deopnvwcrKtEGCKuYXdUHJbeLDZlkiSSWWT0g7x2pM/edit#gid=849066331"", ""LU List Science (Filter)!A:B""), 2, FALSE),
    ""Not Found""
  )
)
"),"Importance of Law of Conservation of Mass for Balancing Chemical Equation")</f>
        <v>Importance of Law of Conservation of Mass for Balancing Chemical Equation</v>
      </c>
      <c r="I22" s="111"/>
      <c r="J22" s="1" t="str">
        <f t="shared" si="0"/>
        <v>LU006757.001</v>
      </c>
      <c r="K22" s="1" t="str">
        <f ca="1">IFERROR(__xludf.dummyfunction("VLOOKUP(J22, IMPORTRANGE(""https://docs.google.com/spreadsheets/d/1yDAaXNsi4Mr5FtRQL4tbmSdIzhx6_m4wkOD7IG-k_eo/edit#gid=1336395716"", ""Science!M:N""), 2, FALSE)"),"(LU006757.001); Default - Remember")</f>
        <v>(LU006757.001); Default - Remember</v>
      </c>
      <c r="L22" s="1" t="str">
        <f t="shared" si="1"/>
        <v>LU006757.002</v>
      </c>
      <c r="M22" s="1" t="str">
        <f ca="1">IFERROR(__xludf.dummyfunction("VLOOKUP(L22, IMPORTRANGE(""https://docs.google.com/spreadsheets/d/1yDAaXNsi4Mr5FtRQL4tbmSdIzhx6_m4wkOD7IG-k_eo/edit#gid=1336395716"", ""Science!M:N""), 2, FALSE)"),"(LU006757.002); Default - Understand")</f>
        <v>(LU006757.002); Default - Understand</v>
      </c>
      <c r="N22" s="1" t="str">
        <f t="shared" si="2"/>
        <v>LU006757.003</v>
      </c>
      <c r="O22" s="1" t="str">
        <f ca="1">IFERROR(__xludf.dummyfunction("VLOOKUP(N22, IMPORTRANGE(""https://docs.google.com/spreadsheets/d/1yDAaXNsi4Mr5FtRQL4tbmSdIzhx6_m4wkOD7IG-k_eo/edit#gid=1336395716"", ""Science!M:N""), 2, FALSE)"),"(LU006757.003); Default - Apply")</f>
        <v>(LU006757.003); Default - Apply</v>
      </c>
      <c r="P22" s="1" t="str">
        <f t="shared" si="3"/>
        <v>LU006757.004</v>
      </c>
      <c r="Q22" s="15" t="str">
        <f ca="1">IFERROR(__xludf.dummyfunction("VLOOKUP(P22, IMPORTRANGE(""https://docs.google.com/spreadsheets/d/1yDAaXNsi4Mr5FtRQL4tbmSdIzhx6_m4wkOD7IG-k_eo/edit#gid=1336395716"", ""Science!M:N""), 2, FALSE)"),"(LU006757.004); Default - Analyse")</f>
        <v>(LU006757.004); Default - Analyse</v>
      </c>
      <c r="R22" s="1" t="str">
        <f t="shared" si="4"/>
        <v>LU006757.005</v>
      </c>
      <c r="S22" s="15" t="str">
        <f ca="1">IFERROR(__xludf.dummyfunction("VLOOKUP(R22, IMPORTRANGE(""https://docs.google.com/spreadsheets/d/1yDAaXNsi4Mr5FtRQL4tbmSdIzhx6_m4wkOD7IG-k_eo/edit#gid=1336395716"", ""Science!M:N""), 2, FALSE)"),"(LU006757.005); Default - Evaluate")</f>
        <v>(LU006757.005); Default - Evaluate</v>
      </c>
      <c r="T22" s="1" t="str">
        <f t="shared" si="5"/>
        <v>LU006757.006</v>
      </c>
      <c r="U22" s="15" t="str">
        <f ca="1">IFERROR(__xludf.dummyfunction("VLOOKUP(T22, IMPORTRANGE(""https://docs.google.com/spreadsheets/d/1yDAaXNsi4Mr5FtRQL4tbmSdIzhx6_m4wkOD7IG-k_eo/edit#gid=1336395716"", ""Science!M:N""), 2, FALSE)"),"(LU006757.006); Default - Create")</f>
        <v>(LU006757.006); Default - Create</v>
      </c>
      <c r="V22" s="113"/>
      <c r="W22" s="113"/>
      <c r="X22" s="113"/>
      <c r="Y22" s="113"/>
      <c r="Z22" s="113"/>
      <c r="AA22" s="113"/>
      <c r="AB22" s="113"/>
      <c r="AC22" s="113"/>
      <c r="AD22" s="113"/>
      <c r="AE22" s="113"/>
      <c r="AF22" s="113"/>
      <c r="AG22" s="113"/>
    </row>
    <row r="23" spans="1:33" ht="55.2">
      <c r="A23" s="111"/>
      <c r="B23" s="111" t="s">
        <v>29</v>
      </c>
      <c r="C23" s="111">
        <v>8</v>
      </c>
      <c r="D23" s="111" t="s">
        <v>1727</v>
      </c>
      <c r="E23" s="111" t="s">
        <v>1613</v>
      </c>
      <c r="F23" s="113" t="s">
        <v>1787</v>
      </c>
      <c r="G23" s="1" t="s">
        <v>1789</v>
      </c>
      <c r="H23" s="112" t="str">
        <f ca="1">IFERROR(__xludf.dummyfunction("IFERROR(
  VLOOKUP(G23, IMPORTRANGE(""https://docs.google.com/spreadsheets/d/14deopnvwcrKtEGCKuYXdUHJbeLDZlkiSSWWT0g7x2pM/edit#gid=849066331"", ""LU List Maths (Filter)!A:B""), 2, FALSE),
  IFERROR(
    VLOOKUP(G23, IMPORTRANGE(""https://docs.google.com/s"&amp;"preadsheets/d/14deopnvwcrKtEGCKuYXdUHJbeLDZlkiSSWWT0g7x2pM/edit#gid=849066331"", ""LU List Science (Filter)!A:B""), 2, FALSE),
    ""Not Found""
  )
)
"),"Steps to balance a Chemical equation")</f>
        <v>Steps to balance a Chemical equation</v>
      </c>
      <c r="I23" s="111" t="s">
        <v>1730</v>
      </c>
      <c r="J23" s="1" t="str">
        <f t="shared" si="0"/>
        <v>LU005506.001</v>
      </c>
      <c r="K23" s="1" t="str">
        <f ca="1">IFERROR(__xludf.dummyfunction("VLOOKUP(J23, IMPORTRANGE(""https://docs.google.com/spreadsheets/d/1yDAaXNsi4Mr5FtRQL4tbmSdIzhx6_m4wkOD7IG-k_eo/edit#gid=1336395716"", ""Science!M:N""), 2, FALSE)"),"Define a chemical equation.")</f>
        <v>Define a chemical equation.</v>
      </c>
      <c r="L23" s="1" t="str">
        <f t="shared" si="1"/>
        <v>LU005506.002</v>
      </c>
      <c r="M23" s="1" t="str">
        <f ca="1">IFERROR(__xludf.dummyfunction("VLOOKUP(L23, IMPORTRANGE(""https://docs.google.com/spreadsheets/d/1yDAaXNsi4Mr5FtRQL4tbmSdIzhx6_m4wkOD7IG-k_eo/edit#gid=1336395716"", ""Science!M:N""), 2, FALSE)"),"Explain the purpose and significance of balancing a chemical equation.")</f>
        <v>Explain the purpose and significance of balancing a chemical equation.</v>
      </c>
      <c r="N23" s="1" t="str">
        <f t="shared" si="2"/>
        <v>LU005506.003</v>
      </c>
      <c r="O23" s="1" t="str">
        <f ca="1">IFERROR(__xludf.dummyfunction("VLOOKUP(N23, IMPORTRANGE(""https://docs.google.com/spreadsheets/d/1yDAaXNsi4Mr5FtRQL4tbmSdIzhx6_m4wkOD7IG-k_eo/edit#gid=1336395716"", ""Science!M:N""), 2, FALSE)"),"Balance simple chemical equations using the law of conservation of mass.")</f>
        <v>Balance simple chemical equations using the law of conservation of mass.</v>
      </c>
      <c r="P23" s="1" t="str">
        <f t="shared" si="3"/>
        <v>LU005506.004</v>
      </c>
      <c r="Q23" s="15" t="str">
        <f ca="1">IFERROR(__xludf.dummyfunction("VLOOKUP(P23, IMPORTRANGE(""https://docs.google.com/spreadsheets/d/1yDAaXNsi4Mr5FtRQL4tbmSdIzhx6_m4wkOD7IG-k_eo/edit#gid=1336395716"", ""Science!M:N""), 2, FALSE)"),"Examine a chemical equation to identify reactants, products, and whether it is balanced or unbalanced.")</f>
        <v>Examine a chemical equation to identify reactants, products, and whether it is balanced or unbalanced.</v>
      </c>
      <c r="R23" s="1" t="str">
        <f t="shared" si="4"/>
        <v>LU005506.005</v>
      </c>
      <c r="S23" s="15" t="str">
        <f ca="1">IFERROR(__xludf.dummyfunction("VLOOKUP(R23, IMPORTRANGE(""https://docs.google.com/spreadsheets/d/1yDAaXNsi4Mr5FtRQL4tbmSdIzhx6_m4wkOD7IG-k_eo/edit#gid=1336395716"", ""Science!M:N""), 2, FALSE)"),"Assess the correctness of a balanced equation and suggest corrections if necessary.")</f>
        <v>Assess the correctness of a balanced equation and suggest corrections if necessary.</v>
      </c>
      <c r="T23" s="1" t="str">
        <f t="shared" si="5"/>
        <v>LU005506.006</v>
      </c>
      <c r="U23" s="15" t="str">
        <f ca="1">IFERROR(__xludf.dummyfunction("VLOOKUP(T23, IMPORTRANGE(""https://docs.google.com/spreadsheets/d/1yDAaXNsi4Mr5FtRQL4tbmSdIzhx6_m4wkOD7IG-k_eo/edit#gid=1336395716"", ""Science!M:N""), 2, FALSE)"),"(LU005506.006); Default - Create")</f>
        <v>(LU005506.006); Default - Create</v>
      </c>
      <c r="V23" s="113"/>
      <c r="W23" s="113"/>
      <c r="X23" s="113"/>
      <c r="Y23" s="113"/>
      <c r="Z23" s="113"/>
      <c r="AA23" s="113"/>
      <c r="AB23" s="113"/>
      <c r="AC23" s="113"/>
      <c r="AD23" s="113"/>
      <c r="AE23" s="113"/>
      <c r="AF23" s="113"/>
      <c r="AG23" s="113"/>
    </row>
    <row r="24" spans="1:33" ht="27.6">
      <c r="A24" s="111"/>
      <c r="B24" s="111" t="s">
        <v>29</v>
      </c>
      <c r="C24" s="111">
        <v>8</v>
      </c>
      <c r="D24" s="111" t="s">
        <v>1727</v>
      </c>
      <c r="E24" s="111" t="s">
        <v>1613</v>
      </c>
      <c r="F24" s="113" t="s">
        <v>1787</v>
      </c>
      <c r="G24" s="1" t="s">
        <v>1790</v>
      </c>
      <c r="H24" s="112" t="str">
        <f ca="1">IFERROR(__xludf.dummyfunction("IFERROR(
  VLOOKUP(G24, IMPORTRANGE(""https://docs.google.com/spreadsheets/d/14deopnvwcrKtEGCKuYXdUHJbeLDZlkiSSWWT0g7x2pM/edit#gid=849066331"", ""LU List Maths (Filter)!A:B""), 2, FALSE),
  IFERROR(
    VLOOKUP(G24, IMPORTRANGE(""https://docs.google.com/s"&amp;"preadsheets/d/14deopnvwcrKtEGCKuYXdUHJbeLDZlkiSSWWT0g7x2pM/edit#gid=849066331"", ""LU List Science (Filter)!A:B""), 2, FALSE),
    ""Not Found""
  )
)
"),"Balancing the chemical equations ")</f>
        <v xml:space="preserve">Balancing the chemical equations </v>
      </c>
      <c r="I24" s="111" t="s">
        <v>1730</v>
      </c>
      <c r="J24" s="1" t="str">
        <f t="shared" si="0"/>
        <v>LU006530.001</v>
      </c>
      <c r="K24" s="1" t="str">
        <f ca="1">IFERROR(__xludf.dummyfunction("VLOOKUP(J24, IMPORTRANGE(""https://docs.google.com/spreadsheets/d/1yDAaXNsi4Mr5FtRQL4tbmSdIzhx6_m4wkOD7IG-k_eo/edit#gid=1336395716"", ""Science!M:N""), 2, FALSE)"),"(LU006530.001); Default - Remember")</f>
        <v>(LU006530.001); Default - Remember</v>
      </c>
      <c r="L24" s="1" t="str">
        <f t="shared" si="1"/>
        <v>LU006530.002</v>
      </c>
      <c r="M24" s="1" t="str">
        <f ca="1">IFERROR(__xludf.dummyfunction("VLOOKUP(L24, IMPORTRANGE(""https://docs.google.com/spreadsheets/d/1yDAaXNsi4Mr5FtRQL4tbmSdIzhx6_m4wkOD7IG-k_eo/edit#gid=1336395716"", ""Science!M:N""), 2, FALSE)"),"(LU006530.002); Default - Understand")</f>
        <v>(LU006530.002); Default - Understand</v>
      </c>
      <c r="N24" s="1" t="str">
        <f t="shared" si="2"/>
        <v>LU006530.003</v>
      </c>
      <c r="O24" s="1" t="str">
        <f ca="1">IFERROR(__xludf.dummyfunction("VLOOKUP(N24, IMPORTRANGE(""https://docs.google.com/spreadsheets/d/1yDAaXNsi4Mr5FtRQL4tbmSdIzhx6_m4wkOD7IG-k_eo/edit#gid=1336395716"", ""Science!M:N""), 2, FALSE)"),"(LU006530.003); Default - Apply")</f>
        <v>(LU006530.003); Default - Apply</v>
      </c>
      <c r="P24" s="1" t="str">
        <f t="shared" si="3"/>
        <v>LU006530.004</v>
      </c>
      <c r="Q24" s="15" t="str">
        <f ca="1">IFERROR(__xludf.dummyfunction("VLOOKUP(P24, IMPORTRANGE(""https://docs.google.com/spreadsheets/d/1yDAaXNsi4Mr5FtRQL4tbmSdIzhx6_m4wkOD7IG-k_eo/edit#gid=1336395716"", ""Science!M:N""), 2, FALSE)"),"(LU006530.004); Default - Analyse")</f>
        <v>(LU006530.004); Default - Analyse</v>
      </c>
      <c r="R24" s="1" t="str">
        <f t="shared" si="4"/>
        <v>LU006530.005</v>
      </c>
      <c r="S24" s="15" t="str">
        <f ca="1">IFERROR(__xludf.dummyfunction("VLOOKUP(R24, IMPORTRANGE(""https://docs.google.com/spreadsheets/d/1yDAaXNsi4Mr5FtRQL4tbmSdIzhx6_m4wkOD7IG-k_eo/edit#gid=1336395716"", ""Science!M:N""), 2, FALSE)"),"(LU006530.005); Default - Evaluate")</f>
        <v>(LU006530.005); Default - Evaluate</v>
      </c>
      <c r="T24" s="1" t="str">
        <f t="shared" si="5"/>
        <v>LU006530.006</v>
      </c>
      <c r="U24" s="15" t="str">
        <f ca="1">IFERROR(__xludf.dummyfunction("VLOOKUP(T24, IMPORTRANGE(""https://docs.google.com/spreadsheets/d/1yDAaXNsi4Mr5FtRQL4tbmSdIzhx6_m4wkOD7IG-k_eo/edit#gid=1336395716"", ""Science!M:N""), 2, FALSE)"),"(LU006530.006); Default - Create")</f>
        <v>(LU006530.006); Default - Create</v>
      </c>
      <c r="V24" s="113"/>
      <c r="W24" s="113"/>
      <c r="X24" s="113"/>
      <c r="Y24" s="113"/>
      <c r="Z24" s="113"/>
      <c r="AA24" s="113"/>
      <c r="AB24" s="113"/>
      <c r="AC24" s="113"/>
      <c r="AD24" s="113"/>
      <c r="AE24" s="113"/>
      <c r="AF24" s="113"/>
      <c r="AG24" s="113"/>
    </row>
    <row r="25" spans="1:33" ht="41.4">
      <c r="A25" s="111"/>
      <c r="B25" s="111" t="s">
        <v>29</v>
      </c>
      <c r="C25" s="111">
        <v>8</v>
      </c>
      <c r="D25" s="111" t="s">
        <v>1728</v>
      </c>
      <c r="E25" s="111" t="s">
        <v>1613</v>
      </c>
      <c r="F25" s="113" t="s">
        <v>1791</v>
      </c>
      <c r="G25" s="14" t="s">
        <v>1792</v>
      </c>
      <c r="H25" s="112" t="str">
        <f ca="1">IFERROR(__xludf.dummyfunction("IFERROR(
  VLOOKUP(G25, IMPORTRANGE(""https://docs.google.com/spreadsheets/d/14deopnvwcrKtEGCKuYXdUHJbeLDZlkiSSWWT0g7x2pM/edit#gid=849066331"", ""LU List Maths (Filter)!A:B""), 2, FALSE),
  IFERROR(
    VLOOKUP(G25, IMPORTRANGE(""https://docs.google.com/s"&amp;"preadsheets/d/14deopnvwcrKtEGCKuYXdUHJbeLDZlkiSSWWT0g7x2pM/edit#gid=849066331"", ""LU List Science (Filter)!A:B""), 2, FALSE),
    ""Not Found""
  )
)
"),"Changes in Bonds and Energy involved during Chemical Reactions")</f>
        <v>Changes in Bonds and Energy involved during Chemical Reactions</v>
      </c>
      <c r="I25" s="111"/>
      <c r="J25" s="1" t="str">
        <f t="shared" si="0"/>
        <v>LU006758.001</v>
      </c>
      <c r="K25" s="1" t="str">
        <f ca="1">IFERROR(__xludf.dummyfunction("VLOOKUP(J25, IMPORTRANGE(""https://docs.google.com/spreadsheets/d/1yDAaXNsi4Mr5FtRQL4tbmSdIzhx6_m4wkOD7IG-k_eo/edit#gid=1336395716"", ""Science!M:N""), 2, FALSE)"),"(LU006758.001); Default - Remember")</f>
        <v>(LU006758.001); Default - Remember</v>
      </c>
      <c r="L25" s="1" t="str">
        <f t="shared" si="1"/>
        <v>LU006758.002</v>
      </c>
      <c r="M25" s="1" t="str">
        <f ca="1">IFERROR(__xludf.dummyfunction("VLOOKUP(L25, IMPORTRANGE(""https://docs.google.com/spreadsheets/d/1yDAaXNsi4Mr5FtRQL4tbmSdIzhx6_m4wkOD7IG-k_eo/edit#gid=1336395716"", ""Science!M:N""), 2, FALSE)"),"(LU006758.002); Default - Understand")</f>
        <v>(LU006758.002); Default - Understand</v>
      </c>
      <c r="N25" s="1" t="str">
        <f t="shared" si="2"/>
        <v>LU006758.003</v>
      </c>
      <c r="O25" s="1" t="str">
        <f ca="1">IFERROR(__xludf.dummyfunction("VLOOKUP(N25, IMPORTRANGE(""https://docs.google.com/spreadsheets/d/1yDAaXNsi4Mr5FtRQL4tbmSdIzhx6_m4wkOD7IG-k_eo/edit#gid=1336395716"", ""Science!M:N""), 2, FALSE)"),"(LU006758.003); Default - Apply")</f>
        <v>(LU006758.003); Default - Apply</v>
      </c>
      <c r="P25" s="1" t="str">
        <f t="shared" si="3"/>
        <v>LU006758.004</v>
      </c>
      <c r="Q25" s="15" t="str">
        <f ca="1">IFERROR(__xludf.dummyfunction("VLOOKUP(P25, IMPORTRANGE(""https://docs.google.com/spreadsheets/d/1yDAaXNsi4Mr5FtRQL4tbmSdIzhx6_m4wkOD7IG-k_eo/edit#gid=1336395716"", ""Science!M:N""), 2, FALSE)"),"(LU006758.004); Default - Analyse")</f>
        <v>(LU006758.004); Default - Analyse</v>
      </c>
      <c r="R25" s="1" t="str">
        <f t="shared" si="4"/>
        <v>LU006758.005</v>
      </c>
      <c r="S25" s="15" t="str">
        <f ca="1">IFERROR(__xludf.dummyfunction("VLOOKUP(R25, IMPORTRANGE(""https://docs.google.com/spreadsheets/d/1yDAaXNsi4Mr5FtRQL4tbmSdIzhx6_m4wkOD7IG-k_eo/edit#gid=1336395716"", ""Science!M:N""), 2, FALSE)"),"(LU006758.005); Default - Evaluate")</f>
        <v>(LU006758.005); Default - Evaluate</v>
      </c>
      <c r="T25" s="1" t="str">
        <f t="shared" si="5"/>
        <v>LU006758.006</v>
      </c>
      <c r="U25" s="15" t="str">
        <f ca="1">IFERROR(__xludf.dummyfunction("VLOOKUP(T25, IMPORTRANGE(""https://docs.google.com/spreadsheets/d/1yDAaXNsi4Mr5FtRQL4tbmSdIzhx6_m4wkOD7IG-k_eo/edit#gid=1336395716"", ""Science!M:N""), 2, FALSE)"),"(LU006758.006); Default - Create")</f>
        <v>(LU006758.006); Default - Create</v>
      </c>
      <c r="V25" s="113"/>
      <c r="W25" s="113"/>
      <c r="X25" s="113"/>
      <c r="Y25" s="113"/>
      <c r="Z25" s="113"/>
      <c r="AA25" s="113"/>
      <c r="AB25" s="113"/>
      <c r="AC25" s="113"/>
      <c r="AD25" s="113"/>
      <c r="AE25" s="113"/>
      <c r="AF25" s="113"/>
      <c r="AG25" s="113"/>
    </row>
    <row r="26" spans="1:33" ht="27.6">
      <c r="A26" s="111"/>
      <c r="B26" s="111" t="s">
        <v>29</v>
      </c>
      <c r="C26" s="111">
        <v>8</v>
      </c>
      <c r="D26" s="111" t="s">
        <v>1728</v>
      </c>
      <c r="E26" s="111" t="s">
        <v>1613</v>
      </c>
      <c r="F26" s="113" t="s">
        <v>1793</v>
      </c>
      <c r="G26" s="1" t="s">
        <v>1794</v>
      </c>
      <c r="H26" s="112" t="str">
        <f ca="1">IFERROR(__xludf.dummyfunction("IFERROR(
  VLOOKUP(G26, IMPORTRANGE(""https://docs.google.com/spreadsheets/d/14deopnvwcrKtEGCKuYXdUHJbeLDZlkiSSWWT0g7x2pM/edit#gid=849066331"", ""LU List Maths (Filter)!A:B""), 2, FALSE),
  IFERROR(
    VLOOKUP(G26, IMPORTRANGE(""https://docs.google.com/s"&amp;"preadsheets/d/14deopnvwcrKtEGCKuYXdUHJbeLDZlkiSSWWT0g7x2pM/edit#gid=849066331"", ""LU List Science (Filter)!A:B""), 2, FALSE),
    ""Not Found""
  )
)
"),"Combination Reactions ")</f>
        <v xml:space="preserve">Combination Reactions </v>
      </c>
      <c r="I26" s="111" t="s">
        <v>1730</v>
      </c>
      <c r="J26" s="1" t="str">
        <f t="shared" si="0"/>
        <v>LU006531.001</v>
      </c>
      <c r="K26" s="1" t="str">
        <f ca="1">IFERROR(__xludf.dummyfunction("VLOOKUP(J26, IMPORTRANGE(""https://docs.google.com/spreadsheets/d/1yDAaXNsi4Mr5FtRQL4tbmSdIzhx6_m4wkOD7IG-k_eo/edit#gid=1336395716"", ""Science!M:N""), 2, FALSE)"),"(LU006531.001); Default - Remember")</f>
        <v>(LU006531.001); Default - Remember</v>
      </c>
      <c r="L26" s="1" t="str">
        <f t="shared" si="1"/>
        <v>LU006531.002</v>
      </c>
      <c r="M26" s="1" t="str">
        <f ca="1">IFERROR(__xludf.dummyfunction("VLOOKUP(L26, IMPORTRANGE(""https://docs.google.com/spreadsheets/d/1yDAaXNsi4Mr5FtRQL4tbmSdIzhx6_m4wkOD7IG-k_eo/edit#gid=1336395716"", ""Science!M:N""), 2, FALSE)"),"(LU006531.002); Default - Understand")</f>
        <v>(LU006531.002); Default - Understand</v>
      </c>
      <c r="N26" s="1" t="str">
        <f t="shared" si="2"/>
        <v>LU006531.003</v>
      </c>
      <c r="O26" s="1" t="str">
        <f ca="1">IFERROR(__xludf.dummyfunction("VLOOKUP(N26, IMPORTRANGE(""https://docs.google.com/spreadsheets/d/1yDAaXNsi4Mr5FtRQL4tbmSdIzhx6_m4wkOD7IG-k_eo/edit#gid=1336395716"", ""Science!M:N""), 2, FALSE)"),"(LU006531.003); Default - Apply")</f>
        <v>(LU006531.003); Default - Apply</v>
      </c>
      <c r="P26" s="1" t="str">
        <f t="shared" si="3"/>
        <v>LU006531.004</v>
      </c>
      <c r="Q26" s="15" t="str">
        <f ca="1">IFERROR(__xludf.dummyfunction("VLOOKUP(P26, IMPORTRANGE(""https://docs.google.com/spreadsheets/d/1yDAaXNsi4Mr5FtRQL4tbmSdIzhx6_m4wkOD7IG-k_eo/edit#gid=1336395716"", ""Science!M:N""), 2, FALSE)"),"(LU006531.004); Default - Analyse")</f>
        <v>(LU006531.004); Default - Analyse</v>
      </c>
      <c r="R26" s="1" t="str">
        <f t="shared" si="4"/>
        <v>LU006531.005</v>
      </c>
      <c r="S26" s="15" t="str">
        <f ca="1">IFERROR(__xludf.dummyfunction("VLOOKUP(R26, IMPORTRANGE(""https://docs.google.com/spreadsheets/d/1yDAaXNsi4Mr5FtRQL4tbmSdIzhx6_m4wkOD7IG-k_eo/edit#gid=1336395716"", ""Science!M:N""), 2, FALSE)"),"(LU006531.005); Default - Evaluate")</f>
        <v>(LU006531.005); Default - Evaluate</v>
      </c>
      <c r="T26" s="1" t="str">
        <f t="shared" si="5"/>
        <v>LU006531.006</v>
      </c>
      <c r="U26" s="15" t="str">
        <f ca="1">IFERROR(__xludf.dummyfunction("VLOOKUP(T26, IMPORTRANGE(""https://docs.google.com/spreadsheets/d/1yDAaXNsi4Mr5FtRQL4tbmSdIzhx6_m4wkOD7IG-k_eo/edit#gid=1336395716"", ""Science!M:N""), 2, FALSE)"),"(LU006531.006); Default - Create")</f>
        <v>(LU006531.006); Default - Create</v>
      </c>
      <c r="V26" s="113"/>
      <c r="W26" s="113"/>
      <c r="X26" s="113"/>
      <c r="Y26" s="113"/>
      <c r="Z26" s="113"/>
      <c r="AA26" s="113"/>
      <c r="AB26" s="113"/>
      <c r="AC26" s="113"/>
      <c r="AD26" s="113"/>
      <c r="AE26" s="113"/>
      <c r="AF26" s="113"/>
      <c r="AG26" s="113"/>
    </row>
    <row r="27" spans="1:33" ht="27.6">
      <c r="A27" s="111"/>
      <c r="B27" s="111" t="s">
        <v>29</v>
      </c>
      <c r="C27" s="111">
        <v>8</v>
      </c>
      <c r="D27" s="111" t="s">
        <v>1728</v>
      </c>
      <c r="E27" s="111" t="s">
        <v>1613</v>
      </c>
      <c r="F27" s="113" t="s">
        <v>1793</v>
      </c>
      <c r="G27" s="1" t="s">
        <v>1795</v>
      </c>
      <c r="H27" s="112" t="str">
        <f ca="1">IFERROR(__xludf.dummyfunction("IFERROR(
  VLOOKUP(G27, IMPORTRANGE(""https://docs.google.com/spreadsheets/d/14deopnvwcrKtEGCKuYXdUHJbeLDZlkiSSWWT0g7x2pM/edit#gid=849066331"", ""LU List Maths (Filter)!A:B""), 2, FALSE),
  IFERROR(
    VLOOKUP(G27, IMPORTRANGE(""https://docs.google.com/s"&amp;"preadsheets/d/14deopnvwcrKtEGCKuYXdUHJbeLDZlkiSSWWT0g7x2pM/edit#gid=849066331"", ""LU List Science (Filter)!A:B""), 2, FALSE),
    ""Not Found""
  )
)
"),"Decomposition Reactions ")</f>
        <v xml:space="preserve">Decomposition Reactions </v>
      </c>
      <c r="I27" s="111" t="s">
        <v>1730</v>
      </c>
      <c r="J27" s="1" t="str">
        <f t="shared" si="0"/>
        <v>LU006533.001</v>
      </c>
      <c r="K27" s="1" t="str">
        <f ca="1">IFERROR(__xludf.dummyfunction("VLOOKUP(J27, IMPORTRANGE(""https://docs.google.com/spreadsheets/d/1yDAaXNsi4Mr5FtRQL4tbmSdIzhx6_m4wkOD7IG-k_eo/edit#gid=1336395716"", ""Science!M:N""), 2, FALSE)"),"(LU006533.001); Default - Remember")</f>
        <v>(LU006533.001); Default - Remember</v>
      </c>
      <c r="L27" s="1" t="str">
        <f t="shared" si="1"/>
        <v>LU006533.002</v>
      </c>
      <c r="M27" s="1" t="str">
        <f ca="1">IFERROR(__xludf.dummyfunction("VLOOKUP(L27, IMPORTRANGE(""https://docs.google.com/spreadsheets/d/1yDAaXNsi4Mr5FtRQL4tbmSdIzhx6_m4wkOD7IG-k_eo/edit#gid=1336395716"", ""Science!M:N""), 2, FALSE)"),"(LU006533.002); Default - Understand")</f>
        <v>(LU006533.002); Default - Understand</v>
      </c>
      <c r="N27" s="1" t="str">
        <f t="shared" si="2"/>
        <v>LU006533.003</v>
      </c>
      <c r="O27" s="1" t="str">
        <f ca="1">IFERROR(__xludf.dummyfunction("VLOOKUP(N27, IMPORTRANGE(""https://docs.google.com/spreadsheets/d/1yDAaXNsi4Mr5FtRQL4tbmSdIzhx6_m4wkOD7IG-k_eo/edit#gid=1336395716"", ""Science!M:N""), 2, FALSE)"),"(LU006533.003); Default - Apply")</f>
        <v>(LU006533.003); Default - Apply</v>
      </c>
      <c r="P27" s="1" t="str">
        <f t="shared" si="3"/>
        <v>LU006533.004</v>
      </c>
      <c r="Q27" s="15" t="str">
        <f ca="1">IFERROR(__xludf.dummyfunction("VLOOKUP(P27, IMPORTRANGE(""https://docs.google.com/spreadsheets/d/1yDAaXNsi4Mr5FtRQL4tbmSdIzhx6_m4wkOD7IG-k_eo/edit#gid=1336395716"", ""Science!M:N""), 2, FALSE)"),"(LU006533.004); Default - Analyse")</f>
        <v>(LU006533.004); Default - Analyse</v>
      </c>
      <c r="R27" s="1" t="str">
        <f t="shared" si="4"/>
        <v>LU006533.005</v>
      </c>
      <c r="S27" s="15" t="str">
        <f ca="1">IFERROR(__xludf.dummyfunction("VLOOKUP(R27, IMPORTRANGE(""https://docs.google.com/spreadsheets/d/1yDAaXNsi4Mr5FtRQL4tbmSdIzhx6_m4wkOD7IG-k_eo/edit#gid=1336395716"", ""Science!M:N""), 2, FALSE)"),"(LU006533.005); Default - Evaluate")</f>
        <v>(LU006533.005); Default - Evaluate</v>
      </c>
      <c r="T27" s="1" t="str">
        <f t="shared" si="5"/>
        <v>LU006533.006</v>
      </c>
      <c r="U27" s="15" t="str">
        <f ca="1">IFERROR(__xludf.dummyfunction("VLOOKUP(T27, IMPORTRANGE(""https://docs.google.com/spreadsheets/d/1yDAaXNsi4Mr5FtRQL4tbmSdIzhx6_m4wkOD7IG-k_eo/edit#gid=1336395716"", ""Science!M:N""), 2, FALSE)"),"(LU006533.006); Default - Create")</f>
        <v>(LU006533.006); Default - Create</v>
      </c>
      <c r="V27" s="113"/>
      <c r="W27" s="113"/>
      <c r="X27" s="113"/>
      <c r="Y27" s="113"/>
      <c r="Z27" s="113"/>
      <c r="AA27" s="113"/>
      <c r="AB27" s="113"/>
      <c r="AC27" s="113"/>
      <c r="AD27" s="113"/>
      <c r="AE27" s="113"/>
      <c r="AF27" s="113"/>
      <c r="AG27" s="113"/>
    </row>
    <row r="28" spans="1:33" ht="27.6">
      <c r="A28" s="111"/>
      <c r="B28" s="111" t="s">
        <v>29</v>
      </c>
      <c r="C28" s="111">
        <v>8</v>
      </c>
      <c r="D28" s="111" t="s">
        <v>1728</v>
      </c>
      <c r="E28" s="111" t="s">
        <v>1613</v>
      </c>
      <c r="F28" s="113" t="s">
        <v>1793</v>
      </c>
      <c r="G28" s="14" t="s">
        <v>1796</v>
      </c>
      <c r="H28" s="112" t="str">
        <f ca="1">IFERROR(__xludf.dummyfunction("IFERROR(
  VLOOKUP(G28, IMPORTRANGE(""https://docs.google.com/spreadsheets/d/14deopnvwcrKtEGCKuYXdUHJbeLDZlkiSSWWT0g7x2pM/edit#gid=849066331"", ""LU List Maths (Filter)!A:B""), 2, FALSE),
  IFERROR(
    VLOOKUP(G28, IMPORTRANGE(""https://docs.google.com/s"&amp;"preadsheets/d/14deopnvwcrKtEGCKuYXdUHJbeLDZlkiSSWWT0g7x2pM/edit#gid=849066331"", ""LU List Science (Filter)!A:B""), 2, FALSE),
    ""Not Found""
  )
)
"),"Decomposition Reactions to form Oxides")</f>
        <v>Decomposition Reactions to form Oxides</v>
      </c>
      <c r="I28" s="111"/>
      <c r="J28" s="1" t="str">
        <f t="shared" si="0"/>
        <v>LU006759.001</v>
      </c>
      <c r="K28" s="1" t="str">
        <f ca="1">IFERROR(__xludf.dummyfunction("VLOOKUP(J28, IMPORTRANGE(""https://docs.google.com/spreadsheets/d/1yDAaXNsi4Mr5FtRQL4tbmSdIzhx6_m4wkOD7IG-k_eo/edit#gid=1336395716"", ""Science!M:N""), 2, FALSE)"),"(LU006759.001); Default - Remember")</f>
        <v>(LU006759.001); Default - Remember</v>
      </c>
      <c r="L28" s="1" t="str">
        <f t="shared" si="1"/>
        <v>LU006759.002</v>
      </c>
      <c r="M28" s="1" t="str">
        <f ca="1">IFERROR(__xludf.dummyfunction("VLOOKUP(L28, IMPORTRANGE(""https://docs.google.com/spreadsheets/d/1yDAaXNsi4Mr5FtRQL4tbmSdIzhx6_m4wkOD7IG-k_eo/edit#gid=1336395716"", ""Science!M:N""), 2, FALSE)"),"(LU006759.002); Default - Understand")</f>
        <v>(LU006759.002); Default - Understand</v>
      </c>
      <c r="N28" s="1" t="str">
        <f t="shared" si="2"/>
        <v>LU006759.003</v>
      </c>
      <c r="O28" s="1" t="str">
        <f ca="1">IFERROR(__xludf.dummyfunction("VLOOKUP(N28, IMPORTRANGE(""https://docs.google.com/spreadsheets/d/1yDAaXNsi4Mr5FtRQL4tbmSdIzhx6_m4wkOD7IG-k_eo/edit#gid=1336395716"", ""Science!M:N""), 2, FALSE)"),"(LU006759.003); Default - Apply")</f>
        <v>(LU006759.003); Default - Apply</v>
      </c>
      <c r="P28" s="1" t="str">
        <f t="shared" si="3"/>
        <v>LU006759.004</v>
      </c>
      <c r="Q28" s="15" t="str">
        <f ca="1">IFERROR(__xludf.dummyfunction("VLOOKUP(P28, IMPORTRANGE(""https://docs.google.com/spreadsheets/d/1yDAaXNsi4Mr5FtRQL4tbmSdIzhx6_m4wkOD7IG-k_eo/edit#gid=1336395716"", ""Science!M:N""), 2, FALSE)"),"(LU006759.004); Default - Analyse")</f>
        <v>(LU006759.004); Default - Analyse</v>
      </c>
      <c r="R28" s="1" t="str">
        <f t="shared" si="4"/>
        <v>LU006759.005</v>
      </c>
      <c r="S28" s="15" t="str">
        <f ca="1">IFERROR(__xludf.dummyfunction("VLOOKUP(R28, IMPORTRANGE(""https://docs.google.com/spreadsheets/d/1yDAaXNsi4Mr5FtRQL4tbmSdIzhx6_m4wkOD7IG-k_eo/edit#gid=1336395716"", ""Science!M:N""), 2, FALSE)"),"(LU006759.005); Default - Evaluate")</f>
        <v>(LU006759.005); Default - Evaluate</v>
      </c>
      <c r="T28" s="1" t="str">
        <f t="shared" si="5"/>
        <v>LU006759.006</v>
      </c>
      <c r="U28" s="15" t="str">
        <f ca="1">IFERROR(__xludf.dummyfunction("VLOOKUP(T28, IMPORTRANGE(""https://docs.google.com/spreadsheets/d/1yDAaXNsi4Mr5FtRQL4tbmSdIzhx6_m4wkOD7IG-k_eo/edit#gid=1336395716"", ""Science!M:N""), 2, FALSE)"),"(LU006759.006); Default - Create")</f>
        <v>(LU006759.006); Default - Create</v>
      </c>
      <c r="V28" s="113"/>
      <c r="W28" s="113"/>
      <c r="X28" s="113"/>
      <c r="Y28" s="113"/>
      <c r="Z28" s="113"/>
      <c r="AA28" s="113"/>
      <c r="AB28" s="113"/>
      <c r="AC28" s="113"/>
      <c r="AD28" s="113"/>
      <c r="AE28" s="113"/>
      <c r="AF28" s="113"/>
      <c r="AG28" s="113"/>
    </row>
    <row r="29" spans="1:33" ht="27.6">
      <c r="A29" s="111"/>
      <c r="B29" s="111" t="s">
        <v>29</v>
      </c>
      <c r="C29" s="111">
        <v>8</v>
      </c>
      <c r="D29" s="111" t="s">
        <v>1728</v>
      </c>
      <c r="E29" s="111" t="s">
        <v>1613</v>
      </c>
      <c r="F29" s="113" t="s">
        <v>1797</v>
      </c>
      <c r="G29" s="1" t="s">
        <v>1798</v>
      </c>
      <c r="H29" s="112" t="str">
        <f ca="1">IFERROR(__xludf.dummyfunction("IFERROR(
  VLOOKUP(G29, IMPORTRANGE(""https://docs.google.com/spreadsheets/d/14deopnvwcrKtEGCKuYXdUHJbeLDZlkiSSWWT0g7x2pM/edit#gid=849066331"", ""LU List Maths (Filter)!A:B""), 2, FALSE),
  IFERROR(
    VLOOKUP(G29, IMPORTRANGE(""https://docs.google.com/s"&amp;"preadsheets/d/14deopnvwcrKtEGCKuYXdUHJbeLDZlkiSSWWT0g7x2pM/edit#gid=849066331"", ""LU List Science (Filter)!A:B""), 2, FALSE),
    ""Not Found""
  )
)
"),"Displacement Reactions ")</f>
        <v xml:space="preserve">Displacement Reactions </v>
      </c>
      <c r="I29" s="111" t="s">
        <v>1730</v>
      </c>
      <c r="J29" s="1" t="str">
        <f t="shared" si="0"/>
        <v>LU006534.001</v>
      </c>
      <c r="K29" s="1" t="str">
        <f ca="1">IFERROR(__xludf.dummyfunction("VLOOKUP(J29, IMPORTRANGE(""https://docs.google.com/spreadsheets/d/1yDAaXNsi4Mr5FtRQL4tbmSdIzhx6_m4wkOD7IG-k_eo/edit#gid=1336395716"", ""Science!M:N""), 2, FALSE)"),"(LU006534.001); Default - Remember")</f>
        <v>(LU006534.001); Default - Remember</v>
      </c>
      <c r="L29" s="1" t="str">
        <f t="shared" si="1"/>
        <v>LU006534.002</v>
      </c>
      <c r="M29" s="1" t="str">
        <f ca="1">IFERROR(__xludf.dummyfunction("VLOOKUP(L29, IMPORTRANGE(""https://docs.google.com/spreadsheets/d/1yDAaXNsi4Mr5FtRQL4tbmSdIzhx6_m4wkOD7IG-k_eo/edit#gid=1336395716"", ""Science!M:N""), 2, FALSE)"),"(LU006534.002); Default - Understand")</f>
        <v>(LU006534.002); Default - Understand</v>
      </c>
      <c r="N29" s="1" t="str">
        <f t="shared" si="2"/>
        <v>LU006534.003</v>
      </c>
      <c r="O29" s="1" t="str">
        <f ca="1">IFERROR(__xludf.dummyfunction("VLOOKUP(N29, IMPORTRANGE(""https://docs.google.com/spreadsheets/d/1yDAaXNsi4Mr5FtRQL4tbmSdIzhx6_m4wkOD7IG-k_eo/edit#gid=1336395716"", ""Science!M:N""), 2, FALSE)"),"(LU006534.003); Default - Apply")</f>
        <v>(LU006534.003); Default - Apply</v>
      </c>
      <c r="P29" s="1" t="str">
        <f t="shared" si="3"/>
        <v>LU006534.004</v>
      </c>
      <c r="Q29" s="15" t="str">
        <f ca="1">IFERROR(__xludf.dummyfunction("VLOOKUP(P29, IMPORTRANGE(""https://docs.google.com/spreadsheets/d/1yDAaXNsi4Mr5FtRQL4tbmSdIzhx6_m4wkOD7IG-k_eo/edit#gid=1336395716"", ""Science!M:N""), 2, FALSE)"),"(LU006534.004); Default - Analyse")</f>
        <v>(LU006534.004); Default - Analyse</v>
      </c>
      <c r="R29" s="1" t="str">
        <f t="shared" si="4"/>
        <v>LU006534.005</v>
      </c>
      <c r="S29" s="15" t="str">
        <f ca="1">IFERROR(__xludf.dummyfunction("VLOOKUP(R29, IMPORTRANGE(""https://docs.google.com/spreadsheets/d/1yDAaXNsi4Mr5FtRQL4tbmSdIzhx6_m4wkOD7IG-k_eo/edit#gid=1336395716"", ""Science!M:N""), 2, FALSE)"),"(LU006534.005); Default - Evaluate")</f>
        <v>(LU006534.005); Default - Evaluate</v>
      </c>
      <c r="T29" s="1" t="str">
        <f t="shared" si="5"/>
        <v>LU006534.006</v>
      </c>
      <c r="U29" s="15" t="str">
        <f ca="1">IFERROR(__xludf.dummyfunction("VLOOKUP(T29, IMPORTRANGE(""https://docs.google.com/spreadsheets/d/1yDAaXNsi4Mr5FtRQL4tbmSdIzhx6_m4wkOD7IG-k_eo/edit#gid=1336395716"", ""Science!M:N""), 2, FALSE)"),"(LU006534.006); Default - Create")</f>
        <v>(LU006534.006); Default - Create</v>
      </c>
      <c r="V29" s="113"/>
      <c r="W29" s="113"/>
      <c r="X29" s="113"/>
      <c r="Y29" s="113"/>
      <c r="Z29" s="113"/>
      <c r="AA29" s="113"/>
      <c r="AB29" s="113"/>
      <c r="AC29" s="113"/>
      <c r="AD29" s="113"/>
      <c r="AE29" s="113"/>
      <c r="AF29" s="113"/>
      <c r="AG29" s="113"/>
    </row>
    <row r="30" spans="1:33" ht="27.6">
      <c r="A30" s="111"/>
      <c r="B30" s="111" t="s">
        <v>29</v>
      </c>
      <c r="C30" s="111">
        <v>8</v>
      </c>
      <c r="D30" s="111" t="s">
        <v>1728</v>
      </c>
      <c r="E30" s="111" t="s">
        <v>1613</v>
      </c>
      <c r="F30" s="113" t="s">
        <v>1797</v>
      </c>
      <c r="G30" s="14" t="s">
        <v>1799</v>
      </c>
      <c r="H30" s="112" t="str">
        <f ca="1">IFERROR(__xludf.dummyfunction("IFERROR(
  VLOOKUP(G30, IMPORTRANGE(""https://docs.google.com/spreadsheets/d/14deopnvwcrKtEGCKuYXdUHJbeLDZlkiSSWWT0g7x2pM/edit#gid=849066331"", ""LU List Maths (Filter)!A:B""), 2, FALSE),
  IFERROR(
    VLOOKUP(G30, IMPORTRANGE(""https://docs.google.com/s"&amp;"preadsheets/d/14deopnvwcrKtEGCKuYXdUHJbeLDZlkiSSWWT0g7x2pM/edit#gid=849066331"", ""LU List Science (Filter)!A:B""), 2, FALSE),
    ""Not Found""
  )
)
"),"Reactivity Series")</f>
        <v>Reactivity Series</v>
      </c>
      <c r="I30" s="111"/>
      <c r="J30" s="1" t="str">
        <f t="shared" si="0"/>
        <v>LU006760.001</v>
      </c>
      <c r="K30" s="1" t="str">
        <f ca="1">IFERROR(__xludf.dummyfunction("VLOOKUP(J30, IMPORTRANGE(""https://docs.google.com/spreadsheets/d/1yDAaXNsi4Mr5FtRQL4tbmSdIzhx6_m4wkOD7IG-k_eo/edit#gid=1336395716"", ""Science!M:N""), 2, FALSE)"),"(LU006760.001); Default - Remember")</f>
        <v>(LU006760.001); Default - Remember</v>
      </c>
      <c r="L30" s="1" t="str">
        <f t="shared" si="1"/>
        <v>LU006760.002</v>
      </c>
      <c r="M30" s="1" t="str">
        <f ca="1">IFERROR(__xludf.dummyfunction("VLOOKUP(L30, IMPORTRANGE(""https://docs.google.com/spreadsheets/d/1yDAaXNsi4Mr5FtRQL4tbmSdIzhx6_m4wkOD7IG-k_eo/edit#gid=1336395716"", ""Science!M:N""), 2, FALSE)"),"(LU006760.002); Default - Understand")</f>
        <v>(LU006760.002); Default - Understand</v>
      </c>
      <c r="N30" s="1" t="str">
        <f t="shared" si="2"/>
        <v>LU006760.003</v>
      </c>
      <c r="O30" s="1" t="str">
        <f ca="1">IFERROR(__xludf.dummyfunction("VLOOKUP(N30, IMPORTRANGE(""https://docs.google.com/spreadsheets/d/1yDAaXNsi4Mr5FtRQL4tbmSdIzhx6_m4wkOD7IG-k_eo/edit#gid=1336395716"", ""Science!M:N""), 2, FALSE)"),"(LU006760.003); Default - Apply")</f>
        <v>(LU006760.003); Default - Apply</v>
      </c>
      <c r="P30" s="1" t="str">
        <f t="shared" si="3"/>
        <v>LU006760.004</v>
      </c>
      <c r="Q30" s="15" t="str">
        <f ca="1">IFERROR(__xludf.dummyfunction("VLOOKUP(P30, IMPORTRANGE(""https://docs.google.com/spreadsheets/d/1yDAaXNsi4Mr5FtRQL4tbmSdIzhx6_m4wkOD7IG-k_eo/edit#gid=1336395716"", ""Science!M:N""), 2, FALSE)"),"(LU006760.004); Default - Analyse")</f>
        <v>(LU006760.004); Default - Analyse</v>
      </c>
      <c r="R30" s="1" t="str">
        <f t="shared" si="4"/>
        <v>LU006760.005</v>
      </c>
      <c r="S30" s="15" t="str">
        <f ca="1">IFERROR(__xludf.dummyfunction("VLOOKUP(R30, IMPORTRANGE(""https://docs.google.com/spreadsheets/d/1yDAaXNsi4Mr5FtRQL4tbmSdIzhx6_m4wkOD7IG-k_eo/edit#gid=1336395716"", ""Science!M:N""), 2, FALSE)"),"(LU006760.005); Default - Evaluate")</f>
        <v>(LU006760.005); Default - Evaluate</v>
      </c>
      <c r="T30" s="1" t="str">
        <f t="shared" si="5"/>
        <v>LU006760.006</v>
      </c>
      <c r="U30" s="15" t="str">
        <f ca="1">IFERROR(__xludf.dummyfunction("VLOOKUP(T30, IMPORTRANGE(""https://docs.google.com/spreadsheets/d/1yDAaXNsi4Mr5FtRQL4tbmSdIzhx6_m4wkOD7IG-k_eo/edit#gid=1336395716"", ""Science!M:N""), 2, FALSE)"),"(LU006760.006); Default - Create")</f>
        <v>(LU006760.006); Default - Create</v>
      </c>
      <c r="V30" s="113"/>
      <c r="W30" s="113"/>
      <c r="X30" s="113"/>
      <c r="Y30" s="113"/>
      <c r="Z30" s="113"/>
      <c r="AA30" s="113"/>
      <c r="AB30" s="113"/>
      <c r="AC30" s="113"/>
      <c r="AD30" s="113"/>
      <c r="AE30" s="113"/>
      <c r="AF30" s="113"/>
      <c r="AG30" s="113"/>
    </row>
    <row r="31" spans="1:33" ht="41.4">
      <c r="A31" s="111"/>
      <c r="B31" s="111" t="s">
        <v>29</v>
      </c>
      <c r="C31" s="111">
        <v>8</v>
      </c>
      <c r="D31" s="111" t="s">
        <v>1728</v>
      </c>
      <c r="E31" s="111" t="s">
        <v>1613</v>
      </c>
      <c r="F31" s="113" t="s">
        <v>1797</v>
      </c>
      <c r="G31" s="1" t="s">
        <v>1800</v>
      </c>
      <c r="H31" s="112" t="str">
        <f ca="1">IFERROR(__xludf.dummyfunction("IFERROR(
  VLOOKUP(G31, IMPORTRANGE(""https://docs.google.com/spreadsheets/d/14deopnvwcrKtEGCKuYXdUHJbeLDZlkiSSWWT0g7x2pM/edit#gid=849066331"", ""LU List Maths (Filter)!A:B""), 2, FALSE),
  IFERROR(
    VLOOKUP(G31, IMPORTRANGE(""https://docs.google.com/s"&amp;"preadsheets/d/14deopnvwcrKtEGCKuYXdUHJbeLDZlkiSSWWT0g7x2pM/edit#gid=849066331"", ""LU List Science (Filter)!A:B""), 2, FALSE),
    ""Not Found""
  )
)
"),"Double Displacement Reactions (including precipitation reactions)")</f>
        <v>Double Displacement Reactions (including precipitation reactions)</v>
      </c>
      <c r="I31" s="111" t="s">
        <v>1730</v>
      </c>
      <c r="J31" s="1" t="str">
        <f t="shared" si="0"/>
        <v>LU006535.001</v>
      </c>
      <c r="K31" s="1" t="str">
        <f ca="1">IFERROR(__xludf.dummyfunction("VLOOKUP(J31, IMPORTRANGE(""https://docs.google.com/spreadsheets/d/1yDAaXNsi4Mr5FtRQL4tbmSdIzhx6_m4wkOD7IG-k_eo/edit#gid=1336395716"", ""Science!M:N""), 2, FALSE)"),"(LU006535.001); Default - Remember")</f>
        <v>(LU006535.001); Default - Remember</v>
      </c>
      <c r="L31" s="1" t="str">
        <f t="shared" si="1"/>
        <v>LU006535.002</v>
      </c>
      <c r="M31" s="1" t="str">
        <f ca="1">IFERROR(__xludf.dummyfunction("VLOOKUP(L31, IMPORTRANGE(""https://docs.google.com/spreadsheets/d/1yDAaXNsi4Mr5FtRQL4tbmSdIzhx6_m4wkOD7IG-k_eo/edit#gid=1336395716"", ""Science!M:N""), 2, FALSE)"),"(LU006535.002); Default - Understand")</f>
        <v>(LU006535.002); Default - Understand</v>
      </c>
      <c r="N31" s="1" t="str">
        <f t="shared" si="2"/>
        <v>LU006535.003</v>
      </c>
      <c r="O31" s="1" t="str">
        <f ca="1">IFERROR(__xludf.dummyfunction("VLOOKUP(N31, IMPORTRANGE(""https://docs.google.com/spreadsheets/d/1yDAaXNsi4Mr5FtRQL4tbmSdIzhx6_m4wkOD7IG-k_eo/edit#gid=1336395716"", ""Science!M:N""), 2, FALSE)"),"(LU006535.003); Default - Apply")</f>
        <v>(LU006535.003); Default - Apply</v>
      </c>
      <c r="P31" s="1" t="str">
        <f t="shared" si="3"/>
        <v>LU006535.004</v>
      </c>
      <c r="Q31" s="15" t="str">
        <f ca="1">IFERROR(__xludf.dummyfunction("VLOOKUP(P31, IMPORTRANGE(""https://docs.google.com/spreadsheets/d/1yDAaXNsi4Mr5FtRQL4tbmSdIzhx6_m4wkOD7IG-k_eo/edit#gid=1336395716"", ""Science!M:N""), 2, FALSE)"),"(LU006535.004); Default - Analyse")</f>
        <v>(LU006535.004); Default - Analyse</v>
      </c>
      <c r="R31" s="1" t="str">
        <f t="shared" si="4"/>
        <v>LU006535.005</v>
      </c>
      <c r="S31" s="15" t="str">
        <f ca="1">IFERROR(__xludf.dummyfunction("VLOOKUP(R31, IMPORTRANGE(""https://docs.google.com/spreadsheets/d/1yDAaXNsi4Mr5FtRQL4tbmSdIzhx6_m4wkOD7IG-k_eo/edit#gid=1336395716"", ""Science!M:N""), 2, FALSE)"),"(LU006535.005); Default - Evaluate")</f>
        <v>(LU006535.005); Default - Evaluate</v>
      </c>
      <c r="T31" s="1" t="str">
        <f t="shared" si="5"/>
        <v>LU006535.006</v>
      </c>
      <c r="U31" s="15" t="str">
        <f ca="1">IFERROR(__xludf.dummyfunction("VLOOKUP(T31, IMPORTRANGE(""https://docs.google.com/spreadsheets/d/1yDAaXNsi4Mr5FtRQL4tbmSdIzhx6_m4wkOD7IG-k_eo/edit#gid=1336395716"", ""Science!M:N""), 2, FALSE)"),"(LU006535.006); Default - Create")</f>
        <v>(LU006535.006); Default - Create</v>
      </c>
      <c r="V31" s="113"/>
      <c r="W31" s="113"/>
      <c r="X31" s="113"/>
      <c r="Y31" s="113"/>
      <c r="Z31" s="113"/>
      <c r="AA31" s="113"/>
      <c r="AB31" s="113"/>
      <c r="AC31" s="113"/>
      <c r="AD31" s="113"/>
      <c r="AE31" s="113"/>
      <c r="AF31" s="113"/>
      <c r="AG31" s="113"/>
    </row>
    <row r="32" spans="1:33" ht="41.4">
      <c r="A32" s="111"/>
      <c r="B32" s="111" t="s">
        <v>29</v>
      </c>
      <c r="C32" s="111">
        <v>8</v>
      </c>
      <c r="D32" s="111" t="s">
        <v>1728</v>
      </c>
      <c r="E32" s="111" t="s">
        <v>1613</v>
      </c>
      <c r="F32" s="113" t="s">
        <v>1801</v>
      </c>
      <c r="G32" s="1" t="s">
        <v>1802</v>
      </c>
      <c r="H32" s="112" t="str">
        <f ca="1">IFERROR(__xludf.dummyfunction("IFERROR(
  VLOOKUP(G32, IMPORTRANGE(""https://docs.google.com/spreadsheets/d/14deopnvwcrKtEGCKuYXdUHJbeLDZlkiSSWWT0g7x2pM/edit#gid=849066331"", ""LU List Maths (Filter)!A:B""), 2, FALSE),
  IFERROR(
    VLOOKUP(G32, IMPORTRANGE(""https://docs.google.com/s"&amp;"preadsheets/d/14deopnvwcrKtEGCKuYXdUHJbeLDZlkiSSWWT0g7x2pM/edit#gid=849066331"", ""LU List Science (Filter)!A:B""), 2, FALSE),
    ""Not Found""
  )
)
"),"Reaction of metal carbonates and metal bicarbonates with acids")</f>
        <v>Reaction of metal carbonates and metal bicarbonates with acids</v>
      </c>
      <c r="I32" s="111" t="s">
        <v>1730</v>
      </c>
      <c r="J32" s="1" t="str">
        <f t="shared" si="0"/>
        <v>LU006541.001</v>
      </c>
      <c r="K32" s="1" t="str">
        <f ca="1">IFERROR(__xludf.dummyfunction("VLOOKUP(J32, IMPORTRANGE(""https://docs.google.com/spreadsheets/d/1yDAaXNsi4Mr5FtRQL4tbmSdIzhx6_m4wkOD7IG-k_eo/edit#gid=1336395716"", ""Science!M:N""), 2, FALSE)"),"(LU006541.001); Default - Remember")</f>
        <v>(LU006541.001); Default - Remember</v>
      </c>
      <c r="L32" s="1" t="str">
        <f t="shared" si="1"/>
        <v>LU006541.002</v>
      </c>
      <c r="M32" s="1" t="str">
        <f ca="1">IFERROR(__xludf.dummyfunction("VLOOKUP(L32, IMPORTRANGE(""https://docs.google.com/spreadsheets/d/1yDAaXNsi4Mr5FtRQL4tbmSdIzhx6_m4wkOD7IG-k_eo/edit#gid=1336395716"", ""Science!M:N""), 2, FALSE)"),"(LU006541.002); Default - Understand")</f>
        <v>(LU006541.002); Default - Understand</v>
      </c>
      <c r="N32" s="1" t="str">
        <f t="shared" si="2"/>
        <v>LU006541.003</v>
      </c>
      <c r="O32" s="1" t="str">
        <f ca="1">IFERROR(__xludf.dummyfunction("VLOOKUP(N32, IMPORTRANGE(""https://docs.google.com/spreadsheets/d/1yDAaXNsi4Mr5FtRQL4tbmSdIzhx6_m4wkOD7IG-k_eo/edit#gid=1336395716"", ""Science!M:N""), 2, FALSE)"),"(LU006541.003); Default - Apply")</f>
        <v>(LU006541.003); Default - Apply</v>
      </c>
      <c r="P32" s="1" t="str">
        <f t="shared" si="3"/>
        <v>LU006541.004</v>
      </c>
      <c r="Q32" s="15" t="str">
        <f ca="1">IFERROR(__xludf.dummyfunction("VLOOKUP(P32, IMPORTRANGE(""https://docs.google.com/spreadsheets/d/1yDAaXNsi4Mr5FtRQL4tbmSdIzhx6_m4wkOD7IG-k_eo/edit#gid=1336395716"", ""Science!M:N""), 2, FALSE)"),"(LU006541.004); Default - Analyse")</f>
        <v>(LU006541.004); Default - Analyse</v>
      </c>
      <c r="R32" s="1" t="str">
        <f t="shared" si="4"/>
        <v>LU006541.005</v>
      </c>
      <c r="S32" s="15" t="str">
        <f ca="1">IFERROR(__xludf.dummyfunction("VLOOKUP(R32, IMPORTRANGE(""https://docs.google.com/spreadsheets/d/1yDAaXNsi4Mr5FtRQL4tbmSdIzhx6_m4wkOD7IG-k_eo/edit#gid=1336395716"", ""Science!M:N""), 2, FALSE)"),"(LU006541.005); Default - Evaluate")</f>
        <v>(LU006541.005); Default - Evaluate</v>
      </c>
      <c r="T32" s="1" t="str">
        <f t="shared" si="5"/>
        <v>LU006541.006</v>
      </c>
      <c r="U32" s="15" t="str">
        <f ca="1">IFERROR(__xludf.dummyfunction("VLOOKUP(T32, IMPORTRANGE(""https://docs.google.com/spreadsheets/d/1yDAaXNsi4Mr5FtRQL4tbmSdIzhx6_m4wkOD7IG-k_eo/edit#gid=1336395716"", ""Science!M:N""), 2, FALSE)"),"(LU006541.006); Default - Create")</f>
        <v>(LU006541.006); Default - Create</v>
      </c>
      <c r="V32" s="113"/>
      <c r="W32" s="113"/>
      <c r="X32" s="113"/>
      <c r="Y32" s="113"/>
      <c r="Z32" s="113"/>
      <c r="AA32" s="113"/>
      <c r="AB32" s="113"/>
      <c r="AC32" s="113"/>
      <c r="AD32" s="113"/>
      <c r="AE32" s="113"/>
      <c r="AF32" s="113"/>
      <c r="AG32" s="113"/>
    </row>
    <row r="33" spans="1:33" ht="41.4">
      <c r="A33" s="111"/>
      <c r="B33" s="111" t="s">
        <v>29</v>
      </c>
      <c r="C33" s="111">
        <v>8</v>
      </c>
      <c r="D33" s="111" t="s">
        <v>1728</v>
      </c>
      <c r="E33" s="111" t="s">
        <v>1613</v>
      </c>
      <c r="F33" s="113" t="s">
        <v>1801</v>
      </c>
      <c r="G33" s="1" t="s">
        <v>1803</v>
      </c>
      <c r="H33" s="112" t="str">
        <f ca="1">IFERROR(__xludf.dummyfunction("IFERROR(
  VLOOKUP(G33, IMPORTRANGE(""https://docs.google.com/spreadsheets/d/14deopnvwcrKtEGCKuYXdUHJbeLDZlkiSSWWT0g7x2pM/edit#gid=849066331"", ""LU List Maths (Filter)!A:B""), 2, FALSE),
  IFERROR(
    VLOOKUP(G33, IMPORTRANGE(""https://docs.google.com/s"&amp;"preadsheets/d/14deopnvwcrKtEGCKuYXdUHJbeLDZlkiSSWWT0g7x2pM/edit#gid=849066331"", ""LU List Science (Filter)!A:B""), 2, FALSE),
    ""Not Found""
  )
)
"),"Reaction of metallic and non-metallic oxides with acids and bases")</f>
        <v>Reaction of metallic and non-metallic oxides with acids and bases</v>
      </c>
      <c r="I33" s="111" t="s">
        <v>1730</v>
      </c>
      <c r="J33" s="1" t="str">
        <f t="shared" si="0"/>
        <v>LU006542.001</v>
      </c>
      <c r="K33" s="1" t="str">
        <f ca="1">IFERROR(__xludf.dummyfunction("VLOOKUP(J33, IMPORTRANGE(""https://docs.google.com/spreadsheets/d/1yDAaXNsi4Mr5FtRQL4tbmSdIzhx6_m4wkOD7IG-k_eo/edit#gid=1336395716"", ""Science!M:N""), 2, FALSE)"),"(LU006542.001); Default - Remember")</f>
        <v>(LU006542.001); Default - Remember</v>
      </c>
      <c r="L33" s="1" t="str">
        <f t="shared" si="1"/>
        <v>LU006542.002</v>
      </c>
      <c r="M33" s="1" t="str">
        <f ca="1">IFERROR(__xludf.dummyfunction("VLOOKUP(L33, IMPORTRANGE(""https://docs.google.com/spreadsheets/d/1yDAaXNsi4Mr5FtRQL4tbmSdIzhx6_m4wkOD7IG-k_eo/edit#gid=1336395716"", ""Science!M:N""), 2, FALSE)"),"(LU006542.002); Default - Understand")</f>
        <v>(LU006542.002); Default - Understand</v>
      </c>
      <c r="N33" s="1" t="str">
        <f t="shared" si="2"/>
        <v>LU006542.003</v>
      </c>
      <c r="O33" s="1" t="str">
        <f ca="1">IFERROR(__xludf.dummyfunction("VLOOKUP(N33, IMPORTRANGE(""https://docs.google.com/spreadsheets/d/1yDAaXNsi4Mr5FtRQL4tbmSdIzhx6_m4wkOD7IG-k_eo/edit#gid=1336395716"", ""Science!M:N""), 2, FALSE)"),"(LU006542.003); Default - Apply")</f>
        <v>(LU006542.003); Default - Apply</v>
      </c>
      <c r="P33" s="1" t="str">
        <f t="shared" si="3"/>
        <v>LU006542.004</v>
      </c>
      <c r="Q33" s="15" t="str">
        <f ca="1">IFERROR(__xludf.dummyfunction("VLOOKUP(P33, IMPORTRANGE(""https://docs.google.com/spreadsheets/d/1yDAaXNsi4Mr5FtRQL4tbmSdIzhx6_m4wkOD7IG-k_eo/edit#gid=1336395716"", ""Science!M:N""), 2, FALSE)"),"(LU006542.004); Default - Analyse")</f>
        <v>(LU006542.004); Default - Analyse</v>
      </c>
      <c r="R33" s="1" t="str">
        <f t="shared" si="4"/>
        <v>LU006542.005</v>
      </c>
      <c r="S33" s="15" t="str">
        <f ca="1">IFERROR(__xludf.dummyfunction("VLOOKUP(R33, IMPORTRANGE(""https://docs.google.com/spreadsheets/d/1yDAaXNsi4Mr5FtRQL4tbmSdIzhx6_m4wkOD7IG-k_eo/edit#gid=1336395716"", ""Science!M:N""), 2, FALSE)"),"(LU006542.005); Default - Evaluate")</f>
        <v>(LU006542.005); Default - Evaluate</v>
      </c>
      <c r="T33" s="1" t="str">
        <f t="shared" si="5"/>
        <v>LU006542.006</v>
      </c>
      <c r="U33" s="15" t="str">
        <f ca="1">IFERROR(__xludf.dummyfunction("VLOOKUP(T33, IMPORTRANGE(""https://docs.google.com/spreadsheets/d/1yDAaXNsi4Mr5FtRQL4tbmSdIzhx6_m4wkOD7IG-k_eo/edit#gid=1336395716"", ""Science!M:N""), 2, FALSE)"),"(LU006542.006); Default - Create")</f>
        <v>(LU006542.006); Default - Create</v>
      </c>
      <c r="V33" s="113"/>
      <c r="W33" s="113"/>
      <c r="X33" s="113"/>
      <c r="Y33" s="113"/>
      <c r="Z33" s="113"/>
      <c r="AA33" s="113"/>
      <c r="AB33" s="113"/>
      <c r="AC33" s="113"/>
      <c r="AD33" s="113"/>
      <c r="AE33" s="113"/>
      <c r="AF33" s="113"/>
      <c r="AG33" s="113"/>
    </row>
    <row r="34" spans="1:33" ht="27.6">
      <c r="A34" s="111"/>
      <c r="B34" s="111" t="s">
        <v>29</v>
      </c>
      <c r="C34" s="111">
        <v>8</v>
      </c>
      <c r="D34" s="111" t="s">
        <v>1728</v>
      </c>
      <c r="E34" s="111" t="s">
        <v>1613</v>
      </c>
      <c r="F34" s="113" t="s">
        <v>1801</v>
      </c>
      <c r="G34" s="14" t="s">
        <v>1804</v>
      </c>
      <c r="H34" s="112" t="str">
        <f ca="1">IFERROR(__xludf.dummyfunction("IFERROR(
  VLOOKUP(G34, IMPORTRANGE(""https://docs.google.com/spreadsheets/d/14deopnvwcrKtEGCKuYXdUHJbeLDZlkiSSWWT0g7x2pM/edit#gid=849066331"", ""LU List Maths (Filter)!A:B""), 2, FALSE),
  IFERROR(
    VLOOKUP(G34, IMPORTRANGE(""https://docs.google.com/s"&amp;"preadsheets/d/14deopnvwcrKtEGCKuYXdUHJbeLDZlkiSSWWT0g7x2pM/edit#gid=849066331"", ""LU List Science (Filter)!A:B""), 2, FALSE),
    ""Not Found""
  )
)
"),"Classification of Oxides")</f>
        <v>Classification of Oxides</v>
      </c>
      <c r="I34" s="111"/>
      <c r="J34" s="1" t="str">
        <f t="shared" ref="J34:J63" si="6">G34 &amp; ".001"</f>
        <v>LU006761.001</v>
      </c>
      <c r="K34" s="1" t="str">
        <f ca="1">IFERROR(__xludf.dummyfunction("VLOOKUP(J34, IMPORTRANGE(""https://docs.google.com/spreadsheets/d/1yDAaXNsi4Mr5FtRQL4tbmSdIzhx6_m4wkOD7IG-k_eo/edit#gid=1336395716"", ""Science!M:N""), 2, FALSE)"),"(LU006761.001); Default - Remember")</f>
        <v>(LU006761.001); Default - Remember</v>
      </c>
      <c r="L34" s="1" t="str">
        <f t="shared" ref="L34:L63" si="7">G34 &amp; ".002"</f>
        <v>LU006761.002</v>
      </c>
      <c r="M34" s="1" t="str">
        <f ca="1">IFERROR(__xludf.dummyfunction("VLOOKUP(L34, IMPORTRANGE(""https://docs.google.com/spreadsheets/d/1yDAaXNsi4Mr5FtRQL4tbmSdIzhx6_m4wkOD7IG-k_eo/edit#gid=1336395716"", ""Science!M:N""), 2, FALSE)"),"(LU006761.002); Default - Understand")</f>
        <v>(LU006761.002); Default - Understand</v>
      </c>
      <c r="N34" s="1" t="str">
        <f t="shared" ref="N34:N63" si="8">G34 &amp; ".003"</f>
        <v>LU006761.003</v>
      </c>
      <c r="O34" s="1" t="str">
        <f ca="1">IFERROR(__xludf.dummyfunction("VLOOKUP(N34, IMPORTRANGE(""https://docs.google.com/spreadsheets/d/1yDAaXNsi4Mr5FtRQL4tbmSdIzhx6_m4wkOD7IG-k_eo/edit#gid=1336395716"", ""Science!M:N""), 2, FALSE)"),"(LU006761.003); Default - Apply")</f>
        <v>(LU006761.003); Default - Apply</v>
      </c>
      <c r="P34" s="1" t="str">
        <f t="shared" ref="P34:P63" si="9">G34 &amp; ".004"</f>
        <v>LU006761.004</v>
      </c>
      <c r="Q34" s="15" t="str">
        <f ca="1">IFERROR(__xludf.dummyfunction("VLOOKUP(P34, IMPORTRANGE(""https://docs.google.com/spreadsheets/d/1yDAaXNsi4Mr5FtRQL4tbmSdIzhx6_m4wkOD7IG-k_eo/edit#gid=1336395716"", ""Science!M:N""), 2, FALSE)"),"(LU006761.004); Default - Analyse")</f>
        <v>(LU006761.004); Default - Analyse</v>
      </c>
      <c r="R34" s="1" t="str">
        <f t="shared" ref="R34:R63" si="10">G34 &amp; ".005"</f>
        <v>LU006761.005</v>
      </c>
      <c r="S34" s="15" t="str">
        <f ca="1">IFERROR(__xludf.dummyfunction("VLOOKUP(R34, IMPORTRANGE(""https://docs.google.com/spreadsheets/d/1yDAaXNsi4Mr5FtRQL4tbmSdIzhx6_m4wkOD7IG-k_eo/edit#gid=1336395716"", ""Science!M:N""), 2, FALSE)"),"(LU006761.005); Default - Evaluate")</f>
        <v>(LU006761.005); Default - Evaluate</v>
      </c>
      <c r="T34" s="1" t="str">
        <f t="shared" ref="T34:T63" si="11">G34 &amp; ".006"</f>
        <v>LU006761.006</v>
      </c>
      <c r="U34" s="15" t="str">
        <f ca="1">IFERROR(__xludf.dummyfunction("VLOOKUP(T34, IMPORTRANGE(""https://docs.google.com/spreadsheets/d/1yDAaXNsi4Mr5FtRQL4tbmSdIzhx6_m4wkOD7IG-k_eo/edit#gid=1336395716"", ""Science!M:N""), 2, FALSE)"),"(LU006761.006); Default - Create")</f>
        <v>(LU006761.006); Default - Create</v>
      </c>
      <c r="V34" s="113"/>
      <c r="W34" s="113"/>
      <c r="X34" s="113"/>
      <c r="Y34" s="113"/>
      <c r="Z34" s="113"/>
      <c r="AA34" s="113"/>
      <c r="AB34" s="113"/>
      <c r="AC34" s="113"/>
      <c r="AD34" s="113"/>
      <c r="AE34" s="113"/>
      <c r="AF34" s="113"/>
      <c r="AG34" s="113"/>
    </row>
    <row r="35" spans="1:33" ht="27.6">
      <c r="A35" s="111"/>
      <c r="B35" s="111" t="s">
        <v>29</v>
      </c>
      <c r="C35" s="111">
        <v>8</v>
      </c>
      <c r="D35" s="111" t="s">
        <v>1805</v>
      </c>
      <c r="E35" s="111" t="s">
        <v>1613</v>
      </c>
      <c r="F35" s="113" t="s">
        <v>1806</v>
      </c>
      <c r="G35" s="14" t="s">
        <v>1807</v>
      </c>
      <c r="H35" s="112" t="str">
        <f ca="1">IFERROR(__xludf.dummyfunction("IFERROR(
  VLOOKUP(G35, IMPORTRANGE(""https://docs.google.com/spreadsheets/d/14deopnvwcrKtEGCKuYXdUHJbeLDZlkiSSWWT0g7x2pM/edit#gid=849066331"", ""LU List Maths (Filter)!A:B""), 2, FALSE),
  IFERROR(
    VLOOKUP(G35, IMPORTRANGE(""https://docs.google.com/s"&amp;"preadsheets/d/14deopnvwcrKtEGCKuYXdUHJbeLDZlkiSSWWT0g7x2pM/edit#gid=849066331"", ""LU List Science (Filter)!A:B""), 2, FALSE),
    ""Not Found""
  )
)
"),"Electrolysis of Acidified Water")</f>
        <v>Electrolysis of Acidified Water</v>
      </c>
      <c r="I35" s="111"/>
      <c r="J35" s="1" t="str">
        <f t="shared" si="6"/>
        <v>LU006762.001</v>
      </c>
      <c r="K35" s="1" t="str">
        <f ca="1">IFERROR(__xludf.dummyfunction("VLOOKUP(J35, IMPORTRANGE(""https://docs.google.com/spreadsheets/d/1yDAaXNsi4Mr5FtRQL4tbmSdIzhx6_m4wkOD7IG-k_eo/edit#gid=1336395716"", ""Science!M:N""), 2, FALSE)"),"(LU006762.001); Default - Remember")</f>
        <v>(LU006762.001); Default - Remember</v>
      </c>
      <c r="L35" s="1" t="str">
        <f t="shared" si="7"/>
        <v>LU006762.002</v>
      </c>
      <c r="M35" s="1" t="str">
        <f ca="1">IFERROR(__xludf.dummyfunction("VLOOKUP(L35, IMPORTRANGE(""https://docs.google.com/spreadsheets/d/1yDAaXNsi4Mr5FtRQL4tbmSdIzhx6_m4wkOD7IG-k_eo/edit#gid=1336395716"", ""Science!M:N""), 2, FALSE)"),"(LU006762.002); Default - Understand")</f>
        <v>(LU006762.002); Default - Understand</v>
      </c>
      <c r="N35" s="1" t="str">
        <f t="shared" si="8"/>
        <v>LU006762.003</v>
      </c>
      <c r="O35" s="1" t="str">
        <f ca="1">IFERROR(__xludf.dummyfunction("VLOOKUP(N35, IMPORTRANGE(""https://docs.google.com/spreadsheets/d/1yDAaXNsi4Mr5FtRQL4tbmSdIzhx6_m4wkOD7IG-k_eo/edit#gid=1336395716"", ""Science!M:N""), 2, FALSE)"),"(LU006762.003); Default - Apply")</f>
        <v>(LU006762.003); Default - Apply</v>
      </c>
      <c r="P35" s="1" t="str">
        <f t="shared" si="9"/>
        <v>LU006762.004</v>
      </c>
      <c r="Q35" s="15" t="str">
        <f ca="1">IFERROR(__xludf.dummyfunction("VLOOKUP(P35, IMPORTRANGE(""https://docs.google.com/spreadsheets/d/1yDAaXNsi4Mr5FtRQL4tbmSdIzhx6_m4wkOD7IG-k_eo/edit#gid=1336395716"", ""Science!M:N""), 2, FALSE)"),"(LU006762.004); Default - Analyse")</f>
        <v>(LU006762.004); Default - Analyse</v>
      </c>
      <c r="R35" s="1" t="str">
        <f t="shared" si="10"/>
        <v>LU006762.005</v>
      </c>
      <c r="S35" s="15" t="str">
        <f ca="1">IFERROR(__xludf.dummyfunction("VLOOKUP(R35, IMPORTRANGE(""https://docs.google.com/spreadsheets/d/1yDAaXNsi4Mr5FtRQL4tbmSdIzhx6_m4wkOD7IG-k_eo/edit#gid=1336395716"", ""Science!M:N""), 2, FALSE)"),"(LU006762.005); Default - Evaluate")</f>
        <v>(LU006762.005); Default - Evaluate</v>
      </c>
      <c r="T35" s="1" t="str">
        <f t="shared" si="11"/>
        <v>LU006762.006</v>
      </c>
      <c r="U35" s="15" t="str">
        <f ca="1">IFERROR(__xludf.dummyfunction("VLOOKUP(T35, IMPORTRANGE(""https://docs.google.com/spreadsheets/d/1yDAaXNsi4Mr5FtRQL4tbmSdIzhx6_m4wkOD7IG-k_eo/edit#gid=1336395716"", ""Science!M:N""), 2, FALSE)"),"(LU006762.006); Default - Create")</f>
        <v>(LU006762.006); Default - Create</v>
      </c>
      <c r="V35" s="113"/>
      <c r="W35" s="113"/>
      <c r="X35" s="113"/>
      <c r="Y35" s="113"/>
      <c r="Z35" s="113"/>
      <c r="AA35" s="113"/>
      <c r="AB35" s="113"/>
      <c r="AC35" s="113"/>
      <c r="AD35" s="113"/>
      <c r="AE35" s="113"/>
      <c r="AF35" s="113"/>
      <c r="AG35" s="113"/>
    </row>
    <row r="36" spans="1:33" ht="27.6">
      <c r="A36" s="111"/>
      <c r="B36" s="111" t="s">
        <v>29</v>
      </c>
      <c r="C36" s="111">
        <v>8</v>
      </c>
      <c r="D36" s="111" t="s">
        <v>1805</v>
      </c>
      <c r="E36" s="111" t="s">
        <v>1613</v>
      </c>
      <c r="F36" s="113" t="s">
        <v>1806</v>
      </c>
      <c r="G36" s="14" t="s">
        <v>1808</v>
      </c>
      <c r="H36" s="112" t="str">
        <f ca="1">IFERROR(__xludf.dummyfunction("IFERROR(
  VLOOKUP(G36, IMPORTRANGE(""https://docs.google.com/spreadsheets/d/14deopnvwcrKtEGCKuYXdUHJbeLDZlkiSSWWT0g7x2pM/edit#gid=849066331"", ""LU List Maths (Filter)!A:B""), 2, FALSE),
  IFERROR(
    VLOOKUP(G36, IMPORTRANGE(""https://docs.google.com/s"&amp;"preadsheets/d/14deopnvwcrKtEGCKuYXdUHJbeLDZlkiSSWWT0g7x2pM/edit#gid=849066331"", ""LU List Science (Filter)!A:B""), 2, FALSE),
    ""Not Found""
  )
)
"),"Reaction of Zinc with Hydrogen")</f>
        <v>Reaction of Zinc with Hydrogen</v>
      </c>
      <c r="I36" s="111"/>
      <c r="J36" s="1" t="str">
        <f t="shared" si="6"/>
        <v>LU006763.001</v>
      </c>
      <c r="K36" s="1" t="str">
        <f ca="1">IFERROR(__xludf.dummyfunction("VLOOKUP(J36, IMPORTRANGE(""https://docs.google.com/spreadsheets/d/1yDAaXNsi4Mr5FtRQL4tbmSdIzhx6_m4wkOD7IG-k_eo/edit#gid=1336395716"", ""Science!M:N""), 2, FALSE)"),"(LU006763.001); Default - Remember")</f>
        <v>(LU006763.001); Default - Remember</v>
      </c>
      <c r="L36" s="1" t="str">
        <f t="shared" si="7"/>
        <v>LU006763.002</v>
      </c>
      <c r="M36" s="1" t="str">
        <f ca="1">IFERROR(__xludf.dummyfunction("VLOOKUP(L36, IMPORTRANGE(""https://docs.google.com/spreadsheets/d/1yDAaXNsi4Mr5FtRQL4tbmSdIzhx6_m4wkOD7IG-k_eo/edit#gid=1336395716"", ""Science!M:N""), 2, FALSE)"),"(LU006763.002); Default - Understand")</f>
        <v>(LU006763.002); Default - Understand</v>
      </c>
      <c r="N36" s="1" t="str">
        <f t="shared" si="8"/>
        <v>LU006763.003</v>
      </c>
      <c r="O36" s="1" t="str">
        <f ca="1">IFERROR(__xludf.dummyfunction("VLOOKUP(N36, IMPORTRANGE(""https://docs.google.com/spreadsheets/d/1yDAaXNsi4Mr5FtRQL4tbmSdIzhx6_m4wkOD7IG-k_eo/edit#gid=1336395716"", ""Science!M:N""), 2, FALSE)"),"(LU006763.003); Default - Apply")</f>
        <v>(LU006763.003); Default - Apply</v>
      </c>
      <c r="P36" s="1" t="str">
        <f t="shared" si="9"/>
        <v>LU006763.004</v>
      </c>
      <c r="Q36" s="15" t="str">
        <f ca="1">IFERROR(__xludf.dummyfunction("VLOOKUP(P36, IMPORTRANGE(""https://docs.google.com/spreadsheets/d/1yDAaXNsi4Mr5FtRQL4tbmSdIzhx6_m4wkOD7IG-k_eo/edit#gid=1336395716"", ""Science!M:N""), 2, FALSE)"),"(LU006763.004); Default - Analyse")</f>
        <v>(LU006763.004); Default - Analyse</v>
      </c>
      <c r="R36" s="1" t="str">
        <f t="shared" si="10"/>
        <v>LU006763.005</v>
      </c>
      <c r="S36" s="15" t="str">
        <f ca="1">IFERROR(__xludf.dummyfunction("VLOOKUP(R36, IMPORTRANGE(""https://docs.google.com/spreadsheets/d/1yDAaXNsi4Mr5FtRQL4tbmSdIzhx6_m4wkOD7IG-k_eo/edit#gid=1336395716"", ""Science!M:N""), 2, FALSE)"),"(LU006763.005); Default - Evaluate")</f>
        <v>(LU006763.005); Default - Evaluate</v>
      </c>
      <c r="T36" s="1" t="str">
        <f t="shared" si="11"/>
        <v>LU006763.006</v>
      </c>
      <c r="U36" s="15" t="str">
        <f ca="1">IFERROR(__xludf.dummyfunction("VLOOKUP(T36, IMPORTRANGE(""https://docs.google.com/spreadsheets/d/1yDAaXNsi4Mr5FtRQL4tbmSdIzhx6_m4wkOD7IG-k_eo/edit#gid=1336395716"", ""Science!M:N""), 2, FALSE)"),"(LU006763.006); Default - Create")</f>
        <v>(LU006763.006); Default - Create</v>
      </c>
      <c r="V36" s="113"/>
      <c r="W36" s="113"/>
      <c r="X36" s="113"/>
      <c r="Y36" s="113"/>
      <c r="Z36" s="113"/>
      <c r="AA36" s="113"/>
      <c r="AB36" s="113"/>
      <c r="AC36" s="113"/>
      <c r="AD36" s="113"/>
      <c r="AE36" s="113"/>
      <c r="AF36" s="113"/>
      <c r="AG36" s="113"/>
    </row>
    <row r="37" spans="1:33" ht="27.6">
      <c r="A37" s="111"/>
      <c r="B37" s="111" t="s">
        <v>29</v>
      </c>
      <c r="C37" s="111">
        <v>8</v>
      </c>
      <c r="D37" s="111" t="s">
        <v>1805</v>
      </c>
      <c r="E37" s="111" t="s">
        <v>1613</v>
      </c>
      <c r="F37" s="113" t="s">
        <v>1806</v>
      </c>
      <c r="G37" s="14" t="s">
        <v>1809</v>
      </c>
      <c r="H37" s="112" t="str">
        <f ca="1">IFERROR(__xludf.dummyfunction("IFERROR(
  VLOOKUP(G37, IMPORTRANGE(""https://docs.google.com/spreadsheets/d/14deopnvwcrKtEGCKuYXdUHJbeLDZlkiSSWWT0g7x2pM/edit#gid=849066331"", ""LU List Maths (Filter)!A:B""), 2, FALSE),
  IFERROR(
    VLOOKUP(G37, IMPORTRANGE(""https://docs.google.com/s"&amp;"preadsheets/d/14deopnvwcrKtEGCKuYXdUHJbeLDZlkiSSWWT0g7x2pM/edit#gid=849066331"", ""LU List Science (Filter)!A:B""), 2, FALSE),
    ""Not Found""
  )
)
"),"Bosch's Process for the Preparation of Hydrogen")</f>
        <v>Bosch's Process for the Preparation of Hydrogen</v>
      </c>
      <c r="I37" s="111"/>
      <c r="J37" s="1" t="str">
        <f t="shared" si="6"/>
        <v>LU006764.001</v>
      </c>
      <c r="K37" s="1" t="str">
        <f ca="1">IFERROR(__xludf.dummyfunction("VLOOKUP(J37, IMPORTRANGE(""https://docs.google.com/spreadsheets/d/1yDAaXNsi4Mr5FtRQL4tbmSdIzhx6_m4wkOD7IG-k_eo/edit#gid=1336395716"", ""Science!M:N""), 2, FALSE)"),"(LU006764.001); Default - Remember")</f>
        <v>(LU006764.001); Default - Remember</v>
      </c>
      <c r="L37" s="1" t="str">
        <f t="shared" si="7"/>
        <v>LU006764.002</v>
      </c>
      <c r="M37" s="1" t="str">
        <f ca="1">IFERROR(__xludf.dummyfunction("VLOOKUP(L37, IMPORTRANGE(""https://docs.google.com/spreadsheets/d/1yDAaXNsi4Mr5FtRQL4tbmSdIzhx6_m4wkOD7IG-k_eo/edit#gid=1336395716"", ""Science!M:N""), 2, FALSE)"),"(LU006764.002); Default - Understand")</f>
        <v>(LU006764.002); Default - Understand</v>
      </c>
      <c r="N37" s="1" t="str">
        <f t="shared" si="8"/>
        <v>LU006764.003</v>
      </c>
      <c r="O37" s="1" t="str">
        <f ca="1">IFERROR(__xludf.dummyfunction("VLOOKUP(N37, IMPORTRANGE(""https://docs.google.com/spreadsheets/d/1yDAaXNsi4Mr5FtRQL4tbmSdIzhx6_m4wkOD7IG-k_eo/edit#gid=1336395716"", ""Science!M:N""), 2, FALSE)"),"(LU006764.003); Default - Apply")</f>
        <v>(LU006764.003); Default - Apply</v>
      </c>
      <c r="P37" s="1" t="str">
        <f t="shared" si="9"/>
        <v>LU006764.004</v>
      </c>
      <c r="Q37" s="15" t="str">
        <f ca="1">IFERROR(__xludf.dummyfunction("VLOOKUP(P37, IMPORTRANGE(""https://docs.google.com/spreadsheets/d/1yDAaXNsi4Mr5FtRQL4tbmSdIzhx6_m4wkOD7IG-k_eo/edit#gid=1336395716"", ""Science!M:N""), 2, FALSE)"),"(LU006764.004); Default - Analyse")</f>
        <v>(LU006764.004); Default - Analyse</v>
      </c>
      <c r="R37" s="1" t="str">
        <f t="shared" si="10"/>
        <v>LU006764.005</v>
      </c>
      <c r="S37" s="15" t="str">
        <f ca="1">IFERROR(__xludf.dummyfunction("VLOOKUP(R37, IMPORTRANGE(""https://docs.google.com/spreadsheets/d/1yDAaXNsi4Mr5FtRQL4tbmSdIzhx6_m4wkOD7IG-k_eo/edit#gid=1336395716"", ""Science!M:N""), 2, FALSE)"),"(LU006764.005); Default - Evaluate")</f>
        <v>(LU006764.005); Default - Evaluate</v>
      </c>
      <c r="T37" s="1" t="str">
        <f t="shared" si="11"/>
        <v>LU006764.006</v>
      </c>
      <c r="U37" s="15" t="str">
        <f ca="1">IFERROR(__xludf.dummyfunction("VLOOKUP(T37, IMPORTRANGE(""https://docs.google.com/spreadsheets/d/1yDAaXNsi4Mr5FtRQL4tbmSdIzhx6_m4wkOD7IG-k_eo/edit#gid=1336395716"", ""Science!M:N""), 2, FALSE)"),"(LU006764.006); Default - Create")</f>
        <v>(LU006764.006); Default - Create</v>
      </c>
      <c r="V37" s="113"/>
      <c r="W37" s="113"/>
      <c r="X37" s="113"/>
      <c r="Y37" s="113"/>
      <c r="Z37" s="113"/>
      <c r="AA37" s="113"/>
      <c r="AB37" s="113"/>
      <c r="AC37" s="113"/>
      <c r="AD37" s="113"/>
      <c r="AE37" s="113"/>
      <c r="AF37" s="113"/>
      <c r="AG37" s="113"/>
    </row>
    <row r="38" spans="1:33" ht="27.6">
      <c r="A38" s="111"/>
      <c r="B38" s="111" t="s">
        <v>29</v>
      </c>
      <c r="C38" s="111">
        <v>8</v>
      </c>
      <c r="D38" s="111" t="s">
        <v>1805</v>
      </c>
      <c r="E38" s="111" t="s">
        <v>1613</v>
      </c>
      <c r="F38" s="113" t="s">
        <v>1810</v>
      </c>
      <c r="G38" s="14" t="s">
        <v>1811</v>
      </c>
      <c r="H38" s="112" t="str">
        <f ca="1">IFERROR(__xludf.dummyfunction("IFERROR(
  VLOOKUP(G38, IMPORTRANGE(""https://docs.google.com/spreadsheets/d/14deopnvwcrKtEGCKuYXdUHJbeLDZlkiSSWWT0g7x2pM/edit#gid=849066331"", ""LU List Maths (Filter)!A:B""), 2, FALSE),
  IFERROR(
    VLOOKUP(G38, IMPORTRANGE(""https://docs.google.com/s"&amp;"preadsheets/d/14deopnvwcrKtEGCKuYXdUHJbeLDZlkiSSWWT0g7x2pM/edit#gid=849066331"", ""LU List Science (Filter)!A:B""), 2, FALSE),
    ""Not Found""
  )
)
"),"Properties and Uses of Hydrogen")</f>
        <v>Properties and Uses of Hydrogen</v>
      </c>
      <c r="I38" s="111"/>
      <c r="J38" s="1" t="str">
        <f t="shared" si="6"/>
        <v>LU006765.001</v>
      </c>
      <c r="K38" s="1" t="str">
        <f ca="1">IFERROR(__xludf.dummyfunction("VLOOKUP(J38, IMPORTRANGE(""https://docs.google.com/spreadsheets/d/1yDAaXNsi4Mr5FtRQL4tbmSdIzhx6_m4wkOD7IG-k_eo/edit#gid=1336395716"", ""Science!M:N""), 2, FALSE)"),"(LU006765.001); Default - Remember")</f>
        <v>(LU006765.001); Default - Remember</v>
      </c>
      <c r="L38" s="1" t="str">
        <f t="shared" si="7"/>
        <v>LU006765.002</v>
      </c>
      <c r="M38" s="1" t="str">
        <f ca="1">IFERROR(__xludf.dummyfunction("VLOOKUP(L38, IMPORTRANGE(""https://docs.google.com/spreadsheets/d/1yDAaXNsi4Mr5FtRQL4tbmSdIzhx6_m4wkOD7IG-k_eo/edit#gid=1336395716"", ""Science!M:N""), 2, FALSE)"),"(LU006765.002); Default - Understand")</f>
        <v>(LU006765.002); Default - Understand</v>
      </c>
      <c r="N38" s="1" t="str">
        <f t="shared" si="8"/>
        <v>LU006765.003</v>
      </c>
      <c r="O38" s="1" t="str">
        <f ca="1">IFERROR(__xludf.dummyfunction("VLOOKUP(N38, IMPORTRANGE(""https://docs.google.com/spreadsheets/d/1yDAaXNsi4Mr5FtRQL4tbmSdIzhx6_m4wkOD7IG-k_eo/edit#gid=1336395716"", ""Science!M:N""), 2, FALSE)"),"(LU006765.003); Default - Apply")</f>
        <v>(LU006765.003); Default - Apply</v>
      </c>
      <c r="P38" s="1" t="str">
        <f t="shared" si="9"/>
        <v>LU006765.004</v>
      </c>
      <c r="Q38" s="15" t="str">
        <f ca="1">IFERROR(__xludf.dummyfunction("VLOOKUP(P38, IMPORTRANGE(""https://docs.google.com/spreadsheets/d/1yDAaXNsi4Mr5FtRQL4tbmSdIzhx6_m4wkOD7IG-k_eo/edit#gid=1336395716"", ""Science!M:N""), 2, FALSE)"),"(LU006765.004); Default - Analyse")</f>
        <v>(LU006765.004); Default - Analyse</v>
      </c>
      <c r="R38" s="1" t="str">
        <f t="shared" si="10"/>
        <v>LU006765.005</v>
      </c>
      <c r="S38" s="15" t="str">
        <f ca="1">IFERROR(__xludf.dummyfunction("VLOOKUP(R38, IMPORTRANGE(""https://docs.google.com/spreadsheets/d/1yDAaXNsi4Mr5FtRQL4tbmSdIzhx6_m4wkOD7IG-k_eo/edit#gid=1336395716"", ""Science!M:N""), 2, FALSE)"),"(LU006765.005); Default - Evaluate")</f>
        <v>(LU006765.005); Default - Evaluate</v>
      </c>
      <c r="T38" s="1" t="str">
        <f t="shared" si="11"/>
        <v>LU006765.006</v>
      </c>
      <c r="U38" s="15" t="str">
        <f ca="1">IFERROR(__xludf.dummyfunction("VLOOKUP(T38, IMPORTRANGE(""https://docs.google.com/spreadsheets/d/1yDAaXNsi4Mr5FtRQL4tbmSdIzhx6_m4wkOD7IG-k_eo/edit#gid=1336395716"", ""Science!M:N""), 2, FALSE)"),"(LU006765.006); Default - Create")</f>
        <v>(LU006765.006); Default - Create</v>
      </c>
      <c r="V38" s="113"/>
      <c r="W38" s="113"/>
      <c r="X38" s="113"/>
      <c r="Y38" s="113"/>
      <c r="Z38" s="113"/>
      <c r="AA38" s="113"/>
      <c r="AB38" s="113"/>
      <c r="AC38" s="113"/>
      <c r="AD38" s="113"/>
      <c r="AE38" s="113"/>
      <c r="AF38" s="113"/>
      <c r="AG38" s="113"/>
    </row>
    <row r="39" spans="1:33" ht="27.6">
      <c r="A39" s="111"/>
      <c r="B39" s="111" t="s">
        <v>29</v>
      </c>
      <c r="C39" s="111">
        <v>8</v>
      </c>
      <c r="D39" s="111" t="s">
        <v>1805</v>
      </c>
      <c r="E39" s="111" t="s">
        <v>1613</v>
      </c>
      <c r="F39" s="113" t="s">
        <v>1812</v>
      </c>
      <c r="G39" s="14" t="s">
        <v>1813</v>
      </c>
      <c r="H39" s="112" t="str">
        <f ca="1">IFERROR(__xludf.dummyfunction("IFERROR(
  VLOOKUP(G39, IMPORTRANGE(""https://docs.google.com/spreadsheets/d/14deopnvwcrKtEGCKuYXdUHJbeLDZlkiSSWWT0g7x2pM/edit#gid=849066331"", ""LU List Maths (Filter)!A:B""), 2, FALSE),
  IFERROR(
    VLOOKUP(G39, IMPORTRANGE(""https://docs.google.com/s"&amp;"preadsheets/d/14deopnvwcrKtEGCKuYXdUHJbeLDZlkiSSWWT0g7x2pM/edit#gid=849066331"", ""LU List Science (Filter)!A:B""), 2, FALSE),
    ""Not Found""
  )
)
"),"Introduction to Oxidation and Reduction Reaction")</f>
        <v>Introduction to Oxidation and Reduction Reaction</v>
      </c>
      <c r="I39" s="111"/>
      <c r="J39" s="1" t="str">
        <f t="shared" si="6"/>
        <v>LU006766.001</v>
      </c>
      <c r="K39" s="1" t="str">
        <f ca="1">IFERROR(__xludf.dummyfunction("VLOOKUP(J39, IMPORTRANGE(""https://docs.google.com/spreadsheets/d/1yDAaXNsi4Mr5FtRQL4tbmSdIzhx6_m4wkOD7IG-k_eo/edit#gid=1336395716"", ""Science!M:N""), 2, FALSE)"),"(LU006766.001); Default - Remember")</f>
        <v>(LU006766.001); Default - Remember</v>
      </c>
      <c r="L39" s="1" t="str">
        <f t="shared" si="7"/>
        <v>LU006766.002</v>
      </c>
      <c r="M39" s="1" t="str">
        <f ca="1">IFERROR(__xludf.dummyfunction("VLOOKUP(L39, IMPORTRANGE(""https://docs.google.com/spreadsheets/d/1yDAaXNsi4Mr5FtRQL4tbmSdIzhx6_m4wkOD7IG-k_eo/edit#gid=1336395716"", ""Science!M:N""), 2, FALSE)"),"(LU006766.002); Default - Understand")</f>
        <v>(LU006766.002); Default - Understand</v>
      </c>
      <c r="N39" s="1" t="str">
        <f t="shared" si="8"/>
        <v>LU006766.003</v>
      </c>
      <c r="O39" s="1" t="str">
        <f ca="1">IFERROR(__xludf.dummyfunction("VLOOKUP(N39, IMPORTRANGE(""https://docs.google.com/spreadsheets/d/1yDAaXNsi4Mr5FtRQL4tbmSdIzhx6_m4wkOD7IG-k_eo/edit#gid=1336395716"", ""Science!M:N""), 2, FALSE)"),"(LU006766.003); Default - Apply")</f>
        <v>(LU006766.003); Default - Apply</v>
      </c>
      <c r="P39" s="1" t="str">
        <f t="shared" si="9"/>
        <v>LU006766.004</v>
      </c>
      <c r="Q39" s="15" t="str">
        <f ca="1">IFERROR(__xludf.dummyfunction("VLOOKUP(P39, IMPORTRANGE(""https://docs.google.com/spreadsheets/d/1yDAaXNsi4Mr5FtRQL4tbmSdIzhx6_m4wkOD7IG-k_eo/edit#gid=1336395716"", ""Science!M:N""), 2, FALSE)"),"(LU006766.004); Default - Analyse")</f>
        <v>(LU006766.004); Default - Analyse</v>
      </c>
      <c r="R39" s="1" t="str">
        <f t="shared" si="10"/>
        <v>LU006766.005</v>
      </c>
      <c r="S39" s="15" t="str">
        <f ca="1">IFERROR(__xludf.dummyfunction("VLOOKUP(R39, IMPORTRANGE(""https://docs.google.com/spreadsheets/d/1yDAaXNsi4Mr5FtRQL4tbmSdIzhx6_m4wkOD7IG-k_eo/edit#gid=1336395716"", ""Science!M:N""), 2, FALSE)"),"(LU006766.005); Default - Evaluate")</f>
        <v>(LU006766.005); Default - Evaluate</v>
      </c>
      <c r="T39" s="1" t="str">
        <f t="shared" si="11"/>
        <v>LU006766.006</v>
      </c>
      <c r="U39" s="15" t="str">
        <f ca="1">IFERROR(__xludf.dummyfunction("VLOOKUP(T39, IMPORTRANGE(""https://docs.google.com/spreadsheets/d/1yDAaXNsi4Mr5FtRQL4tbmSdIzhx6_m4wkOD7IG-k_eo/edit#gid=1336395716"", ""Science!M:N""), 2, FALSE)"),"(LU006766.006); Default - Create")</f>
        <v>(LU006766.006); Default - Create</v>
      </c>
      <c r="V39" s="113"/>
      <c r="W39" s="113"/>
      <c r="X39" s="113"/>
      <c r="Y39" s="113"/>
      <c r="Z39" s="113"/>
      <c r="AA39" s="113"/>
      <c r="AB39" s="113"/>
      <c r="AC39" s="113"/>
      <c r="AD39" s="113"/>
      <c r="AE39" s="113"/>
      <c r="AF39" s="113"/>
      <c r="AG39" s="113"/>
    </row>
    <row r="40" spans="1:33" ht="27.6">
      <c r="A40" s="111"/>
      <c r="B40" s="111" t="s">
        <v>29</v>
      </c>
      <c r="C40" s="111">
        <v>8</v>
      </c>
      <c r="D40" s="111" t="s">
        <v>1648</v>
      </c>
      <c r="E40" s="111" t="s">
        <v>1613</v>
      </c>
      <c r="F40" s="113" t="s">
        <v>1814</v>
      </c>
      <c r="G40" s="14" t="s">
        <v>1815</v>
      </c>
      <c r="H40" s="112" t="str">
        <f ca="1">IFERROR(__xludf.dummyfunction("IFERROR(
  VLOOKUP(G40, IMPORTRANGE(""https://docs.google.com/spreadsheets/d/14deopnvwcrKtEGCKuYXdUHJbeLDZlkiSSWWT0g7x2pM/edit#gid=849066331"", ""LU List Maths (Filter)!A:B""), 2, FALSE),
  IFERROR(
    VLOOKUP(G40, IMPORTRANGE(""https://docs.google.com/s"&amp;"preadsheets/d/14deopnvwcrKtEGCKuYXdUHJbeLDZlkiSSWWT0g7x2pM/edit#gid=849066331"", ""LU List Science (Filter)!A:B""), 2, FALSE),
    ""Not Found""
  )
)
"),"Dissolution of Salts in Water")</f>
        <v>Dissolution of Salts in Water</v>
      </c>
      <c r="I40" s="111"/>
      <c r="J40" s="1" t="str">
        <f t="shared" si="6"/>
        <v>LU006767.001</v>
      </c>
      <c r="K40" s="1" t="str">
        <f ca="1">IFERROR(__xludf.dummyfunction("VLOOKUP(J40, IMPORTRANGE(""https://docs.google.com/spreadsheets/d/1yDAaXNsi4Mr5FtRQL4tbmSdIzhx6_m4wkOD7IG-k_eo/edit#gid=1336395716"", ""Science!M:N""), 2, FALSE)"),"(LU006767.001); Default - Remember")</f>
        <v>(LU006767.001); Default - Remember</v>
      </c>
      <c r="L40" s="1" t="str">
        <f t="shared" si="7"/>
        <v>LU006767.002</v>
      </c>
      <c r="M40" s="1" t="str">
        <f ca="1">IFERROR(__xludf.dummyfunction("VLOOKUP(L40, IMPORTRANGE(""https://docs.google.com/spreadsheets/d/1yDAaXNsi4Mr5FtRQL4tbmSdIzhx6_m4wkOD7IG-k_eo/edit#gid=1336395716"", ""Science!M:N""), 2, FALSE)"),"(LU006767.002); Default - Understand")</f>
        <v>(LU006767.002); Default - Understand</v>
      </c>
      <c r="N40" s="1" t="str">
        <f t="shared" si="8"/>
        <v>LU006767.003</v>
      </c>
      <c r="O40" s="1" t="str">
        <f ca="1">IFERROR(__xludf.dummyfunction("VLOOKUP(N40, IMPORTRANGE(""https://docs.google.com/spreadsheets/d/1yDAaXNsi4Mr5FtRQL4tbmSdIzhx6_m4wkOD7IG-k_eo/edit#gid=1336395716"", ""Science!M:N""), 2, FALSE)"),"(LU006767.003); Default - Apply")</f>
        <v>(LU006767.003); Default - Apply</v>
      </c>
      <c r="P40" s="1" t="str">
        <f t="shared" si="9"/>
        <v>LU006767.004</v>
      </c>
      <c r="Q40" s="15" t="str">
        <f ca="1">IFERROR(__xludf.dummyfunction("VLOOKUP(P40, IMPORTRANGE(""https://docs.google.com/spreadsheets/d/1yDAaXNsi4Mr5FtRQL4tbmSdIzhx6_m4wkOD7IG-k_eo/edit#gid=1336395716"", ""Science!M:N""), 2, FALSE)"),"(LU006767.004); Default - Analyse")</f>
        <v>(LU006767.004); Default - Analyse</v>
      </c>
      <c r="R40" s="1" t="str">
        <f t="shared" si="10"/>
        <v>LU006767.005</v>
      </c>
      <c r="S40" s="15" t="str">
        <f ca="1">IFERROR(__xludf.dummyfunction("VLOOKUP(R40, IMPORTRANGE(""https://docs.google.com/spreadsheets/d/1yDAaXNsi4Mr5FtRQL4tbmSdIzhx6_m4wkOD7IG-k_eo/edit#gid=1336395716"", ""Science!M:N""), 2, FALSE)"),"(LU006767.005); Default - Evaluate")</f>
        <v>(LU006767.005); Default - Evaluate</v>
      </c>
      <c r="T40" s="1" t="str">
        <f t="shared" si="11"/>
        <v>LU006767.006</v>
      </c>
      <c r="U40" s="15" t="str">
        <f ca="1">IFERROR(__xludf.dummyfunction("VLOOKUP(T40, IMPORTRANGE(""https://docs.google.com/spreadsheets/d/1yDAaXNsi4Mr5FtRQL4tbmSdIzhx6_m4wkOD7IG-k_eo/edit#gid=1336395716"", ""Science!M:N""), 2, FALSE)"),"(LU006767.006); Default - Create")</f>
        <v>(LU006767.006); Default - Create</v>
      </c>
      <c r="V40" s="113"/>
      <c r="W40" s="113"/>
      <c r="X40" s="113"/>
      <c r="Y40" s="113"/>
      <c r="Z40" s="113"/>
      <c r="AA40" s="113"/>
      <c r="AB40" s="113"/>
      <c r="AC40" s="113"/>
      <c r="AD40" s="113"/>
      <c r="AE40" s="113"/>
      <c r="AF40" s="113"/>
      <c r="AG40" s="113"/>
    </row>
    <row r="41" spans="1:33" ht="69">
      <c r="A41" s="111"/>
      <c r="B41" s="111" t="s">
        <v>29</v>
      </c>
      <c r="C41" s="111">
        <v>8</v>
      </c>
      <c r="D41" s="111" t="s">
        <v>1648</v>
      </c>
      <c r="E41" s="111" t="s">
        <v>1613</v>
      </c>
      <c r="F41" s="113" t="s">
        <v>1814</v>
      </c>
      <c r="G41" s="111" t="s">
        <v>1816</v>
      </c>
      <c r="H41" s="112" t="str">
        <f ca="1">IFERROR(__xludf.dummyfunction("IFERROR(
  VLOOKUP(G41, IMPORTRANGE(""https://docs.google.com/spreadsheets/d/14deopnvwcrKtEGCKuYXdUHJbeLDZlkiSSWWT0g7x2pM/edit#gid=849066331"", ""LU List Maths (Filter)!A:B""), 2, FALSE),
  IFERROR(
    VLOOKUP(G41, IMPORTRANGE(""https://docs.google.com/s"&amp;"preadsheets/d/14deopnvwcrKtEGCKuYXdUHJbeLDZlkiSSWWT0g7x2pM/edit#gid=849066331"", ""LU List Science (Filter)!A:B""), 2, FALSE),
    ""Not Found""
  )
)
"),"Solution and Its Properties")</f>
        <v>Solution and Its Properties</v>
      </c>
      <c r="I41" s="111" t="s">
        <v>1633</v>
      </c>
      <c r="J41" s="1" t="str">
        <f t="shared" si="6"/>
        <v>LU006210.001</v>
      </c>
      <c r="K41" s="1" t="str">
        <f ca="1">IFERROR(__xludf.dummyfunction("VLOOKUP(J41, IMPORTRANGE(""https://docs.google.com/spreadsheets/d/1yDAaXNsi4Mr5FtRQL4tbmSdIzhx6_m4wkOD7IG-k_eo/edit#gid=1336395716"", ""Science!M:N""), 2, FALSE)"),"Define what a solution is and identify its components.")</f>
        <v>Define what a solution is and identify its components.</v>
      </c>
      <c r="L41" s="1" t="str">
        <f t="shared" si="7"/>
        <v>LU006210.002</v>
      </c>
      <c r="M41" s="1" t="str">
        <f ca="1">IFERROR(__xludf.dummyfunction("VLOOKUP(L41, IMPORTRANGE(""https://docs.google.com/spreadsheets/d/1yDAaXNsi4Mr5FtRQL4tbmSdIzhx6_m4wkOD7IG-k_eo/edit#gid=1336395716"", ""Science!M:N""), 2, FALSE)"),"Explain the roles of solvent and solute in a solution.")</f>
        <v>Explain the roles of solvent and solute in a solution.</v>
      </c>
      <c r="N41" s="1" t="str">
        <f t="shared" si="8"/>
        <v>LU006210.003</v>
      </c>
      <c r="O41" s="1" t="str">
        <f ca="1">IFERROR(__xludf.dummyfunction("VLOOKUP(N41, IMPORTRANGE(""https://docs.google.com/spreadsheets/d/1yDAaXNsi4Mr5FtRQL4tbmSdIzhx6_m4wkOD7IG-k_eo/edit#gid=1336395716"", ""Science!M:N""), 2, FALSE)"),"Demonstrate the preparation of different types of solutions, such as solid in liquid and gas in liquid, using common household substances.")</f>
        <v>Demonstrate the preparation of different types of solutions, such as solid in liquid and gas in liquid, using common household substances.</v>
      </c>
      <c r="P41" s="1" t="str">
        <f t="shared" si="9"/>
        <v>LU006210.004</v>
      </c>
      <c r="Q41" s="15" t="str">
        <f ca="1">IFERROR(__xludf.dummyfunction("VLOOKUP(P41, IMPORTRANGE(""https://docs.google.com/spreadsheets/d/1yDAaXNsi4Mr5FtRQL4tbmSdIzhx6_m4wkOD7IG-k_eo/edit#gid=1336395716"", ""Science!M:N""), 2, FALSE)"),"Compare different types of solutions, like solid solutions and gaseous solutions, based on their components.")</f>
        <v>Compare different types of solutions, like solid solutions and gaseous solutions, based on their components.</v>
      </c>
      <c r="R41" s="1" t="str">
        <f t="shared" si="10"/>
        <v>LU006210.005</v>
      </c>
      <c r="S41" s="15" t="str">
        <f ca="1">IFERROR(__xludf.dummyfunction("VLOOKUP(R41, IMPORTRANGE(""https://docs.google.com/spreadsheets/d/1yDAaXNsi4Mr5FtRQL4tbmSdIzhx6_m4wkOD7IG-k_eo/edit#gid=1336395716"", ""Science!M:N""), 2, FALSE)"),"Evaluate why lemonade tastes the same throughout, considering the homogeneity at the particle level.")</f>
        <v>Evaluate why lemonade tastes the same throughout, considering the homogeneity at the particle level.</v>
      </c>
      <c r="T41" s="1" t="str">
        <f t="shared" si="11"/>
        <v>LU006210.006</v>
      </c>
      <c r="U41" s="15" t="str">
        <f ca="1">IFERROR(__xludf.dummyfunction("VLOOKUP(T41, IMPORTRANGE(""https://docs.google.com/spreadsheets/d/1yDAaXNsi4Mr5FtRQL4tbmSdIzhx6_m4wkOD7IG-k_eo/edit#gid=1336395716"", ""Science!M:N""), 2, FALSE)"),"Design an experiment to demonstrate the homogeneity of a solution using common household substances like salt and water.")</f>
        <v>Design an experiment to demonstrate the homogeneity of a solution using common household substances like salt and water.</v>
      </c>
      <c r="V41" s="113"/>
      <c r="W41" s="113"/>
      <c r="X41" s="113"/>
      <c r="Y41" s="113"/>
      <c r="Z41" s="113"/>
      <c r="AA41" s="113"/>
      <c r="AB41" s="113"/>
      <c r="AC41" s="113"/>
      <c r="AD41" s="113"/>
      <c r="AE41" s="113"/>
      <c r="AF41" s="113"/>
      <c r="AG41" s="113"/>
    </row>
    <row r="42" spans="1:33" ht="27.6">
      <c r="A42" s="111"/>
      <c r="B42" s="111" t="s">
        <v>29</v>
      </c>
      <c r="C42" s="111">
        <v>8</v>
      </c>
      <c r="D42" s="111" t="s">
        <v>1648</v>
      </c>
      <c r="E42" s="111" t="s">
        <v>1613</v>
      </c>
      <c r="F42" s="113" t="s">
        <v>1814</v>
      </c>
      <c r="G42" s="14" t="s">
        <v>1817</v>
      </c>
      <c r="H42" s="112" t="str">
        <f ca="1">IFERROR(__xludf.dummyfunction("IFERROR(
  VLOOKUP(G42, IMPORTRANGE(""https://docs.google.com/spreadsheets/d/14deopnvwcrKtEGCKuYXdUHJbeLDZlkiSSWWT0g7x2pM/edit#gid=849066331"", ""LU List Maths (Filter)!A:B""), 2, FALSE),
  IFERROR(
    VLOOKUP(G42, IMPORTRANGE(""https://docs.google.com/s"&amp;"preadsheets/d/14deopnvwcrKtEGCKuYXdUHJbeLDZlkiSSWWT0g7x2pM/edit#gid=849066331"", ""LU List Science (Filter)!A:B""), 2, FALSE),
    ""Not Found""
  )
)
"),"Water as a Universal Solvent")</f>
        <v>Water as a Universal Solvent</v>
      </c>
      <c r="I42" s="111"/>
      <c r="J42" s="1" t="str">
        <f t="shared" si="6"/>
        <v>LU006768.001</v>
      </c>
      <c r="K42" s="1" t="str">
        <f ca="1">IFERROR(__xludf.dummyfunction("VLOOKUP(J42, IMPORTRANGE(""https://docs.google.com/spreadsheets/d/1yDAaXNsi4Mr5FtRQL4tbmSdIzhx6_m4wkOD7IG-k_eo/edit#gid=1336395716"", ""Science!M:N""), 2, FALSE)"),"(LU006768.001); Default - Remember")</f>
        <v>(LU006768.001); Default - Remember</v>
      </c>
      <c r="L42" s="1" t="str">
        <f t="shared" si="7"/>
        <v>LU006768.002</v>
      </c>
      <c r="M42" s="1" t="str">
        <f ca="1">IFERROR(__xludf.dummyfunction("VLOOKUP(L42, IMPORTRANGE(""https://docs.google.com/spreadsheets/d/1yDAaXNsi4Mr5FtRQL4tbmSdIzhx6_m4wkOD7IG-k_eo/edit#gid=1336395716"", ""Science!M:N""), 2, FALSE)"),"(LU006768.002); Default - Understand")</f>
        <v>(LU006768.002); Default - Understand</v>
      </c>
      <c r="N42" s="1" t="str">
        <f t="shared" si="8"/>
        <v>LU006768.003</v>
      </c>
      <c r="O42" s="1" t="str">
        <f ca="1">IFERROR(__xludf.dummyfunction("VLOOKUP(N42, IMPORTRANGE(""https://docs.google.com/spreadsheets/d/1yDAaXNsi4Mr5FtRQL4tbmSdIzhx6_m4wkOD7IG-k_eo/edit#gid=1336395716"", ""Science!M:N""), 2, FALSE)"),"(LU006768.003); Default - Apply")</f>
        <v>(LU006768.003); Default - Apply</v>
      </c>
      <c r="P42" s="1" t="str">
        <f t="shared" si="9"/>
        <v>LU006768.004</v>
      </c>
      <c r="Q42" s="15" t="str">
        <f ca="1">IFERROR(__xludf.dummyfunction("VLOOKUP(P42, IMPORTRANGE(""https://docs.google.com/spreadsheets/d/1yDAaXNsi4Mr5FtRQL4tbmSdIzhx6_m4wkOD7IG-k_eo/edit#gid=1336395716"", ""Science!M:N""), 2, FALSE)"),"(LU006768.004); Default - Analyse")</f>
        <v>(LU006768.004); Default - Analyse</v>
      </c>
      <c r="R42" s="1" t="str">
        <f t="shared" si="10"/>
        <v>LU006768.005</v>
      </c>
      <c r="S42" s="15" t="str">
        <f ca="1">IFERROR(__xludf.dummyfunction("VLOOKUP(R42, IMPORTRANGE(""https://docs.google.com/spreadsheets/d/1yDAaXNsi4Mr5FtRQL4tbmSdIzhx6_m4wkOD7IG-k_eo/edit#gid=1336395716"", ""Science!M:N""), 2, FALSE)"),"(LU006768.005); Default - Evaluate")</f>
        <v>(LU006768.005); Default - Evaluate</v>
      </c>
      <c r="T42" s="1" t="str">
        <f t="shared" si="11"/>
        <v>LU006768.006</v>
      </c>
      <c r="U42" s="15" t="str">
        <f ca="1">IFERROR(__xludf.dummyfunction("VLOOKUP(T42, IMPORTRANGE(""https://docs.google.com/spreadsheets/d/1yDAaXNsi4Mr5FtRQL4tbmSdIzhx6_m4wkOD7IG-k_eo/edit#gid=1336395716"", ""Science!M:N""), 2, FALSE)"),"(LU006768.006); Default - Create")</f>
        <v>(LU006768.006); Default - Create</v>
      </c>
      <c r="V42" s="113"/>
      <c r="W42" s="113"/>
      <c r="X42" s="113"/>
      <c r="Y42" s="113"/>
      <c r="Z42" s="113"/>
      <c r="AA42" s="113"/>
      <c r="AB42" s="113"/>
      <c r="AC42" s="113"/>
      <c r="AD42" s="113"/>
      <c r="AE42" s="113"/>
      <c r="AF42" s="113"/>
      <c r="AG42" s="113"/>
    </row>
    <row r="43" spans="1:33" ht="69">
      <c r="A43" s="111"/>
      <c r="B43" s="111" t="s">
        <v>29</v>
      </c>
      <c r="C43" s="111">
        <v>8</v>
      </c>
      <c r="D43" s="111" t="s">
        <v>1648</v>
      </c>
      <c r="E43" s="111" t="s">
        <v>1613</v>
      </c>
      <c r="F43" s="113" t="s">
        <v>1818</v>
      </c>
      <c r="G43" s="1" t="s">
        <v>1819</v>
      </c>
      <c r="H43" s="112" t="str">
        <f ca="1">IFERROR(__xludf.dummyfunction("IFERROR(
  VLOOKUP(G43, IMPORTRANGE(""https://docs.google.com/spreadsheets/d/14deopnvwcrKtEGCKuYXdUHJbeLDZlkiSSWWT0g7x2pM/edit#gid=849066331"", ""LU List Maths (Filter)!A:B""), 2, FALSE),
  IFERROR(
    VLOOKUP(G43, IMPORTRANGE(""https://docs.google.com/s"&amp;"preadsheets/d/14deopnvwcrKtEGCKuYXdUHJbeLDZlkiSSWWT0g7x2pM/edit#gid=849066331"", ""LU List Science (Filter)!A:B""), 2, FALSE),
    ""Not Found""
  )
)
"),"Comparison of Suspension, Solution, and Colloidal solution")</f>
        <v>Comparison of Suspension, Solution, and Colloidal solution</v>
      </c>
      <c r="I43" s="111" t="s">
        <v>1633</v>
      </c>
      <c r="J43" s="1" t="str">
        <f t="shared" si="6"/>
        <v>LU006219.001</v>
      </c>
      <c r="K43" s="1" t="str">
        <f ca="1">IFERROR(__xludf.dummyfunction("VLOOKUP(J43, IMPORTRANGE(""https://docs.google.com/spreadsheets/d/1yDAaXNsi4Mr5FtRQL4tbmSdIzhx6_m4wkOD7IG-k_eo/edit#gid=1336395716"", ""Science!M:N""), 2, FALSE)"),"Compare the particle sizes in suspensions, solutions, and colloidal solutions.")</f>
        <v>Compare the particle sizes in suspensions, solutions, and colloidal solutions.</v>
      </c>
      <c r="L43" s="1" t="str">
        <f t="shared" si="7"/>
        <v>LU006219.002</v>
      </c>
      <c r="M43" s="1" t="str">
        <f ca="1">IFERROR(__xludf.dummyfunction("VLOOKUP(L43, IMPORTRANGE(""https://docs.google.com/spreadsheets/d/1yDAaXNsi4Mr5FtRQL4tbmSdIzhx6_m4wkOD7IG-k_eo/edit#gid=1336395716"", ""Science!M:N""), 2, FALSE)"),"Explain the differences in light scattering among suspensions, solutions, and colloidal solutions.")</f>
        <v>Explain the differences in light scattering among suspensions, solutions, and colloidal solutions.</v>
      </c>
      <c r="N43" s="1" t="str">
        <f t="shared" si="8"/>
        <v>LU006219.003</v>
      </c>
      <c r="O43" s="1" t="str">
        <f ca="1">IFERROR(__xludf.dummyfunction("VLOOKUP(N43, IMPORTRANGE(""https://docs.google.com/spreadsheets/d/1yDAaXNsi4Mr5FtRQL4tbmSdIzhx6_m4wkOD7IG-k_eo/edit#gid=1336395716"", ""Science!M:N""), 2, FALSE)"),"Demonstrate how suspensions, solutions, and colloidal solutions behave when filtered.")</f>
        <v>Demonstrate how suspensions, solutions, and colloidal solutions behave when filtered.</v>
      </c>
      <c r="P43" s="1" t="str">
        <f t="shared" si="9"/>
        <v>LU006219.004</v>
      </c>
      <c r="Q43" s="15" t="str">
        <f ca="1">IFERROR(__xludf.dummyfunction("VLOOKUP(P43, IMPORTRANGE(""https://docs.google.com/spreadsheets/d/1yDAaXNsi4Mr5FtRQL4tbmSdIzhx6_m4wkOD7IG-k_eo/edit#gid=1336395716"", ""Science!M:N""), 2, FALSE)"),"Analyze the stability of suspensions, solutions, and colloidal solutions over time.")</f>
        <v>Analyze the stability of suspensions, solutions, and colloidal solutions over time.</v>
      </c>
      <c r="R43" s="1" t="str">
        <f t="shared" si="10"/>
        <v>LU006219.005</v>
      </c>
      <c r="S43" s="15" t="str">
        <f ca="1">IFERROR(__xludf.dummyfunction("VLOOKUP(R43, IMPORTRANGE(""https://docs.google.com/spreadsheets/d/1yDAaXNsi4Mr5FtRQL4tbmSdIzhx6_m4wkOD7IG-k_eo/edit#gid=1336395716"", ""Science!M:N""), 2, FALSE)"),"Evaluate the practical applications of suspensions, solutions, and colloidal solutions in everyday life.")</f>
        <v>Evaluate the practical applications of suspensions, solutions, and colloidal solutions in everyday life.</v>
      </c>
      <c r="T43" s="1" t="str">
        <f t="shared" si="11"/>
        <v>LU006219.006</v>
      </c>
      <c r="U43" s="15" t="str">
        <f ca="1">IFERROR(__xludf.dummyfunction("VLOOKUP(T43, IMPORTRANGE(""https://docs.google.com/spreadsheets/d/1yDAaXNsi4Mr5FtRQL4tbmSdIzhx6_m4wkOD7IG-k_eo/edit#gid=1336395716"", ""Science!M:N""), 2, FALSE)"),"Design an experiment to compare the properties of suspensions, solutions, and colloidal solutions, and document the observed differences.")</f>
        <v>Design an experiment to compare the properties of suspensions, solutions, and colloidal solutions, and document the observed differences.</v>
      </c>
      <c r="V43" s="113"/>
      <c r="W43" s="113"/>
      <c r="X43" s="113"/>
      <c r="Y43" s="113"/>
      <c r="Z43" s="113"/>
      <c r="AA43" s="113"/>
      <c r="AB43" s="113"/>
      <c r="AC43" s="113"/>
      <c r="AD43" s="113"/>
      <c r="AE43" s="113"/>
      <c r="AF43" s="113"/>
      <c r="AG43" s="113"/>
    </row>
    <row r="44" spans="1:33" ht="69">
      <c r="A44" s="111"/>
      <c r="B44" s="111" t="s">
        <v>29</v>
      </c>
      <c r="C44" s="111">
        <v>8</v>
      </c>
      <c r="D44" s="111" t="s">
        <v>1648</v>
      </c>
      <c r="E44" s="111" t="s">
        <v>1613</v>
      </c>
      <c r="F44" s="113" t="s">
        <v>1818</v>
      </c>
      <c r="G44" s="1" t="s">
        <v>1820</v>
      </c>
      <c r="H44" s="112" t="str">
        <f ca="1">IFERROR(__xludf.dummyfunction("IFERROR(
  VLOOKUP(G44, IMPORTRANGE(""https://docs.google.com/spreadsheets/d/14deopnvwcrKtEGCKuYXdUHJbeLDZlkiSSWWT0g7x2pM/edit#gid=849066331"", ""LU List Maths (Filter)!A:B""), 2, FALSE),
  IFERROR(
    VLOOKUP(G44, IMPORTRANGE(""https://docs.google.com/s"&amp;"preadsheets/d/14deopnvwcrKtEGCKuYXdUHJbeLDZlkiSSWWT0g7x2pM/edit#gid=849066331"", ""LU List Science (Filter)!A:B""), 2, FALSE),
    ""Not Found""
  )
)
"),"Concentration of a Solution")</f>
        <v>Concentration of a Solution</v>
      </c>
      <c r="I44" s="111" t="s">
        <v>1633</v>
      </c>
      <c r="J44" s="1" t="str">
        <f t="shared" si="6"/>
        <v>LU006212.001</v>
      </c>
      <c r="K44" s="1" t="str">
        <f ca="1">IFERROR(__xludf.dummyfunction("VLOOKUP(J44, IMPORTRANGE(""https://docs.google.com/spreadsheets/d/1yDAaXNsi4Mr5FtRQL4tbmSdIzhx6_m4wkOD7IG-k_eo/edit#gid=1336395716"", ""Science!M:N""), 2, FALSE)"),"Define the terms dilute, concentrated, and saturated solution.")</f>
        <v>Define the terms dilute, concentrated, and saturated solution.</v>
      </c>
      <c r="L44" s="1" t="str">
        <f t="shared" si="7"/>
        <v>LU006212.002</v>
      </c>
      <c r="M44" s="1" t="str">
        <f ca="1">IFERROR(__xludf.dummyfunction("VLOOKUP(L44, IMPORTRANGE(""https://docs.google.com/spreadsheets/d/1yDAaXNsi4Mr5FtRQL4tbmSdIzhx6_m4wkOD7IG-k_eo/edit#gid=1336395716"", ""Science!M:N""), 2, FALSE)"),"Explain the concept of a saturated solution and how no more solute can dissolve in it.")</f>
        <v>Explain the concept of a saturated solution and how no more solute can dissolve in it.</v>
      </c>
      <c r="N44" s="1" t="str">
        <f t="shared" si="8"/>
        <v>LU006212.003</v>
      </c>
      <c r="O44" s="1" t="str">
        <f ca="1">IFERROR(__xludf.dummyfunction("VLOOKUP(N44, IMPORTRANGE(""https://docs.google.com/spreadsheets/d/1yDAaXNsi4Mr5FtRQL4tbmSdIzhx6_m4wkOD7IG-k_eo/edit#gid=1336395716"", ""Science!M:N""), 2, FALSE)"),"Demonstrate the process of making a saturated solution by dissolving a solute in water until no more can dissolve.")</f>
        <v>Demonstrate the process of making a saturated solution by dissolving a solute in water until no more can dissolve.</v>
      </c>
      <c r="P44" s="1" t="str">
        <f t="shared" si="9"/>
        <v>LU006212.004</v>
      </c>
      <c r="Q44" s="15" t="str">
        <f ca="1">IFERROR(__xludf.dummyfunction("VLOOKUP(P44, IMPORTRANGE(""https://docs.google.com/spreadsheets/d/1yDAaXNsi4Mr5FtRQL4tbmSdIzhx6_m4wkOD7IG-k_eo/edit#gid=1336395716"", ""Science!M:N""), 2, FALSE)"),"Compare the amount of solute that can be dissolved in a solvent to distinguish between saturated and unsaturated solutions.")</f>
        <v>Compare the amount of solute that can be dissolved in a solvent to distinguish between saturated and unsaturated solutions.</v>
      </c>
      <c r="R44" s="1" t="str">
        <f t="shared" si="10"/>
        <v>LU006212.005</v>
      </c>
      <c r="S44" s="15" t="str">
        <f ca="1">IFERROR(__xludf.dummyfunction("VLOOKUP(R44, IMPORTRANGE(""https://docs.google.com/spreadsheets/d/1yDAaXNsi4Mr5FtRQL4tbmSdIzhx6_m4wkOD7IG-k_eo/edit#gid=1336395716"", ""Science!M:N""), 2, FALSE)"),"Evaluate the differences between dilute and concentrated solutions based on the proportion of solute to solvent.")</f>
        <v>Evaluate the differences between dilute and concentrated solutions based on the proportion of solute to solvent.</v>
      </c>
      <c r="T44" s="1" t="str">
        <f t="shared" si="11"/>
        <v>LU006212.006</v>
      </c>
      <c r="U44" s="15" t="str">
        <f ca="1">IFERROR(__xludf.dummyfunction("VLOOKUP(T44, IMPORTRANGE(""https://docs.google.com/spreadsheets/d/1yDAaXNsi4Mr5FtRQL4tbmSdIzhx6_m4wkOD7IG-k_eo/edit#gid=1336395716"", ""Science!M:N""), 2, FALSE)"),"Design an experiment to determine when a solution becomes saturated by continuously adding solute until it no longer dissolves.")</f>
        <v>Design an experiment to determine when a solution becomes saturated by continuously adding solute until it no longer dissolves.</v>
      </c>
      <c r="V44" s="113"/>
      <c r="W44" s="113"/>
      <c r="X44" s="113"/>
      <c r="Y44" s="113"/>
      <c r="Z44" s="113"/>
      <c r="AA44" s="113"/>
      <c r="AB44" s="113"/>
      <c r="AC44" s="113"/>
      <c r="AD44" s="113"/>
      <c r="AE44" s="113"/>
      <c r="AF44" s="113"/>
      <c r="AG44" s="113"/>
    </row>
    <row r="45" spans="1:33" ht="96.6">
      <c r="A45" s="111"/>
      <c r="B45" s="111" t="s">
        <v>29</v>
      </c>
      <c r="C45" s="111">
        <v>8</v>
      </c>
      <c r="D45" s="111" t="s">
        <v>1648</v>
      </c>
      <c r="E45" s="111" t="s">
        <v>1613</v>
      </c>
      <c r="F45" s="113" t="s">
        <v>1818</v>
      </c>
      <c r="G45" s="1" t="s">
        <v>1821</v>
      </c>
      <c r="H45" s="112" t="str">
        <f ca="1">IFERROR(__xludf.dummyfunction("IFERROR(
  VLOOKUP(G45, IMPORTRANGE(""https://docs.google.com/spreadsheets/d/14deopnvwcrKtEGCKuYXdUHJbeLDZlkiSSWWT0g7x2pM/edit#gid=849066331"", ""LU List Maths (Filter)!A:B""), 2, FALSE),
  IFERROR(
    VLOOKUP(G45, IMPORTRANGE(""https://docs.google.com/s"&amp;"preadsheets/d/14deopnvwcrKtEGCKuYXdUHJbeLDZlkiSSWWT0g7x2pM/edit#gid=849066331"", ""LU List Science (Filter)!A:B""), 2, FALSE),
    ""Not Found""
  )
)
"),"Not Found")</f>
        <v>Not Found</v>
      </c>
      <c r="I45" s="111" t="s">
        <v>1633</v>
      </c>
      <c r="J45" s="1" t="str">
        <f t="shared" si="6"/>
        <v>LU006213.001</v>
      </c>
      <c r="K45" s="1" t="str">
        <f ca="1">IFERROR(__xludf.dummyfunction("VLOOKUP(J45, IMPORTRANGE(""https://docs.google.com/spreadsheets/d/1yDAaXNsi4Mr5FtRQL4tbmSdIzhx6_m4wkOD7IG-k_eo/edit#gid=1336395716"", ""Science!M:N""), 2, FALSE)"),"Define how temperature affects the solubility of a substance in its solution.")</f>
        <v>Define how temperature affects the solubility of a substance in its solution.</v>
      </c>
      <c r="L45" s="1" t="str">
        <f t="shared" si="7"/>
        <v>LU006213.002</v>
      </c>
      <c r="M45" s="1" t="str">
        <f ca="1">IFERROR(__xludf.dummyfunction("VLOOKUP(L45, IMPORTRANGE(""https://docs.google.com/spreadsheets/d/1yDAaXNsi4Mr5FtRQL4tbmSdIzhx6_m4wkOD7IG-k_eo/edit#gid=1336395716"", ""Science!M:N""), 2, FALSE)"),"Explain why increasing the temperature allows more solute to dissolve in a solvent.")</f>
        <v>Explain why increasing the temperature allows more solute to dissolve in a solvent.</v>
      </c>
      <c r="N45" s="1" t="str">
        <f t="shared" si="8"/>
        <v>LU006213.003</v>
      </c>
      <c r="O45" s="1" t="str">
        <f ca="1">IFERROR(__xludf.dummyfunction("VLOOKUP(N45, IMPORTRANGE(""https://docs.google.com/spreadsheets/d/1yDAaXNsi4Mr5FtRQL4tbmSdIzhx6_m4wkOD7IG-k_eo/edit#gid=1336395716"", ""Science!M:N""), 2, FALSE)"),"Demonstrate the effect of temperature on solubility by dissolving a solute in water at different temperatures and observing the differences.")</f>
        <v>Demonstrate the effect of temperature on solubility by dissolving a solute in water at different temperatures and observing the differences.</v>
      </c>
      <c r="P45" s="1" t="str">
        <f t="shared" si="9"/>
        <v>LU006213.004</v>
      </c>
      <c r="Q45" s="15" t="str">
        <f ca="1">IFERROR(__xludf.dummyfunction("VLOOKUP(P45, IMPORTRANGE(""https://docs.google.com/spreadsheets/d/1yDAaXNsi4Mr5FtRQL4tbmSdIzhx6_m4wkOD7IG-k_eo/edit#gid=1336395716"", ""Science!M:N""), 2, FALSE)"),"Compare the solubility of a substance in its solution at different temperatures to understand how temperature impacts saturation.")</f>
        <v>Compare the solubility of a substance in its solution at different temperatures to understand how temperature impacts saturation.</v>
      </c>
      <c r="R45" s="1" t="str">
        <f t="shared" si="10"/>
        <v>LU006213.005</v>
      </c>
      <c r="S45" s="15" t="str">
        <f ca="1">IFERROR(__xludf.dummyfunction("VLOOKUP(R45, IMPORTRANGE(""https://docs.google.com/spreadsheets/d/1yDAaXNsi4Mr5FtRQL4tbmSdIzhx6_m4wkOD7IG-k_eo/edit#gid=1336395716"", ""Science!M:N""), 2, FALSE)"),"Evaluate the impact of temperature on the concentration of solutions by considering how heating or cooling a solution changes the amount of dissolved solute.")</f>
        <v>Evaluate the impact of temperature on the concentration of solutions by considering how heating or cooling a solution changes the amount of dissolved solute.</v>
      </c>
      <c r="T45" s="1" t="str">
        <f t="shared" si="11"/>
        <v>LU006213.006</v>
      </c>
      <c r="U45" s="15" t="str">
        <f ca="1">IFERROR(__xludf.dummyfunction("VLOOKUP(T45, IMPORTRANGE(""https://docs.google.com/spreadsheets/d/1yDAaXNsi4Mr5FtRQL4tbmSdIzhx6_m4wkOD7IG-k_eo/edit#gid=1336395716"", ""Science!M:N""), 2, FALSE)"),"Design an experiment to investigate how solubility changes with temperature, measuring the amount of solute that dissolves at various temperatures.")</f>
        <v>Design an experiment to investigate how solubility changes with temperature, measuring the amount of solute that dissolves at various temperatures.</v>
      </c>
      <c r="V45" s="113"/>
      <c r="W45" s="113"/>
      <c r="X45" s="113"/>
      <c r="Y45" s="113"/>
      <c r="Z45" s="113"/>
      <c r="AA45" s="113"/>
      <c r="AB45" s="113"/>
      <c r="AC45" s="113"/>
      <c r="AD45" s="113"/>
      <c r="AE45" s="113"/>
      <c r="AF45" s="113"/>
      <c r="AG45" s="113"/>
    </row>
    <row r="46" spans="1:33" ht="27.6">
      <c r="A46" s="111"/>
      <c r="B46" s="111" t="s">
        <v>29</v>
      </c>
      <c r="C46" s="111">
        <v>8</v>
      </c>
      <c r="D46" s="111" t="s">
        <v>1648</v>
      </c>
      <c r="E46" s="111" t="s">
        <v>1613</v>
      </c>
      <c r="F46" s="113" t="s">
        <v>1822</v>
      </c>
      <c r="G46" s="1" t="s">
        <v>1823</v>
      </c>
      <c r="H46" s="112" t="str">
        <f ca="1">IFERROR(__xludf.dummyfunction("IFERROR(
  VLOOKUP(G46, IMPORTRANGE(""https://docs.google.com/spreadsheets/d/14deopnvwcrKtEGCKuYXdUHJbeLDZlkiSSWWT0g7x2pM/edit#gid=849066331"", ""LU List Maths (Filter)!A:B""), 2, FALSE),
  IFERROR(
    VLOOKUP(G46, IMPORTRANGE(""https://docs.google.com/s"&amp;"preadsheets/d/14deopnvwcrKtEGCKuYXdUHJbeLDZlkiSSWWT0g7x2pM/edit#gid=849066331"", ""LU List Science (Filter)!A:B""), 2, FALSE),
    ""Not Found""
  )
)
"),"Concept of water of crystallisation with examples")</f>
        <v>Concept of water of crystallisation with examples</v>
      </c>
      <c r="I46" s="111" t="s">
        <v>1730</v>
      </c>
      <c r="J46" s="1" t="str">
        <f t="shared" si="6"/>
        <v>LU006551.001</v>
      </c>
      <c r="K46" s="1" t="str">
        <f ca="1">IFERROR(__xludf.dummyfunction("VLOOKUP(J46, IMPORTRANGE(""https://docs.google.com/spreadsheets/d/1yDAaXNsi4Mr5FtRQL4tbmSdIzhx6_m4wkOD7IG-k_eo/edit#gid=1336395716"", ""Science!M:N""), 2, FALSE)"),"(LU006551.001); Default - Remember")</f>
        <v>(LU006551.001); Default - Remember</v>
      </c>
      <c r="L46" s="1" t="str">
        <f t="shared" si="7"/>
        <v>LU006551.002</v>
      </c>
      <c r="M46" s="1" t="str">
        <f ca="1">IFERROR(__xludf.dummyfunction("VLOOKUP(L46, IMPORTRANGE(""https://docs.google.com/spreadsheets/d/1yDAaXNsi4Mr5FtRQL4tbmSdIzhx6_m4wkOD7IG-k_eo/edit#gid=1336395716"", ""Science!M:N""), 2, FALSE)"),"(LU006551.002); Default - Understand")</f>
        <v>(LU006551.002); Default - Understand</v>
      </c>
      <c r="N46" s="1" t="str">
        <f t="shared" si="8"/>
        <v>LU006551.003</v>
      </c>
      <c r="O46" s="1" t="str">
        <f ca="1">IFERROR(__xludf.dummyfunction("VLOOKUP(N46, IMPORTRANGE(""https://docs.google.com/spreadsheets/d/1yDAaXNsi4Mr5FtRQL4tbmSdIzhx6_m4wkOD7IG-k_eo/edit#gid=1336395716"", ""Science!M:N""), 2, FALSE)"),"(LU006551.003); Default - Apply")</f>
        <v>(LU006551.003); Default - Apply</v>
      </c>
      <c r="P46" s="1" t="str">
        <f t="shared" si="9"/>
        <v>LU006551.004</v>
      </c>
      <c r="Q46" s="15" t="str">
        <f ca="1">IFERROR(__xludf.dummyfunction("VLOOKUP(P46, IMPORTRANGE(""https://docs.google.com/spreadsheets/d/1yDAaXNsi4Mr5FtRQL4tbmSdIzhx6_m4wkOD7IG-k_eo/edit#gid=1336395716"", ""Science!M:N""), 2, FALSE)"),"(LU006551.004); Default - Analyse")</f>
        <v>(LU006551.004); Default - Analyse</v>
      </c>
      <c r="R46" s="1" t="str">
        <f t="shared" si="10"/>
        <v>LU006551.005</v>
      </c>
      <c r="S46" s="15" t="str">
        <f ca="1">IFERROR(__xludf.dummyfunction("VLOOKUP(R46, IMPORTRANGE(""https://docs.google.com/spreadsheets/d/1yDAaXNsi4Mr5FtRQL4tbmSdIzhx6_m4wkOD7IG-k_eo/edit#gid=1336395716"", ""Science!M:N""), 2, FALSE)"),"(LU006551.005); Default - Evaluate")</f>
        <v>(LU006551.005); Default - Evaluate</v>
      </c>
      <c r="T46" s="1" t="str">
        <f t="shared" si="11"/>
        <v>LU006551.006</v>
      </c>
      <c r="U46" s="15" t="str">
        <f ca="1">IFERROR(__xludf.dummyfunction("VLOOKUP(T46, IMPORTRANGE(""https://docs.google.com/spreadsheets/d/1yDAaXNsi4Mr5FtRQL4tbmSdIzhx6_m4wkOD7IG-k_eo/edit#gid=1336395716"", ""Science!M:N""), 2, FALSE)"),"(LU006551.006); Default - Create")</f>
        <v>(LU006551.006); Default - Create</v>
      </c>
      <c r="V46" s="113"/>
      <c r="W46" s="113"/>
      <c r="X46" s="113"/>
      <c r="Y46" s="113"/>
      <c r="Z46" s="113"/>
      <c r="AA46" s="113"/>
      <c r="AB46" s="113"/>
      <c r="AC46" s="113"/>
      <c r="AD46" s="113"/>
      <c r="AE46" s="113"/>
      <c r="AF46" s="113"/>
      <c r="AG46" s="113"/>
    </row>
    <row r="47" spans="1:33" ht="27.6">
      <c r="A47" s="111"/>
      <c r="B47" s="111" t="s">
        <v>29</v>
      </c>
      <c r="C47" s="111">
        <v>8</v>
      </c>
      <c r="D47" s="111" t="s">
        <v>1648</v>
      </c>
      <c r="E47" s="111" t="s">
        <v>1613</v>
      </c>
      <c r="F47" s="113" t="s">
        <v>1822</v>
      </c>
      <c r="G47" s="14" t="s">
        <v>1824</v>
      </c>
      <c r="H47" s="112" t="str">
        <f ca="1">IFERROR(__xludf.dummyfunction("IFERROR(
  VLOOKUP(G47, IMPORTRANGE(""https://docs.google.com/spreadsheets/d/14deopnvwcrKtEGCKuYXdUHJbeLDZlkiSSWWT0g7x2pM/edit#gid=849066331"", ""LU List Maths (Filter)!A:B""), 2, FALSE),
  IFERROR(
    VLOOKUP(G47, IMPORTRANGE(""https://docs.google.com/s"&amp;"preadsheets/d/14deopnvwcrKtEGCKuYXdUHJbeLDZlkiSSWWT0g7x2pM/edit#gid=849066331"", ""LU List Science (Filter)!A:B""), 2, FALSE),
    ""Not Found""
  )
)
"),"Hydrated, Anhydrous and Hygroscopic Substances")</f>
        <v>Hydrated, Anhydrous and Hygroscopic Substances</v>
      </c>
      <c r="I47" s="111"/>
      <c r="J47" s="1" t="str">
        <f t="shared" si="6"/>
        <v>LU006769.001</v>
      </c>
      <c r="K47" s="1" t="str">
        <f ca="1">IFERROR(__xludf.dummyfunction("VLOOKUP(J47, IMPORTRANGE(""https://docs.google.com/spreadsheets/d/1yDAaXNsi4Mr5FtRQL4tbmSdIzhx6_m4wkOD7IG-k_eo/edit#gid=1336395716"", ""Science!M:N""), 2, FALSE)"),"(LU006769.001); Default - Remember")</f>
        <v>(LU006769.001); Default - Remember</v>
      </c>
      <c r="L47" s="1" t="str">
        <f t="shared" si="7"/>
        <v>LU006769.002</v>
      </c>
      <c r="M47" s="1" t="str">
        <f ca="1">IFERROR(__xludf.dummyfunction("VLOOKUP(L47, IMPORTRANGE(""https://docs.google.com/spreadsheets/d/1yDAaXNsi4Mr5FtRQL4tbmSdIzhx6_m4wkOD7IG-k_eo/edit#gid=1336395716"", ""Science!M:N""), 2, FALSE)"),"(LU006769.002); Default - Understand")</f>
        <v>(LU006769.002); Default - Understand</v>
      </c>
      <c r="N47" s="1" t="str">
        <f t="shared" si="8"/>
        <v>LU006769.003</v>
      </c>
      <c r="O47" s="1" t="str">
        <f ca="1">IFERROR(__xludf.dummyfunction("VLOOKUP(N47, IMPORTRANGE(""https://docs.google.com/spreadsheets/d/1yDAaXNsi4Mr5FtRQL4tbmSdIzhx6_m4wkOD7IG-k_eo/edit#gid=1336395716"", ""Science!M:N""), 2, FALSE)"),"(LU006769.003); Default - Apply")</f>
        <v>(LU006769.003); Default - Apply</v>
      </c>
      <c r="P47" s="1" t="str">
        <f t="shared" si="9"/>
        <v>LU006769.004</v>
      </c>
      <c r="Q47" s="15" t="str">
        <f ca="1">IFERROR(__xludf.dummyfunction("VLOOKUP(P47, IMPORTRANGE(""https://docs.google.com/spreadsheets/d/1yDAaXNsi4Mr5FtRQL4tbmSdIzhx6_m4wkOD7IG-k_eo/edit#gid=1336395716"", ""Science!M:N""), 2, FALSE)"),"(LU006769.004); Default - Analyse")</f>
        <v>(LU006769.004); Default - Analyse</v>
      </c>
      <c r="R47" s="1" t="str">
        <f t="shared" si="10"/>
        <v>LU006769.005</v>
      </c>
      <c r="S47" s="15" t="str">
        <f ca="1">IFERROR(__xludf.dummyfunction("VLOOKUP(R47, IMPORTRANGE(""https://docs.google.com/spreadsheets/d/1yDAaXNsi4Mr5FtRQL4tbmSdIzhx6_m4wkOD7IG-k_eo/edit#gid=1336395716"", ""Science!M:N""), 2, FALSE)"),"(LU006769.005); Default - Evaluate")</f>
        <v>(LU006769.005); Default - Evaluate</v>
      </c>
      <c r="T47" s="1" t="str">
        <f t="shared" si="11"/>
        <v>LU006769.006</v>
      </c>
      <c r="U47" s="15" t="str">
        <f ca="1">IFERROR(__xludf.dummyfunction("VLOOKUP(T47, IMPORTRANGE(""https://docs.google.com/spreadsheets/d/1yDAaXNsi4Mr5FtRQL4tbmSdIzhx6_m4wkOD7IG-k_eo/edit#gid=1336395716"", ""Science!M:N""), 2, FALSE)"),"(LU006769.006); Default - Create")</f>
        <v>(LU006769.006); Default - Create</v>
      </c>
      <c r="V47" s="113"/>
      <c r="W47" s="113"/>
      <c r="X47" s="113"/>
      <c r="Y47" s="113"/>
      <c r="Z47" s="113"/>
      <c r="AA47" s="113"/>
      <c r="AB47" s="113"/>
      <c r="AC47" s="113"/>
      <c r="AD47" s="113"/>
      <c r="AE47" s="113"/>
      <c r="AF47" s="113"/>
      <c r="AG47" s="113"/>
    </row>
    <row r="48" spans="1:33" ht="27.6">
      <c r="A48" s="111"/>
      <c r="B48" s="111" t="s">
        <v>29</v>
      </c>
      <c r="C48" s="111">
        <v>8</v>
      </c>
      <c r="D48" s="111" t="s">
        <v>1648</v>
      </c>
      <c r="E48" s="111" t="s">
        <v>1613</v>
      </c>
      <c r="F48" s="113" t="s">
        <v>1825</v>
      </c>
      <c r="G48" s="14" t="s">
        <v>1826</v>
      </c>
      <c r="H48" s="112" t="str">
        <f ca="1">IFERROR(__xludf.dummyfunction("IFERROR(
  VLOOKUP(G48, IMPORTRANGE(""https://docs.google.com/spreadsheets/d/14deopnvwcrKtEGCKuYXdUHJbeLDZlkiSSWWT0g7x2pM/edit#gid=849066331"", ""LU List Maths (Filter)!A:B""), 2, FALSE),
  IFERROR(
    VLOOKUP(G48, IMPORTRANGE(""https://docs.google.com/s"&amp;"preadsheets/d/14deopnvwcrKtEGCKuYXdUHJbeLDZlkiSSWWT0g7x2pM/edit#gid=849066331"", ""LU List Science (Filter)!A:B""), 2, FALSE),
    ""Not Found""
  )
)
"),"Reactivity of metals with cold water, hot water and steam")</f>
        <v>Reactivity of metals with cold water, hot water and steam</v>
      </c>
      <c r="I48" s="111"/>
      <c r="J48" s="1" t="str">
        <f t="shared" si="6"/>
        <v>LU006770.001</v>
      </c>
      <c r="K48" s="1" t="str">
        <f ca="1">IFERROR(__xludf.dummyfunction("VLOOKUP(J48, IMPORTRANGE(""https://docs.google.com/spreadsheets/d/1yDAaXNsi4Mr5FtRQL4tbmSdIzhx6_m4wkOD7IG-k_eo/edit#gid=1336395716"", ""Science!M:N""), 2, FALSE)"),"(LU006770.001); Default - Remember")</f>
        <v>(LU006770.001); Default - Remember</v>
      </c>
      <c r="L48" s="1" t="str">
        <f t="shared" si="7"/>
        <v>LU006770.002</v>
      </c>
      <c r="M48" s="1" t="str">
        <f ca="1">IFERROR(__xludf.dummyfunction("VLOOKUP(L48, IMPORTRANGE(""https://docs.google.com/spreadsheets/d/1yDAaXNsi4Mr5FtRQL4tbmSdIzhx6_m4wkOD7IG-k_eo/edit#gid=1336395716"", ""Science!M:N""), 2, FALSE)"),"(LU006770.002); Default - Understand")</f>
        <v>(LU006770.002); Default - Understand</v>
      </c>
      <c r="N48" s="1" t="str">
        <f t="shared" si="8"/>
        <v>LU006770.003</v>
      </c>
      <c r="O48" s="1" t="str">
        <f ca="1">IFERROR(__xludf.dummyfunction("VLOOKUP(N48, IMPORTRANGE(""https://docs.google.com/spreadsheets/d/1yDAaXNsi4Mr5FtRQL4tbmSdIzhx6_m4wkOD7IG-k_eo/edit#gid=1336395716"", ""Science!M:N""), 2, FALSE)"),"(LU006770.003); Default - Apply")</f>
        <v>(LU006770.003); Default - Apply</v>
      </c>
      <c r="P48" s="1" t="str">
        <f t="shared" si="9"/>
        <v>LU006770.004</v>
      </c>
      <c r="Q48" s="15" t="str">
        <f ca="1">IFERROR(__xludf.dummyfunction("VLOOKUP(P48, IMPORTRANGE(""https://docs.google.com/spreadsheets/d/1yDAaXNsi4Mr5FtRQL4tbmSdIzhx6_m4wkOD7IG-k_eo/edit#gid=1336395716"", ""Science!M:N""), 2, FALSE)"),"(LU006770.004); Default - Analyse")</f>
        <v>(LU006770.004); Default - Analyse</v>
      </c>
      <c r="R48" s="1" t="str">
        <f t="shared" si="10"/>
        <v>LU006770.005</v>
      </c>
      <c r="S48" s="15" t="str">
        <f ca="1">IFERROR(__xludf.dummyfunction("VLOOKUP(R48, IMPORTRANGE(""https://docs.google.com/spreadsheets/d/1yDAaXNsi4Mr5FtRQL4tbmSdIzhx6_m4wkOD7IG-k_eo/edit#gid=1336395716"", ""Science!M:N""), 2, FALSE)"),"(LU006770.005); Default - Evaluate")</f>
        <v>(LU006770.005); Default - Evaluate</v>
      </c>
      <c r="T48" s="1" t="str">
        <f t="shared" si="11"/>
        <v>LU006770.006</v>
      </c>
      <c r="U48" s="15" t="str">
        <f ca="1">IFERROR(__xludf.dummyfunction("VLOOKUP(T48, IMPORTRANGE(""https://docs.google.com/spreadsheets/d/1yDAaXNsi4Mr5FtRQL4tbmSdIzhx6_m4wkOD7IG-k_eo/edit#gid=1336395716"", ""Science!M:N""), 2, FALSE)"),"(LU006770.006); Default - Create")</f>
        <v>(LU006770.006); Default - Create</v>
      </c>
      <c r="V48" s="113"/>
      <c r="W48" s="113"/>
      <c r="X48" s="113"/>
      <c r="Y48" s="113"/>
      <c r="Z48" s="113"/>
      <c r="AA48" s="113"/>
      <c r="AB48" s="113"/>
      <c r="AC48" s="113"/>
      <c r="AD48" s="113"/>
      <c r="AE48" s="113"/>
      <c r="AF48" s="113"/>
      <c r="AG48" s="113"/>
    </row>
    <row r="49" spans="1:33" ht="27.6">
      <c r="A49" s="111"/>
      <c r="B49" s="111" t="s">
        <v>29</v>
      </c>
      <c r="C49" s="111">
        <v>8</v>
      </c>
      <c r="D49" s="111" t="s">
        <v>1648</v>
      </c>
      <c r="E49" s="111" t="s">
        <v>1613</v>
      </c>
      <c r="F49" s="113" t="s">
        <v>1827</v>
      </c>
      <c r="G49" s="14" t="s">
        <v>1828</v>
      </c>
      <c r="H49" s="112" t="str">
        <f ca="1">IFERROR(__xludf.dummyfunction("IFERROR(
  VLOOKUP(G49, IMPORTRANGE(""https://docs.google.com/spreadsheets/d/14deopnvwcrKtEGCKuYXdUHJbeLDZlkiSSWWT0g7x2pM/edit#gid=849066331"", ""LU List Maths (Filter)!A:B""), 2, FALSE),
  IFERROR(
    VLOOKUP(G49, IMPORTRANGE(""https://docs.google.com/s"&amp;"preadsheets/d/14deopnvwcrKtEGCKuYXdUHJbeLDZlkiSSWWT0g7x2pM/edit#gid=849066331"", ""LU List Science (Filter)!A:B""), 2, FALSE),
    ""Not Found""
  )
)
"),"Introduction to Hard and Soft Water")</f>
        <v>Introduction to Hard and Soft Water</v>
      </c>
      <c r="I49" s="111"/>
      <c r="J49" s="1" t="str">
        <f t="shared" si="6"/>
        <v>LU006771.001</v>
      </c>
      <c r="K49" s="1" t="str">
        <f ca="1">IFERROR(__xludf.dummyfunction("VLOOKUP(J49, IMPORTRANGE(""https://docs.google.com/spreadsheets/d/1yDAaXNsi4Mr5FtRQL4tbmSdIzhx6_m4wkOD7IG-k_eo/edit#gid=1336395716"", ""Science!M:N""), 2, FALSE)"),"(LU006771.001); Default - Remember")</f>
        <v>(LU006771.001); Default - Remember</v>
      </c>
      <c r="L49" s="1" t="str">
        <f t="shared" si="7"/>
        <v>LU006771.002</v>
      </c>
      <c r="M49" s="1" t="str">
        <f ca="1">IFERROR(__xludf.dummyfunction("VLOOKUP(L49, IMPORTRANGE(""https://docs.google.com/spreadsheets/d/1yDAaXNsi4Mr5FtRQL4tbmSdIzhx6_m4wkOD7IG-k_eo/edit#gid=1336395716"", ""Science!M:N""), 2, FALSE)"),"(LU006771.002); Default - Understand")</f>
        <v>(LU006771.002); Default - Understand</v>
      </c>
      <c r="N49" s="1" t="str">
        <f t="shared" si="8"/>
        <v>LU006771.003</v>
      </c>
      <c r="O49" s="1" t="str">
        <f ca="1">IFERROR(__xludf.dummyfunction("VLOOKUP(N49, IMPORTRANGE(""https://docs.google.com/spreadsheets/d/1yDAaXNsi4Mr5FtRQL4tbmSdIzhx6_m4wkOD7IG-k_eo/edit#gid=1336395716"", ""Science!M:N""), 2, FALSE)"),"(LU006771.003); Default - Apply")</f>
        <v>(LU006771.003); Default - Apply</v>
      </c>
      <c r="P49" s="1" t="str">
        <f t="shared" si="9"/>
        <v>LU006771.004</v>
      </c>
      <c r="Q49" s="15" t="str">
        <f ca="1">IFERROR(__xludf.dummyfunction("VLOOKUP(P49, IMPORTRANGE(""https://docs.google.com/spreadsheets/d/1yDAaXNsi4Mr5FtRQL4tbmSdIzhx6_m4wkOD7IG-k_eo/edit#gid=1336395716"", ""Science!M:N""), 2, FALSE)"),"(LU006771.004); Default - Analyse")</f>
        <v>(LU006771.004); Default - Analyse</v>
      </c>
      <c r="R49" s="1" t="str">
        <f t="shared" si="10"/>
        <v>LU006771.005</v>
      </c>
      <c r="S49" s="15" t="str">
        <f ca="1">IFERROR(__xludf.dummyfunction("VLOOKUP(R49, IMPORTRANGE(""https://docs.google.com/spreadsheets/d/1yDAaXNsi4Mr5FtRQL4tbmSdIzhx6_m4wkOD7IG-k_eo/edit#gid=1336395716"", ""Science!M:N""), 2, FALSE)"),"(LU006771.005); Default - Evaluate")</f>
        <v>(LU006771.005); Default - Evaluate</v>
      </c>
      <c r="T49" s="1" t="str">
        <f t="shared" si="11"/>
        <v>LU006771.006</v>
      </c>
      <c r="U49" s="15" t="str">
        <f ca="1">IFERROR(__xludf.dummyfunction("VLOOKUP(T49, IMPORTRANGE(""https://docs.google.com/spreadsheets/d/1yDAaXNsi4Mr5FtRQL4tbmSdIzhx6_m4wkOD7IG-k_eo/edit#gid=1336395716"", ""Science!M:N""), 2, FALSE)"),"(LU006771.006); Default - Create")</f>
        <v>(LU006771.006); Default - Create</v>
      </c>
      <c r="V49" s="113"/>
      <c r="W49" s="113"/>
      <c r="X49" s="113"/>
      <c r="Y49" s="113"/>
      <c r="Z49" s="113"/>
      <c r="AA49" s="113"/>
      <c r="AB49" s="113"/>
      <c r="AC49" s="113"/>
      <c r="AD49" s="113"/>
      <c r="AE49" s="113"/>
      <c r="AF49" s="113"/>
      <c r="AG49" s="113"/>
    </row>
    <row r="50" spans="1:33" ht="27.6">
      <c r="A50" s="111"/>
      <c r="B50" s="111" t="s">
        <v>29</v>
      </c>
      <c r="C50" s="111">
        <v>8</v>
      </c>
      <c r="D50" s="111" t="s">
        <v>1648</v>
      </c>
      <c r="E50" s="111" t="s">
        <v>1613</v>
      </c>
      <c r="F50" s="113" t="s">
        <v>1827</v>
      </c>
      <c r="G50" s="14" t="s">
        <v>1829</v>
      </c>
      <c r="H50" s="112" t="str">
        <f ca="1">IFERROR(__xludf.dummyfunction("IFERROR(
  VLOOKUP(G50, IMPORTRANGE(""https://docs.google.com/spreadsheets/d/14deopnvwcrKtEGCKuYXdUHJbeLDZlkiSSWWT0g7x2pM/edit#gid=849066331"", ""LU List Maths (Filter)!A:B""), 2, FALSE),
  IFERROR(
    VLOOKUP(G50, IMPORTRANGE(""https://docs.google.com/s"&amp;"preadsheets/d/14deopnvwcrKtEGCKuYXdUHJbeLDZlkiSSWWT0g7x2pM/edit#gid=849066331"", ""LU List Science (Filter)!A:B""), 2, FALSE),
    ""Not Found""
  )
)
"),"Disadvantages of Using Hard Water")</f>
        <v>Disadvantages of Using Hard Water</v>
      </c>
      <c r="I50" s="111"/>
      <c r="J50" s="1" t="str">
        <f t="shared" si="6"/>
        <v>LU006772.001</v>
      </c>
      <c r="K50" s="1" t="str">
        <f ca="1">IFERROR(__xludf.dummyfunction("VLOOKUP(J50, IMPORTRANGE(""https://docs.google.com/spreadsheets/d/1yDAaXNsi4Mr5FtRQL4tbmSdIzhx6_m4wkOD7IG-k_eo/edit#gid=1336395716"", ""Science!M:N""), 2, FALSE)"),"(LU006772.001); Default - Remember")</f>
        <v>(LU006772.001); Default - Remember</v>
      </c>
      <c r="L50" s="1" t="str">
        <f t="shared" si="7"/>
        <v>LU006772.002</v>
      </c>
      <c r="M50" s="1" t="str">
        <f ca="1">IFERROR(__xludf.dummyfunction("VLOOKUP(L50, IMPORTRANGE(""https://docs.google.com/spreadsheets/d/1yDAaXNsi4Mr5FtRQL4tbmSdIzhx6_m4wkOD7IG-k_eo/edit#gid=1336395716"", ""Science!M:N""), 2, FALSE)"),"(LU006772.002); Default - Understand")</f>
        <v>(LU006772.002); Default - Understand</v>
      </c>
      <c r="N50" s="1" t="str">
        <f t="shared" si="8"/>
        <v>LU006772.003</v>
      </c>
      <c r="O50" s="1" t="str">
        <f ca="1">IFERROR(__xludf.dummyfunction("VLOOKUP(N50, IMPORTRANGE(""https://docs.google.com/spreadsheets/d/1yDAaXNsi4Mr5FtRQL4tbmSdIzhx6_m4wkOD7IG-k_eo/edit#gid=1336395716"", ""Science!M:N""), 2, FALSE)"),"(LU006772.003); Default - Apply")</f>
        <v>(LU006772.003); Default - Apply</v>
      </c>
      <c r="P50" s="1" t="str">
        <f t="shared" si="9"/>
        <v>LU006772.004</v>
      </c>
      <c r="Q50" s="15" t="str">
        <f ca="1">IFERROR(__xludf.dummyfunction("VLOOKUP(P50, IMPORTRANGE(""https://docs.google.com/spreadsheets/d/1yDAaXNsi4Mr5FtRQL4tbmSdIzhx6_m4wkOD7IG-k_eo/edit#gid=1336395716"", ""Science!M:N""), 2, FALSE)"),"(LU006772.004); Default - Analyse")</f>
        <v>(LU006772.004); Default - Analyse</v>
      </c>
      <c r="R50" s="1" t="str">
        <f t="shared" si="10"/>
        <v>LU006772.005</v>
      </c>
      <c r="S50" s="15" t="str">
        <f ca="1">IFERROR(__xludf.dummyfunction("VLOOKUP(R50, IMPORTRANGE(""https://docs.google.com/spreadsheets/d/1yDAaXNsi4Mr5FtRQL4tbmSdIzhx6_m4wkOD7IG-k_eo/edit#gid=1336395716"", ""Science!M:N""), 2, FALSE)"),"(LU006772.005); Default - Evaluate")</f>
        <v>(LU006772.005); Default - Evaluate</v>
      </c>
      <c r="T50" s="1" t="str">
        <f t="shared" si="11"/>
        <v>LU006772.006</v>
      </c>
      <c r="U50" s="15" t="str">
        <f ca="1">IFERROR(__xludf.dummyfunction("VLOOKUP(T50, IMPORTRANGE(""https://docs.google.com/spreadsheets/d/1yDAaXNsi4Mr5FtRQL4tbmSdIzhx6_m4wkOD7IG-k_eo/edit#gid=1336395716"", ""Science!M:N""), 2, FALSE)"),"(LU006772.006); Default - Create")</f>
        <v>(LU006772.006); Default - Create</v>
      </c>
      <c r="V50" s="113"/>
      <c r="W50" s="113"/>
      <c r="X50" s="113"/>
      <c r="Y50" s="113"/>
      <c r="Z50" s="113"/>
      <c r="AA50" s="113"/>
      <c r="AB50" s="113"/>
      <c r="AC50" s="113"/>
      <c r="AD50" s="113"/>
      <c r="AE50" s="113"/>
      <c r="AF50" s="113"/>
      <c r="AG50" s="113"/>
    </row>
    <row r="51" spans="1:33" ht="27.6">
      <c r="A51" s="111"/>
      <c r="B51" s="111" t="s">
        <v>29</v>
      </c>
      <c r="C51" s="111">
        <v>8</v>
      </c>
      <c r="D51" s="111" t="s">
        <v>1648</v>
      </c>
      <c r="E51" s="111" t="s">
        <v>1613</v>
      </c>
      <c r="F51" s="113" t="s">
        <v>1827</v>
      </c>
      <c r="G51" s="14" t="s">
        <v>1830</v>
      </c>
      <c r="H51" s="112" t="str">
        <f ca="1">IFERROR(__xludf.dummyfunction("IFERROR(
  VLOOKUP(G51, IMPORTRANGE(""https://docs.google.com/spreadsheets/d/14deopnvwcrKtEGCKuYXdUHJbeLDZlkiSSWWT0g7x2pM/edit#gid=849066331"", ""LU List Maths (Filter)!A:B""), 2, FALSE),
  IFERROR(
    VLOOKUP(G51, IMPORTRANGE(""https://docs.google.com/s"&amp;"preadsheets/d/14deopnvwcrKtEGCKuYXdUHJbeLDZlkiSSWWT0g7x2pM/edit#gid=849066331"", ""LU List Science (Filter)!A:B""), 2, FALSE),
    ""Not Found""
  )
)
"),"Ways to Remove Hardness of Water")</f>
        <v>Ways to Remove Hardness of Water</v>
      </c>
      <c r="I51" s="111"/>
      <c r="J51" s="1" t="str">
        <f t="shared" si="6"/>
        <v>LU006773.001</v>
      </c>
      <c r="K51" s="1" t="str">
        <f ca="1">IFERROR(__xludf.dummyfunction("VLOOKUP(J51, IMPORTRANGE(""https://docs.google.com/spreadsheets/d/1yDAaXNsi4Mr5FtRQL4tbmSdIzhx6_m4wkOD7IG-k_eo/edit#gid=1336395716"", ""Science!M:N""), 2, FALSE)"),"(LU006773.001); Default - Remember")</f>
        <v>(LU006773.001); Default - Remember</v>
      </c>
      <c r="L51" s="1" t="str">
        <f t="shared" si="7"/>
        <v>LU006773.002</v>
      </c>
      <c r="M51" s="1" t="str">
        <f ca="1">IFERROR(__xludf.dummyfunction("VLOOKUP(L51, IMPORTRANGE(""https://docs.google.com/spreadsheets/d/1yDAaXNsi4Mr5FtRQL4tbmSdIzhx6_m4wkOD7IG-k_eo/edit#gid=1336395716"", ""Science!M:N""), 2, FALSE)"),"(LU006773.002); Default - Understand")</f>
        <v>(LU006773.002); Default - Understand</v>
      </c>
      <c r="N51" s="1" t="str">
        <f t="shared" si="8"/>
        <v>LU006773.003</v>
      </c>
      <c r="O51" s="1" t="str">
        <f ca="1">IFERROR(__xludf.dummyfunction("VLOOKUP(N51, IMPORTRANGE(""https://docs.google.com/spreadsheets/d/1yDAaXNsi4Mr5FtRQL4tbmSdIzhx6_m4wkOD7IG-k_eo/edit#gid=1336395716"", ""Science!M:N""), 2, FALSE)"),"(LU006773.003); Default - Apply")</f>
        <v>(LU006773.003); Default - Apply</v>
      </c>
      <c r="P51" s="1" t="str">
        <f t="shared" si="9"/>
        <v>LU006773.004</v>
      </c>
      <c r="Q51" s="15" t="str">
        <f ca="1">IFERROR(__xludf.dummyfunction("VLOOKUP(P51, IMPORTRANGE(""https://docs.google.com/spreadsheets/d/1yDAaXNsi4Mr5FtRQL4tbmSdIzhx6_m4wkOD7IG-k_eo/edit#gid=1336395716"", ""Science!M:N""), 2, FALSE)"),"(LU006773.004); Default - Analyse")</f>
        <v>(LU006773.004); Default - Analyse</v>
      </c>
      <c r="R51" s="1" t="str">
        <f t="shared" si="10"/>
        <v>LU006773.005</v>
      </c>
      <c r="S51" s="15" t="str">
        <f ca="1">IFERROR(__xludf.dummyfunction("VLOOKUP(R51, IMPORTRANGE(""https://docs.google.com/spreadsheets/d/1yDAaXNsi4Mr5FtRQL4tbmSdIzhx6_m4wkOD7IG-k_eo/edit#gid=1336395716"", ""Science!M:N""), 2, FALSE)"),"(LU006773.005); Default - Evaluate")</f>
        <v>(LU006773.005); Default - Evaluate</v>
      </c>
      <c r="T51" s="1" t="str">
        <f t="shared" si="11"/>
        <v>LU006773.006</v>
      </c>
      <c r="U51" s="15" t="str">
        <f ca="1">IFERROR(__xludf.dummyfunction("VLOOKUP(T51, IMPORTRANGE(""https://docs.google.com/spreadsheets/d/1yDAaXNsi4Mr5FtRQL4tbmSdIzhx6_m4wkOD7IG-k_eo/edit#gid=1336395716"", ""Science!M:N""), 2, FALSE)"),"(LU006773.006); Default - Create")</f>
        <v>(LU006773.006); Default - Create</v>
      </c>
      <c r="V51" s="113"/>
      <c r="W51" s="113"/>
      <c r="X51" s="113"/>
      <c r="Y51" s="113"/>
      <c r="Z51" s="113"/>
      <c r="AA51" s="113"/>
      <c r="AB51" s="113"/>
      <c r="AC51" s="113"/>
      <c r="AD51" s="113"/>
      <c r="AE51" s="113"/>
      <c r="AF51" s="113"/>
      <c r="AG51" s="113"/>
    </row>
    <row r="52" spans="1:33" ht="41.4">
      <c r="A52" s="111"/>
      <c r="B52" s="111" t="s">
        <v>29</v>
      </c>
      <c r="C52" s="111">
        <v>8</v>
      </c>
      <c r="D52" s="111" t="s">
        <v>1831</v>
      </c>
      <c r="E52" s="111" t="s">
        <v>1613</v>
      </c>
      <c r="F52" s="113" t="s">
        <v>1832</v>
      </c>
      <c r="G52" s="14" t="s">
        <v>1833</v>
      </c>
      <c r="H52" s="112" t="str">
        <f ca="1">IFERROR(__xludf.dummyfunction("IFERROR(
  VLOOKUP(G52, IMPORTRANGE(""https://docs.google.com/spreadsheets/d/14deopnvwcrKtEGCKuYXdUHJbeLDZlkiSSWWT0g7x2pM/edit#gid=849066331"", ""LU List Maths (Filter)!A:B""), 2, FALSE),
  IFERROR(
    VLOOKUP(G52, IMPORTRANGE(""https://docs.google.com/s"&amp;"preadsheets/d/14deopnvwcrKtEGCKuYXdUHJbeLDZlkiSSWWT0g7x2pM/edit#gid=849066331"", ""LU List Science (Filter)!A:B""), 2, FALSE),
    ""Not Found""
  )
)
"),"Classification of Crystalline and Amorphous Nature of Carbon")</f>
        <v>Classification of Crystalline and Amorphous Nature of Carbon</v>
      </c>
      <c r="I52" s="111"/>
      <c r="J52" s="1" t="str">
        <f t="shared" si="6"/>
        <v>LU006774.001</v>
      </c>
      <c r="K52" s="1" t="str">
        <f ca="1">IFERROR(__xludf.dummyfunction("VLOOKUP(J52, IMPORTRANGE(""https://docs.google.com/spreadsheets/d/1yDAaXNsi4Mr5FtRQL4tbmSdIzhx6_m4wkOD7IG-k_eo/edit#gid=1336395716"", ""Science!M:N""), 2, FALSE)"),"(LU006774.001); Default - Remember")</f>
        <v>(LU006774.001); Default - Remember</v>
      </c>
      <c r="L52" s="1" t="str">
        <f t="shared" si="7"/>
        <v>LU006774.002</v>
      </c>
      <c r="M52" s="1" t="str">
        <f ca="1">IFERROR(__xludf.dummyfunction("VLOOKUP(L52, IMPORTRANGE(""https://docs.google.com/spreadsheets/d/1yDAaXNsi4Mr5FtRQL4tbmSdIzhx6_m4wkOD7IG-k_eo/edit#gid=1336395716"", ""Science!M:N""), 2, FALSE)"),"(LU006774.002); Default - Understand")</f>
        <v>(LU006774.002); Default - Understand</v>
      </c>
      <c r="N52" s="1" t="str">
        <f t="shared" si="8"/>
        <v>LU006774.003</v>
      </c>
      <c r="O52" s="1" t="str">
        <f ca="1">IFERROR(__xludf.dummyfunction("VLOOKUP(N52, IMPORTRANGE(""https://docs.google.com/spreadsheets/d/1yDAaXNsi4Mr5FtRQL4tbmSdIzhx6_m4wkOD7IG-k_eo/edit#gid=1336395716"", ""Science!M:N""), 2, FALSE)"),"(LU006774.003); Default - Apply")</f>
        <v>(LU006774.003); Default - Apply</v>
      </c>
      <c r="P52" s="1" t="str">
        <f t="shared" si="9"/>
        <v>LU006774.004</v>
      </c>
      <c r="Q52" s="15" t="str">
        <f ca="1">IFERROR(__xludf.dummyfunction("VLOOKUP(P52, IMPORTRANGE(""https://docs.google.com/spreadsheets/d/1yDAaXNsi4Mr5FtRQL4tbmSdIzhx6_m4wkOD7IG-k_eo/edit#gid=1336395716"", ""Science!M:N""), 2, FALSE)"),"(LU006774.004); Default - Analyse")</f>
        <v>(LU006774.004); Default - Analyse</v>
      </c>
      <c r="R52" s="1" t="str">
        <f t="shared" si="10"/>
        <v>LU006774.005</v>
      </c>
      <c r="S52" s="15" t="str">
        <f ca="1">IFERROR(__xludf.dummyfunction("VLOOKUP(R52, IMPORTRANGE(""https://docs.google.com/spreadsheets/d/1yDAaXNsi4Mr5FtRQL4tbmSdIzhx6_m4wkOD7IG-k_eo/edit#gid=1336395716"", ""Science!M:N""), 2, FALSE)"),"(LU006774.005); Default - Evaluate")</f>
        <v>(LU006774.005); Default - Evaluate</v>
      </c>
      <c r="T52" s="1" t="str">
        <f t="shared" si="11"/>
        <v>LU006774.006</v>
      </c>
      <c r="U52" s="15" t="str">
        <f ca="1">IFERROR(__xludf.dummyfunction("VLOOKUP(T52, IMPORTRANGE(""https://docs.google.com/spreadsheets/d/1yDAaXNsi4Mr5FtRQL4tbmSdIzhx6_m4wkOD7IG-k_eo/edit#gid=1336395716"", ""Science!M:N""), 2, FALSE)"),"(LU006774.006); Default - Create")</f>
        <v>(LU006774.006); Default - Create</v>
      </c>
      <c r="V52" s="113"/>
      <c r="W52" s="113"/>
      <c r="X52" s="113"/>
      <c r="Y52" s="113"/>
      <c r="Z52" s="113"/>
      <c r="AA52" s="113"/>
      <c r="AB52" s="113"/>
      <c r="AC52" s="113"/>
      <c r="AD52" s="113"/>
      <c r="AE52" s="113"/>
      <c r="AF52" s="113"/>
      <c r="AG52" s="113"/>
    </row>
    <row r="53" spans="1:33" ht="41.4">
      <c r="A53" s="111"/>
      <c r="B53" s="111" t="s">
        <v>29</v>
      </c>
      <c r="C53" s="111">
        <v>8</v>
      </c>
      <c r="D53" s="111" t="s">
        <v>1831</v>
      </c>
      <c r="E53" s="111" t="s">
        <v>1613</v>
      </c>
      <c r="F53" s="113" t="s">
        <v>1832</v>
      </c>
      <c r="G53" s="1" t="s">
        <v>1834</v>
      </c>
      <c r="H53" s="112" t="str">
        <f ca="1">IFERROR(__xludf.dummyfunction("IFERROR(
  VLOOKUP(G53, IMPORTRANGE(""https://docs.google.com/spreadsheets/d/14deopnvwcrKtEGCKuYXdUHJbeLDZlkiSSWWT0g7x2pM/edit#gid=849066331"", ""LU List Maths (Filter)!A:B""), 2, FALSE),
  IFERROR(
    VLOOKUP(G53, IMPORTRANGE(""https://docs.google.com/s"&amp;"preadsheets/d/14deopnvwcrKtEGCKuYXdUHJbeLDZlkiSSWWT0g7x2pM/edit#gid=849066331"", ""LU List Science (Filter)!A:B""), 2, FALSE),
    ""Not Found""
  )
)
"),"Allotropes of Carbon")</f>
        <v>Allotropes of Carbon</v>
      </c>
      <c r="I53" s="111" t="s">
        <v>1730</v>
      </c>
      <c r="J53" s="1" t="str">
        <f t="shared" si="6"/>
        <v>LU006568.001</v>
      </c>
      <c r="K53" s="1" t="str">
        <f ca="1">IFERROR(__xludf.dummyfunction("VLOOKUP(J53, IMPORTRANGE(""https://docs.google.com/spreadsheets/d/1yDAaXNsi4Mr5FtRQL4tbmSdIzhx6_m4wkOD7IG-k_eo/edit#gid=1336395716"", ""Science!M:N""), 2, FALSE)"),"(LU006568.001); Default - Remember")</f>
        <v>(LU006568.001); Default - Remember</v>
      </c>
      <c r="L53" s="1" t="str">
        <f t="shared" si="7"/>
        <v>LU006568.002</v>
      </c>
      <c r="M53" s="1" t="str">
        <f ca="1">IFERROR(__xludf.dummyfunction("VLOOKUP(L53, IMPORTRANGE(""https://docs.google.com/spreadsheets/d/1yDAaXNsi4Mr5FtRQL4tbmSdIzhx6_m4wkOD7IG-k_eo/edit#gid=1336395716"", ""Science!M:N""), 2, FALSE)"),"(LU006568.002); Default - Understand")</f>
        <v>(LU006568.002); Default - Understand</v>
      </c>
      <c r="N53" s="1" t="str">
        <f t="shared" si="8"/>
        <v>LU006568.003</v>
      </c>
      <c r="O53" s="1" t="str">
        <f ca="1">IFERROR(__xludf.dummyfunction("VLOOKUP(N53, IMPORTRANGE(""https://docs.google.com/spreadsheets/d/1yDAaXNsi4Mr5FtRQL4tbmSdIzhx6_m4wkOD7IG-k_eo/edit#gid=1336395716"", ""Science!M:N""), 2, FALSE)"),"(LU006568.003); Default - Apply")</f>
        <v>(LU006568.003); Default - Apply</v>
      </c>
      <c r="P53" s="1" t="str">
        <f t="shared" si="9"/>
        <v>LU006568.004</v>
      </c>
      <c r="Q53" s="15" t="str">
        <f ca="1">IFERROR(__xludf.dummyfunction("VLOOKUP(P53, IMPORTRANGE(""https://docs.google.com/spreadsheets/d/1yDAaXNsi4Mr5FtRQL4tbmSdIzhx6_m4wkOD7IG-k_eo/edit#gid=1336395716"", ""Science!M:N""), 2, FALSE)"),"(LU006568.004); Default - Analyse")</f>
        <v>(LU006568.004); Default - Analyse</v>
      </c>
      <c r="R53" s="1" t="str">
        <f t="shared" si="10"/>
        <v>LU006568.005</v>
      </c>
      <c r="S53" s="15" t="str">
        <f ca="1">IFERROR(__xludf.dummyfunction("VLOOKUP(R53, IMPORTRANGE(""https://docs.google.com/spreadsheets/d/1yDAaXNsi4Mr5FtRQL4tbmSdIzhx6_m4wkOD7IG-k_eo/edit#gid=1336395716"", ""Science!M:N""), 2, FALSE)"),"(LU006568.005); Default - Evaluate")</f>
        <v>(LU006568.005); Default - Evaluate</v>
      </c>
      <c r="T53" s="1" t="str">
        <f t="shared" si="11"/>
        <v>LU006568.006</v>
      </c>
      <c r="U53" s="15" t="str">
        <f ca="1">IFERROR(__xludf.dummyfunction("VLOOKUP(T53, IMPORTRANGE(""https://docs.google.com/spreadsheets/d/1yDAaXNsi4Mr5FtRQL4tbmSdIzhx6_m4wkOD7IG-k_eo/edit#gid=1336395716"", ""Science!M:N""), 2, FALSE)"),"(LU006568.006); Default - Create")</f>
        <v>(LU006568.006); Default - Create</v>
      </c>
      <c r="V53" s="113"/>
      <c r="W53" s="113"/>
      <c r="X53" s="113"/>
      <c r="Y53" s="113"/>
      <c r="Z53" s="113"/>
      <c r="AA53" s="113"/>
      <c r="AB53" s="113"/>
      <c r="AC53" s="113"/>
      <c r="AD53" s="113"/>
      <c r="AE53" s="113"/>
      <c r="AF53" s="113"/>
      <c r="AG53" s="113"/>
    </row>
    <row r="54" spans="1:33" ht="41.4">
      <c r="A54" s="111"/>
      <c r="B54" s="111" t="s">
        <v>29</v>
      </c>
      <c r="C54" s="111">
        <v>8</v>
      </c>
      <c r="D54" s="111" t="s">
        <v>1831</v>
      </c>
      <c r="E54" s="111" t="s">
        <v>1613</v>
      </c>
      <c r="F54" s="113" t="s">
        <v>1832</v>
      </c>
      <c r="G54" s="14" t="s">
        <v>1835</v>
      </c>
      <c r="H54" s="112" t="str">
        <f ca="1">IFERROR(__xludf.dummyfunction("IFERROR(
  VLOOKUP(G54, IMPORTRANGE(""https://docs.google.com/spreadsheets/d/14deopnvwcrKtEGCKuYXdUHJbeLDZlkiSSWWT0g7x2pM/edit#gid=849066331"", ""LU List Maths (Filter)!A:B""), 2, FALSE),
  IFERROR(
    VLOOKUP(G54, IMPORTRANGE(""https://docs.google.com/s"&amp;"preadsheets/d/14deopnvwcrKtEGCKuYXdUHJbeLDZlkiSSWWT0g7x2pM/edit#gid=849066331"", ""LU List Science (Filter)!A:B""), 2, FALSE),
    ""Not Found""
  )
)
"),"Uses of Diamond, Graphite, Coke, Coal and Soot")</f>
        <v>Uses of Diamond, Graphite, Coke, Coal and Soot</v>
      </c>
      <c r="I54" s="111"/>
      <c r="J54" s="1" t="str">
        <f t="shared" si="6"/>
        <v>LU006775.001</v>
      </c>
      <c r="K54" s="1" t="str">
        <f ca="1">IFERROR(__xludf.dummyfunction("VLOOKUP(J54, IMPORTRANGE(""https://docs.google.com/spreadsheets/d/1yDAaXNsi4Mr5FtRQL4tbmSdIzhx6_m4wkOD7IG-k_eo/edit#gid=1336395716"", ""Science!M:N""), 2, FALSE)"),"(LU006775.001); Default - Remember")</f>
        <v>(LU006775.001); Default - Remember</v>
      </c>
      <c r="L54" s="1" t="str">
        <f t="shared" si="7"/>
        <v>LU006775.002</v>
      </c>
      <c r="M54" s="1" t="str">
        <f ca="1">IFERROR(__xludf.dummyfunction("VLOOKUP(L54, IMPORTRANGE(""https://docs.google.com/spreadsheets/d/1yDAaXNsi4Mr5FtRQL4tbmSdIzhx6_m4wkOD7IG-k_eo/edit#gid=1336395716"", ""Science!M:N""), 2, FALSE)"),"(LU006775.002); Default - Understand")</f>
        <v>(LU006775.002); Default - Understand</v>
      </c>
      <c r="N54" s="1" t="str">
        <f t="shared" si="8"/>
        <v>LU006775.003</v>
      </c>
      <c r="O54" s="1" t="str">
        <f ca="1">IFERROR(__xludf.dummyfunction("VLOOKUP(N54, IMPORTRANGE(""https://docs.google.com/spreadsheets/d/1yDAaXNsi4Mr5FtRQL4tbmSdIzhx6_m4wkOD7IG-k_eo/edit#gid=1336395716"", ""Science!M:N""), 2, FALSE)"),"(LU006775.003); Default - Apply")</f>
        <v>(LU006775.003); Default - Apply</v>
      </c>
      <c r="P54" s="1" t="str">
        <f t="shared" si="9"/>
        <v>LU006775.004</v>
      </c>
      <c r="Q54" s="15" t="str">
        <f ca="1">IFERROR(__xludf.dummyfunction("VLOOKUP(P54, IMPORTRANGE(""https://docs.google.com/spreadsheets/d/1yDAaXNsi4Mr5FtRQL4tbmSdIzhx6_m4wkOD7IG-k_eo/edit#gid=1336395716"", ""Science!M:N""), 2, FALSE)"),"(LU006775.004); Default - Analyse")</f>
        <v>(LU006775.004); Default - Analyse</v>
      </c>
      <c r="R54" s="1" t="str">
        <f t="shared" si="10"/>
        <v>LU006775.005</v>
      </c>
      <c r="S54" s="15" t="str">
        <f ca="1">IFERROR(__xludf.dummyfunction("VLOOKUP(R54, IMPORTRANGE(""https://docs.google.com/spreadsheets/d/1yDAaXNsi4Mr5FtRQL4tbmSdIzhx6_m4wkOD7IG-k_eo/edit#gid=1336395716"", ""Science!M:N""), 2, FALSE)"),"(LU006775.005); Default - Evaluate")</f>
        <v>(LU006775.005); Default - Evaluate</v>
      </c>
      <c r="T54" s="1" t="str">
        <f t="shared" si="11"/>
        <v>LU006775.006</v>
      </c>
      <c r="U54" s="15" t="str">
        <f ca="1">IFERROR(__xludf.dummyfunction("VLOOKUP(T54, IMPORTRANGE(""https://docs.google.com/spreadsheets/d/1yDAaXNsi4Mr5FtRQL4tbmSdIzhx6_m4wkOD7IG-k_eo/edit#gid=1336395716"", ""Science!M:N""), 2, FALSE)"),"(LU006775.006); Default - Create")</f>
        <v>(LU006775.006); Default - Create</v>
      </c>
      <c r="V54" s="113"/>
      <c r="W54" s="113"/>
      <c r="X54" s="113"/>
      <c r="Y54" s="113"/>
      <c r="Z54" s="113"/>
      <c r="AA54" s="113"/>
      <c r="AB54" s="113"/>
      <c r="AC54" s="113"/>
      <c r="AD54" s="113"/>
      <c r="AE54" s="113"/>
      <c r="AF54" s="113"/>
      <c r="AG54" s="113"/>
    </row>
    <row r="55" spans="1:33" ht="41.4">
      <c r="A55" s="111"/>
      <c r="B55" s="111" t="s">
        <v>29</v>
      </c>
      <c r="C55" s="111">
        <v>8</v>
      </c>
      <c r="D55" s="111" t="s">
        <v>1831</v>
      </c>
      <c r="E55" s="111" t="s">
        <v>1613</v>
      </c>
      <c r="F55" s="113" t="s">
        <v>1836</v>
      </c>
      <c r="G55" s="14" t="s">
        <v>1837</v>
      </c>
      <c r="H55" s="112" t="str">
        <f ca="1">IFERROR(__xludf.dummyfunction("IFERROR(
  VLOOKUP(G55, IMPORTRANGE(""https://docs.google.com/spreadsheets/d/14deopnvwcrKtEGCKuYXdUHJbeLDZlkiSSWWT0g7x2pM/edit#gid=849066331"", ""LU List Maths (Filter)!A:B""), 2, FALSE),
  IFERROR(
    VLOOKUP(G55, IMPORTRANGE(""https://docs.google.com/s"&amp;"preadsheets/d/14deopnvwcrKtEGCKuYXdUHJbeLDZlkiSSWWT0g7x2pM/edit#gid=849066331"", ""LU List Science (Filter)!A:B""), 2, FALSE),
    ""Not Found""
  )
)
"),"Preparation of Carbon dioxide")</f>
        <v>Preparation of Carbon dioxide</v>
      </c>
      <c r="I55" s="111"/>
      <c r="J55" s="1" t="str">
        <f t="shared" si="6"/>
        <v>LU006776.001</v>
      </c>
      <c r="K55" s="1" t="str">
        <f ca="1">IFERROR(__xludf.dummyfunction("VLOOKUP(J55, IMPORTRANGE(""https://docs.google.com/spreadsheets/d/1yDAaXNsi4Mr5FtRQL4tbmSdIzhx6_m4wkOD7IG-k_eo/edit#gid=1336395716"", ""Science!M:N""), 2, FALSE)"),"(LU006776.001); Default - Remember")</f>
        <v>(LU006776.001); Default - Remember</v>
      </c>
      <c r="L55" s="1" t="str">
        <f t="shared" si="7"/>
        <v>LU006776.002</v>
      </c>
      <c r="M55" s="1" t="str">
        <f ca="1">IFERROR(__xludf.dummyfunction("VLOOKUP(L55, IMPORTRANGE(""https://docs.google.com/spreadsheets/d/1yDAaXNsi4Mr5FtRQL4tbmSdIzhx6_m4wkOD7IG-k_eo/edit#gid=1336395716"", ""Science!M:N""), 2, FALSE)"),"(LU006776.002); Default - Understand")</f>
        <v>(LU006776.002); Default - Understand</v>
      </c>
      <c r="N55" s="1" t="str">
        <f t="shared" si="8"/>
        <v>LU006776.003</v>
      </c>
      <c r="O55" s="1" t="str">
        <f ca="1">IFERROR(__xludf.dummyfunction("VLOOKUP(N55, IMPORTRANGE(""https://docs.google.com/spreadsheets/d/1yDAaXNsi4Mr5FtRQL4tbmSdIzhx6_m4wkOD7IG-k_eo/edit#gid=1336395716"", ""Science!M:N""), 2, FALSE)"),"(LU006776.003); Default - Apply")</f>
        <v>(LU006776.003); Default - Apply</v>
      </c>
      <c r="P55" s="1" t="str">
        <f t="shared" si="9"/>
        <v>LU006776.004</v>
      </c>
      <c r="Q55" s="15" t="str">
        <f ca="1">IFERROR(__xludf.dummyfunction("VLOOKUP(P55, IMPORTRANGE(""https://docs.google.com/spreadsheets/d/1yDAaXNsi4Mr5FtRQL4tbmSdIzhx6_m4wkOD7IG-k_eo/edit#gid=1336395716"", ""Science!M:N""), 2, FALSE)"),"(LU006776.004); Default - Analyse")</f>
        <v>(LU006776.004); Default - Analyse</v>
      </c>
      <c r="R55" s="1" t="str">
        <f t="shared" si="10"/>
        <v>LU006776.005</v>
      </c>
      <c r="S55" s="15" t="str">
        <f ca="1">IFERROR(__xludf.dummyfunction("VLOOKUP(R55, IMPORTRANGE(""https://docs.google.com/spreadsheets/d/1yDAaXNsi4Mr5FtRQL4tbmSdIzhx6_m4wkOD7IG-k_eo/edit#gid=1336395716"", ""Science!M:N""), 2, FALSE)"),"(LU006776.005); Default - Evaluate")</f>
        <v>(LU006776.005); Default - Evaluate</v>
      </c>
      <c r="T55" s="1" t="str">
        <f t="shared" si="11"/>
        <v>LU006776.006</v>
      </c>
      <c r="U55" s="15" t="str">
        <f ca="1">IFERROR(__xludf.dummyfunction("VLOOKUP(T55, IMPORTRANGE(""https://docs.google.com/spreadsheets/d/1yDAaXNsi4Mr5FtRQL4tbmSdIzhx6_m4wkOD7IG-k_eo/edit#gid=1336395716"", ""Science!M:N""), 2, FALSE)"),"(LU006776.006); Default - Create")</f>
        <v>(LU006776.006); Default - Create</v>
      </c>
      <c r="V55" s="113"/>
      <c r="W55" s="113"/>
      <c r="X55" s="113"/>
      <c r="Y55" s="113"/>
      <c r="Z55" s="113"/>
      <c r="AA55" s="113"/>
      <c r="AB55" s="113"/>
      <c r="AC55" s="113"/>
      <c r="AD55" s="113"/>
      <c r="AE55" s="113"/>
      <c r="AF55" s="113"/>
      <c r="AG55" s="113"/>
    </row>
    <row r="56" spans="1:33" ht="41.4">
      <c r="A56" s="111"/>
      <c r="B56" s="111" t="s">
        <v>29</v>
      </c>
      <c r="C56" s="111">
        <v>8</v>
      </c>
      <c r="D56" s="111" t="s">
        <v>1831</v>
      </c>
      <c r="E56" s="111" t="s">
        <v>1613</v>
      </c>
      <c r="F56" s="113" t="s">
        <v>1836</v>
      </c>
      <c r="G56" s="14" t="s">
        <v>1838</v>
      </c>
      <c r="H56" s="112" t="str">
        <f ca="1">IFERROR(__xludf.dummyfunction("IFERROR(
  VLOOKUP(G56, IMPORTRANGE(""https://docs.google.com/spreadsheets/d/14deopnvwcrKtEGCKuYXdUHJbeLDZlkiSSWWT0g7x2pM/edit#gid=849066331"", ""LU List Maths (Filter)!A:B""), 2, FALSE),
  IFERROR(
    VLOOKUP(G56, IMPORTRANGE(""https://docs.google.com/s"&amp;"preadsheets/d/14deopnvwcrKtEGCKuYXdUHJbeLDZlkiSSWWT0g7x2pM/edit#gid=849066331"", ""LU List Science (Filter)!A:B""), 2, FALSE),
    ""Not Found""
  )
)
"),"Physical Properties of Carbon dioxide")</f>
        <v>Physical Properties of Carbon dioxide</v>
      </c>
      <c r="I56" s="111"/>
      <c r="J56" s="1" t="str">
        <f t="shared" si="6"/>
        <v>LU006777.001</v>
      </c>
      <c r="K56" s="1" t="str">
        <f ca="1">IFERROR(__xludf.dummyfunction("VLOOKUP(J56, IMPORTRANGE(""https://docs.google.com/spreadsheets/d/1yDAaXNsi4Mr5FtRQL4tbmSdIzhx6_m4wkOD7IG-k_eo/edit#gid=1336395716"", ""Science!M:N""), 2, FALSE)"),"(LU006777.001); Default - Remember")</f>
        <v>(LU006777.001); Default - Remember</v>
      </c>
      <c r="L56" s="1" t="str">
        <f t="shared" si="7"/>
        <v>LU006777.002</v>
      </c>
      <c r="M56" s="1" t="str">
        <f ca="1">IFERROR(__xludf.dummyfunction("VLOOKUP(L56, IMPORTRANGE(""https://docs.google.com/spreadsheets/d/1yDAaXNsi4Mr5FtRQL4tbmSdIzhx6_m4wkOD7IG-k_eo/edit#gid=1336395716"", ""Science!M:N""), 2, FALSE)"),"(LU006777.002); Default - Understand")</f>
        <v>(LU006777.002); Default - Understand</v>
      </c>
      <c r="N56" s="1" t="str">
        <f t="shared" si="8"/>
        <v>LU006777.003</v>
      </c>
      <c r="O56" s="1" t="str">
        <f ca="1">IFERROR(__xludf.dummyfunction("VLOOKUP(N56, IMPORTRANGE(""https://docs.google.com/spreadsheets/d/1yDAaXNsi4Mr5FtRQL4tbmSdIzhx6_m4wkOD7IG-k_eo/edit#gid=1336395716"", ""Science!M:N""), 2, FALSE)"),"(LU006777.003); Default - Apply")</f>
        <v>(LU006777.003); Default - Apply</v>
      </c>
      <c r="P56" s="1" t="str">
        <f t="shared" si="9"/>
        <v>LU006777.004</v>
      </c>
      <c r="Q56" s="15" t="str">
        <f ca="1">IFERROR(__xludf.dummyfunction("VLOOKUP(P56, IMPORTRANGE(""https://docs.google.com/spreadsheets/d/1yDAaXNsi4Mr5FtRQL4tbmSdIzhx6_m4wkOD7IG-k_eo/edit#gid=1336395716"", ""Science!M:N""), 2, FALSE)"),"(LU006777.004); Default - Analyse")</f>
        <v>(LU006777.004); Default - Analyse</v>
      </c>
      <c r="R56" s="1" t="str">
        <f t="shared" si="10"/>
        <v>LU006777.005</v>
      </c>
      <c r="S56" s="15" t="str">
        <f ca="1">IFERROR(__xludf.dummyfunction("VLOOKUP(R56, IMPORTRANGE(""https://docs.google.com/spreadsheets/d/1yDAaXNsi4Mr5FtRQL4tbmSdIzhx6_m4wkOD7IG-k_eo/edit#gid=1336395716"", ""Science!M:N""), 2, FALSE)"),"(LU006777.005); Default - Evaluate")</f>
        <v>(LU006777.005); Default - Evaluate</v>
      </c>
      <c r="T56" s="1" t="str">
        <f t="shared" si="11"/>
        <v>LU006777.006</v>
      </c>
      <c r="U56" s="15" t="str">
        <f ca="1">IFERROR(__xludf.dummyfunction("VLOOKUP(T56, IMPORTRANGE(""https://docs.google.com/spreadsheets/d/1yDAaXNsi4Mr5FtRQL4tbmSdIzhx6_m4wkOD7IG-k_eo/edit#gid=1336395716"", ""Science!M:N""), 2, FALSE)"),"(LU006777.006); Default - Create")</f>
        <v>(LU006777.006); Default - Create</v>
      </c>
      <c r="V56" s="113"/>
      <c r="W56" s="113"/>
      <c r="X56" s="113"/>
      <c r="Y56" s="113"/>
      <c r="Z56" s="113"/>
      <c r="AA56" s="113"/>
      <c r="AB56" s="113"/>
      <c r="AC56" s="113"/>
      <c r="AD56" s="113"/>
      <c r="AE56" s="113"/>
      <c r="AF56" s="113"/>
      <c r="AG56" s="113"/>
    </row>
    <row r="57" spans="1:33" ht="41.4">
      <c r="A57" s="111"/>
      <c r="B57" s="111" t="s">
        <v>29</v>
      </c>
      <c r="C57" s="111">
        <v>8</v>
      </c>
      <c r="D57" s="111" t="s">
        <v>1831</v>
      </c>
      <c r="E57" s="111" t="s">
        <v>1613</v>
      </c>
      <c r="F57" s="113" t="s">
        <v>1836</v>
      </c>
      <c r="G57" s="14" t="s">
        <v>1839</v>
      </c>
      <c r="H57" s="112" t="str">
        <f ca="1">IFERROR(__xludf.dummyfunction("IFERROR(
  VLOOKUP(G57, IMPORTRANGE(""https://docs.google.com/spreadsheets/d/14deopnvwcrKtEGCKuYXdUHJbeLDZlkiSSWWT0g7x2pM/edit#gid=849066331"", ""LU List Maths (Filter)!A:B""), 2, FALSE),
  IFERROR(
    VLOOKUP(G57, IMPORTRANGE(""https://docs.google.com/s"&amp;"preadsheets/d/14deopnvwcrKtEGCKuYXdUHJbeLDZlkiSSWWT0g7x2pM/edit#gid=849066331"", ""LU List Science (Filter)!A:B""), 2, FALSE),
    ""Not Found""
  )
)
"),"Chemical Properties of Carbon dioxide")</f>
        <v>Chemical Properties of Carbon dioxide</v>
      </c>
      <c r="I57" s="111"/>
      <c r="J57" s="1" t="str">
        <f t="shared" si="6"/>
        <v>LU006778.001</v>
      </c>
      <c r="K57" s="1" t="str">
        <f ca="1">IFERROR(__xludf.dummyfunction("VLOOKUP(J57, IMPORTRANGE(""https://docs.google.com/spreadsheets/d/1yDAaXNsi4Mr5FtRQL4tbmSdIzhx6_m4wkOD7IG-k_eo/edit#gid=1336395716"", ""Science!M:N""), 2, FALSE)"),"(LU006778.001); Default - Remember")</f>
        <v>(LU006778.001); Default - Remember</v>
      </c>
      <c r="L57" s="1" t="str">
        <f t="shared" si="7"/>
        <v>LU006778.002</v>
      </c>
      <c r="M57" s="1" t="str">
        <f ca="1">IFERROR(__xludf.dummyfunction("VLOOKUP(L57, IMPORTRANGE(""https://docs.google.com/spreadsheets/d/1yDAaXNsi4Mr5FtRQL4tbmSdIzhx6_m4wkOD7IG-k_eo/edit#gid=1336395716"", ""Science!M:N""), 2, FALSE)"),"(LU006778.002); Default - Understand")</f>
        <v>(LU006778.002); Default - Understand</v>
      </c>
      <c r="N57" s="1" t="str">
        <f t="shared" si="8"/>
        <v>LU006778.003</v>
      </c>
      <c r="O57" s="1" t="str">
        <f ca="1">IFERROR(__xludf.dummyfunction("VLOOKUP(N57, IMPORTRANGE(""https://docs.google.com/spreadsheets/d/1yDAaXNsi4Mr5FtRQL4tbmSdIzhx6_m4wkOD7IG-k_eo/edit#gid=1336395716"", ""Science!M:N""), 2, FALSE)"),"(LU006778.003); Default - Apply")</f>
        <v>(LU006778.003); Default - Apply</v>
      </c>
      <c r="P57" s="1" t="str">
        <f t="shared" si="9"/>
        <v>LU006778.004</v>
      </c>
      <c r="Q57" s="15" t="str">
        <f ca="1">IFERROR(__xludf.dummyfunction("VLOOKUP(P57, IMPORTRANGE(""https://docs.google.com/spreadsheets/d/1yDAaXNsi4Mr5FtRQL4tbmSdIzhx6_m4wkOD7IG-k_eo/edit#gid=1336395716"", ""Science!M:N""), 2, FALSE)"),"(LU006778.004); Default - Analyse")</f>
        <v>(LU006778.004); Default - Analyse</v>
      </c>
      <c r="R57" s="1" t="str">
        <f t="shared" si="10"/>
        <v>LU006778.005</v>
      </c>
      <c r="S57" s="15" t="str">
        <f ca="1">IFERROR(__xludf.dummyfunction("VLOOKUP(R57, IMPORTRANGE(""https://docs.google.com/spreadsheets/d/1yDAaXNsi4Mr5FtRQL4tbmSdIzhx6_m4wkOD7IG-k_eo/edit#gid=1336395716"", ""Science!M:N""), 2, FALSE)"),"(LU006778.005); Default - Evaluate")</f>
        <v>(LU006778.005); Default - Evaluate</v>
      </c>
      <c r="T57" s="1" t="str">
        <f t="shared" si="11"/>
        <v>LU006778.006</v>
      </c>
      <c r="U57" s="15" t="str">
        <f ca="1">IFERROR(__xludf.dummyfunction("VLOOKUP(T57, IMPORTRANGE(""https://docs.google.com/spreadsheets/d/1yDAaXNsi4Mr5FtRQL4tbmSdIzhx6_m4wkOD7IG-k_eo/edit#gid=1336395716"", ""Science!M:N""), 2, FALSE)"),"(LU006778.006); Default - Create")</f>
        <v>(LU006778.006); Default - Create</v>
      </c>
      <c r="V57" s="113"/>
      <c r="W57" s="113"/>
      <c r="X57" s="113"/>
      <c r="Y57" s="113"/>
      <c r="Z57" s="113"/>
      <c r="AA57" s="113"/>
      <c r="AB57" s="113"/>
      <c r="AC57" s="113"/>
      <c r="AD57" s="113"/>
      <c r="AE57" s="113"/>
      <c r="AF57" s="113"/>
      <c r="AG57" s="113"/>
    </row>
    <row r="58" spans="1:33" ht="27.6">
      <c r="A58" s="111"/>
      <c r="B58" s="111" t="s">
        <v>29</v>
      </c>
      <c r="C58" s="111">
        <v>8</v>
      </c>
      <c r="D58" s="111" t="s">
        <v>1831</v>
      </c>
      <c r="E58" s="111" t="s">
        <v>1613</v>
      </c>
      <c r="F58" s="113" t="s">
        <v>1840</v>
      </c>
      <c r="G58" s="14" t="s">
        <v>1841</v>
      </c>
      <c r="H58" s="112" t="str">
        <f ca="1">IFERROR(__xludf.dummyfunction("IFERROR(
  VLOOKUP(G58, IMPORTRANGE(""https://docs.google.com/spreadsheets/d/14deopnvwcrKtEGCKuYXdUHJbeLDZlkiSSWWT0g7x2pM/edit#gid=849066331"", ""LU List Maths (Filter)!A:B""), 2, FALSE),
  IFERROR(
    VLOOKUP(G58, IMPORTRANGE(""https://docs.google.com/s"&amp;"preadsheets/d/14deopnvwcrKtEGCKuYXdUHJbeLDZlkiSSWWT0g7x2pM/edit#gid=849066331"", ""LU List Science (Filter)!A:B""), 2, FALSE),
    ""Not Found""
  )
)
"),"Properties of Carbon monoxide")</f>
        <v>Properties of Carbon monoxide</v>
      </c>
      <c r="I58" s="111"/>
      <c r="J58" s="1" t="str">
        <f t="shared" si="6"/>
        <v>LU006779.001</v>
      </c>
      <c r="K58" s="1" t="str">
        <f ca="1">IFERROR(__xludf.dummyfunction("VLOOKUP(J58, IMPORTRANGE(""https://docs.google.com/spreadsheets/d/1yDAaXNsi4Mr5FtRQL4tbmSdIzhx6_m4wkOD7IG-k_eo/edit#gid=1336395716"", ""Science!M:N""), 2, FALSE)"),"(LU006779.001); Default - Remember")</f>
        <v>(LU006779.001); Default - Remember</v>
      </c>
      <c r="L58" s="1" t="str">
        <f t="shared" si="7"/>
        <v>LU006779.002</v>
      </c>
      <c r="M58" s="1" t="str">
        <f ca="1">IFERROR(__xludf.dummyfunction("VLOOKUP(L58, IMPORTRANGE(""https://docs.google.com/spreadsheets/d/1yDAaXNsi4Mr5FtRQL4tbmSdIzhx6_m4wkOD7IG-k_eo/edit#gid=1336395716"", ""Science!M:N""), 2, FALSE)"),"(LU006779.002); Default - Understand")</f>
        <v>(LU006779.002); Default - Understand</v>
      </c>
      <c r="N58" s="1" t="str">
        <f t="shared" si="8"/>
        <v>LU006779.003</v>
      </c>
      <c r="O58" s="1" t="str">
        <f ca="1">IFERROR(__xludf.dummyfunction("VLOOKUP(N58, IMPORTRANGE(""https://docs.google.com/spreadsheets/d/1yDAaXNsi4Mr5FtRQL4tbmSdIzhx6_m4wkOD7IG-k_eo/edit#gid=1336395716"", ""Science!M:N""), 2, FALSE)"),"(LU006779.003); Default - Apply")</f>
        <v>(LU006779.003); Default - Apply</v>
      </c>
      <c r="P58" s="1" t="str">
        <f t="shared" si="9"/>
        <v>LU006779.004</v>
      </c>
      <c r="Q58" s="15" t="str">
        <f ca="1">IFERROR(__xludf.dummyfunction("VLOOKUP(P58, IMPORTRANGE(""https://docs.google.com/spreadsheets/d/1yDAaXNsi4Mr5FtRQL4tbmSdIzhx6_m4wkOD7IG-k_eo/edit#gid=1336395716"", ""Science!M:N""), 2, FALSE)"),"(LU006779.004); Default - Analyse")</f>
        <v>(LU006779.004); Default - Analyse</v>
      </c>
      <c r="R58" s="1" t="str">
        <f t="shared" si="10"/>
        <v>LU006779.005</v>
      </c>
      <c r="S58" s="15" t="str">
        <f ca="1">IFERROR(__xludf.dummyfunction("VLOOKUP(R58, IMPORTRANGE(""https://docs.google.com/spreadsheets/d/1yDAaXNsi4Mr5FtRQL4tbmSdIzhx6_m4wkOD7IG-k_eo/edit#gid=1336395716"", ""Science!M:N""), 2, FALSE)"),"(LU006779.005); Default - Evaluate")</f>
        <v>(LU006779.005); Default - Evaluate</v>
      </c>
      <c r="T58" s="1" t="str">
        <f t="shared" si="11"/>
        <v>LU006779.006</v>
      </c>
      <c r="U58" s="15" t="str">
        <f ca="1">IFERROR(__xludf.dummyfunction("VLOOKUP(T58, IMPORTRANGE(""https://docs.google.com/spreadsheets/d/1yDAaXNsi4Mr5FtRQL4tbmSdIzhx6_m4wkOD7IG-k_eo/edit#gid=1336395716"", ""Science!M:N""), 2, FALSE)"),"(LU006779.006); Default - Create")</f>
        <v>(LU006779.006); Default - Create</v>
      </c>
      <c r="V58" s="113"/>
      <c r="W58" s="113"/>
      <c r="X58" s="113"/>
      <c r="Y58" s="113"/>
      <c r="Z58" s="113"/>
      <c r="AA58" s="113"/>
      <c r="AB58" s="113"/>
      <c r="AC58" s="113"/>
      <c r="AD58" s="113"/>
      <c r="AE58" s="113"/>
      <c r="AF58" s="113"/>
      <c r="AG58" s="113"/>
    </row>
    <row r="59" spans="1:33" ht="27.6">
      <c r="A59" s="111"/>
      <c r="B59" s="111" t="s">
        <v>29</v>
      </c>
      <c r="C59" s="111">
        <v>8</v>
      </c>
      <c r="D59" s="111" t="s">
        <v>1831</v>
      </c>
      <c r="E59" s="111" t="s">
        <v>1613</v>
      </c>
      <c r="F59" s="113" t="s">
        <v>1840</v>
      </c>
      <c r="G59" s="14" t="s">
        <v>1842</v>
      </c>
      <c r="H59" s="112" t="str">
        <f ca="1">IFERROR(__xludf.dummyfunction("IFERROR(
  VLOOKUP(G59, IMPORTRANGE(""https://docs.google.com/spreadsheets/d/14deopnvwcrKtEGCKuYXdUHJbeLDZlkiSSWWT0g7x2pM/edit#gid=849066331"", ""LU List Maths (Filter)!A:B""), 2, FALSE),
  IFERROR(
    VLOOKUP(G59, IMPORTRANGE(""https://docs.google.com/s"&amp;"preadsheets/d/14deopnvwcrKtEGCKuYXdUHJbeLDZlkiSSWWT0g7x2pM/edit#gid=849066331"", ""LU List Science (Filter)!A:B""), 2, FALSE),
    ""Not Found""
  )
)
"),"Uses of Carbon monoxide")</f>
        <v>Uses of Carbon monoxide</v>
      </c>
      <c r="I59" s="111"/>
      <c r="J59" s="1" t="str">
        <f t="shared" si="6"/>
        <v>LU006780.001</v>
      </c>
      <c r="K59" s="1" t="str">
        <f ca="1">IFERROR(__xludf.dummyfunction("VLOOKUP(J59, IMPORTRANGE(""https://docs.google.com/spreadsheets/d/1yDAaXNsi4Mr5FtRQL4tbmSdIzhx6_m4wkOD7IG-k_eo/edit#gid=1336395716"", ""Science!M:N""), 2, FALSE)"),"(LU006780.001); Default - Remember")</f>
        <v>(LU006780.001); Default - Remember</v>
      </c>
      <c r="L59" s="1" t="str">
        <f t="shared" si="7"/>
        <v>LU006780.002</v>
      </c>
      <c r="M59" s="1" t="str">
        <f ca="1">IFERROR(__xludf.dummyfunction("VLOOKUP(L59, IMPORTRANGE(""https://docs.google.com/spreadsheets/d/1yDAaXNsi4Mr5FtRQL4tbmSdIzhx6_m4wkOD7IG-k_eo/edit#gid=1336395716"", ""Science!M:N""), 2, FALSE)"),"(LU006780.002); Default - Understand")</f>
        <v>(LU006780.002); Default - Understand</v>
      </c>
      <c r="N59" s="1" t="str">
        <f t="shared" si="8"/>
        <v>LU006780.003</v>
      </c>
      <c r="O59" s="1" t="str">
        <f ca="1">IFERROR(__xludf.dummyfunction("VLOOKUP(N59, IMPORTRANGE(""https://docs.google.com/spreadsheets/d/1yDAaXNsi4Mr5FtRQL4tbmSdIzhx6_m4wkOD7IG-k_eo/edit#gid=1336395716"", ""Science!M:N""), 2, FALSE)"),"(LU006780.003); Default - Apply")</f>
        <v>(LU006780.003); Default - Apply</v>
      </c>
      <c r="P59" s="1" t="str">
        <f t="shared" si="9"/>
        <v>LU006780.004</v>
      </c>
      <c r="Q59" s="15" t="str">
        <f ca="1">IFERROR(__xludf.dummyfunction("VLOOKUP(P59, IMPORTRANGE(""https://docs.google.com/spreadsheets/d/1yDAaXNsi4Mr5FtRQL4tbmSdIzhx6_m4wkOD7IG-k_eo/edit#gid=1336395716"", ""Science!M:N""), 2, FALSE)"),"(LU006780.004); Default - Analyse")</f>
        <v>(LU006780.004); Default - Analyse</v>
      </c>
      <c r="R59" s="1" t="str">
        <f t="shared" si="10"/>
        <v>LU006780.005</v>
      </c>
      <c r="S59" s="15" t="str">
        <f ca="1">IFERROR(__xludf.dummyfunction("VLOOKUP(R59, IMPORTRANGE(""https://docs.google.com/spreadsheets/d/1yDAaXNsi4Mr5FtRQL4tbmSdIzhx6_m4wkOD7IG-k_eo/edit#gid=1336395716"", ""Science!M:N""), 2, FALSE)"),"(LU006780.005); Default - Evaluate")</f>
        <v>(LU006780.005); Default - Evaluate</v>
      </c>
      <c r="T59" s="1" t="str">
        <f t="shared" si="11"/>
        <v>LU006780.006</v>
      </c>
      <c r="U59" s="15" t="str">
        <f ca="1">IFERROR(__xludf.dummyfunction("VLOOKUP(T59, IMPORTRANGE(""https://docs.google.com/spreadsheets/d/1yDAaXNsi4Mr5FtRQL4tbmSdIzhx6_m4wkOD7IG-k_eo/edit#gid=1336395716"", ""Science!M:N""), 2, FALSE)"),"(LU006780.006); Default - Create")</f>
        <v>(LU006780.006); Default - Create</v>
      </c>
      <c r="V59" s="113"/>
      <c r="W59" s="113"/>
      <c r="X59" s="113"/>
      <c r="Y59" s="113"/>
      <c r="Z59" s="113"/>
      <c r="AA59" s="113"/>
      <c r="AB59" s="113"/>
      <c r="AC59" s="113"/>
      <c r="AD59" s="113"/>
      <c r="AE59" s="113"/>
      <c r="AF59" s="113"/>
      <c r="AG59" s="113"/>
    </row>
    <row r="60" spans="1:33" ht="13.8">
      <c r="A60" s="113"/>
      <c r="B60" s="113"/>
      <c r="C60" s="113"/>
      <c r="D60" s="113"/>
      <c r="E60" s="113"/>
      <c r="F60" s="113"/>
      <c r="G60" s="113"/>
      <c r="H60" s="113"/>
      <c r="I60" s="113"/>
      <c r="J60" s="1" t="str">
        <f t="shared" si="6"/>
        <v>.001</v>
      </c>
      <c r="K60" s="1" t="str">
        <f ca="1">IFERROR(__xludf.dummyfunction("VLOOKUP(J60, IMPORTRANGE(""https://docs.google.com/spreadsheets/d/1yDAaXNsi4Mr5FtRQL4tbmSdIzhx6_m4wkOD7IG-k_eo/edit#gid=1336395716"", ""Science!M:N""), 2, FALSE)"),"#N/A")</f>
        <v>#N/A</v>
      </c>
      <c r="L60" s="1" t="str">
        <f t="shared" si="7"/>
        <v>.002</v>
      </c>
      <c r="M60" s="1" t="str">
        <f ca="1">IFERROR(__xludf.dummyfunction("VLOOKUP(L60, IMPORTRANGE(""https://docs.google.com/spreadsheets/d/1yDAaXNsi4Mr5FtRQL4tbmSdIzhx6_m4wkOD7IG-k_eo/edit#gid=1336395716"", ""Science!M:N""), 2, FALSE)"),"#N/A")</f>
        <v>#N/A</v>
      </c>
      <c r="N60" s="1" t="str">
        <f t="shared" si="8"/>
        <v>.003</v>
      </c>
      <c r="O60" s="1" t="str">
        <f ca="1">IFERROR(__xludf.dummyfunction("VLOOKUP(N60, IMPORTRANGE(""https://docs.google.com/spreadsheets/d/1yDAaXNsi4Mr5FtRQL4tbmSdIzhx6_m4wkOD7IG-k_eo/edit#gid=1336395716"", ""Science!M:N""), 2, FALSE)"),"#N/A")</f>
        <v>#N/A</v>
      </c>
      <c r="P60" s="1" t="str">
        <f t="shared" si="9"/>
        <v>.004</v>
      </c>
      <c r="Q60" s="15" t="str">
        <f ca="1">IFERROR(__xludf.dummyfunction("VLOOKUP(P60, IMPORTRANGE(""https://docs.google.com/spreadsheets/d/1yDAaXNsi4Mr5FtRQL4tbmSdIzhx6_m4wkOD7IG-k_eo/edit#gid=1336395716"", ""Science!M:N""), 2, FALSE)"),"#N/A")</f>
        <v>#N/A</v>
      </c>
      <c r="R60" s="1" t="str">
        <f t="shared" si="10"/>
        <v>.005</v>
      </c>
      <c r="S60" s="15" t="str">
        <f ca="1">IFERROR(__xludf.dummyfunction("VLOOKUP(R60, IMPORTRANGE(""https://docs.google.com/spreadsheets/d/1yDAaXNsi4Mr5FtRQL4tbmSdIzhx6_m4wkOD7IG-k_eo/edit#gid=1336395716"", ""Science!M:N""), 2, FALSE)"),"#N/A")</f>
        <v>#N/A</v>
      </c>
      <c r="T60" s="1" t="str">
        <f t="shared" si="11"/>
        <v>.006</v>
      </c>
      <c r="U60" s="15" t="str">
        <f ca="1">IFERROR(__xludf.dummyfunction("VLOOKUP(T60, IMPORTRANGE(""https://docs.google.com/spreadsheets/d/1yDAaXNsi4Mr5FtRQL4tbmSdIzhx6_m4wkOD7IG-k_eo/edit#gid=1336395716"", ""Science!M:N""), 2, FALSE)"),"#N/A")</f>
        <v>#N/A</v>
      </c>
      <c r="V60" s="113"/>
      <c r="W60" s="113"/>
      <c r="X60" s="113"/>
      <c r="Y60" s="113"/>
      <c r="Z60" s="113"/>
      <c r="AA60" s="113"/>
      <c r="AB60" s="113"/>
      <c r="AC60" s="113"/>
      <c r="AD60" s="113"/>
      <c r="AE60" s="113"/>
      <c r="AF60" s="113"/>
      <c r="AG60" s="113"/>
    </row>
    <row r="61" spans="1:33" ht="13.8">
      <c r="A61" s="113"/>
      <c r="B61" s="113"/>
      <c r="C61" s="113"/>
      <c r="D61" s="113"/>
      <c r="E61" s="113"/>
      <c r="F61" s="113"/>
      <c r="G61" s="113"/>
      <c r="H61" s="113"/>
      <c r="I61" s="113"/>
      <c r="J61" s="1" t="str">
        <f t="shared" si="6"/>
        <v>.001</v>
      </c>
      <c r="K61" s="1" t="str">
        <f ca="1">IFERROR(__xludf.dummyfunction("VLOOKUP(J61, IMPORTRANGE(""https://docs.google.com/spreadsheets/d/1yDAaXNsi4Mr5FtRQL4tbmSdIzhx6_m4wkOD7IG-k_eo/edit#gid=1336395716"", ""Science!M:N""), 2, FALSE)"),"#N/A")</f>
        <v>#N/A</v>
      </c>
      <c r="L61" s="1" t="str">
        <f t="shared" si="7"/>
        <v>.002</v>
      </c>
      <c r="M61" s="1" t="str">
        <f ca="1">IFERROR(__xludf.dummyfunction("VLOOKUP(L61, IMPORTRANGE(""https://docs.google.com/spreadsheets/d/1yDAaXNsi4Mr5FtRQL4tbmSdIzhx6_m4wkOD7IG-k_eo/edit#gid=1336395716"", ""Science!M:N""), 2, FALSE)"),"#N/A")</f>
        <v>#N/A</v>
      </c>
      <c r="N61" s="1" t="str">
        <f t="shared" si="8"/>
        <v>.003</v>
      </c>
      <c r="O61" s="1" t="str">
        <f ca="1">IFERROR(__xludf.dummyfunction("VLOOKUP(N61, IMPORTRANGE(""https://docs.google.com/spreadsheets/d/1yDAaXNsi4Mr5FtRQL4tbmSdIzhx6_m4wkOD7IG-k_eo/edit#gid=1336395716"", ""Science!M:N""), 2, FALSE)"),"#N/A")</f>
        <v>#N/A</v>
      </c>
      <c r="P61" s="1" t="str">
        <f t="shared" si="9"/>
        <v>.004</v>
      </c>
      <c r="Q61" s="15" t="str">
        <f ca="1">IFERROR(__xludf.dummyfunction("VLOOKUP(P61, IMPORTRANGE(""https://docs.google.com/spreadsheets/d/1yDAaXNsi4Mr5FtRQL4tbmSdIzhx6_m4wkOD7IG-k_eo/edit#gid=1336395716"", ""Science!M:N""), 2, FALSE)"),"#N/A")</f>
        <v>#N/A</v>
      </c>
      <c r="R61" s="1" t="str">
        <f t="shared" si="10"/>
        <v>.005</v>
      </c>
      <c r="S61" s="15" t="str">
        <f ca="1">IFERROR(__xludf.dummyfunction("VLOOKUP(R61, IMPORTRANGE(""https://docs.google.com/spreadsheets/d/1yDAaXNsi4Mr5FtRQL4tbmSdIzhx6_m4wkOD7IG-k_eo/edit#gid=1336395716"", ""Science!M:N""), 2, FALSE)"),"#N/A")</f>
        <v>#N/A</v>
      </c>
      <c r="T61" s="1" t="str">
        <f t="shared" si="11"/>
        <v>.006</v>
      </c>
      <c r="U61" s="15" t="str">
        <f ca="1">IFERROR(__xludf.dummyfunction("VLOOKUP(T61, IMPORTRANGE(""https://docs.google.com/spreadsheets/d/1yDAaXNsi4Mr5FtRQL4tbmSdIzhx6_m4wkOD7IG-k_eo/edit#gid=1336395716"", ""Science!M:N""), 2, FALSE)"),"#N/A")</f>
        <v>#N/A</v>
      </c>
      <c r="V61" s="113"/>
      <c r="W61" s="113"/>
      <c r="X61" s="113"/>
      <c r="Y61" s="113"/>
      <c r="Z61" s="113"/>
      <c r="AA61" s="113"/>
      <c r="AB61" s="113"/>
      <c r="AC61" s="113"/>
      <c r="AD61" s="113"/>
      <c r="AE61" s="113"/>
      <c r="AF61" s="113"/>
      <c r="AG61" s="113"/>
    </row>
    <row r="62" spans="1:33" ht="13.8">
      <c r="A62" s="113"/>
      <c r="B62" s="113"/>
      <c r="C62" s="113"/>
      <c r="D62" s="113"/>
      <c r="E62" s="113"/>
      <c r="F62" s="113"/>
      <c r="G62" s="113"/>
      <c r="H62" s="113">
        <v>40</v>
      </c>
      <c r="I62" s="113"/>
      <c r="J62" s="1" t="str">
        <f t="shared" si="6"/>
        <v>.001</v>
      </c>
      <c r="K62" s="1" t="str">
        <f ca="1">IFERROR(__xludf.dummyfunction("VLOOKUP(J62, IMPORTRANGE(""https://docs.google.com/spreadsheets/d/1yDAaXNsi4Mr5FtRQL4tbmSdIzhx6_m4wkOD7IG-k_eo/edit#gid=1336395716"", ""Science!M:N""), 2, FALSE)"),"#N/A")</f>
        <v>#N/A</v>
      </c>
      <c r="L62" s="1" t="str">
        <f t="shared" si="7"/>
        <v>.002</v>
      </c>
      <c r="M62" s="1" t="str">
        <f ca="1">IFERROR(__xludf.dummyfunction("VLOOKUP(L62, IMPORTRANGE(""https://docs.google.com/spreadsheets/d/1yDAaXNsi4Mr5FtRQL4tbmSdIzhx6_m4wkOD7IG-k_eo/edit#gid=1336395716"", ""Science!M:N""), 2, FALSE)"),"#N/A")</f>
        <v>#N/A</v>
      </c>
      <c r="N62" s="1" t="str">
        <f t="shared" si="8"/>
        <v>.003</v>
      </c>
      <c r="O62" s="1" t="str">
        <f ca="1">IFERROR(__xludf.dummyfunction("VLOOKUP(N62, IMPORTRANGE(""https://docs.google.com/spreadsheets/d/1yDAaXNsi4Mr5FtRQL4tbmSdIzhx6_m4wkOD7IG-k_eo/edit#gid=1336395716"", ""Science!M:N""), 2, FALSE)"),"#N/A")</f>
        <v>#N/A</v>
      </c>
      <c r="P62" s="1" t="str">
        <f t="shared" si="9"/>
        <v>.004</v>
      </c>
      <c r="Q62" s="15" t="str">
        <f ca="1">IFERROR(__xludf.dummyfunction("VLOOKUP(P62, IMPORTRANGE(""https://docs.google.com/spreadsheets/d/1yDAaXNsi4Mr5FtRQL4tbmSdIzhx6_m4wkOD7IG-k_eo/edit#gid=1336395716"", ""Science!M:N""), 2, FALSE)"),"#N/A")</f>
        <v>#N/A</v>
      </c>
      <c r="R62" s="1" t="str">
        <f t="shared" si="10"/>
        <v>.005</v>
      </c>
      <c r="S62" s="15" t="str">
        <f ca="1">IFERROR(__xludf.dummyfunction("VLOOKUP(R62, IMPORTRANGE(""https://docs.google.com/spreadsheets/d/1yDAaXNsi4Mr5FtRQL4tbmSdIzhx6_m4wkOD7IG-k_eo/edit#gid=1336395716"", ""Science!M:N""), 2, FALSE)"),"#N/A")</f>
        <v>#N/A</v>
      </c>
      <c r="T62" s="1" t="str">
        <f t="shared" si="11"/>
        <v>.006</v>
      </c>
      <c r="U62" s="15" t="str">
        <f ca="1">IFERROR(__xludf.dummyfunction("VLOOKUP(T62, IMPORTRANGE(""https://docs.google.com/spreadsheets/d/1yDAaXNsi4Mr5FtRQL4tbmSdIzhx6_m4wkOD7IG-k_eo/edit#gid=1336395716"", ""Science!M:N""), 2, FALSE)"),"#N/A")</f>
        <v>#N/A</v>
      </c>
      <c r="V62" s="113"/>
      <c r="W62" s="113"/>
      <c r="X62" s="113"/>
      <c r="Y62" s="113"/>
      <c r="Z62" s="113"/>
      <c r="AA62" s="113"/>
      <c r="AB62" s="113"/>
      <c r="AC62" s="113"/>
      <c r="AD62" s="113"/>
      <c r="AE62" s="113"/>
      <c r="AF62" s="113"/>
      <c r="AG62" s="113"/>
    </row>
    <row r="63" spans="1:33" ht="13.8">
      <c r="A63" s="113"/>
      <c r="B63" s="113"/>
      <c r="C63" s="113"/>
      <c r="D63" s="113"/>
      <c r="E63" s="113"/>
      <c r="F63" s="113"/>
      <c r="G63" s="113"/>
      <c r="H63" s="113"/>
      <c r="I63" s="113"/>
      <c r="J63" s="1" t="str">
        <f t="shared" si="6"/>
        <v>.001</v>
      </c>
      <c r="K63" s="1" t="str">
        <f ca="1">IFERROR(__xludf.dummyfunction("VLOOKUP(J63, IMPORTRANGE(""https://docs.google.com/spreadsheets/d/1yDAaXNsi4Mr5FtRQL4tbmSdIzhx6_m4wkOD7IG-k_eo/edit#gid=1336395716"", ""Science!M:N""), 2, FALSE)"),"#N/A")</f>
        <v>#N/A</v>
      </c>
      <c r="L63" s="1" t="str">
        <f t="shared" si="7"/>
        <v>.002</v>
      </c>
      <c r="M63" s="1" t="str">
        <f ca="1">IFERROR(__xludf.dummyfunction("VLOOKUP(L63, IMPORTRANGE(""https://docs.google.com/spreadsheets/d/1yDAaXNsi4Mr5FtRQL4tbmSdIzhx6_m4wkOD7IG-k_eo/edit#gid=1336395716"", ""Science!M:N""), 2, FALSE)"),"#N/A")</f>
        <v>#N/A</v>
      </c>
      <c r="N63" s="1" t="str">
        <f t="shared" si="8"/>
        <v>.003</v>
      </c>
      <c r="O63" s="1" t="str">
        <f ca="1">IFERROR(__xludf.dummyfunction("VLOOKUP(N63, IMPORTRANGE(""https://docs.google.com/spreadsheets/d/1yDAaXNsi4Mr5FtRQL4tbmSdIzhx6_m4wkOD7IG-k_eo/edit#gid=1336395716"", ""Science!M:N""), 2, FALSE)"),"#N/A")</f>
        <v>#N/A</v>
      </c>
      <c r="P63" s="1" t="str">
        <f t="shared" si="9"/>
        <v>.004</v>
      </c>
      <c r="Q63" s="15" t="str">
        <f ca="1">IFERROR(__xludf.dummyfunction("VLOOKUP(P63, IMPORTRANGE(""https://docs.google.com/spreadsheets/d/1yDAaXNsi4Mr5FtRQL4tbmSdIzhx6_m4wkOD7IG-k_eo/edit#gid=1336395716"", ""Science!M:N""), 2, FALSE)"),"#N/A")</f>
        <v>#N/A</v>
      </c>
      <c r="R63" s="1" t="str">
        <f t="shared" si="10"/>
        <v>.005</v>
      </c>
      <c r="S63" s="15" t="str">
        <f ca="1">IFERROR(__xludf.dummyfunction("VLOOKUP(R63, IMPORTRANGE(""https://docs.google.com/spreadsheets/d/1yDAaXNsi4Mr5FtRQL4tbmSdIzhx6_m4wkOD7IG-k_eo/edit#gid=1336395716"", ""Science!M:N""), 2, FALSE)"),"#N/A")</f>
        <v>#N/A</v>
      </c>
      <c r="T63" s="1" t="str">
        <f t="shared" si="11"/>
        <v>.006</v>
      </c>
      <c r="U63" s="15" t="str">
        <f ca="1">IFERROR(__xludf.dummyfunction("VLOOKUP(T63, IMPORTRANGE(""https://docs.google.com/spreadsheets/d/1yDAaXNsi4Mr5FtRQL4tbmSdIzhx6_m4wkOD7IG-k_eo/edit#gid=1336395716"", ""Science!M:N""), 2, FALSE)"),"#N/A")</f>
        <v>#N/A</v>
      </c>
      <c r="V63" s="113"/>
      <c r="W63" s="113"/>
      <c r="X63" s="113"/>
      <c r="Y63" s="113"/>
      <c r="Z63" s="113"/>
      <c r="AA63" s="113"/>
      <c r="AB63" s="113"/>
      <c r="AC63" s="113"/>
      <c r="AD63" s="113"/>
      <c r="AE63" s="113"/>
      <c r="AF63" s="113"/>
      <c r="AG63" s="113"/>
    </row>
    <row r="64" spans="1:33" ht="13.8">
      <c r="A64" s="113"/>
      <c r="B64" s="113"/>
      <c r="C64" s="113"/>
      <c r="D64" s="113"/>
      <c r="E64" s="113"/>
      <c r="F64" s="113"/>
      <c r="G64" s="113"/>
      <c r="H64" s="113"/>
      <c r="I64" s="113"/>
      <c r="J64" s="113"/>
      <c r="K64" s="113"/>
      <c r="L64" s="113"/>
      <c r="M64" s="113"/>
      <c r="N64" s="113"/>
      <c r="O64" s="113"/>
      <c r="P64" s="113"/>
      <c r="Q64" s="113"/>
      <c r="R64" s="113"/>
      <c r="S64" s="113"/>
      <c r="T64" s="113"/>
      <c r="U64" s="113"/>
      <c r="V64" s="113"/>
      <c r="W64" s="113"/>
      <c r="X64" s="113"/>
      <c r="Y64" s="113"/>
      <c r="Z64" s="113"/>
      <c r="AA64" s="113"/>
      <c r="AB64" s="113"/>
      <c r="AC64" s="113"/>
      <c r="AD64" s="113"/>
      <c r="AE64" s="113"/>
      <c r="AF64" s="113"/>
      <c r="AG64" s="113"/>
    </row>
    <row r="65" spans="1:33" ht="13.8">
      <c r="A65" s="113"/>
      <c r="B65" s="113"/>
      <c r="C65" s="113"/>
      <c r="D65" s="113"/>
      <c r="E65" s="113"/>
      <c r="F65" s="113"/>
      <c r="G65" s="113"/>
      <c r="H65" s="113"/>
      <c r="I65" s="113"/>
      <c r="J65" s="113"/>
      <c r="K65" s="113"/>
      <c r="L65" s="113"/>
      <c r="M65" s="113"/>
      <c r="N65" s="113"/>
      <c r="O65" s="113"/>
      <c r="P65" s="113"/>
      <c r="Q65" s="113"/>
      <c r="R65" s="113"/>
      <c r="S65" s="113"/>
      <c r="T65" s="113"/>
      <c r="U65" s="113"/>
      <c r="V65" s="113"/>
      <c r="W65" s="113"/>
      <c r="X65" s="113"/>
      <c r="Y65" s="113"/>
      <c r="Z65" s="113"/>
      <c r="AA65" s="113"/>
      <c r="AB65" s="113"/>
      <c r="AC65" s="113"/>
      <c r="AD65" s="113"/>
      <c r="AE65" s="113"/>
      <c r="AF65" s="113"/>
      <c r="AG65" s="113"/>
    </row>
    <row r="66" spans="1:33" ht="13.8">
      <c r="A66" s="113"/>
      <c r="B66" s="113"/>
      <c r="C66" s="113"/>
      <c r="D66" s="113"/>
      <c r="E66" s="113"/>
      <c r="F66" s="113"/>
      <c r="G66" s="113"/>
      <c r="H66" s="113"/>
      <c r="I66" s="113"/>
      <c r="J66" s="113"/>
      <c r="K66" s="113"/>
      <c r="L66" s="113"/>
      <c r="M66" s="113"/>
      <c r="N66" s="113"/>
      <c r="O66" s="113"/>
      <c r="P66" s="113"/>
      <c r="Q66" s="113"/>
      <c r="R66" s="113"/>
      <c r="S66" s="113"/>
      <c r="T66" s="113"/>
      <c r="U66" s="113"/>
      <c r="V66" s="113"/>
      <c r="W66" s="113"/>
      <c r="X66" s="113"/>
      <c r="Y66" s="113"/>
      <c r="Z66" s="113"/>
      <c r="AA66" s="113"/>
      <c r="AB66" s="113"/>
      <c r="AC66" s="113"/>
      <c r="AD66" s="113"/>
      <c r="AE66" s="113"/>
      <c r="AF66" s="113"/>
      <c r="AG66" s="113"/>
    </row>
    <row r="67" spans="1:33" ht="13.8">
      <c r="A67" s="113"/>
      <c r="B67" s="113"/>
      <c r="C67" s="113"/>
      <c r="D67" s="113"/>
      <c r="E67" s="113"/>
      <c r="F67" s="113"/>
      <c r="G67" s="113"/>
      <c r="H67" s="113"/>
      <c r="I67" s="113"/>
      <c r="J67" s="113"/>
      <c r="K67" s="113"/>
      <c r="L67" s="113"/>
      <c r="M67" s="113"/>
      <c r="N67" s="113"/>
      <c r="O67" s="113"/>
      <c r="P67" s="113"/>
      <c r="Q67" s="113"/>
      <c r="R67" s="113"/>
      <c r="S67" s="113"/>
      <c r="T67" s="113"/>
      <c r="U67" s="113"/>
      <c r="V67" s="113"/>
      <c r="W67" s="113"/>
      <c r="X67" s="113"/>
      <c r="Y67" s="113"/>
      <c r="Z67" s="113"/>
      <c r="AA67" s="113"/>
      <c r="AB67" s="113"/>
      <c r="AC67" s="113"/>
      <c r="AD67" s="113"/>
      <c r="AE67" s="113"/>
      <c r="AF67" s="113"/>
      <c r="AG67" s="113"/>
    </row>
    <row r="68" spans="1:33" ht="13.8">
      <c r="A68" s="113"/>
      <c r="B68" s="113"/>
      <c r="C68" s="113"/>
      <c r="D68" s="113"/>
      <c r="E68" s="113"/>
      <c r="F68" s="113"/>
      <c r="G68" s="113"/>
      <c r="H68" s="113"/>
      <c r="I68" s="113"/>
      <c r="J68" s="113"/>
      <c r="K68" s="113"/>
      <c r="L68" s="113"/>
      <c r="M68" s="113"/>
      <c r="N68" s="113"/>
      <c r="O68" s="113"/>
      <c r="P68" s="113"/>
      <c r="Q68" s="113"/>
      <c r="R68" s="113"/>
      <c r="S68" s="113"/>
      <c r="T68" s="113"/>
      <c r="U68" s="113"/>
      <c r="V68" s="113"/>
      <c r="W68" s="113"/>
      <c r="X68" s="113"/>
      <c r="Y68" s="113"/>
      <c r="Z68" s="113"/>
      <c r="AA68" s="113"/>
      <c r="AB68" s="113"/>
      <c r="AC68" s="113"/>
      <c r="AD68" s="113"/>
      <c r="AE68" s="113"/>
      <c r="AF68" s="113"/>
      <c r="AG68" s="113"/>
    </row>
    <row r="69" spans="1:33" ht="13.8">
      <c r="A69" s="113"/>
      <c r="B69" s="113"/>
      <c r="C69" s="113"/>
      <c r="D69" s="113"/>
      <c r="E69" s="113"/>
      <c r="F69" s="113"/>
      <c r="G69" s="113"/>
      <c r="H69" s="113"/>
      <c r="I69" s="113"/>
      <c r="J69" s="113"/>
      <c r="K69" s="113"/>
      <c r="L69" s="113"/>
      <c r="M69" s="113"/>
      <c r="N69" s="113"/>
      <c r="O69" s="113"/>
      <c r="P69" s="113"/>
      <c r="Q69" s="113"/>
      <c r="R69" s="113"/>
      <c r="S69" s="113"/>
      <c r="T69" s="113"/>
      <c r="U69" s="113"/>
      <c r="V69" s="113"/>
      <c r="W69" s="113"/>
      <c r="X69" s="113"/>
      <c r="Y69" s="113"/>
      <c r="Z69" s="113"/>
      <c r="AA69" s="113"/>
      <c r="AB69" s="113"/>
      <c r="AC69" s="113"/>
      <c r="AD69" s="113"/>
      <c r="AE69" s="113"/>
      <c r="AF69" s="113"/>
      <c r="AG69" s="113"/>
    </row>
    <row r="70" spans="1:33" ht="13.8">
      <c r="A70" s="113"/>
      <c r="B70" s="113"/>
      <c r="C70" s="113"/>
      <c r="D70" s="113"/>
      <c r="E70" s="113"/>
      <c r="F70" s="113"/>
      <c r="G70" s="113"/>
      <c r="H70" s="113"/>
      <c r="I70" s="113"/>
      <c r="J70" s="113"/>
      <c r="K70" s="113"/>
      <c r="L70" s="113"/>
      <c r="M70" s="113"/>
      <c r="N70" s="113"/>
      <c r="O70" s="113"/>
      <c r="P70" s="113"/>
      <c r="Q70" s="113"/>
      <c r="R70" s="113"/>
      <c r="S70" s="113"/>
      <c r="T70" s="113"/>
      <c r="U70" s="113"/>
      <c r="V70" s="113"/>
      <c r="W70" s="113"/>
      <c r="X70" s="113"/>
      <c r="Y70" s="113"/>
      <c r="Z70" s="113"/>
      <c r="AA70" s="113"/>
      <c r="AB70" s="113"/>
      <c r="AC70" s="113"/>
      <c r="AD70" s="113"/>
      <c r="AE70" s="113"/>
      <c r="AF70" s="113"/>
      <c r="AG70" s="113"/>
    </row>
    <row r="71" spans="1:33" ht="13.8">
      <c r="A71" s="113"/>
      <c r="B71" s="113"/>
      <c r="C71" s="113"/>
      <c r="D71" s="113"/>
      <c r="E71" s="113"/>
      <c r="F71" s="113"/>
      <c r="G71" s="113"/>
      <c r="H71" s="113"/>
      <c r="I71" s="113"/>
      <c r="J71" s="113"/>
      <c r="K71" s="113"/>
      <c r="L71" s="113"/>
      <c r="M71" s="113"/>
      <c r="N71" s="113"/>
      <c r="O71" s="113"/>
      <c r="P71" s="113"/>
      <c r="Q71" s="113"/>
      <c r="R71" s="113"/>
      <c r="S71" s="113"/>
      <c r="T71" s="113"/>
      <c r="U71" s="113"/>
      <c r="V71" s="113"/>
      <c r="W71" s="113"/>
      <c r="X71" s="113"/>
      <c r="Y71" s="113"/>
      <c r="Z71" s="113"/>
      <c r="AA71" s="113"/>
      <c r="AB71" s="113"/>
      <c r="AC71" s="113"/>
      <c r="AD71" s="113"/>
      <c r="AE71" s="113"/>
      <c r="AF71" s="113"/>
      <c r="AG71" s="113"/>
    </row>
    <row r="72" spans="1:33" ht="13.8">
      <c r="A72" s="113"/>
      <c r="B72" s="113"/>
      <c r="C72" s="113"/>
      <c r="D72" s="113"/>
      <c r="E72" s="113"/>
      <c r="F72" s="113"/>
      <c r="G72" s="113"/>
      <c r="H72" s="113"/>
      <c r="I72" s="113"/>
      <c r="J72" s="113"/>
      <c r="K72" s="113"/>
      <c r="L72" s="113"/>
      <c r="M72" s="113"/>
      <c r="N72" s="113"/>
      <c r="O72" s="113"/>
      <c r="P72" s="113"/>
      <c r="Q72" s="113"/>
      <c r="R72" s="113"/>
      <c r="S72" s="113"/>
      <c r="T72" s="113"/>
      <c r="U72" s="113"/>
      <c r="V72" s="113"/>
      <c r="W72" s="113"/>
      <c r="X72" s="113"/>
      <c r="Y72" s="113"/>
      <c r="Z72" s="113"/>
      <c r="AA72" s="113"/>
      <c r="AB72" s="113"/>
      <c r="AC72" s="113"/>
      <c r="AD72" s="113"/>
      <c r="AE72" s="113"/>
      <c r="AF72" s="113"/>
      <c r="AG72" s="113"/>
    </row>
    <row r="73" spans="1:33" ht="13.8">
      <c r="A73" s="113"/>
      <c r="B73" s="113"/>
      <c r="C73" s="113"/>
      <c r="D73" s="113"/>
      <c r="E73" s="113"/>
      <c r="F73" s="113"/>
      <c r="G73" s="113"/>
      <c r="H73" s="113"/>
      <c r="I73" s="113"/>
      <c r="J73" s="113"/>
      <c r="K73" s="113"/>
      <c r="L73" s="113"/>
      <c r="M73" s="113"/>
      <c r="N73" s="113"/>
      <c r="O73" s="113"/>
      <c r="P73" s="113"/>
      <c r="Q73" s="113"/>
      <c r="R73" s="113"/>
      <c r="S73" s="113"/>
      <c r="T73" s="113"/>
      <c r="U73" s="113"/>
      <c r="V73" s="113"/>
      <c r="W73" s="113"/>
      <c r="X73" s="113"/>
      <c r="Y73" s="113"/>
      <c r="Z73" s="113"/>
      <c r="AA73" s="113"/>
      <c r="AB73" s="113"/>
      <c r="AC73" s="113"/>
      <c r="AD73" s="113"/>
      <c r="AE73" s="113"/>
      <c r="AF73" s="113"/>
      <c r="AG73" s="113"/>
    </row>
    <row r="74" spans="1:33" ht="13.8">
      <c r="A74" s="113"/>
      <c r="B74" s="113"/>
      <c r="C74" s="113"/>
      <c r="D74" s="113"/>
      <c r="E74" s="113"/>
      <c r="F74" s="113"/>
      <c r="G74" s="113"/>
      <c r="H74" s="113"/>
      <c r="I74" s="113"/>
      <c r="J74" s="113"/>
      <c r="K74" s="113"/>
      <c r="L74" s="113"/>
      <c r="M74" s="113"/>
      <c r="N74" s="113"/>
      <c r="O74" s="113"/>
      <c r="P74" s="113"/>
      <c r="Q74" s="113"/>
      <c r="R74" s="113"/>
      <c r="S74" s="113"/>
      <c r="T74" s="113"/>
      <c r="U74" s="113"/>
      <c r="V74" s="113"/>
      <c r="W74" s="113"/>
      <c r="X74" s="113"/>
      <c r="Y74" s="113"/>
      <c r="Z74" s="113"/>
      <c r="AA74" s="113"/>
      <c r="AB74" s="113"/>
      <c r="AC74" s="113"/>
      <c r="AD74" s="113"/>
      <c r="AE74" s="113"/>
      <c r="AF74" s="113"/>
      <c r="AG74" s="113"/>
    </row>
    <row r="75" spans="1:33" ht="13.8">
      <c r="A75" s="113"/>
      <c r="B75" s="113"/>
      <c r="C75" s="113"/>
      <c r="D75" s="113"/>
      <c r="E75" s="113"/>
      <c r="F75" s="113"/>
      <c r="G75" s="113"/>
      <c r="H75" s="113"/>
      <c r="I75" s="113"/>
      <c r="J75" s="113"/>
      <c r="K75" s="113"/>
      <c r="L75" s="113"/>
      <c r="M75" s="113"/>
      <c r="N75" s="113"/>
      <c r="O75" s="113"/>
      <c r="P75" s="113"/>
      <c r="Q75" s="113"/>
      <c r="R75" s="113"/>
      <c r="S75" s="113"/>
      <c r="T75" s="113"/>
      <c r="U75" s="113"/>
      <c r="V75" s="113"/>
      <c r="W75" s="113"/>
      <c r="X75" s="113"/>
      <c r="Y75" s="113"/>
      <c r="Z75" s="113"/>
      <c r="AA75" s="113"/>
      <c r="AB75" s="113"/>
      <c r="AC75" s="113"/>
      <c r="AD75" s="113"/>
      <c r="AE75" s="113"/>
      <c r="AF75" s="113"/>
      <c r="AG75" s="113"/>
    </row>
    <row r="76" spans="1:33" ht="13.8">
      <c r="A76" s="113"/>
      <c r="B76" s="113"/>
      <c r="C76" s="113"/>
      <c r="D76" s="113"/>
      <c r="E76" s="113"/>
      <c r="F76" s="113"/>
      <c r="G76" s="113"/>
      <c r="H76" s="113"/>
      <c r="I76" s="113"/>
      <c r="J76" s="113"/>
      <c r="K76" s="113"/>
      <c r="L76" s="113"/>
      <c r="M76" s="113"/>
      <c r="N76" s="113"/>
      <c r="O76" s="113"/>
      <c r="P76" s="113"/>
      <c r="Q76" s="113"/>
      <c r="R76" s="113"/>
      <c r="S76" s="113"/>
      <c r="T76" s="113"/>
      <c r="U76" s="113"/>
      <c r="V76" s="113"/>
      <c r="W76" s="113"/>
      <c r="X76" s="113"/>
      <c r="Y76" s="113"/>
      <c r="Z76" s="113"/>
      <c r="AA76" s="113"/>
      <c r="AB76" s="113"/>
      <c r="AC76" s="113"/>
      <c r="AD76" s="113"/>
      <c r="AE76" s="113"/>
      <c r="AF76" s="113"/>
      <c r="AG76" s="113"/>
    </row>
    <row r="77" spans="1:33" ht="13.8">
      <c r="A77" s="113"/>
      <c r="B77" s="113"/>
      <c r="C77" s="113"/>
      <c r="D77" s="113"/>
      <c r="E77" s="113"/>
      <c r="F77" s="113"/>
      <c r="G77" s="113"/>
      <c r="H77" s="113"/>
      <c r="I77" s="113"/>
      <c r="J77" s="113"/>
      <c r="K77" s="113"/>
      <c r="L77" s="113"/>
      <c r="M77" s="113"/>
      <c r="N77" s="113"/>
      <c r="O77" s="113"/>
      <c r="P77" s="113"/>
      <c r="Q77" s="113"/>
      <c r="R77" s="113"/>
      <c r="S77" s="113"/>
      <c r="T77" s="113"/>
      <c r="U77" s="113"/>
      <c r="V77" s="113"/>
      <c r="W77" s="113"/>
      <c r="X77" s="113"/>
      <c r="Y77" s="113"/>
      <c r="Z77" s="113"/>
      <c r="AA77" s="113"/>
      <c r="AB77" s="113"/>
      <c r="AC77" s="113"/>
      <c r="AD77" s="113"/>
      <c r="AE77" s="113"/>
      <c r="AF77" s="113"/>
      <c r="AG77" s="113"/>
    </row>
    <row r="78" spans="1:33" ht="13.8">
      <c r="A78" s="113"/>
      <c r="B78" s="113"/>
      <c r="C78" s="113"/>
      <c r="D78" s="113"/>
      <c r="E78" s="113"/>
      <c r="F78" s="113"/>
      <c r="G78" s="113"/>
      <c r="H78" s="113"/>
      <c r="I78" s="113"/>
      <c r="J78" s="113"/>
      <c r="K78" s="113"/>
      <c r="L78" s="113"/>
      <c r="M78" s="113"/>
      <c r="N78" s="113"/>
      <c r="O78" s="113"/>
      <c r="P78" s="113"/>
      <c r="Q78" s="113"/>
      <c r="R78" s="113"/>
      <c r="S78" s="113"/>
      <c r="T78" s="113"/>
      <c r="U78" s="113"/>
      <c r="V78" s="113"/>
      <c r="W78" s="113"/>
      <c r="X78" s="113"/>
      <c r="Y78" s="113"/>
      <c r="Z78" s="113"/>
      <c r="AA78" s="113"/>
      <c r="AB78" s="113"/>
      <c r="AC78" s="113"/>
      <c r="AD78" s="113"/>
      <c r="AE78" s="113"/>
      <c r="AF78" s="113"/>
      <c r="AG78" s="113"/>
    </row>
    <row r="79" spans="1:33" ht="13.8">
      <c r="A79" s="113"/>
      <c r="B79" s="113"/>
      <c r="C79" s="113"/>
      <c r="D79" s="113"/>
      <c r="E79" s="113"/>
      <c r="F79" s="113"/>
      <c r="G79" s="113"/>
      <c r="H79" s="113"/>
      <c r="I79" s="113"/>
      <c r="J79" s="113"/>
      <c r="K79" s="113"/>
      <c r="L79" s="113"/>
      <c r="M79" s="113"/>
      <c r="N79" s="113"/>
      <c r="O79" s="113"/>
      <c r="P79" s="113"/>
      <c r="Q79" s="113"/>
      <c r="R79" s="113"/>
      <c r="S79" s="113"/>
      <c r="T79" s="113"/>
      <c r="U79" s="113"/>
      <c r="V79" s="113"/>
      <c r="W79" s="113"/>
      <c r="X79" s="113"/>
      <c r="Y79" s="113"/>
      <c r="Z79" s="113"/>
      <c r="AA79" s="113"/>
      <c r="AB79" s="113"/>
      <c r="AC79" s="113"/>
      <c r="AD79" s="113"/>
      <c r="AE79" s="113"/>
      <c r="AF79" s="113"/>
      <c r="AG79" s="113"/>
    </row>
    <row r="80" spans="1:33" ht="13.8">
      <c r="A80" s="113"/>
      <c r="B80" s="113"/>
      <c r="C80" s="113"/>
      <c r="D80" s="113"/>
      <c r="E80" s="113"/>
      <c r="F80" s="113"/>
      <c r="G80" s="113"/>
      <c r="H80" s="113"/>
      <c r="I80" s="113"/>
      <c r="J80" s="113"/>
      <c r="K80" s="113"/>
      <c r="L80" s="113"/>
      <c r="M80" s="113"/>
      <c r="N80" s="113"/>
      <c r="O80" s="113"/>
      <c r="P80" s="113"/>
      <c r="Q80" s="113"/>
      <c r="R80" s="113"/>
      <c r="S80" s="113"/>
      <c r="T80" s="113"/>
      <c r="U80" s="113"/>
      <c r="V80" s="113"/>
      <c r="W80" s="113"/>
      <c r="X80" s="113"/>
      <c r="Y80" s="113"/>
      <c r="Z80" s="113"/>
      <c r="AA80" s="113"/>
      <c r="AB80" s="113"/>
      <c r="AC80" s="113"/>
      <c r="AD80" s="113"/>
      <c r="AE80" s="113"/>
      <c r="AF80" s="113"/>
      <c r="AG80" s="113"/>
    </row>
    <row r="81" spans="1:33" ht="13.8">
      <c r="A81" s="113"/>
      <c r="B81" s="113"/>
      <c r="C81" s="113"/>
      <c r="D81" s="113"/>
      <c r="E81" s="113"/>
      <c r="F81" s="113"/>
      <c r="G81" s="113"/>
      <c r="H81" s="113"/>
      <c r="I81" s="113"/>
      <c r="J81" s="113"/>
      <c r="K81" s="113"/>
      <c r="L81" s="113"/>
      <c r="M81" s="113"/>
      <c r="N81" s="113"/>
      <c r="O81" s="113"/>
      <c r="P81" s="113"/>
      <c r="Q81" s="113"/>
      <c r="R81" s="113"/>
      <c r="S81" s="113"/>
      <c r="T81" s="113"/>
      <c r="U81" s="113"/>
      <c r="V81" s="113"/>
      <c r="W81" s="113"/>
      <c r="X81" s="113"/>
      <c r="Y81" s="113"/>
      <c r="Z81" s="113"/>
      <c r="AA81" s="113"/>
      <c r="AB81" s="113"/>
      <c r="AC81" s="113"/>
      <c r="AD81" s="113"/>
      <c r="AE81" s="113"/>
      <c r="AF81" s="113"/>
      <c r="AG81" s="113"/>
    </row>
    <row r="82" spans="1:33" ht="13.8">
      <c r="A82" s="113"/>
      <c r="B82" s="113"/>
      <c r="C82" s="113"/>
      <c r="D82" s="113"/>
      <c r="E82" s="113"/>
      <c r="F82" s="113"/>
      <c r="G82" s="113"/>
      <c r="H82" s="113"/>
      <c r="I82" s="113"/>
      <c r="J82" s="113"/>
      <c r="K82" s="113"/>
      <c r="L82" s="113"/>
      <c r="M82" s="113"/>
      <c r="N82" s="113"/>
      <c r="O82" s="113"/>
      <c r="P82" s="113"/>
      <c r="Q82" s="113"/>
      <c r="R82" s="113"/>
      <c r="S82" s="113"/>
      <c r="T82" s="113"/>
      <c r="U82" s="113"/>
      <c r="V82" s="113"/>
      <c r="W82" s="113"/>
      <c r="X82" s="113"/>
      <c r="Y82" s="113"/>
      <c r="Z82" s="113"/>
      <c r="AA82" s="113"/>
      <c r="AB82" s="113"/>
      <c r="AC82" s="113"/>
      <c r="AD82" s="113"/>
      <c r="AE82" s="113"/>
      <c r="AF82" s="113"/>
      <c r="AG82" s="113"/>
    </row>
    <row r="83" spans="1:33" ht="13.8">
      <c r="A83" s="113"/>
      <c r="B83" s="113"/>
      <c r="C83" s="113"/>
      <c r="D83" s="113"/>
      <c r="E83" s="113"/>
      <c r="F83" s="113"/>
      <c r="G83" s="113"/>
      <c r="H83" s="113"/>
      <c r="I83" s="113"/>
      <c r="J83" s="113"/>
      <c r="K83" s="113"/>
      <c r="L83" s="113"/>
      <c r="M83" s="113"/>
      <c r="N83" s="113"/>
      <c r="O83" s="113"/>
      <c r="P83" s="113"/>
      <c r="Q83" s="113"/>
      <c r="R83" s="113"/>
      <c r="S83" s="113"/>
      <c r="T83" s="113"/>
      <c r="U83" s="113"/>
      <c r="V83" s="113"/>
      <c r="W83" s="113"/>
      <c r="X83" s="113"/>
      <c r="Y83" s="113"/>
      <c r="Z83" s="113"/>
      <c r="AA83" s="113"/>
      <c r="AB83" s="113"/>
      <c r="AC83" s="113"/>
      <c r="AD83" s="113"/>
      <c r="AE83" s="113"/>
      <c r="AF83" s="113"/>
      <c r="AG83" s="113"/>
    </row>
    <row r="84" spans="1:33" ht="13.8">
      <c r="A84" s="113"/>
      <c r="B84" s="113"/>
      <c r="C84" s="113"/>
      <c r="D84" s="113"/>
      <c r="E84" s="113"/>
      <c r="F84" s="113"/>
      <c r="G84" s="113"/>
      <c r="H84" s="113"/>
      <c r="I84" s="113"/>
      <c r="J84" s="113"/>
      <c r="K84" s="113"/>
      <c r="L84" s="113"/>
      <c r="M84" s="113"/>
      <c r="N84" s="113"/>
      <c r="O84" s="113"/>
      <c r="P84" s="113"/>
      <c r="Q84" s="113"/>
      <c r="R84" s="113"/>
      <c r="S84" s="113"/>
      <c r="T84" s="113"/>
      <c r="U84" s="113"/>
      <c r="V84" s="113"/>
      <c r="W84" s="113"/>
      <c r="X84" s="113"/>
      <c r="Y84" s="113"/>
      <c r="Z84" s="113"/>
      <c r="AA84" s="113"/>
      <c r="AB84" s="113"/>
      <c r="AC84" s="113"/>
      <c r="AD84" s="113"/>
      <c r="AE84" s="113"/>
      <c r="AF84" s="113"/>
      <c r="AG84" s="113"/>
    </row>
    <row r="85" spans="1:33" ht="13.8">
      <c r="A85" s="113"/>
      <c r="B85" s="113"/>
      <c r="C85" s="113"/>
      <c r="D85" s="113"/>
      <c r="E85" s="113"/>
      <c r="F85" s="113"/>
      <c r="G85" s="113"/>
      <c r="H85" s="113"/>
      <c r="I85" s="113"/>
      <c r="J85" s="113"/>
      <c r="K85" s="113"/>
      <c r="L85" s="113"/>
      <c r="M85" s="113"/>
      <c r="N85" s="113"/>
      <c r="O85" s="113"/>
      <c r="P85" s="113"/>
      <c r="Q85" s="113"/>
      <c r="R85" s="113"/>
      <c r="S85" s="113"/>
      <c r="T85" s="113"/>
      <c r="U85" s="113"/>
      <c r="V85" s="113"/>
      <c r="W85" s="113"/>
      <c r="X85" s="113"/>
      <c r="Y85" s="113"/>
      <c r="Z85" s="113"/>
      <c r="AA85" s="113"/>
      <c r="AB85" s="113"/>
      <c r="AC85" s="113"/>
      <c r="AD85" s="113"/>
      <c r="AE85" s="113"/>
      <c r="AF85" s="113"/>
      <c r="AG85" s="113"/>
    </row>
    <row r="86" spans="1:33" ht="13.8">
      <c r="A86" s="113"/>
      <c r="B86" s="113"/>
      <c r="C86" s="113"/>
      <c r="D86" s="113"/>
      <c r="E86" s="113"/>
      <c r="F86" s="113"/>
      <c r="G86" s="113"/>
      <c r="H86" s="113"/>
      <c r="I86" s="113"/>
      <c r="J86" s="113"/>
      <c r="K86" s="113"/>
      <c r="L86" s="113"/>
      <c r="M86" s="113"/>
      <c r="N86" s="113"/>
      <c r="O86" s="113"/>
      <c r="P86" s="113"/>
      <c r="Q86" s="113"/>
      <c r="R86" s="113"/>
      <c r="S86" s="113"/>
      <c r="T86" s="113"/>
      <c r="U86" s="113"/>
      <c r="V86" s="113"/>
      <c r="W86" s="113"/>
      <c r="X86" s="113"/>
      <c r="Y86" s="113"/>
      <c r="Z86" s="113"/>
      <c r="AA86" s="113"/>
      <c r="AB86" s="113"/>
      <c r="AC86" s="113"/>
      <c r="AD86" s="113"/>
      <c r="AE86" s="113"/>
      <c r="AF86" s="113"/>
      <c r="AG86" s="113"/>
    </row>
    <row r="87" spans="1:33" ht="13.8">
      <c r="A87" s="113"/>
      <c r="B87" s="113"/>
      <c r="C87" s="113"/>
      <c r="D87" s="113"/>
      <c r="E87" s="113"/>
      <c r="F87" s="113"/>
      <c r="G87" s="113"/>
      <c r="H87" s="113"/>
      <c r="I87" s="113"/>
      <c r="J87" s="113"/>
      <c r="K87" s="113"/>
      <c r="L87" s="113"/>
      <c r="M87" s="113"/>
      <c r="N87" s="113"/>
      <c r="O87" s="113"/>
      <c r="P87" s="113"/>
      <c r="Q87" s="113"/>
      <c r="R87" s="113"/>
      <c r="S87" s="113"/>
      <c r="T87" s="113"/>
      <c r="U87" s="113"/>
      <c r="V87" s="113"/>
      <c r="W87" s="113"/>
      <c r="X87" s="113"/>
      <c r="Y87" s="113"/>
      <c r="Z87" s="113"/>
      <c r="AA87" s="113"/>
      <c r="AB87" s="113"/>
      <c r="AC87" s="113"/>
      <c r="AD87" s="113"/>
      <c r="AE87" s="113"/>
      <c r="AF87" s="113"/>
      <c r="AG87" s="113"/>
    </row>
    <row r="88" spans="1:33" ht="13.8">
      <c r="A88" s="113"/>
      <c r="B88" s="113"/>
      <c r="C88" s="113"/>
      <c r="D88" s="113"/>
      <c r="E88" s="113"/>
      <c r="F88" s="113"/>
      <c r="G88" s="113"/>
      <c r="H88" s="113"/>
      <c r="I88" s="113"/>
      <c r="J88" s="113"/>
      <c r="K88" s="113"/>
      <c r="L88" s="113"/>
      <c r="M88" s="113"/>
      <c r="N88" s="113"/>
      <c r="O88" s="113"/>
      <c r="P88" s="113"/>
      <c r="Q88" s="113"/>
      <c r="R88" s="113"/>
      <c r="S88" s="113"/>
      <c r="T88" s="113"/>
      <c r="U88" s="113"/>
      <c r="V88" s="113"/>
      <c r="W88" s="113"/>
      <c r="X88" s="113"/>
      <c r="Y88" s="113"/>
      <c r="Z88" s="113"/>
      <c r="AA88" s="113"/>
      <c r="AB88" s="113"/>
      <c r="AC88" s="113"/>
      <c r="AD88" s="113"/>
      <c r="AE88" s="113"/>
      <c r="AF88" s="113"/>
      <c r="AG88" s="113"/>
    </row>
    <row r="89" spans="1:33" ht="13.8">
      <c r="A89" s="113"/>
      <c r="B89" s="113"/>
      <c r="C89" s="113"/>
      <c r="D89" s="113"/>
      <c r="E89" s="113"/>
      <c r="F89" s="113"/>
      <c r="G89" s="113"/>
      <c r="H89" s="113"/>
      <c r="I89" s="113"/>
      <c r="J89" s="113"/>
      <c r="K89" s="113"/>
      <c r="L89" s="113"/>
      <c r="M89" s="113"/>
      <c r="N89" s="113"/>
      <c r="O89" s="113"/>
      <c r="P89" s="113"/>
      <c r="Q89" s="113"/>
      <c r="R89" s="113"/>
      <c r="S89" s="113"/>
      <c r="T89" s="113"/>
      <c r="U89" s="113"/>
      <c r="V89" s="113"/>
      <c r="W89" s="113"/>
      <c r="X89" s="113"/>
      <c r="Y89" s="113"/>
      <c r="Z89" s="113"/>
      <c r="AA89" s="113"/>
      <c r="AB89" s="113"/>
      <c r="AC89" s="113"/>
      <c r="AD89" s="113"/>
      <c r="AE89" s="113"/>
      <c r="AF89" s="113"/>
      <c r="AG89" s="113"/>
    </row>
    <row r="90" spans="1:33" ht="13.8">
      <c r="A90" s="113"/>
      <c r="B90" s="113"/>
      <c r="C90" s="113"/>
      <c r="D90" s="113"/>
      <c r="E90" s="113"/>
      <c r="F90" s="113"/>
      <c r="G90" s="113"/>
      <c r="H90" s="113"/>
      <c r="I90" s="113"/>
      <c r="J90" s="113"/>
      <c r="K90" s="113"/>
      <c r="L90" s="113"/>
      <c r="M90" s="113"/>
      <c r="N90" s="113"/>
      <c r="O90" s="113"/>
      <c r="P90" s="113"/>
      <c r="Q90" s="113"/>
      <c r="R90" s="113"/>
      <c r="S90" s="113"/>
      <c r="T90" s="113"/>
      <c r="U90" s="113"/>
      <c r="V90" s="113"/>
      <c r="W90" s="113"/>
      <c r="X90" s="113"/>
      <c r="Y90" s="113"/>
      <c r="Z90" s="113"/>
      <c r="AA90" s="113"/>
      <c r="AB90" s="113"/>
      <c r="AC90" s="113"/>
      <c r="AD90" s="113"/>
      <c r="AE90" s="113"/>
      <c r="AF90" s="113"/>
      <c r="AG90" s="113"/>
    </row>
    <row r="91" spans="1:33" ht="13.8">
      <c r="A91" s="113"/>
      <c r="B91" s="113"/>
      <c r="C91" s="113"/>
      <c r="D91" s="113"/>
      <c r="E91" s="113"/>
      <c r="F91" s="113"/>
      <c r="G91" s="113"/>
      <c r="H91" s="113"/>
      <c r="I91" s="113"/>
      <c r="J91" s="113"/>
      <c r="K91" s="113"/>
      <c r="L91" s="113"/>
      <c r="M91" s="113"/>
      <c r="N91" s="113"/>
      <c r="O91" s="113"/>
      <c r="P91" s="113"/>
      <c r="Q91" s="113"/>
      <c r="R91" s="113"/>
      <c r="S91" s="113"/>
      <c r="T91" s="113"/>
      <c r="U91" s="113"/>
      <c r="V91" s="113"/>
      <c r="W91" s="113"/>
      <c r="X91" s="113"/>
      <c r="Y91" s="113"/>
      <c r="Z91" s="113"/>
      <c r="AA91" s="113"/>
      <c r="AB91" s="113"/>
      <c r="AC91" s="113"/>
      <c r="AD91" s="113"/>
      <c r="AE91" s="113"/>
      <c r="AF91" s="113"/>
      <c r="AG91" s="113"/>
    </row>
    <row r="92" spans="1:33" ht="13.8">
      <c r="A92" s="113"/>
      <c r="B92" s="113"/>
      <c r="C92" s="113"/>
      <c r="D92" s="113"/>
      <c r="E92" s="113"/>
      <c r="F92" s="113"/>
      <c r="G92" s="113"/>
      <c r="H92" s="113"/>
      <c r="I92" s="113"/>
      <c r="J92" s="113"/>
      <c r="K92" s="113"/>
      <c r="L92" s="113"/>
      <c r="M92" s="113"/>
      <c r="N92" s="113"/>
      <c r="O92" s="113"/>
      <c r="P92" s="113"/>
      <c r="Q92" s="113"/>
      <c r="R92" s="113"/>
      <c r="S92" s="113"/>
      <c r="T92" s="113"/>
      <c r="U92" s="113"/>
      <c r="V92" s="113"/>
      <c r="W92" s="113"/>
      <c r="X92" s="113"/>
      <c r="Y92" s="113"/>
      <c r="Z92" s="113"/>
      <c r="AA92" s="113"/>
      <c r="AB92" s="113"/>
      <c r="AC92" s="113"/>
      <c r="AD92" s="113"/>
      <c r="AE92" s="113"/>
      <c r="AF92" s="113"/>
      <c r="AG92" s="113"/>
    </row>
    <row r="93" spans="1:33" ht="13.8">
      <c r="A93" s="113"/>
      <c r="B93" s="113"/>
      <c r="C93" s="113"/>
      <c r="D93" s="113"/>
      <c r="E93" s="113"/>
      <c r="F93" s="113"/>
      <c r="G93" s="113"/>
      <c r="H93" s="113"/>
      <c r="I93" s="113"/>
      <c r="J93" s="113"/>
      <c r="K93" s="113"/>
      <c r="L93" s="113"/>
      <c r="M93" s="113"/>
      <c r="N93" s="113"/>
      <c r="O93" s="113"/>
      <c r="P93" s="113"/>
      <c r="Q93" s="113"/>
      <c r="R93" s="113"/>
      <c r="S93" s="113"/>
      <c r="T93" s="113"/>
      <c r="U93" s="113"/>
      <c r="V93" s="113"/>
      <c r="W93" s="113"/>
      <c r="X93" s="113"/>
      <c r="Y93" s="113"/>
      <c r="Z93" s="113"/>
      <c r="AA93" s="113"/>
      <c r="AB93" s="113"/>
      <c r="AC93" s="113"/>
      <c r="AD93" s="113"/>
      <c r="AE93" s="113"/>
      <c r="AF93" s="113"/>
      <c r="AG93" s="113"/>
    </row>
    <row r="94" spans="1:33" ht="13.8">
      <c r="A94" s="113"/>
      <c r="B94" s="113"/>
      <c r="C94" s="113"/>
      <c r="D94" s="113"/>
      <c r="E94" s="113"/>
      <c r="F94" s="113"/>
      <c r="G94" s="113"/>
      <c r="H94" s="113"/>
      <c r="I94" s="113"/>
      <c r="J94" s="113"/>
      <c r="K94" s="113"/>
      <c r="L94" s="113"/>
      <c r="M94" s="113"/>
      <c r="N94" s="113"/>
      <c r="O94" s="113"/>
      <c r="P94" s="113"/>
      <c r="Q94" s="113"/>
      <c r="R94" s="113"/>
      <c r="S94" s="113"/>
      <c r="T94" s="113"/>
      <c r="U94" s="113"/>
      <c r="V94" s="113"/>
      <c r="W94" s="113"/>
      <c r="X94" s="113"/>
      <c r="Y94" s="113"/>
      <c r="Z94" s="113"/>
      <c r="AA94" s="113"/>
      <c r="AB94" s="113"/>
      <c r="AC94" s="113"/>
      <c r="AD94" s="113"/>
      <c r="AE94" s="113"/>
      <c r="AF94" s="113"/>
      <c r="AG94" s="113"/>
    </row>
    <row r="95" spans="1:33" ht="13.8">
      <c r="A95" s="113"/>
      <c r="B95" s="113"/>
      <c r="C95" s="113"/>
      <c r="D95" s="113"/>
      <c r="E95" s="113"/>
      <c r="F95" s="113"/>
      <c r="G95" s="113"/>
      <c r="H95" s="113"/>
      <c r="I95" s="113"/>
      <c r="J95" s="113"/>
      <c r="K95" s="113"/>
      <c r="L95" s="113"/>
      <c r="M95" s="113"/>
      <c r="N95" s="113"/>
      <c r="O95" s="113"/>
      <c r="P95" s="113"/>
      <c r="Q95" s="113"/>
      <c r="R95" s="113"/>
      <c r="S95" s="113"/>
      <c r="T95" s="113"/>
      <c r="U95" s="113"/>
      <c r="V95" s="113"/>
      <c r="W95" s="113"/>
      <c r="X95" s="113"/>
      <c r="Y95" s="113"/>
      <c r="Z95" s="113"/>
      <c r="AA95" s="113"/>
      <c r="AB95" s="113"/>
      <c r="AC95" s="113"/>
      <c r="AD95" s="113"/>
      <c r="AE95" s="113"/>
      <c r="AF95" s="113"/>
      <c r="AG95" s="113"/>
    </row>
    <row r="96" spans="1:33" ht="13.8">
      <c r="A96" s="113"/>
      <c r="B96" s="113"/>
      <c r="C96" s="113"/>
      <c r="D96" s="113"/>
      <c r="E96" s="113"/>
      <c r="F96" s="113"/>
      <c r="G96" s="113"/>
      <c r="H96" s="113"/>
      <c r="I96" s="113"/>
      <c r="J96" s="113"/>
      <c r="K96" s="113"/>
      <c r="L96" s="113"/>
      <c r="M96" s="113"/>
      <c r="N96" s="113"/>
      <c r="O96" s="113"/>
      <c r="P96" s="113"/>
      <c r="Q96" s="113"/>
      <c r="R96" s="113"/>
      <c r="S96" s="113"/>
      <c r="T96" s="113"/>
      <c r="U96" s="113"/>
      <c r="V96" s="113"/>
      <c r="W96" s="113"/>
      <c r="X96" s="113"/>
      <c r="Y96" s="113"/>
      <c r="Z96" s="113"/>
      <c r="AA96" s="113"/>
      <c r="AB96" s="113"/>
      <c r="AC96" s="113"/>
      <c r="AD96" s="113"/>
      <c r="AE96" s="113"/>
      <c r="AF96" s="113"/>
      <c r="AG96" s="113"/>
    </row>
    <row r="97" spans="1:33" ht="13.8">
      <c r="A97" s="113"/>
      <c r="B97" s="113"/>
      <c r="C97" s="113"/>
      <c r="D97" s="113"/>
      <c r="E97" s="113"/>
      <c r="F97" s="113"/>
      <c r="G97" s="113"/>
      <c r="H97" s="113"/>
      <c r="I97" s="113"/>
      <c r="J97" s="113"/>
      <c r="K97" s="113"/>
      <c r="L97" s="113"/>
      <c r="M97" s="113"/>
      <c r="N97" s="113"/>
      <c r="O97" s="113"/>
      <c r="P97" s="113"/>
      <c r="Q97" s="113"/>
      <c r="R97" s="113"/>
      <c r="S97" s="113"/>
      <c r="T97" s="113"/>
      <c r="U97" s="113"/>
      <c r="V97" s="113"/>
      <c r="W97" s="113"/>
      <c r="X97" s="113"/>
      <c r="Y97" s="113"/>
      <c r="Z97" s="113"/>
      <c r="AA97" s="113"/>
      <c r="AB97" s="113"/>
      <c r="AC97" s="113"/>
      <c r="AD97" s="113"/>
      <c r="AE97" s="113"/>
      <c r="AF97" s="113"/>
      <c r="AG97" s="113"/>
    </row>
    <row r="98" spans="1:33" ht="13.8">
      <c r="A98" s="113"/>
      <c r="B98" s="113"/>
      <c r="C98" s="113"/>
      <c r="D98" s="113"/>
      <c r="E98" s="113"/>
      <c r="F98" s="113"/>
      <c r="G98" s="113"/>
      <c r="H98" s="113"/>
      <c r="I98" s="113"/>
      <c r="J98" s="113"/>
      <c r="K98" s="113"/>
      <c r="L98" s="113"/>
      <c r="M98" s="113"/>
      <c r="N98" s="113"/>
      <c r="O98" s="113"/>
      <c r="P98" s="113"/>
      <c r="Q98" s="113"/>
      <c r="R98" s="113"/>
      <c r="S98" s="113"/>
      <c r="T98" s="113"/>
      <c r="U98" s="113"/>
      <c r="V98" s="113"/>
      <c r="W98" s="113"/>
      <c r="X98" s="113"/>
      <c r="Y98" s="113"/>
      <c r="Z98" s="113"/>
      <c r="AA98" s="113"/>
      <c r="AB98" s="113"/>
      <c r="AC98" s="113"/>
      <c r="AD98" s="113"/>
      <c r="AE98" s="113"/>
      <c r="AF98" s="113"/>
      <c r="AG98" s="113"/>
    </row>
    <row r="99" spans="1:33" ht="13.8">
      <c r="A99" s="113"/>
      <c r="B99" s="113"/>
      <c r="C99" s="113"/>
      <c r="D99" s="113"/>
      <c r="E99" s="113"/>
      <c r="F99" s="113"/>
      <c r="G99" s="113"/>
      <c r="H99" s="113"/>
      <c r="I99" s="113"/>
      <c r="J99" s="113"/>
      <c r="K99" s="113"/>
      <c r="L99" s="113"/>
      <c r="M99" s="113"/>
      <c r="N99" s="113"/>
      <c r="O99" s="113"/>
      <c r="P99" s="113"/>
      <c r="Q99" s="113"/>
      <c r="R99" s="113"/>
      <c r="S99" s="113"/>
      <c r="T99" s="113"/>
      <c r="U99" s="113"/>
      <c r="V99" s="113"/>
      <c r="W99" s="113"/>
      <c r="X99" s="113"/>
      <c r="Y99" s="113"/>
      <c r="Z99" s="113"/>
      <c r="AA99" s="113"/>
      <c r="AB99" s="113"/>
      <c r="AC99" s="113"/>
      <c r="AD99" s="113"/>
      <c r="AE99" s="113"/>
      <c r="AF99" s="113"/>
      <c r="AG99" s="113"/>
    </row>
    <row r="100" spans="1:33" ht="13.8">
      <c r="A100" s="113"/>
      <c r="B100" s="113"/>
      <c r="C100" s="113"/>
      <c r="D100" s="113"/>
      <c r="E100" s="113"/>
      <c r="F100" s="113"/>
      <c r="G100" s="113"/>
      <c r="H100" s="113"/>
      <c r="I100" s="113"/>
      <c r="J100" s="113"/>
      <c r="K100" s="113"/>
      <c r="L100" s="113"/>
      <c r="M100" s="113"/>
      <c r="N100" s="113"/>
      <c r="O100" s="113"/>
      <c r="P100" s="113"/>
      <c r="Q100" s="113"/>
      <c r="R100" s="113"/>
      <c r="S100" s="113"/>
      <c r="T100" s="113"/>
      <c r="U100" s="113"/>
      <c r="V100" s="113"/>
      <c r="W100" s="113"/>
      <c r="X100" s="113"/>
      <c r="Y100" s="113"/>
      <c r="Z100" s="113"/>
      <c r="AA100" s="113"/>
      <c r="AB100" s="113"/>
      <c r="AC100" s="113"/>
      <c r="AD100" s="113"/>
      <c r="AE100" s="113"/>
      <c r="AF100" s="113"/>
      <c r="AG100" s="113"/>
    </row>
    <row r="101" spans="1:33" ht="13.8">
      <c r="A101" s="113"/>
      <c r="B101" s="113"/>
      <c r="C101" s="113"/>
      <c r="D101" s="113"/>
      <c r="E101" s="113"/>
      <c r="F101" s="113"/>
      <c r="G101" s="113"/>
      <c r="H101" s="113"/>
      <c r="I101" s="113"/>
      <c r="J101" s="113"/>
      <c r="K101" s="113"/>
      <c r="L101" s="113"/>
      <c r="M101" s="113"/>
      <c r="N101" s="113"/>
      <c r="O101" s="113"/>
      <c r="P101" s="113"/>
      <c r="Q101" s="113"/>
      <c r="R101" s="113"/>
      <c r="S101" s="113"/>
      <c r="T101" s="113"/>
      <c r="U101" s="113"/>
      <c r="V101" s="113"/>
      <c r="W101" s="113"/>
      <c r="X101" s="113"/>
      <c r="Y101" s="113"/>
      <c r="Z101" s="113"/>
      <c r="AA101" s="113"/>
      <c r="AB101" s="113"/>
      <c r="AC101" s="113"/>
      <c r="AD101" s="113"/>
      <c r="AE101" s="113"/>
      <c r="AF101" s="113"/>
      <c r="AG101" s="113"/>
    </row>
    <row r="102" spans="1:33" ht="13.8">
      <c r="A102" s="113"/>
      <c r="B102" s="113"/>
      <c r="C102" s="113"/>
      <c r="D102" s="113"/>
      <c r="E102" s="113"/>
      <c r="F102" s="113"/>
      <c r="G102" s="113"/>
      <c r="H102" s="113"/>
      <c r="I102" s="113"/>
      <c r="J102" s="113"/>
      <c r="K102" s="113"/>
      <c r="L102" s="113"/>
      <c r="M102" s="113"/>
      <c r="N102" s="113"/>
      <c r="O102" s="113"/>
      <c r="P102" s="113"/>
      <c r="Q102" s="113"/>
      <c r="R102" s="113"/>
      <c r="S102" s="113"/>
      <c r="T102" s="113"/>
      <c r="U102" s="113"/>
      <c r="V102" s="113"/>
      <c r="W102" s="113"/>
      <c r="X102" s="113"/>
      <c r="Y102" s="113"/>
      <c r="Z102" s="113"/>
      <c r="AA102" s="113"/>
      <c r="AB102" s="113"/>
      <c r="AC102" s="113"/>
      <c r="AD102" s="113"/>
      <c r="AE102" s="113"/>
      <c r="AF102" s="113"/>
      <c r="AG102" s="113"/>
    </row>
    <row r="103" spans="1:33" ht="13.8">
      <c r="A103" s="113"/>
      <c r="B103" s="113"/>
      <c r="C103" s="113"/>
      <c r="D103" s="113"/>
      <c r="E103" s="113"/>
      <c r="F103" s="113"/>
      <c r="G103" s="113"/>
      <c r="H103" s="113"/>
      <c r="I103" s="113"/>
      <c r="J103" s="113"/>
      <c r="K103" s="113"/>
      <c r="L103" s="113"/>
      <c r="M103" s="113"/>
      <c r="N103" s="113"/>
      <c r="O103" s="113"/>
      <c r="P103" s="113"/>
      <c r="Q103" s="113"/>
      <c r="R103" s="113"/>
      <c r="S103" s="113"/>
      <c r="T103" s="113"/>
      <c r="U103" s="113"/>
      <c r="V103" s="113"/>
      <c r="W103" s="113"/>
      <c r="X103" s="113"/>
      <c r="Y103" s="113"/>
      <c r="Z103" s="113"/>
      <c r="AA103" s="113"/>
      <c r="AB103" s="113"/>
      <c r="AC103" s="113"/>
      <c r="AD103" s="113"/>
      <c r="AE103" s="113"/>
      <c r="AF103" s="113"/>
      <c r="AG103" s="113"/>
    </row>
    <row r="104" spans="1:33" ht="13.8">
      <c r="A104" s="113"/>
      <c r="B104" s="113"/>
      <c r="C104" s="113"/>
      <c r="D104" s="113"/>
      <c r="E104" s="113"/>
      <c r="F104" s="113"/>
      <c r="G104" s="113"/>
      <c r="H104" s="113"/>
      <c r="I104" s="113"/>
      <c r="J104" s="113"/>
      <c r="K104" s="113"/>
      <c r="L104" s="113"/>
      <c r="M104" s="113"/>
      <c r="N104" s="113"/>
      <c r="O104" s="113"/>
      <c r="P104" s="113"/>
      <c r="Q104" s="113"/>
      <c r="R104" s="113"/>
      <c r="S104" s="113"/>
      <c r="T104" s="113"/>
      <c r="U104" s="113"/>
      <c r="V104" s="113"/>
      <c r="W104" s="113"/>
      <c r="X104" s="113"/>
      <c r="Y104" s="113"/>
      <c r="Z104" s="113"/>
      <c r="AA104" s="113"/>
      <c r="AB104" s="113"/>
      <c r="AC104" s="113"/>
      <c r="AD104" s="113"/>
      <c r="AE104" s="113"/>
      <c r="AF104" s="113"/>
      <c r="AG104" s="113"/>
    </row>
    <row r="105" spans="1:33" ht="13.8">
      <c r="A105" s="113"/>
      <c r="B105" s="113"/>
      <c r="C105" s="113"/>
      <c r="D105" s="113"/>
      <c r="E105" s="113"/>
      <c r="F105" s="113"/>
      <c r="G105" s="113"/>
      <c r="H105" s="113"/>
      <c r="I105" s="113"/>
      <c r="J105" s="113"/>
      <c r="K105" s="113"/>
      <c r="L105" s="113"/>
      <c r="M105" s="113"/>
      <c r="N105" s="113"/>
      <c r="O105" s="113"/>
      <c r="P105" s="113"/>
      <c r="Q105" s="113"/>
      <c r="R105" s="113"/>
      <c r="S105" s="113"/>
      <c r="T105" s="113"/>
      <c r="U105" s="113"/>
      <c r="V105" s="113"/>
      <c r="W105" s="113"/>
      <c r="X105" s="113"/>
      <c r="Y105" s="113"/>
      <c r="Z105" s="113"/>
      <c r="AA105" s="113"/>
      <c r="AB105" s="113"/>
      <c r="AC105" s="113"/>
      <c r="AD105" s="113"/>
      <c r="AE105" s="113"/>
      <c r="AF105" s="113"/>
      <c r="AG105" s="113"/>
    </row>
    <row r="106" spans="1:33" ht="13.8">
      <c r="A106" s="113"/>
      <c r="B106" s="113"/>
      <c r="C106" s="113"/>
      <c r="D106" s="113"/>
      <c r="E106" s="113"/>
      <c r="F106" s="113"/>
      <c r="G106" s="113"/>
      <c r="H106" s="113"/>
      <c r="I106" s="113"/>
      <c r="J106" s="113"/>
      <c r="K106" s="113"/>
      <c r="L106" s="113"/>
      <c r="M106" s="113"/>
      <c r="N106" s="113"/>
      <c r="O106" s="113"/>
      <c r="P106" s="113"/>
      <c r="Q106" s="113"/>
      <c r="R106" s="113"/>
      <c r="S106" s="113"/>
      <c r="T106" s="113"/>
      <c r="U106" s="113"/>
      <c r="V106" s="113"/>
      <c r="W106" s="113"/>
      <c r="X106" s="113"/>
      <c r="Y106" s="113"/>
      <c r="Z106" s="113"/>
      <c r="AA106" s="113"/>
      <c r="AB106" s="113"/>
      <c r="AC106" s="113"/>
      <c r="AD106" s="113"/>
      <c r="AE106" s="113"/>
      <c r="AF106" s="113"/>
      <c r="AG106" s="113"/>
    </row>
    <row r="107" spans="1:33" ht="13.8">
      <c r="A107" s="113"/>
      <c r="B107" s="113"/>
      <c r="C107" s="113"/>
      <c r="D107" s="113"/>
      <c r="E107" s="113"/>
      <c r="F107" s="113"/>
      <c r="G107" s="113"/>
      <c r="H107" s="113"/>
      <c r="I107" s="113"/>
      <c r="J107" s="113"/>
      <c r="K107" s="113"/>
      <c r="L107" s="113"/>
      <c r="M107" s="113"/>
      <c r="N107" s="113"/>
      <c r="O107" s="113"/>
      <c r="P107" s="113"/>
      <c r="Q107" s="113"/>
      <c r="R107" s="113"/>
      <c r="S107" s="113"/>
      <c r="T107" s="113"/>
      <c r="U107" s="113"/>
      <c r="V107" s="113"/>
      <c r="W107" s="113"/>
      <c r="X107" s="113"/>
      <c r="Y107" s="113"/>
      <c r="Z107" s="113"/>
      <c r="AA107" s="113"/>
      <c r="AB107" s="113"/>
      <c r="AC107" s="113"/>
      <c r="AD107" s="113"/>
      <c r="AE107" s="113"/>
      <c r="AF107" s="113"/>
      <c r="AG107" s="113"/>
    </row>
    <row r="108" spans="1:33" ht="13.8">
      <c r="A108" s="113"/>
      <c r="B108" s="113"/>
      <c r="C108" s="113"/>
      <c r="D108" s="113"/>
      <c r="E108" s="113"/>
      <c r="F108" s="113"/>
      <c r="G108" s="113"/>
      <c r="H108" s="113"/>
      <c r="I108" s="113"/>
      <c r="J108" s="113"/>
      <c r="K108" s="113"/>
      <c r="L108" s="113"/>
      <c r="M108" s="113"/>
      <c r="N108" s="113"/>
      <c r="O108" s="113"/>
      <c r="P108" s="113"/>
      <c r="Q108" s="113"/>
      <c r="R108" s="113"/>
      <c r="S108" s="113"/>
      <c r="T108" s="113"/>
      <c r="U108" s="113"/>
      <c r="V108" s="113"/>
      <c r="W108" s="113"/>
      <c r="X108" s="113"/>
      <c r="Y108" s="113"/>
      <c r="Z108" s="113"/>
      <c r="AA108" s="113"/>
      <c r="AB108" s="113"/>
      <c r="AC108" s="113"/>
      <c r="AD108" s="113"/>
      <c r="AE108" s="113"/>
      <c r="AF108" s="113"/>
      <c r="AG108" s="113"/>
    </row>
    <row r="109" spans="1:33" ht="13.8">
      <c r="A109" s="113"/>
      <c r="B109" s="113"/>
      <c r="C109" s="113"/>
      <c r="D109" s="113"/>
      <c r="E109" s="113"/>
      <c r="F109" s="113"/>
      <c r="G109" s="113"/>
      <c r="H109" s="113"/>
      <c r="I109" s="113"/>
      <c r="J109" s="113"/>
      <c r="K109" s="113"/>
      <c r="L109" s="113"/>
      <c r="M109" s="113"/>
      <c r="N109" s="113"/>
      <c r="O109" s="113"/>
      <c r="P109" s="113"/>
      <c r="Q109" s="113"/>
      <c r="R109" s="113"/>
      <c r="S109" s="113"/>
      <c r="T109" s="113"/>
      <c r="U109" s="113"/>
      <c r="V109" s="113"/>
      <c r="W109" s="113"/>
      <c r="X109" s="113"/>
      <c r="Y109" s="113"/>
      <c r="Z109" s="113"/>
      <c r="AA109" s="113"/>
      <c r="AB109" s="113"/>
      <c r="AC109" s="113"/>
      <c r="AD109" s="113"/>
      <c r="AE109" s="113"/>
      <c r="AF109" s="113"/>
      <c r="AG109" s="113"/>
    </row>
    <row r="110" spans="1:33" ht="13.8">
      <c r="A110" s="113"/>
      <c r="B110" s="113"/>
      <c r="C110" s="113"/>
      <c r="D110" s="113"/>
      <c r="E110" s="113"/>
      <c r="F110" s="113"/>
      <c r="G110" s="113"/>
      <c r="H110" s="113"/>
      <c r="I110" s="113"/>
      <c r="J110" s="113"/>
      <c r="K110" s="113"/>
      <c r="L110" s="113"/>
      <c r="M110" s="113"/>
      <c r="N110" s="113"/>
      <c r="O110" s="113"/>
      <c r="P110" s="113"/>
      <c r="Q110" s="113"/>
      <c r="R110" s="113"/>
      <c r="S110" s="113"/>
      <c r="T110" s="113"/>
      <c r="U110" s="113"/>
      <c r="V110" s="113"/>
      <c r="W110" s="113"/>
      <c r="X110" s="113"/>
      <c r="Y110" s="113"/>
      <c r="Z110" s="113"/>
      <c r="AA110" s="113"/>
      <c r="AB110" s="113"/>
      <c r="AC110" s="113"/>
      <c r="AD110" s="113"/>
      <c r="AE110" s="113"/>
      <c r="AF110" s="113"/>
      <c r="AG110" s="113"/>
    </row>
    <row r="111" spans="1:33" ht="13.8">
      <c r="A111" s="113"/>
      <c r="B111" s="113"/>
      <c r="C111" s="113"/>
      <c r="D111" s="113"/>
      <c r="E111" s="113"/>
      <c r="F111" s="113"/>
      <c r="G111" s="113"/>
      <c r="H111" s="113"/>
      <c r="I111" s="113"/>
      <c r="J111" s="113"/>
      <c r="K111" s="113"/>
      <c r="L111" s="113"/>
      <c r="M111" s="113"/>
      <c r="N111" s="113"/>
      <c r="O111" s="113"/>
      <c r="P111" s="113"/>
      <c r="Q111" s="113"/>
      <c r="R111" s="113"/>
      <c r="S111" s="113"/>
      <c r="T111" s="113"/>
      <c r="U111" s="113"/>
      <c r="V111" s="113"/>
      <c r="W111" s="113"/>
      <c r="X111" s="113"/>
      <c r="Y111" s="113"/>
      <c r="Z111" s="113"/>
      <c r="AA111" s="113"/>
      <c r="AB111" s="113"/>
      <c r="AC111" s="113"/>
      <c r="AD111" s="113"/>
      <c r="AE111" s="113"/>
      <c r="AF111" s="113"/>
      <c r="AG111" s="113"/>
    </row>
    <row r="112" spans="1:33" ht="13.8">
      <c r="A112" s="113"/>
      <c r="B112" s="113"/>
      <c r="C112" s="113"/>
      <c r="D112" s="113"/>
      <c r="E112" s="113"/>
      <c r="F112" s="113"/>
      <c r="G112" s="113"/>
      <c r="H112" s="113"/>
      <c r="I112" s="113"/>
      <c r="J112" s="113"/>
      <c r="K112" s="113"/>
      <c r="L112" s="113"/>
      <c r="M112" s="113"/>
      <c r="N112" s="113"/>
      <c r="O112" s="113"/>
      <c r="P112" s="113"/>
      <c r="Q112" s="113"/>
      <c r="R112" s="113"/>
      <c r="S112" s="113"/>
      <c r="T112" s="113"/>
      <c r="U112" s="113"/>
      <c r="V112" s="113"/>
      <c r="W112" s="113"/>
      <c r="X112" s="113"/>
      <c r="Y112" s="113"/>
      <c r="Z112" s="113"/>
      <c r="AA112" s="113"/>
      <c r="AB112" s="113"/>
      <c r="AC112" s="113"/>
      <c r="AD112" s="113"/>
      <c r="AE112" s="113"/>
      <c r="AF112" s="113"/>
      <c r="AG112" s="113"/>
    </row>
    <row r="113" spans="1:33" ht="13.8">
      <c r="A113" s="113"/>
      <c r="B113" s="113"/>
      <c r="C113" s="113"/>
      <c r="D113" s="113"/>
      <c r="E113" s="113"/>
      <c r="F113" s="113"/>
      <c r="G113" s="113"/>
      <c r="H113" s="113"/>
      <c r="I113" s="113"/>
      <c r="J113" s="113"/>
      <c r="K113" s="113"/>
      <c r="L113" s="113"/>
      <c r="M113" s="113"/>
      <c r="N113" s="113"/>
      <c r="O113" s="113"/>
      <c r="P113" s="113"/>
      <c r="Q113" s="113"/>
      <c r="R113" s="113"/>
      <c r="S113" s="113"/>
      <c r="T113" s="113"/>
      <c r="U113" s="113"/>
      <c r="V113" s="113"/>
      <c r="W113" s="113"/>
      <c r="X113" s="113"/>
      <c r="Y113" s="113"/>
      <c r="Z113" s="113"/>
      <c r="AA113" s="113"/>
      <c r="AB113" s="113"/>
      <c r="AC113" s="113"/>
      <c r="AD113" s="113"/>
      <c r="AE113" s="113"/>
      <c r="AF113" s="113"/>
      <c r="AG113" s="113"/>
    </row>
    <row r="114" spans="1:33" ht="13.8">
      <c r="A114" s="113"/>
      <c r="B114" s="113"/>
      <c r="C114" s="113"/>
      <c r="D114" s="113"/>
      <c r="E114" s="113"/>
      <c r="F114" s="113"/>
      <c r="G114" s="113"/>
      <c r="H114" s="113"/>
      <c r="I114" s="113"/>
      <c r="J114" s="113"/>
      <c r="K114" s="113"/>
      <c r="L114" s="113"/>
      <c r="M114" s="113"/>
      <c r="N114" s="113"/>
      <c r="O114" s="113"/>
      <c r="P114" s="113"/>
      <c r="Q114" s="113"/>
      <c r="R114" s="113"/>
      <c r="S114" s="113"/>
      <c r="T114" s="113"/>
      <c r="U114" s="113"/>
      <c r="V114" s="113"/>
      <c r="W114" s="113"/>
      <c r="X114" s="113"/>
      <c r="Y114" s="113"/>
      <c r="Z114" s="113"/>
      <c r="AA114" s="113"/>
      <c r="AB114" s="113"/>
      <c r="AC114" s="113"/>
      <c r="AD114" s="113"/>
      <c r="AE114" s="113"/>
      <c r="AF114" s="113"/>
      <c r="AG114" s="113"/>
    </row>
    <row r="115" spans="1:33" ht="13.8">
      <c r="A115" s="113"/>
      <c r="B115" s="113"/>
      <c r="C115" s="113"/>
      <c r="D115" s="113"/>
      <c r="E115" s="113"/>
      <c r="F115" s="113"/>
      <c r="G115" s="113"/>
      <c r="H115" s="113"/>
      <c r="I115" s="113"/>
      <c r="J115" s="113"/>
      <c r="K115" s="113"/>
      <c r="L115" s="113"/>
      <c r="M115" s="113"/>
      <c r="N115" s="113"/>
      <c r="O115" s="113"/>
      <c r="P115" s="113"/>
      <c r="Q115" s="113"/>
      <c r="R115" s="113"/>
      <c r="S115" s="113"/>
      <c r="T115" s="113"/>
      <c r="U115" s="113"/>
      <c r="V115" s="113"/>
      <c r="W115" s="113"/>
      <c r="X115" s="113"/>
      <c r="Y115" s="113"/>
      <c r="Z115" s="113"/>
      <c r="AA115" s="113"/>
      <c r="AB115" s="113"/>
      <c r="AC115" s="113"/>
      <c r="AD115" s="113"/>
      <c r="AE115" s="113"/>
      <c r="AF115" s="113"/>
      <c r="AG115" s="113"/>
    </row>
    <row r="116" spans="1:33" ht="13.8">
      <c r="A116" s="113"/>
      <c r="B116" s="113"/>
      <c r="C116" s="113"/>
      <c r="D116" s="113"/>
      <c r="E116" s="113"/>
      <c r="F116" s="113"/>
      <c r="G116" s="113"/>
      <c r="H116" s="113"/>
      <c r="I116" s="113"/>
      <c r="J116" s="113"/>
      <c r="K116" s="113"/>
      <c r="L116" s="113"/>
      <c r="M116" s="113"/>
      <c r="N116" s="113"/>
      <c r="O116" s="113"/>
      <c r="P116" s="113"/>
      <c r="Q116" s="113"/>
      <c r="R116" s="113"/>
      <c r="S116" s="113"/>
      <c r="T116" s="113"/>
      <c r="U116" s="113"/>
      <c r="V116" s="113"/>
      <c r="W116" s="113"/>
      <c r="X116" s="113"/>
      <c r="Y116" s="113"/>
      <c r="Z116" s="113"/>
      <c r="AA116" s="113"/>
      <c r="AB116" s="113"/>
      <c r="AC116" s="113"/>
      <c r="AD116" s="113"/>
      <c r="AE116" s="113"/>
      <c r="AF116" s="113"/>
      <c r="AG116" s="113"/>
    </row>
    <row r="117" spans="1:33" ht="13.8">
      <c r="A117" s="113"/>
      <c r="B117" s="113"/>
      <c r="C117" s="113"/>
      <c r="D117" s="113"/>
      <c r="E117" s="113"/>
      <c r="F117" s="113"/>
      <c r="G117" s="113"/>
      <c r="H117" s="113"/>
      <c r="I117" s="113"/>
      <c r="J117" s="113"/>
      <c r="K117" s="113"/>
      <c r="L117" s="113"/>
      <c r="M117" s="113"/>
      <c r="N117" s="113"/>
      <c r="O117" s="113"/>
      <c r="P117" s="113"/>
      <c r="Q117" s="113"/>
      <c r="R117" s="113"/>
      <c r="S117" s="113"/>
      <c r="T117" s="113"/>
      <c r="U117" s="113"/>
      <c r="V117" s="113"/>
      <c r="W117" s="113"/>
      <c r="X117" s="113"/>
      <c r="Y117" s="113"/>
      <c r="Z117" s="113"/>
      <c r="AA117" s="113"/>
      <c r="AB117" s="113"/>
      <c r="AC117" s="113"/>
      <c r="AD117" s="113"/>
      <c r="AE117" s="113"/>
      <c r="AF117" s="113"/>
      <c r="AG117" s="113"/>
    </row>
    <row r="118" spans="1:33" ht="13.8">
      <c r="A118" s="113"/>
      <c r="B118" s="113"/>
      <c r="C118" s="113"/>
      <c r="D118" s="113"/>
      <c r="E118" s="113"/>
      <c r="F118" s="113"/>
      <c r="G118" s="113"/>
      <c r="H118" s="113"/>
      <c r="I118" s="113"/>
      <c r="J118" s="113"/>
      <c r="K118" s="113"/>
      <c r="L118" s="113"/>
      <c r="M118" s="113"/>
      <c r="N118" s="113"/>
      <c r="O118" s="113"/>
      <c r="P118" s="113"/>
      <c r="Q118" s="113"/>
      <c r="R118" s="113"/>
      <c r="S118" s="113"/>
      <c r="T118" s="113"/>
      <c r="U118" s="113"/>
      <c r="V118" s="113"/>
      <c r="W118" s="113"/>
      <c r="X118" s="113"/>
      <c r="Y118" s="113"/>
      <c r="Z118" s="113"/>
      <c r="AA118" s="113"/>
      <c r="AB118" s="113"/>
      <c r="AC118" s="113"/>
      <c r="AD118" s="113"/>
      <c r="AE118" s="113"/>
      <c r="AF118" s="113"/>
      <c r="AG118" s="113"/>
    </row>
    <row r="119" spans="1:33" ht="13.8">
      <c r="A119" s="113"/>
      <c r="B119" s="113"/>
      <c r="C119" s="113"/>
      <c r="D119" s="113"/>
      <c r="E119" s="113"/>
      <c r="F119" s="113"/>
      <c r="G119" s="113"/>
      <c r="H119" s="113"/>
      <c r="I119" s="113"/>
      <c r="J119" s="113"/>
      <c r="K119" s="113"/>
      <c r="L119" s="113"/>
      <c r="M119" s="113"/>
      <c r="N119" s="113"/>
      <c r="O119" s="113"/>
      <c r="P119" s="113"/>
      <c r="Q119" s="113"/>
      <c r="R119" s="113"/>
      <c r="S119" s="113"/>
      <c r="T119" s="113"/>
      <c r="U119" s="113"/>
      <c r="V119" s="113"/>
      <c r="W119" s="113"/>
      <c r="X119" s="113"/>
      <c r="Y119" s="113"/>
      <c r="Z119" s="113"/>
      <c r="AA119" s="113"/>
      <c r="AB119" s="113"/>
      <c r="AC119" s="113"/>
      <c r="AD119" s="113"/>
      <c r="AE119" s="113"/>
      <c r="AF119" s="113"/>
      <c r="AG119" s="113"/>
    </row>
    <row r="120" spans="1:33" ht="13.8">
      <c r="A120" s="113"/>
      <c r="B120" s="113"/>
      <c r="C120" s="113"/>
      <c r="D120" s="113"/>
      <c r="E120" s="113"/>
      <c r="F120" s="113"/>
      <c r="G120" s="113"/>
      <c r="H120" s="113"/>
      <c r="I120" s="113"/>
      <c r="J120" s="113"/>
      <c r="K120" s="113"/>
      <c r="L120" s="113"/>
      <c r="M120" s="113"/>
      <c r="N120" s="113"/>
      <c r="O120" s="113"/>
      <c r="P120" s="113"/>
      <c r="Q120" s="113"/>
      <c r="R120" s="113"/>
      <c r="S120" s="113"/>
      <c r="T120" s="113"/>
      <c r="U120" s="113"/>
      <c r="V120" s="113"/>
      <c r="W120" s="113"/>
      <c r="X120" s="113"/>
      <c r="Y120" s="113"/>
      <c r="Z120" s="113"/>
      <c r="AA120" s="113"/>
      <c r="AB120" s="113"/>
      <c r="AC120" s="113"/>
      <c r="AD120" s="113"/>
      <c r="AE120" s="113"/>
      <c r="AF120" s="113"/>
      <c r="AG120" s="113"/>
    </row>
    <row r="121" spans="1:33" ht="13.8">
      <c r="A121" s="113"/>
      <c r="B121" s="113"/>
      <c r="C121" s="113"/>
      <c r="D121" s="113"/>
      <c r="E121" s="113"/>
      <c r="F121" s="113"/>
      <c r="G121" s="113"/>
      <c r="H121" s="113"/>
      <c r="I121" s="113"/>
      <c r="J121" s="113"/>
      <c r="K121" s="113"/>
      <c r="L121" s="113"/>
      <c r="M121" s="113"/>
      <c r="N121" s="113"/>
      <c r="O121" s="113"/>
      <c r="P121" s="113"/>
      <c r="Q121" s="113"/>
      <c r="R121" s="113"/>
      <c r="S121" s="113"/>
      <c r="T121" s="113"/>
      <c r="U121" s="113"/>
      <c r="V121" s="113"/>
      <c r="W121" s="113"/>
      <c r="X121" s="113"/>
      <c r="Y121" s="113"/>
      <c r="Z121" s="113"/>
      <c r="AA121" s="113"/>
      <c r="AB121" s="113"/>
      <c r="AC121" s="113"/>
      <c r="AD121" s="113"/>
      <c r="AE121" s="113"/>
      <c r="AF121" s="113"/>
      <c r="AG121" s="113"/>
    </row>
    <row r="122" spans="1:33" ht="13.8">
      <c r="A122" s="113"/>
      <c r="B122" s="113"/>
      <c r="C122" s="113"/>
      <c r="D122" s="113"/>
      <c r="E122" s="113"/>
      <c r="F122" s="113"/>
      <c r="G122" s="113"/>
      <c r="H122" s="113"/>
      <c r="I122" s="113"/>
      <c r="J122" s="113"/>
      <c r="K122" s="113"/>
      <c r="L122" s="113"/>
      <c r="M122" s="113"/>
      <c r="N122" s="113"/>
      <c r="O122" s="113"/>
      <c r="P122" s="113"/>
      <c r="Q122" s="113"/>
      <c r="R122" s="113"/>
      <c r="S122" s="113"/>
      <c r="T122" s="113"/>
      <c r="U122" s="113"/>
      <c r="V122" s="113"/>
      <c r="W122" s="113"/>
      <c r="X122" s="113"/>
      <c r="Y122" s="113"/>
      <c r="Z122" s="113"/>
      <c r="AA122" s="113"/>
      <c r="AB122" s="113"/>
      <c r="AC122" s="113"/>
      <c r="AD122" s="113"/>
      <c r="AE122" s="113"/>
      <c r="AF122" s="113"/>
      <c r="AG122" s="113"/>
    </row>
    <row r="123" spans="1:33" ht="13.8">
      <c r="A123" s="113"/>
      <c r="B123" s="113"/>
      <c r="C123" s="113"/>
      <c r="D123" s="113"/>
      <c r="E123" s="113"/>
      <c r="F123" s="113"/>
      <c r="G123" s="113"/>
      <c r="H123" s="113"/>
      <c r="I123" s="113"/>
      <c r="J123" s="113"/>
      <c r="K123" s="113"/>
      <c r="L123" s="113"/>
      <c r="M123" s="113"/>
      <c r="N123" s="113"/>
      <c r="O123" s="113"/>
      <c r="P123" s="113"/>
      <c r="Q123" s="113"/>
      <c r="R123" s="113"/>
      <c r="S123" s="113"/>
      <c r="T123" s="113"/>
      <c r="U123" s="113"/>
      <c r="V123" s="113"/>
      <c r="W123" s="113"/>
      <c r="X123" s="113"/>
      <c r="Y123" s="113"/>
      <c r="Z123" s="113"/>
      <c r="AA123" s="113"/>
      <c r="AB123" s="113"/>
      <c r="AC123" s="113"/>
      <c r="AD123" s="113"/>
      <c r="AE123" s="113"/>
      <c r="AF123" s="113"/>
      <c r="AG123" s="113"/>
    </row>
    <row r="124" spans="1:33" ht="13.8">
      <c r="A124" s="113"/>
      <c r="B124" s="113"/>
      <c r="C124" s="113"/>
      <c r="D124" s="113"/>
      <c r="E124" s="113"/>
      <c r="F124" s="113"/>
      <c r="G124" s="113"/>
      <c r="H124" s="113"/>
      <c r="I124" s="113"/>
      <c r="J124" s="113"/>
      <c r="K124" s="113"/>
      <c r="L124" s="113"/>
      <c r="M124" s="113"/>
      <c r="N124" s="113"/>
      <c r="O124" s="113"/>
      <c r="P124" s="113"/>
      <c r="Q124" s="113"/>
      <c r="R124" s="113"/>
      <c r="S124" s="113"/>
      <c r="T124" s="113"/>
      <c r="U124" s="113"/>
      <c r="V124" s="113"/>
      <c r="W124" s="113"/>
      <c r="X124" s="113"/>
      <c r="Y124" s="113"/>
      <c r="Z124" s="113"/>
      <c r="AA124" s="113"/>
      <c r="AB124" s="113"/>
      <c r="AC124" s="113"/>
      <c r="AD124" s="113"/>
      <c r="AE124" s="113"/>
      <c r="AF124" s="113"/>
      <c r="AG124" s="113"/>
    </row>
    <row r="125" spans="1:33" ht="13.8">
      <c r="A125" s="113"/>
      <c r="B125" s="113"/>
      <c r="C125" s="113"/>
      <c r="D125" s="113"/>
      <c r="E125" s="113"/>
      <c r="F125" s="113"/>
      <c r="G125" s="113"/>
      <c r="H125" s="113"/>
      <c r="I125" s="113"/>
      <c r="J125" s="113"/>
      <c r="K125" s="113"/>
      <c r="L125" s="113"/>
      <c r="M125" s="113"/>
      <c r="N125" s="113"/>
      <c r="O125" s="113"/>
      <c r="P125" s="113"/>
      <c r="Q125" s="113"/>
      <c r="R125" s="113"/>
      <c r="S125" s="113"/>
      <c r="T125" s="113"/>
      <c r="U125" s="113"/>
      <c r="V125" s="113"/>
      <c r="W125" s="113"/>
      <c r="X125" s="113"/>
      <c r="Y125" s="113"/>
      <c r="Z125" s="113"/>
      <c r="AA125" s="113"/>
      <c r="AB125" s="113"/>
      <c r="AC125" s="113"/>
      <c r="AD125" s="113"/>
      <c r="AE125" s="113"/>
      <c r="AF125" s="113"/>
      <c r="AG125" s="113"/>
    </row>
    <row r="126" spans="1:33" ht="13.8">
      <c r="A126" s="113"/>
      <c r="B126" s="113"/>
      <c r="C126" s="113"/>
      <c r="D126" s="113"/>
      <c r="E126" s="113"/>
      <c r="F126" s="113"/>
      <c r="G126" s="113"/>
      <c r="H126" s="113"/>
      <c r="I126" s="113"/>
      <c r="J126" s="113"/>
      <c r="K126" s="113"/>
      <c r="L126" s="113"/>
      <c r="M126" s="113"/>
      <c r="N126" s="113"/>
      <c r="O126" s="113"/>
      <c r="P126" s="113"/>
      <c r="Q126" s="113"/>
      <c r="R126" s="113"/>
      <c r="S126" s="113"/>
      <c r="T126" s="113"/>
      <c r="U126" s="113"/>
      <c r="V126" s="113"/>
      <c r="W126" s="113"/>
      <c r="X126" s="113"/>
      <c r="Y126" s="113"/>
      <c r="Z126" s="113"/>
      <c r="AA126" s="113"/>
      <c r="AB126" s="113"/>
      <c r="AC126" s="113"/>
      <c r="AD126" s="113"/>
      <c r="AE126" s="113"/>
      <c r="AF126" s="113"/>
      <c r="AG126" s="113"/>
    </row>
    <row r="127" spans="1:33" ht="13.8">
      <c r="A127" s="113"/>
      <c r="B127" s="113"/>
      <c r="C127" s="113"/>
      <c r="D127" s="113"/>
      <c r="E127" s="113"/>
      <c r="F127" s="113"/>
      <c r="G127" s="113"/>
      <c r="H127" s="113"/>
      <c r="I127" s="113"/>
      <c r="J127" s="113"/>
      <c r="K127" s="113"/>
      <c r="L127" s="113"/>
      <c r="M127" s="113"/>
      <c r="N127" s="113"/>
      <c r="O127" s="113"/>
      <c r="P127" s="113"/>
      <c r="Q127" s="113"/>
      <c r="R127" s="113"/>
      <c r="S127" s="113"/>
      <c r="T127" s="113"/>
      <c r="U127" s="113"/>
      <c r="V127" s="113"/>
      <c r="W127" s="113"/>
      <c r="X127" s="113"/>
      <c r="Y127" s="113"/>
      <c r="Z127" s="113"/>
      <c r="AA127" s="113"/>
      <c r="AB127" s="113"/>
      <c r="AC127" s="113"/>
      <c r="AD127" s="113"/>
      <c r="AE127" s="113"/>
      <c r="AF127" s="113"/>
      <c r="AG127" s="113"/>
    </row>
    <row r="128" spans="1:33" ht="13.8">
      <c r="A128" s="113"/>
      <c r="B128" s="113"/>
      <c r="C128" s="113"/>
      <c r="D128" s="113"/>
      <c r="E128" s="113"/>
      <c r="F128" s="113"/>
      <c r="G128" s="113"/>
      <c r="H128" s="113"/>
      <c r="I128" s="113"/>
      <c r="J128" s="113"/>
      <c r="K128" s="113"/>
      <c r="L128" s="113"/>
      <c r="M128" s="113"/>
      <c r="N128" s="113"/>
      <c r="O128" s="113"/>
      <c r="P128" s="113"/>
      <c r="Q128" s="113"/>
      <c r="R128" s="113"/>
      <c r="S128" s="113"/>
      <c r="T128" s="113"/>
      <c r="U128" s="113"/>
      <c r="V128" s="113"/>
      <c r="W128" s="113"/>
      <c r="X128" s="113"/>
      <c r="Y128" s="113"/>
      <c r="Z128" s="113"/>
      <c r="AA128" s="113"/>
      <c r="AB128" s="113"/>
      <c r="AC128" s="113"/>
      <c r="AD128" s="113"/>
      <c r="AE128" s="113"/>
      <c r="AF128" s="113"/>
      <c r="AG128" s="113"/>
    </row>
    <row r="129" spans="1:33" ht="13.8">
      <c r="A129" s="113"/>
      <c r="B129" s="113"/>
      <c r="C129" s="113"/>
      <c r="D129" s="113"/>
      <c r="E129" s="113"/>
      <c r="F129" s="113"/>
      <c r="G129" s="113"/>
      <c r="H129" s="113"/>
      <c r="I129" s="113"/>
      <c r="J129" s="113"/>
      <c r="K129" s="113"/>
      <c r="L129" s="113"/>
      <c r="M129" s="113"/>
      <c r="N129" s="113"/>
      <c r="O129" s="113"/>
      <c r="P129" s="113"/>
      <c r="Q129" s="113"/>
      <c r="R129" s="113"/>
      <c r="S129" s="113"/>
      <c r="T129" s="113"/>
      <c r="U129" s="113"/>
      <c r="V129" s="113"/>
      <c r="W129" s="113"/>
      <c r="X129" s="113"/>
      <c r="Y129" s="113"/>
      <c r="Z129" s="113"/>
      <c r="AA129" s="113"/>
      <c r="AB129" s="113"/>
      <c r="AC129" s="113"/>
      <c r="AD129" s="113"/>
      <c r="AE129" s="113"/>
      <c r="AF129" s="113"/>
      <c r="AG129" s="113"/>
    </row>
    <row r="130" spans="1:33" ht="13.8">
      <c r="A130" s="113"/>
      <c r="B130" s="113"/>
      <c r="C130" s="113"/>
      <c r="D130" s="113"/>
      <c r="E130" s="113"/>
      <c r="F130" s="113"/>
      <c r="G130" s="113"/>
      <c r="H130" s="113"/>
      <c r="I130" s="113"/>
      <c r="J130" s="113"/>
      <c r="K130" s="113"/>
      <c r="L130" s="113"/>
      <c r="M130" s="113"/>
      <c r="N130" s="113"/>
      <c r="O130" s="113"/>
      <c r="P130" s="113"/>
      <c r="Q130" s="113"/>
      <c r="R130" s="113"/>
      <c r="S130" s="113"/>
      <c r="T130" s="113"/>
      <c r="U130" s="113"/>
      <c r="V130" s="113"/>
      <c r="W130" s="113"/>
      <c r="X130" s="113"/>
      <c r="Y130" s="113"/>
      <c r="Z130" s="113"/>
      <c r="AA130" s="113"/>
      <c r="AB130" s="113"/>
      <c r="AC130" s="113"/>
      <c r="AD130" s="113"/>
      <c r="AE130" s="113"/>
      <c r="AF130" s="113"/>
      <c r="AG130" s="113"/>
    </row>
    <row r="131" spans="1:33" ht="13.8">
      <c r="A131" s="113"/>
      <c r="B131" s="113"/>
      <c r="C131" s="113"/>
      <c r="D131" s="113"/>
      <c r="E131" s="113"/>
      <c r="F131" s="113"/>
      <c r="G131" s="113"/>
      <c r="H131" s="113"/>
      <c r="I131" s="113"/>
      <c r="J131" s="113"/>
      <c r="K131" s="113"/>
      <c r="L131" s="113"/>
      <c r="M131" s="113"/>
      <c r="N131" s="113"/>
      <c r="O131" s="113"/>
      <c r="P131" s="113"/>
      <c r="Q131" s="113"/>
      <c r="R131" s="113"/>
      <c r="S131" s="113"/>
      <c r="T131" s="113"/>
      <c r="U131" s="113"/>
      <c r="V131" s="113"/>
      <c r="W131" s="113"/>
      <c r="X131" s="113"/>
      <c r="Y131" s="113"/>
      <c r="Z131" s="113"/>
      <c r="AA131" s="113"/>
      <c r="AB131" s="113"/>
      <c r="AC131" s="113"/>
      <c r="AD131" s="113"/>
      <c r="AE131" s="113"/>
      <c r="AF131" s="113"/>
      <c r="AG131" s="113"/>
    </row>
    <row r="132" spans="1:33" ht="13.8">
      <c r="A132" s="113"/>
      <c r="B132" s="113"/>
      <c r="C132" s="113"/>
      <c r="D132" s="113"/>
      <c r="E132" s="113"/>
      <c r="F132" s="113"/>
      <c r="G132" s="113"/>
      <c r="H132" s="113"/>
      <c r="I132" s="113"/>
      <c r="J132" s="113"/>
      <c r="K132" s="113"/>
      <c r="L132" s="113"/>
      <c r="M132" s="113"/>
      <c r="N132" s="113"/>
      <c r="O132" s="113"/>
      <c r="P132" s="113"/>
      <c r="Q132" s="113"/>
      <c r="R132" s="113"/>
      <c r="S132" s="113"/>
      <c r="T132" s="113"/>
      <c r="U132" s="113"/>
      <c r="V132" s="113"/>
      <c r="W132" s="113"/>
      <c r="X132" s="113"/>
      <c r="Y132" s="113"/>
      <c r="Z132" s="113"/>
      <c r="AA132" s="113"/>
      <c r="AB132" s="113"/>
      <c r="AC132" s="113"/>
      <c r="AD132" s="113"/>
      <c r="AE132" s="113"/>
      <c r="AF132" s="113"/>
      <c r="AG132" s="113"/>
    </row>
    <row r="133" spans="1:33" ht="13.8">
      <c r="A133" s="113"/>
      <c r="B133" s="113"/>
      <c r="C133" s="113"/>
      <c r="D133" s="113"/>
      <c r="E133" s="113"/>
      <c r="F133" s="113"/>
      <c r="G133" s="113"/>
      <c r="H133" s="113"/>
      <c r="I133" s="113"/>
      <c r="J133" s="113"/>
      <c r="K133" s="113"/>
      <c r="L133" s="113"/>
      <c r="M133" s="113"/>
      <c r="N133" s="113"/>
      <c r="O133" s="113"/>
      <c r="P133" s="113"/>
      <c r="Q133" s="113"/>
      <c r="R133" s="113"/>
      <c r="S133" s="113"/>
      <c r="T133" s="113"/>
      <c r="U133" s="113"/>
      <c r="V133" s="113"/>
      <c r="W133" s="113"/>
      <c r="X133" s="113"/>
      <c r="Y133" s="113"/>
      <c r="Z133" s="113"/>
      <c r="AA133" s="113"/>
      <c r="AB133" s="113"/>
      <c r="AC133" s="113"/>
      <c r="AD133" s="113"/>
      <c r="AE133" s="113"/>
      <c r="AF133" s="113"/>
      <c r="AG133" s="113"/>
    </row>
    <row r="134" spans="1:33" ht="13.8">
      <c r="A134" s="113"/>
      <c r="B134" s="113"/>
      <c r="C134" s="113"/>
      <c r="D134" s="113"/>
      <c r="E134" s="113"/>
      <c r="F134" s="113"/>
      <c r="G134" s="113"/>
      <c r="H134" s="113"/>
      <c r="I134" s="113"/>
      <c r="J134" s="113"/>
      <c r="K134" s="113"/>
      <c r="L134" s="113"/>
      <c r="M134" s="113"/>
      <c r="N134" s="113"/>
      <c r="O134" s="113"/>
      <c r="P134" s="113"/>
      <c r="Q134" s="113"/>
      <c r="R134" s="113"/>
      <c r="S134" s="113"/>
      <c r="T134" s="113"/>
      <c r="U134" s="113"/>
      <c r="V134" s="113"/>
      <c r="W134" s="113"/>
      <c r="X134" s="113"/>
      <c r="Y134" s="113"/>
      <c r="Z134" s="113"/>
      <c r="AA134" s="113"/>
      <c r="AB134" s="113"/>
      <c r="AC134" s="113"/>
      <c r="AD134" s="113"/>
      <c r="AE134" s="113"/>
      <c r="AF134" s="113"/>
      <c r="AG134" s="113"/>
    </row>
    <row r="135" spans="1:33" ht="13.8">
      <c r="A135" s="113"/>
      <c r="B135" s="113"/>
      <c r="C135" s="113"/>
      <c r="D135" s="113"/>
      <c r="E135" s="113"/>
      <c r="F135" s="113"/>
      <c r="G135" s="113"/>
      <c r="H135" s="113"/>
      <c r="I135" s="113"/>
      <c r="J135" s="113"/>
      <c r="K135" s="113"/>
      <c r="L135" s="113"/>
      <c r="M135" s="113"/>
      <c r="N135" s="113"/>
      <c r="O135" s="113"/>
      <c r="P135" s="113"/>
      <c r="Q135" s="113"/>
      <c r="R135" s="113"/>
      <c r="S135" s="113"/>
      <c r="T135" s="113"/>
      <c r="U135" s="113"/>
      <c r="V135" s="113"/>
      <c r="W135" s="113"/>
      <c r="X135" s="113"/>
      <c r="Y135" s="113"/>
      <c r="Z135" s="113"/>
      <c r="AA135" s="113"/>
      <c r="AB135" s="113"/>
      <c r="AC135" s="113"/>
      <c r="AD135" s="113"/>
      <c r="AE135" s="113"/>
      <c r="AF135" s="113"/>
      <c r="AG135" s="113"/>
    </row>
    <row r="136" spans="1:33" ht="13.8">
      <c r="A136" s="113"/>
      <c r="B136" s="113"/>
      <c r="C136" s="113"/>
      <c r="D136" s="113"/>
      <c r="E136" s="113"/>
      <c r="F136" s="113"/>
      <c r="G136" s="113"/>
      <c r="H136" s="113"/>
      <c r="I136" s="113"/>
      <c r="J136" s="113"/>
      <c r="K136" s="113"/>
      <c r="L136" s="113"/>
      <c r="M136" s="113"/>
      <c r="N136" s="113"/>
      <c r="O136" s="113"/>
      <c r="P136" s="113"/>
      <c r="Q136" s="113"/>
      <c r="R136" s="113"/>
      <c r="S136" s="113"/>
      <c r="T136" s="113"/>
      <c r="U136" s="113"/>
      <c r="V136" s="113"/>
      <c r="W136" s="113"/>
      <c r="X136" s="113"/>
      <c r="Y136" s="113"/>
      <c r="Z136" s="113"/>
      <c r="AA136" s="113"/>
      <c r="AB136" s="113"/>
      <c r="AC136" s="113"/>
      <c r="AD136" s="113"/>
      <c r="AE136" s="113"/>
      <c r="AF136" s="113"/>
      <c r="AG136" s="113"/>
    </row>
    <row r="137" spans="1:33" ht="13.8">
      <c r="A137" s="113"/>
      <c r="B137" s="113"/>
      <c r="C137" s="113"/>
      <c r="D137" s="113"/>
      <c r="E137" s="113"/>
      <c r="F137" s="113"/>
      <c r="G137" s="113"/>
      <c r="H137" s="113"/>
      <c r="I137" s="113"/>
      <c r="J137" s="113"/>
      <c r="K137" s="113"/>
      <c r="L137" s="113"/>
      <c r="M137" s="113"/>
      <c r="N137" s="113"/>
      <c r="O137" s="113"/>
      <c r="P137" s="113"/>
      <c r="Q137" s="113"/>
      <c r="R137" s="113"/>
      <c r="S137" s="113"/>
      <c r="T137" s="113"/>
      <c r="U137" s="113"/>
      <c r="V137" s="113"/>
      <c r="W137" s="113"/>
      <c r="X137" s="113"/>
      <c r="Y137" s="113"/>
      <c r="Z137" s="113"/>
      <c r="AA137" s="113"/>
      <c r="AB137" s="113"/>
      <c r="AC137" s="113"/>
      <c r="AD137" s="113"/>
      <c r="AE137" s="113"/>
      <c r="AF137" s="113"/>
      <c r="AG137" s="113"/>
    </row>
    <row r="138" spans="1:33" ht="13.8">
      <c r="A138" s="113"/>
      <c r="B138" s="113"/>
      <c r="C138" s="113"/>
      <c r="D138" s="113"/>
      <c r="E138" s="113"/>
      <c r="F138" s="113"/>
      <c r="G138" s="113"/>
      <c r="H138" s="113"/>
      <c r="I138" s="113"/>
      <c r="J138" s="113"/>
      <c r="K138" s="113"/>
      <c r="L138" s="113"/>
      <c r="M138" s="113"/>
      <c r="N138" s="113"/>
      <c r="O138" s="113"/>
      <c r="P138" s="113"/>
      <c r="Q138" s="113"/>
      <c r="R138" s="113"/>
      <c r="S138" s="113"/>
      <c r="T138" s="113"/>
      <c r="U138" s="113"/>
      <c r="V138" s="113"/>
      <c r="W138" s="113"/>
      <c r="X138" s="113"/>
      <c r="Y138" s="113"/>
      <c r="Z138" s="113"/>
      <c r="AA138" s="113"/>
      <c r="AB138" s="113"/>
      <c r="AC138" s="113"/>
      <c r="AD138" s="113"/>
      <c r="AE138" s="113"/>
      <c r="AF138" s="113"/>
      <c r="AG138" s="113"/>
    </row>
    <row r="139" spans="1:33" ht="13.8">
      <c r="A139" s="113"/>
      <c r="B139" s="113"/>
      <c r="C139" s="113"/>
      <c r="D139" s="113"/>
      <c r="E139" s="113"/>
      <c r="F139" s="113"/>
      <c r="G139" s="113"/>
      <c r="H139" s="113"/>
      <c r="I139" s="113"/>
      <c r="J139" s="113"/>
      <c r="K139" s="113"/>
      <c r="L139" s="113"/>
      <c r="M139" s="113"/>
      <c r="N139" s="113"/>
      <c r="O139" s="113"/>
      <c r="P139" s="113"/>
      <c r="Q139" s="113"/>
      <c r="R139" s="113"/>
      <c r="S139" s="113"/>
      <c r="T139" s="113"/>
      <c r="U139" s="113"/>
      <c r="V139" s="113"/>
      <c r="W139" s="113"/>
      <c r="X139" s="113"/>
      <c r="Y139" s="113"/>
      <c r="Z139" s="113"/>
      <c r="AA139" s="113"/>
      <c r="AB139" s="113"/>
      <c r="AC139" s="113"/>
      <c r="AD139" s="113"/>
      <c r="AE139" s="113"/>
      <c r="AF139" s="113"/>
      <c r="AG139" s="113"/>
    </row>
    <row r="140" spans="1:33" ht="13.8">
      <c r="A140" s="113"/>
      <c r="B140" s="113"/>
      <c r="C140" s="113"/>
      <c r="D140" s="113"/>
      <c r="E140" s="113"/>
      <c r="F140" s="113"/>
      <c r="G140" s="113"/>
      <c r="H140" s="113"/>
      <c r="I140" s="113"/>
      <c r="J140" s="113"/>
      <c r="K140" s="113"/>
      <c r="L140" s="113"/>
      <c r="M140" s="113"/>
      <c r="N140" s="113"/>
      <c r="O140" s="113"/>
      <c r="P140" s="113"/>
      <c r="Q140" s="113"/>
      <c r="R140" s="113"/>
      <c r="S140" s="113"/>
      <c r="T140" s="113"/>
      <c r="U140" s="113"/>
      <c r="V140" s="113"/>
      <c r="W140" s="113"/>
      <c r="X140" s="113"/>
      <c r="Y140" s="113"/>
      <c r="Z140" s="113"/>
      <c r="AA140" s="113"/>
      <c r="AB140" s="113"/>
      <c r="AC140" s="113"/>
      <c r="AD140" s="113"/>
      <c r="AE140" s="113"/>
      <c r="AF140" s="113"/>
      <c r="AG140" s="113"/>
    </row>
    <row r="141" spans="1:33" ht="13.8">
      <c r="A141" s="113"/>
      <c r="B141" s="113"/>
      <c r="C141" s="113"/>
      <c r="D141" s="113"/>
      <c r="E141" s="113"/>
      <c r="F141" s="113"/>
      <c r="G141" s="113"/>
      <c r="H141" s="113"/>
      <c r="I141" s="113"/>
      <c r="J141" s="113"/>
      <c r="K141" s="113"/>
      <c r="L141" s="113"/>
      <c r="M141" s="113"/>
      <c r="N141" s="113"/>
      <c r="O141" s="113"/>
      <c r="P141" s="113"/>
      <c r="Q141" s="113"/>
      <c r="R141" s="113"/>
      <c r="S141" s="113"/>
      <c r="T141" s="113"/>
      <c r="U141" s="113"/>
      <c r="V141" s="113"/>
      <c r="W141" s="113"/>
      <c r="X141" s="113"/>
      <c r="Y141" s="113"/>
      <c r="Z141" s="113"/>
      <c r="AA141" s="113"/>
      <c r="AB141" s="113"/>
      <c r="AC141" s="113"/>
      <c r="AD141" s="113"/>
      <c r="AE141" s="113"/>
      <c r="AF141" s="113"/>
      <c r="AG141" s="113"/>
    </row>
    <row r="142" spans="1:33" ht="13.8">
      <c r="A142" s="113"/>
      <c r="B142" s="113"/>
      <c r="C142" s="113"/>
      <c r="D142" s="113"/>
      <c r="E142" s="113"/>
      <c r="F142" s="113"/>
      <c r="G142" s="113"/>
      <c r="H142" s="113"/>
      <c r="I142" s="113"/>
      <c r="J142" s="113"/>
      <c r="K142" s="113"/>
      <c r="L142" s="113"/>
      <c r="M142" s="113"/>
      <c r="N142" s="113"/>
      <c r="O142" s="113"/>
      <c r="P142" s="113"/>
      <c r="Q142" s="113"/>
      <c r="R142" s="113"/>
      <c r="S142" s="113"/>
      <c r="T142" s="113"/>
      <c r="U142" s="113"/>
      <c r="V142" s="113"/>
      <c r="W142" s="113"/>
      <c r="X142" s="113"/>
      <c r="Y142" s="113"/>
      <c r="Z142" s="113"/>
      <c r="AA142" s="113"/>
      <c r="AB142" s="113"/>
      <c r="AC142" s="113"/>
      <c r="AD142" s="113"/>
      <c r="AE142" s="113"/>
      <c r="AF142" s="113"/>
      <c r="AG142" s="113"/>
    </row>
    <row r="143" spans="1:33" ht="13.8">
      <c r="A143" s="113"/>
      <c r="B143" s="113"/>
      <c r="C143" s="113"/>
      <c r="D143" s="113"/>
      <c r="E143" s="113"/>
      <c r="F143" s="113"/>
      <c r="G143" s="113"/>
      <c r="H143" s="113"/>
      <c r="I143" s="113"/>
      <c r="J143" s="113"/>
      <c r="K143" s="113"/>
      <c r="L143" s="113"/>
      <c r="M143" s="113"/>
      <c r="N143" s="113"/>
      <c r="O143" s="113"/>
      <c r="P143" s="113"/>
      <c r="Q143" s="113"/>
      <c r="R143" s="113"/>
      <c r="S143" s="113"/>
      <c r="T143" s="113"/>
      <c r="U143" s="113"/>
      <c r="V143" s="113"/>
      <c r="W143" s="113"/>
      <c r="X143" s="113"/>
      <c r="Y143" s="113"/>
      <c r="Z143" s="113"/>
      <c r="AA143" s="113"/>
      <c r="AB143" s="113"/>
      <c r="AC143" s="113"/>
      <c r="AD143" s="113"/>
      <c r="AE143" s="113"/>
      <c r="AF143" s="113"/>
      <c r="AG143" s="113"/>
    </row>
    <row r="144" spans="1:33" ht="13.8">
      <c r="A144" s="113"/>
      <c r="B144" s="113"/>
      <c r="C144" s="113"/>
      <c r="D144" s="113"/>
      <c r="E144" s="113"/>
      <c r="F144" s="113"/>
      <c r="G144" s="113"/>
      <c r="H144" s="113"/>
      <c r="I144" s="113"/>
      <c r="J144" s="113"/>
      <c r="K144" s="113"/>
      <c r="L144" s="113"/>
      <c r="M144" s="113"/>
      <c r="N144" s="113"/>
      <c r="O144" s="113"/>
      <c r="P144" s="113"/>
      <c r="Q144" s="113"/>
      <c r="R144" s="113"/>
      <c r="S144" s="113"/>
      <c r="T144" s="113"/>
      <c r="U144" s="113"/>
      <c r="V144" s="113"/>
      <c r="W144" s="113"/>
      <c r="X144" s="113"/>
      <c r="Y144" s="113"/>
      <c r="Z144" s="113"/>
      <c r="AA144" s="113"/>
      <c r="AB144" s="113"/>
      <c r="AC144" s="113"/>
      <c r="AD144" s="113"/>
      <c r="AE144" s="113"/>
      <c r="AF144" s="113"/>
      <c r="AG144" s="113"/>
    </row>
    <row r="145" spans="1:33" ht="13.8">
      <c r="A145" s="113"/>
      <c r="B145" s="113"/>
      <c r="C145" s="113"/>
      <c r="D145" s="113"/>
      <c r="E145" s="113"/>
      <c r="F145" s="113"/>
      <c r="G145" s="113"/>
      <c r="H145" s="113"/>
      <c r="I145" s="113"/>
      <c r="J145" s="113"/>
      <c r="K145" s="113"/>
      <c r="L145" s="113"/>
      <c r="M145" s="113"/>
      <c r="N145" s="113"/>
      <c r="O145" s="113"/>
      <c r="P145" s="113"/>
      <c r="Q145" s="113"/>
      <c r="R145" s="113"/>
      <c r="S145" s="113"/>
      <c r="T145" s="113"/>
      <c r="U145" s="113"/>
      <c r="V145" s="113"/>
      <c r="W145" s="113"/>
      <c r="X145" s="113"/>
      <c r="Y145" s="113"/>
      <c r="Z145" s="113"/>
      <c r="AA145" s="113"/>
      <c r="AB145" s="113"/>
      <c r="AC145" s="113"/>
      <c r="AD145" s="113"/>
      <c r="AE145" s="113"/>
      <c r="AF145" s="113"/>
      <c r="AG145" s="113"/>
    </row>
    <row r="146" spans="1:33" ht="13.8">
      <c r="A146" s="113"/>
      <c r="B146" s="113"/>
      <c r="C146" s="113"/>
      <c r="D146" s="113"/>
      <c r="E146" s="113"/>
      <c r="F146" s="113"/>
      <c r="G146" s="113"/>
      <c r="H146" s="113"/>
      <c r="I146" s="113"/>
      <c r="J146" s="113"/>
      <c r="K146" s="113"/>
      <c r="L146" s="113"/>
      <c r="M146" s="113"/>
      <c r="N146" s="113"/>
      <c r="O146" s="113"/>
      <c r="P146" s="113"/>
      <c r="Q146" s="113"/>
      <c r="R146" s="113"/>
      <c r="S146" s="113"/>
      <c r="T146" s="113"/>
      <c r="U146" s="113"/>
      <c r="V146" s="113"/>
      <c r="W146" s="113"/>
      <c r="X146" s="113"/>
      <c r="Y146" s="113"/>
      <c r="Z146" s="113"/>
      <c r="AA146" s="113"/>
      <c r="AB146" s="113"/>
      <c r="AC146" s="113"/>
      <c r="AD146" s="113"/>
      <c r="AE146" s="113"/>
      <c r="AF146" s="113"/>
      <c r="AG146" s="113"/>
    </row>
    <row r="147" spans="1:33" ht="13.8">
      <c r="A147" s="113"/>
      <c r="B147" s="113"/>
      <c r="C147" s="113"/>
      <c r="D147" s="113"/>
      <c r="E147" s="113"/>
      <c r="F147" s="113"/>
      <c r="G147" s="113"/>
      <c r="H147" s="113"/>
      <c r="I147" s="113"/>
      <c r="J147" s="113"/>
      <c r="K147" s="113"/>
      <c r="L147" s="113"/>
      <c r="M147" s="113"/>
      <c r="N147" s="113"/>
      <c r="O147" s="113"/>
      <c r="P147" s="113"/>
      <c r="Q147" s="113"/>
      <c r="R147" s="113"/>
      <c r="S147" s="113"/>
      <c r="T147" s="113"/>
      <c r="U147" s="113"/>
      <c r="V147" s="113"/>
      <c r="W147" s="113"/>
      <c r="X147" s="113"/>
      <c r="Y147" s="113"/>
      <c r="Z147" s="113"/>
      <c r="AA147" s="113"/>
      <c r="AB147" s="113"/>
      <c r="AC147" s="113"/>
      <c r="AD147" s="113"/>
      <c r="AE147" s="113"/>
      <c r="AF147" s="113"/>
      <c r="AG147" s="113"/>
    </row>
    <row r="148" spans="1:33" ht="13.8">
      <c r="A148" s="113"/>
      <c r="B148" s="113"/>
      <c r="C148" s="113"/>
      <c r="D148" s="113"/>
      <c r="E148" s="113"/>
      <c r="F148" s="113"/>
      <c r="G148" s="113"/>
      <c r="H148" s="113"/>
      <c r="I148" s="113"/>
      <c r="J148" s="113"/>
      <c r="K148" s="113"/>
      <c r="L148" s="113"/>
      <c r="M148" s="113"/>
      <c r="N148" s="113"/>
      <c r="O148" s="113"/>
      <c r="P148" s="113"/>
      <c r="Q148" s="113"/>
      <c r="R148" s="113"/>
      <c r="S148" s="113"/>
      <c r="T148" s="113"/>
      <c r="U148" s="113"/>
      <c r="V148" s="113"/>
      <c r="W148" s="113"/>
      <c r="X148" s="113"/>
      <c r="Y148" s="113"/>
      <c r="Z148" s="113"/>
      <c r="AA148" s="113"/>
      <c r="AB148" s="113"/>
      <c r="AC148" s="113"/>
      <c r="AD148" s="113"/>
      <c r="AE148" s="113"/>
      <c r="AF148" s="113"/>
      <c r="AG148" s="113"/>
    </row>
    <row r="149" spans="1:33" ht="13.8">
      <c r="A149" s="113"/>
      <c r="B149" s="113"/>
      <c r="C149" s="113"/>
      <c r="D149" s="113"/>
      <c r="E149" s="113"/>
      <c r="F149" s="113"/>
      <c r="G149" s="113"/>
      <c r="H149" s="113"/>
      <c r="I149" s="113"/>
      <c r="J149" s="113"/>
      <c r="K149" s="113"/>
      <c r="L149" s="113"/>
      <c r="M149" s="113"/>
      <c r="N149" s="113"/>
      <c r="O149" s="113"/>
      <c r="P149" s="113"/>
      <c r="Q149" s="113"/>
      <c r="R149" s="113"/>
      <c r="S149" s="113"/>
      <c r="T149" s="113"/>
      <c r="U149" s="113"/>
      <c r="V149" s="113"/>
      <c r="W149" s="113"/>
      <c r="X149" s="113"/>
      <c r="Y149" s="113"/>
      <c r="Z149" s="113"/>
      <c r="AA149" s="113"/>
      <c r="AB149" s="113"/>
      <c r="AC149" s="113"/>
      <c r="AD149" s="113"/>
      <c r="AE149" s="113"/>
      <c r="AF149" s="113"/>
      <c r="AG149" s="113"/>
    </row>
    <row r="150" spans="1:33" ht="13.8">
      <c r="A150" s="113"/>
      <c r="B150" s="113"/>
      <c r="C150" s="113"/>
      <c r="D150" s="113"/>
      <c r="E150" s="113"/>
      <c r="F150" s="113"/>
      <c r="G150" s="113"/>
      <c r="H150" s="113"/>
      <c r="I150" s="113"/>
      <c r="J150" s="113"/>
      <c r="K150" s="113"/>
      <c r="L150" s="113"/>
      <c r="M150" s="113"/>
      <c r="N150" s="113"/>
      <c r="O150" s="113"/>
      <c r="P150" s="113"/>
      <c r="Q150" s="113"/>
      <c r="R150" s="113"/>
      <c r="S150" s="113"/>
      <c r="T150" s="113"/>
      <c r="U150" s="113"/>
      <c r="V150" s="113"/>
      <c r="W150" s="113"/>
      <c r="X150" s="113"/>
      <c r="Y150" s="113"/>
      <c r="Z150" s="113"/>
      <c r="AA150" s="113"/>
      <c r="AB150" s="113"/>
      <c r="AC150" s="113"/>
      <c r="AD150" s="113"/>
      <c r="AE150" s="113"/>
      <c r="AF150" s="113"/>
      <c r="AG150" s="113"/>
    </row>
    <row r="151" spans="1:33" ht="13.8">
      <c r="A151" s="113"/>
      <c r="B151" s="113"/>
      <c r="C151" s="113"/>
      <c r="D151" s="113"/>
      <c r="E151" s="113"/>
      <c r="F151" s="113"/>
      <c r="G151" s="113"/>
      <c r="H151" s="113"/>
      <c r="I151" s="113"/>
      <c r="J151" s="113"/>
      <c r="K151" s="113"/>
      <c r="L151" s="113"/>
      <c r="M151" s="113"/>
      <c r="N151" s="113"/>
      <c r="O151" s="113"/>
      <c r="P151" s="113"/>
      <c r="Q151" s="113"/>
      <c r="R151" s="113"/>
      <c r="S151" s="113"/>
      <c r="T151" s="113"/>
      <c r="U151" s="113"/>
      <c r="V151" s="113"/>
      <c r="W151" s="113"/>
      <c r="X151" s="113"/>
      <c r="Y151" s="113"/>
      <c r="Z151" s="113"/>
      <c r="AA151" s="113"/>
      <c r="AB151" s="113"/>
      <c r="AC151" s="113"/>
      <c r="AD151" s="113"/>
      <c r="AE151" s="113"/>
      <c r="AF151" s="113"/>
      <c r="AG151" s="113"/>
    </row>
    <row r="152" spans="1:33" ht="13.8">
      <c r="A152" s="113"/>
      <c r="B152" s="113"/>
      <c r="C152" s="113"/>
      <c r="D152" s="113"/>
      <c r="E152" s="113"/>
      <c r="F152" s="113"/>
      <c r="G152" s="113"/>
      <c r="H152" s="113"/>
      <c r="I152" s="113"/>
      <c r="J152" s="113"/>
      <c r="K152" s="113"/>
      <c r="L152" s="113"/>
      <c r="M152" s="113"/>
      <c r="N152" s="113"/>
      <c r="O152" s="113"/>
      <c r="P152" s="113"/>
      <c r="Q152" s="113"/>
      <c r="R152" s="113"/>
      <c r="S152" s="113"/>
      <c r="T152" s="113"/>
      <c r="U152" s="113"/>
      <c r="V152" s="113"/>
      <c r="W152" s="113"/>
      <c r="X152" s="113"/>
      <c r="Y152" s="113"/>
      <c r="Z152" s="113"/>
      <c r="AA152" s="113"/>
      <c r="AB152" s="113"/>
      <c r="AC152" s="113"/>
      <c r="AD152" s="113"/>
      <c r="AE152" s="113"/>
      <c r="AF152" s="113"/>
      <c r="AG152" s="113"/>
    </row>
    <row r="153" spans="1:33" ht="13.8">
      <c r="A153" s="113"/>
      <c r="B153" s="113"/>
      <c r="C153" s="113"/>
      <c r="D153" s="113"/>
      <c r="E153" s="113"/>
      <c r="F153" s="113"/>
      <c r="G153" s="113"/>
      <c r="H153" s="113"/>
      <c r="I153" s="113"/>
      <c r="J153" s="113"/>
      <c r="K153" s="113"/>
      <c r="L153" s="113"/>
      <c r="M153" s="113"/>
      <c r="N153" s="113"/>
      <c r="O153" s="113"/>
      <c r="P153" s="113"/>
      <c r="Q153" s="113"/>
      <c r="R153" s="113"/>
      <c r="S153" s="113"/>
      <c r="T153" s="113"/>
      <c r="U153" s="113"/>
      <c r="V153" s="113"/>
      <c r="W153" s="113"/>
      <c r="X153" s="113"/>
      <c r="Y153" s="113"/>
      <c r="Z153" s="113"/>
      <c r="AA153" s="113"/>
      <c r="AB153" s="113"/>
      <c r="AC153" s="113"/>
      <c r="AD153" s="113"/>
      <c r="AE153" s="113"/>
      <c r="AF153" s="113"/>
      <c r="AG153" s="113"/>
    </row>
    <row r="154" spans="1:33" ht="13.8">
      <c r="A154" s="113"/>
      <c r="B154" s="113"/>
      <c r="C154" s="113"/>
      <c r="D154" s="113"/>
      <c r="E154" s="113"/>
      <c r="F154" s="113"/>
      <c r="G154" s="113"/>
      <c r="H154" s="113"/>
      <c r="I154" s="113"/>
      <c r="J154" s="113"/>
      <c r="K154" s="113"/>
      <c r="L154" s="113"/>
      <c r="M154" s="113"/>
      <c r="N154" s="113"/>
      <c r="O154" s="113"/>
      <c r="P154" s="113"/>
      <c r="Q154" s="113"/>
      <c r="R154" s="113"/>
      <c r="S154" s="113"/>
      <c r="T154" s="113"/>
      <c r="U154" s="113"/>
      <c r="V154" s="113"/>
      <c r="W154" s="113"/>
      <c r="X154" s="113"/>
      <c r="Y154" s="113"/>
      <c r="Z154" s="113"/>
      <c r="AA154" s="113"/>
      <c r="AB154" s="113"/>
      <c r="AC154" s="113"/>
      <c r="AD154" s="113"/>
      <c r="AE154" s="113"/>
      <c r="AF154" s="113"/>
      <c r="AG154" s="113"/>
    </row>
    <row r="155" spans="1:33" ht="13.8">
      <c r="A155" s="113"/>
      <c r="B155" s="113"/>
      <c r="C155" s="113"/>
      <c r="D155" s="113"/>
      <c r="E155" s="113"/>
      <c r="F155" s="113"/>
      <c r="G155" s="113"/>
      <c r="H155" s="113"/>
      <c r="I155" s="113"/>
      <c r="J155" s="113"/>
      <c r="K155" s="113"/>
      <c r="L155" s="113"/>
      <c r="M155" s="113"/>
      <c r="N155" s="113"/>
      <c r="O155" s="113"/>
      <c r="P155" s="113"/>
      <c r="Q155" s="113"/>
      <c r="R155" s="113"/>
      <c r="S155" s="113"/>
      <c r="T155" s="113"/>
      <c r="U155" s="113"/>
      <c r="V155" s="113"/>
      <c r="W155" s="113"/>
      <c r="X155" s="113"/>
      <c r="Y155" s="113"/>
      <c r="Z155" s="113"/>
      <c r="AA155" s="113"/>
      <c r="AB155" s="113"/>
      <c r="AC155" s="113"/>
      <c r="AD155" s="113"/>
      <c r="AE155" s="113"/>
      <c r="AF155" s="113"/>
      <c r="AG155" s="113"/>
    </row>
    <row r="156" spans="1:33" ht="13.8">
      <c r="A156" s="113"/>
      <c r="B156" s="113"/>
      <c r="C156" s="113"/>
      <c r="D156" s="113"/>
      <c r="E156" s="113"/>
      <c r="F156" s="113"/>
      <c r="G156" s="113"/>
      <c r="H156" s="113"/>
      <c r="I156" s="113"/>
      <c r="J156" s="113"/>
      <c r="K156" s="113"/>
      <c r="L156" s="113"/>
      <c r="M156" s="113"/>
      <c r="N156" s="113"/>
      <c r="O156" s="113"/>
      <c r="P156" s="113"/>
      <c r="Q156" s="113"/>
      <c r="R156" s="113"/>
      <c r="S156" s="113"/>
      <c r="T156" s="113"/>
      <c r="U156" s="113"/>
      <c r="V156" s="113"/>
      <c r="W156" s="113"/>
      <c r="X156" s="113"/>
      <c r="Y156" s="113"/>
      <c r="Z156" s="113"/>
      <c r="AA156" s="113"/>
      <c r="AB156" s="113"/>
      <c r="AC156" s="113"/>
      <c r="AD156" s="113"/>
      <c r="AE156" s="113"/>
      <c r="AF156" s="113"/>
      <c r="AG156" s="113"/>
    </row>
    <row r="157" spans="1:33" ht="13.8">
      <c r="A157" s="113"/>
      <c r="B157" s="113"/>
      <c r="C157" s="113"/>
      <c r="D157" s="113"/>
      <c r="E157" s="113"/>
      <c r="F157" s="113"/>
      <c r="G157" s="113"/>
      <c r="H157" s="113"/>
      <c r="I157" s="113"/>
      <c r="J157" s="113"/>
      <c r="K157" s="113"/>
      <c r="L157" s="113"/>
      <c r="M157" s="113"/>
      <c r="N157" s="113"/>
      <c r="O157" s="113"/>
      <c r="P157" s="113"/>
      <c r="Q157" s="113"/>
      <c r="R157" s="113"/>
      <c r="S157" s="113"/>
      <c r="T157" s="113"/>
      <c r="U157" s="113"/>
      <c r="V157" s="113"/>
      <c r="W157" s="113"/>
      <c r="X157" s="113"/>
      <c r="Y157" s="113"/>
      <c r="Z157" s="113"/>
      <c r="AA157" s="113"/>
      <c r="AB157" s="113"/>
      <c r="AC157" s="113"/>
      <c r="AD157" s="113"/>
      <c r="AE157" s="113"/>
      <c r="AF157" s="113"/>
      <c r="AG157" s="113"/>
    </row>
    <row r="158" spans="1:33" ht="13.8">
      <c r="A158" s="113"/>
      <c r="B158" s="113"/>
      <c r="C158" s="113"/>
      <c r="D158" s="113"/>
      <c r="E158" s="113"/>
      <c r="F158" s="113"/>
      <c r="G158" s="113"/>
      <c r="H158" s="113"/>
      <c r="I158" s="113"/>
      <c r="J158" s="113"/>
      <c r="K158" s="113"/>
      <c r="L158" s="113"/>
      <c r="M158" s="113"/>
      <c r="N158" s="113"/>
      <c r="O158" s="113"/>
      <c r="P158" s="113"/>
      <c r="Q158" s="113"/>
      <c r="R158" s="113"/>
      <c r="S158" s="113"/>
      <c r="T158" s="113"/>
      <c r="U158" s="113"/>
      <c r="V158" s="113"/>
      <c r="W158" s="113"/>
      <c r="X158" s="113"/>
      <c r="Y158" s="113"/>
      <c r="Z158" s="113"/>
      <c r="AA158" s="113"/>
      <c r="AB158" s="113"/>
      <c r="AC158" s="113"/>
      <c r="AD158" s="113"/>
      <c r="AE158" s="113"/>
      <c r="AF158" s="113"/>
      <c r="AG158" s="113"/>
    </row>
    <row r="159" spans="1:33" ht="13.8">
      <c r="A159" s="113"/>
      <c r="B159" s="113"/>
      <c r="C159" s="113"/>
      <c r="D159" s="113"/>
      <c r="E159" s="113"/>
      <c r="F159" s="113"/>
      <c r="G159" s="113"/>
      <c r="H159" s="113"/>
      <c r="I159" s="113"/>
      <c r="J159" s="113"/>
      <c r="K159" s="113"/>
      <c r="L159" s="113"/>
      <c r="M159" s="113"/>
      <c r="N159" s="113"/>
      <c r="O159" s="113"/>
      <c r="P159" s="113"/>
      <c r="Q159" s="113"/>
      <c r="R159" s="113"/>
      <c r="S159" s="113"/>
      <c r="T159" s="113"/>
      <c r="U159" s="113"/>
      <c r="V159" s="113"/>
      <c r="W159" s="113"/>
      <c r="X159" s="113"/>
      <c r="Y159" s="113"/>
      <c r="Z159" s="113"/>
      <c r="AA159" s="113"/>
      <c r="AB159" s="113"/>
      <c r="AC159" s="113"/>
      <c r="AD159" s="113"/>
      <c r="AE159" s="113"/>
      <c r="AF159" s="113"/>
      <c r="AG159" s="113"/>
    </row>
    <row r="160" spans="1:33" ht="13.8">
      <c r="A160" s="113"/>
      <c r="B160" s="113"/>
      <c r="C160" s="113"/>
      <c r="D160" s="113"/>
      <c r="E160" s="113"/>
      <c r="F160" s="113"/>
      <c r="G160" s="113"/>
      <c r="H160" s="113"/>
      <c r="I160" s="113"/>
      <c r="J160" s="113"/>
      <c r="K160" s="113"/>
      <c r="L160" s="113"/>
      <c r="M160" s="113"/>
      <c r="N160" s="113"/>
      <c r="O160" s="113"/>
      <c r="P160" s="113"/>
      <c r="Q160" s="113"/>
      <c r="R160" s="113"/>
      <c r="S160" s="113"/>
      <c r="T160" s="113"/>
      <c r="U160" s="113"/>
      <c r="V160" s="113"/>
      <c r="W160" s="113"/>
      <c r="X160" s="113"/>
      <c r="Y160" s="113"/>
      <c r="Z160" s="113"/>
      <c r="AA160" s="113"/>
      <c r="AB160" s="113"/>
      <c r="AC160" s="113"/>
      <c r="AD160" s="113"/>
      <c r="AE160" s="113"/>
      <c r="AF160" s="113"/>
      <c r="AG160" s="113"/>
    </row>
    <row r="161" spans="1:33" ht="13.8">
      <c r="A161" s="113"/>
      <c r="B161" s="113"/>
      <c r="C161" s="113"/>
      <c r="D161" s="113"/>
      <c r="E161" s="113"/>
      <c r="F161" s="113"/>
      <c r="G161" s="113"/>
      <c r="H161" s="113"/>
      <c r="I161" s="113"/>
      <c r="J161" s="113"/>
      <c r="K161" s="113"/>
      <c r="L161" s="113"/>
      <c r="M161" s="113"/>
      <c r="N161" s="113"/>
      <c r="O161" s="113"/>
      <c r="P161" s="113"/>
      <c r="Q161" s="113"/>
      <c r="R161" s="113"/>
      <c r="S161" s="113"/>
      <c r="T161" s="113"/>
      <c r="U161" s="113"/>
      <c r="V161" s="113"/>
      <c r="W161" s="113"/>
      <c r="X161" s="113"/>
      <c r="Y161" s="113"/>
      <c r="Z161" s="113"/>
      <c r="AA161" s="113"/>
      <c r="AB161" s="113"/>
      <c r="AC161" s="113"/>
      <c r="AD161" s="113"/>
      <c r="AE161" s="113"/>
      <c r="AF161" s="113"/>
      <c r="AG161" s="113"/>
    </row>
    <row r="162" spans="1:33" ht="13.8">
      <c r="A162" s="113"/>
      <c r="B162" s="113"/>
      <c r="C162" s="113"/>
      <c r="D162" s="113"/>
      <c r="E162" s="113"/>
      <c r="F162" s="113"/>
      <c r="G162" s="113"/>
      <c r="H162" s="113"/>
      <c r="I162" s="113"/>
      <c r="J162" s="113"/>
      <c r="K162" s="113"/>
      <c r="L162" s="113"/>
      <c r="M162" s="113"/>
      <c r="N162" s="113"/>
      <c r="O162" s="113"/>
      <c r="P162" s="113"/>
      <c r="Q162" s="113"/>
      <c r="R162" s="113"/>
      <c r="S162" s="113"/>
      <c r="T162" s="113"/>
      <c r="U162" s="113"/>
      <c r="V162" s="113"/>
      <c r="W162" s="113"/>
      <c r="X162" s="113"/>
      <c r="Y162" s="113"/>
      <c r="Z162" s="113"/>
      <c r="AA162" s="113"/>
      <c r="AB162" s="113"/>
      <c r="AC162" s="113"/>
      <c r="AD162" s="113"/>
      <c r="AE162" s="113"/>
      <c r="AF162" s="113"/>
      <c r="AG162" s="113"/>
    </row>
    <row r="163" spans="1:33" ht="13.8">
      <c r="A163" s="113"/>
      <c r="B163" s="113"/>
      <c r="C163" s="113"/>
      <c r="D163" s="113"/>
      <c r="E163" s="113"/>
      <c r="F163" s="113"/>
      <c r="G163" s="113"/>
      <c r="H163" s="113"/>
      <c r="I163" s="113"/>
      <c r="J163" s="113"/>
      <c r="K163" s="113"/>
      <c r="L163" s="113"/>
      <c r="M163" s="113"/>
      <c r="N163" s="113"/>
      <c r="O163" s="113"/>
      <c r="P163" s="113"/>
      <c r="Q163" s="113"/>
      <c r="R163" s="113"/>
      <c r="S163" s="113"/>
      <c r="T163" s="113"/>
      <c r="U163" s="113"/>
      <c r="V163" s="113"/>
      <c r="W163" s="113"/>
      <c r="X163" s="113"/>
      <c r="Y163" s="113"/>
      <c r="Z163" s="113"/>
      <c r="AA163" s="113"/>
      <c r="AB163" s="113"/>
      <c r="AC163" s="113"/>
      <c r="AD163" s="113"/>
      <c r="AE163" s="113"/>
      <c r="AF163" s="113"/>
      <c r="AG163" s="113"/>
    </row>
    <row r="164" spans="1:33" ht="13.8">
      <c r="A164" s="113"/>
      <c r="B164" s="113"/>
      <c r="C164" s="113"/>
      <c r="D164" s="113"/>
      <c r="E164" s="113"/>
      <c r="F164" s="113"/>
      <c r="G164" s="113"/>
      <c r="H164" s="113"/>
      <c r="I164" s="113"/>
      <c r="J164" s="113"/>
      <c r="K164" s="113"/>
      <c r="L164" s="113"/>
      <c r="M164" s="113"/>
      <c r="N164" s="113"/>
      <c r="O164" s="113"/>
      <c r="P164" s="113"/>
      <c r="Q164" s="113"/>
      <c r="R164" s="113"/>
      <c r="S164" s="113"/>
      <c r="T164" s="113"/>
      <c r="U164" s="113"/>
      <c r="V164" s="113"/>
      <c r="W164" s="113"/>
      <c r="X164" s="113"/>
      <c r="Y164" s="113"/>
      <c r="Z164" s="113"/>
      <c r="AA164" s="113"/>
      <c r="AB164" s="113"/>
      <c r="AC164" s="113"/>
      <c r="AD164" s="113"/>
      <c r="AE164" s="113"/>
      <c r="AF164" s="113"/>
      <c r="AG164" s="113"/>
    </row>
    <row r="165" spans="1:33" ht="13.8">
      <c r="A165" s="113"/>
      <c r="B165" s="113"/>
      <c r="C165" s="113"/>
      <c r="D165" s="113"/>
      <c r="E165" s="113"/>
      <c r="F165" s="113"/>
      <c r="G165" s="113"/>
      <c r="H165" s="113"/>
      <c r="I165" s="113"/>
      <c r="J165" s="113"/>
      <c r="K165" s="113"/>
      <c r="L165" s="113"/>
      <c r="M165" s="113"/>
      <c r="N165" s="113"/>
      <c r="O165" s="113"/>
      <c r="P165" s="113"/>
      <c r="Q165" s="113"/>
      <c r="R165" s="113"/>
      <c r="S165" s="113"/>
      <c r="T165" s="113"/>
      <c r="U165" s="113"/>
      <c r="V165" s="113"/>
      <c r="W165" s="113"/>
      <c r="X165" s="113"/>
      <c r="Y165" s="113"/>
      <c r="Z165" s="113"/>
      <c r="AA165" s="113"/>
      <c r="AB165" s="113"/>
      <c r="AC165" s="113"/>
      <c r="AD165" s="113"/>
      <c r="AE165" s="113"/>
      <c r="AF165" s="113"/>
      <c r="AG165" s="113"/>
    </row>
    <row r="166" spans="1:33" ht="13.8">
      <c r="A166" s="113"/>
      <c r="B166" s="113"/>
      <c r="C166" s="113"/>
      <c r="D166" s="113"/>
      <c r="E166" s="113"/>
      <c r="F166" s="113"/>
      <c r="G166" s="113"/>
      <c r="H166" s="113"/>
      <c r="I166" s="113"/>
      <c r="J166" s="113"/>
      <c r="K166" s="113"/>
      <c r="L166" s="113"/>
      <c r="M166" s="113"/>
      <c r="N166" s="113"/>
      <c r="O166" s="113"/>
      <c r="P166" s="113"/>
      <c r="Q166" s="113"/>
      <c r="R166" s="113"/>
      <c r="S166" s="113"/>
      <c r="T166" s="113"/>
      <c r="U166" s="113"/>
      <c r="V166" s="113"/>
      <c r="W166" s="113"/>
      <c r="X166" s="113"/>
      <c r="Y166" s="113"/>
      <c r="Z166" s="113"/>
      <c r="AA166" s="113"/>
      <c r="AB166" s="113"/>
      <c r="AC166" s="113"/>
      <c r="AD166" s="113"/>
      <c r="AE166" s="113"/>
      <c r="AF166" s="113"/>
      <c r="AG166" s="113"/>
    </row>
    <row r="167" spans="1:33" ht="13.8">
      <c r="A167" s="113"/>
      <c r="B167" s="113"/>
      <c r="C167" s="113"/>
      <c r="D167" s="113"/>
      <c r="E167" s="113"/>
      <c r="F167" s="113"/>
      <c r="G167" s="113"/>
      <c r="H167" s="113"/>
      <c r="I167" s="113"/>
      <c r="J167" s="113"/>
      <c r="K167" s="113"/>
      <c r="L167" s="113"/>
      <c r="M167" s="113"/>
      <c r="N167" s="113"/>
      <c r="O167" s="113"/>
      <c r="P167" s="113"/>
      <c r="Q167" s="113"/>
      <c r="R167" s="113"/>
      <c r="S167" s="113"/>
      <c r="T167" s="113"/>
      <c r="U167" s="113"/>
      <c r="V167" s="113"/>
      <c r="W167" s="113"/>
      <c r="X167" s="113"/>
      <c r="Y167" s="113"/>
      <c r="Z167" s="113"/>
      <c r="AA167" s="113"/>
      <c r="AB167" s="113"/>
      <c r="AC167" s="113"/>
      <c r="AD167" s="113"/>
      <c r="AE167" s="113"/>
      <c r="AF167" s="113"/>
      <c r="AG167" s="113"/>
    </row>
    <row r="168" spans="1:33" ht="13.8">
      <c r="A168" s="113"/>
      <c r="B168" s="113"/>
      <c r="C168" s="113"/>
      <c r="D168" s="113"/>
      <c r="E168" s="113"/>
      <c r="F168" s="113"/>
      <c r="G168" s="113"/>
      <c r="H168" s="113"/>
      <c r="I168" s="113"/>
      <c r="J168" s="113"/>
      <c r="K168" s="113"/>
      <c r="L168" s="113"/>
      <c r="M168" s="113"/>
      <c r="N168" s="113"/>
      <c r="O168" s="113"/>
      <c r="P168" s="113"/>
      <c r="Q168" s="113"/>
      <c r="R168" s="113"/>
      <c r="S168" s="113"/>
      <c r="T168" s="113"/>
      <c r="U168" s="113"/>
      <c r="V168" s="113"/>
      <c r="W168" s="113"/>
      <c r="X168" s="113"/>
      <c r="Y168" s="113"/>
      <c r="Z168" s="113"/>
      <c r="AA168" s="113"/>
      <c r="AB168" s="113"/>
      <c r="AC168" s="113"/>
      <c r="AD168" s="113"/>
      <c r="AE168" s="113"/>
      <c r="AF168" s="113"/>
      <c r="AG168" s="113"/>
    </row>
    <row r="169" spans="1:33" ht="13.8">
      <c r="A169" s="113"/>
      <c r="B169" s="113"/>
      <c r="C169" s="113"/>
      <c r="D169" s="113"/>
      <c r="E169" s="113"/>
      <c r="F169" s="113"/>
      <c r="G169" s="113"/>
      <c r="H169" s="113"/>
      <c r="I169" s="113"/>
      <c r="J169" s="113"/>
      <c r="K169" s="113"/>
      <c r="L169" s="113"/>
      <c r="M169" s="113"/>
      <c r="N169" s="113"/>
      <c r="O169" s="113"/>
      <c r="P169" s="113"/>
      <c r="Q169" s="113"/>
      <c r="R169" s="113"/>
      <c r="S169" s="113"/>
      <c r="T169" s="113"/>
      <c r="U169" s="113"/>
      <c r="V169" s="113"/>
      <c r="W169" s="113"/>
      <c r="X169" s="113"/>
      <c r="Y169" s="113"/>
      <c r="Z169" s="113"/>
      <c r="AA169" s="113"/>
      <c r="AB169" s="113"/>
      <c r="AC169" s="113"/>
      <c r="AD169" s="113"/>
      <c r="AE169" s="113"/>
      <c r="AF169" s="113"/>
      <c r="AG169" s="113"/>
    </row>
    <row r="170" spans="1:33" ht="13.8">
      <c r="A170" s="113"/>
      <c r="B170" s="113"/>
      <c r="C170" s="113"/>
      <c r="D170" s="113"/>
      <c r="E170" s="113"/>
      <c r="F170" s="113"/>
      <c r="G170" s="113"/>
      <c r="H170" s="113"/>
      <c r="I170" s="113"/>
      <c r="J170" s="113"/>
      <c r="K170" s="113"/>
      <c r="L170" s="113"/>
      <c r="M170" s="113"/>
      <c r="N170" s="113"/>
      <c r="O170" s="113"/>
      <c r="P170" s="113"/>
      <c r="Q170" s="113"/>
      <c r="R170" s="113"/>
      <c r="S170" s="113"/>
      <c r="T170" s="113"/>
      <c r="U170" s="113"/>
      <c r="V170" s="113"/>
      <c r="W170" s="113"/>
      <c r="X170" s="113"/>
      <c r="Y170" s="113"/>
      <c r="Z170" s="113"/>
      <c r="AA170" s="113"/>
      <c r="AB170" s="113"/>
      <c r="AC170" s="113"/>
      <c r="AD170" s="113"/>
      <c r="AE170" s="113"/>
      <c r="AF170" s="113"/>
      <c r="AG170" s="113"/>
    </row>
    <row r="171" spans="1:33" ht="13.8">
      <c r="A171" s="113"/>
      <c r="B171" s="113"/>
      <c r="C171" s="113"/>
      <c r="D171" s="113"/>
      <c r="E171" s="113"/>
      <c r="F171" s="113"/>
      <c r="G171" s="113"/>
      <c r="H171" s="113"/>
      <c r="I171" s="113"/>
      <c r="J171" s="113"/>
      <c r="K171" s="113"/>
      <c r="L171" s="113"/>
      <c r="M171" s="113"/>
      <c r="N171" s="113"/>
      <c r="O171" s="113"/>
      <c r="P171" s="113"/>
      <c r="Q171" s="113"/>
      <c r="R171" s="113"/>
      <c r="S171" s="113"/>
      <c r="T171" s="113"/>
      <c r="U171" s="113"/>
      <c r="V171" s="113"/>
      <c r="W171" s="113"/>
      <c r="X171" s="113"/>
      <c r="Y171" s="113"/>
      <c r="Z171" s="113"/>
      <c r="AA171" s="113"/>
      <c r="AB171" s="113"/>
      <c r="AC171" s="113"/>
      <c r="AD171" s="113"/>
      <c r="AE171" s="113"/>
      <c r="AF171" s="113"/>
      <c r="AG171" s="113"/>
    </row>
    <row r="172" spans="1:33" ht="13.8">
      <c r="A172" s="113"/>
      <c r="B172" s="113"/>
      <c r="C172" s="113"/>
      <c r="D172" s="113"/>
      <c r="E172" s="113"/>
      <c r="F172" s="113"/>
      <c r="G172" s="113"/>
      <c r="H172" s="113"/>
      <c r="I172" s="113"/>
      <c r="J172" s="113"/>
      <c r="K172" s="113"/>
      <c r="L172" s="113"/>
      <c r="M172" s="113"/>
      <c r="N172" s="113"/>
      <c r="O172" s="113"/>
      <c r="P172" s="113"/>
      <c r="Q172" s="113"/>
      <c r="R172" s="113"/>
      <c r="S172" s="113"/>
      <c r="T172" s="113"/>
      <c r="U172" s="113"/>
      <c r="V172" s="113"/>
      <c r="W172" s="113"/>
      <c r="X172" s="113"/>
      <c r="Y172" s="113"/>
      <c r="Z172" s="113"/>
      <c r="AA172" s="113"/>
      <c r="AB172" s="113"/>
      <c r="AC172" s="113"/>
      <c r="AD172" s="113"/>
      <c r="AE172" s="113"/>
      <c r="AF172" s="113"/>
      <c r="AG172" s="113"/>
    </row>
    <row r="173" spans="1:33" ht="13.8">
      <c r="A173" s="113"/>
      <c r="B173" s="113"/>
      <c r="C173" s="113"/>
      <c r="D173" s="113"/>
      <c r="E173" s="113"/>
      <c r="F173" s="113"/>
      <c r="G173" s="113"/>
      <c r="H173" s="113"/>
      <c r="I173" s="113"/>
      <c r="J173" s="113"/>
      <c r="K173" s="113"/>
      <c r="L173" s="113"/>
      <c r="M173" s="113"/>
      <c r="N173" s="113"/>
      <c r="O173" s="113"/>
      <c r="P173" s="113"/>
      <c r="Q173" s="113"/>
      <c r="R173" s="113"/>
      <c r="S173" s="113"/>
      <c r="T173" s="113"/>
      <c r="U173" s="113"/>
      <c r="V173" s="113"/>
      <c r="W173" s="113"/>
      <c r="X173" s="113"/>
      <c r="Y173" s="113"/>
      <c r="Z173" s="113"/>
      <c r="AA173" s="113"/>
      <c r="AB173" s="113"/>
      <c r="AC173" s="113"/>
      <c r="AD173" s="113"/>
      <c r="AE173" s="113"/>
      <c r="AF173" s="113"/>
      <c r="AG173" s="113"/>
    </row>
    <row r="174" spans="1:33" ht="13.8">
      <c r="A174" s="113"/>
      <c r="B174" s="113"/>
      <c r="C174" s="113"/>
      <c r="D174" s="113"/>
      <c r="E174" s="113"/>
      <c r="F174" s="113"/>
      <c r="G174" s="113"/>
      <c r="H174" s="113"/>
      <c r="I174" s="113"/>
      <c r="J174" s="113"/>
      <c r="K174" s="113"/>
      <c r="L174" s="113"/>
      <c r="M174" s="113"/>
      <c r="N174" s="113"/>
      <c r="O174" s="113"/>
      <c r="P174" s="113"/>
      <c r="Q174" s="113"/>
      <c r="R174" s="113"/>
      <c r="S174" s="113"/>
      <c r="T174" s="113"/>
      <c r="U174" s="113"/>
      <c r="V174" s="113"/>
      <c r="W174" s="113"/>
      <c r="X174" s="113"/>
      <c r="Y174" s="113"/>
      <c r="Z174" s="113"/>
      <c r="AA174" s="113"/>
      <c r="AB174" s="113"/>
      <c r="AC174" s="113"/>
      <c r="AD174" s="113"/>
      <c r="AE174" s="113"/>
      <c r="AF174" s="113"/>
      <c r="AG174" s="113"/>
    </row>
    <row r="175" spans="1:33" ht="13.8">
      <c r="A175" s="113"/>
      <c r="B175" s="113"/>
      <c r="C175" s="113"/>
      <c r="D175" s="113"/>
      <c r="E175" s="113"/>
      <c r="F175" s="113"/>
      <c r="G175" s="113"/>
      <c r="H175" s="113"/>
      <c r="I175" s="113"/>
      <c r="J175" s="113"/>
      <c r="K175" s="113"/>
      <c r="L175" s="113"/>
      <c r="M175" s="113"/>
      <c r="N175" s="113"/>
      <c r="O175" s="113"/>
      <c r="P175" s="113"/>
      <c r="Q175" s="113"/>
      <c r="R175" s="113"/>
      <c r="S175" s="113"/>
      <c r="T175" s="113"/>
      <c r="U175" s="113"/>
      <c r="V175" s="113"/>
      <c r="W175" s="113"/>
      <c r="X175" s="113"/>
      <c r="Y175" s="113"/>
      <c r="Z175" s="113"/>
      <c r="AA175" s="113"/>
      <c r="AB175" s="113"/>
      <c r="AC175" s="113"/>
      <c r="AD175" s="113"/>
      <c r="AE175" s="113"/>
      <c r="AF175" s="113"/>
      <c r="AG175" s="113"/>
    </row>
    <row r="176" spans="1:33" ht="13.8">
      <c r="A176" s="113"/>
      <c r="B176" s="113"/>
      <c r="C176" s="113"/>
      <c r="D176" s="113"/>
      <c r="E176" s="113"/>
      <c r="F176" s="113"/>
      <c r="G176" s="113"/>
      <c r="H176" s="113"/>
      <c r="I176" s="113"/>
      <c r="J176" s="113"/>
      <c r="K176" s="113"/>
      <c r="L176" s="113"/>
      <c r="M176" s="113"/>
      <c r="N176" s="113"/>
      <c r="O176" s="113"/>
      <c r="P176" s="113"/>
      <c r="Q176" s="113"/>
      <c r="R176" s="113"/>
      <c r="S176" s="113"/>
      <c r="T176" s="113"/>
      <c r="U176" s="113"/>
      <c r="V176" s="113"/>
      <c r="W176" s="113"/>
      <c r="X176" s="113"/>
      <c r="Y176" s="113"/>
      <c r="Z176" s="113"/>
      <c r="AA176" s="113"/>
      <c r="AB176" s="113"/>
      <c r="AC176" s="113"/>
      <c r="AD176" s="113"/>
      <c r="AE176" s="113"/>
      <c r="AF176" s="113"/>
      <c r="AG176" s="113"/>
    </row>
    <row r="177" spans="1:33" ht="13.8">
      <c r="A177" s="113"/>
      <c r="B177" s="113"/>
      <c r="C177" s="113"/>
      <c r="D177" s="113"/>
      <c r="E177" s="113"/>
      <c r="F177" s="113"/>
      <c r="G177" s="113"/>
      <c r="H177" s="113"/>
      <c r="I177" s="113"/>
      <c r="J177" s="113"/>
      <c r="K177" s="113"/>
      <c r="L177" s="113"/>
      <c r="M177" s="113"/>
      <c r="N177" s="113"/>
      <c r="O177" s="113"/>
      <c r="P177" s="113"/>
      <c r="Q177" s="113"/>
      <c r="R177" s="113"/>
      <c r="S177" s="113"/>
      <c r="T177" s="113"/>
      <c r="U177" s="113"/>
      <c r="V177" s="113"/>
      <c r="W177" s="113"/>
      <c r="X177" s="113"/>
      <c r="Y177" s="113"/>
      <c r="Z177" s="113"/>
      <c r="AA177" s="113"/>
      <c r="AB177" s="113"/>
      <c r="AC177" s="113"/>
      <c r="AD177" s="113"/>
      <c r="AE177" s="113"/>
      <c r="AF177" s="113"/>
      <c r="AG177" s="113"/>
    </row>
    <row r="178" spans="1:33" ht="13.8">
      <c r="A178" s="113"/>
      <c r="B178" s="113"/>
      <c r="C178" s="113"/>
      <c r="D178" s="113"/>
      <c r="E178" s="113"/>
      <c r="F178" s="113"/>
      <c r="G178" s="113"/>
      <c r="H178" s="113"/>
      <c r="I178" s="113"/>
      <c r="J178" s="113"/>
      <c r="K178" s="113"/>
      <c r="L178" s="113"/>
      <c r="M178" s="113"/>
      <c r="N178" s="113"/>
      <c r="O178" s="113"/>
      <c r="P178" s="113"/>
      <c r="Q178" s="113"/>
      <c r="R178" s="113"/>
      <c r="S178" s="113"/>
      <c r="T178" s="113"/>
      <c r="U178" s="113"/>
      <c r="V178" s="113"/>
      <c r="W178" s="113"/>
      <c r="X178" s="113"/>
      <c r="Y178" s="113"/>
      <c r="Z178" s="113"/>
      <c r="AA178" s="113"/>
      <c r="AB178" s="113"/>
      <c r="AC178" s="113"/>
      <c r="AD178" s="113"/>
      <c r="AE178" s="113"/>
      <c r="AF178" s="113"/>
      <c r="AG178" s="113"/>
    </row>
    <row r="179" spans="1:33" ht="13.8">
      <c r="A179" s="113"/>
      <c r="B179" s="113"/>
      <c r="C179" s="113"/>
      <c r="D179" s="113"/>
      <c r="E179" s="113"/>
      <c r="F179" s="113"/>
      <c r="G179" s="113"/>
      <c r="H179" s="113"/>
      <c r="I179" s="113"/>
      <c r="J179" s="113"/>
      <c r="K179" s="113"/>
      <c r="L179" s="113"/>
      <c r="M179" s="113"/>
      <c r="N179" s="113"/>
      <c r="O179" s="113"/>
      <c r="P179" s="113"/>
      <c r="Q179" s="113"/>
      <c r="R179" s="113"/>
      <c r="S179" s="113"/>
      <c r="T179" s="113"/>
      <c r="U179" s="113"/>
      <c r="V179" s="113"/>
      <c r="W179" s="113"/>
      <c r="X179" s="113"/>
      <c r="Y179" s="113"/>
      <c r="Z179" s="113"/>
      <c r="AA179" s="113"/>
      <c r="AB179" s="113"/>
      <c r="AC179" s="113"/>
      <c r="AD179" s="113"/>
      <c r="AE179" s="113"/>
      <c r="AF179" s="113"/>
      <c r="AG179" s="113"/>
    </row>
    <row r="180" spans="1:33" ht="13.8">
      <c r="A180" s="113"/>
      <c r="B180" s="113"/>
      <c r="C180" s="113"/>
      <c r="D180" s="113"/>
      <c r="E180" s="113"/>
      <c r="F180" s="113"/>
      <c r="G180" s="113"/>
      <c r="H180" s="113"/>
      <c r="I180" s="113"/>
      <c r="J180" s="113"/>
      <c r="K180" s="113"/>
      <c r="L180" s="113"/>
      <c r="M180" s="113"/>
      <c r="N180" s="113"/>
      <c r="O180" s="113"/>
      <c r="P180" s="113"/>
      <c r="Q180" s="113"/>
      <c r="R180" s="113"/>
      <c r="S180" s="113"/>
      <c r="T180" s="113"/>
      <c r="U180" s="113"/>
      <c r="V180" s="113"/>
      <c r="W180" s="113"/>
      <c r="X180" s="113"/>
      <c r="Y180" s="113"/>
      <c r="Z180" s="113"/>
      <c r="AA180" s="113"/>
      <c r="AB180" s="113"/>
      <c r="AC180" s="113"/>
      <c r="AD180" s="113"/>
      <c r="AE180" s="113"/>
      <c r="AF180" s="113"/>
      <c r="AG180" s="113"/>
    </row>
    <row r="181" spans="1:33" ht="13.8">
      <c r="A181" s="113"/>
      <c r="B181" s="113"/>
      <c r="C181" s="113"/>
      <c r="D181" s="113"/>
      <c r="E181" s="113"/>
      <c r="F181" s="113"/>
      <c r="G181" s="113"/>
      <c r="H181" s="113"/>
      <c r="I181" s="113"/>
      <c r="J181" s="113"/>
      <c r="K181" s="113"/>
      <c r="L181" s="113"/>
      <c r="M181" s="113"/>
      <c r="N181" s="113"/>
      <c r="O181" s="113"/>
      <c r="P181" s="113"/>
      <c r="Q181" s="113"/>
      <c r="R181" s="113"/>
      <c r="S181" s="113"/>
      <c r="T181" s="113"/>
      <c r="U181" s="113"/>
      <c r="V181" s="113"/>
      <c r="W181" s="113"/>
      <c r="X181" s="113"/>
      <c r="Y181" s="113"/>
      <c r="Z181" s="113"/>
      <c r="AA181" s="113"/>
      <c r="AB181" s="113"/>
      <c r="AC181" s="113"/>
      <c r="AD181" s="113"/>
      <c r="AE181" s="113"/>
      <c r="AF181" s="113"/>
      <c r="AG181" s="113"/>
    </row>
    <row r="182" spans="1:33" ht="13.8">
      <c r="A182" s="113"/>
      <c r="B182" s="113"/>
      <c r="C182" s="113"/>
      <c r="D182" s="113"/>
      <c r="E182" s="113"/>
      <c r="F182" s="113"/>
      <c r="G182" s="113"/>
      <c r="H182" s="113"/>
      <c r="I182" s="113"/>
      <c r="J182" s="113"/>
      <c r="K182" s="113"/>
      <c r="L182" s="113"/>
      <c r="M182" s="113"/>
      <c r="N182" s="113"/>
      <c r="O182" s="113"/>
      <c r="P182" s="113"/>
      <c r="Q182" s="113"/>
      <c r="R182" s="113"/>
      <c r="S182" s="113"/>
      <c r="T182" s="113"/>
      <c r="U182" s="113"/>
      <c r="V182" s="113"/>
      <c r="W182" s="113"/>
      <c r="X182" s="113"/>
      <c r="Y182" s="113"/>
      <c r="Z182" s="113"/>
      <c r="AA182" s="113"/>
      <c r="AB182" s="113"/>
      <c r="AC182" s="113"/>
      <c r="AD182" s="113"/>
      <c r="AE182" s="113"/>
      <c r="AF182" s="113"/>
      <c r="AG182" s="113"/>
    </row>
    <row r="183" spans="1:33" ht="13.8">
      <c r="A183" s="113"/>
      <c r="B183" s="113"/>
      <c r="C183" s="113"/>
      <c r="D183" s="113"/>
      <c r="E183" s="113"/>
      <c r="F183" s="113"/>
      <c r="G183" s="113"/>
      <c r="H183" s="113"/>
      <c r="I183" s="113"/>
      <c r="J183" s="113"/>
      <c r="K183" s="113"/>
      <c r="L183" s="113"/>
      <c r="M183" s="113"/>
      <c r="N183" s="113"/>
      <c r="O183" s="113"/>
      <c r="P183" s="113"/>
      <c r="Q183" s="113"/>
      <c r="R183" s="113"/>
      <c r="S183" s="113"/>
      <c r="T183" s="113"/>
      <c r="U183" s="113"/>
      <c r="V183" s="113"/>
      <c r="W183" s="113"/>
      <c r="X183" s="113"/>
      <c r="Y183" s="113"/>
      <c r="Z183" s="113"/>
      <c r="AA183" s="113"/>
      <c r="AB183" s="113"/>
      <c r="AC183" s="113"/>
      <c r="AD183" s="113"/>
      <c r="AE183" s="113"/>
      <c r="AF183" s="113"/>
      <c r="AG183" s="113"/>
    </row>
    <row r="184" spans="1:33" ht="13.8">
      <c r="A184" s="113"/>
      <c r="B184" s="113"/>
      <c r="C184" s="113"/>
      <c r="D184" s="113"/>
      <c r="E184" s="113"/>
      <c r="F184" s="113"/>
      <c r="G184" s="113"/>
      <c r="H184" s="113"/>
      <c r="I184" s="113"/>
      <c r="J184" s="113"/>
      <c r="K184" s="113"/>
      <c r="L184" s="113"/>
      <c r="M184" s="113"/>
      <c r="N184" s="113"/>
      <c r="O184" s="113"/>
      <c r="P184" s="113"/>
      <c r="Q184" s="113"/>
      <c r="R184" s="113"/>
      <c r="S184" s="113"/>
      <c r="T184" s="113"/>
      <c r="U184" s="113"/>
      <c r="V184" s="113"/>
      <c r="W184" s="113"/>
      <c r="X184" s="113"/>
      <c r="Y184" s="113"/>
      <c r="Z184" s="113"/>
      <c r="AA184" s="113"/>
      <c r="AB184" s="113"/>
      <c r="AC184" s="113"/>
      <c r="AD184" s="113"/>
      <c r="AE184" s="113"/>
      <c r="AF184" s="113"/>
      <c r="AG184" s="113"/>
    </row>
    <row r="185" spans="1:33" ht="13.8">
      <c r="A185" s="113"/>
      <c r="B185" s="113"/>
      <c r="C185" s="113"/>
      <c r="D185" s="113"/>
      <c r="E185" s="113"/>
      <c r="F185" s="113"/>
      <c r="G185" s="113"/>
      <c r="H185" s="113"/>
      <c r="I185" s="113"/>
      <c r="J185" s="113"/>
      <c r="K185" s="113"/>
      <c r="L185" s="113"/>
      <c r="M185" s="113"/>
      <c r="N185" s="113"/>
      <c r="O185" s="113"/>
      <c r="P185" s="113"/>
      <c r="Q185" s="113"/>
      <c r="R185" s="113"/>
      <c r="S185" s="113"/>
      <c r="T185" s="113"/>
      <c r="U185" s="113"/>
      <c r="V185" s="113"/>
      <c r="W185" s="113"/>
      <c r="X185" s="113"/>
      <c r="Y185" s="113"/>
      <c r="Z185" s="113"/>
      <c r="AA185" s="113"/>
      <c r="AB185" s="113"/>
      <c r="AC185" s="113"/>
      <c r="AD185" s="113"/>
      <c r="AE185" s="113"/>
      <c r="AF185" s="113"/>
      <c r="AG185" s="113"/>
    </row>
    <row r="186" spans="1:33" ht="13.8">
      <c r="A186" s="113"/>
      <c r="B186" s="113"/>
      <c r="C186" s="113"/>
      <c r="D186" s="113"/>
      <c r="E186" s="113"/>
      <c r="F186" s="113"/>
      <c r="G186" s="113"/>
      <c r="H186" s="113"/>
      <c r="I186" s="113"/>
      <c r="J186" s="113"/>
      <c r="K186" s="113"/>
      <c r="L186" s="113"/>
      <c r="M186" s="113"/>
      <c r="N186" s="113"/>
      <c r="O186" s="113"/>
      <c r="P186" s="113"/>
      <c r="Q186" s="113"/>
      <c r="R186" s="113"/>
      <c r="S186" s="113"/>
      <c r="T186" s="113"/>
      <c r="U186" s="113"/>
      <c r="V186" s="113"/>
      <c r="W186" s="113"/>
      <c r="X186" s="113"/>
      <c r="Y186" s="113"/>
      <c r="Z186" s="113"/>
      <c r="AA186" s="113"/>
      <c r="AB186" s="113"/>
      <c r="AC186" s="113"/>
      <c r="AD186" s="113"/>
      <c r="AE186" s="113"/>
      <c r="AF186" s="113"/>
      <c r="AG186" s="113"/>
    </row>
    <row r="187" spans="1:33" ht="13.8">
      <c r="A187" s="113"/>
      <c r="B187" s="113"/>
      <c r="C187" s="113"/>
      <c r="D187" s="113"/>
      <c r="E187" s="113"/>
      <c r="F187" s="113"/>
      <c r="G187" s="113"/>
      <c r="H187" s="113"/>
      <c r="I187" s="113"/>
      <c r="J187" s="113"/>
      <c r="K187" s="113"/>
      <c r="L187" s="113"/>
      <c r="M187" s="113"/>
      <c r="N187" s="113"/>
      <c r="O187" s="113"/>
      <c r="P187" s="113"/>
      <c r="Q187" s="113"/>
      <c r="R187" s="113"/>
      <c r="S187" s="113"/>
      <c r="T187" s="113"/>
      <c r="U187" s="113"/>
      <c r="V187" s="113"/>
      <c r="W187" s="113"/>
      <c r="X187" s="113"/>
      <c r="Y187" s="113"/>
      <c r="Z187" s="113"/>
      <c r="AA187" s="113"/>
      <c r="AB187" s="113"/>
      <c r="AC187" s="113"/>
      <c r="AD187" s="113"/>
      <c r="AE187" s="113"/>
      <c r="AF187" s="113"/>
      <c r="AG187" s="113"/>
    </row>
    <row r="188" spans="1:33" ht="13.8">
      <c r="A188" s="113"/>
      <c r="B188" s="113"/>
      <c r="C188" s="113"/>
      <c r="D188" s="113"/>
      <c r="E188" s="113"/>
      <c r="F188" s="113"/>
      <c r="G188" s="113"/>
      <c r="H188" s="113"/>
      <c r="I188" s="113"/>
      <c r="J188" s="113"/>
      <c r="K188" s="113"/>
      <c r="L188" s="113"/>
      <c r="M188" s="113"/>
      <c r="N188" s="113"/>
      <c r="O188" s="113"/>
      <c r="P188" s="113"/>
      <c r="Q188" s="113"/>
      <c r="R188" s="113"/>
      <c r="S188" s="113"/>
      <c r="T188" s="113"/>
      <c r="U188" s="113"/>
      <c r="V188" s="113"/>
      <c r="W188" s="113"/>
      <c r="X188" s="113"/>
      <c r="Y188" s="113"/>
      <c r="Z188" s="113"/>
      <c r="AA188" s="113"/>
      <c r="AB188" s="113"/>
      <c r="AC188" s="113"/>
      <c r="AD188" s="113"/>
      <c r="AE188" s="113"/>
      <c r="AF188" s="113"/>
      <c r="AG188" s="113"/>
    </row>
    <row r="189" spans="1:33" ht="13.8">
      <c r="A189" s="113"/>
      <c r="B189" s="113"/>
      <c r="C189" s="113"/>
      <c r="D189" s="113"/>
      <c r="E189" s="113"/>
      <c r="F189" s="113"/>
      <c r="G189" s="113"/>
      <c r="H189" s="113"/>
      <c r="I189" s="113"/>
      <c r="J189" s="113"/>
      <c r="K189" s="113"/>
      <c r="L189" s="113"/>
      <c r="M189" s="113"/>
      <c r="N189" s="113"/>
      <c r="O189" s="113"/>
      <c r="P189" s="113"/>
      <c r="Q189" s="113"/>
      <c r="R189" s="113"/>
      <c r="S189" s="113"/>
      <c r="T189" s="113"/>
      <c r="U189" s="113"/>
      <c r="V189" s="113"/>
      <c r="W189" s="113"/>
      <c r="X189" s="113"/>
      <c r="Y189" s="113"/>
      <c r="Z189" s="113"/>
      <c r="AA189" s="113"/>
      <c r="AB189" s="113"/>
      <c r="AC189" s="113"/>
      <c r="AD189" s="113"/>
      <c r="AE189" s="113"/>
      <c r="AF189" s="113"/>
      <c r="AG189" s="113"/>
    </row>
    <row r="190" spans="1:33" ht="13.8">
      <c r="A190" s="113"/>
      <c r="B190" s="113"/>
      <c r="C190" s="113"/>
      <c r="D190" s="113"/>
      <c r="E190" s="113"/>
      <c r="F190" s="113"/>
      <c r="G190" s="113"/>
      <c r="H190" s="113"/>
      <c r="I190" s="113"/>
      <c r="J190" s="113"/>
      <c r="K190" s="113"/>
      <c r="L190" s="113"/>
      <c r="M190" s="113"/>
      <c r="N190" s="113"/>
      <c r="O190" s="113"/>
      <c r="P190" s="113"/>
      <c r="Q190" s="113"/>
      <c r="R190" s="113"/>
      <c r="S190" s="113"/>
      <c r="T190" s="113"/>
      <c r="U190" s="113"/>
      <c r="V190" s="113"/>
      <c r="W190" s="113"/>
      <c r="X190" s="113"/>
      <c r="Y190" s="113"/>
      <c r="Z190" s="113"/>
      <c r="AA190" s="113"/>
      <c r="AB190" s="113"/>
      <c r="AC190" s="113"/>
      <c r="AD190" s="113"/>
      <c r="AE190" s="113"/>
      <c r="AF190" s="113"/>
      <c r="AG190" s="113"/>
    </row>
    <row r="191" spans="1:33" ht="13.8">
      <c r="A191" s="113"/>
      <c r="B191" s="113"/>
      <c r="C191" s="113"/>
      <c r="D191" s="113"/>
      <c r="E191" s="113"/>
      <c r="F191" s="113"/>
      <c r="G191" s="113"/>
      <c r="H191" s="113"/>
      <c r="I191" s="113"/>
      <c r="J191" s="113"/>
      <c r="K191" s="113"/>
      <c r="L191" s="113"/>
      <c r="M191" s="113"/>
      <c r="N191" s="113"/>
      <c r="O191" s="113"/>
      <c r="P191" s="113"/>
      <c r="Q191" s="113"/>
      <c r="R191" s="113"/>
      <c r="S191" s="113"/>
      <c r="T191" s="113"/>
      <c r="U191" s="113"/>
      <c r="V191" s="113"/>
      <c r="W191" s="113"/>
      <c r="X191" s="113"/>
      <c r="Y191" s="113"/>
      <c r="Z191" s="113"/>
      <c r="AA191" s="113"/>
      <c r="AB191" s="113"/>
      <c r="AC191" s="113"/>
      <c r="AD191" s="113"/>
      <c r="AE191" s="113"/>
      <c r="AF191" s="113"/>
      <c r="AG191" s="113"/>
    </row>
    <row r="192" spans="1:33" ht="13.8">
      <c r="A192" s="113"/>
      <c r="B192" s="113"/>
      <c r="C192" s="113"/>
      <c r="D192" s="113"/>
      <c r="E192" s="113"/>
      <c r="F192" s="113"/>
      <c r="G192" s="113"/>
      <c r="H192" s="113"/>
      <c r="I192" s="113"/>
      <c r="J192" s="113"/>
      <c r="K192" s="113"/>
      <c r="L192" s="113"/>
      <c r="M192" s="113"/>
      <c r="N192" s="113"/>
      <c r="O192" s="113"/>
      <c r="P192" s="113"/>
      <c r="Q192" s="113"/>
      <c r="R192" s="113"/>
      <c r="S192" s="113"/>
      <c r="T192" s="113"/>
      <c r="U192" s="113"/>
      <c r="V192" s="113"/>
      <c r="W192" s="113"/>
      <c r="X192" s="113"/>
      <c r="Y192" s="113"/>
      <c r="Z192" s="113"/>
      <c r="AA192" s="113"/>
      <c r="AB192" s="113"/>
      <c r="AC192" s="113"/>
      <c r="AD192" s="113"/>
      <c r="AE192" s="113"/>
      <c r="AF192" s="113"/>
      <c r="AG192" s="113"/>
    </row>
    <row r="193" spans="1:33" ht="13.8">
      <c r="A193" s="113"/>
      <c r="B193" s="113"/>
      <c r="C193" s="113"/>
      <c r="D193" s="113"/>
      <c r="E193" s="113"/>
      <c r="F193" s="113"/>
      <c r="G193" s="113"/>
      <c r="H193" s="113"/>
      <c r="I193" s="113"/>
      <c r="J193" s="113"/>
      <c r="K193" s="113"/>
      <c r="L193" s="113"/>
      <c r="M193" s="113"/>
      <c r="N193" s="113"/>
      <c r="O193" s="113"/>
      <c r="P193" s="113"/>
      <c r="Q193" s="113"/>
      <c r="R193" s="113"/>
      <c r="S193" s="113"/>
      <c r="T193" s="113"/>
      <c r="U193" s="113"/>
      <c r="V193" s="113"/>
      <c r="W193" s="113"/>
      <c r="X193" s="113"/>
      <c r="Y193" s="113"/>
      <c r="Z193" s="113"/>
      <c r="AA193" s="113"/>
      <c r="AB193" s="113"/>
      <c r="AC193" s="113"/>
      <c r="AD193" s="113"/>
      <c r="AE193" s="113"/>
      <c r="AF193" s="113"/>
      <c r="AG193" s="113"/>
    </row>
    <row r="194" spans="1:33" ht="13.8">
      <c r="A194" s="113"/>
      <c r="B194" s="113"/>
      <c r="C194" s="113"/>
      <c r="D194" s="113"/>
      <c r="E194" s="113"/>
      <c r="F194" s="113"/>
      <c r="G194" s="113"/>
      <c r="H194" s="113"/>
      <c r="I194" s="113"/>
      <c r="J194" s="113"/>
      <c r="K194" s="113"/>
      <c r="L194" s="113"/>
      <c r="M194" s="113"/>
      <c r="N194" s="113"/>
      <c r="O194" s="113"/>
      <c r="P194" s="113"/>
      <c r="Q194" s="113"/>
      <c r="R194" s="113"/>
      <c r="S194" s="113"/>
      <c r="T194" s="113"/>
      <c r="U194" s="113"/>
      <c r="V194" s="113"/>
      <c r="W194" s="113"/>
      <c r="X194" s="113"/>
      <c r="Y194" s="113"/>
      <c r="Z194" s="113"/>
      <c r="AA194" s="113"/>
      <c r="AB194" s="113"/>
      <c r="AC194" s="113"/>
      <c r="AD194" s="113"/>
      <c r="AE194" s="113"/>
      <c r="AF194" s="113"/>
      <c r="AG194" s="113"/>
    </row>
    <row r="195" spans="1:33" ht="13.8">
      <c r="A195" s="113"/>
      <c r="B195" s="113"/>
      <c r="C195" s="113"/>
      <c r="D195" s="113"/>
      <c r="E195" s="113"/>
      <c r="F195" s="113"/>
      <c r="G195" s="113"/>
      <c r="H195" s="113"/>
      <c r="I195" s="113"/>
      <c r="J195" s="113"/>
      <c r="K195" s="113"/>
      <c r="L195" s="113"/>
      <c r="M195" s="113"/>
      <c r="N195" s="113"/>
      <c r="O195" s="113"/>
      <c r="P195" s="113"/>
      <c r="Q195" s="113"/>
      <c r="R195" s="113"/>
      <c r="S195" s="113"/>
      <c r="T195" s="113"/>
      <c r="U195" s="113"/>
      <c r="V195" s="113"/>
      <c r="W195" s="113"/>
      <c r="X195" s="113"/>
      <c r="Y195" s="113"/>
      <c r="Z195" s="113"/>
      <c r="AA195" s="113"/>
      <c r="AB195" s="113"/>
      <c r="AC195" s="113"/>
      <c r="AD195" s="113"/>
      <c r="AE195" s="113"/>
      <c r="AF195" s="113"/>
      <c r="AG195" s="113"/>
    </row>
    <row r="196" spans="1:33" ht="13.8">
      <c r="A196" s="113"/>
      <c r="B196" s="113"/>
      <c r="C196" s="113"/>
      <c r="D196" s="113"/>
      <c r="E196" s="113"/>
      <c r="F196" s="113"/>
      <c r="G196" s="113"/>
      <c r="H196" s="113"/>
      <c r="I196" s="113"/>
      <c r="J196" s="113"/>
      <c r="K196" s="113"/>
      <c r="L196" s="113"/>
      <c r="M196" s="113"/>
      <c r="N196" s="113"/>
      <c r="O196" s="113"/>
      <c r="P196" s="113"/>
      <c r="Q196" s="113"/>
      <c r="R196" s="113"/>
      <c r="S196" s="113"/>
      <c r="T196" s="113"/>
      <c r="U196" s="113"/>
      <c r="V196" s="113"/>
      <c r="W196" s="113"/>
      <c r="X196" s="113"/>
      <c r="Y196" s="113"/>
      <c r="Z196" s="113"/>
      <c r="AA196" s="113"/>
      <c r="AB196" s="113"/>
      <c r="AC196" s="113"/>
      <c r="AD196" s="113"/>
      <c r="AE196" s="113"/>
      <c r="AF196" s="113"/>
      <c r="AG196" s="113"/>
    </row>
    <row r="197" spans="1:33" ht="13.8">
      <c r="A197" s="113"/>
      <c r="B197" s="113"/>
      <c r="C197" s="113"/>
      <c r="D197" s="113"/>
      <c r="E197" s="113"/>
      <c r="F197" s="113"/>
      <c r="G197" s="113"/>
      <c r="H197" s="113"/>
      <c r="I197" s="113"/>
      <c r="J197" s="113"/>
      <c r="K197" s="113"/>
      <c r="L197" s="113"/>
      <c r="M197" s="113"/>
      <c r="N197" s="113"/>
      <c r="O197" s="113"/>
      <c r="P197" s="113"/>
      <c r="Q197" s="113"/>
      <c r="R197" s="113"/>
      <c r="S197" s="113"/>
      <c r="T197" s="113"/>
      <c r="U197" s="113"/>
      <c r="V197" s="113"/>
      <c r="W197" s="113"/>
      <c r="X197" s="113"/>
      <c r="Y197" s="113"/>
      <c r="Z197" s="113"/>
      <c r="AA197" s="113"/>
      <c r="AB197" s="113"/>
      <c r="AC197" s="113"/>
      <c r="AD197" s="113"/>
      <c r="AE197" s="113"/>
      <c r="AF197" s="113"/>
      <c r="AG197" s="113"/>
    </row>
    <row r="198" spans="1:33" ht="13.8">
      <c r="A198" s="113"/>
      <c r="B198" s="113"/>
      <c r="C198" s="113"/>
      <c r="D198" s="113"/>
      <c r="E198" s="113"/>
      <c r="F198" s="113"/>
      <c r="G198" s="113"/>
      <c r="H198" s="113"/>
      <c r="I198" s="113"/>
      <c r="J198" s="113"/>
      <c r="K198" s="113"/>
      <c r="L198" s="113"/>
      <c r="M198" s="113"/>
      <c r="N198" s="113"/>
      <c r="O198" s="113"/>
      <c r="P198" s="113"/>
      <c r="Q198" s="113"/>
      <c r="R198" s="113"/>
      <c r="S198" s="113"/>
      <c r="T198" s="113"/>
      <c r="U198" s="113"/>
      <c r="V198" s="113"/>
      <c r="W198" s="113"/>
      <c r="X198" s="113"/>
      <c r="Y198" s="113"/>
      <c r="Z198" s="113"/>
      <c r="AA198" s="113"/>
      <c r="AB198" s="113"/>
      <c r="AC198" s="113"/>
      <c r="AD198" s="113"/>
      <c r="AE198" s="113"/>
      <c r="AF198" s="113"/>
      <c r="AG198" s="113"/>
    </row>
    <row r="199" spans="1:33" ht="13.8">
      <c r="A199" s="113"/>
      <c r="B199" s="113"/>
      <c r="C199" s="113"/>
      <c r="D199" s="113"/>
      <c r="E199" s="113"/>
      <c r="F199" s="113"/>
      <c r="G199" s="113"/>
      <c r="H199" s="113"/>
      <c r="I199" s="113"/>
      <c r="J199" s="113"/>
      <c r="K199" s="113"/>
      <c r="L199" s="113"/>
      <c r="M199" s="113"/>
      <c r="N199" s="113"/>
      <c r="O199" s="113"/>
      <c r="P199" s="113"/>
      <c r="Q199" s="113"/>
      <c r="R199" s="113"/>
      <c r="S199" s="113"/>
      <c r="T199" s="113"/>
      <c r="U199" s="113"/>
      <c r="V199" s="113"/>
      <c r="W199" s="113"/>
      <c r="X199" s="113"/>
      <c r="Y199" s="113"/>
      <c r="Z199" s="113"/>
      <c r="AA199" s="113"/>
      <c r="AB199" s="113"/>
      <c r="AC199" s="113"/>
      <c r="AD199" s="113"/>
      <c r="AE199" s="113"/>
      <c r="AF199" s="113"/>
      <c r="AG199" s="113"/>
    </row>
    <row r="200" spans="1:33" ht="13.8">
      <c r="A200" s="113"/>
      <c r="B200" s="113"/>
      <c r="C200" s="113"/>
      <c r="D200" s="113"/>
      <c r="E200" s="113"/>
      <c r="F200" s="113"/>
      <c r="G200" s="113"/>
      <c r="H200" s="113"/>
      <c r="I200" s="113"/>
      <c r="J200" s="113"/>
      <c r="K200" s="113"/>
      <c r="L200" s="113"/>
      <c r="M200" s="113"/>
      <c r="N200" s="113"/>
      <c r="O200" s="113"/>
      <c r="P200" s="113"/>
      <c r="Q200" s="113"/>
      <c r="R200" s="113"/>
      <c r="S200" s="113"/>
      <c r="T200" s="113"/>
      <c r="U200" s="113"/>
      <c r="V200" s="113"/>
      <c r="W200" s="113"/>
      <c r="X200" s="113"/>
      <c r="Y200" s="113"/>
      <c r="Z200" s="113"/>
      <c r="AA200" s="113"/>
      <c r="AB200" s="113"/>
      <c r="AC200" s="113"/>
      <c r="AD200" s="113"/>
      <c r="AE200" s="113"/>
      <c r="AF200" s="113"/>
      <c r="AG200" s="113"/>
    </row>
    <row r="201" spans="1:33" ht="13.8">
      <c r="A201" s="113"/>
      <c r="B201" s="113"/>
      <c r="C201" s="113"/>
      <c r="D201" s="113"/>
      <c r="E201" s="113"/>
      <c r="F201" s="113"/>
      <c r="G201" s="113"/>
      <c r="H201" s="113"/>
      <c r="I201" s="113"/>
      <c r="J201" s="113"/>
      <c r="K201" s="113"/>
      <c r="L201" s="113"/>
      <c r="M201" s="113"/>
      <c r="N201" s="113"/>
      <c r="O201" s="113"/>
      <c r="P201" s="113"/>
      <c r="Q201" s="113"/>
      <c r="R201" s="113"/>
      <c r="S201" s="113"/>
      <c r="T201" s="113"/>
      <c r="U201" s="113"/>
      <c r="V201" s="113"/>
      <c r="W201" s="113"/>
      <c r="X201" s="113"/>
      <c r="Y201" s="113"/>
      <c r="Z201" s="113"/>
      <c r="AA201" s="113"/>
      <c r="AB201" s="113"/>
      <c r="AC201" s="113"/>
      <c r="AD201" s="113"/>
      <c r="AE201" s="113"/>
      <c r="AF201" s="113"/>
      <c r="AG201" s="113"/>
    </row>
    <row r="202" spans="1:33" ht="13.8">
      <c r="A202" s="113"/>
      <c r="B202" s="113"/>
      <c r="C202" s="113"/>
      <c r="D202" s="113"/>
      <c r="E202" s="113"/>
      <c r="F202" s="113"/>
      <c r="G202" s="113"/>
      <c r="H202" s="113"/>
      <c r="I202" s="113"/>
      <c r="J202" s="113"/>
      <c r="K202" s="113"/>
      <c r="L202" s="113"/>
      <c r="M202" s="113"/>
      <c r="N202" s="113"/>
      <c r="O202" s="113"/>
      <c r="P202" s="113"/>
      <c r="Q202" s="113"/>
      <c r="R202" s="113"/>
      <c r="S202" s="113"/>
      <c r="T202" s="113"/>
      <c r="U202" s="113"/>
      <c r="V202" s="113"/>
      <c r="W202" s="113"/>
      <c r="X202" s="113"/>
      <c r="Y202" s="113"/>
      <c r="Z202" s="113"/>
      <c r="AA202" s="113"/>
      <c r="AB202" s="113"/>
      <c r="AC202" s="113"/>
      <c r="AD202" s="113"/>
      <c r="AE202" s="113"/>
      <c r="AF202" s="113"/>
      <c r="AG202" s="113"/>
    </row>
    <row r="203" spans="1:33" ht="13.8">
      <c r="A203" s="113"/>
      <c r="B203" s="113"/>
      <c r="C203" s="113"/>
      <c r="D203" s="113"/>
      <c r="E203" s="113"/>
      <c r="F203" s="113"/>
      <c r="G203" s="113"/>
      <c r="H203" s="113"/>
      <c r="I203" s="113"/>
      <c r="J203" s="113"/>
      <c r="K203" s="113"/>
      <c r="L203" s="113"/>
      <c r="M203" s="113"/>
      <c r="N203" s="113"/>
      <c r="O203" s="113"/>
      <c r="P203" s="113"/>
      <c r="Q203" s="113"/>
      <c r="R203" s="113"/>
      <c r="S203" s="113"/>
      <c r="T203" s="113"/>
      <c r="U203" s="113"/>
      <c r="V203" s="113"/>
      <c r="W203" s="113"/>
      <c r="X203" s="113"/>
      <c r="Y203" s="113"/>
      <c r="Z203" s="113"/>
      <c r="AA203" s="113"/>
      <c r="AB203" s="113"/>
      <c r="AC203" s="113"/>
      <c r="AD203" s="113"/>
      <c r="AE203" s="113"/>
      <c r="AF203" s="113"/>
      <c r="AG203" s="113"/>
    </row>
    <row r="204" spans="1:33" ht="13.8">
      <c r="A204" s="113"/>
      <c r="B204" s="113"/>
      <c r="C204" s="113"/>
      <c r="D204" s="113"/>
      <c r="E204" s="113"/>
      <c r="F204" s="113"/>
      <c r="G204" s="113"/>
      <c r="H204" s="113"/>
      <c r="I204" s="113"/>
      <c r="J204" s="113"/>
      <c r="K204" s="113"/>
      <c r="L204" s="113"/>
      <c r="M204" s="113"/>
      <c r="N204" s="113"/>
      <c r="O204" s="113"/>
      <c r="P204" s="113"/>
      <c r="Q204" s="113"/>
      <c r="R204" s="113"/>
      <c r="S204" s="113"/>
      <c r="T204" s="113"/>
      <c r="U204" s="113"/>
      <c r="V204" s="113"/>
      <c r="W204" s="113"/>
      <c r="X204" s="113"/>
      <c r="Y204" s="113"/>
      <c r="Z204" s="113"/>
      <c r="AA204" s="113"/>
      <c r="AB204" s="113"/>
      <c r="AC204" s="113"/>
      <c r="AD204" s="113"/>
      <c r="AE204" s="113"/>
      <c r="AF204" s="113"/>
      <c r="AG204" s="113"/>
    </row>
    <row r="205" spans="1:33" ht="13.8">
      <c r="A205" s="113"/>
      <c r="B205" s="113"/>
      <c r="C205" s="113"/>
      <c r="D205" s="113"/>
      <c r="E205" s="113"/>
      <c r="F205" s="113"/>
      <c r="G205" s="113"/>
      <c r="H205" s="113"/>
      <c r="I205" s="113"/>
      <c r="J205" s="113"/>
      <c r="K205" s="113"/>
      <c r="L205" s="113"/>
      <c r="M205" s="113"/>
      <c r="N205" s="113"/>
      <c r="O205" s="113"/>
      <c r="P205" s="113"/>
      <c r="Q205" s="113"/>
      <c r="R205" s="113"/>
      <c r="S205" s="113"/>
      <c r="T205" s="113"/>
      <c r="U205" s="113"/>
      <c r="V205" s="113"/>
      <c r="W205" s="113"/>
      <c r="X205" s="113"/>
      <c r="Y205" s="113"/>
      <c r="Z205" s="113"/>
      <c r="AA205" s="113"/>
      <c r="AB205" s="113"/>
      <c r="AC205" s="113"/>
      <c r="AD205" s="113"/>
      <c r="AE205" s="113"/>
      <c r="AF205" s="113"/>
      <c r="AG205" s="113"/>
    </row>
    <row r="206" spans="1:33" ht="13.8">
      <c r="A206" s="113"/>
      <c r="B206" s="113"/>
      <c r="C206" s="113"/>
      <c r="D206" s="113"/>
      <c r="E206" s="113"/>
      <c r="F206" s="113"/>
      <c r="G206" s="113"/>
      <c r="H206" s="113"/>
      <c r="I206" s="113"/>
      <c r="J206" s="113"/>
      <c r="K206" s="113"/>
      <c r="L206" s="113"/>
      <c r="M206" s="113"/>
      <c r="N206" s="113"/>
      <c r="O206" s="113"/>
      <c r="P206" s="113"/>
      <c r="Q206" s="113"/>
      <c r="R206" s="113"/>
      <c r="S206" s="113"/>
      <c r="T206" s="113"/>
      <c r="U206" s="113"/>
      <c r="V206" s="113"/>
      <c r="W206" s="113"/>
      <c r="X206" s="113"/>
      <c r="Y206" s="113"/>
      <c r="Z206" s="113"/>
      <c r="AA206" s="113"/>
      <c r="AB206" s="113"/>
      <c r="AC206" s="113"/>
      <c r="AD206" s="113"/>
      <c r="AE206" s="113"/>
      <c r="AF206" s="113"/>
      <c r="AG206" s="113"/>
    </row>
    <row r="207" spans="1:33" ht="13.8">
      <c r="A207" s="113"/>
      <c r="B207" s="113"/>
      <c r="C207" s="113"/>
      <c r="D207" s="113"/>
      <c r="E207" s="113"/>
      <c r="F207" s="113"/>
      <c r="G207" s="113"/>
      <c r="H207" s="113"/>
      <c r="I207" s="113"/>
      <c r="J207" s="113"/>
      <c r="K207" s="113"/>
      <c r="L207" s="113"/>
      <c r="M207" s="113"/>
      <c r="N207" s="113"/>
      <c r="O207" s="113"/>
      <c r="P207" s="113"/>
      <c r="Q207" s="113"/>
      <c r="R207" s="113"/>
      <c r="S207" s="113"/>
      <c r="T207" s="113"/>
      <c r="U207" s="113"/>
      <c r="V207" s="113"/>
      <c r="W207" s="113"/>
      <c r="X207" s="113"/>
      <c r="Y207" s="113"/>
      <c r="Z207" s="113"/>
      <c r="AA207" s="113"/>
      <c r="AB207" s="113"/>
      <c r="AC207" s="113"/>
      <c r="AD207" s="113"/>
      <c r="AE207" s="113"/>
      <c r="AF207" s="113"/>
      <c r="AG207" s="113"/>
    </row>
    <row r="208" spans="1:33" ht="13.8">
      <c r="A208" s="113"/>
      <c r="B208" s="113"/>
      <c r="C208" s="113"/>
      <c r="D208" s="113"/>
      <c r="E208" s="113"/>
      <c r="F208" s="113"/>
      <c r="G208" s="113"/>
      <c r="H208" s="113"/>
      <c r="I208" s="113"/>
      <c r="J208" s="113"/>
      <c r="K208" s="113"/>
      <c r="L208" s="113"/>
      <c r="M208" s="113"/>
      <c r="N208" s="113"/>
      <c r="O208" s="113"/>
      <c r="P208" s="113"/>
      <c r="Q208" s="113"/>
      <c r="R208" s="113"/>
      <c r="S208" s="113"/>
      <c r="T208" s="113"/>
      <c r="U208" s="113"/>
      <c r="V208" s="113"/>
      <c r="W208" s="113"/>
      <c r="X208" s="113"/>
      <c r="Y208" s="113"/>
      <c r="Z208" s="113"/>
      <c r="AA208" s="113"/>
      <c r="AB208" s="113"/>
      <c r="AC208" s="113"/>
      <c r="AD208" s="113"/>
      <c r="AE208" s="113"/>
      <c r="AF208" s="113"/>
      <c r="AG208" s="113"/>
    </row>
    <row r="209" spans="1:33" ht="13.8">
      <c r="A209" s="113"/>
      <c r="B209" s="113"/>
      <c r="C209" s="113"/>
      <c r="D209" s="113"/>
      <c r="E209" s="113"/>
      <c r="F209" s="113"/>
      <c r="G209" s="113"/>
      <c r="H209" s="113"/>
      <c r="I209" s="113"/>
      <c r="J209" s="113"/>
      <c r="K209" s="113"/>
      <c r="L209" s="113"/>
      <c r="M209" s="113"/>
      <c r="N209" s="113"/>
      <c r="O209" s="113"/>
      <c r="P209" s="113"/>
      <c r="Q209" s="113"/>
      <c r="R209" s="113"/>
      <c r="S209" s="113"/>
      <c r="T209" s="113"/>
      <c r="U209" s="113"/>
      <c r="V209" s="113"/>
      <c r="W209" s="113"/>
      <c r="X209" s="113"/>
      <c r="Y209" s="113"/>
      <c r="Z209" s="113"/>
      <c r="AA209" s="113"/>
      <c r="AB209" s="113"/>
      <c r="AC209" s="113"/>
      <c r="AD209" s="113"/>
      <c r="AE209" s="113"/>
      <c r="AF209" s="113"/>
      <c r="AG209" s="113"/>
    </row>
    <row r="210" spans="1:33" ht="13.8">
      <c r="A210" s="113"/>
      <c r="B210" s="113"/>
      <c r="C210" s="113"/>
      <c r="D210" s="113"/>
      <c r="E210" s="113"/>
      <c r="F210" s="113"/>
      <c r="G210" s="113"/>
      <c r="H210" s="113"/>
      <c r="I210" s="113"/>
      <c r="J210" s="113"/>
      <c r="K210" s="113"/>
      <c r="L210" s="113"/>
      <c r="M210" s="113"/>
      <c r="N210" s="113"/>
      <c r="O210" s="113"/>
      <c r="P210" s="113"/>
      <c r="Q210" s="113"/>
      <c r="R210" s="113"/>
      <c r="S210" s="113"/>
      <c r="T210" s="113"/>
      <c r="U210" s="113"/>
      <c r="V210" s="113"/>
      <c r="W210" s="113"/>
      <c r="X210" s="113"/>
      <c r="Y210" s="113"/>
      <c r="Z210" s="113"/>
      <c r="AA210" s="113"/>
      <c r="AB210" s="113"/>
      <c r="AC210" s="113"/>
      <c r="AD210" s="113"/>
      <c r="AE210" s="113"/>
      <c r="AF210" s="113"/>
      <c r="AG210" s="113"/>
    </row>
    <row r="211" spans="1:33" ht="13.8">
      <c r="A211" s="113"/>
      <c r="B211" s="113"/>
      <c r="C211" s="113"/>
      <c r="D211" s="113"/>
      <c r="E211" s="113"/>
      <c r="F211" s="113"/>
      <c r="G211" s="113"/>
      <c r="H211" s="113"/>
      <c r="I211" s="113"/>
      <c r="J211" s="113"/>
      <c r="K211" s="113"/>
      <c r="L211" s="113"/>
      <c r="M211" s="113"/>
      <c r="N211" s="113"/>
      <c r="O211" s="113"/>
      <c r="P211" s="113"/>
      <c r="Q211" s="113"/>
      <c r="R211" s="113"/>
      <c r="S211" s="113"/>
      <c r="T211" s="113"/>
      <c r="U211" s="113"/>
      <c r="V211" s="113"/>
      <c r="W211" s="113"/>
      <c r="X211" s="113"/>
      <c r="Y211" s="113"/>
      <c r="Z211" s="113"/>
      <c r="AA211" s="113"/>
      <c r="AB211" s="113"/>
      <c r="AC211" s="113"/>
      <c r="AD211" s="113"/>
      <c r="AE211" s="113"/>
      <c r="AF211" s="113"/>
      <c r="AG211" s="113"/>
    </row>
    <row r="212" spans="1:33" ht="13.8">
      <c r="A212" s="113"/>
      <c r="B212" s="113"/>
      <c r="C212" s="113"/>
      <c r="D212" s="113"/>
      <c r="E212" s="113"/>
      <c r="F212" s="113"/>
      <c r="G212" s="113"/>
      <c r="H212" s="113"/>
      <c r="I212" s="113"/>
      <c r="J212" s="113"/>
      <c r="K212" s="113"/>
      <c r="L212" s="113"/>
      <c r="M212" s="113"/>
      <c r="N212" s="113"/>
      <c r="O212" s="113"/>
      <c r="P212" s="113"/>
      <c r="Q212" s="113"/>
      <c r="R212" s="113"/>
      <c r="S212" s="113"/>
      <c r="T212" s="113"/>
      <c r="U212" s="113"/>
      <c r="V212" s="113"/>
      <c r="W212" s="113"/>
      <c r="X212" s="113"/>
      <c r="Y212" s="113"/>
      <c r="Z212" s="113"/>
      <c r="AA212" s="113"/>
      <c r="AB212" s="113"/>
      <c r="AC212" s="113"/>
      <c r="AD212" s="113"/>
      <c r="AE212" s="113"/>
      <c r="AF212" s="113"/>
      <c r="AG212" s="113"/>
    </row>
    <row r="213" spans="1:33" ht="13.8">
      <c r="A213" s="113"/>
      <c r="B213" s="113"/>
      <c r="C213" s="113"/>
      <c r="D213" s="113"/>
      <c r="E213" s="113"/>
      <c r="F213" s="113"/>
      <c r="G213" s="113"/>
      <c r="H213" s="113"/>
      <c r="I213" s="113"/>
      <c r="J213" s="113"/>
      <c r="K213" s="113"/>
      <c r="L213" s="113"/>
      <c r="M213" s="113"/>
      <c r="N213" s="113"/>
      <c r="O213" s="113"/>
      <c r="P213" s="113"/>
      <c r="Q213" s="113"/>
      <c r="R213" s="113"/>
      <c r="S213" s="113"/>
      <c r="T213" s="113"/>
      <c r="U213" s="113"/>
      <c r="V213" s="113"/>
      <c r="W213" s="113"/>
      <c r="X213" s="113"/>
      <c r="Y213" s="113"/>
      <c r="Z213" s="113"/>
      <c r="AA213" s="113"/>
      <c r="AB213" s="113"/>
      <c r="AC213" s="113"/>
      <c r="AD213" s="113"/>
      <c r="AE213" s="113"/>
      <c r="AF213" s="113"/>
      <c r="AG213" s="113"/>
    </row>
    <row r="214" spans="1:33" ht="13.8">
      <c r="A214" s="113"/>
      <c r="B214" s="113"/>
      <c r="C214" s="113"/>
      <c r="D214" s="113"/>
      <c r="E214" s="113"/>
      <c r="F214" s="113"/>
      <c r="G214" s="113"/>
      <c r="H214" s="113"/>
      <c r="I214" s="113"/>
      <c r="J214" s="113"/>
      <c r="K214" s="113"/>
      <c r="L214" s="113"/>
      <c r="M214" s="113"/>
      <c r="N214" s="113"/>
      <c r="O214" s="113"/>
      <c r="P214" s="113"/>
      <c r="Q214" s="113"/>
      <c r="R214" s="113"/>
      <c r="S214" s="113"/>
      <c r="T214" s="113"/>
      <c r="U214" s="113"/>
      <c r="V214" s="113"/>
      <c r="W214" s="113"/>
      <c r="X214" s="113"/>
      <c r="Y214" s="113"/>
      <c r="Z214" s="113"/>
      <c r="AA214" s="113"/>
      <c r="AB214" s="113"/>
      <c r="AC214" s="113"/>
      <c r="AD214" s="113"/>
      <c r="AE214" s="113"/>
      <c r="AF214" s="113"/>
      <c r="AG214" s="113"/>
    </row>
    <row r="215" spans="1:33" ht="13.8">
      <c r="A215" s="113"/>
      <c r="B215" s="113"/>
      <c r="C215" s="113"/>
      <c r="D215" s="113"/>
      <c r="E215" s="113"/>
      <c r="F215" s="113"/>
      <c r="G215" s="113"/>
      <c r="H215" s="113"/>
      <c r="I215" s="113"/>
      <c r="J215" s="113"/>
      <c r="K215" s="113"/>
      <c r="L215" s="113"/>
      <c r="M215" s="113"/>
      <c r="N215" s="113"/>
      <c r="O215" s="113"/>
      <c r="P215" s="113"/>
      <c r="Q215" s="113"/>
      <c r="R215" s="113"/>
      <c r="S215" s="113"/>
      <c r="T215" s="113"/>
      <c r="U215" s="113"/>
      <c r="V215" s="113"/>
      <c r="W215" s="113"/>
      <c r="X215" s="113"/>
      <c r="Y215" s="113"/>
      <c r="Z215" s="113"/>
      <c r="AA215" s="113"/>
      <c r="AB215" s="113"/>
      <c r="AC215" s="113"/>
      <c r="AD215" s="113"/>
      <c r="AE215" s="113"/>
      <c r="AF215" s="113"/>
      <c r="AG215" s="113"/>
    </row>
    <row r="216" spans="1:33" ht="13.8">
      <c r="A216" s="113"/>
      <c r="B216" s="113"/>
      <c r="C216" s="113"/>
      <c r="D216" s="113"/>
      <c r="E216" s="113"/>
      <c r="F216" s="113"/>
      <c r="G216" s="113"/>
      <c r="H216" s="113"/>
      <c r="I216" s="113"/>
      <c r="J216" s="113"/>
      <c r="K216" s="113"/>
      <c r="L216" s="113"/>
      <c r="M216" s="113"/>
      <c r="N216" s="113"/>
      <c r="O216" s="113"/>
      <c r="P216" s="113"/>
      <c r="Q216" s="113"/>
      <c r="R216" s="113"/>
      <c r="S216" s="113"/>
      <c r="T216" s="113"/>
      <c r="U216" s="113"/>
      <c r="V216" s="113"/>
      <c r="W216" s="113"/>
      <c r="X216" s="113"/>
      <c r="Y216" s="113"/>
      <c r="Z216" s="113"/>
      <c r="AA216" s="113"/>
      <c r="AB216" s="113"/>
      <c r="AC216" s="113"/>
      <c r="AD216" s="113"/>
      <c r="AE216" s="113"/>
      <c r="AF216" s="113"/>
      <c r="AG216" s="113"/>
    </row>
    <row r="217" spans="1:33" ht="13.8">
      <c r="A217" s="113"/>
      <c r="B217" s="113"/>
      <c r="C217" s="113"/>
      <c r="D217" s="113"/>
      <c r="E217" s="113"/>
      <c r="F217" s="113"/>
      <c r="G217" s="113"/>
      <c r="H217" s="113"/>
      <c r="I217" s="113"/>
      <c r="J217" s="113"/>
      <c r="K217" s="113"/>
      <c r="L217" s="113"/>
      <c r="M217" s="113"/>
      <c r="N217" s="113"/>
      <c r="O217" s="113"/>
      <c r="P217" s="113"/>
      <c r="Q217" s="113"/>
      <c r="R217" s="113"/>
      <c r="S217" s="113"/>
      <c r="T217" s="113"/>
      <c r="U217" s="113"/>
      <c r="V217" s="113"/>
      <c r="W217" s="113"/>
      <c r="X217" s="113"/>
      <c r="Y217" s="113"/>
      <c r="Z217" s="113"/>
      <c r="AA217" s="113"/>
      <c r="AB217" s="113"/>
      <c r="AC217" s="113"/>
      <c r="AD217" s="113"/>
      <c r="AE217" s="113"/>
      <c r="AF217" s="113"/>
      <c r="AG217" s="113"/>
    </row>
    <row r="218" spans="1:33" ht="13.8">
      <c r="A218" s="113"/>
      <c r="B218" s="113"/>
      <c r="C218" s="113"/>
      <c r="D218" s="113"/>
      <c r="E218" s="113"/>
      <c r="F218" s="113"/>
      <c r="G218" s="113"/>
      <c r="H218" s="113"/>
      <c r="I218" s="113"/>
      <c r="J218" s="113"/>
      <c r="K218" s="113"/>
      <c r="L218" s="113"/>
      <c r="M218" s="113"/>
      <c r="N218" s="113"/>
      <c r="O218" s="113"/>
      <c r="P218" s="113"/>
      <c r="Q218" s="113"/>
      <c r="R218" s="113"/>
      <c r="S218" s="113"/>
      <c r="T218" s="113"/>
      <c r="U218" s="113"/>
      <c r="V218" s="113"/>
      <c r="W218" s="113"/>
      <c r="X218" s="113"/>
      <c r="Y218" s="113"/>
      <c r="Z218" s="113"/>
      <c r="AA218" s="113"/>
      <c r="AB218" s="113"/>
      <c r="AC218" s="113"/>
      <c r="AD218" s="113"/>
      <c r="AE218" s="113"/>
      <c r="AF218" s="113"/>
      <c r="AG218" s="113"/>
    </row>
    <row r="219" spans="1:33" ht="13.8">
      <c r="A219" s="113"/>
      <c r="B219" s="113"/>
      <c r="C219" s="113"/>
      <c r="D219" s="113"/>
      <c r="E219" s="113"/>
      <c r="F219" s="113"/>
      <c r="G219" s="113"/>
      <c r="H219" s="113"/>
      <c r="I219" s="113"/>
      <c r="J219" s="113"/>
      <c r="K219" s="113"/>
      <c r="L219" s="113"/>
      <c r="M219" s="113"/>
      <c r="N219" s="113"/>
      <c r="O219" s="113"/>
      <c r="P219" s="113"/>
      <c r="Q219" s="113"/>
      <c r="R219" s="113"/>
      <c r="S219" s="113"/>
      <c r="T219" s="113"/>
      <c r="U219" s="113"/>
      <c r="V219" s="113"/>
      <c r="W219" s="113"/>
      <c r="X219" s="113"/>
      <c r="Y219" s="113"/>
      <c r="Z219" s="113"/>
      <c r="AA219" s="113"/>
      <c r="AB219" s="113"/>
      <c r="AC219" s="113"/>
      <c r="AD219" s="113"/>
      <c r="AE219" s="113"/>
      <c r="AF219" s="113"/>
      <c r="AG219" s="113"/>
    </row>
    <row r="220" spans="1:33" ht="13.8">
      <c r="A220" s="113"/>
      <c r="B220" s="113"/>
      <c r="C220" s="113"/>
      <c r="D220" s="113"/>
      <c r="E220" s="113"/>
      <c r="F220" s="113"/>
      <c r="G220" s="113"/>
      <c r="H220" s="113"/>
      <c r="I220" s="113"/>
      <c r="J220" s="113"/>
      <c r="K220" s="113"/>
      <c r="L220" s="113"/>
      <c r="M220" s="113"/>
      <c r="N220" s="113"/>
      <c r="O220" s="113"/>
      <c r="P220" s="113"/>
      <c r="Q220" s="113"/>
      <c r="R220" s="113"/>
      <c r="S220" s="113"/>
      <c r="T220" s="113"/>
      <c r="U220" s="113"/>
      <c r="V220" s="113"/>
      <c r="W220" s="113"/>
      <c r="X220" s="113"/>
      <c r="Y220" s="113"/>
      <c r="Z220" s="113"/>
      <c r="AA220" s="113"/>
      <c r="AB220" s="113"/>
      <c r="AC220" s="113"/>
      <c r="AD220" s="113"/>
      <c r="AE220" s="113"/>
      <c r="AF220" s="113"/>
      <c r="AG220" s="113"/>
    </row>
    <row r="221" spans="1:33" ht="13.8">
      <c r="A221" s="113"/>
      <c r="B221" s="113"/>
      <c r="C221" s="113"/>
      <c r="D221" s="113"/>
      <c r="E221" s="113"/>
      <c r="F221" s="113"/>
      <c r="G221" s="113"/>
      <c r="H221" s="113"/>
      <c r="I221" s="113"/>
      <c r="J221" s="113"/>
      <c r="K221" s="113"/>
      <c r="L221" s="113"/>
      <c r="M221" s="113"/>
      <c r="N221" s="113"/>
      <c r="O221" s="113"/>
      <c r="P221" s="113"/>
      <c r="Q221" s="113"/>
      <c r="R221" s="113"/>
      <c r="S221" s="113"/>
      <c r="T221" s="113"/>
      <c r="U221" s="113"/>
      <c r="V221" s="113"/>
      <c r="W221" s="113"/>
      <c r="X221" s="113"/>
      <c r="Y221" s="113"/>
      <c r="Z221" s="113"/>
      <c r="AA221" s="113"/>
      <c r="AB221" s="113"/>
      <c r="AC221" s="113"/>
      <c r="AD221" s="113"/>
      <c r="AE221" s="113"/>
      <c r="AF221" s="113"/>
      <c r="AG221" s="113"/>
    </row>
    <row r="222" spans="1:33" ht="13.8">
      <c r="A222" s="113"/>
      <c r="B222" s="113"/>
      <c r="C222" s="113"/>
      <c r="D222" s="113"/>
      <c r="E222" s="113"/>
      <c r="F222" s="113"/>
      <c r="G222" s="113"/>
      <c r="H222" s="113"/>
      <c r="I222" s="113"/>
      <c r="J222" s="113"/>
      <c r="K222" s="113"/>
      <c r="L222" s="113"/>
      <c r="M222" s="113"/>
      <c r="N222" s="113"/>
      <c r="O222" s="113"/>
      <c r="P222" s="113"/>
      <c r="Q222" s="113"/>
      <c r="R222" s="113"/>
      <c r="S222" s="113"/>
      <c r="T222" s="113"/>
      <c r="U222" s="113"/>
      <c r="V222" s="113"/>
      <c r="W222" s="113"/>
      <c r="X222" s="113"/>
      <c r="Y222" s="113"/>
      <c r="Z222" s="113"/>
      <c r="AA222" s="113"/>
      <c r="AB222" s="113"/>
      <c r="AC222" s="113"/>
      <c r="AD222" s="113"/>
      <c r="AE222" s="113"/>
      <c r="AF222" s="113"/>
      <c r="AG222" s="113"/>
    </row>
    <row r="223" spans="1:33" ht="13.8">
      <c r="A223" s="113"/>
      <c r="B223" s="113"/>
      <c r="C223" s="113"/>
      <c r="D223" s="113"/>
      <c r="E223" s="113"/>
      <c r="F223" s="113"/>
      <c r="G223" s="113"/>
      <c r="H223" s="113"/>
      <c r="I223" s="113"/>
      <c r="J223" s="113"/>
      <c r="K223" s="113"/>
      <c r="L223" s="113"/>
      <c r="M223" s="113"/>
      <c r="N223" s="113"/>
      <c r="O223" s="113"/>
      <c r="P223" s="113"/>
      <c r="Q223" s="113"/>
      <c r="R223" s="113"/>
      <c r="S223" s="113"/>
      <c r="T223" s="113"/>
      <c r="U223" s="113"/>
      <c r="V223" s="113"/>
      <c r="W223" s="113"/>
      <c r="X223" s="113"/>
      <c r="Y223" s="113"/>
      <c r="Z223" s="113"/>
      <c r="AA223" s="113"/>
      <c r="AB223" s="113"/>
      <c r="AC223" s="113"/>
      <c r="AD223" s="113"/>
      <c r="AE223" s="113"/>
      <c r="AF223" s="113"/>
      <c r="AG223" s="113"/>
    </row>
    <row r="224" spans="1:33" ht="13.8">
      <c r="A224" s="113"/>
      <c r="B224" s="113"/>
      <c r="C224" s="113"/>
      <c r="D224" s="113"/>
      <c r="E224" s="113"/>
      <c r="F224" s="113"/>
      <c r="G224" s="113"/>
      <c r="H224" s="113"/>
      <c r="I224" s="113"/>
      <c r="J224" s="113"/>
      <c r="K224" s="113"/>
      <c r="L224" s="113"/>
      <c r="M224" s="113"/>
      <c r="N224" s="113"/>
      <c r="O224" s="113"/>
      <c r="P224" s="113"/>
      <c r="Q224" s="113"/>
      <c r="R224" s="113"/>
      <c r="S224" s="113"/>
      <c r="T224" s="113"/>
      <c r="U224" s="113"/>
      <c r="V224" s="113"/>
      <c r="W224" s="113"/>
      <c r="X224" s="113"/>
      <c r="Y224" s="113"/>
      <c r="Z224" s="113"/>
      <c r="AA224" s="113"/>
      <c r="AB224" s="113"/>
      <c r="AC224" s="113"/>
      <c r="AD224" s="113"/>
      <c r="AE224" s="113"/>
      <c r="AF224" s="113"/>
      <c r="AG224" s="113"/>
    </row>
    <row r="225" spans="1:33" ht="13.8">
      <c r="A225" s="113"/>
      <c r="B225" s="113"/>
      <c r="C225" s="113"/>
      <c r="D225" s="113"/>
      <c r="E225" s="113"/>
      <c r="F225" s="113"/>
      <c r="G225" s="113"/>
      <c r="H225" s="113"/>
      <c r="I225" s="113"/>
      <c r="J225" s="113"/>
      <c r="K225" s="113"/>
      <c r="L225" s="113"/>
      <c r="M225" s="113"/>
      <c r="N225" s="113"/>
      <c r="O225" s="113"/>
      <c r="P225" s="113"/>
      <c r="Q225" s="113"/>
      <c r="R225" s="113"/>
      <c r="S225" s="113"/>
      <c r="T225" s="113"/>
      <c r="U225" s="113"/>
      <c r="V225" s="113"/>
      <c r="W225" s="113"/>
      <c r="X225" s="113"/>
      <c r="Y225" s="113"/>
      <c r="Z225" s="113"/>
      <c r="AA225" s="113"/>
      <c r="AB225" s="113"/>
      <c r="AC225" s="113"/>
      <c r="AD225" s="113"/>
      <c r="AE225" s="113"/>
      <c r="AF225" s="113"/>
      <c r="AG225" s="113"/>
    </row>
    <row r="226" spans="1:33" ht="13.8">
      <c r="A226" s="113"/>
      <c r="B226" s="113"/>
      <c r="C226" s="113"/>
      <c r="D226" s="113"/>
      <c r="E226" s="113"/>
      <c r="F226" s="113"/>
      <c r="G226" s="113"/>
      <c r="H226" s="113"/>
      <c r="I226" s="113"/>
      <c r="J226" s="113"/>
      <c r="K226" s="113"/>
      <c r="L226" s="113"/>
      <c r="M226" s="113"/>
      <c r="N226" s="113"/>
      <c r="O226" s="113"/>
      <c r="P226" s="113"/>
      <c r="Q226" s="113"/>
      <c r="R226" s="113"/>
      <c r="S226" s="113"/>
      <c r="T226" s="113"/>
      <c r="U226" s="113"/>
      <c r="V226" s="113"/>
      <c r="W226" s="113"/>
      <c r="X226" s="113"/>
      <c r="Y226" s="113"/>
      <c r="Z226" s="113"/>
      <c r="AA226" s="113"/>
      <c r="AB226" s="113"/>
      <c r="AC226" s="113"/>
      <c r="AD226" s="113"/>
      <c r="AE226" s="113"/>
      <c r="AF226" s="113"/>
      <c r="AG226" s="113"/>
    </row>
    <row r="227" spans="1:33" ht="13.8">
      <c r="A227" s="113"/>
      <c r="B227" s="113"/>
      <c r="C227" s="113"/>
      <c r="D227" s="113"/>
      <c r="E227" s="113"/>
      <c r="F227" s="113"/>
      <c r="G227" s="113"/>
      <c r="H227" s="113"/>
      <c r="I227" s="113"/>
      <c r="J227" s="113"/>
      <c r="K227" s="113"/>
      <c r="L227" s="113"/>
      <c r="M227" s="113"/>
      <c r="N227" s="113"/>
      <c r="O227" s="113"/>
      <c r="P227" s="113"/>
      <c r="Q227" s="113"/>
      <c r="R227" s="113"/>
      <c r="S227" s="113"/>
      <c r="T227" s="113"/>
      <c r="U227" s="113"/>
      <c r="V227" s="113"/>
      <c r="W227" s="113"/>
      <c r="X227" s="113"/>
      <c r="Y227" s="113"/>
      <c r="Z227" s="113"/>
      <c r="AA227" s="113"/>
      <c r="AB227" s="113"/>
      <c r="AC227" s="113"/>
      <c r="AD227" s="113"/>
      <c r="AE227" s="113"/>
      <c r="AF227" s="113"/>
      <c r="AG227" s="113"/>
    </row>
    <row r="228" spans="1:33" ht="13.8">
      <c r="A228" s="113"/>
      <c r="B228" s="113"/>
      <c r="C228" s="113"/>
      <c r="D228" s="113"/>
      <c r="E228" s="113"/>
      <c r="F228" s="113"/>
      <c r="G228" s="113"/>
      <c r="H228" s="113"/>
      <c r="I228" s="113"/>
      <c r="J228" s="113"/>
      <c r="K228" s="113"/>
      <c r="L228" s="113"/>
      <c r="M228" s="113"/>
      <c r="N228" s="113"/>
      <c r="O228" s="113"/>
      <c r="P228" s="113"/>
      <c r="Q228" s="113"/>
      <c r="R228" s="113"/>
      <c r="S228" s="113"/>
      <c r="T228" s="113"/>
      <c r="U228" s="113"/>
      <c r="V228" s="113"/>
      <c r="W228" s="113"/>
      <c r="X228" s="113"/>
      <c r="Y228" s="113"/>
      <c r="Z228" s="113"/>
      <c r="AA228" s="113"/>
      <c r="AB228" s="113"/>
      <c r="AC228" s="113"/>
      <c r="AD228" s="113"/>
      <c r="AE228" s="113"/>
      <c r="AF228" s="113"/>
      <c r="AG228" s="113"/>
    </row>
    <row r="229" spans="1:33" ht="13.8">
      <c r="A229" s="113"/>
      <c r="B229" s="113"/>
      <c r="C229" s="113"/>
      <c r="D229" s="113"/>
      <c r="E229" s="113"/>
      <c r="F229" s="113"/>
      <c r="G229" s="113"/>
      <c r="H229" s="113"/>
      <c r="I229" s="113"/>
      <c r="J229" s="113"/>
      <c r="K229" s="113"/>
      <c r="L229" s="113"/>
      <c r="M229" s="113"/>
      <c r="N229" s="113"/>
      <c r="O229" s="113"/>
      <c r="P229" s="113"/>
      <c r="Q229" s="113"/>
      <c r="R229" s="113"/>
      <c r="S229" s="113"/>
      <c r="T229" s="113"/>
      <c r="U229" s="113"/>
      <c r="V229" s="113"/>
      <c r="W229" s="113"/>
      <c r="X229" s="113"/>
      <c r="Y229" s="113"/>
      <c r="Z229" s="113"/>
      <c r="AA229" s="113"/>
      <c r="AB229" s="113"/>
      <c r="AC229" s="113"/>
      <c r="AD229" s="113"/>
      <c r="AE229" s="113"/>
      <c r="AF229" s="113"/>
      <c r="AG229" s="113"/>
    </row>
    <row r="230" spans="1:33" ht="13.8">
      <c r="A230" s="113"/>
      <c r="B230" s="113"/>
      <c r="C230" s="113"/>
      <c r="D230" s="113"/>
      <c r="E230" s="113"/>
      <c r="F230" s="113"/>
      <c r="G230" s="113"/>
      <c r="H230" s="113"/>
      <c r="I230" s="113"/>
      <c r="J230" s="113"/>
      <c r="K230" s="113"/>
      <c r="L230" s="113"/>
      <c r="M230" s="113"/>
      <c r="N230" s="113"/>
      <c r="O230" s="113"/>
      <c r="P230" s="113"/>
      <c r="Q230" s="113"/>
      <c r="R230" s="113"/>
      <c r="S230" s="113"/>
      <c r="T230" s="113"/>
      <c r="U230" s="113"/>
      <c r="V230" s="113"/>
      <c r="W230" s="113"/>
      <c r="X230" s="113"/>
      <c r="Y230" s="113"/>
      <c r="Z230" s="113"/>
      <c r="AA230" s="113"/>
      <c r="AB230" s="113"/>
      <c r="AC230" s="113"/>
      <c r="AD230" s="113"/>
      <c r="AE230" s="113"/>
      <c r="AF230" s="113"/>
      <c r="AG230" s="113"/>
    </row>
    <row r="231" spans="1:33" ht="13.8">
      <c r="A231" s="113"/>
      <c r="B231" s="113"/>
      <c r="C231" s="113"/>
      <c r="D231" s="113"/>
      <c r="E231" s="113"/>
      <c r="F231" s="113"/>
      <c r="G231" s="113"/>
      <c r="H231" s="113"/>
      <c r="I231" s="113"/>
      <c r="J231" s="113"/>
      <c r="K231" s="113"/>
      <c r="L231" s="113"/>
      <c r="M231" s="113"/>
      <c r="N231" s="113"/>
      <c r="O231" s="113"/>
      <c r="P231" s="113"/>
      <c r="Q231" s="113"/>
      <c r="R231" s="113"/>
      <c r="S231" s="113"/>
      <c r="T231" s="113"/>
      <c r="U231" s="113"/>
      <c r="V231" s="113"/>
      <c r="W231" s="113"/>
      <c r="X231" s="113"/>
      <c r="Y231" s="113"/>
      <c r="Z231" s="113"/>
      <c r="AA231" s="113"/>
      <c r="AB231" s="113"/>
      <c r="AC231" s="113"/>
      <c r="AD231" s="113"/>
      <c r="AE231" s="113"/>
      <c r="AF231" s="113"/>
      <c r="AG231" s="113"/>
    </row>
    <row r="232" spans="1:33" ht="13.8">
      <c r="A232" s="113"/>
      <c r="B232" s="113"/>
      <c r="C232" s="113"/>
      <c r="D232" s="113"/>
      <c r="E232" s="113"/>
      <c r="F232" s="113"/>
      <c r="G232" s="113"/>
      <c r="H232" s="113"/>
      <c r="I232" s="113"/>
      <c r="J232" s="113"/>
      <c r="K232" s="113"/>
      <c r="L232" s="113"/>
      <c r="M232" s="113"/>
      <c r="N232" s="113"/>
      <c r="O232" s="113"/>
      <c r="P232" s="113"/>
      <c r="Q232" s="113"/>
      <c r="R232" s="113"/>
      <c r="S232" s="113"/>
      <c r="T232" s="113"/>
      <c r="U232" s="113"/>
      <c r="V232" s="113"/>
      <c r="W232" s="113"/>
      <c r="X232" s="113"/>
      <c r="Y232" s="113"/>
      <c r="Z232" s="113"/>
      <c r="AA232" s="113"/>
      <c r="AB232" s="113"/>
      <c r="AC232" s="113"/>
      <c r="AD232" s="113"/>
      <c r="AE232" s="113"/>
      <c r="AF232" s="113"/>
      <c r="AG232" s="113"/>
    </row>
    <row r="233" spans="1:33" ht="13.8">
      <c r="A233" s="113"/>
      <c r="B233" s="113"/>
      <c r="C233" s="113"/>
      <c r="D233" s="113"/>
      <c r="E233" s="113"/>
      <c r="F233" s="113"/>
      <c r="G233" s="113"/>
      <c r="H233" s="113"/>
      <c r="I233" s="113"/>
      <c r="J233" s="113"/>
      <c r="K233" s="113"/>
      <c r="L233" s="113"/>
      <c r="M233" s="113"/>
      <c r="N233" s="113"/>
      <c r="O233" s="113"/>
      <c r="P233" s="113"/>
      <c r="Q233" s="113"/>
      <c r="R233" s="113"/>
      <c r="S233" s="113"/>
      <c r="T233" s="113"/>
      <c r="U233" s="113"/>
      <c r="V233" s="113"/>
      <c r="W233" s="113"/>
      <c r="X233" s="113"/>
      <c r="Y233" s="113"/>
      <c r="Z233" s="113"/>
      <c r="AA233" s="113"/>
      <c r="AB233" s="113"/>
      <c r="AC233" s="113"/>
      <c r="AD233" s="113"/>
      <c r="AE233" s="113"/>
      <c r="AF233" s="113"/>
      <c r="AG233" s="113"/>
    </row>
    <row r="234" spans="1:33" ht="13.8">
      <c r="A234" s="113"/>
      <c r="B234" s="113"/>
      <c r="C234" s="113"/>
      <c r="D234" s="113"/>
      <c r="E234" s="113"/>
      <c r="F234" s="113"/>
      <c r="G234" s="113"/>
      <c r="H234" s="113"/>
      <c r="I234" s="113"/>
      <c r="J234" s="113"/>
      <c r="K234" s="113"/>
      <c r="L234" s="113"/>
      <c r="M234" s="113"/>
      <c r="N234" s="113"/>
      <c r="O234" s="113"/>
      <c r="P234" s="113"/>
      <c r="Q234" s="113"/>
      <c r="R234" s="113"/>
      <c r="S234" s="113"/>
      <c r="T234" s="113"/>
      <c r="U234" s="113"/>
      <c r="V234" s="113"/>
      <c r="W234" s="113"/>
      <c r="X234" s="113"/>
      <c r="Y234" s="113"/>
      <c r="Z234" s="113"/>
      <c r="AA234" s="113"/>
      <c r="AB234" s="113"/>
      <c r="AC234" s="113"/>
      <c r="AD234" s="113"/>
      <c r="AE234" s="113"/>
      <c r="AF234" s="113"/>
      <c r="AG234" s="113"/>
    </row>
    <row r="235" spans="1:33" ht="13.8">
      <c r="A235" s="113"/>
      <c r="B235" s="113"/>
      <c r="C235" s="113"/>
      <c r="D235" s="113"/>
      <c r="E235" s="113"/>
      <c r="F235" s="113"/>
      <c r="G235" s="113"/>
      <c r="H235" s="113"/>
      <c r="I235" s="113"/>
      <c r="J235" s="113"/>
      <c r="K235" s="113"/>
      <c r="L235" s="113"/>
      <c r="M235" s="113"/>
      <c r="N235" s="113"/>
      <c r="O235" s="113"/>
      <c r="P235" s="113"/>
      <c r="Q235" s="113"/>
      <c r="R235" s="113"/>
      <c r="S235" s="113"/>
      <c r="T235" s="113"/>
      <c r="U235" s="113"/>
      <c r="V235" s="113"/>
      <c r="W235" s="113"/>
      <c r="X235" s="113"/>
      <c r="Y235" s="113"/>
      <c r="Z235" s="113"/>
      <c r="AA235" s="113"/>
      <c r="AB235" s="113"/>
      <c r="AC235" s="113"/>
      <c r="AD235" s="113"/>
      <c r="AE235" s="113"/>
      <c r="AF235" s="113"/>
      <c r="AG235" s="113"/>
    </row>
    <row r="236" spans="1:33" ht="13.8">
      <c r="A236" s="113"/>
      <c r="B236" s="113"/>
      <c r="C236" s="113"/>
      <c r="D236" s="113"/>
      <c r="E236" s="113"/>
      <c r="F236" s="113"/>
      <c r="G236" s="113"/>
      <c r="H236" s="113"/>
      <c r="I236" s="113"/>
      <c r="J236" s="113"/>
      <c r="K236" s="113"/>
      <c r="L236" s="113"/>
      <c r="M236" s="113"/>
      <c r="N236" s="113"/>
      <c r="O236" s="113"/>
      <c r="P236" s="113"/>
      <c r="Q236" s="113"/>
      <c r="R236" s="113"/>
      <c r="S236" s="113"/>
      <c r="T236" s="113"/>
      <c r="U236" s="113"/>
      <c r="V236" s="113"/>
      <c r="W236" s="113"/>
      <c r="X236" s="113"/>
      <c r="Y236" s="113"/>
      <c r="Z236" s="113"/>
      <c r="AA236" s="113"/>
      <c r="AB236" s="113"/>
      <c r="AC236" s="113"/>
      <c r="AD236" s="113"/>
      <c r="AE236" s="113"/>
      <c r="AF236" s="113"/>
      <c r="AG236" s="113"/>
    </row>
    <row r="237" spans="1:33" ht="13.8">
      <c r="A237" s="113"/>
      <c r="B237" s="113"/>
      <c r="C237" s="113"/>
      <c r="D237" s="113"/>
      <c r="E237" s="113"/>
      <c r="F237" s="113"/>
      <c r="G237" s="113"/>
      <c r="H237" s="113"/>
      <c r="I237" s="113"/>
      <c r="J237" s="113"/>
      <c r="K237" s="113"/>
      <c r="L237" s="113"/>
      <c r="M237" s="113"/>
      <c r="N237" s="113"/>
      <c r="O237" s="113"/>
      <c r="P237" s="113"/>
      <c r="Q237" s="113"/>
      <c r="R237" s="113"/>
      <c r="S237" s="113"/>
      <c r="T237" s="113"/>
      <c r="U237" s="113"/>
      <c r="V237" s="113"/>
      <c r="W237" s="113"/>
      <c r="X237" s="113"/>
      <c r="Y237" s="113"/>
      <c r="Z237" s="113"/>
      <c r="AA237" s="113"/>
      <c r="AB237" s="113"/>
      <c r="AC237" s="113"/>
      <c r="AD237" s="113"/>
      <c r="AE237" s="113"/>
      <c r="AF237" s="113"/>
      <c r="AG237" s="113"/>
    </row>
    <row r="238" spans="1:33" ht="13.8">
      <c r="A238" s="113"/>
      <c r="B238" s="113"/>
      <c r="C238" s="113"/>
      <c r="D238" s="113"/>
      <c r="E238" s="113"/>
      <c r="F238" s="113"/>
      <c r="G238" s="113"/>
      <c r="H238" s="113"/>
      <c r="I238" s="113"/>
      <c r="J238" s="113"/>
      <c r="K238" s="113"/>
      <c r="L238" s="113"/>
      <c r="M238" s="113"/>
      <c r="N238" s="113"/>
      <c r="O238" s="113"/>
      <c r="P238" s="113"/>
      <c r="Q238" s="113"/>
      <c r="R238" s="113"/>
      <c r="S238" s="113"/>
      <c r="T238" s="113"/>
      <c r="U238" s="113"/>
      <c r="V238" s="113"/>
      <c r="W238" s="113"/>
      <c r="X238" s="113"/>
      <c r="Y238" s="113"/>
      <c r="Z238" s="113"/>
      <c r="AA238" s="113"/>
      <c r="AB238" s="113"/>
      <c r="AC238" s="113"/>
      <c r="AD238" s="113"/>
      <c r="AE238" s="113"/>
      <c r="AF238" s="113"/>
      <c r="AG238" s="113"/>
    </row>
    <row r="239" spans="1:33" ht="13.8">
      <c r="A239" s="113"/>
      <c r="B239" s="113"/>
      <c r="C239" s="113"/>
      <c r="D239" s="113"/>
      <c r="E239" s="113"/>
      <c r="F239" s="113"/>
      <c r="G239" s="113"/>
      <c r="H239" s="113"/>
      <c r="I239" s="113"/>
      <c r="J239" s="113"/>
      <c r="K239" s="113"/>
      <c r="L239" s="113"/>
      <c r="M239" s="113"/>
      <c r="N239" s="113"/>
      <c r="O239" s="113"/>
      <c r="P239" s="113"/>
      <c r="Q239" s="113"/>
      <c r="R239" s="113"/>
      <c r="S239" s="113"/>
      <c r="T239" s="113"/>
      <c r="U239" s="113"/>
      <c r="V239" s="113"/>
      <c r="W239" s="113"/>
      <c r="X239" s="113"/>
      <c r="Y239" s="113"/>
      <c r="Z239" s="113"/>
      <c r="AA239" s="113"/>
      <c r="AB239" s="113"/>
      <c r="AC239" s="113"/>
      <c r="AD239" s="113"/>
      <c r="AE239" s="113"/>
      <c r="AF239" s="113"/>
      <c r="AG239" s="113"/>
    </row>
    <row r="240" spans="1:33" ht="13.8">
      <c r="A240" s="113"/>
      <c r="B240" s="113"/>
      <c r="C240" s="113"/>
      <c r="D240" s="113"/>
      <c r="E240" s="113"/>
      <c r="F240" s="113"/>
      <c r="G240" s="113"/>
      <c r="H240" s="113"/>
      <c r="I240" s="113"/>
      <c r="J240" s="113"/>
      <c r="K240" s="113"/>
      <c r="L240" s="113"/>
      <c r="M240" s="113"/>
      <c r="N240" s="113"/>
      <c r="O240" s="113"/>
      <c r="P240" s="113"/>
      <c r="Q240" s="113"/>
      <c r="R240" s="113"/>
      <c r="S240" s="113"/>
      <c r="T240" s="113"/>
      <c r="U240" s="113"/>
      <c r="V240" s="113"/>
      <c r="W240" s="113"/>
      <c r="X240" s="113"/>
      <c r="Y240" s="113"/>
      <c r="Z240" s="113"/>
      <c r="AA240" s="113"/>
      <c r="AB240" s="113"/>
      <c r="AC240" s="113"/>
      <c r="AD240" s="113"/>
      <c r="AE240" s="113"/>
      <c r="AF240" s="113"/>
      <c r="AG240" s="113"/>
    </row>
    <row r="241" spans="1:33" ht="13.8">
      <c r="A241" s="113"/>
      <c r="B241" s="113"/>
      <c r="C241" s="113"/>
      <c r="D241" s="113"/>
      <c r="E241" s="113"/>
      <c r="F241" s="113"/>
      <c r="G241" s="113"/>
      <c r="H241" s="113"/>
      <c r="I241" s="113"/>
      <c r="J241" s="113"/>
      <c r="K241" s="113"/>
      <c r="L241" s="113"/>
      <c r="M241" s="113"/>
      <c r="N241" s="113"/>
      <c r="O241" s="113"/>
      <c r="P241" s="113"/>
      <c r="Q241" s="113"/>
      <c r="R241" s="113"/>
      <c r="S241" s="113"/>
      <c r="T241" s="113"/>
      <c r="U241" s="113"/>
      <c r="V241" s="113"/>
      <c r="W241" s="113"/>
      <c r="X241" s="113"/>
      <c r="Y241" s="113"/>
      <c r="Z241" s="113"/>
      <c r="AA241" s="113"/>
      <c r="AB241" s="113"/>
      <c r="AC241" s="113"/>
      <c r="AD241" s="113"/>
      <c r="AE241" s="113"/>
      <c r="AF241" s="113"/>
      <c r="AG241" s="113"/>
    </row>
    <row r="242" spans="1:33" ht="13.8">
      <c r="A242" s="113"/>
      <c r="B242" s="113"/>
      <c r="C242" s="113"/>
      <c r="D242" s="113"/>
      <c r="E242" s="113"/>
      <c r="F242" s="113"/>
      <c r="G242" s="113"/>
      <c r="H242" s="113"/>
      <c r="I242" s="113"/>
      <c r="J242" s="113"/>
      <c r="K242" s="113"/>
      <c r="L242" s="113"/>
      <c r="M242" s="113"/>
      <c r="N242" s="113"/>
      <c r="O242" s="113"/>
      <c r="P242" s="113"/>
      <c r="Q242" s="113"/>
      <c r="R242" s="113"/>
      <c r="S242" s="113"/>
      <c r="T242" s="113"/>
      <c r="U242" s="113"/>
      <c r="V242" s="113"/>
      <c r="W242" s="113"/>
      <c r="X242" s="113"/>
      <c r="Y242" s="113"/>
      <c r="Z242" s="113"/>
      <c r="AA242" s="113"/>
      <c r="AB242" s="113"/>
      <c r="AC242" s="113"/>
      <c r="AD242" s="113"/>
      <c r="AE242" s="113"/>
      <c r="AF242" s="113"/>
      <c r="AG242" s="113"/>
    </row>
    <row r="243" spans="1:33" ht="13.8">
      <c r="A243" s="113"/>
      <c r="B243" s="113"/>
      <c r="C243" s="113"/>
      <c r="D243" s="113"/>
      <c r="E243" s="113"/>
      <c r="F243" s="113"/>
      <c r="G243" s="113"/>
      <c r="H243" s="113"/>
      <c r="I243" s="113"/>
      <c r="J243" s="113"/>
      <c r="K243" s="113"/>
      <c r="L243" s="113"/>
      <c r="M243" s="113"/>
      <c r="N243" s="113"/>
      <c r="O243" s="113"/>
      <c r="P243" s="113"/>
      <c r="Q243" s="113"/>
      <c r="R243" s="113"/>
      <c r="S243" s="113"/>
      <c r="T243" s="113"/>
      <c r="U243" s="113"/>
      <c r="V243" s="113"/>
      <c r="W243" s="113"/>
      <c r="X243" s="113"/>
      <c r="Y243" s="113"/>
      <c r="Z243" s="113"/>
      <c r="AA243" s="113"/>
      <c r="AB243" s="113"/>
      <c r="AC243" s="113"/>
      <c r="AD243" s="113"/>
      <c r="AE243" s="113"/>
      <c r="AF243" s="113"/>
      <c r="AG243" s="113"/>
    </row>
    <row r="244" spans="1:33" ht="13.8">
      <c r="A244" s="113"/>
      <c r="B244" s="113"/>
      <c r="C244" s="113"/>
      <c r="D244" s="113"/>
      <c r="E244" s="113"/>
      <c r="F244" s="113"/>
      <c r="G244" s="113"/>
      <c r="H244" s="113"/>
      <c r="I244" s="113"/>
      <c r="J244" s="113"/>
      <c r="K244" s="113"/>
      <c r="L244" s="113"/>
      <c r="M244" s="113"/>
      <c r="N244" s="113"/>
      <c r="O244" s="113"/>
      <c r="P244" s="113"/>
      <c r="Q244" s="113"/>
      <c r="R244" s="113"/>
      <c r="S244" s="113"/>
      <c r="T244" s="113"/>
      <c r="U244" s="113"/>
      <c r="V244" s="113"/>
      <c r="W244" s="113"/>
      <c r="X244" s="113"/>
      <c r="Y244" s="113"/>
      <c r="Z244" s="113"/>
      <c r="AA244" s="113"/>
      <c r="AB244" s="113"/>
      <c r="AC244" s="113"/>
      <c r="AD244" s="113"/>
      <c r="AE244" s="113"/>
      <c r="AF244" s="113"/>
      <c r="AG244" s="113"/>
    </row>
    <row r="245" spans="1:33" ht="13.8">
      <c r="A245" s="113"/>
      <c r="B245" s="113"/>
      <c r="C245" s="113"/>
      <c r="D245" s="113"/>
      <c r="E245" s="113"/>
      <c r="F245" s="113"/>
      <c r="G245" s="113"/>
      <c r="H245" s="113"/>
      <c r="I245" s="113"/>
      <c r="J245" s="113"/>
      <c r="K245" s="113"/>
      <c r="L245" s="113"/>
      <c r="M245" s="113"/>
      <c r="N245" s="113"/>
      <c r="O245" s="113"/>
      <c r="P245" s="113"/>
      <c r="Q245" s="113"/>
      <c r="R245" s="113"/>
      <c r="S245" s="113"/>
      <c r="T245" s="113"/>
      <c r="U245" s="113"/>
      <c r="V245" s="113"/>
      <c r="W245" s="113"/>
      <c r="X245" s="113"/>
      <c r="Y245" s="113"/>
      <c r="Z245" s="113"/>
      <c r="AA245" s="113"/>
      <c r="AB245" s="113"/>
      <c r="AC245" s="113"/>
      <c r="AD245" s="113"/>
      <c r="AE245" s="113"/>
      <c r="AF245" s="113"/>
      <c r="AG245" s="113"/>
    </row>
    <row r="246" spans="1:33" ht="13.8">
      <c r="A246" s="113"/>
      <c r="B246" s="113"/>
      <c r="C246" s="113"/>
      <c r="D246" s="113"/>
      <c r="E246" s="113"/>
      <c r="F246" s="113"/>
      <c r="G246" s="113"/>
      <c r="H246" s="113"/>
      <c r="I246" s="113"/>
      <c r="J246" s="113"/>
      <c r="K246" s="113"/>
      <c r="L246" s="113"/>
      <c r="M246" s="113"/>
      <c r="N246" s="113"/>
      <c r="O246" s="113"/>
      <c r="P246" s="113"/>
      <c r="Q246" s="113"/>
      <c r="R246" s="113"/>
      <c r="S246" s="113"/>
      <c r="T246" s="113"/>
      <c r="U246" s="113"/>
      <c r="V246" s="113"/>
      <c r="W246" s="113"/>
      <c r="X246" s="113"/>
      <c r="Y246" s="113"/>
      <c r="Z246" s="113"/>
      <c r="AA246" s="113"/>
      <c r="AB246" s="113"/>
      <c r="AC246" s="113"/>
      <c r="AD246" s="113"/>
      <c r="AE246" s="113"/>
      <c r="AF246" s="113"/>
      <c r="AG246" s="113"/>
    </row>
    <row r="247" spans="1:33" ht="13.8">
      <c r="A247" s="113"/>
      <c r="B247" s="113"/>
      <c r="C247" s="113"/>
      <c r="D247" s="113"/>
      <c r="E247" s="113"/>
      <c r="F247" s="113"/>
      <c r="G247" s="113"/>
      <c r="H247" s="113"/>
      <c r="I247" s="113"/>
      <c r="J247" s="113"/>
      <c r="K247" s="113"/>
      <c r="L247" s="113"/>
      <c r="M247" s="113"/>
      <c r="N247" s="113"/>
      <c r="O247" s="113"/>
      <c r="P247" s="113"/>
      <c r="Q247" s="113"/>
      <c r="R247" s="113"/>
      <c r="S247" s="113"/>
      <c r="T247" s="113"/>
      <c r="U247" s="113"/>
      <c r="V247" s="113"/>
      <c r="W247" s="113"/>
      <c r="X247" s="113"/>
      <c r="Y247" s="113"/>
      <c r="Z247" s="113"/>
      <c r="AA247" s="113"/>
      <c r="AB247" s="113"/>
      <c r="AC247" s="113"/>
      <c r="AD247" s="113"/>
      <c r="AE247" s="113"/>
      <c r="AF247" s="113"/>
      <c r="AG247" s="113"/>
    </row>
    <row r="248" spans="1:33" ht="13.8">
      <c r="A248" s="113"/>
      <c r="B248" s="113"/>
      <c r="C248" s="113"/>
      <c r="D248" s="113"/>
      <c r="E248" s="113"/>
      <c r="F248" s="113"/>
      <c r="G248" s="113"/>
      <c r="H248" s="113"/>
      <c r="I248" s="113"/>
      <c r="J248" s="113"/>
      <c r="K248" s="113"/>
      <c r="L248" s="113"/>
      <c r="M248" s="113"/>
      <c r="N248" s="113"/>
      <c r="O248" s="113"/>
      <c r="P248" s="113"/>
      <c r="Q248" s="113"/>
      <c r="R248" s="113"/>
      <c r="S248" s="113"/>
      <c r="T248" s="113"/>
      <c r="U248" s="113"/>
      <c r="V248" s="113"/>
      <c r="W248" s="113"/>
      <c r="X248" s="113"/>
      <c r="Y248" s="113"/>
      <c r="Z248" s="113"/>
      <c r="AA248" s="113"/>
      <c r="AB248" s="113"/>
      <c r="AC248" s="113"/>
      <c r="AD248" s="113"/>
      <c r="AE248" s="113"/>
      <c r="AF248" s="113"/>
      <c r="AG248" s="113"/>
    </row>
    <row r="249" spans="1:33" ht="13.8">
      <c r="A249" s="113"/>
      <c r="B249" s="113"/>
      <c r="C249" s="113"/>
      <c r="D249" s="113"/>
      <c r="E249" s="113"/>
      <c r="F249" s="113"/>
      <c r="G249" s="113"/>
      <c r="H249" s="113"/>
      <c r="I249" s="113"/>
      <c r="J249" s="113"/>
      <c r="K249" s="113"/>
      <c r="L249" s="113"/>
      <c r="M249" s="113"/>
      <c r="N249" s="113"/>
      <c r="O249" s="113"/>
      <c r="P249" s="113"/>
      <c r="Q249" s="113"/>
      <c r="R249" s="113"/>
      <c r="S249" s="113"/>
      <c r="T249" s="113"/>
      <c r="U249" s="113"/>
      <c r="V249" s="113"/>
      <c r="W249" s="113"/>
      <c r="X249" s="113"/>
      <c r="Y249" s="113"/>
      <c r="Z249" s="113"/>
      <c r="AA249" s="113"/>
      <c r="AB249" s="113"/>
      <c r="AC249" s="113"/>
      <c r="AD249" s="113"/>
      <c r="AE249" s="113"/>
      <c r="AF249" s="113"/>
      <c r="AG249" s="113"/>
    </row>
    <row r="250" spans="1:33" ht="13.8">
      <c r="A250" s="113"/>
      <c r="B250" s="113"/>
      <c r="C250" s="113"/>
      <c r="D250" s="113"/>
      <c r="E250" s="113"/>
      <c r="F250" s="113"/>
      <c r="G250" s="113"/>
      <c r="H250" s="113"/>
      <c r="I250" s="113"/>
      <c r="J250" s="113"/>
      <c r="K250" s="113"/>
      <c r="L250" s="113"/>
      <c r="M250" s="113"/>
      <c r="N250" s="113"/>
      <c r="O250" s="113"/>
      <c r="P250" s="113"/>
      <c r="Q250" s="113"/>
      <c r="R250" s="113"/>
      <c r="S250" s="113"/>
      <c r="T250" s="113"/>
      <c r="U250" s="113"/>
      <c r="V250" s="113"/>
      <c r="W250" s="113"/>
      <c r="X250" s="113"/>
      <c r="Y250" s="113"/>
      <c r="Z250" s="113"/>
      <c r="AA250" s="113"/>
      <c r="AB250" s="113"/>
      <c r="AC250" s="113"/>
      <c r="AD250" s="113"/>
      <c r="AE250" s="113"/>
      <c r="AF250" s="113"/>
      <c r="AG250" s="113"/>
    </row>
    <row r="251" spans="1:33" ht="13.8">
      <c r="A251" s="113"/>
      <c r="B251" s="113"/>
      <c r="C251" s="113"/>
      <c r="D251" s="113"/>
      <c r="E251" s="113"/>
      <c r="F251" s="113"/>
      <c r="G251" s="113"/>
      <c r="H251" s="113"/>
      <c r="I251" s="113"/>
      <c r="J251" s="113"/>
      <c r="K251" s="113"/>
      <c r="L251" s="113"/>
      <c r="M251" s="113"/>
      <c r="N251" s="113"/>
      <c r="O251" s="113"/>
      <c r="P251" s="113"/>
      <c r="Q251" s="113"/>
      <c r="R251" s="113"/>
      <c r="S251" s="113"/>
      <c r="T251" s="113"/>
      <c r="U251" s="113"/>
      <c r="V251" s="113"/>
      <c r="W251" s="113"/>
      <c r="X251" s="113"/>
      <c r="Y251" s="113"/>
      <c r="Z251" s="113"/>
      <c r="AA251" s="113"/>
      <c r="AB251" s="113"/>
      <c r="AC251" s="113"/>
      <c r="AD251" s="113"/>
      <c r="AE251" s="113"/>
      <c r="AF251" s="113"/>
      <c r="AG251" s="113"/>
    </row>
    <row r="252" spans="1:33" ht="13.8">
      <c r="A252" s="113"/>
      <c r="B252" s="113"/>
      <c r="C252" s="113"/>
      <c r="D252" s="113"/>
      <c r="E252" s="113"/>
      <c r="F252" s="113"/>
      <c r="G252" s="113"/>
      <c r="H252" s="113"/>
      <c r="I252" s="113"/>
      <c r="J252" s="113"/>
      <c r="K252" s="113"/>
      <c r="L252" s="113"/>
      <c r="M252" s="113"/>
      <c r="N252" s="113"/>
      <c r="O252" s="113"/>
      <c r="P252" s="113"/>
      <c r="Q252" s="113"/>
      <c r="R252" s="113"/>
      <c r="S252" s="113"/>
      <c r="T252" s="113"/>
      <c r="U252" s="113"/>
      <c r="V252" s="113"/>
      <c r="W252" s="113"/>
      <c r="X252" s="113"/>
      <c r="Y252" s="113"/>
      <c r="Z252" s="113"/>
      <c r="AA252" s="113"/>
      <c r="AB252" s="113"/>
      <c r="AC252" s="113"/>
      <c r="AD252" s="113"/>
      <c r="AE252" s="113"/>
      <c r="AF252" s="113"/>
      <c r="AG252" s="113"/>
    </row>
    <row r="253" spans="1:33" ht="13.8">
      <c r="A253" s="113"/>
      <c r="B253" s="113"/>
      <c r="C253" s="113"/>
      <c r="D253" s="113"/>
      <c r="E253" s="113"/>
      <c r="F253" s="113"/>
      <c r="G253" s="113"/>
      <c r="H253" s="113"/>
      <c r="I253" s="113"/>
      <c r="J253" s="113"/>
      <c r="K253" s="113"/>
      <c r="L253" s="113"/>
      <c r="M253" s="113"/>
      <c r="N253" s="113"/>
      <c r="O253" s="113"/>
      <c r="P253" s="113"/>
      <c r="Q253" s="113"/>
      <c r="R253" s="113"/>
      <c r="S253" s="113"/>
      <c r="T253" s="113"/>
      <c r="U253" s="113"/>
      <c r="V253" s="113"/>
      <c r="W253" s="113"/>
      <c r="X253" s="113"/>
      <c r="Y253" s="113"/>
      <c r="Z253" s="113"/>
      <c r="AA253" s="113"/>
      <c r="AB253" s="113"/>
      <c r="AC253" s="113"/>
      <c r="AD253" s="113"/>
      <c r="AE253" s="113"/>
      <c r="AF253" s="113"/>
      <c r="AG253" s="113"/>
    </row>
    <row r="254" spans="1:33" ht="13.8">
      <c r="A254" s="113"/>
      <c r="B254" s="113"/>
      <c r="C254" s="113"/>
      <c r="D254" s="113"/>
      <c r="E254" s="113"/>
      <c r="F254" s="113"/>
      <c r="G254" s="113"/>
      <c r="H254" s="113"/>
      <c r="I254" s="113"/>
      <c r="J254" s="113"/>
      <c r="K254" s="113"/>
      <c r="L254" s="113"/>
      <c r="M254" s="113"/>
      <c r="N254" s="113"/>
      <c r="O254" s="113"/>
      <c r="P254" s="113"/>
      <c r="Q254" s="113"/>
      <c r="R254" s="113"/>
      <c r="S254" s="113"/>
      <c r="T254" s="113"/>
      <c r="U254" s="113"/>
      <c r="V254" s="113"/>
      <c r="W254" s="113"/>
      <c r="X254" s="113"/>
      <c r="Y254" s="113"/>
      <c r="Z254" s="113"/>
      <c r="AA254" s="113"/>
      <c r="AB254" s="113"/>
      <c r="AC254" s="113"/>
      <c r="AD254" s="113"/>
      <c r="AE254" s="113"/>
      <c r="AF254" s="113"/>
      <c r="AG254" s="113"/>
    </row>
    <row r="255" spans="1:33" ht="13.8">
      <c r="A255" s="113"/>
      <c r="B255" s="113"/>
      <c r="C255" s="113"/>
      <c r="D255" s="113"/>
      <c r="E255" s="113"/>
      <c r="F255" s="113"/>
      <c r="G255" s="113"/>
      <c r="H255" s="113"/>
      <c r="I255" s="113"/>
      <c r="J255" s="113"/>
      <c r="K255" s="113"/>
      <c r="L255" s="113"/>
      <c r="M255" s="113"/>
      <c r="N255" s="113"/>
      <c r="O255" s="113"/>
      <c r="P255" s="113"/>
      <c r="Q255" s="113"/>
      <c r="R255" s="113"/>
      <c r="S255" s="113"/>
      <c r="T255" s="113"/>
      <c r="U255" s="113"/>
      <c r="V255" s="113"/>
      <c r="W255" s="113"/>
      <c r="X255" s="113"/>
      <c r="Y255" s="113"/>
      <c r="Z255" s="113"/>
      <c r="AA255" s="113"/>
      <c r="AB255" s="113"/>
      <c r="AC255" s="113"/>
      <c r="AD255" s="113"/>
      <c r="AE255" s="113"/>
      <c r="AF255" s="113"/>
      <c r="AG255" s="113"/>
    </row>
    <row r="256" spans="1:33" ht="13.8">
      <c r="A256" s="113"/>
      <c r="B256" s="113"/>
      <c r="C256" s="113"/>
      <c r="D256" s="113"/>
      <c r="E256" s="113"/>
      <c r="F256" s="113"/>
      <c r="G256" s="113"/>
      <c r="H256" s="113"/>
      <c r="I256" s="113"/>
      <c r="J256" s="113"/>
      <c r="K256" s="113"/>
      <c r="L256" s="113"/>
      <c r="M256" s="113"/>
      <c r="N256" s="113"/>
      <c r="O256" s="113"/>
      <c r="P256" s="113"/>
      <c r="Q256" s="113"/>
      <c r="R256" s="113"/>
      <c r="S256" s="113"/>
      <c r="T256" s="113"/>
      <c r="U256" s="113"/>
      <c r="V256" s="113"/>
      <c r="W256" s="113"/>
      <c r="X256" s="113"/>
      <c r="Y256" s="113"/>
      <c r="Z256" s="113"/>
      <c r="AA256" s="113"/>
      <c r="AB256" s="113"/>
      <c r="AC256" s="113"/>
      <c r="AD256" s="113"/>
      <c r="AE256" s="113"/>
      <c r="AF256" s="113"/>
      <c r="AG256" s="113"/>
    </row>
    <row r="257" spans="1:33" ht="13.8">
      <c r="A257" s="113"/>
      <c r="B257" s="113"/>
      <c r="C257" s="113"/>
      <c r="D257" s="113"/>
      <c r="E257" s="113"/>
      <c r="F257" s="113"/>
      <c r="G257" s="113"/>
      <c r="H257" s="113"/>
      <c r="I257" s="113"/>
      <c r="J257" s="113"/>
      <c r="K257" s="113"/>
      <c r="L257" s="113"/>
      <c r="M257" s="113"/>
      <c r="N257" s="113"/>
      <c r="O257" s="113"/>
      <c r="P257" s="113"/>
      <c r="Q257" s="113"/>
      <c r="R257" s="113"/>
      <c r="S257" s="113"/>
      <c r="T257" s="113"/>
      <c r="U257" s="113"/>
      <c r="V257" s="113"/>
      <c r="W257" s="113"/>
      <c r="X257" s="113"/>
      <c r="Y257" s="113"/>
      <c r="Z257" s="113"/>
      <c r="AA257" s="113"/>
      <c r="AB257" s="113"/>
      <c r="AC257" s="113"/>
      <c r="AD257" s="113"/>
      <c r="AE257" s="113"/>
      <c r="AF257" s="113"/>
      <c r="AG257" s="113"/>
    </row>
    <row r="258" spans="1:33" ht="13.8">
      <c r="A258" s="113"/>
      <c r="B258" s="113"/>
      <c r="C258" s="113"/>
      <c r="D258" s="113"/>
      <c r="E258" s="113"/>
      <c r="F258" s="113"/>
      <c r="G258" s="113"/>
      <c r="H258" s="113"/>
      <c r="I258" s="113"/>
      <c r="J258" s="113"/>
      <c r="K258" s="113"/>
      <c r="L258" s="113"/>
      <c r="M258" s="113"/>
      <c r="N258" s="113"/>
      <c r="O258" s="113"/>
      <c r="P258" s="113"/>
      <c r="Q258" s="113"/>
      <c r="R258" s="113"/>
      <c r="S258" s="113"/>
      <c r="T258" s="113"/>
      <c r="U258" s="113"/>
      <c r="V258" s="113"/>
      <c r="W258" s="113"/>
      <c r="X258" s="113"/>
      <c r="Y258" s="113"/>
      <c r="Z258" s="113"/>
      <c r="AA258" s="113"/>
      <c r="AB258" s="113"/>
      <c r="AC258" s="113"/>
      <c r="AD258" s="113"/>
      <c r="AE258" s="113"/>
      <c r="AF258" s="113"/>
      <c r="AG258" s="113"/>
    </row>
    <row r="259" spans="1:33" ht="13.8">
      <c r="A259" s="113"/>
      <c r="B259" s="113"/>
      <c r="C259" s="113"/>
      <c r="D259" s="113"/>
      <c r="E259" s="113"/>
      <c r="F259" s="113"/>
      <c r="G259" s="113"/>
      <c r="H259" s="113"/>
      <c r="I259" s="113"/>
      <c r="J259" s="113"/>
      <c r="K259" s="113"/>
      <c r="L259" s="113"/>
      <c r="M259" s="113"/>
      <c r="N259" s="113"/>
      <c r="O259" s="113"/>
      <c r="P259" s="113"/>
      <c r="Q259" s="113"/>
      <c r="R259" s="113"/>
      <c r="S259" s="113"/>
      <c r="T259" s="113"/>
      <c r="U259" s="113"/>
      <c r="V259" s="113"/>
      <c r="W259" s="113"/>
      <c r="X259" s="113"/>
      <c r="Y259" s="113"/>
      <c r="Z259" s="113"/>
      <c r="AA259" s="113"/>
      <c r="AB259" s="113"/>
      <c r="AC259" s="113"/>
      <c r="AD259" s="113"/>
      <c r="AE259" s="113"/>
      <c r="AF259" s="113"/>
      <c r="AG259" s="113"/>
    </row>
    <row r="260" spans="1:33" ht="13.8">
      <c r="A260" s="113"/>
      <c r="B260" s="113"/>
      <c r="C260" s="113"/>
      <c r="D260" s="113"/>
      <c r="E260" s="113"/>
      <c r="F260" s="113"/>
      <c r="G260" s="113"/>
      <c r="H260" s="113"/>
      <c r="I260" s="113"/>
      <c r="J260" s="113"/>
      <c r="K260" s="113"/>
      <c r="L260" s="113"/>
      <c r="M260" s="113"/>
      <c r="N260" s="113"/>
      <c r="O260" s="113"/>
      <c r="P260" s="113"/>
      <c r="Q260" s="113"/>
      <c r="R260" s="113"/>
      <c r="S260" s="113"/>
      <c r="T260" s="113"/>
      <c r="U260" s="113"/>
      <c r="V260" s="113"/>
      <c r="W260" s="113"/>
      <c r="X260" s="113"/>
      <c r="Y260" s="113"/>
      <c r="Z260" s="113"/>
      <c r="AA260" s="113"/>
      <c r="AB260" s="113"/>
      <c r="AC260" s="113"/>
      <c r="AD260" s="113"/>
      <c r="AE260" s="113"/>
      <c r="AF260" s="113"/>
      <c r="AG260" s="113"/>
    </row>
    <row r="261" spans="1:33" ht="13.8">
      <c r="A261" s="113"/>
      <c r="B261" s="113"/>
      <c r="C261" s="113"/>
      <c r="D261" s="113"/>
      <c r="E261" s="113"/>
      <c r="F261" s="113"/>
      <c r="G261" s="113"/>
      <c r="H261" s="113"/>
      <c r="I261" s="113"/>
      <c r="J261" s="113"/>
      <c r="K261" s="113"/>
      <c r="L261" s="113"/>
      <c r="M261" s="113"/>
      <c r="N261" s="113"/>
      <c r="O261" s="113"/>
      <c r="P261" s="113"/>
      <c r="Q261" s="113"/>
      <c r="R261" s="113"/>
      <c r="S261" s="113"/>
      <c r="T261" s="113"/>
      <c r="U261" s="113"/>
      <c r="V261" s="113"/>
      <c r="W261" s="113"/>
      <c r="X261" s="113"/>
      <c r="Y261" s="113"/>
      <c r="Z261" s="113"/>
      <c r="AA261" s="113"/>
      <c r="AB261" s="113"/>
      <c r="AC261" s="113"/>
      <c r="AD261" s="113"/>
      <c r="AE261" s="113"/>
      <c r="AF261" s="113"/>
      <c r="AG261" s="113"/>
    </row>
    <row r="262" spans="1:33" ht="13.8">
      <c r="A262" s="113"/>
      <c r="B262" s="113"/>
      <c r="C262" s="113"/>
      <c r="D262" s="113"/>
      <c r="E262" s="113"/>
      <c r="F262" s="113"/>
      <c r="G262" s="113"/>
      <c r="H262" s="113"/>
      <c r="I262" s="113"/>
      <c r="J262" s="113"/>
      <c r="K262" s="113"/>
      <c r="L262" s="113"/>
      <c r="M262" s="113"/>
      <c r="N262" s="113"/>
      <c r="O262" s="113"/>
      <c r="P262" s="113"/>
      <c r="Q262" s="113"/>
      <c r="R262" s="113"/>
      <c r="S262" s="113"/>
      <c r="T262" s="113"/>
      <c r="U262" s="113"/>
      <c r="V262" s="113"/>
      <c r="W262" s="113"/>
      <c r="X262" s="113"/>
      <c r="Y262" s="113"/>
      <c r="Z262" s="113"/>
      <c r="AA262" s="113"/>
      <c r="AB262" s="113"/>
      <c r="AC262" s="113"/>
      <c r="AD262" s="113"/>
      <c r="AE262" s="113"/>
      <c r="AF262" s="113"/>
      <c r="AG262" s="113"/>
    </row>
    <row r="263" spans="1:33" ht="13.8">
      <c r="A263" s="113"/>
      <c r="B263" s="113"/>
      <c r="C263" s="113"/>
      <c r="D263" s="113"/>
      <c r="E263" s="113"/>
      <c r="F263" s="113"/>
      <c r="G263" s="113"/>
      <c r="H263" s="113"/>
      <c r="I263" s="113"/>
      <c r="J263" s="113"/>
      <c r="K263" s="113"/>
      <c r="L263" s="113"/>
      <c r="M263" s="113"/>
      <c r="N263" s="113"/>
      <c r="O263" s="113"/>
      <c r="P263" s="113"/>
      <c r="Q263" s="113"/>
      <c r="R263" s="113"/>
      <c r="S263" s="113"/>
      <c r="T263" s="113"/>
      <c r="U263" s="113"/>
      <c r="V263" s="113"/>
      <c r="W263" s="113"/>
      <c r="X263" s="113"/>
      <c r="Y263" s="113"/>
      <c r="Z263" s="113"/>
      <c r="AA263" s="113"/>
      <c r="AB263" s="113"/>
      <c r="AC263" s="113"/>
      <c r="AD263" s="113"/>
      <c r="AE263" s="113"/>
      <c r="AF263" s="113"/>
      <c r="AG263" s="113"/>
    </row>
    <row r="264" spans="1:33" ht="13.8">
      <c r="A264" s="113"/>
      <c r="B264" s="113"/>
      <c r="C264" s="113"/>
      <c r="D264" s="113"/>
      <c r="E264" s="113"/>
      <c r="F264" s="113"/>
      <c r="G264" s="113"/>
      <c r="H264" s="113"/>
      <c r="I264" s="113"/>
      <c r="J264" s="113"/>
      <c r="K264" s="113"/>
      <c r="L264" s="113"/>
      <c r="M264" s="113"/>
      <c r="N264" s="113"/>
      <c r="O264" s="113"/>
      <c r="P264" s="113"/>
      <c r="Q264" s="113"/>
      <c r="R264" s="113"/>
      <c r="S264" s="113"/>
      <c r="T264" s="113"/>
      <c r="U264" s="113"/>
      <c r="V264" s="113"/>
      <c r="W264" s="113"/>
      <c r="X264" s="113"/>
      <c r="Y264" s="113"/>
      <c r="Z264" s="113"/>
      <c r="AA264" s="113"/>
      <c r="AB264" s="113"/>
      <c r="AC264" s="113"/>
      <c r="AD264" s="113"/>
      <c r="AE264" s="113"/>
      <c r="AF264" s="113"/>
      <c r="AG264" s="113"/>
    </row>
    <row r="265" spans="1:33" ht="13.8">
      <c r="A265" s="113"/>
      <c r="B265" s="113"/>
      <c r="C265" s="113"/>
      <c r="D265" s="113"/>
      <c r="E265" s="113"/>
      <c r="F265" s="113"/>
      <c r="G265" s="113"/>
      <c r="H265" s="113"/>
      <c r="I265" s="113"/>
      <c r="J265" s="113"/>
      <c r="K265" s="113"/>
      <c r="L265" s="113"/>
      <c r="M265" s="113"/>
      <c r="N265" s="113"/>
      <c r="O265" s="113"/>
      <c r="P265" s="113"/>
      <c r="Q265" s="113"/>
      <c r="R265" s="113"/>
      <c r="S265" s="113"/>
      <c r="T265" s="113"/>
      <c r="U265" s="113"/>
      <c r="V265" s="113"/>
      <c r="W265" s="113"/>
      <c r="X265" s="113"/>
      <c r="Y265" s="113"/>
      <c r="Z265" s="113"/>
      <c r="AA265" s="113"/>
      <c r="AB265" s="113"/>
      <c r="AC265" s="113"/>
      <c r="AD265" s="113"/>
      <c r="AE265" s="113"/>
      <c r="AF265" s="113"/>
      <c r="AG265" s="113"/>
    </row>
    <row r="266" spans="1:33" ht="13.8">
      <c r="A266" s="113"/>
      <c r="B266" s="113"/>
      <c r="C266" s="113"/>
      <c r="D266" s="113"/>
      <c r="E266" s="113"/>
      <c r="F266" s="113"/>
      <c r="G266" s="113"/>
      <c r="H266" s="113"/>
      <c r="I266" s="113"/>
      <c r="J266" s="113"/>
      <c r="K266" s="113"/>
      <c r="L266" s="113"/>
      <c r="M266" s="113"/>
      <c r="N266" s="113"/>
      <c r="O266" s="113"/>
      <c r="P266" s="113"/>
      <c r="Q266" s="113"/>
      <c r="R266" s="113"/>
      <c r="S266" s="113"/>
      <c r="T266" s="113"/>
      <c r="U266" s="113"/>
      <c r="V266" s="113"/>
      <c r="W266" s="113"/>
      <c r="X266" s="113"/>
      <c r="Y266" s="113"/>
      <c r="Z266" s="113"/>
      <c r="AA266" s="113"/>
      <c r="AB266" s="113"/>
      <c r="AC266" s="113"/>
      <c r="AD266" s="113"/>
      <c r="AE266" s="113"/>
      <c r="AF266" s="113"/>
      <c r="AG266" s="113"/>
    </row>
    <row r="267" spans="1:33" ht="13.8">
      <c r="A267" s="113"/>
      <c r="B267" s="113"/>
      <c r="C267" s="113"/>
      <c r="D267" s="113"/>
      <c r="E267" s="113"/>
      <c r="F267" s="113"/>
      <c r="G267" s="113"/>
      <c r="H267" s="113"/>
      <c r="I267" s="113"/>
      <c r="J267" s="113"/>
      <c r="K267" s="113"/>
      <c r="L267" s="113"/>
      <c r="M267" s="113"/>
      <c r="N267" s="113"/>
      <c r="O267" s="113"/>
      <c r="P267" s="113"/>
      <c r="Q267" s="113"/>
      <c r="R267" s="113"/>
      <c r="S267" s="113"/>
      <c r="T267" s="113"/>
      <c r="U267" s="113"/>
      <c r="V267" s="113"/>
      <c r="W267" s="113"/>
      <c r="X267" s="113"/>
      <c r="Y267" s="113"/>
      <c r="Z267" s="113"/>
      <c r="AA267" s="113"/>
      <c r="AB267" s="113"/>
      <c r="AC267" s="113"/>
      <c r="AD267" s="113"/>
      <c r="AE267" s="113"/>
      <c r="AF267" s="113"/>
      <c r="AG267" s="113"/>
    </row>
    <row r="268" spans="1:33" ht="13.8">
      <c r="A268" s="113"/>
      <c r="B268" s="113"/>
      <c r="C268" s="113"/>
      <c r="D268" s="113"/>
      <c r="E268" s="113"/>
      <c r="F268" s="113"/>
      <c r="G268" s="113"/>
      <c r="H268" s="113"/>
      <c r="I268" s="113"/>
      <c r="J268" s="113"/>
      <c r="K268" s="113"/>
      <c r="L268" s="113"/>
      <c r="M268" s="113"/>
      <c r="N268" s="113"/>
      <c r="O268" s="113"/>
      <c r="P268" s="113"/>
      <c r="Q268" s="113"/>
      <c r="R268" s="113"/>
      <c r="S268" s="113"/>
      <c r="T268" s="113"/>
      <c r="U268" s="113"/>
      <c r="V268" s="113"/>
      <c r="W268" s="113"/>
      <c r="X268" s="113"/>
      <c r="Y268" s="113"/>
      <c r="Z268" s="113"/>
      <c r="AA268" s="113"/>
      <c r="AB268" s="113"/>
      <c r="AC268" s="113"/>
      <c r="AD268" s="113"/>
      <c r="AE268" s="113"/>
      <c r="AF268" s="113"/>
      <c r="AG268" s="113"/>
    </row>
    <row r="269" spans="1:33" ht="13.8">
      <c r="A269" s="113"/>
      <c r="B269" s="113"/>
      <c r="C269" s="113"/>
      <c r="D269" s="113"/>
      <c r="E269" s="113"/>
      <c r="F269" s="113"/>
      <c r="G269" s="113"/>
      <c r="H269" s="113"/>
      <c r="I269" s="113"/>
      <c r="J269" s="113"/>
      <c r="K269" s="113"/>
      <c r="L269" s="113"/>
      <c r="M269" s="113"/>
      <c r="N269" s="113"/>
      <c r="O269" s="113"/>
      <c r="P269" s="113"/>
      <c r="Q269" s="113"/>
      <c r="R269" s="113"/>
      <c r="S269" s="113"/>
      <c r="T269" s="113"/>
      <c r="U269" s="113"/>
      <c r="V269" s="113"/>
      <c r="W269" s="113"/>
      <c r="X269" s="113"/>
      <c r="Y269" s="113"/>
      <c r="Z269" s="113"/>
      <c r="AA269" s="113"/>
      <c r="AB269" s="113"/>
      <c r="AC269" s="113"/>
      <c r="AD269" s="113"/>
      <c r="AE269" s="113"/>
      <c r="AF269" s="113"/>
      <c r="AG269" s="113"/>
    </row>
    <row r="270" spans="1:33" ht="13.8">
      <c r="A270" s="113"/>
      <c r="B270" s="113"/>
      <c r="C270" s="113"/>
      <c r="D270" s="113"/>
      <c r="E270" s="113"/>
      <c r="F270" s="113"/>
      <c r="G270" s="113"/>
      <c r="H270" s="113"/>
      <c r="I270" s="113"/>
      <c r="J270" s="113"/>
      <c r="K270" s="113"/>
      <c r="L270" s="113"/>
      <c r="M270" s="113"/>
      <c r="N270" s="113"/>
      <c r="O270" s="113"/>
      <c r="P270" s="113"/>
      <c r="Q270" s="113"/>
      <c r="R270" s="113"/>
      <c r="S270" s="113"/>
      <c r="T270" s="113"/>
      <c r="U270" s="113"/>
      <c r="V270" s="113"/>
      <c r="W270" s="113"/>
      <c r="X270" s="113"/>
      <c r="Y270" s="113"/>
      <c r="Z270" s="113"/>
      <c r="AA270" s="113"/>
      <c r="AB270" s="113"/>
      <c r="AC270" s="113"/>
      <c r="AD270" s="113"/>
      <c r="AE270" s="113"/>
      <c r="AF270" s="113"/>
      <c r="AG270" s="113"/>
    </row>
    <row r="271" spans="1:33" ht="13.8">
      <c r="A271" s="113"/>
      <c r="B271" s="113"/>
      <c r="C271" s="113"/>
      <c r="D271" s="113"/>
      <c r="E271" s="113"/>
      <c r="F271" s="113"/>
      <c r="G271" s="113"/>
      <c r="H271" s="113"/>
      <c r="I271" s="113"/>
      <c r="J271" s="113"/>
      <c r="K271" s="113"/>
      <c r="L271" s="113"/>
      <c r="M271" s="113"/>
      <c r="N271" s="113"/>
      <c r="O271" s="113"/>
      <c r="P271" s="113"/>
      <c r="Q271" s="113"/>
      <c r="R271" s="113"/>
      <c r="S271" s="113"/>
      <c r="T271" s="113"/>
      <c r="U271" s="113"/>
      <c r="V271" s="113"/>
      <c r="W271" s="113"/>
      <c r="X271" s="113"/>
      <c r="Y271" s="113"/>
      <c r="Z271" s="113"/>
      <c r="AA271" s="113"/>
      <c r="AB271" s="113"/>
      <c r="AC271" s="113"/>
      <c r="AD271" s="113"/>
      <c r="AE271" s="113"/>
      <c r="AF271" s="113"/>
      <c r="AG271" s="113"/>
    </row>
    <row r="272" spans="1:33" ht="13.8">
      <c r="A272" s="113"/>
      <c r="B272" s="113"/>
      <c r="C272" s="113"/>
      <c r="D272" s="113"/>
      <c r="E272" s="113"/>
      <c r="F272" s="113"/>
      <c r="G272" s="113"/>
      <c r="H272" s="113"/>
      <c r="I272" s="113"/>
      <c r="J272" s="113"/>
      <c r="K272" s="113"/>
      <c r="L272" s="113"/>
      <c r="M272" s="113"/>
      <c r="N272" s="113"/>
      <c r="O272" s="113"/>
      <c r="P272" s="113"/>
      <c r="Q272" s="113"/>
      <c r="R272" s="113"/>
      <c r="S272" s="113"/>
      <c r="T272" s="113"/>
      <c r="U272" s="113"/>
      <c r="V272" s="113"/>
      <c r="W272" s="113"/>
      <c r="X272" s="113"/>
      <c r="Y272" s="113"/>
      <c r="Z272" s="113"/>
      <c r="AA272" s="113"/>
      <c r="AB272" s="113"/>
      <c r="AC272" s="113"/>
      <c r="AD272" s="113"/>
      <c r="AE272" s="113"/>
      <c r="AF272" s="113"/>
      <c r="AG272" s="113"/>
    </row>
    <row r="273" spans="1:33" ht="13.8">
      <c r="A273" s="113"/>
      <c r="B273" s="113"/>
      <c r="C273" s="113"/>
      <c r="D273" s="113"/>
      <c r="E273" s="113"/>
      <c r="F273" s="113"/>
      <c r="G273" s="113"/>
      <c r="H273" s="113"/>
      <c r="I273" s="113"/>
      <c r="J273" s="113"/>
      <c r="K273" s="113"/>
      <c r="L273" s="113"/>
      <c r="M273" s="113"/>
      <c r="N273" s="113"/>
      <c r="O273" s="113"/>
      <c r="P273" s="113"/>
      <c r="Q273" s="113"/>
      <c r="R273" s="113"/>
      <c r="S273" s="113"/>
      <c r="T273" s="113"/>
      <c r="U273" s="113"/>
      <c r="V273" s="113"/>
      <c r="W273" s="113"/>
      <c r="X273" s="113"/>
      <c r="Y273" s="113"/>
      <c r="Z273" s="113"/>
      <c r="AA273" s="113"/>
      <c r="AB273" s="113"/>
      <c r="AC273" s="113"/>
      <c r="AD273" s="113"/>
      <c r="AE273" s="113"/>
      <c r="AF273" s="113"/>
      <c r="AG273" s="113"/>
    </row>
    <row r="274" spans="1:33" ht="13.8">
      <c r="A274" s="113"/>
      <c r="B274" s="113"/>
      <c r="C274" s="113"/>
      <c r="D274" s="113"/>
      <c r="E274" s="113"/>
      <c r="F274" s="113"/>
      <c r="G274" s="113"/>
      <c r="H274" s="113"/>
      <c r="I274" s="113"/>
      <c r="J274" s="113"/>
      <c r="K274" s="113"/>
      <c r="L274" s="113"/>
      <c r="M274" s="113"/>
      <c r="N274" s="113"/>
      <c r="O274" s="113"/>
      <c r="P274" s="113"/>
      <c r="Q274" s="113"/>
      <c r="R274" s="113"/>
      <c r="S274" s="113"/>
      <c r="T274" s="113"/>
      <c r="U274" s="113"/>
      <c r="V274" s="113"/>
      <c r="W274" s="113"/>
      <c r="X274" s="113"/>
      <c r="Y274" s="113"/>
      <c r="Z274" s="113"/>
      <c r="AA274" s="113"/>
      <c r="AB274" s="113"/>
      <c r="AC274" s="113"/>
      <c r="AD274" s="113"/>
      <c r="AE274" s="113"/>
      <c r="AF274" s="113"/>
      <c r="AG274" s="113"/>
    </row>
    <row r="275" spans="1:33" ht="13.8">
      <c r="A275" s="113"/>
      <c r="B275" s="113"/>
      <c r="C275" s="113"/>
      <c r="D275" s="113"/>
      <c r="E275" s="113"/>
      <c r="F275" s="113"/>
      <c r="G275" s="113"/>
      <c r="H275" s="113"/>
      <c r="I275" s="113"/>
      <c r="J275" s="113"/>
      <c r="K275" s="113"/>
      <c r="L275" s="113"/>
      <c r="M275" s="113"/>
      <c r="N275" s="113"/>
      <c r="O275" s="113"/>
      <c r="P275" s="113"/>
      <c r="Q275" s="113"/>
      <c r="R275" s="113"/>
      <c r="S275" s="113"/>
      <c r="T275" s="113"/>
      <c r="U275" s="113"/>
      <c r="V275" s="113"/>
      <c r="W275" s="113"/>
      <c r="X275" s="113"/>
      <c r="Y275" s="113"/>
      <c r="Z275" s="113"/>
      <c r="AA275" s="113"/>
      <c r="AB275" s="113"/>
      <c r="AC275" s="113"/>
      <c r="AD275" s="113"/>
      <c r="AE275" s="113"/>
      <c r="AF275" s="113"/>
      <c r="AG275" s="113"/>
    </row>
    <row r="276" spans="1:33" ht="13.8">
      <c r="A276" s="113"/>
      <c r="B276" s="113"/>
      <c r="C276" s="113"/>
      <c r="D276" s="113"/>
      <c r="E276" s="113"/>
      <c r="F276" s="113"/>
      <c r="G276" s="113"/>
      <c r="H276" s="113"/>
      <c r="I276" s="113"/>
      <c r="J276" s="113"/>
      <c r="K276" s="113"/>
      <c r="L276" s="113"/>
      <c r="M276" s="113"/>
      <c r="N276" s="113"/>
      <c r="O276" s="113"/>
      <c r="P276" s="113"/>
      <c r="Q276" s="113"/>
      <c r="R276" s="113"/>
      <c r="S276" s="113"/>
      <c r="T276" s="113"/>
      <c r="U276" s="113"/>
      <c r="V276" s="113"/>
      <c r="W276" s="113"/>
      <c r="X276" s="113"/>
      <c r="Y276" s="113"/>
      <c r="Z276" s="113"/>
      <c r="AA276" s="113"/>
      <c r="AB276" s="113"/>
      <c r="AC276" s="113"/>
      <c r="AD276" s="113"/>
      <c r="AE276" s="113"/>
      <c r="AF276" s="113"/>
      <c r="AG276" s="113"/>
    </row>
    <row r="277" spans="1:33" ht="13.8">
      <c r="A277" s="113"/>
      <c r="B277" s="113"/>
      <c r="C277" s="113"/>
      <c r="D277" s="113"/>
      <c r="E277" s="113"/>
      <c r="F277" s="113"/>
      <c r="G277" s="113"/>
      <c r="H277" s="113"/>
      <c r="I277" s="113"/>
      <c r="J277" s="113"/>
      <c r="K277" s="113"/>
      <c r="L277" s="113"/>
      <c r="M277" s="113"/>
      <c r="N277" s="113"/>
      <c r="O277" s="113"/>
      <c r="P277" s="113"/>
      <c r="Q277" s="113"/>
      <c r="R277" s="113"/>
      <c r="S277" s="113"/>
      <c r="T277" s="113"/>
      <c r="U277" s="113"/>
      <c r="V277" s="113"/>
      <c r="W277" s="113"/>
      <c r="X277" s="113"/>
      <c r="Y277" s="113"/>
      <c r="Z277" s="113"/>
      <c r="AA277" s="113"/>
      <c r="AB277" s="113"/>
      <c r="AC277" s="113"/>
      <c r="AD277" s="113"/>
      <c r="AE277" s="113"/>
      <c r="AF277" s="113"/>
      <c r="AG277" s="113"/>
    </row>
    <row r="278" spans="1:33" ht="13.8">
      <c r="A278" s="113"/>
      <c r="B278" s="113"/>
      <c r="C278" s="113"/>
      <c r="D278" s="113"/>
      <c r="E278" s="113"/>
      <c r="F278" s="113"/>
      <c r="G278" s="113"/>
      <c r="H278" s="113"/>
      <c r="I278" s="113"/>
      <c r="J278" s="113"/>
      <c r="K278" s="113"/>
      <c r="L278" s="113"/>
      <c r="M278" s="113"/>
      <c r="N278" s="113"/>
      <c r="O278" s="113"/>
      <c r="P278" s="113"/>
      <c r="Q278" s="113"/>
      <c r="R278" s="113"/>
      <c r="S278" s="113"/>
      <c r="T278" s="113"/>
      <c r="U278" s="113"/>
      <c r="V278" s="113"/>
      <c r="W278" s="113"/>
      <c r="X278" s="113"/>
      <c r="Y278" s="113"/>
      <c r="Z278" s="113"/>
      <c r="AA278" s="113"/>
      <c r="AB278" s="113"/>
      <c r="AC278" s="113"/>
      <c r="AD278" s="113"/>
      <c r="AE278" s="113"/>
      <c r="AF278" s="113"/>
      <c r="AG278" s="113"/>
    </row>
    <row r="279" spans="1:33" ht="13.8">
      <c r="A279" s="113"/>
      <c r="B279" s="113"/>
      <c r="C279" s="113"/>
      <c r="D279" s="113"/>
      <c r="E279" s="113"/>
      <c r="F279" s="113"/>
      <c r="G279" s="113"/>
      <c r="H279" s="113"/>
      <c r="I279" s="113"/>
      <c r="J279" s="113"/>
      <c r="K279" s="113"/>
      <c r="L279" s="113"/>
      <c r="M279" s="113"/>
      <c r="N279" s="113"/>
      <c r="O279" s="113"/>
      <c r="P279" s="113"/>
      <c r="Q279" s="113"/>
      <c r="R279" s="113"/>
      <c r="S279" s="113"/>
      <c r="T279" s="113"/>
      <c r="U279" s="113"/>
      <c r="V279" s="113"/>
      <c r="W279" s="113"/>
      <c r="X279" s="113"/>
      <c r="Y279" s="113"/>
      <c r="Z279" s="113"/>
      <c r="AA279" s="113"/>
      <c r="AB279" s="113"/>
      <c r="AC279" s="113"/>
      <c r="AD279" s="113"/>
      <c r="AE279" s="113"/>
      <c r="AF279" s="113"/>
      <c r="AG279" s="113"/>
    </row>
    <row r="280" spans="1:33" ht="13.8">
      <c r="A280" s="113"/>
      <c r="B280" s="113"/>
      <c r="C280" s="113"/>
      <c r="D280" s="113"/>
      <c r="E280" s="113"/>
      <c r="F280" s="113"/>
      <c r="G280" s="113"/>
      <c r="H280" s="113"/>
      <c r="I280" s="113"/>
      <c r="J280" s="113"/>
      <c r="K280" s="113"/>
      <c r="L280" s="113"/>
      <c r="M280" s="113"/>
      <c r="N280" s="113"/>
      <c r="O280" s="113"/>
      <c r="P280" s="113"/>
      <c r="Q280" s="113"/>
      <c r="R280" s="113"/>
      <c r="S280" s="113"/>
      <c r="T280" s="113"/>
      <c r="U280" s="113"/>
      <c r="V280" s="113"/>
      <c r="W280" s="113"/>
      <c r="X280" s="113"/>
      <c r="Y280" s="113"/>
      <c r="Z280" s="113"/>
      <c r="AA280" s="113"/>
      <c r="AB280" s="113"/>
      <c r="AC280" s="113"/>
      <c r="AD280" s="113"/>
      <c r="AE280" s="113"/>
      <c r="AF280" s="113"/>
      <c r="AG280" s="113"/>
    </row>
    <row r="281" spans="1:33" ht="13.8">
      <c r="A281" s="113"/>
      <c r="B281" s="113"/>
      <c r="C281" s="113"/>
      <c r="D281" s="113"/>
      <c r="E281" s="113"/>
      <c r="F281" s="113"/>
      <c r="G281" s="113"/>
      <c r="H281" s="113"/>
      <c r="I281" s="113"/>
      <c r="J281" s="113"/>
      <c r="K281" s="113"/>
      <c r="L281" s="113"/>
      <c r="M281" s="113"/>
      <c r="N281" s="113"/>
      <c r="O281" s="113"/>
      <c r="P281" s="113"/>
      <c r="Q281" s="113"/>
      <c r="R281" s="113"/>
      <c r="S281" s="113"/>
      <c r="T281" s="113"/>
      <c r="U281" s="113"/>
      <c r="V281" s="113"/>
      <c r="W281" s="113"/>
      <c r="X281" s="113"/>
      <c r="Y281" s="113"/>
      <c r="Z281" s="113"/>
      <c r="AA281" s="113"/>
      <c r="AB281" s="113"/>
      <c r="AC281" s="113"/>
      <c r="AD281" s="113"/>
      <c r="AE281" s="113"/>
      <c r="AF281" s="113"/>
      <c r="AG281" s="113"/>
    </row>
    <row r="282" spans="1:33" ht="13.8">
      <c r="A282" s="113"/>
      <c r="B282" s="113"/>
      <c r="C282" s="113"/>
      <c r="D282" s="113"/>
      <c r="E282" s="113"/>
      <c r="F282" s="113"/>
      <c r="G282" s="113"/>
      <c r="H282" s="113"/>
      <c r="I282" s="113"/>
      <c r="J282" s="113"/>
      <c r="K282" s="113"/>
      <c r="L282" s="113"/>
      <c r="M282" s="113"/>
      <c r="N282" s="113"/>
      <c r="O282" s="113"/>
      <c r="P282" s="113"/>
      <c r="Q282" s="113"/>
      <c r="R282" s="113"/>
      <c r="S282" s="113"/>
      <c r="T282" s="113"/>
      <c r="U282" s="113"/>
      <c r="V282" s="113"/>
      <c r="W282" s="113"/>
      <c r="X282" s="113"/>
      <c r="Y282" s="113"/>
      <c r="Z282" s="113"/>
      <c r="AA282" s="113"/>
      <c r="AB282" s="113"/>
      <c r="AC282" s="113"/>
      <c r="AD282" s="113"/>
      <c r="AE282" s="113"/>
      <c r="AF282" s="113"/>
      <c r="AG282" s="113"/>
    </row>
    <row r="283" spans="1:33" ht="13.8">
      <c r="A283" s="113"/>
      <c r="B283" s="113"/>
      <c r="C283" s="113"/>
      <c r="D283" s="113"/>
      <c r="E283" s="113"/>
      <c r="F283" s="113"/>
      <c r="G283" s="113"/>
      <c r="H283" s="113"/>
      <c r="I283" s="113"/>
      <c r="J283" s="113"/>
      <c r="K283" s="113"/>
      <c r="L283" s="113"/>
      <c r="M283" s="113"/>
      <c r="N283" s="113"/>
      <c r="O283" s="113"/>
      <c r="P283" s="113"/>
      <c r="Q283" s="113"/>
      <c r="R283" s="113"/>
      <c r="S283" s="113"/>
      <c r="T283" s="113"/>
      <c r="U283" s="113"/>
      <c r="V283" s="113"/>
      <c r="W283" s="113"/>
      <c r="X283" s="113"/>
      <c r="Y283" s="113"/>
      <c r="Z283" s="113"/>
      <c r="AA283" s="113"/>
      <c r="AB283" s="113"/>
      <c r="AC283" s="113"/>
      <c r="AD283" s="113"/>
      <c r="AE283" s="113"/>
      <c r="AF283" s="113"/>
      <c r="AG283" s="113"/>
    </row>
    <row r="284" spans="1:33" ht="13.8">
      <c r="A284" s="113"/>
      <c r="B284" s="113"/>
      <c r="C284" s="113"/>
      <c r="D284" s="113"/>
      <c r="E284" s="113"/>
      <c r="F284" s="113"/>
      <c r="G284" s="113"/>
      <c r="H284" s="113"/>
      <c r="I284" s="113"/>
      <c r="J284" s="113"/>
      <c r="K284" s="113"/>
      <c r="L284" s="113"/>
      <c r="M284" s="113"/>
      <c r="N284" s="113"/>
      <c r="O284" s="113"/>
      <c r="P284" s="113"/>
      <c r="Q284" s="113"/>
      <c r="R284" s="113"/>
      <c r="S284" s="113"/>
      <c r="T284" s="113"/>
      <c r="U284" s="113"/>
      <c r="V284" s="113"/>
      <c r="W284" s="113"/>
      <c r="X284" s="113"/>
      <c r="Y284" s="113"/>
      <c r="Z284" s="113"/>
      <c r="AA284" s="113"/>
      <c r="AB284" s="113"/>
      <c r="AC284" s="113"/>
      <c r="AD284" s="113"/>
      <c r="AE284" s="113"/>
      <c r="AF284" s="113"/>
      <c r="AG284" s="113"/>
    </row>
    <row r="285" spans="1:33" ht="13.8">
      <c r="A285" s="113"/>
      <c r="B285" s="113"/>
      <c r="C285" s="113"/>
      <c r="D285" s="113"/>
      <c r="E285" s="113"/>
      <c r="F285" s="113"/>
      <c r="G285" s="113"/>
      <c r="H285" s="113"/>
      <c r="I285" s="113"/>
      <c r="J285" s="113"/>
      <c r="K285" s="113"/>
      <c r="L285" s="113"/>
      <c r="M285" s="113"/>
      <c r="N285" s="113"/>
      <c r="O285" s="113"/>
      <c r="P285" s="113"/>
      <c r="Q285" s="113"/>
      <c r="R285" s="113"/>
      <c r="S285" s="113"/>
      <c r="T285" s="113"/>
      <c r="U285" s="113"/>
      <c r="V285" s="113"/>
      <c r="W285" s="113"/>
      <c r="X285" s="113"/>
      <c r="Y285" s="113"/>
      <c r="Z285" s="113"/>
      <c r="AA285" s="113"/>
      <c r="AB285" s="113"/>
      <c r="AC285" s="113"/>
      <c r="AD285" s="113"/>
      <c r="AE285" s="113"/>
      <c r="AF285" s="113"/>
      <c r="AG285" s="113"/>
    </row>
    <row r="286" spans="1:33" ht="13.8">
      <c r="A286" s="113"/>
      <c r="B286" s="113"/>
      <c r="C286" s="113"/>
      <c r="D286" s="113"/>
      <c r="E286" s="113"/>
      <c r="F286" s="113"/>
      <c r="G286" s="113"/>
      <c r="H286" s="113"/>
      <c r="I286" s="113"/>
      <c r="J286" s="113"/>
      <c r="K286" s="113"/>
      <c r="L286" s="113"/>
      <c r="M286" s="113"/>
      <c r="N286" s="113"/>
      <c r="O286" s="113"/>
      <c r="P286" s="113"/>
      <c r="Q286" s="113"/>
      <c r="R286" s="113"/>
      <c r="S286" s="113"/>
      <c r="T286" s="113"/>
      <c r="U286" s="113"/>
      <c r="V286" s="113"/>
      <c r="W286" s="113"/>
      <c r="X286" s="113"/>
      <c r="Y286" s="113"/>
      <c r="Z286" s="113"/>
      <c r="AA286" s="113"/>
      <c r="AB286" s="113"/>
      <c r="AC286" s="113"/>
      <c r="AD286" s="113"/>
      <c r="AE286" s="113"/>
      <c r="AF286" s="113"/>
      <c r="AG286" s="113"/>
    </row>
    <row r="287" spans="1:33" ht="13.8">
      <c r="A287" s="113"/>
      <c r="B287" s="113"/>
      <c r="C287" s="113"/>
      <c r="D287" s="113"/>
      <c r="E287" s="113"/>
      <c r="F287" s="113"/>
      <c r="G287" s="113"/>
      <c r="H287" s="113"/>
      <c r="I287" s="113"/>
      <c r="J287" s="113"/>
      <c r="K287" s="113"/>
      <c r="L287" s="113"/>
      <c r="M287" s="113"/>
      <c r="N287" s="113"/>
      <c r="O287" s="113"/>
      <c r="P287" s="113"/>
      <c r="Q287" s="113"/>
      <c r="R287" s="113"/>
      <c r="S287" s="113"/>
      <c r="T287" s="113"/>
      <c r="U287" s="113"/>
      <c r="V287" s="113"/>
      <c r="W287" s="113"/>
      <c r="X287" s="113"/>
      <c r="Y287" s="113"/>
      <c r="Z287" s="113"/>
      <c r="AA287" s="113"/>
      <c r="AB287" s="113"/>
      <c r="AC287" s="113"/>
      <c r="AD287" s="113"/>
      <c r="AE287" s="113"/>
      <c r="AF287" s="113"/>
      <c r="AG287" s="113"/>
    </row>
    <row r="288" spans="1:33" ht="13.8">
      <c r="A288" s="113"/>
      <c r="B288" s="113"/>
      <c r="C288" s="113"/>
      <c r="D288" s="113"/>
      <c r="E288" s="113"/>
      <c r="F288" s="113"/>
      <c r="G288" s="113"/>
      <c r="H288" s="113"/>
      <c r="I288" s="113"/>
      <c r="J288" s="113"/>
      <c r="K288" s="113"/>
      <c r="L288" s="113"/>
      <c r="M288" s="113"/>
      <c r="N288" s="113"/>
      <c r="O288" s="113"/>
      <c r="P288" s="113"/>
      <c r="Q288" s="113"/>
      <c r="R288" s="113"/>
      <c r="S288" s="113"/>
      <c r="T288" s="113"/>
      <c r="U288" s="113"/>
      <c r="V288" s="113"/>
      <c r="W288" s="113"/>
      <c r="X288" s="113"/>
      <c r="Y288" s="113"/>
      <c r="Z288" s="113"/>
      <c r="AA288" s="113"/>
      <c r="AB288" s="113"/>
      <c r="AC288" s="113"/>
      <c r="AD288" s="113"/>
      <c r="AE288" s="113"/>
      <c r="AF288" s="113"/>
      <c r="AG288" s="113"/>
    </row>
    <row r="289" spans="1:33" ht="13.8">
      <c r="A289" s="113"/>
      <c r="B289" s="113"/>
      <c r="C289" s="113"/>
      <c r="D289" s="113"/>
      <c r="E289" s="113"/>
      <c r="F289" s="113"/>
      <c r="G289" s="113"/>
      <c r="H289" s="113"/>
      <c r="I289" s="113"/>
      <c r="J289" s="113"/>
      <c r="K289" s="113"/>
      <c r="L289" s="113"/>
      <c r="M289" s="113"/>
      <c r="N289" s="113"/>
      <c r="O289" s="113"/>
      <c r="P289" s="113"/>
      <c r="Q289" s="113"/>
      <c r="R289" s="113"/>
      <c r="S289" s="113"/>
      <c r="T289" s="113"/>
      <c r="U289" s="113"/>
      <c r="V289" s="113"/>
      <c r="W289" s="113"/>
      <c r="X289" s="113"/>
      <c r="Y289" s="113"/>
      <c r="Z289" s="113"/>
      <c r="AA289" s="113"/>
      <c r="AB289" s="113"/>
      <c r="AC289" s="113"/>
      <c r="AD289" s="113"/>
      <c r="AE289" s="113"/>
      <c r="AF289" s="113"/>
      <c r="AG289" s="113"/>
    </row>
    <row r="290" spans="1:33" ht="13.8">
      <c r="A290" s="113"/>
      <c r="B290" s="113"/>
      <c r="C290" s="113"/>
      <c r="D290" s="113"/>
      <c r="E290" s="113"/>
      <c r="F290" s="113"/>
      <c r="G290" s="113"/>
      <c r="H290" s="113"/>
      <c r="I290" s="113"/>
      <c r="J290" s="113"/>
      <c r="K290" s="113"/>
      <c r="L290" s="113"/>
      <c r="M290" s="113"/>
      <c r="N290" s="113"/>
      <c r="O290" s="113"/>
      <c r="P290" s="113"/>
      <c r="Q290" s="113"/>
      <c r="R290" s="113"/>
      <c r="S290" s="113"/>
      <c r="T290" s="113"/>
      <c r="U290" s="113"/>
      <c r="V290" s="113"/>
      <c r="W290" s="113"/>
      <c r="X290" s="113"/>
      <c r="Y290" s="113"/>
      <c r="Z290" s="113"/>
      <c r="AA290" s="113"/>
      <c r="AB290" s="113"/>
      <c r="AC290" s="113"/>
      <c r="AD290" s="113"/>
      <c r="AE290" s="113"/>
      <c r="AF290" s="113"/>
      <c r="AG290" s="113"/>
    </row>
    <row r="291" spans="1:33" ht="13.8">
      <c r="A291" s="113"/>
      <c r="B291" s="113"/>
      <c r="C291" s="113"/>
      <c r="D291" s="113"/>
      <c r="E291" s="113"/>
      <c r="F291" s="113"/>
      <c r="G291" s="113"/>
      <c r="H291" s="113"/>
      <c r="I291" s="113"/>
      <c r="J291" s="113"/>
      <c r="K291" s="113"/>
      <c r="L291" s="113"/>
      <c r="M291" s="113"/>
      <c r="N291" s="113"/>
      <c r="O291" s="113"/>
      <c r="P291" s="113"/>
      <c r="Q291" s="113"/>
      <c r="R291" s="113"/>
      <c r="S291" s="113"/>
      <c r="T291" s="113"/>
      <c r="U291" s="113"/>
      <c r="V291" s="113"/>
      <c r="W291" s="113"/>
      <c r="X291" s="113"/>
      <c r="Y291" s="113"/>
      <c r="Z291" s="113"/>
      <c r="AA291" s="113"/>
      <c r="AB291" s="113"/>
      <c r="AC291" s="113"/>
      <c r="AD291" s="113"/>
      <c r="AE291" s="113"/>
      <c r="AF291" s="113"/>
      <c r="AG291" s="113"/>
    </row>
    <row r="292" spans="1:33" ht="13.8">
      <c r="A292" s="113"/>
      <c r="B292" s="113"/>
      <c r="C292" s="113"/>
      <c r="D292" s="113"/>
      <c r="E292" s="113"/>
      <c r="F292" s="113"/>
      <c r="G292" s="113"/>
      <c r="H292" s="113"/>
      <c r="I292" s="113"/>
      <c r="J292" s="113"/>
      <c r="K292" s="113"/>
      <c r="L292" s="113"/>
      <c r="M292" s="113"/>
      <c r="N292" s="113"/>
      <c r="O292" s="113"/>
      <c r="P292" s="113"/>
      <c r="Q292" s="113"/>
      <c r="R292" s="113"/>
      <c r="S292" s="113"/>
      <c r="T292" s="113"/>
      <c r="U292" s="113"/>
      <c r="V292" s="113"/>
      <c r="W292" s="113"/>
      <c r="X292" s="113"/>
      <c r="Y292" s="113"/>
      <c r="Z292" s="113"/>
      <c r="AA292" s="113"/>
      <c r="AB292" s="113"/>
      <c r="AC292" s="113"/>
      <c r="AD292" s="113"/>
      <c r="AE292" s="113"/>
      <c r="AF292" s="113"/>
      <c r="AG292" s="113"/>
    </row>
    <row r="293" spans="1:33" ht="13.8">
      <c r="A293" s="113"/>
      <c r="B293" s="113"/>
      <c r="C293" s="113"/>
      <c r="D293" s="113"/>
      <c r="E293" s="113"/>
      <c r="F293" s="113"/>
      <c r="G293" s="113"/>
      <c r="H293" s="113"/>
      <c r="I293" s="113"/>
      <c r="J293" s="113"/>
      <c r="K293" s="113"/>
      <c r="L293" s="113"/>
      <c r="M293" s="113"/>
      <c r="N293" s="113"/>
      <c r="O293" s="113"/>
      <c r="P293" s="113"/>
      <c r="Q293" s="113"/>
      <c r="R293" s="113"/>
      <c r="S293" s="113"/>
      <c r="T293" s="113"/>
      <c r="U293" s="113"/>
      <c r="V293" s="113"/>
      <c r="W293" s="113"/>
      <c r="X293" s="113"/>
      <c r="Y293" s="113"/>
      <c r="Z293" s="113"/>
      <c r="AA293" s="113"/>
      <c r="AB293" s="113"/>
      <c r="AC293" s="113"/>
      <c r="AD293" s="113"/>
      <c r="AE293" s="113"/>
      <c r="AF293" s="113"/>
      <c r="AG293" s="113"/>
    </row>
    <row r="294" spans="1:33" ht="13.8">
      <c r="A294" s="113"/>
      <c r="B294" s="113"/>
      <c r="C294" s="113"/>
      <c r="D294" s="113"/>
      <c r="E294" s="113"/>
      <c r="F294" s="113"/>
      <c r="G294" s="113"/>
      <c r="H294" s="113"/>
      <c r="I294" s="113"/>
      <c r="J294" s="113"/>
      <c r="K294" s="113"/>
      <c r="L294" s="113"/>
      <c r="M294" s="113"/>
      <c r="N294" s="113"/>
      <c r="O294" s="113"/>
      <c r="P294" s="113"/>
      <c r="Q294" s="113"/>
      <c r="R294" s="113"/>
      <c r="S294" s="113"/>
      <c r="T294" s="113"/>
      <c r="U294" s="113"/>
      <c r="V294" s="113"/>
      <c r="W294" s="113"/>
      <c r="X294" s="113"/>
      <c r="Y294" s="113"/>
      <c r="Z294" s="113"/>
      <c r="AA294" s="113"/>
      <c r="AB294" s="113"/>
      <c r="AC294" s="113"/>
      <c r="AD294" s="113"/>
      <c r="AE294" s="113"/>
      <c r="AF294" s="113"/>
      <c r="AG294" s="113"/>
    </row>
    <row r="295" spans="1:33" ht="13.8">
      <c r="A295" s="113"/>
      <c r="B295" s="113"/>
      <c r="C295" s="113"/>
      <c r="D295" s="113"/>
      <c r="E295" s="113"/>
      <c r="F295" s="113"/>
      <c r="G295" s="113"/>
      <c r="H295" s="113"/>
      <c r="I295" s="113"/>
      <c r="J295" s="113"/>
      <c r="K295" s="113"/>
      <c r="L295" s="113"/>
      <c r="M295" s="113"/>
      <c r="N295" s="113"/>
      <c r="O295" s="113"/>
      <c r="P295" s="113"/>
      <c r="Q295" s="113"/>
      <c r="R295" s="113"/>
      <c r="S295" s="113"/>
      <c r="T295" s="113"/>
      <c r="U295" s="113"/>
      <c r="V295" s="113"/>
      <c r="W295" s="113"/>
      <c r="X295" s="113"/>
      <c r="Y295" s="113"/>
      <c r="Z295" s="113"/>
      <c r="AA295" s="113"/>
      <c r="AB295" s="113"/>
      <c r="AC295" s="113"/>
      <c r="AD295" s="113"/>
      <c r="AE295" s="113"/>
      <c r="AF295" s="113"/>
      <c r="AG295" s="113"/>
    </row>
    <row r="296" spans="1:33" ht="13.8">
      <c r="A296" s="113"/>
      <c r="B296" s="113"/>
      <c r="C296" s="113"/>
      <c r="D296" s="113"/>
      <c r="E296" s="113"/>
      <c r="F296" s="113"/>
      <c r="G296" s="113"/>
      <c r="H296" s="113"/>
      <c r="I296" s="113"/>
      <c r="J296" s="113"/>
      <c r="K296" s="113"/>
      <c r="L296" s="113"/>
      <c r="M296" s="113"/>
      <c r="N296" s="113"/>
      <c r="O296" s="113"/>
      <c r="P296" s="113"/>
      <c r="Q296" s="113"/>
      <c r="R296" s="113"/>
      <c r="S296" s="113"/>
      <c r="T296" s="113"/>
      <c r="U296" s="113"/>
      <c r="V296" s="113"/>
      <c r="W296" s="113"/>
      <c r="X296" s="113"/>
      <c r="Y296" s="113"/>
      <c r="Z296" s="113"/>
      <c r="AA296" s="113"/>
      <c r="AB296" s="113"/>
      <c r="AC296" s="113"/>
      <c r="AD296" s="113"/>
      <c r="AE296" s="113"/>
      <c r="AF296" s="113"/>
      <c r="AG296" s="113"/>
    </row>
    <row r="297" spans="1:33" ht="13.8">
      <c r="A297" s="113"/>
      <c r="B297" s="113"/>
      <c r="C297" s="113"/>
      <c r="D297" s="113"/>
      <c r="E297" s="113"/>
      <c r="F297" s="113"/>
      <c r="G297" s="113"/>
      <c r="H297" s="113"/>
      <c r="I297" s="113"/>
      <c r="J297" s="113"/>
      <c r="K297" s="113"/>
      <c r="L297" s="113"/>
      <c r="M297" s="113"/>
      <c r="N297" s="113"/>
      <c r="O297" s="113"/>
      <c r="P297" s="113"/>
      <c r="Q297" s="113"/>
      <c r="R297" s="113"/>
      <c r="S297" s="113"/>
      <c r="T297" s="113"/>
      <c r="U297" s="113"/>
      <c r="V297" s="113"/>
      <c r="W297" s="113"/>
      <c r="X297" s="113"/>
      <c r="Y297" s="113"/>
      <c r="Z297" s="113"/>
      <c r="AA297" s="113"/>
      <c r="AB297" s="113"/>
      <c r="AC297" s="113"/>
      <c r="AD297" s="113"/>
      <c r="AE297" s="113"/>
      <c r="AF297" s="113"/>
      <c r="AG297" s="113"/>
    </row>
    <row r="298" spans="1:33" ht="13.8">
      <c r="A298" s="113"/>
      <c r="B298" s="113"/>
      <c r="C298" s="113"/>
      <c r="D298" s="113"/>
      <c r="E298" s="113"/>
      <c r="F298" s="113"/>
      <c r="G298" s="113"/>
      <c r="H298" s="113"/>
      <c r="I298" s="113"/>
      <c r="J298" s="113"/>
      <c r="K298" s="113"/>
      <c r="L298" s="113"/>
      <c r="M298" s="113"/>
      <c r="N298" s="113"/>
      <c r="O298" s="113"/>
      <c r="P298" s="113"/>
      <c r="Q298" s="113"/>
      <c r="R298" s="113"/>
      <c r="S298" s="113"/>
      <c r="T298" s="113"/>
      <c r="U298" s="113"/>
      <c r="V298" s="113"/>
      <c r="W298" s="113"/>
      <c r="X298" s="113"/>
      <c r="Y298" s="113"/>
      <c r="Z298" s="113"/>
      <c r="AA298" s="113"/>
      <c r="AB298" s="113"/>
      <c r="AC298" s="113"/>
      <c r="AD298" s="113"/>
      <c r="AE298" s="113"/>
      <c r="AF298" s="113"/>
      <c r="AG298" s="113"/>
    </row>
    <row r="299" spans="1:33" ht="13.8">
      <c r="A299" s="113"/>
      <c r="B299" s="113"/>
      <c r="C299" s="113"/>
      <c r="D299" s="113"/>
      <c r="E299" s="113"/>
      <c r="F299" s="113"/>
      <c r="G299" s="113"/>
      <c r="H299" s="113"/>
      <c r="I299" s="113"/>
      <c r="J299" s="113"/>
      <c r="K299" s="113"/>
      <c r="L299" s="113"/>
      <c r="M299" s="113"/>
      <c r="N299" s="113"/>
      <c r="O299" s="113"/>
      <c r="P299" s="113"/>
      <c r="Q299" s="113"/>
      <c r="R299" s="113"/>
      <c r="S299" s="113"/>
      <c r="T299" s="113"/>
      <c r="U299" s="113"/>
      <c r="V299" s="113"/>
      <c r="W299" s="113"/>
      <c r="X299" s="113"/>
      <c r="Y299" s="113"/>
      <c r="Z299" s="113"/>
      <c r="AA299" s="113"/>
      <c r="AB299" s="113"/>
      <c r="AC299" s="113"/>
      <c r="AD299" s="113"/>
      <c r="AE299" s="113"/>
      <c r="AF299" s="113"/>
      <c r="AG299" s="113"/>
    </row>
    <row r="300" spans="1:33" ht="13.8">
      <c r="A300" s="113"/>
      <c r="B300" s="113"/>
      <c r="C300" s="113"/>
      <c r="D300" s="113"/>
      <c r="E300" s="113"/>
      <c r="F300" s="113"/>
      <c r="G300" s="113"/>
      <c r="H300" s="113"/>
      <c r="I300" s="113"/>
      <c r="J300" s="113"/>
      <c r="K300" s="113"/>
      <c r="L300" s="113"/>
      <c r="M300" s="113"/>
      <c r="N300" s="113"/>
      <c r="O300" s="113"/>
      <c r="P300" s="113"/>
      <c r="Q300" s="113"/>
      <c r="R300" s="113"/>
      <c r="S300" s="113"/>
      <c r="T300" s="113"/>
      <c r="U300" s="113"/>
      <c r="V300" s="113"/>
      <c r="W300" s="113"/>
      <c r="X300" s="113"/>
      <c r="Y300" s="113"/>
      <c r="Z300" s="113"/>
      <c r="AA300" s="113"/>
      <c r="AB300" s="113"/>
      <c r="AC300" s="113"/>
      <c r="AD300" s="113"/>
      <c r="AE300" s="113"/>
      <c r="AF300" s="113"/>
      <c r="AG300" s="113"/>
    </row>
    <row r="301" spans="1:33" ht="13.8">
      <c r="A301" s="113"/>
      <c r="B301" s="113"/>
      <c r="C301" s="113"/>
      <c r="D301" s="113"/>
      <c r="E301" s="113"/>
      <c r="F301" s="113"/>
      <c r="G301" s="113"/>
      <c r="H301" s="113"/>
      <c r="I301" s="113"/>
      <c r="J301" s="113"/>
      <c r="K301" s="113"/>
      <c r="L301" s="113"/>
      <c r="M301" s="113"/>
      <c r="N301" s="113"/>
      <c r="O301" s="113"/>
      <c r="P301" s="113"/>
      <c r="Q301" s="113"/>
      <c r="R301" s="113"/>
      <c r="S301" s="113"/>
      <c r="T301" s="113"/>
      <c r="U301" s="113"/>
      <c r="V301" s="113"/>
      <c r="W301" s="113"/>
      <c r="X301" s="113"/>
      <c r="Y301" s="113"/>
      <c r="Z301" s="113"/>
      <c r="AA301" s="113"/>
      <c r="AB301" s="113"/>
      <c r="AC301" s="113"/>
      <c r="AD301" s="113"/>
      <c r="AE301" s="113"/>
      <c r="AF301" s="113"/>
      <c r="AG301" s="113"/>
    </row>
    <row r="302" spans="1:33" ht="13.8">
      <c r="A302" s="113"/>
      <c r="B302" s="113"/>
      <c r="C302" s="113"/>
      <c r="D302" s="113"/>
      <c r="E302" s="113"/>
      <c r="F302" s="113"/>
      <c r="G302" s="113"/>
      <c r="H302" s="113"/>
      <c r="I302" s="113"/>
      <c r="J302" s="113"/>
      <c r="K302" s="113"/>
      <c r="L302" s="113"/>
      <c r="M302" s="113"/>
      <c r="N302" s="113"/>
      <c r="O302" s="113"/>
      <c r="P302" s="113"/>
      <c r="Q302" s="113"/>
      <c r="R302" s="113"/>
      <c r="S302" s="113"/>
      <c r="T302" s="113"/>
      <c r="U302" s="113"/>
      <c r="V302" s="113"/>
      <c r="W302" s="113"/>
      <c r="X302" s="113"/>
      <c r="Y302" s="113"/>
      <c r="Z302" s="113"/>
      <c r="AA302" s="113"/>
      <c r="AB302" s="113"/>
      <c r="AC302" s="113"/>
      <c r="AD302" s="113"/>
      <c r="AE302" s="113"/>
      <c r="AF302" s="113"/>
      <c r="AG302" s="113"/>
    </row>
    <row r="303" spans="1:33" ht="13.8">
      <c r="A303" s="113"/>
      <c r="B303" s="113"/>
      <c r="C303" s="113"/>
      <c r="D303" s="113"/>
      <c r="E303" s="113"/>
      <c r="F303" s="113"/>
      <c r="G303" s="113"/>
      <c r="H303" s="113"/>
      <c r="I303" s="113"/>
      <c r="J303" s="113"/>
      <c r="K303" s="113"/>
      <c r="L303" s="113"/>
      <c r="M303" s="113"/>
      <c r="N303" s="113"/>
      <c r="O303" s="113"/>
      <c r="P303" s="113"/>
      <c r="Q303" s="113"/>
      <c r="R303" s="113"/>
      <c r="S303" s="113"/>
      <c r="T303" s="113"/>
      <c r="U303" s="113"/>
      <c r="V303" s="113"/>
      <c r="W303" s="113"/>
      <c r="X303" s="113"/>
      <c r="Y303" s="113"/>
      <c r="Z303" s="113"/>
      <c r="AA303" s="113"/>
      <c r="AB303" s="113"/>
      <c r="AC303" s="113"/>
      <c r="AD303" s="113"/>
      <c r="AE303" s="113"/>
      <c r="AF303" s="113"/>
      <c r="AG303" s="113"/>
    </row>
    <row r="304" spans="1:33" ht="13.8">
      <c r="A304" s="113"/>
      <c r="B304" s="113"/>
      <c r="C304" s="113"/>
      <c r="D304" s="113"/>
      <c r="E304" s="113"/>
      <c r="F304" s="113"/>
      <c r="G304" s="113"/>
      <c r="H304" s="113"/>
      <c r="I304" s="113"/>
      <c r="J304" s="113"/>
      <c r="K304" s="113"/>
      <c r="L304" s="113"/>
      <c r="M304" s="113"/>
      <c r="N304" s="113"/>
      <c r="O304" s="113"/>
      <c r="P304" s="113"/>
      <c r="Q304" s="113"/>
      <c r="R304" s="113"/>
      <c r="S304" s="113"/>
      <c r="T304" s="113"/>
      <c r="U304" s="113"/>
      <c r="V304" s="113"/>
      <c r="W304" s="113"/>
      <c r="X304" s="113"/>
      <c r="Y304" s="113"/>
      <c r="Z304" s="113"/>
      <c r="AA304" s="113"/>
      <c r="AB304" s="113"/>
      <c r="AC304" s="113"/>
      <c r="AD304" s="113"/>
      <c r="AE304" s="113"/>
      <c r="AF304" s="113"/>
      <c r="AG304" s="113"/>
    </row>
    <row r="305" spans="1:33" ht="13.8">
      <c r="A305" s="113"/>
      <c r="B305" s="113"/>
      <c r="C305" s="113"/>
      <c r="D305" s="113"/>
      <c r="E305" s="113"/>
      <c r="F305" s="113"/>
      <c r="G305" s="113"/>
      <c r="H305" s="113"/>
      <c r="I305" s="113"/>
      <c r="J305" s="113"/>
      <c r="K305" s="113"/>
      <c r="L305" s="113"/>
      <c r="M305" s="113"/>
      <c r="N305" s="113"/>
      <c r="O305" s="113"/>
      <c r="P305" s="113"/>
      <c r="Q305" s="113"/>
      <c r="R305" s="113"/>
      <c r="S305" s="113"/>
      <c r="T305" s="113"/>
      <c r="U305" s="113"/>
      <c r="V305" s="113"/>
      <c r="W305" s="113"/>
      <c r="X305" s="113"/>
      <c r="Y305" s="113"/>
      <c r="Z305" s="113"/>
      <c r="AA305" s="113"/>
      <c r="AB305" s="113"/>
      <c r="AC305" s="113"/>
      <c r="AD305" s="113"/>
      <c r="AE305" s="113"/>
      <c r="AF305" s="113"/>
      <c r="AG305" s="113"/>
    </row>
    <row r="306" spans="1:33" ht="13.8">
      <c r="A306" s="113"/>
      <c r="B306" s="113"/>
      <c r="C306" s="113"/>
      <c r="D306" s="113"/>
      <c r="E306" s="113"/>
      <c r="F306" s="113"/>
      <c r="G306" s="113"/>
      <c r="H306" s="113"/>
      <c r="I306" s="113"/>
      <c r="J306" s="113"/>
      <c r="K306" s="113"/>
      <c r="L306" s="113"/>
      <c r="M306" s="113"/>
      <c r="N306" s="113"/>
      <c r="O306" s="113"/>
      <c r="P306" s="113"/>
      <c r="Q306" s="113"/>
      <c r="R306" s="113"/>
      <c r="S306" s="113"/>
      <c r="T306" s="113"/>
      <c r="U306" s="113"/>
      <c r="V306" s="113"/>
      <c r="W306" s="113"/>
      <c r="X306" s="113"/>
      <c r="Y306" s="113"/>
      <c r="Z306" s="113"/>
      <c r="AA306" s="113"/>
      <c r="AB306" s="113"/>
      <c r="AC306" s="113"/>
      <c r="AD306" s="113"/>
      <c r="AE306" s="113"/>
      <c r="AF306" s="113"/>
      <c r="AG306" s="113"/>
    </row>
    <row r="307" spans="1:33" ht="13.8">
      <c r="A307" s="113"/>
      <c r="B307" s="113"/>
      <c r="C307" s="113"/>
      <c r="D307" s="113"/>
      <c r="E307" s="113"/>
      <c r="F307" s="113"/>
      <c r="G307" s="113"/>
      <c r="H307" s="113"/>
      <c r="I307" s="113"/>
      <c r="J307" s="113"/>
      <c r="K307" s="113"/>
      <c r="L307" s="113"/>
      <c r="M307" s="113"/>
      <c r="N307" s="113"/>
      <c r="O307" s="113"/>
      <c r="P307" s="113"/>
      <c r="Q307" s="113"/>
      <c r="R307" s="113"/>
      <c r="S307" s="113"/>
      <c r="T307" s="113"/>
      <c r="U307" s="113"/>
      <c r="V307" s="113"/>
      <c r="W307" s="113"/>
      <c r="X307" s="113"/>
      <c r="Y307" s="113"/>
      <c r="Z307" s="113"/>
      <c r="AA307" s="113"/>
      <c r="AB307" s="113"/>
      <c r="AC307" s="113"/>
      <c r="AD307" s="113"/>
      <c r="AE307" s="113"/>
      <c r="AF307" s="113"/>
      <c r="AG307" s="113"/>
    </row>
    <row r="308" spans="1:33" ht="13.8">
      <c r="A308" s="113"/>
      <c r="B308" s="113"/>
      <c r="C308" s="113"/>
      <c r="D308" s="113"/>
      <c r="E308" s="113"/>
      <c r="F308" s="113"/>
      <c r="G308" s="113"/>
      <c r="H308" s="113"/>
      <c r="I308" s="113"/>
      <c r="J308" s="113"/>
      <c r="K308" s="113"/>
      <c r="L308" s="113"/>
      <c r="M308" s="113"/>
      <c r="N308" s="113"/>
      <c r="O308" s="113"/>
      <c r="P308" s="113"/>
      <c r="Q308" s="113"/>
      <c r="R308" s="113"/>
      <c r="S308" s="113"/>
      <c r="T308" s="113"/>
      <c r="U308" s="113"/>
      <c r="V308" s="113"/>
      <c r="W308" s="113"/>
      <c r="X308" s="113"/>
      <c r="Y308" s="113"/>
      <c r="Z308" s="113"/>
      <c r="AA308" s="113"/>
      <c r="AB308" s="113"/>
      <c r="AC308" s="113"/>
      <c r="AD308" s="113"/>
      <c r="AE308" s="113"/>
      <c r="AF308" s="113"/>
      <c r="AG308" s="113"/>
    </row>
    <row r="309" spans="1:33" ht="13.8">
      <c r="A309" s="113"/>
      <c r="B309" s="113"/>
      <c r="C309" s="113"/>
      <c r="D309" s="113"/>
      <c r="E309" s="113"/>
      <c r="F309" s="113"/>
      <c r="G309" s="113"/>
      <c r="H309" s="113"/>
      <c r="I309" s="113"/>
      <c r="J309" s="113"/>
      <c r="K309" s="113"/>
      <c r="L309" s="113"/>
      <c r="M309" s="113"/>
      <c r="N309" s="113"/>
      <c r="O309" s="113"/>
      <c r="P309" s="113"/>
      <c r="Q309" s="113"/>
      <c r="R309" s="113"/>
      <c r="S309" s="113"/>
      <c r="T309" s="113"/>
      <c r="U309" s="113"/>
      <c r="V309" s="113"/>
      <c r="W309" s="113"/>
      <c r="X309" s="113"/>
      <c r="Y309" s="113"/>
      <c r="Z309" s="113"/>
      <c r="AA309" s="113"/>
      <c r="AB309" s="113"/>
      <c r="AC309" s="113"/>
      <c r="AD309" s="113"/>
      <c r="AE309" s="113"/>
      <c r="AF309" s="113"/>
      <c r="AG309" s="113"/>
    </row>
    <row r="310" spans="1:33" ht="13.8">
      <c r="A310" s="113"/>
      <c r="B310" s="113"/>
      <c r="C310" s="113"/>
      <c r="D310" s="113"/>
      <c r="E310" s="113"/>
      <c r="F310" s="113"/>
      <c r="G310" s="113"/>
      <c r="H310" s="113"/>
      <c r="I310" s="113"/>
      <c r="J310" s="113"/>
      <c r="K310" s="113"/>
      <c r="L310" s="113"/>
      <c r="M310" s="113"/>
      <c r="N310" s="113"/>
      <c r="O310" s="113"/>
      <c r="P310" s="113"/>
      <c r="Q310" s="113"/>
      <c r="R310" s="113"/>
      <c r="S310" s="113"/>
      <c r="T310" s="113"/>
      <c r="U310" s="113"/>
      <c r="V310" s="113"/>
      <c r="W310" s="113"/>
      <c r="X310" s="113"/>
      <c r="Y310" s="113"/>
      <c r="Z310" s="113"/>
      <c r="AA310" s="113"/>
      <c r="AB310" s="113"/>
      <c r="AC310" s="113"/>
      <c r="AD310" s="113"/>
      <c r="AE310" s="113"/>
      <c r="AF310" s="113"/>
      <c r="AG310" s="113"/>
    </row>
    <row r="311" spans="1:33" ht="13.8">
      <c r="A311" s="113"/>
      <c r="B311" s="113"/>
      <c r="C311" s="113"/>
      <c r="D311" s="113"/>
      <c r="E311" s="113"/>
      <c r="F311" s="113"/>
      <c r="G311" s="113"/>
      <c r="H311" s="113"/>
      <c r="I311" s="113"/>
      <c r="J311" s="113"/>
      <c r="K311" s="113"/>
      <c r="L311" s="113"/>
      <c r="M311" s="113"/>
      <c r="N311" s="113"/>
      <c r="O311" s="113"/>
      <c r="P311" s="113"/>
      <c r="Q311" s="113"/>
      <c r="R311" s="113"/>
      <c r="S311" s="113"/>
      <c r="T311" s="113"/>
      <c r="U311" s="113"/>
      <c r="V311" s="113"/>
      <c r="W311" s="113"/>
      <c r="X311" s="113"/>
      <c r="Y311" s="113"/>
      <c r="Z311" s="113"/>
      <c r="AA311" s="113"/>
      <c r="AB311" s="113"/>
      <c r="AC311" s="113"/>
      <c r="AD311" s="113"/>
      <c r="AE311" s="113"/>
      <c r="AF311" s="113"/>
      <c r="AG311" s="113"/>
    </row>
    <row r="312" spans="1:33" ht="13.8">
      <c r="A312" s="113"/>
      <c r="B312" s="113"/>
      <c r="C312" s="113"/>
      <c r="D312" s="113"/>
      <c r="E312" s="113"/>
      <c r="F312" s="113"/>
      <c r="G312" s="113"/>
      <c r="H312" s="113"/>
      <c r="I312" s="113"/>
      <c r="J312" s="113"/>
      <c r="K312" s="113"/>
      <c r="L312" s="113"/>
      <c r="M312" s="113"/>
      <c r="N312" s="113"/>
      <c r="O312" s="113"/>
      <c r="P312" s="113"/>
      <c r="Q312" s="113"/>
      <c r="R312" s="113"/>
      <c r="S312" s="113"/>
      <c r="T312" s="113"/>
      <c r="U312" s="113"/>
      <c r="V312" s="113"/>
      <c r="W312" s="113"/>
      <c r="X312" s="113"/>
      <c r="Y312" s="113"/>
      <c r="Z312" s="113"/>
      <c r="AA312" s="113"/>
      <c r="AB312" s="113"/>
      <c r="AC312" s="113"/>
      <c r="AD312" s="113"/>
      <c r="AE312" s="113"/>
      <c r="AF312" s="113"/>
      <c r="AG312" s="113"/>
    </row>
    <row r="313" spans="1:33" ht="13.8">
      <c r="A313" s="113"/>
      <c r="B313" s="113"/>
      <c r="C313" s="113"/>
      <c r="D313" s="113"/>
      <c r="E313" s="113"/>
      <c r="F313" s="113"/>
      <c r="G313" s="113"/>
      <c r="H313" s="113"/>
      <c r="I313" s="113"/>
      <c r="J313" s="113"/>
      <c r="K313" s="113"/>
      <c r="L313" s="113"/>
      <c r="M313" s="113"/>
      <c r="N313" s="113"/>
      <c r="O313" s="113"/>
      <c r="P313" s="113"/>
      <c r="Q313" s="113"/>
      <c r="R313" s="113"/>
      <c r="S313" s="113"/>
      <c r="T313" s="113"/>
      <c r="U313" s="113"/>
      <c r="V313" s="113"/>
      <c r="W313" s="113"/>
      <c r="X313" s="113"/>
      <c r="Y313" s="113"/>
      <c r="Z313" s="113"/>
      <c r="AA313" s="113"/>
      <c r="AB313" s="113"/>
      <c r="AC313" s="113"/>
      <c r="AD313" s="113"/>
      <c r="AE313" s="113"/>
      <c r="AF313" s="113"/>
      <c r="AG313" s="113"/>
    </row>
    <row r="314" spans="1:33" ht="13.8">
      <c r="A314" s="113"/>
      <c r="B314" s="113"/>
      <c r="C314" s="113"/>
      <c r="D314" s="113"/>
      <c r="E314" s="113"/>
      <c r="F314" s="113"/>
      <c r="G314" s="113"/>
      <c r="H314" s="113"/>
      <c r="I314" s="113"/>
      <c r="J314" s="113"/>
      <c r="K314" s="113"/>
      <c r="L314" s="113"/>
      <c r="M314" s="113"/>
      <c r="N314" s="113"/>
      <c r="O314" s="113"/>
      <c r="P314" s="113"/>
      <c r="Q314" s="113"/>
      <c r="R314" s="113"/>
      <c r="S314" s="113"/>
      <c r="T314" s="113"/>
      <c r="U314" s="113"/>
      <c r="V314" s="113"/>
      <c r="W314" s="113"/>
      <c r="X314" s="113"/>
      <c r="Y314" s="113"/>
      <c r="Z314" s="113"/>
      <c r="AA314" s="113"/>
      <c r="AB314" s="113"/>
      <c r="AC314" s="113"/>
      <c r="AD314" s="113"/>
      <c r="AE314" s="113"/>
      <c r="AF314" s="113"/>
      <c r="AG314" s="113"/>
    </row>
    <row r="315" spans="1:33" ht="13.8">
      <c r="A315" s="113"/>
      <c r="B315" s="113"/>
      <c r="C315" s="113"/>
      <c r="D315" s="113"/>
      <c r="E315" s="113"/>
      <c r="F315" s="113"/>
      <c r="G315" s="113"/>
      <c r="H315" s="113"/>
      <c r="I315" s="113"/>
      <c r="J315" s="113"/>
      <c r="K315" s="113"/>
      <c r="L315" s="113"/>
      <c r="M315" s="113"/>
      <c r="N315" s="113"/>
      <c r="O315" s="113"/>
      <c r="P315" s="113"/>
      <c r="Q315" s="113"/>
      <c r="R315" s="113"/>
      <c r="S315" s="113"/>
      <c r="T315" s="113"/>
      <c r="U315" s="113"/>
      <c r="V315" s="113"/>
      <c r="W315" s="113"/>
      <c r="X315" s="113"/>
      <c r="Y315" s="113"/>
      <c r="Z315" s="113"/>
      <c r="AA315" s="113"/>
      <c r="AB315" s="113"/>
      <c r="AC315" s="113"/>
      <c r="AD315" s="113"/>
      <c r="AE315" s="113"/>
      <c r="AF315" s="113"/>
      <c r="AG315" s="113"/>
    </row>
    <row r="316" spans="1:33" ht="13.8">
      <c r="A316" s="113"/>
      <c r="B316" s="113"/>
      <c r="C316" s="113"/>
      <c r="D316" s="113"/>
      <c r="E316" s="113"/>
      <c r="F316" s="113"/>
      <c r="G316" s="113"/>
      <c r="H316" s="113"/>
      <c r="I316" s="113"/>
      <c r="J316" s="113"/>
      <c r="K316" s="113"/>
      <c r="L316" s="113"/>
      <c r="M316" s="113"/>
      <c r="N316" s="113"/>
      <c r="O316" s="113"/>
      <c r="P316" s="113"/>
      <c r="Q316" s="113"/>
      <c r="R316" s="113"/>
      <c r="S316" s="113"/>
      <c r="T316" s="113"/>
      <c r="U316" s="113"/>
      <c r="V316" s="113"/>
      <c r="W316" s="113"/>
      <c r="X316" s="113"/>
      <c r="Y316" s="113"/>
      <c r="Z316" s="113"/>
      <c r="AA316" s="113"/>
      <c r="AB316" s="113"/>
      <c r="AC316" s="113"/>
      <c r="AD316" s="113"/>
      <c r="AE316" s="113"/>
      <c r="AF316" s="113"/>
      <c r="AG316" s="113"/>
    </row>
    <row r="317" spans="1:33" ht="13.8">
      <c r="A317" s="113"/>
      <c r="B317" s="113"/>
      <c r="C317" s="113"/>
      <c r="D317" s="113"/>
      <c r="E317" s="113"/>
      <c r="F317" s="113"/>
      <c r="G317" s="113"/>
      <c r="H317" s="113"/>
      <c r="I317" s="113"/>
      <c r="J317" s="113"/>
      <c r="K317" s="113"/>
      <c r="L317" s="113"/>
      <c r="M317" s="113"/>
      <c r="N317" s="113"/>
      <c r="O317" s="113"/>
      <c r="P317" s="113"/>
      <c r="Q317" s="113"/>
      <c r="R317" s="113"/>
      <c r="S317" s="113"/>
      <c r="T317" s="113"/>
      <c r="U317" s="113"/>
      <c r="V317" s="113"/>
      <c r="W317" s="113"/>
      <c r="X317" s="113"/>
      <c r="Y317" s="113"/>
      <c r="Z317" s="113"/>
      <c r="AA317" s="113"/>
      <c r="AB317" s="113"/>
      <c r="AC317" s="113"/>
      <c r="AD317" s="113"/>
      <c r="AE317" s="113"/>
      <c r="AF317" s="113"/>
      <c r="AG317" s="113"/>
    </row>
    <row r="318" spans="1:33" ht="13.8">
      <c r="A318" s="113"/>
      <c r="B318" s="113"/>
      <c r="C318" s="113"/>
      <c r="D318" s="113"/>
      <c r="E318" s="113"/>
      <c r="F318" s="113"/>
      <c r="G318" s="113"/>
      <c r="H318" s="113"/>
      <c r="I318" s="113"/>
      <c r="J318" s="113"/>
      <c r="K318" s="113"/>
      <c r="L318" s="113"/>
      <c r="M318" s="113"/>
      <c r="N318" s="113"/>
      <c r="O318" s="113"/>
      <c r="P318" s="113"/>
      <c r="Q318" s="113"/>
      <c r="R318" s="113"/>
      <c r="S318" s="113"/>
      <c r="T318" s="113"/>
      <c r="U318" s="113"/>
      <c r="V318" s="113"/>
      <c r="W318" s="113"/>
      <c r="X318" s="113"/>
      <c r="Y318" s="113"/>
      <c r="Z318" s="113"/>
      <c r="AA318" s="113"/>
      <c r="AB318" s="113"/>
      <c r="AC318" s="113"/>
      <c r="AD318" s="113"/>
      <c r="AE318" s="113"/>
      <c r="AF318" s="113"/>
      <c r="AG318" s="113"/>
    </row>
    <row r="319" spans="1:33" ht="13.8">
      <c r="A319" s="113"/>
      <c r="B319" s="113"/>
      <c r="C319" s="113"/>
      <c r="D319" s="113"/>
      <c r="E319" s="113"/>
      <c r="F319" s="113"/>
      <c r="G319" s="113"/>
      <c r="H319" s="113"/>
      <c r="I319" s="113"/>
      <c r="J319" s="113"/>
      <c r="K319" s="113"/>
      <c r="L319" s="113"/>
      <c r="M319" s="113"/>
      <c r="N319" s="113"/>
      <c r="O319" s="113"/>
      <c r="P319" s="113"/>
      <c r="Q319" s="113"/>
      <c r="R319" s="113"/>
      <c r="S319" s="113"/>
      <c r="T319" s="113"/>
      <c r="U319" s="113"/>
      <c r="V319" s="113"/>
      <c r="W319" s="113"/>
      <c r="X319" s="113"/>
      <c r="Y319" s="113"/>
      <c r="Z319" s="113"/>
      <c r="AA319" s="113"/>
      <c r="AB319" s="113"/>
      <c r="AC319" s="113"/>
      <c r="AD319" s="113"/>
      <c r="AE319" s="113"/>
      <c r="AF319" s="113"/>
      <c r="AG319" s="113"/>
    </row>
    <row r="320" spans="1:33" ht="13.8">
      <c r="A320" s="113"/>
      <c r="B320" s="113"/>
      <c r="C320" s="113"/>
      <c r="D320" s="113"/>
      <c r="E320" s="113"/>
      <c r="F320" s="113"/>
      <c r="G320" s="113"/>
      <c r="H320" s="113"/>
      <c r="I320" s="113"/>
      <c r="J320" s="113"/>
      <c r="K320" s="113"/>
      <c r="L320" s="113"/>
      <c r="M320" s="113"/>
      <c r="N320" s="113"/>
      <c r="O320" s="113"/>
      <c r="P320" s="113"/>
      <c r="Q320" s="113"/>
      <c r="R320" s="113"/>
      <c r="S320" s="113"/>
      <c r="T320" s="113"/>
      <c r="U320" s="113"/>
      <c r="V320" s="113"/>
      <c r="W320" s="113"/>
      <c r="X320" s="113"/>
      <c r="Y320" s="113"/>
      <c r="Z320" s="113"/>
      <c r="AA320" s="113"/>
      <c r="AB320" s="113"/>
      <c r="AC320" s="113"/>
      <c r="AD320" s="113"/>
      <c r="AE320" s="113"/>
      <c r="AF320" s="113"/>
      <c r="AG320" s="113"/>
    </row>
    <row r="321" spans="1:33" ht="13.8">
      <c r="A321" s="113"/>
      <c r="B321" s="113"/>
      <c r="C321" s="113"/>
      <c r="D321" s="113"/>
      <c r="E321" s="113"/>
      <c r="F321" s="113"/>
      <c r="G321" s="113"/>
      <c r="H321" s="113"/>
      <c r="I321" s="113"/>
      <c r="J321" s="113"/>
      <c r="K321" s="113"/>
      <c r="L321" s="113"/>
      <c r="M321" s="113"/>
      <c r="N321" s="113"/>
      <c r="O321" s="113"/>
      <c r="P321" s="113"/>
      <c r="Q321" s="113"/>
      <c r="R321" s="113"/>
      <c r="S321" s="113"/>
      <c r="T321" s="113"/>
      <c r="U321" s="113"/>
      <c r="V321" s="113"/>
      <c r="W321" s="113"/>
      <c r="X321" s="113"/>
      <c r="Y321" s="113"/>
      <c r="Z321" s="113"/>
      <c r="AA321" s="113"/>
      <c r="AB321" s="113"/>
      <c r="AC321" s="113"/>
      <c r="AD321" s="113"/>
      <c r="AE321" s="113"/>
      <c r="AF321" s="113"/>
      <c r="AG321" s="113"/>
    </row>
    <row r="322" spans="1:33" ht="13.8">
      <c r="A322" s="113"/>
      <c r="B322" s="113"/>
      <c r="C322" s="113"/>
      <c r="D322" s="113"/>
      <c r="E322" s="113"/>
      <c r="F322" s="113"/>
      <c r="G322" s="113"/>
      <c r="H322" s="113"/>
      <c r="I322" s="113"/>
      <c r="J322" s="113"/>
      <c r="K322" s="113"/>
      <c r="L322" s="113"/>
      <c r="M322" s="113"/>
      <c r="N322" s="113"/>
      <c r="O322" s="113"/>
      <c r="P322" s="113"/>
      <c r="Q322" s="113"/>
      <c r="R322" s="113"/>
      <c r="S322" s="113"/>
      <c r="T322" s="113"/>
      <c r="U322" s="113"/>
      <c r="V322" s="113"/>
      <c r="W322" s="113"/>
      <c r="X322" s="113"/>
      <c r="Y322" s="113"/>
      <c r="Z322" s="113"/>
      <c r="AA322" s="113"/>
      <c r="AB322" s="113"/>
      <c r="AC322" s="113"/>
      <c r="AD322" s="113"/>
      <c r="AE322" s="113"/>
      <c r="AF322" s="113"/>
      <c r="AG322" s="113"/>
    </row>
    <row r="323" spans="1:33" ht="13.8">
      <c r="A323" s="113"/>
      <c r="B323" s="113"/>
      <c r="C323" s="113"/>
      <c r="D323" s="113"/>
      <c r="E323" s="113"/>
      <c r="F323" s="113"/>
      <c r="G323" s="113"/>
      <c r="H323" s="113"/>
      <c r="I323" s="113"/>
      <c r="J323" s="113"/>
      <c r="K323" s="113"/>
      <c r="L323" s="113"/>
      <c r="M323" s="113"/>
      <c r="N323" s="113"/>
      <c r="O323" s="113"/>
      <c r="P323" s="113"/>
      <c r="Q323" s="113"/>
      <c r="R323" s="113"/>
      <c r="S323" s="113"/>
      <c r="T323" s="113"/>
      <c r="U323" s="113"/>
      <c r="V323" s="113"/>
      <c r="W323" s="113"/>
      <c r="X323" s="113"/>
      <c r="Y323" s="113"/>
      <c r="Z323" s="113"/>
      <c r="AA323" s="113"/>
      <c r="AB323" s="113"/>
      <c r="AC323" s="113"/>
      <c r="AD323" s="113"/>
      <c r="AE323" s="113"/>
      <c r="AF323" s="113"/>
      <c r="AG323" s="113"/>
    </row>
    <row r="324" spans="1:33" ht="13.8">
      <c r="A324" s="113"/>
      <c r="B324" s="113"/>
      <c r="C324" s="113"/>
      <c r="D324" s="113"/>
      <c r="E324" s="113"/>
      <c r="F324" s="113"/>
      <c r="G324" s="113"/>
      <c r="H324" s="113"/>
      <c r="I324" s="113"/>
      <c r="J324" s="113"/>
      <c r="K324" s="113"/>
      <c r="L324" s="113"/>
      <c r="M324" s="113"/>
      <c r="N324" s="113"/>
      <c r="O324" s="113"/>
      <c r="P324" s="113"/>
      <c r="Q324" s="113"/>
      <c r="R324" s="113"/>
      <c r="S324" s="113"/>
      <c r="T324" s="113"/>
      <c r="U324" s="113"/>
      <c r="V324" s="113"/>
      <c r="W324" s="113"/>
      <c r="X324" s="113"/>
      <c r="Y324" s="113"/>
      <c r="Z324" s="113"/>
      <c r="AA324" s="113"/>
      <c r="AB324" s="113"/>
      <c r="AC324" s="113"/>
      <c r="AD324" s="113"/>
      <c r="AE324" s="113"/>
      <c r="AF324" s="113"/>
      <c r="AG324" s="113"/>
    </row>
    <row r="325" spans="1:33" ht="13.8">
      <c r="A325" s="113"/>
      <c r="B325" s="113"/>
      <c r="C325" s="113"/>
      <c r="D325" s="113"/>
      <c r="E325" s="113"/>
      <c r="F325" s="113"/>
      <c r="G325" s="113"/>
      <c r="H325" s="113"/>
      <c r="I325" s="113"/>
      <c r="J325" s="113"/>
      <c r="K325" s="113"/>
      <c r="L325" s="113"/>
      <c r="M325" s="113"/>
      <c r="N325" s="113"/>
      <c r="O325" s="113"/>
      <c r="P325" s="113"/>
      <c r="Q325" s="113"/>
      <c r="R325" s="113"/>
      <c r="S325" s="113"/>
      <c r="T325" s="113"/>
      <c r="U325" s="113"/>
      <c r="V325" s="113"/>
      <c r="W325" s="113"/>
      <c r="X325" s="113"/>
      <c r="Y325" s="113"/>
      <c r="Z325" s="113"/>
      <c r="AA325" s="113"/>
      <c r="AB325" s="113"/>
      <c r="AC325" s="113"/>
      <c r="AD325" s="113"/>
      <c r="AE325" s="113"/>
      <c r="AF325" s="113"/>
      <c r="AG325" s="113"/>
    </row>
    <row r="326" spans="1:33" ht="13.8">
      <c r="A326" s="113"/>
      <c r="B326" s="113"/>
      <c r="C326" s="113"/>
      <c r="D326" s="113"/>
      <c r="E326" s="113"/>
      <c r="F326" s="113"/>
      <c r="G326" s="113"/>
      <c r="H326" s="113"/>
      <c r="I326" s="113"/>
      <c r="J326" s="113"/>
      <c r="K326" s="113"/>
      <c r="L326" s="113"/>
      <c r="M326" s="113"/>
      <c r="N326" s="113"/>
      <c r="O326" s="113"/>
      <c r="P326" s="113"/>
      <c r="Q326" s="113"/>
      <c r="R326" s="113"/>
      <c r="S326" s="113"/>
      <c r="T326" s="113"/>
      <c r="U326" s="113"/>
      <c r="V326" s="113"/>
      <c r="W326" s="113"/>
      <c r="X326" s="113"/>
      <c r="Y326" s="113"/>
      <c r="Z326" s="113"/>
      <c r="AA326" s="113"/>
      <c r="AB326" s="113"/>
      <c r="AC326" s="113"/>
      <c r="AD326" s="113"/>
      <c r="AE326" s="113"/>
      <c r="AF326" s="113"/>
      <c r="AG326" s="113"/>
    </row>
    <row r="327" spans="1:33" ht="13.8">
      <c r="A327" s="113"/>
      <c r="B327" s="113"/>
      <c r="C327" s="113"/>
      <c r="D327" s="113"/>
      <c r="E327" s="113"/>
      <c r="F327" s="113"/>
      <c r="G327" s="113"/>
      <c r="H327" s="113"/>
      <c r="I327" s="113"/>
      <c r="J327" s="113"/>
      <c r="K327" s="113"/>
      <c r="L327" s="113"/>
      <c r="M327" s="113"/>
      <c r="N327" s="113"/>
      <c r="O327" s="113"/>
      <c r="P327" s="113"/>
      <c r="Q327" s="113"/>
      <c r="R327" s="113"/>
      <c r="S327" s="113"/>
      <c r="T327" s="113"/>
      <c r="U327" s="113"/>
      <c r="V327" s="113"/>
      <c r="W327" s="113"/>
      <c r="X327" s="113"/>
      <c r="Y327" s="113"/>
      <c r="Z327" s="113"/>
      <c r="AA327" s="113"/>
      <c r="AB327" s="113"/>
      <c r="AC327" s="113"/>
      <c r="AD327" s="113"/>
      <c r="AE327" s="113"/>
      <c r="AF327" s="113"/>
      <c r="AG327" s="113"/>
    </row>
    <row r="328" spans="1:33" ht="13.8">
      <c r="A328" s="113"/>
      <c r="B328" s="113"/>
      <c r="C328" s="113"/>
      <c r="D328" s="113"/>
      <c r="E328" s="113"/>
      <c r="F328" s="113"/>
      <c r="G328" s="113"/>
      <c r="H328" s="113"/>
      <c r="I328" s="113"/>
      <c r="J328" s="113"/>
      <c r="K328" s="113"/>
      <c r="L328" s="113"/>
      <c r="M328" s="113"/>
      <c r="N328" s="113"/>
      <c r="O328" s="113"/>
      <c r="P328" s="113"/>
      <c r="Q328" s="113"/>
      <c r="R328" s="113"/>
      <c r="S328" s="113"/>
      <c r="T328" s="113"/>
      <c r="U328" s="113"/>
      <c r="V328" s="113"/>
      <c r="W328" s="113"/>
      <c r="X328" s="113"/>
      <c r="Y328" s="113"/>
      <c r="Z328" s="113"/>
      <c r="AA328" s="113"/>
      <c r="AB328" s="113"/>
      <c r="AC328" s="113"/>
      <c r="AD328" s="113"/>
      <c r="AE328" s="113"/>
      <c r="AF328" s="113"/>
      <c r="AG328" s="113"/>
    </row>
    <row r="329" spans="1:33" ht="13.8">
      <c r="A329" s="113"/>
      <c r="B329" s="113"/>
      <c r="C329" s="113"/>
      <c r="D329" s="113"/>
      <c r="E329" s="113"/>
      <c r="F329" s="113"/>
      <c r="G329" s="113"/>
      <c r="H329" s="113"/>
      <c r="I329" s="113"/>
      <c r="J329" s="113"/>
      <c r="K329" s="113"/>
      <c r="L329" s="113"/>
      <c r="M329" s="113"/>
      <c r="N329" s="113"/>
      <c r="O329" s="113"/>
      <c r="P329" s="113"/>
      <c r="Q329" s="113"/>
      <c r="R329" s="113"/>
      <c r="S329" s="113"/>
      <c r="T329" s="113"/>
      <c r="U329" s="113"/>
      <c r="V329" s="113"/>
      <c r="W329" s="113"/>
      <c r="X329" s="113"/>
      <c r="Y329" s="113"/>
      <c r="Z329" s="113"/>
      <c r="AA329" s="113"/>
      <c r="AB329" s="113"/>
      <c r="AC329" s="113"/>
      <c r="AD329" s="113"/>
      <c r="AE329" s="113"/>
      <c r="AF329" s="113"/>
      <c r="AG329" s="113"/>
    </row>
    <row r="330" spans="1:33" ht="13.8">
      <c r="A330" s="113"/>
      <c r="B330" s="113"/>
      <c r="C330" s="113"/>
      <c r="D330" s="113"/>
      <c r="E330" s="113"/>
      <c r="F330" s="113"/>
      <c r="G330" s="113"/>
      <c r="H330" s="113"/>
      <c r="I330" s="113"/>
      <c r="J330" s="113"/>
      <c r="K330" s="113"/>
      <c r="L330" s="113"/>
      <c r="M330" s="113"/>
      <c r="N330" s="113"/>
      <c r="O330" s="113"/>
      <c r="P330" s="113"/>
      <c r="Q330" s="113"/>
      <c r="R330" s="113"/>
      <c r="S330" s="113"/>
      <c r="T330" s="113"/>
      <c r="U330" s="113"/>
      <c r="V330" s="113"/>
      <c r="W330" s="113"/>
      <c r="X330" s="113"/>
      <c r="Y330" s="113"/>
      <c r="Z330" s="113"/>
      <c r="AA330" s="113"/>
      <c r="AB330" s="113"/>
      <c r="AC330" s="113"/>
      <c r="AD330" s="113"/>
      <c r="AE330" s="113"/>
      <c r="AF330" s="113"/>
      <c r="AG330" s="113"/>
    </row>
    <row r="331" spans="1:33" ht="13.8">
      <c r="A331" s="113"/>
      <c r="B331" s="113"/>
      <c r="C331" s="113"/>
      <c r="D331" s="113"/>
      <c r="E331" s="113"/>
      <c r="F331" s="113"/>
      <c r="G331" s="113"/>
      <c r="H331" s="113"/>
      <c r="I331" s="113"/>
      <c r="J331" s="113"/>
      <c r="K331" s="113"/>
      <c r="L331" s="113"/>
      <c r="M331" s="113"/>
      <c r="N331" s="113"/>
      <c r="O331" s="113"/>
      <c r="P331" s="113"/>
      <c r="Q331" s="113"/>
      <c r="R331" s="113"/>
      <c r="S331" s="113"/>
      <c r="T331" s="113"/>
      <c r="U331" s="113"/>
      <c r="V331" s="113"/>
      <c r="W331" s="113"/>
      <c r="X331" s="113"/>
      <c r="Y331" s="113"/>
      <c r="Z331" s="113"/>
      <c r="AA331" s="113"/>
      <c r="AB331" s="113"/>
      <c r="AC331" s="113"/>
      <c r="AD331" s="113"/>
      <c r="AE331" s="113"/>
      <c r="AF331" s="113"/>
      <c r="AG331" s="113"/>
    </row>
    <row r="332" spans="1:33" ht="13.8">
      <c r="A332" s="113"/>
      <c r="B332" s="113"/>
      <c r="C332" s="113"/>
      <c r="D332" s="113"/>
      <c r="E332" s="113"/>
      <c r="F332" s="113"/>
      <c r="G332" s="113"/>
      <c r="H332" s="113"/>
      <c r="I332" s="113"/>
      <c r="J332" s="113"/>
      <c r="K332" s="113"/>
      <c r="L332" s="113"/>
      <c r="M332" s="113"/>
      <c r="N332" s="113"/>
      <c r="O332" s="113"/>
      <c r="P332" s="113"/>
      <c r="Q332" s="113"/>
      <c r="R332" s="113"/>
      <c r="S332" s="113"/>
      <c r="T332" s="113"/>
      <c r="U332" s="113"/>
      <c r="V332" s="113"/>
      <c r="W332" s="113"/>
      <c r="X332" s="113"/>
      <c r="Y332" s="113"/>
      <c r="Z332" s="113"/>
      <c r="AA332" s="113"/>
      <c r="AB332" s="113"/>
      <c r="AC332" s="113"/>
      <c r="AD332" s="113"/>
      <c r="AE332" s="113"/>
      <c r="AF332" s="113"/>
      <c r="AG332" s="113"/>
    </row>
    <row r="333" spans="1:33" ht="13.8">
      <c r="A333" s="113"/>
      <c r="B333" s="113"/>
      <c r="C333" s="113"/>
      <c r="D333" s="113"/>
      <c r="E333" s="113"/>
      <c r="F333" s="113"/>
      <c r="G333" s="113"/>
      <c r="H333" s="113"/>
      <c r="I333" s="113"/>
      <c r="J333" s="113"/>
      <c r="K333" s="113"/>
      <c r="L333" s="113"/>
      <c r="M333" s="113"/>
      <c r="N333" s="113"/>
      <c r="O333" s="113"/>
      <c r="P333" s="113"/>
      <c r="Q333" s="113"/>
      <c r="R333" s="113"/>
      <c r="S333" s="113"/>
      <c r="T333" s="113"/>
      <c r="U333" s="113"/>
      <c r="V333" s="113"/>
      <c r="W333" s="113"/>
      <c r="X333" s="113"/>
      <c r="Y333" s="113"/>
      <c r="Z333" s="113"/>
      <c r="AA333" s="113"/>
      <c r="AB333" s="113"/>
      <c r="AC333" s="113"/>
      <c r="AD333" s="113"/>
      <c r="AE333" s="113"/>
      <c r="AF333" s="113"/>
      <c r="AG333" s="113"/>
    </row>
    <row r="334" spans="1:33" ht="13.8">
      <c r="A334" s="113"/>
      <c r="B334" s="113"/>
      <c r="C334" s="113"/>
      <c r="D334" s="113"/>
      <c r="E334" s="113"/>
      <c r="F334" s="113"/>
      <c r="G334" s="113"/>
      <c r="H334" s="113"/>
      <c r="I334" s="113"/>
      <c r="J334" s="113"/>
      <c r="K334" s="113"/>
      <c r="L334" s="113"/>
      <c r="M334" s="113"/>
      <c r="N334" s="113"/>
      <c r="O334" s="113"/>
      <c r="P334" s="113"/>
      <c r="Q334" s="113"/>
      <c r="R334" s="113"/>
      <c r="S334" s="113"/>
      <c r="T334" s="113"/>
      <c r="U334" s="113"/>
      <c r="V334" s="113"/>
      <c r="W334" s="113"/>
      <c r="X334" s="113"/>
      <c r="Y334" s="113"/>
      <c r="Z334" s="113"/>
      <c r="AA334" s="113"/>
      <c r="AB334" s="113"/>
      <c r="AC334" s="113"/>
      <c r="AD334" s="113"/>
      <c r="AE334" s="113"/>
      <c r="AF334" s="113"/>
      <c r="AG334" s="113"/>
    </row>
    <row r="335" spans="1:33" ht="13.8">
      <c r="A335" s="113"/>
      <c r="B335" s="113"/>
      <c r="C335" s="113"/>
      <c r="D335" s="113"/>
      <c r="E335" s="113"/>
      <c r="F335" s="113"/>
      <c r="G335" s="113"/>
      <c r="H335" s="113"/>
      <c r="I335" s="113"/>
      <c r="J335" s="113"/>
      <c r="K335" s="113"/>
      <c r="L335" s="113"/>
      <c r="M335" s="113"/>
      <c r="N335" s="113"/>
      <c r="O335" s="113"/>
      <c r="P335" s="113"/>
      <c r="Q335" s="113"/>
      <c r="R335" s="113"/>
      <c r="S335" s="113"/>
      <c r="T335" s="113"/>
      <c r="U335" s="113"/>
      <c r="V335" s="113"/>
      <c r="W335" s="113"/>
      <c r="X335" s="113"/>
      <c r="Y335" s="113"/>
      <c r="Z335" s="113"/>
      <c r="AA335" s="113"/>
      <c r="AB335" s="113"/>
      <c r="AC335" s="113"/>
      <c r="AD335" s="113"/>
      <c r="AE335" s="113"/>
      <c r="AF335" s="113"/>
      <c r="AG335" s="113"/>
    </row>
    <row r="336" spans="1:33" ht="13.8">
      <c r="A336" s="113"/>
      <c r="B336" s="113"/>
      <c r="C336" s="113"/>
      <c r="D336" s="113"/>
      <c r="E336" s="113"/>
      <c r="F336" s="113"/>
      <c r="G336" s="113"/>
      <c r="H336" s="113"/>
      <c r="I336" s="113"/>
      <c r="J336" s="113"/>
      <c r="K336" s="113"/>
      <c r="L336" s="113"/>
      <c r="M336" s="113"/>
      <c r="N336" s="113"/>
      <c r="O336" s="113"/>
      <c r="P336" s="113"/>
      <c r="Q336" s="113"/>
      <c r="R336" s="113"/>
      <c r="S336" s="113"/>
      <c r="T336" s="113"/>
      <c r="U336" s="113"/>
      <c r="V336" s="113"/>
      <c r="W336" s="113"/>
      <c r="X336" s="113"/>
      <c r="Y336" s="113"/>
      <c r="Z336" s="113"/>
      <c r="AA336" s="113"/>
      <c r="AB336" s="113"/>
      <c r="AC336" s="113"/>
      <c r="AD336" s="113"/>
      <c r="AE336" s="113"/>
      <c r="AF336" s="113"/>
      <c r="AG336" s="113"/>
    </row>
    <row r="337" spans="1:33" ht="13.8">
      <c r="A337" s="113"/>
      <c r="B337" s="113"/>
      <c r="C337" s="113"/>
      <c r="D337" s="113"/>
      <c r="E337" s="113"/>
      <c r="F337" s="113"/>
      <c r="G337" s="113"/>
      <c r="H337" s="113"/>
      <c r="I337" s="113"/>
      <c r="J337" s="113"/>
      <c r="K337" s="113"/>
      <c r="L337" s="113"/>
      <c r="M337" s="113"/>
      <c r="N337" s="113"/>
      <c r="O337" s="113"/>
      <c r="P337" s="113"/>
      <c r="Q337" s="113"/>
      <c r="R337" s="113"/>
      <c r="S337" s="113"/>
      <c r="T337" s="113"/>
      <c r="U337" s="113"/>
      <c r="V337" s="113"/>
      <c r="W337" s="113"/>
      <c r="X337" s="113"/>
      <c r="Y337" s="113"/>
      <c r="Z337" s="113"/>
      <c r="AA337" s="113"/>
      <c r="AB337" s="113"/>
      <c r="AC337" s="113"/>
      <c r="AD337" s="113"/>
      <c r="AE337" s="113"/>
      <c r="AF337" s="113"/>
      <c r="AG337" s="113"/>
    </row>
    <row r="338" spans="1:33" ht="13.8">
      <c r="A338" s="113"/>
      <c r="B338" s="113"/>
      <c r="C338" s="113"/>
      <c r="D338" s="113"/>
      <c r="E338" s="113"/>
      <c r="F338" s="113"/>
      <c r="G338" s="113"/>
      <c r="H338" s="113"/>
      <c r="I338" s="113"/>
      <c r="J338" s="113"/>
      <c r="K338" s="113"/>
      <c r="L338" s="113"/>
      <c r="M338" s="113"/>
      <c r="N338" s="113"/>
      <c r="O338" s="113"/>
      <c r="P338" s="113"/>
      <c r="Q338" s="113"/>
      <c r="R338" s="113"/>
      <c r="S338" s="113"/>
      <c r="T338" s="113"/>
      <c r="U338" s="113"/>
      <c r="V338" s="113"/>
      <c r="W338" s="113"/>
      <c r="X338" s="113"/>
      <c r="Y338" s="113"/>
      <c r="Z338" s="113"/>
      <c r="AA338" s="113"/>
      <c r="AB338" s="113"/>
      <c r="AC338" s="113"/>
      <c r="AD338" s="113"/>
      <c r="AE338" s="113"/>
      <c r="AF338" s="113"/>
      <c r="AG338" s="113"/>
    </row>
    <row r="339" spans="1:33" ht="13.8">
      <c r="A339" s="113"/>
      <c r="B339" s="113"/>
      <c r="C339" s="113"/>
      <c r="D339" s="113"/>
      <c r="E339" s="113"/>
      <c r="F339" s="113"/>
      <c r="G339" s="113"/>
      <c r="H339" s="113"/>
      <c r="I339" s="113"/>
      <c r="J339" s="113"/>
      <c r="K339" s="113"/>
      <c r="L339" s="113"/>
      <c r="M339" s="113"/>
      <c r="N339" s="113"/>
      <c r="O339" s="113"/>
      <c r="P339" s="113"/>
      <c r="Q339" s="113"/>
      <c r="R339" s="113"/>
      <c r="S339" s="113"/>
      <c r="T339" s="113"/>
      <c r="U339" s="113"/>
      <c r="V339" s="113"/>
      <c r="W339" s="113"/>
      <c r="X339" s="113"/>
      <c r="Y339" s="113"/>
      <c r="Z339" s="113"/>
      <c r="AA339" s="113"/>
      <c r="AB339" s="113"/>
      <c r="AC339" s="113"/>
      <c r="AD339" s="113"/>
      <c r="AE339" s="113"/>
      <c r="AF339" s="113"/>
      <c r="AG339" s="113"/>
    </row>
    <row r="340" spans="1:33" ht="13.8">
      <c r="A340" s="113"/>
      <c r="B340" s="113"/>
      <c r="C340" s="113"/>
      <c r="D340" s="113"/>
      <c r="E340" s="113"/>
      <c r="F340" s="113"/>
      <c r="G340" s="113"/>
      <c r="H340" s="113"/>
      <c r="I340" s="113"/>
      <c r="J340" s="113"/>
      <c r="K340" s="113"/>
      <c r="L340" s="113"/>
      <c r="M340" s="113"/>
      <c r="N340" s="113"/>
      <c r="O340" s="113"/>
      <c r="P340" s="113"/>
      <c r="Q340" s="113"/>
      <c r="R340" s="113"/>
      <c r="S340" s="113"/>
      <c r="T340" s="113"/>
      <c r="U340" s="113"/>
      <c r="V340" s="113"/>
      <c r="W340" s="113"/>
      <c r="X340" s="113"/>
      <c r="Y340" s="113"/>
      <c r="Z340" s="113"/>
      <c r="AA340" s="113"/>
      <c r="AB340" s="113"/>
      <c r="AC340" s="113"/>
      <c r="AD340" s="113"/>
      <c r="AE340" s="113"/>
      <c r="AF340" s="113"/>
      <c r="AG340" s="113"/>
    </row>
    <row r="341" spans="1:33" ht="13.8">
      <c r="A341" s="113"/>
      <c r="B341" s="113"/>
      <c r="C341" s="113"/>
      <c r="D341" s="113"/>
      <c r="E341" s="113"/>
      <c r="F341" s="113"/>
      <c r="G341" s="113"/>
      <c r="H341" s="113"/>
      <c r="I341" s="113"/>
      <c r="J341" s="113"/>
      <c r="K341" s="113"/>
      <c r="L341" s="113"/>
      <c r="M341" s="113"/>
      <c r="N341" s="113"/>
      <c r="O341" s="113"/>
      <c r="P341" s="113"/>
      <c r="Q341" s="113"/>
      <c r="R341" s="113"/>
      <c r="S341" s="113"/>
      <c r="T341" s="113"/>
      <c r="U341" s="113"/>
      <c r="V341" s="113"/>
      <c r="W341" s="113"/>
      <c r="X341" s="113"/>
      <c r="Y341" s="113"/>
      <c r="Z341" s="113"/>
      <c r="AA341" s="113"/>
      <c r="AB341" s="113"/>
      <c r="AC341" s="113"/>
      <c r="AD341" s="113"/>
      <c r="AE341" s="113"/>
      <c r="AF341" s="113"/>
      <c r="AG341" s="113"/>
    </row>
    <row r="342" spans="1:33" ht="13.8">
      <c r="A342" s="113"/>
      <c r="B342" s="113"/>
      <c r="C342" s="113"/>
      <c r="D342" s="113"/>
      <c r="E342" s="113"/>
      <c r="F342" s="113"/>
      <c r="G342" s="113"/>
      <c r="H342" s="113"/>
      <c r="I342" s="113"/>
      <c r="J342" s="113"/>
      <c r="K342" s="113"/>
      <c r="L342" s="113"/>
      <c r="M342" s="113"/>
      <c r="N342" s="113"/>
      <c r="O342" s="113"/>
      <c r="P342" s="113"/>
      <c r="Q342" s="113"/>
      <c r="R342" s="113"/>
      <c r="S342" s="113"/>
      <c r="T342" s="113"/>
      <c r="U342" s="113"/>
      <c r="V342" s="113"/>
      <c r="W342" s="113"/>
      <c r="X342" s="113"/>
      <c r="Y342" s="113"/>
      <c r="Z342" s="113"/>
      <c r="AA342" s="113"/>
      <c r="AB342" s="113"/>
      <c r="AC342" s="113"/>
      <c r="AD342" s="113"/>
      <c r="AE342" s="113"/>
      <c r="AF342" s="113"/>
      <c r="AG342" s="113"/>
    </row>
    <row r="343" spans="1:33" ht="13.8">
      <c r="A343" s="113"/>
      <c r="B343" s="113"/>
      <c r="C343" s="113"/>
      <c r="D343" s="113"/>
      <c r="E343" s="113"/>
      <c r="F343" s="113"/>
      <c r="G343" s="113"/>
      <c r="H343" s="113"/>
      <c r="I343" s="113"/>
      <c r="J343" s="113"/>
      <c r="K343" s="113"/>
      <c r="L343" s="113"/>
      <c r="M343" s="113"/>
      <c r="N343" s="113"/>
      <c r="O343" s="113"/>
      <c r="P343" s="113"/>
      <c r="Q343" s="113"/>
      <c r="R343" s="113"/>
      <c r="S343" s="113"/>
      <c r="T343" s="113"/>
      <c r="U343" s="113"/>
      <c r="V343" s="113"/>
      <c r="W343" s="113"/>
      <c r="X343" s="113"/>
      <c r="Y343" s="113"/>
      <c r="Z343" s="113"/>
      <c r="AA343" s="113"/>
      <c r="AB343" s="113"/>
      <c r="AC343" s="113"/>
      <c r="AD343" s="113"/>
      <c r="AE343" s="113"/>
      <c r="AF343" s="113"/>
      <c r="AG343" s="113"/>
    </row>
    <row r="344" spans="1:33" ht="13.8">
      <c r="A344" s="113"/>
      <c r="B344" s="113"/>
      <c r="C344" s="113"/>
      <c r="D344" s="113"/>
      <c r="E344" s="113"/>
      <c r="F344" s="113"/>
      <c r="G344" s="113"/>
      <c r="H344" s="113"/>
      <c r="I344" s="113"/>
      <c r="J344" s="113"/>
      <c r="K344" s="113"/>
      <c r="L344" s="113"/>
      <c r="M344" s="113"/>
      <c r="N344" s="113"/>
      <c r="O344" s="113"/>
      <c r="P344" s="113"/>
      <c r="Q344" s="113"/>
      <c r="R344" s="113"/>
      <c r="S344" s="113"/>
      <c r="T344" s="113"/>
      <c r="U344" s="113"/>
      <c r="V344" s="113"/>
      <c r="W344" s="113"/>
      <c r="X344" s="113"/>
      <c r="Y344" s="113"/>
      <c r="Z344" s="113"/>
      <c r="AA344" s="113"/>
      <c r="AB344" s="113"/>
      <c r="AC344" s="113"/>
      <c r="AD344" s="113"/>
      <c r="AE344" s="113"/>
      <c r="AF344" s="113"/>
      <c r="AG344" s="113"/>
    </row>
    <row r="345" spans="1:33" ht="13.8">
      <c r="A345" s="113"/>
      <c r="B345" s="113"/>
      <c r="C345" s="113"/>
      <c r="D345" s="113"/>
      <c r="E345" s="113"/>
      <c r="F345" s="113"/>
      <c r="G345" s="113"/>
      <c r="H345" s="113"/>
      <c r="I345" s="113"/>
      <c r="J345" s="113"/>
      <c r="K345" s="113"/>
      <c r="L345" s="113"/>
      <c r="M345" s="113"/>
      <c r="N345" s="113"/>
      <c r="O345" s="113"/>
      <c r="P345" s="113"/>
      <c r="Q345" s="113"/>
      <c r="R345" s="113"/>
      <c r="S345" s="113"/>
      <c r="T345" s="113"/>
      <c r="U345" s="113"/>
      <c r="V345" s="113"/>
      <c r="W345" s="113"/>
      <c r="X345" s="113"/>
      <c r="Y345" s="113"/>
      <c r="Z345" s="113"/>
      <c r="AA345" s="113"/>
      <c r="AB345" s="113"/>
      <c r="AC345" s="113"/>
      <c r="AD345" s="113"/>
      <c r="AE345" s="113"/>
      <c r="AF345" s="113"/>
      <c r="AG345" s="113"/>
    </row>
    <row r="346" spans="1:33" ht="13.8">
      <c r="A346" s="113"/>
      <c r="B346" s="113"/>
      <c r="C346" s="113"/>
      <c r="D346" s="113"/>
      <c r="E346" s="113"/>
      <c r="F346" s="113"/>
      <c r="G346" s="113"/>
      <c r="H346" s="113"/>
      <c r="I346" s="113"/>
      <c r="J346" s="113"/>
      <c r="K346" s="113"/>
      <c r="L346" s="113"/>
      <c r="M346" s="113"/>
      <c r="N346" s="113"/>
      <c r="O346" s="113"/>
      <c r="P346" s="113"/>
      <c r="Q346" s="113"/>
      <c r="R346" s="113"/>
      <c r="S346" s="113"/>
      <c r="T346" s="113"/>
      <c r="U346" s="113"/>
      <c r="V346" s="113"/>
      <c r="W346" s="113"/>
      <c r="X346" s="113"/>
      <c r="Y346" s="113"/>
      <c r="Z346" s="113"/>
      <c r="AA346" s="113"/>
      <c r="AB346" s="113"/>
      <c r="AC346" s="113"/>
      <c r="AD346" s="113"/>
      <c r="AE346" s="113"/>
      <c r="AF346" s="113"/>
      <c r="AG346" s="113"/>
    </row>
    <row r="347" spans="1:33" ht="13.8">
      <c r="A347" s="113"/>
      <c r="B347" s="113"/>
      <c r="C347" s="113"/>
      <c r="D347" s="113"/>
      <c r="E347" s="113"/>
      <c r="F347" s="113"/>
      <c r="G347" s="113"/>
      <c r="H347" s="113"/>
      <c r="I347" s="113"/>
      <c r="J347" s="113"/>
      <c r="K347" s="113"/>
      <c r="L347" s="113"/>
      <c r="M347" s="113"/>
      <c r="N347" s="113"/>
      <c r="O347" s="113"/>
      <c r="P347" s="113"/>
      <c r="Q347" s="113"/>
      <c r="R347" s="113"/>
      <c r="S347" s="113"/>
      <c r="T347" s="113"/>
      <c r="U347" s="113"/>
      <c r="V347" s="113"/>
      <c r="W347" s="113"/>
      <c r="X347" s="113"/>
      <c r="Y347" s="113"/>
      <c r="Z347" s="113"/>
      <c r="AA347" s="113"/>
      <c r="AB347" s="113"/>
      <c r="AC347" s="113"/>
      <c r="AD347" s="113"/>
      <c r="AE347" s="113"/>
      <c r="AF347" s="113"/>
      <c r="AG347" s="113"/>
    </row>
    <row r="348" spans="1:33" ht="13.8">
      <c r="A348" s="113"/>
      <c r="B348" s="113"/>
      <c r="C348" s="113"/>
      <c r="D348" s="113"/>
      <c r="E348" s="113"/>
      <c r="F348" s="113"/>
      <c r="G348" s="113"/>
      <c r="H348" s="113"/>
      <c r="I348" s="113"/>
      <c r="J348" s="113"/>
      <c r="K348" s="113"/>
      <c r="L348" s="113"/>
      <c r="M348" s="113"/>
      <c r="N348" s="113"/>
      <c r="O348" s="113"/>
      <c r="P348" s="113"/>
      <c r="Q348" s="113"/>
      <c r="R348" s="113"/>
      <c r="S348" s="113"/>
      <c r="T348" s="113"/>
      <c r="U348" s="113"/>
      <c r="V348" s="113"/>
      <c r="W348" s="113"/>
      <c r="X348" s="113"/>
      <c r="Y348" s="113"/>
      <c r="Z348" s="113"/>
      <c r="AA348" s="113"/>
      <c r="AB348" s="113"/>
      <c r="AC348" s="113"/>
      <c r="AD348" s="113"/>
      <c r="AE348" s="113"/>
      <c r="AF348" s="113"/>
      <c r="AG348" s="113"/>
    </row>
    <row r="349" spans="1:33" ht="13.8">
      <c r="A349" s="113"/>
      <c r="B349" s="113"/>
      <c r="C349" s="113"/>
      <c r="D349" s="113"/>
      <c r="E349" s="113"/>
      <c r="F349" s="113"/>
      <c r="G349" s="113"/>
      <c r="H349" s="113"/>
      <c r="I349" s="113"/>
      <c r="J349" s="113"/>
      <c r="K349" s="113"/>
      <c r="L349" s="113"/>
      <c r="M349" s="113"/>
      <c r="N349" s="113"/>
      <c r="O349" s="113"/>
      <c r="P349" s="113"/>
      <c r="Q349" s="113"/>
      <c r="R349" s="113"/>
      <c r="S349" s="113"/>
      <c r="T349" s="113"/>
      <c r="U349" s="113"/>
      <c r="V349" s="113"/>
      <c r="W349" s="113"/>
      <c r="X349" s="113"/>
      <c r="Y349" s="113"/>
      <c r="Z349" s="113"/>
      <c r="AA349" s="113"/>
      <c r="AB349" s="113"/>
      <c r="AC349" s="113"/>
      <c r="AD349" s="113"/>
      <c r="AE349" s="113"/>
      <c r="AF349" s="113"/>
      <c r="AG349" s="113"/>
    </row>
    <row r="350" spans="1:33" ht="13.8">
      <c r="A350" s="113"/>
      <c r="B350" s="113"/>
      <c r="C350" s="113"/>
      <c r="D350" s="113"/>
      <c r="E350" s="113"/>
      <c r="F350" s="113"/>
      <c r="G350" s="113"/>
      <c r="H350" s="113"/>
      <c r="I350" s="113"/>
      <c r="J350" s="113"/>
      <c r="K350" s="113"/>
      <c r="L350" s="113"/>
      <c r="M350" s="113"/>
      <c r="N350" s="113"/>
      <c r="O350" s="113"/>
      <c r="P350" s="113"/>
      <c r="Q350" s="113"/>
      <c r="R350" s="113"/>
      <c r="S350" s="113"/>
      <c r="T350" s="113"/>
      <c r="U350" s="113"/>
      <c r="V350" s="113"/>
      <c r="W350" s="113"/>
      <c r="X350" s="113"/>
      <c r="Y350" s="113"/>
      <c r="Z350" s="113"/>
      <c r="AA350" s="113"/>
      <c r="AB350" s="113"/>
      <c r="AC350" s="113"/>
      <c r="AD350" s="113"/>
      <c r="AE350" s="113"/>
      <c r="AF350" s="113"/>
      <c r="AG350" s="113"/>
    </row>
    <row r="351" spans="1:33" ht="13.8">
      <c r="A351" s="113"/>
      <c r="B351" s="113"/>
      <c r="C351" s="113"/>
      <c r="D351" s="113"/>
      <c r="E351" s="113"/>
      <c r="F351" s="113"/>
      <c r="G351" s="113"/>
      <c r="H351" s="113"/>
      <c r="I351" s="113"/>
      <c r="J351" s="113"/>
      <c r="K351" s="113"/>
      <c r="L351" s="113"/>
      <c r="M351" s="113"/>
      <c r="N351" s="113"/>
      <c r="O351" s="113"/>
      <c r="P351" s="113"/>
      <c r="Q351" s="113"/>
      <c r="R351" s="113"/>
      <c r="S351" s="113"/>
      <c r="T351" s="113"/>
      <c r="U351" s="113"/>
      <c r="V351" s="113"/>
      <c r="W351" s="113"/>
      <c r="X351" s="113"/>
      <c r="Y351" s="113"/>
      <c r="Z351" s="113"/>
      <c r="AA351" s="113"/>
      <c r="AB351" s="113"/>
      <c r="AC351" s="113"/>
      <c r="AD351" s="113"/>
      <c r="AE351" s="113"/>
      <c r="AF351" s="113"/>
      <c r="AG351" s="113"/>
    </row>
    <row r="352" spans="1:33" ht="13.8">
      <c r="A352" s="113"/>
      <c r="B352" s="113"/>
      <c r="C352" s="113"/>
      <c r="D352" s="113"/>
      <c r="E352" s="113"/>
      <c r="F352" s="113"/>
      <c r="G352" s="113"/>
      <c r="H352" s="113"/>
      <c r="I352" s="113"/>
      <c r="J352" s="113"/>
      <c r="K352" s="113"/>
      <c r="L352" s="113"/>
      <c r="M352" s="113"/>
      <c r="N352" s="113"/>
      <c r="O352" s="113"/>
      <c r="P352" s="113"/>
      <c r="Q352" s="113"/>
      <c r="R352" s="113"/>
      <c r="S352" s="113"/>
      <c r="T352" s="113"/>
      <c r="U352" s="113"/>
      <c r="V352" s="113"/>
      <c r="W352" s="113"/>
      <c r="X352" s="113"/>
      <c r="Y352" s="113"/>
      <c r="Z352" s="113"/>
      <c r="AA352" s="113"/>
      <c r="AB352" s="113"/>
      <c r="AC352" s="113"/>
      <c r="AD352" s="113"/>
      <c r="AE352" s="113"/>
      <c r="AF352" s="113"/>
      <c r="AG352" s="113"/>
    </row>
    <row r="353" spans="1:33" ht="13.8">
      <c r="A353" s="113"/>
      <c r="B353" s="113"/>
      <c r="C353" s="113"/>
      <c r="D353" s="113"/>
      <c r="E353" s="113"/>
      <c r="F353" s="113"/>
      <c r="G353" s="113"/>
      <c r="H353" s="113"/>
      <c r="I353" s="113"/>
      <c r="J353" s="113"/>
      <c r="K353" s="113"/>
      <c r="L353" s="113"/>
      <c r="M353" s="113"/>
      <c r="N353" s="113"/>
      <c r="O353" s="113"/>
      <c r="P353" s="113"/>
      <c r="Q353" s="113"/>
      <c r="R353" s="113"/>
      <c r="S353" s="113"/>
      <c r="T353" s="113"/>
      <c r="U353" s="113"/>
      <c r="V353" s="113"/>
      <c r="W353" s="113"/>
      <c r="X353" s="113"/>
      <c r="Y353" s="113"/>
      <c r="Z353" s="113"/>
      <c r="AA353" s="113"/>
      <c r="AB353" s="113"/>
      <c r="AC353" s="113"/>
      <c r="AD353" s="113"/>
      <c r="AE353" s="113"/>
      <c r="AF353" s="113"/>
      <c r="AG353" s="113"/>
    </row>
    <row r="354" spans="1:33" ht="13.8">
      <c r="A354" s="113"/>
      <c r="B354" s="113"/>
      <c r="C354" s="113"/>
      <c r="D354" s="113"/>
      <c r="E354" s="113"/>
      <c r="F354" s="113"/>
      <c r="G354" s="113"/>
      <c r="H354" s="113"/>
      <c r="I354" s="113"/>
      <c r="J354" s="113"/>
      <c r="K354" s="113"/>
      <c r="L354" s="113"/>
      <c r="M354" s="113"/>
      <c r="N354" s="113"/>
      <c r="O354" s="113"/>
      <c r="P354" s="113"/>
      <c r="Q354" s="113"/>
      <c r="R354" s="113"/>
      <c r="S354" s="113"/>
      <c r="T354" s="113"/>
      <c r="U354" s="113"/>
      <c r="V354" s="113"/>
      <c r="W354" s="113"/>
      <c r="X354" s="113"/>
      <c r="Y354" s="113"/>
      <c r="Z354" s="113"/>
      <c r="AA354" s="113"/>
      <c r="AB354" s="113"/>
      <c r="AC354" s="113"/>
      <c r="AD354" s="113"/>
      <c r="AE354" s="113"/>
      <c r="AF354" s="113"/>
      <c r="AG354" s="113"/>
    </row>
    <row r="355" spans="1:33" ht="13.8">
      <c r="A355" s="113"/>
      <c r="B355" s="113"/>
      <c r="C355" s="113"/>
      <c r="D355" s="113"/>
      <c r="E355" s="113"/>
      <c r="F355" s="113"/>
      <c r="G355" s="113"/>
      <c r="H355" s="113"/>
      <c r="I355" s="113"/>
      <c r="J355" s="113"/>
      <c r="K355" s="113"/>
      <c r="L355" s="113"/>
      <c r="M355" s="113"/>
      <c r="N355" s="113"/>
      <c r="O355" s="113"/>
      <c r="P355" s="113"/>
      <c r="Q355" s="113"/>
      <c r="R355" s="113"/>
      <c r="S355" s="113"/>
      <c r="T355" s="113"/>
      <c r="U355" s="113"/>
      <c r="V355" s="113"/>
      <c r="W355" s="113"/>
      <c r="X355" s="113"/>
      <c r="Y355" s="113"/>
      <c r="Z355" s="113"/>
      <c r="AA355" s="113"/>
      <c r="AB355" s="113"/>
      <c r="AC355" s="113"/>
      <c r="AD355" s="113"/>
      <c r="AE355" s="113"/>
      <c r="AF355" s="113"/>
      <c r="AG355" s="113"/>
    </row>
    <row r="356" spans="1:33" ht="13.8">
      <c r="A356" s="113"/>
      <c r="B356" s="113"/>
      <c r="C356" s="113"/>
      <c r="D356" s="113"/>
      <c r="E356" s="113"/>
      <c r="F356" s="113"/>
      <c r="G356" s="113"/>
      <c r="H356" s="113"/>
      <c r="I356" s="113"/>
      <c r="J356" s="113"/>
      <c r="K356" s="113"/>
      <c r="L356" s="113"/>
      <c r="M356" s="113"/>
      <c r="N356" s="113"/>
      <c r="O356" s="113"/>
      <c r="P356" s="113"/>
      <c r="Q356" s="113"/>
      <c r="R356" s="113"/>
      <c r="S356" s="113"/>
      <c r="T356" s="113"/>
      <c r="U356" s="113"/>
      <c r="V356" s="113"/>
      <c r="W356" s="113"/>
      <c r="X356" s="113"/>
      <c r="Y356" s="113"/>
      <c r="Z356" s="113"/>
      <c r="AA356" s="113"/>
      <c r="AB356" s="113"/>
      <c r="AC356" s="113"/>
      <c r="AD356" s="113"/>
      <c r="AE356" s="113"/>
      <c r="AF356" s="113"/>
      <c r="AG356" s="113"/>
    </row>
    <row r="357" spans="1:33" ht="13.8">
      <c r="A357" s="113"/>
      <c r="B357" s="113"/>
      <c r="C357" s="113"/>
      <c r="D357" s="113"/>
      <c r="E357" s="113"/>
      <c r="F357" s="113"/>
      <c r="G357" s="113"/>
      <c r="H357" s="113"/>
      <c r="I357" s="113"/>
      <c r="J357" s="113"/>
      <c r="K357" s="113"/>
      <c r="L357" s="113"/>
      <c r="M357" s="113"/>
      <c r="N357" s="113"/>
      <c r="O357" s="113"/>
      <c r="P357" s="113"/>
      <c r="Q357" s="113"/>
      <c r="R357" s="113"/>
      <c r="S357" s="113"/>
      <c r="T357" s="113"/>
      <c r="U357" s="113"/>
      <c r="V357" s="113"/>
      <c r="W357" s="113"/>
      <c r="X357" s="113"/>
      <c r="Y357" s="113"/>
      <c r="Z357" s="113"/>
      <c r="AA357" s="113"/>
      <c r="AB357" s="113"/>
      <c r="AC357" s="113"/>
      <c r="AD357" s="113"/>
      <c r="AE357" s="113"/>
      <c r="AF357" s="113"/>
      <c r="AG357" s="113"/>
    </row>
    <row r="358" spans="1:33" ht="13.8">
      <c r="A358" s="113"/>
      <c r="B358" s="113"/>
      <c r="C358" s="113"/>
      <c r="D358" s="113"/>
      <c r="E358" s="113"/>
      <c r="F358" s="113"/>
      <c r="G358" s="113"/>
      <c r="H358" s="113"/>
      <c r="I358" s="113"/>
      <c r="J358" s="113"/>
      <c r="K358" s="113"/>
      <c r="L358" s="113"/>
      <c r="M358" s="113"/>
      <c r="N358" s="113"/>
      <c r="O358" s="113"/>
      <c r="P358" s="113"/>
      <c r="Q358" s="113"/>
      <c r="R358" s="113"/>
      <c r="S358" s="113"/>
      <c r="T358" s="113"/>
      <c r="U358" s="113"/>
      <c r="V358" s="113"/>
      <c r="W358" s="113"/>
      <c r="X358" s="113"/>
      <c r="Y358" s="113"/>
      <c r="Z358" s="113"/>
      <c r="AA358" s="113"/>
      <c r="AB358" s="113"/>
      <c r="AC358" s="113"/>
      <c r="AD358" s="113"/>
      <c r="AE358" s="113"/>
      <c r="AF358" s="113"/>
      <c r="AG358" s="113"/>
    </row>
    <row r="359" spans="1:33" ht="13.8">
      <c r="A359" s="113"/>
      <c r="B359" s="113"/>
      <c r="C359" s="113"/>
      <c r="D359" s="113"/>
      <c r="E359" s="113"/>
      <c r="F359" s="113"/>
      <c r="G359" s="113"/>
      <c r="H359" s="113"/>
      <c r="I359" s="113"/>
      <c r="J359" s="113"/>
      <c r="K359" s="113"/>
      <c r="L359" s="113"/>
      <c r="M359" s="113"/>
      <c r="N359" s="113"/>
      <c r="O359" s="113"/>
      <c r="P359" s="113"/>
      <c r="Q359" s="113"/>
      <c r="R359" s="113"/>
      <c r="S359" s="113"/>
      <c r="T359" s="113"/>
      <c r="U359" s="113"/>
      <c r="V359" s="113"/>
      <c r="W359" s="113"/>
      <c r="X359" s="113"/>
      <c r="Y359" s="113"/>
      <c r="Z359" s="113"/>
      <c r="AA359" s="113"/>
      <c r="AB359" s="113"/>
      <c r="AC359" s="113"/>
      <c r="AD359" s="113"/>
      <c r="AE359" s="113"/>
      <c r="AF359" s="113"/>
      <c r="AG359" s="113"/>
    </row>
    <row r="360" spans="1:33" ht="13.8">
      <c r="A360" s="113"/>
      <c r="B360" s="113"/>
      <c r="C360" s="113"/>
      <c r="D360" s="113"/>
      <c r="E360" s="113"/>
      <c r="F360" s="113"/>
      <c r="G360" s="113"/>
      <c r="H360" s="113"/>
      <c r="I360" s="113"/>
      <c r="J360" s="113"/>
      <c r="K360" s="113"/>
      <c r="L360" s="113"/>
      <c r="M360" s="113"/>
      <c r="N360" s="113"/>
      <c r="O360" s="113"/>
      <c r="P360" s="113"/>
      <c r="Q360" s="113"/>
      <c r="R360" s="113"/>
      <c r="S360" s="113"/>
      <c r="T360" s="113"/>
      <c r="U360" s="113"/>
      <c r="V360" s="113"/>
      <c r="W360" s="113"/>
      <c r="X360" s="113"/>
      <c r="Y360" s="113"/>
      <c r="Z360" s="113"/>
      <c r="AA360" s="113"/>
      <c r="AB360" s="113"/>
      <c r="AC360" s="113"/>
      <c r="AD360" s="113"/>
      <c r="AE360" s="113"/>
      <c r="AF360" s="113"/>
      <c r="AG360" s="113"/>
    </row>
    <row r="361" spans="1:33" ht="13.8">
      <c r="A361" s="113"/>
      <c r="B361" s="113"/>
      <c r="C361" s="113"/>
      <c r="D361" s="113"/>
      <c r="E361" s="113"/>
      <c r="F361" s="113"/>
      <c r="G361" s="113"/>
      <c r="H361" s="113"/>
      <c r="I361" s="113"/>
      <c r="J361" s="113"/>
      <c r="K361" s="113"/>
      <c r="L361" s="113"/>
      <c r="M361" s="113"/>
      <c r="N361" s="113"/>
      <c r="O361" s="113"/>
      <c r="P361" s="113"/>
      <c r="Q361" s="113"/>
      <c r="R361" s="113"/>
      <c r="S361" s="113"/>
      <c r="T361" s="113"/>
      <c r="U361" s="113"/>
      <c r="V361" s="113"/>
      <c r="W361" s="113"/>
      <c r="X361" s="113"/>
      <c r="Y361" s="113"/>
      <c r="Z361" s="113"/>
      <c r="AA361" s="113"/>
      <c r="AB361" s="113"/>
      <c r="AC361" s="113"/>
      <c r="AD361" s="113"/>
      <c r="AE361" s="113"/>
      <c r="AF361" s="113"/>
      <c r="AG361" s="113"/>
    </row>
    <row r="362" spans="1:33" ht="13.8">
      <c r="A362" s="113"/>
      <c r="B362" s="113"/>
      <c r="C362" s="113"/>
      <c r="D362" s="113"/>
      <c r="E362" s="113"/>
      <c r="F362" s="113"/>
      <c r="G362" s="113"/>
      <c r="H362" s="113"/>
      <c r="I362" s="113"/>
      <c r="J362" s="113"/>
      <c r="K362" s="113"/>
      <c r="L362" s="113"/>
      <c r="M362" s="113"/>
      <c r="N362" s="113"/>
      <c r="O362" s="113"/>
      <c r="P362" s="113"/>
      <c r="Q362" s="113"/>
      <c r="R362" s="113"/>
      <c r="S362" s="113"/>
      <c r="T362" s="113"/>
      <c r="U362" s="113"/>
      <c r="V362" s="113"/>
      <c r="W362" s="113"/>
      <c r="X362" s="113"/>
      <c r="Y362" s="113"/>
      <c r="Z362" s="113"/>
      <c r="AA362" s="113"/>
      <c r="AB362" s="113"/>
      <c r="AC362" s="113"/>
      <c r="AD362" s="113"/>
      <c r="AE362" s="113"/>
      <c r="AF362" s="113"/>
      <c r="AG362" s="113"/>
    </row>
    <row r="363" spans="1:33" ht="13.8">
      <c r="A363" s="113"/>
      <c r="B363" s="113"/>
      <c r="C363" s="113"/>
      <c r="D363" s="113"/>
      <c r="E363" s="113"/>
      <c r="F363" s="113"/>
      <c r="G363" s="113"/>
      <c r="H363" s="113"/>
      <c r="I363" s="113"/>
      <c r="J363" s="113"/>
      <c r="K363" s="113"/>
      <c r="L363" s="113"/>
      <c r="M363" s="113"/>
      <c r="N363" s="113"/>
      <c r="O363" s="113"/>
      <c r="P363" s="113"/>
      <c r="Q363" s="113"/>
      <c r="R363" s="113"/>
      <c r="S363" s="113"/>
      <c r="T363" s="113"/>
      <c r="U363" s="113"/>
      <c r="V363" s="113"/>
      <c r="W363" s="113"/>
      <c r="X363" s="113"/>
      <c r="Y363" s="113"/>
      <c r="Z363" s="113"/>
      <c r="AA363" s="113"/>
      <c r="AB363" s="113"/>
      <c r="AC363" s="113"/>
      <c r="AD363" s="113"/>
      <c r="AE363" s="113"/>
      <c r="AF363" s="113"/>
      <c r="AG363" s="113"/>
    </row>
    <row r="364" spans="1:33" ht="13.8">
      <c r="A364" s="113"/>
      <c r="B364" s="113"/>
      <c r="C364" s="113"/>
      <c r="D364" s="113"/>
      <c r="E364" s="113"/>
      <c r="F364" s="113"/>
      <c r="G364" s="113"/>
      <c r="H364" s="113"/>
      <c r="I364" s="113"/>
      <c r="J364" s="113"/>
      <c r="K364" s="113"/>
      <c r="L364" s="113"/>
      <c r="M364" s="113"/>
      <c r="N364" s="113"/>
      <c r="O364" s="113"/>
      <c r="P364" s="113"/>
      <c r="Q364" s="113"/>
      <c r="R364" s="113"/>
      <c r="S364" s="113"/>
      <c r="T364" s="113"/>
      <c r="U364" s="113"/>
      <c r="V364" s="113"/>
      <c r="W364" s="113"/>
      <c r="X364" s="113"/>
      <c r="Y364" s="113"/>
      <c r="Z364" s="113"/>
      <c r="AA364" s="113"/>
      <c r="AB364" s="113"/>
      <c r="AC364" s="113"/>
      <c r="AD364" s="113"/>
      <c r="AE364" s="113"/>
      <c r="AF364" s="113"/>
      <c r="AG364" s="113"/>
    </row>
    <row r="365" spans="1:33" ht="13.8">
      <c r="A365" s="113"/>
      <c r="B365" s="113"/>
      <c r="C365" s="113"/>
      <c r="D365" s="113"/>
      <c r="E365" s="113"/>
      <c r="F365" s="113"/>
      <c r="G365" s="113"/>
      <c r="H365" s="113"/>
      <c r="I365" s="113"/>
      <c r="J365" s="113"/>
      <c r="K365" s="113"/>
      <c r="L365" s="113"/>
      <c r="M365" s="113"/>
      <c r="N365" s="113"/>
      <c r="O365" s="113"/>
      <c r="P365" s="113"/>
      <c r="Q365" s="113"/>
      <c r="R365" s="113"/>
      <c r="S365" s="113"/>
      <c r="T365" s="113"/>
      <c r="U365" s="113"/>
      <c r="V365" s="113"/>
      <c r="W365" s="113"/>
      <c r="X365" s="113"/>
      <c r="Y365" s="113"/>
      <c r="Z365" s="113"/>
      <c r="AA365" s="113"/>
      <c r="AB365" s="113"/>
      <c r="AC365" s="113"/>
      <c r="AD365" s="113"/>
      <c r="AE365" s="113"/>
      <c r="AF365" s="113"/>
      <c r="AG365" s="113"/>
    </row>
    <row r="366" spans="1:33" ht="13.8">
      <c r="A366" s="113"/>
      <c r="B366" s="113"/>
      <c r="C366" s="113"/>
      <c r="D366" s="113"/>
      <c r="E366" s="113"/>
      <c r="F366" s="113"/>
      <c r="G366" s="113"/>
      <c r="H366" s="113"/>
      <c r="I366" s="113"/>
      <c r="J366" s="113"/>
      <c r="K366" s="113"/>
      <c r="L366" s="113"/>
      <c r="M366" s="113"/>
      <c r="N366" s="113"/>
      <c r="O366" s="113"/>
      <c r="P366" s="113"/>
      <c r="Q366" s="113"/>
      <c r="R366" s="113"/>
      <c r="S366" s="113"/>
      <c r="T366" s="113"/>
      <c r="U366" s="113"/>
      <c r="V366" s="113"/>
      <c r="W366" s="113"/>
      <c r="X366" s="113"/>
      <c r="Y366" s="113"/>
      <c r="Z366" s="113"/>
      <c r="AA366" s="113"/>
      <c r="AB366" s="113"/>
      <c r="AC366" s="113"/>
      <c r="AD366" s="113"/>
      <c r="AE366" s="113"/>
      <c r="AF366" s="113"/>
      <c r="AG366" s="113"/>
    </row>
    <row r="367" spans="1:33" ht="13.8">
      <c r="A367" s="113"/>
      <c r="B367" s="113"/>
      <c r="C367" s="113"/>
      <c r="D367" s="113"/>
      <c r="E367" s="113"/>
      <c r="F367" s="113"/>
      <c r="G367" s="113"/>
      <c r="H367" s="113"/>
      <c r="I367" s="113"/>
      <c r="J367" s="113"/>
      <c r="K367" s="113"/>
      <c r="L367" s="113"/>
      <c r="M367" s="113"/>
      <c r="N367" s="113"/>
      <c r="O367" s="113"/>
      <c r="P367" s="113"/>
      <c r="Q367" s="113"/>
      <c r="R367" s="113"/>
      <c r="S367" s="113"/>
      <c r="T367" s="113"/>
      <c r="U367" s="113"/>
      <c r="V367" s="113"/>
      <c r="W367" s="113"/>
      <c r="X367" s="113"/>
      <c r="Y367" s="113"/>
      <c r="Z367" s="113"/>
      <c r="AA367" s="113"/>
      <c r="AB367" s="113"/>
      <c r="AC367" s="113"/>
      <c r="AD367" s="113"/>
      <c r="AE367" s="113"/>
      <c r="AF367" s="113"/>
      <c r="AG367" s="113"/>
    </row>
    <row r="368" spans="1:33" ht="13.8">
      <c r="A368" s="113"/>
      <c r="B368" s="113"/>
      <c r="C368" s="113"/>
      <c r="D368" s="113"/>
      <c r="E368" s="113"/>
      <c r="F368" s="113"/>
      <c r="G368" s="113"/>
      <c r="H368" s="113"/>
      <c r="I368" s="113"/>
      <c r="J368" s="113"/>
      <c r="K368" s="113"/>
      <c r="L368" s="113"/>
      <c r="M368" s="113"/>
      <c r="N368" s="113"/>
      <c r="O368" s="113"/>
      <c r="P368" s="113"/>
      <c r="Q368" s="113"/>
      <c r="R368" s="113"/>
      <c r="S368" s="113"/>
      <c r="T368" s="113"/>
      <c r="U368" s="113"/>
      <c r="V368" s="113"/>
      <c r="W368" s="113"/>
      <c r="X368" s="113"/>
      <c r="Y368" s="113"/>
      <c r="Z368" s="113"/>
      <c r="AA368" s="113"/>
      <c r="AB368" s="113"/>
      <c r="AC368" s="113"/>
      <c r="AD368" s="113"/>
      <c r="AE368" s="113"/>
      <c r="AF368" s="113"/>
      <c r="AG368" s="113"/>
    </row>
    <row r="369" spans="1:33" ht="13.8">
      <c r="A369" s="113"/>
      <c r="B369" s="113"/>
      <c r="C369" s="113"/>
      <c r="D369" s="113"/>
      <c r="E369" s="113"/>
      <c r="F369" s="113"/>
      <c r="G369" s="113"/>
      <c r="H369" s="113"/>
      <c r="I369" s="113"/>
      <c r="J369" s="113"/>
      <c r="K369" s="113"/>
      <c r="L369" s="113"/>
      <c r="M369" s="113"/>
      <c r="N369" s="113"/>
      <c r="O369" s="113"/>
      <c r="P369" s="113"/>
      <c r="Q369" s="113"/>
      <c r="R369" s="113"/>
      <c r="S369" s="113"/>
      <c r="T369" s="113"/>
      <c r="U369" s="113"/>
      <c r="V369" s="113"/>
      <c r="W369" s="113"/>
      <c r="X369" s="113"/>
      <c r="Y369" s="113"/>
      <c r="Z369" s="113"/>
      <c r="AA369" s="113"/>
      <c r="AB369" s="113"/>
      <c r="AC369" s="113"/>
      <c r="AD369" s="113"/>
      <c r="AE369" s="113"/>
      <c r="AF369" s="113"/>
      <c r="AG369" s="113"/>
    </row>
    <row r="370" spans="1:33" ht="13.8">
      <c r="A370" s="113"/>
      <c r="B370" s="113"/>
      <c r="C370" s="113"/>
      <c r="D370" s="113"/>
      <c r="E370" s="113"/>
      <c r="F370" s="113"/>
      <c r="G370" s="113"/>
      <c r="H370" s="113"/>
      <c r="I370" s="113"/>
      <c r="J370" s="113"/>
      <c r="K370" s="113"/>
      <c r="L370" s="113"/>
      <c r="M370" s="113"/>
      <c r="N370" s="113"/>
      <c r="O370" s="113"/>
      <c r="P370" s="113"/>
      <c r="Q370" s="113"/>
      <c r="R370" s="113"/>
      <c r="S370" s="113"/>
      <c r="T370" s="113"/>
      <c r="U370" s="113"/>
      <c r="V370" s="113"/>
      <c r="W370" s="113"/>
      <c r="X370" s="113"/>
      <c r="Y370" s="113"/>
      <c r="Z370" s="113"/>
      <c r="AA370" s="113"/>
      <c r="AB370" s="113"/>
      <c r="AC370" s="113"/>
      <c r="AD370" s="113"/>
      <c r="AE370" s="113"/>
      <c r="AF370" s="113"/>
      <c r="AG370" s="113"/>
    </row>
    <row r="371" spans="1:33" ht="13.8">
      <c r="A371" s="113"/>
      <c r="B371" s="113"/>
      <c r="C371" s="113"/>
      <c r="D371" s="113"/>
      <c r="E371" s="113"/>
      <c r="F371" s="113"/>
      <c r="G371" s="113"/>
      <c r="H371" s="113"/>
      <c r="I371" s="113"/>
      <c r="J371" s="113"/>
      <c r="K371" s="113"/>
      <c r="L371" s="113"/>
      <c r="M371" s="113"/>
      <c r="N371" s="113"/>
      <c r="O371" s="113"/>
      <c r="P371" s="113"/>
      <c r="Q371" s="113"/>
      <c r="R371" s="113"/>
      <c r="S371" s="113"/>
      <c r="T371" s="113"/>
      <c r="U371" s="113"/>
      <c r="V371" s="113"/>
      <c r="W371" s="113"/>
      <c r="X371" s="113"/>
      <c r="Y371" s="113"/>
      <c r="Z371" s="113"/>
      <c r="AA371" s="113"/>
      <c r="AB371" s="113"/>
      <c r="AC371" s="113"/>
      <c r="AD371" s="113"/>
      <c r="AE371" s="113"/>
      <c r="AF371" s="113"/>
      <c r="AG371" s="113"/>
    </row>
    <row r="372" spans="1:33" ht="13.8">
      <c r="A372" s="113"/>
      <c r="B372" s="113"/>
      <c r="C372" s="113"/>
      <c r="D372" s="113"/>
      <c r="E372" s="113"/>
      <c r="F372" s="113"/>
      <c r="G372" s="113"/>
      <c r="H372" s="113"/>
      <c r="I372" s="113"/>
      <c r="J372" s="113"/>
      <c r="K372" s="113"/>
      <c r="L372" s="113"/>
      <c r="M372" s="113"/>
      <c r="N372" s="113"/>
      <c r="O372" s="113"/>
      <c r="P372" s="113"/>
      <c r="Q372" s="113"/>
      <c r="R372" s="113"/>
      <c r="S372" s="113"/>
      <c r="T372" s="113"/>
      <c r="U372" s="113"/>
      <c r="V372" s="113"/>
      <c r="W372" s="113"/>
      <c r="X372" s="113"/>
      <c r="Y372" s="113"/>
      <c r="Z372" s="113"/>
      <c r="AA372" s="113"/>
      <c r="AB372" s="113"/>
      <c r="AC372" s="113"/>
      <c r="AD372" s="113"/>
      <c r="AE372" s="113"/>
      <c r="AF372" s="113"/>
      <c r="AG372" s="113"/>
    </row>
    <row r="373" spans="1:33" ht="13.8">
      <c r="A373" s="113"/>
      <c r="B373" s="113"/>
      <c r="C373" s="113"/>
      <c r="D373" s="113"/>
      <c r="E373" s="113"/>
      <c r="F373" s="113"/>
      <c r="G373" s="113"/>
      <c r="H373" s="113"/>
      <c r="I373" s="113"/>
      <c r="J373" s="113"/>
      <c r="K373" s="113"/>
      <c r="L373" s="113"/>
      <c r="M373" s="113"/>
      <c r="N373" s="113"/>
      <c r="O373" s="113"/>
      <c r="P373" s="113"/>
      <c r="Q373" s="113"/>
      <c r="R373" s="113"/>
      <c r="S373" s="113"/>
      <c r="T373" s="113"/>
      <c r="U373" s="113"/>
      <c r="V373" s="113"/>
      <c r="W373" s="113"/>
      <c r="X373" s="113"/>
      <c r="Y373" s="113"/>
      <c r="Z373" s="113"/>
      <c r="AA373" s="113"/>
      <c r="AB373" s="113"/>
      <c r="AC373" s="113"/>
      <c r="AD373" s="113"/>
      <c r="AE373" s="113"/>
      <c r="AF373" s="113"/>
      <c r="AG373" s="113"/>
    </row>
    <row r="374" spans="1:33" ht="13.8">
      <c r="A374" s="113"/>
      <c r="B374" s="113"/>
      <c r="C374" s="113"/>
      <c r="D374" s="113"/>
      <c r="E374" s="113"/>
      <c r="F374" s="113"/>
      <c r="G374" s="113"/>
      <c r="H374" s="113"/>
      <c r="I374" s="113"/>
      <c r="J374" s="113"/>
      <c r="K374" s="113"/>
      <c r="L374" s="113"/>
      <c r="M374" s="113"/>
      <c r="N374" s="113"/>
      <c r="O374" s="113"/>
      <c r="P374" s="113"/>
      <c r="Q374" s="113"/>
      <c r="R374" s="113"/>
      <c r="S374" s="113"/>
      <c r="T374" s="113"/>
      <c r="U374" s="113"/>
      <c r="V374" s="113"/>
      <c r="W374" s="113"/>
      <c r="X374" s="113"/>
      <c r="Y374" s="113"/>
      <c r="Z374" s="113"/>
      <c r="AA374" s="113"/>
      <c r="AB374" s="113"/>
      <c r="AC374" s="113"/>
      <c r="AD374" s="113"/>
      <c r="AE374" s="113"/>
      <c r="AF374" s="113"/>
      <c r="AG374" s="113"/>
    </row>
    <row r="375" spans="1:33" ht="13.8">
      <c r="A375" s="113"/>
      <c r="B375" s="113"/>
      <c r="C375" s="113"/>
      <c r="D375" s="113"/>
      <c r="E375" s="113"/>
      <c r="F375" s="113"/>
      <c r="G375" s="113"/>
      <c r="H375" s="113"/>
      <c r="I375" s="113"/>
      <c r="J375" s="113"/>
      <c r="K375" s="113"/>
      <c r="L375" s="113"/>
      <c r="M375" s="113"/>
      <c r="N375" s="113"/>
      <c r="O375" s="113"/>
      <c r="P375" s="113"/>
      <c r="Q375" s="113"/>
      <c r="R375" s="113"/>
      <c r="S375" s="113"/>
      <c r="T375" s="113"/>
      <c r="U375" s="113"/>
      <c r="V375" s="113"/>
      <c r="W375" s="113"/>
      <c r="X375" s="113"/>
      <c r="Y375" s="113"/>
      <c r="Z375" s="113"/>
      <c r="AA375" s="113"/>
      <c r="AB375" s="113"/>
      <c r="AC375" s="113"/>
      <c r="AD375" s="113"/>
      <c r="AE375" s="113"/>
      <c r="AF375" s="113"/>
      <c r="AG375" s="113"/>
    </row>
    <row r="376" spans="1:33" ht="13.8">
      <c r="A376" s="113"/>
      <c r="B376" s="113"/>
      <c r="C376" s="113"/>
      <c r="D376" s="113"/>
      <c r="E376" s="113"/>
      <c r="F376" s="113"/>
      <c r="G376" s="113"/>
      <c r="H376" s="113"/>
      <c r="I376" s="113"/>
      <c r="J376" s="113"/>
      <c r="K376" s="113"/>
      <c r="L376" s="113"/>
      <c r="M376" s="113"/>
      <c r="N376" s="113"/>
      <c r="O376" s="113"/>
      <c r="P376" s="113"/>
      <c r="Q376" s="113"/>
      <c r="R376" s="113"/>
      <c r="S376" s="113"/>
      <c r="T376" s="113"/>
      <c r="U376" s="113"/>
      <c r="V376" s="113"/>
      <c r="W376" s="113"/>
      <c r="X376" s="113"/>
      <c r="Y376" s="113"/>
      <c r="Z376" s="113"/>
      <c r="AA376" s="113"/>
      <c r="AB376" s="113"/>
      <c r="AC376" s="113"/>
      <c r="AD376" s="113"/>
      <c r="AE376" s="113"/>
      <c r="AF376" s="113"/>
      <c r="AG376" s="113"/>
    </row>
    <row r="377" spans="1:33" ht="13.8">
      <c r="A377" s="113"/>
      <c r="B377" s="113"/>
      <c r="C377" s="113"/>
      <c r="D377" s="113"/>
      <c r="E377" s="113"/>
      <c r="F377" s="113"/>
      <c r="G377" s="113"/>
      <c r="H377" s="113"/>
      <c r="I377" s="113"/>
      <c r="J377" s="113"/>
      <c r="K377" s="113"/>
      <c r="L377" s="113"/>
      <c r="M377" s="113"/>
      <c r="N377" s="113"/>
      <c r="O377" s="113"/>
      <c r="P377" s="113"/>
      <c r="Q377" s="113"/>
      <c r="R377" s="113"/>
      <c r="S377" s="113"/>
      <c r="T377" s="113"/>
      <c r="U377" s="113"/>
      <c r="V377" s="113"/>
      <c r="W377" s="113"/>
      <c r="X377" s="113"/>
      <c r="Y377" s="113"/>
      <c r="Z377" s="113"/>
      <c r="AA377" s="113"/>
      <c r="AB377" s="113"/>
      <c r="AC377" s="113"/>
      <c r="AD377" s="113"/>
      <c r="AE377" s="113"/>
      <c r="AF377" s="113"/>
      <c r="AG377" s="113"/>
    </row>
    <row r="378" spans="1:33" ht="13.8">
      <c r="A378" s="113"/>
      <c r="B378" s="113"/>
      <c r="C378" s="113"/>
      <c r="D378" s="113"/>
      <c r="E378" s="113"/>
      <c r="F378" s="113"/>
      <c r="G378" s="113"/>
      <c r="H378" s="113"/>
      <c r="I378" s="113"/>
      <c r="J378" s="113"/>
      <c r="K378" s="113"/>
      <c r="L378" s="113"/>
      <c r="M378" s="113"/>
      <c r="N378" s="113"/>
      <c r="O378" s="113"/>
      <c r="P378" s="113"/>
      <c r="Q378" s="113"/>
      <c r="R378" s="113"/>
      <c r="S378" s="113"/>
      <c r="T378" s="113"/>
      <c r="U378" s="113"/>
      <c r="V378" s="113"/>
      <c r="W378" s="113"/>
      <c r="X378" s="113"/>
      <c r="Y378" s="113"/>
      <c r="Z378" s="113"/>
      <c r="AA378" s="113"/>
      <c r="AB378" s="113"/>
      <c r="AC378" s="113"/>
      <c r="AD378" s="113"/>
      <c r="AE378" s="113"/>
      <c r="AF378" s="113"/>
      <c r="AG378" s="113"/>
    </row>
    <row r="379" spans="1:33" ht="13.8">
      <c r="A379" s="113"/>
      <c r="B379" s="113"/>
      <c r="C379" s="113"/>
      <c r="D379" s="113"/>
      <c r="E379" s="113"/>
      <c r="F379" s="113"/>
      <c r="G379" s="113"/>
      <c r="H379" s="113"/>
      <c r="I379" s="113"/>
      <c r="J379" s="113"/>
      <c r="K379" s="113"/>
      <c r="L379" s="113"/>
      <c r="M379" s="113"/>
      <c r="N379" s="113"/>
      <c r="O379" s="113"/>
      <c r="P379" s="113"/>
      <c r="Q379" s="113"/>
      <c r="R379" s="113"/>
      <c r="S379" s="113"/>
      <c r="T379" s="113"/>
      <c r="U379" s="113"/>
      <c r="V379" s="113"/>
      <c r="W379" s="113"/>
      <c r="X379" s="113"/>
      <c r="Y379" s="113"/>
      <c r="Z379" s="113"/>
      <c r="AA379" s="113"/>
      <c r="AB379" s="113"/>
      <c r="AC379" s="113"/>
      <c r="AD379" s="113"/>
      <c r="AE379" s="113"/>
      <c r="AF379" s="113"/>
      <c r="AG379" s="113"/>
    </row>
    <row r="380" spans="1:33" ht="13.8">
      <c r="A380" s="113"/>
      <c r="B380" s="113"/>
      <c r="C380" s="113"/>
      <c r="D380" s="113"/>
      <c r="E380" s="113"/>
      <c r="F380" s="113"/>
      <c r="G380" s="113"/>
      <c r="H380" s="113"/>
      <c r="I380" s="113"/>
      <c r="J380" s="113"/>
      <c r="K380" s="113"/>
      <c r="L380" s="113"/>
      <c r="M380" s="113"/>
      <c r="N380" s="113"/>
      <c r="O380" s="113"/>
      <c r="P380" s="113"/>
      <c r="Q380" s="113"/>
      <c r="R380" s="113"/>
      <c r="S380" s="113"/>
      <c r="T380" s="113"/>
      <c r="U380" s="113"/>
      <c r="V380" s="113"/>
      <c r="W380" s="113"/>
      <c r="X380" s="113"/>
      <c r="Y380" s="113"/>
      <c r="Z380" s="113"/>
      <c r="AA380" s="113"/>
      <c r="AB380" s="113"/>
      <c r="AC380" s="113"/>
      <c r="AD380" s="113"/>
      <c r="AE380" s="113"/>
      <c r="AF380" s="113"/>
      <c r="AG380" s="113"/>
    </row>
    <row r="381" spans="1:33" ht="13.8">
      <c r="A381" s="113"/>
      <c r="B381" s="113"/>
      <c r="C381" s="113"/>
      <c r="D381" s="113"/>
      <c r="E381" s="113"/>
      <c r="F381" s="113"/>
      <c r="G381" s="113"/>
      <c r="H381" s="113"/>
      <c r="I381" s="113"/>
      <c r="J381" s="113"/>
      <c r="K381" s="113"/>
      <c r="L381" s="113"/>
      <c r="M381" s="113"/>
      <c r="N381" s="113"/>
      <c r="O381" s="113"/>
      <c r="P381" s="113"/>
      <c r="Q381" s="113"/>
      <c r="R381" s="113"/>
      <c r="S381" s="113"/>
      <c r="T381" s="113"/>
      <c r="U381" s="113"/>
      <c r="V381" s="113"/>
      <c r="W381" s="113"/>
      <c r="X381" s="113"/>
      <c r="Y381" s="113"/>
      <c r="Z381" s="113"/>
      <c r="AA381" s="113"/>
      <c r="AB381" s="113"/>
      <c r="AC381" s="113"/>
      <c r="AD381" s="113"/>
      <c r="AE381" s="113"/>
      <c r="AF381" s="113"/>
      <c r="AG381" s="113"/>
    </row>
    <row r="382" spans="1:33" ht="13.8">
      <c r="A382" s="113"/>
      <c r="B382" s="113"/>
      <c r="C382" s="113"/>
      <c r="D382" s="113"/>
      <c r="E382" s="113"/>
      <c r="F382" s="113"/>
      <c r="G382" s="113"/>
      <c r="H382" s="113"/>
      <c r="I382" s="113"/>
      <c r="J382" s="113"/>
      <c r="K382" s="113"/>
      <c r="L382" s="113"/>
      <c r="M382" s="113"/>
      <c r="N382" s="113"/>
      <c r="O382" s="113"/>
      <c r="P382" s="113"/>
      <c r="Q382" s="113"/>
      <c r="R382" s="113"/>
      <c r="S382" s="113"/>
      <c r="T382" s="113"/>
      <c r="U382" s="113"/>
      <c r="V382" s="113"/>
      <c r="W382" s="113"/>
      <c r="X382" s="113"/>
      <c r="Y382" s="113"/>
      <c r="Z382" s="113"/>
      <c r="AA382" s="113"/>
      <c r="AB382" s="113"/>
      <c r="AC382" s="113"/>
      <c r="AD382" s="113"/>
      <c r="AE382" s="113"/>
      <c r="AF382" s="113"/>
      <c r="AG382" s="113"/>
    </row>
    <row r="383" spans="1:33" ht="13.8">
      <c r="A383" s="113"/>
      <c r="B383" s="113"/>
      <c r="C383" s="113"/>
      <c r="D383" s="113"/>
      <c r="E383" s="113"/>
      <c r="F383" s="113"/>
      <c r="G383" s="113"/>
      <c r="H383" s="113"/>
      <c r="I383" s="113"/>
      <c r="J383" s="113"/>
      <c r="K383" s="113"/>
      <c r="L383" s="113"/>
      <c r="M383" s="113"/>
      <c r="N383" s="113"/>
      <c r="O383" s="113"/>
      <c r="P383" s="113"/>
      <c r="Q383" s="113"/>
      <c r="R383" s="113"/>
      <c r="S383" s="113"/>
      <c r="T383" s="113"/>
      <c r="U383" s="113"/>
      <c r="V383" s="113"/>
      <c r="W383" s="113"/>
      <c r="X383" s="113"/>
      <c r="Y383" s="113"/>
      <c r="Z383" s="113"/>
      <c r="AA383" s="113"/>
      <c r="AB383" s="113"/>
      <c r="AC383" s="113"/>
      <c r="AD383" s="113"/>
      <c r="AE383" s="113"/>
      <c r="AF383" s="113"/>
      <c r="AG383" s="113"/>
    </row>
    <row r="384" spans="1:33" ht="13.8">
      <c r="A384" s="113"/>
      <c r="B384" s="113"/>
      <c r="C384" s="113"/>
      <c r="D384" s="113"/>
      <c r="E384" s="113"/>
      <c r="F384" s="113"/>
      <c r="G384" s="113"/>
      <c r="H384" s="113"/>
      <c r="I384" s="113"/>
      <c r="J384" s="113"/>
      <c r="K384" s="113"/>
      <c r="L384" s="113"/>
      <c r="M384" s="113"/>
      <c r="N384" s="113"/>
      <c r="O384" s="113"/>
      <c r="P384" s="113"/>
      <c r="Q384" s="113"/>
      <c r="R384" s="113"/>
      <c r="S384" s="113"/>
      <c r="T384" s="113"/>
      <c r="U384" s="113"/>
      <c r="V384" s="113"/>
      <c r="W384" s="113"/>
      <c r="X384" s="113"/>
      <c r="Y384" s="113"/>
      <c r="Z384" s="113"/>
      <c r="AA384" s="113"/>
      <c r="AB384" s="113"/>
      <c r="AC384" s="113"/>
      <c r="AD384" s="113"/>
      <c r="AE384" s="113"/>
      <c r="AF384" s="113"/>
      <c r="AG384" s="113"/>
    </row>
    <row r="385" spans="1:33" ht="13.8">
      <c r="A385" s="113"/>
      <c r="B385" s="113"/>
      <c r="C385" s="113"/>
      <c r="D385" s="113"/>
      <c r="E385" s="113"/>
      <c r="F385" s="113"/>
      <c r="G385" s="113"/>
      <c r="H385" s="113"/>
      <c r="I385" s="113"/>
      <c r="J385" s="113"/>
      <c r="K385" s="113"/>
      <c r="L385" s="113"/>
      <c r="M385" s="113"/>
      <c r="N385" s="113"/>
      <c r="O385" s="113"/>
      <c r="P385" s="113"/>
      <c r="Q385" s="113"/>
      <c r="R385" s="113"/>
      <c r="S385" s="113"/>
      <c r="T385" s="113"/>
      <c r="U385" s="113"/>
      <c r="V385" s="113"/>
      <c r="W385" s="113"/>
      <c r="X385" s="113"/>
      <c r="Y385" s="113"/>
      <c r="Z385" s="113"/>
      <c r="AA385" s="113"/>
      <c r="AB385" s="113"/>
      <c r="AC385" s="113"/>
      <c r="AD385" s="113"/>
      <c r="AE385" s="113"/>
      <c r="AF385" s="113"/>
      <c r="AG385" s="113"/>
    </row>
    <row r="386" spans="1:33" ht="13.8">
      <c r="A386" s="113"/>
      <c r="B386" s="113"/>
      <c r="C386" s="113"/>
      <c r="D386" s="113"/>
      <c r="E386" s="113"/>
      <c r="F386" s="113"/>
      <c r="G386" s="113"/>
      <c r="H386" s="113"/>
      <c r="I386" s="113"/>
      <c r="J386" s="113"/>
      <c r="K386" s="113"/>
      <c r="L386" s="113"/>
      <c r="M386" s="113"/>
      <c r="N386" s="113"/>
      <c r="O386" s="113"/>
      <c r="P386" s="113"/>
      <c r="Q386" s="113"/>
      <c r="R386" s="113"/>
      <c r="S386" s="113"/>
      <c r="T386" s="113"/>
      <c r="U386" s="113"/>
      <c r="V386" s="113"/>
      <c r="W386" s="113"/>
      <c r="X386" s="113"/>
      <c r="Y386" s="113"/>
      <c r="Z386" s="113"/>
      <c r="AA386" s="113"/>
      <c r="AB386" s="113"/>
      <c r="AC386" s="113"/>
      <c r="AD386" s="113"/>
      <c r="AE386" s="113"/>
      <c r="AF386" s="113"/>
      <c r="AG386" s="113"/>
    </row>
    <row r="387" spans="1:33" ht="13.8">
      <c r="A387" s="113"/>
      <c r="B387" s="113"/>
      <c r="C387" s="113"/>
      <c r="D387" s="113"/>
      <c r="E387" s="113"/>
      <c r="F387" s="113"/>
      <c r="G387" s="113"/>
      <c r="H387" s="113"/>
      <c r="I387" s="113"/>
      <c r="J387" s="113"/>
      <c r="K387" s="113"/>
      <c r="L387" s="113"/>
      <c r="M387" s="113"/>
      <c r="N387" s="113"/>
      <c r="O387" s="113"/>
      <c r="P387" s="113"/>
      <c r="Q387" s="113"/>
      <c r="R387" s="113"/>
      <c r="S387" s="113"/>
      <c r="T387" s="113"/>
      <c r="U387" s="113"/>
      <c r="V387" s="113"/>
      <c r="W387" s="113"/>
      <c r="X387" s="113"/>
      <c r="Y387" s="113"/>
      <c r="Z387" s="113"/>
      <c r="AA387" s="113"/>
      <c r="AB387" s="113"/>
      <c r="AC387" s="113"/>
      <c r="AD387" s="113"/>
      <c r="AE387" s="113"/>
      <c r="AF387" s="113"/>
      <c r="AG387" s="113"/>
    </row>
    <row r="388" spans="1:33" ht="13.8">
      <c r="A388" s="113"/>
      <c r="B388" s="113"/>
      <c r="C388" s="113"/>
      <c r="D388" s="113"/>
      <c r="E388" s="113"/>
      <c r="F388" s="113"/>
      <c r="G388" s="113"/>
      <c r="H388" s="113"/>
      <c r="I388" s="113"/>
      <c r="J388" s="113"/>
      <c r="K388" s="113"/>
      <c r="L388" s="113"/>
      <c r="M388" s="113"/>
      <c r="N388" s="113"/>
      <c r="O388" s="113"/>
      <c r="P388" s="113"/>
      <c r="Q388" s="113"/>
      <c r="R388" s="113"/>
      <c r="S388" s="113"/>
      <c r="T388" s="113"/>
      <c r="U388" s="113"/>
      <c r="V388" s="113"/>
      <c r="W388" s="113"/>
      <c r="X388" s="113"/>
      <c r="Y388" s="113"/>
      <c r="Z388" s="113"/>
      <c r="AA388" s="113"/>
      <c r="AB388" s="113"/>
      <c r="AC388" s="113"/>
      <c r="AD388" s="113"/>
      <c r="AE388" s="113"/>
      <c r="AF388" s="113"/>
      <c r="AG388" s="113"/>
    </row>
    <row r="389" spans="1:33" ht="13.8">
      <c r="A389" s="113"/>
      <c r="B389" s="113"/>
      <c r="C389" s="113"/>
      <c r="D389" s="113"/>
      <c r="E389" s="113"/>
      <c r="F389" s="113"/>
      <c r="G389" s="113"/>
      <c r="H389" s="113"/>
      <c r="I389" s="113"/>
      <c r="J389" s="113"/>
      <c r="K389" s="113"/>
      <c r="L389" s="113"/>
      <c r="M389" s="113"/>
      <c r="N389" s="113"/>
      <c r="O389" s="113"/>
      <c r="P389" s="113"/>
      <c r="Q389" s="113"/>
      <c r="R389" s="113"/>
      <c r="S389" s="113"/>
      <c r="T389" s="113"/>
      <c r="U389" s="113"/>
      <c r="V389" s="113"/>
      <c r="W389" s="113"/>
      <c r="X389" s="113"/>
      <c r="Y389" s="113"/>
      <c r="Z389" s="113"/>
      <c r="AA389" s="113"/>
      <c r="AB389" s="113"/>
      <c r="AC389" s="113"/>
      <c r="AD389" s="113"/>
      <c r="AE389" s="113"/>
      <c r="AF389" s="113"/>
      <c r="AG389" s="113"/>
    </row>
    <row r="390" spans="1:33" ht="13.8">
      <c r="A390" s="113"/>
      <c r="B390" s="113"/>
      <c r="C390" s="113"/>
      <c r="D390" s="113"/>
      <c r="E390" s="113"/>
      <c r="F390" s="113"/>
      <c r="G390" s="113"/>
      <c r="H390" s="113"/>
      <c r="I390" s="113"/>
      <c r="J390" s="113"/>
      <c r="K390" s="113"/>
      <c r="L390" s="113"/>
      <c r="M390" s="113"/>
      <c r="N390" s="113"/>
      <c r="O390" s="113"/>
      <c r="P390" s="113"/>
      <c r="Q390" s="113"/>
      <c r="R390" s="113"/>
      <c r="S390" s="113"/>
      <c r="T390" s="113"/>
      <c r="U390" s="113"/>
      <c r="V390" s="113"/>
      <c r="W390" s="113"/>
      <c r="X390" s="113"/>
      <c r="Y390" s="113"/>
      <c r="Z390" s="113"/>
      <c r="AA390" s="113"/>
      <c r="AB390" s="113"/>
      <c r="AC390" s="113"/>
      <c r="AD390" s="113"/>
      <c r="AE390" s="113"/>
      <c r="AF390" s="113"/>
      <c r="AG390" s="113"/>
    </row>
    <row r="391" spans="1:33" ht="13.8">
      <c r="A391" s="113"/>
      <c r="B391" s="113"/>
      <c r="C391" s="113"/>
      <c r="D391" s="113"/>
      <c r="E391" s="113"/>
      <c r="F391" s="113"/>
      <c r="G391" s="113"/>
      <c r="H391" s="113"/>
      <c r="I391" s="113"/>
      <c r="J391" s="113"/>
      <c r="K391" s="113"/>
      <c r="L391" s="113"/>
      <c r="M391" s="113"/>
      <c r="N391" s="113"/>
      <c r="O391" s="113"/>
      <c r="P391" s="113"/>
      <c r="Q391" s="113"/>
      <c r="R391" s="113"/>
      <c r="S391" s="113"/>
      <c r="T391" s="113"/>
      <c r="U391" s="113"/>
      <c r="V391" s="113"/>
      <c r="W391" s="113"/>
      <c r="X391" s="113"/>
      <c r="Y391" s="113"/>
      <c r="Z391" s="113"/>
      <c r="AA391" s="113"/>
      <c r="AB391" s="113"/>
      <c r="AC391" s="113"/>
      <c r="AD391" s="113"/>
      <c r="AE391" s="113"/>
      <c r="AF391" s="113"/>
      <c r="AG391" s="113"/>
    </row>
    <row r="392" spans="1:33" ht="13.8">
      <c r="A392" s="113"/>
      <c r="B392" s="113"/>
      <c r="C392" s="113"/>
      <c r="D392" s="113"/>
      <c r="E392" s="113"/>
      <c r="F392" s="113"/>
      <c r="G392" s="113"/>
      <c r="H392" s="113"/>
      <c r="I392" s="113"/>
      <c r="J392" s="113"/>
      <c r="K392" s="113"/>
      <c r="L392" s="113"/>
      <c r="M392" s="113"/>
      <c r="N392" s="113"/>
      <c r="O392" s="113"/>
      <c r="P392" s="113"/>
      <c r="Q392" s="113"/>
      <c r="R392" s="113"/>
      <c r="S392" s="113"/>
      <c r="T392" s="113"/>
      <c r="U392" s="113"/>
      <c r="V392" s="113"/>
      <c r="W392" s="113"/>
      <c r="X392" s="113"/>
      <c r="Y392" s="113"/>
      <c r="Z392" s="113"/>
      <c r="AA392" s="113"/>
      <c r="AB392" s="113"/>
      <c r="AC392" s="113"/>
      <c r="AD392" s="113"/>
      <c r="AE392" s="113"/>
      <c r="AF392" s="113"/>
      <c r="AG392" s="113"/>
    </row>
    <row r="393" spans="1:33" ht="13.8">
      <c r="A393" s="113"/>
      <c r="B393" s="113"/>
      <c r="C393" s="113"/>
      <c r="D393" s="113"/>
      <c r="E393" s="113"/>
      <c r="F393" s="113"/>
      <c r="G393" s="113"/>
      <c r="H393" s="113"/>
      <c r="I393" s="113"/>
      <c r="J393" s="113"/>
      <c r="K393" s="113"/>
      <c r="L393" s="113"/>
      <c r="M393" s="113"/>
      <c r="N393" s="113"/>
      <c r="O393" s="113"/>
      <c r="P393" s="113"/>
      <c r="Q393" s="113"/>
      <c r="R393" s="113"/>
      <c r="S393" s="113"/>
      <c r="T393" s="113"/>
      <c r="U393" s="113"/>
      <c r="V393" s="113"/>
      <c r="W393" s="113"/>
      <c r="X393" s="113"/>
      <c r="Y393" s="113"/>
      <c r="Z393" s="113"/>
      <c r="AA393" s="113"/>
      <c r="AB393" s="113"/>
      <c r="AC393" s="113"/>
      <c r="AD393" s="113"/>
      <c r="AE393" s="113"/>
      <c r="AF393" s="113"/>
      <c r="AG393" s="113"/>
    </row>
    <row r="394" spans="1:33" ht="13.8">
      <c r="A394" s="113"/>
      <c r="B394" s="113"/>
      <c r="C394" s="113"/>
      <c r="D394" s="113"/>
      <c r="E394" s="113"/>
      <c r="F394" s="113"/>
      <c r="G394" s="113"/>
      <c r="H394" s="113"/>
      <c r="I394" s="113"/>
      <c r="J394" s="113"/>
      <c r="K394" s="113"/>
      <c r="L394" s="113"/>
      <c r="M394" s="113"/>
      <c r="N394" s="113"/>
      <c r="O394" s="113"/>
      <c r="P394" s="113"/>
      <c r="Q394" s="113"/>
      <c r="R394" s="113"/>
      <c r="S394" s="113"/>
      <c r="T394" s="113"/>
      <c r="U394" s="113"/>
      <c r="V394" s="113"/>
      <c r="W394" s="113"/>
      <c r="X394" s="113"/>
      <c r="Y394" s="113"/>
      <c r="Z394" s="113"/>
      <c r="AA394" s="113"/>
      <c r="AB394" s="113"/>
      <c r="AC394" s="113"/>
      <c r="AD394" s="113"/>
      <c r="AE394" s="113"/>
      <c r="AF394" s="113"/>
      <c r="AG394" s="113"/>
    </row>
    <row r="395" spans="1:33" ht="13.8">
      <c r="A395" s="113"/>
      <c r="B395" s="113"/>
      <c r="C395" s="113"/>
      <c r="D395" s="113"/>
      <c r="E395" s="113"/>
      <c r="F395" s="113"/>
      <c r="G395" s="113"/>
      <c r="H395" s="113"/>
      <c r="I395" s="113"/>
      <c r="J395" s="113"/>
      <c r="K395" s="113"/>
      <c r="L395" s="113"/>
      <c r="M395" s="113"/>
      <c r="N395" s="113"/>
      <c r="O395" s="113"/>
      <c r="P395" s="113"/>
      <c r="Q395" s="113"/>
      <c r="R395" s="113"/>
      <c r="S395" s="113"/>
      <c r="T395" s="113"/>
      <c r="U395" s="113"/>
      <c r="V395" s="113"/>
      <c r="W395" s="113"/>
      <c r="X395" s="113"/>
      <c r="Y395" s="113"/>
      <c r="Z395" s="113"/>
      <c r="AA395" s="113"/>
      <c r="AB395" s="113"/>
      <c r="AC395" s="113"/>
      <c r="AD395" s="113"/>
      <c r="AE395" s="113"/>
      <c r="AF395" s="113"/>
      <c r="AG395" s="113"/>
    </row>
    <row r="396" spans="1:33" ht="13.8">
      <c r="A396" s="113"/>
      <c r="B396" s="113"/>
      <c r="C396" s="113"/>
      <c r="D396" s="113"/>
      <c r="E396" s="113"/>
      <c r="F396" s="113"/>
      <c r="G396" s="113"/>
      <c r="H396" s="113"/>
      <c r="I396" s="113"/>
      <c r="J396" s="113"/>
      <c r="K396" s="113"/>
      <c r="L396" s="113"/>
      <c r="M396" s="113"/>
      <c r="N396" s="113"/>
      <c r="O396" s="113"/>
      <c r="P396" s="113"/>
      <c r="Q396" s="113"/>
      <c r="R396" s="113"/>
      <c r="S396" s="113"/>
      <c r="T396" s="113"/>
      <c r="U396" s="113"/>
      <c r="V396" s="113"/>
      <c r="W396" s="113"/>
      <c r="X396" s="113"/>
      <c r="Y396" s="113"/>
      <c r="Z396" s="113"/>
      <c r="AA396" s="113"/>
      <c r="AB396" s="113"/>
      <c r="AC396" s="113"/>
      <c r="AD396" s="113"/>
      <c r="AE396" s="113"/>
      <c r="AF396" s="113"/>
      <c r="AG396" s="113"/>
    </row>
    <row r="397" spans="1:33" ht="13.8">
      <c r="A397" s="113"/>
      <c r="B397" s="113"/>
      <c r="C397" s="113"/>
      <c r="D397" s="113"/>
      <c r="E397" s="113"/>
      <c r="F397" s="113"/>
      <c r="G397" s="113"/>
      <c r="H397" s="113"/>
      <c r="I397" s="113"/>
      <c r="J397" s="113"/>
      <c r="K397" s="113"/>
      <c r="L397" s="113"/>
      <c r="M397" s="113"/>
      <c r="N397" s="113"/>
      <c r="O397" s="113"/>
      <c r="P397" s="113"/>
      <c r="Q397" s="113"/>
      <c r="R397" s="113"/>
      <c r="S397" s="113"/>
      <c r="T397" s="113"/>
      <c r="U397" s="113"/>
      <c r="V397" s="113"/>
      <c r="W397" s="113"/>
      <c r="X397" s="113"/>
      <c r="Y397" s="113"/>
      <c r="Z397" s="113"/>
      <c r="AA397" s="113"/>
      <c r="AB397" s="113"/>
      <c r="AC397" s="113"/>
      <c r="AD397" s="113"/>
      <c r="AE397" s="113"/>
      <c r="AF397" s="113"/>
      <c r="AG397" s="113"/>
    </row>
    <row r="398" spans="1:33" ht="13.8">
      <c r="A398" s="113"/>
      <c r="B398" s="113"/>
      <c r="C398" s="113"/>
      <c r="D398" s="113"/>
      <c r="E398" s="113"/>
      <c r="F398" s="113"/>
      <c r="G398" s="113"/>
      <c r="H398" s="113"/>
      <c r="I398" s="113"/>
      <c r="J398" s="113"/>
      <c r="K398" s="113"/>
      <c r="L398" s="113"/>
      <c r="M398" s="113"/>
      <c r="N398" s="113"/>
      <c r="O398" s="113"/>
      <c r="P398" s="113"/>
      <c r="Q398" s="113"/>
      <c r="R398" s="113"/>
      <c r="S398" s="113"/>
      <c r="T398" s="113"/>
      <c r="U398" s="113"/>
      <c r="V398" s="113"/>
      <c r="W398" s="113"/>
      <c r="X398" s="113"/>
      <c r="Y398" s="113"/>
      <c r="Z398" s="113"/>
      <c r="AA398" s="113"/>
      <c r="AB398" s="113"/>
      <c r="AC398" s="113"/>
      <c r="AD398" s="113"/>
      <c r="AE398" s="113"/>
      <c r="AF398" s="113"/>
      <c r="AG398" s="113"/>
    </row>
    <row r="399" spans="1:33" ht="13.8">
      <c r="A399" s="113"/>
      <c r="B399" s="113"/>
      <c r="C399" s="113"/>
      <c r="D399" s="113"/>
      <c r="E399" s="113"/>
      <c r="F399" s="113"/>
      <c r="G399" s="113"/>
      <c r="H399" s="113"/>
      <c r="I399" s="113"/>
      <c r="J399" s="113"/>
      <c r="K399" s="113"/>
      <c r="L399" s="113"/>
      <c r="M399" s="113"/>
      <c r="N399" s="113"/>
      <c r="O399" s="113"/>
      <c r="P399" s="113"/>
      <c r="Q399" s="113"/>
      <c r="R399" s="113"/>
      <c r="S399" s="113"/>
      <c r="T399" s="113"/>
      <c r="U399" s="113"/>
      <c r="V399" s="113"/>
      <c r="W399" s="113"/>
      <c r="X399" s="113"/>
      <c r="Y399" s="113"/>
      <c r="Z399" s="113"/>
      <c r="AA399" s="113"/>
      <c r="AB399" s="113"/>
      <c r="AC399" s="113"/>
      <c r="AD399" s="113"/>
      <c r="AE399" s="113"/>
      <c r="AF399" s="113"/>
      <c r="AG399" s="113"/>
    </row>
    <row r="400" spans="1:33" ht="13.8">
      <c r="A400" s="113"/>
      <c r="B400" s="113"/>
      <c r="C400" s="113"/>
      <c r="D400" s="113"/>
      <c r="E400" s="113"/>
      <c r="F400" s="113"/>
      <c r="G400" s="113"/>
      <c r="H400" s="113"/>
      <c r="I400" s="113"/>
      <c r="J400" s="113"/>
      <c r="K400" s="113"/>
      <c r="L400" s="113"/>
      <c r="M400" s="113"/>
      <c r="N400" s="113"/>
      <c r="O400" s="113"/>
      <c r="P400" s="113"/>
      <c r="Q400" s="113"/>
      <c r="R400" s="113"/>
      <c r="S400" s="113"/>
      <c r="T400" s="113"/>
      <c r="U400" s="113"/>
      <c r="V400" s="113"/>
      <c r="W400" s="113"/>
      <c r="X400" s="113"/>
      <c r="Y400" s="113"/>
      <c r="Z400" s="113"/>
      <c r="AA400" s="113"/>
      <c r="AB400" s="113"/>
      <c r="AC400" s="113"/>
      <c r="AD400" s="113"/>
      <c r="AE400" s="113"/>
      <c r="AF400" s="113"/>
      <c r="AG400" s="113"/>
    </row>
    <row r="401" spans="1:33" ht="13.8">
      <c r="A401" s="113"/>
      <c r="B401" s="113"/>
      <c r="C401" s="113"/>
      <c r="D401" s="113"/>
      <c r="E401" s="113"/>
      <c r="F401" s="113"/>
      <c r="G401" s="113"/>
      <c r="H401" s="113"/>
      <c r="I401" s="113"/>
      <c r="J401" s="113"/>
      <c r="K401" s="113"/>
      <c r="L401" s="113"/>
      <c r="M401" s="113"/>
      <c r="N401" s="113"/>
      <c r="O401" s="113"/>
      <c r="P401" s="113"/>
      <c r="Q401" s="113"/>
      <c r="R401" s="113"/>
      <c r="S401" s="113"/>
      <c r="T401" s="113"/>
      <c r="U401" s="113"/>
      <c r="V401" s="113"/>
      <c r="W401" s="113"/>
      <c r="X401" s="113"/>
      <c r="Y401" s="113"/>
      <c r="Z401" s="113"/>
      <c r="AA401" s="113"/>
      <c r="AB401" s="113"/>
      <c r="AC401" s="113"/>
      <c r="AD401" s="113"/>
      <c r="AE401" s="113"/>
      <c r="AF401" s="113"/>
      <c r="AG401" s="113"/>
    </row>
    <row r="402" spans="1:33" ht="13.8">
      <c r="A402" s="113"/>
      <c r="B402" s="113"/>
      <c r="C402" s="113"/>
      <c r="D402" s="113"/>
      <c r="E402" s="113"/>
      <c r="F402" s="113"/>
      <c r="G402" s="113"/>
      <c r="H402" s="113"/>
      <c r="I402" s="113"/>
      <c r="J402" s="113"/>
      <c r="K402" s="113"/>
      <c r="L402" s="113"/>
      <c r="M402" s="113"/>
      <c r="N402" s="113"/>
      <c r="O402" s="113"/>
      <c r="P402" s="113"/>
      <c r="Q402" s="113"/>
      <c r="R402" s="113"/>
      <c r="S402" s="113"/>
      <c r="T402" s="113"/>
      <c r="U402" s="113"/>
      <c r="V402" s="113"/>
      <c r="W402" s="113"/>
      <c r="X402" s="113"/>
      <c r="Y402" s="113"/>
      <c r="Z402" s="113"/>
      <c r="AA402" s="113"/>
      <c r="AB402" s="113"/>
      <c r="AC402" s="113"/>
      <c r="AD402" s="113"/>
      <c r="AE402" s="113"/>
      <c r="AF402" s="113"/>
      <c r="AG402" s="113"/>
    </row>
    <row r="403" spans="1:33" ht="13.8">
      <c r="A403" s="113"/>
      <c r="B403" s="113"/>
      <c r="C403" s="113"/>
      <c r="D403" s="113"/>
      <c r="E403" s="113"/>
      <c r="F403" s="113"/>
      <c r="G403" s="113"/>
      <c r="H403" s="113"/>
      <c r="I403" s="113"/>
      <c r="J403" s="113"/>
      <c r="K403" s="113"/>
      <c r="L403" s="113"/>
      <c r="M403" s="113"/>
      <c r="N403" s="113"/>
      <c r="O403" s="113"/>
      <c r="P403" s="113"/>
      <c r="Q403" s="113"/>
      <c r="R403" s="113"/>
      <c r="S403" s="113"/>
      <c r="T403" s="113"/>
      <c r="U403" s="113"/>
      <c r="V403" s="113"/>
      <c r="W403" s="113"/>
      <c r="X403" s="113"/>
      <c r="Y403" s="113"/>
      <c r="Z403" s="113"/>
      <c r="AA403" s="113"/>
      <c r="AB403" s="113"/>
      <c r="AC403" s="113"/>
      <c r="AD403" s="113"/>
      <c r="AE403" s="113"/>
      <c r="AF403" s="113"/>
      <c r="AG403" s="113"/>
    </row>
    <row r="404" spans="1:33" ht="13.8">
      <c r="A404" s="113"/>
      <c r="B404" s="113"/>
      <c r="C404" s="113"/>
      <c r="D404" s="113"/>
      <c r="E404" s="113"/>
      <c r="F404" s="113"/>
      <c r="G404" s="113"/>
      <c r="H404" s="113"/>
      <c r="I404" s="113"/>
      <c r="J404" s="113"/>
      <c r="K404" s="113"/>
      <c r="L404" s="113"/>
      <c r="M404" s="113"/>
      <c r="N404" s="113"/>
      <c r="O404" s="113"/>
      <c r="P404" s="113"/>
      <c r="Q404" s="113"/>
      <c r="R404" s="113"/>
      <c r="S404" s="113"/>
      <c r="T404" s="113"/>
      <c r="U404" s="113"/>
      <c r="V404" s="113"/>
      <c r="W404" s="113"/>
      <c r="X404" s="113"/>
      <c r="Y404" s="113"/>
      <c r="Z404" s="113"/>
      <c r="AA404" s="113"/>
      <c r="AB404" s="113"/>
      <c r="AC404" s="113"/>
      <c r="AD404" s="113"/>
      <c r="AE404" s="113"/>
      <c r="AF404" s="113"/>
      <c r="AG404" s="113"/>
    </row>
    <row r="405" spans="1:33" ht="13.8">
      <c r="A405" s="113"/>
      <c r="B405" s="113"/>
      <c r="C405" s="113"/>
      <c r="D405" s="113"/>
      <c r="E405" s="113"/>
      <c r="F405" s="113"/>
      <c r="G405" s="113"/>
      <c r="H405" s="113"/>
      <c r="I405" s="113"/>
      <c r="J405" s="113"/>
      <c r="K405" s="113"/>
      <c r="L405" s="113"/>
      <c r="M405" s="113"/>
      <c r="N405" s="113"/>
      <c r="O405" s="113"/>
      <c r="P405" s="113"/>
      <c r="Q405" s="113"/>
      <c r="R405" s="113"/>
      <c r="S405" s="113"/>
      <c r="T405" s="113"/>
      <c r="U405" s="113"/>
      <c r="V405" s="113"/>
      <c r="W405" s="113"/>
      <c r="X405" s="113"/>
      <c r="Y405" s="113"/>
      <c r="Z405" s="113"/>
      <c r="AA405" s="113"/>
      <c r="AB405" s="113"/>
      <c r="AC405" s="113"/>
      <c r="AD405" s="113"/>
      <c r="AE405" s="113"/>
      <c r="AF405" s="113"/>
      <c r="AG405" s="113"/>
    </row>
    <row r="406" spans="1:33" ht="13.8">
      <c r="A406" s="113"/>
      <c r="B406" s="113"/>
      <c r="C406" s="113"/>
      <c r="D406" s="113"/>
      <c r="E406" s="113"/>
      <c r="F406" s="113"/>
      <c r="G406" s="113"/>
      <c r="H406" s="113"/>
      <c r="I406" s="113"/>
      <c r="J406" s="113"/>
      <c r="K406" s="113"/>
      <c r="L406" s="113"/>
      <c r="M406" s="113"/>
      <c r="N406" s="113"/>
      <c r="O406" s="113"/>
      <c r="P406" s="113"/>
      <c r="Q406" s="113"/>
      <c r="R406" s="113"/>
      <c r="S406" s="113"/>
      <c r="T406" s="113"/>
      <c r="U406" s="113"/>
      <c r="V406" s="113"/>
      <c r="W406" s="113"/>
      <c r="X406" s="113"/>
      <c r="Y406" s="113"/>
      <c r="Z406" s="113"/>
      <c r="AA406" s="113"/>
      <c r="AB406" s="113"/>
      <c r="AC406" s="113"/>
      <c r="AD406" s="113"/>
      <c r="AE406" s="113"/>
      <c r="AF406" s="113"/>
      <c r="AG406" s="113"/>
    </row>
    <row r="407" spans="1:33" ht="13.8">
      <c r="A407" s="113"/>
      <c r="B407" s="113"/>
      <c r="C407" s="113"/>
      <c r="D407" s="113"/>
      <c r="E407" s="113"/>
      <c r="F407" s="113"/>
      <c r="G407" s="113"/>
      <c r="H407" s="113"/>
      <c r="I407" s="113"/>
      <c r="J407" s="113"/>
      <c r="K407" s="113"/>
      <c r="L407" s="113"/>
      <c r="M407" s="113"/>
      <c r="N407" s="113"/>
      <c r="O407" s="113"/>
      <c r="P407" s="113"/>
      <c r="Q407" s="113"/>
      <c r="R407" s="113"/>
      <c r="S407" s="113"/>
      <c r="T407" s="113"/>
      <c r="U407" s="113"/>
      <c r="V407" s="113"/>
      <c r="W407" s="113"/>
      <c r="X407" s="113"/>
      <c r="Y407" s="113"/>
      <c r="Z407" s="113"/>
      <c r="AA407" s="113"/>
      <c r="AB407" s="113"/>
      <c r="AC407" s="113"/>
      <c r="AD407" s="113"/>
      <c r="AE407" s="113"/>
      <c r="AF407" s="113"/>
      <c r="AG407" s="113"/>
    </row>
    <row r="408" spans="1:33" ht="13.8">
      <c r="A408" s="113"/>
      <c r="B408" s="113"/>
      <c r="C408" s="113"/>
      <c r="D408" s="113"/>
      <c r="E408" s="113"/>
      <c r="F408" s="113"/>
      <c r="G408" s="113"/>
      <c r="H408" s="113"/>
      <c r="I408" s="113"/>
      <c r="J408" s="113"/>
      <c r="K408" s="113"/>
      <c r="L408" s="113"/>
      <c r="M408" s="113"/>
      <c r="N408" s="113"/>
      <c r="O408" s="113"/>
      <c r="P408" s="113"/>
      <c r="Q408" s="113"/>
      <c r="R408" s="113"/>
      <c r="S408" s="113"/>
      <c r="T408" s="113"/>
      <c r="U408" s="113"/>
      <c r="V408" s="113"/>
      <c r="W408" s="113"/>
      <c r="X408" s="113"/>
      <c r="Y408" s="113"/>
      <c r="Z408" s="113"/>
      <c r="AA408" s="113"/>
      <c r="AB408" s="113"/>
      <c r="AC408" s="113"/>
      <c r="AD408" s="113"/>
      <c r="AE408" s="113"/>
      <c r="AF408" s="113"/>
      <c r="AG408" s="113"/>
    </row>
    <row r="409" spans="1:33" ht="13.8">
      <c r="A409" s="113"/>
      <c r="B409" s="113"/>
      <c r="C409" s="113"/>
      <c r="D409" s="113"/>
      <c r="E409" s="113"/>
      <c r="F409" s="113"/>
      <c r="G409" s="113"/>
      <c r="H409" s="113"/>
      <c r="I409" s="113"/>
      <c r="J409" s="113"/>
      <c r="K409" s="113"/>
      <c r="L409" s="113"/>
      <c r="M409" s="113"/>
      <c r="N409" s="113"/>
      <c r="O409" s="113"/>
      <c r="P409" s="113"/>
      <c r="Q409" s="113"/>
      <c r="R409" s="113"/>
      <c r="S409" s="113"/>
      <c r="T409" s="113"/>
      <c r="U409" s="113"/>
      <c r="V409" s="113"/>
      <c r="W409" s="113"/>
      <c r="X409" s="113"/>
      <c r="Y409" s="113"/>
      <c r="Z409" s="113"/>
      <c r="AA409" s="113"/>
      <c r="AB409" s="113"/>
      <c r="AC409" s="113"/>
      <c r="AD409" s="113"/>
      <c r="AE409" s="113"/>
      <c r="AF409" s="113"/>
      <c r="AG409" s="113"/>
    </row>
    <row r="410" spans="1:33" ht="13.8">
      <c r="A410" s="113"/>
      <c r="B410" s="113"/>
      <c r="C410" s="113"/>
      <c r="D410" s="113"/>
      <c r="E410" s="113"/>
      <c r="F410" s="113"/>
      <c r="G410" s="113"/>
      <c r="H410" s="113"/>
      <c r="I410" s="113"/>
      <c r="J410" s="113"/>
      <c r="K410" s="113"/>
      <c r="L410" s="113"/>
      <c r="M410" s="113"/>
      <c r="N410" s="113"/>
      <c r="O410" s="113"/>
      <c r="P410" s="113"/>
      <c r="Q410" s="113"/>
      <c r="R410" s="113"/>
      <c r="S410" s="113"/>
      <c r="T410" s="113"/>
      <c r="U410" s="113"/>
      <c r="V410" s="113"/>
      <c r="W410" s="113"/>
      <c r="X410" s="113"/>
      <c r="Y410" s="113"/>
      <c r="Z410" s="113"/>
      <c r="AA410" s="113"/>
      <c r="AB410" s="113"/>
      <c r="AC410" s="113"/>
      <c r="AD410" s="113"/>
      <c r="AE410" s="113"/>
      <c r="AF410" s="113"/>
      <c r="AG410" s="113"/>
    </row>
    <row r="411" spans="1:33" ht="13.8">
      <c r="A411" s="113"/>
      <c r="B411" s="113"/>
      <c r="C411" s="113"/>
      <c r="D411" s="113"/>
      <c r="E411" s="113"/>
      <c r="F411" s="113"/>
      <c r="G411" s="113"/>
      <c r="H411" s="113"/>
      <c r="I411" s="113"/>
      <c r="J411" s="113"/>
      <c r="K411" s="113"/>
      <c r="L411" s="113"/>
      <c r="M411" s="113"/>
      <c r="N411" s="113"/>
      <c r="O411" s="113"/>
      <c r="P411" s="113"/>
      <c r="Q411" s="113"/>
      <c r="R411" s="113"/>
      <c r="S411" s="113"/>
      <c r="T411" s="113"/>
      <c r="U411" s="113"/>
      <c r="V411" s="113"/>
      <c r="W411" s="113"/>
      <c r="X411" s="113"/>
      <c r="Y411" s="113"/>
      <c r="Z411" s="113"/>
      <c r="AA411" s="113"/>
      <c r="AB411" s="113"/>
      <c r="AC411" s="113"/>
      <c r="AD411" s="113"/>
      <c r="AE411" s="113"/>
      <c r="AF411" s="113"/>
      <c r="AG411" s="113"/>
    </row>
    <row r="412" spans="1:33" ht="13.8">
      <c r="A412" s="113"/>
      <c r="B412" s="113"/>
      <c r="C412" s="113"/>
      <c r="D412" s="113"/>
      <c r="E412" s="113"/>
      <c r="F412" s="113"/>
      <c r="G412" s="113"/>
      <c r="H412" s="113"/>
      <c r="I412" s="113"/>
      <c r="J412" s="113"/>
      <c r="K412" s="113"/>
      <c r="L412" s="113"/>
      <c r="M412" s="113"/>
      <c r="N412" s="113"/>
      <c r="O412" s="113"/>
      <c r="P412" s="113"/>
      <c r="Q412" s="113"/>
      <c r="R412" s="113"/>
      <c r="S412" s="113"/>
      <c r="T412" s="113"/>
      <c r="U412" s="113"/>
      <c r="V412" s="113"/>
      <c r="W412" s="113"/>
      <c r="X412" s="113"/>
      <c r="Y412" s="113"/>
      <c r="Z412" s="113"/>
      <c r="AA412" s="113"/>
      <c r="AB412" s="113"/>
      <c r="AC412" s="113"/>
      <c r="AD412" s="113"/>
      <c r="AE412" s="113"/>
      <c r="AF412" s="113"/>
      <c r="AG412" s="113"/>
    </row>
    <row r="413" spans="1:33" ht="13.8">
      <c r="A413" s="113"/>
      <c r="B413" s="113"/>
      <c r="C413" s="113"/>
      <c r="D413" s="113"/>
      <c r="E413" s="113"/>
      <c r="F413" s="113"/>
      <c r="G413" s="113"/>
      <c r="H413" s="113"/>
      <c r="I413" s="113"/>
      <c r="J413" s="113"/>
      <c r="K413" s="113"/>
      <c r="L413" s="113"/>
      <c r="M413" s="113"/>
      <c r="N413" s="113"/>
      <c r="O413" s="113"/>
      <c r="P413" s="113"/>
      <c r="Q413" s="113"/>
      <c r="R413" s="113"/>
      <c r="S413" s="113"/>
      <c r="T413" s="113"/>
      <c r="U413" s="113"/>
      <c r="V413" s="113"/>
      <c r="W413" s="113"/>
      <c r="X413" s="113"/>
      <c r="Y413" s="113"/>
      <c r="Z413" s="113"/>
      <c r="AA413" s="113"/>
      <c r="AB413" s="113"/>
      <c r="AC413" s="113"/>
      <c r="AD413" s="113"/>
      <c r="AE413" s="113"/>
      <c r="AF413" s="113"/>
      <c r="AG413" s="113"/>
    </row>
    <row r="414" spans="1:33" ht="13.8">
      <c r="A414" s="113"/>
      <c r="B414" s="113"/>
      <c r="C414" s="113"/>
      <c r="D414" s="113"/>
      <c r="E414" s="113"/>
      <c r="F414" s="113"/>
      <c r="G414" s="113"/>
      <c r="H414" s="113"/>
      <c r="I414" s="113"/>
      <c r="J414" s="113"/>
      <c r="K414" s="113"/>
      <c r="L414" s="113"/>
      <c r="M414" s="113"/>
      <c r="N414" s="113"/>
      <c r="O414" s="113"/>
      <c r="P414" s="113"/>
      <c r="Q414" s="113"/>
      <c r="R414" s="113"/>
      <c r="S414" s="113"/>
      <c r="T414" s="113"/>
      <c r="U414" s="113"/>
      <c r="V414" s="113"/>
      <c r="W414" s="113"/>
      <c r="X414" s="113"/>
      <c r="Y414" s="113"/>
      <c r="Z414" s="113"/>
      <c r="AA414" s="113"/>
      <c r="AB414" s="113"/>
      <c r="AC414" s="113"/>
      <c r="AD414" s="113"/>
      <c r="AE414" s="113"/>
      <c r="AF414" s="113"/>
      <c r="AG414" s="113"/>
    </row>
    <row r="415" spans="1:33" ht="13.8">
      <c r="A415" s="113"/>
      <c r="B415" s="113"/>
      <c r="C415" s="113"/>
      <c r="D415" s="113"/>
      <c r="E415" s="113"/>
      <c r="F415" s="113"/>
      <c r="G415" s="113"/>
      <c r="H415" s="113"/>
      <c r="I415" s="113"/>
      <c r="J415" s="113"/>
      <c r="K415" s="113"/>
      <c r="L415" s="113"/>
      <c r="M415" s="113"/>
      <c r="N415" s="113"/>
      <c r="O415" s="113"/>
      <c r="P415" s="113"/>
      <c r="Q415" s="113"/>
      <c r="R415" s="113"/>
      <c r="S415" s="113"/>
      <c r="T415" s="113"/>
      <c r="U415" s="113"/>
      <c r="V415" s="113"/>
      <c r="W415" s="113"/>
      <c r="X415" s="113"/>
      <c r="Y415" s="113"/>
      <c r="Z415" s="113"/>
      <c r="AA415" s="113"/>
      <c r="AB415" s="113"/>
      <c r="AC415" s="113"/>
      <c r="AD415" s="113"/>
      <c r="AE415" s="113"/>
      <c r="AF415" s="113"/>
      <c r="AG415" s="113"/>
    </row>
    <row r="416" spans="1:33" ht="13.8">
      <c r="A416" s="113"/>
      <c r="B416" s="113"/>
      <c r="C416" s="113"/>
      <c r="D416" s="113"/>
      <c r="E416" s="113"/>
      <c r="F416" s="113"/>
      <c r="G416" s="113"/>
      <c r="H416" s="113"/>
      <c r="I416" s="113"/>
      <c r="J416" s="113"/>
      <c r="K416" s="113"/>
      <c r="L416" s="113"/>
      <c r="M416" s="113"/>
      <c r="N416" s="113"/>
      <c r="O416" s="113"/>
      <c r="P416" s="113"/>
      <c r="Q416" s="113"/>
      <c r="R416" s="113"/>
      <c r="S416" s="113"/>
      <c r="T416" s="113"/>
      <c r="U416" s="113"/>
      <c r="V416" s="113"/>
      <c r="W416" s="113"/>
      <c r="X416" s="113"/>
      <c r="Y416" s="113"/>
      <c r="Z416" s="113"/>
      <c r="AA416" s="113"/>
      <c r="AB416" s="113"/>
      <c r="AC416" s="113"/>
      <c r="AD416" s="113"/>
      <c r="AE416" s="113"/>
      <c r="AF416" s="113"/>
      <c r="AG416" s="113"/>
    </row>
    <row r="417" spans="1:33" ht="13.8">
      <c r="A417" s="113"/>
      <c r="B417" s="113"/>
      <c r="C417" s="113"/>
      <c r="D417" s="113"/>
      <c r="E417" s="113"/>
      <c r="F417" s="113"/>
      <c r="G417" s="113"/>
      <c r="H417" s="113"/>
      <c r="I417" s="113"/>
      <c r="J417" s="113"/>
      <c r="K417" s="113"/>
      <c r="L417" s="113"/>
      <c r="M417" s="113"/>
      <c r="N417" s="113"/>
      <c r="O417" s="113"/>
      <c r="P417" s="113"/>
      <c r="Q417" s="113"/>
      <c r="R417" s="113"/>
      <c r="S417" s="113"/>
      <c r="T417" s="113"/>
      <c r="U417" s="113"/>
      <c r="V417" s="113"/>
      <c r="W417" s="113"/>
      <c r="X417" s="113"/>
      <c r="Y417" s="113"/>
      <c r="Z417" s="113"/>
      <c r="AA417" s="113"/>
      <c r="AB417" s="113"/>
      <c r="AC417" s="113"/>
      <c r="AD417" s="113"/>
      <c r="AE417" s="113"/>
      <c r="AF417" s="113"/>
      <c r="AG417" s="113"/>
    </row>
    <row r="418" spans="1:33" ht="13.8">
      <c r="A418" s="113"/>
      <c r="B418" s="113"/>
      <c r="C418" s="113"/>
      <c r="D418" s="113"/>
      <c r="E418" s="113"/>
      <c r="F418" s="113"/>
      <c r="G418" s="113"/>
      <c r="H418" s="113"/>
      <c r="I418" s="113"/>
      <c r="J418" s="113"/>
      <c r="K418" s="113"/>
      <c r="L418" s="113"/>
      <c r="M418" s="113"/>
      <c r="N418" s="113"/>
      <c r="O418" s="113"/>
      <c r="P418" s="113"/>
      <c r="Q418" s="113"/>
      <c r="R418" s="113"/>
      <c r="S418" s="113"/>
      <c r="T418" s="113"/>
      <c r="U418" s="113"/>
      <c r="V418" s="113"/>
      <c r="W418" s="113"/>
      <c r="X418" s="113"/>
      <c r="Y418" s="113"/>
      <c r="Z418" s="113"/>
      <c r="AA418" s="113"/>
      <c r="AB418" s="113"/>
      <c r="AC418" s="113"/>
      <c r="AD418" s="113"/>
      <c r="AE418" s="113"/>
      <c r="AF418" s="113"/>
      <c r="AG418" s="113"/>
    </row>
    <row r="419" spans="1:33" ht="13.8">
      <c r="A419" s="113"/>
      <c r="B419" s="113"/>
      <c r="C419" s="113"/>
      <c r="D419" s="113"/>
      <c r="E419" s="113"/>
      <c r="F419" s="113"/>
      <c r="G419" s="113"/>
      <c r="H419" s="113"/>
      <c r="I419" s="113"/>
      <c r="J419" s="113"/>
      <c r="K419" s="113"/>
      <c r="L419" s="113"/>
      <c r="M419" s="113"/>
      <c r="N419" s="113"/>
      <c r="O419" s="113"/>
      <c r="P419" s="113"/>
      <c r="Q419" s="113"/>
      <c r="R419" s="113"/>
      <c r="S419" s="113"/>
      <c r="T419" s="113"/>
      <c r="U419" s="113"/>
      <c r="V419" s="113"/>
      <c r="W419" s="113"/>
      <c r="X419" s="113"/>
      <c r="Y419" s="113"/>
      <c r="Z419" s="113"/>
      <c r="AA419" s="113"/>
      <c r="AB419" s="113"/>
      <c r="AC419" s="113"/>
      <c r="AD419" s="113"/>
      <c r="AE419" s="113"/>
      <c r="AF419" s="113"/>
      <c r="AG419" s="113"/>
    </row>
    <row r="420" spans="1:33" ht="13.8">
      <c r="A420" s="113"/>
      <c r="B420" s="113"/>
      <c r="C420" s="113"/>
      <c r="D420" s="113"/>
      <c r="E420" s="113"/>
      <c r="F420" s="113"/>
      <c r="G420" s="113"/>
      <c r="H420" s="113"/>
      <c r="I420" s="113"/>
      <c r="J420" s="113"/>
      <c r="K420" s="113"/>
      <c r="L420" s="113"/>
      <c r="M420" s="113"/>
      <c r="N420" s="113"/>
      <c r="O420" s="113"/>
      <c r="P420" s="113"/>
      <c r="Q420" s="113"/>
      <c r="R420" s="113"/>
      <c r="S420" s="113"/>
      <c r="T420" s="113"/>
      <c r="U420" s="113"/>
      <c r="V420" s="113"/>
      <c r="W420" s="113"/>
      <c r="X420" s="113"/>
      <c r="Y420" s="113"/>
      <c r="Z420" s="113"/>
      <c r="AA420" s="113"/>
      <c r="AB420" s="113"/>
      <c r="AC420" s="113"/>
      <c r="AD420" s="113"/>
      <c r="AE420" s="113"/>
      <c r="AF420" s="113"/>
      <c r="AG420" s="113"/>
    </row>
    <row r="421" spans="1:33" ht="13.8">
      <c r="A421" s="113"/>
      <c r="B421" s="113"/>
      <c r="C421" s="113"/>
      <c r="D421" s="113"/>
      <c r="E421" s="113"/>
      <c r="F421" s="113"/>
      <c r="G421" s="113"/>
      <c r="H421" s="113"/>
      <c r="I421" s="113"/>
      <c r="J421" s="113"/>
      <c r="K421" s="113"/>
      <c r="L421" s="113"/>
      <c r="M421" s="113"/>
      <c r="N421" s="113"/>
      <c r="O421" s="113"/>
      <c r="P421" s="113"/>
      <c r="Q421" s="113"/>
      <c r="R421" s="113"/>
      <c r="S421" s="113"/>
      <c r="T421" s="113"/>
      <c r="U421" s="113"/>
      <c r="V421" s="113"/>
      <c r="W421" s="113"/>
      <c r="X421" s="113"/>
      <c r="Y421" s="113"/>
      <c r="Z421" s="113"/>
      <c r="AA421" s="113"/>
      <c r="AB421" s="113"/>
      <c r="AC421" s="113"/>
      <c r="AD421" s="113"/>
      <c r="AE421" s="113"/>
      <c r="AF421" s="113"/>
      <c r="AG421" s="113"/>
    </row>
    <row r="422" spans="1:33" ht="13.8">
      <c r="A422" s="113"/>
      <c r="B422" s="113"/>
      <c r="C422" s="113"/>
      <c r="D422" s="113"/>
      <c r="E422" s="113"/>
      <c r="F422" s="113"/>
      <c r="G422" s="113"/>
      <c r="H422" s="113"/>
      <c r="I422" s="113"/>
      <c r="J422" s="113"/>
      <c r="K422" s="113"/>
      <c r="L422" s="113"/>
      <c r="M422" s="113"/>
      <c r="N422" s="113"/>
      <c r="O422" s="113"/>
      <c r="P422" s="113"/>
      <c r="Q422" s="113"/>
      <c r="R422" s="113"/>
      <c r="S422" s="113"/>
      <c r="T422" s="113"/>
      <c r="U422" s="113"/>
      <c r="V422" s="113"/>
      <c r="W422" s="113"/>
      <c r="X422" s="113"/>
      <c r="Y422" s="113"/>
      <c r="Z422" s="113"/>
      <c r="AA422" s="113"/>
      <c r="AB422" s="113"/>
      <c r="AC422" s="113"/>
      <c r="AD422" s="113"/>
      <c r="AE422" s="113"/>
      <c r="AF422" s="113"/>
      <c r="AG422" s="113"/>
    </row>
    <row r="423" spans="1:33" ht="13.8">
      <c r="A423" s="113"/>
      <c r="B423" s="113"/>
      <c r="C423" s="113"/>
      <c r="D423" s="113"/>
      <c r="E423" s="113"/>
      <c r="F423" s="113"/>
      <c r="G423" s="113"/>
      <c r="H423" s="113"/>
      <c r="I423" s="113"/>
      <c r="J423" s="113"/>
      <c r="K423" s="113"/>
      <c r="L423" s="113"/>
      <c r="M423" s="113"/>
      <c r="N423" s="113"/>
      <c r="O423" s="113"/>
      <c r="P423" s="113"/>
      <c r="Q423" s="113"/>
      <c r="R423" s="113"/>
      <c r="S423" s="113"/>
      <c r="T423" s="113"/>
      <c r="U423" s="113"/>
      <c r="V423" s="113"/>
      <c r="W423" s="113"/>
      <c r="X423" s="113"/>
      <c r="Y423" s="113"/>
      <c r="Z423" s="113"/>
      <c r="AA423" s="113"/>
      <c r="AB423" s="113"/>
      <c r="AC423" s="113"/>
      <c r="AD423" s="113"/>
      <c r="AE423" s="113"/>
      <c r="AF423" s="113"/>
      <c r="AG423" s="113"/>
    </row>
    <row r="424" spans="1:33" ht="13.8">
      <c r="A424" s="113"/>
      <c r="B424" s="113"/>
      <c r="C424" s="113"/>
      <c r="D424" s="113"/>
      <c r="E424" s="113"/>
      <c r="F424" s="113"/>
      <c r="G424" s="113"/>
      <c r="H424" s="113"/>
      <c r="I424" s="113"/>
      <c r="J424" s="113"/>
      <c r="K424" s="113"/>
      <c r="L424" s="113"/>
      <c r="M424" s="113"/>
      <c r="N424" s="113"/>
      <c r="O424" s="113"/>
      <c r="P424" s="113"/>
      <c r="Q424" s="113"/>
      <c r="R424" s="113"/>
      <c r="S424" s="113"/>
      <c r="T424" s="113"/>
      <c r="U424" s="113"/>
      <c r="V424" s="113"/>
      <c r="W424" s="113"/>
      <c r="X424" s="113"/>
      <c r="Y424" s="113"/>
      <c r="Z424" s="113"/>
      <c r="AA424" s="113"/>
      <c r="AB424" s="113"/>
      <c r="AC424" s="113"/>
      <c r="AD424" s="113"/>
      <c r="AE424" s="113"/>
      <c r="AF424" s="113"/>
      <c r="AG424" s="113"/>
    </row>
    <row r="425" spans="1:33" ht="13.8">
      <c r="A425" s="113"/>
      <c r="B425" s="113"/>
      <c r="C425" s="113"/>
      <c r="D425" s="113"/>
      <c r="E425" s="113"/>
      <c r="F425" s="113"/>
      <c r="G425" s="113"/>
      <c r="H425" s="113"/>
      <c r="I425" s="113"/>
      <c r="J425" s="113"/>
      <c r="K425" s="113"/>
      <c r="L425" s="113"/>
      <c r="M425" s="113"/>
      <c r="N425" s="113"/>
      <c r="O425" s="113"/>
      <c r="P425" s="113"/>
      <c r="Q425" s="113"/>
      <c r="R425" s="113"/>
      <c r="S425" s="113"/>
      <c r="T425" s="113"/>
      <c r="U425" s="113"/>
      <c r="V425" s="113"/>
      <c r="W425" s="113"/>
      <c r="X425" s="113"/>
      <c r="Y425" s="113"/>
      <c r="Z425" s="113"/>
      <c r="AA425" s="113"/>
      <c r="AB425" s="113"/>
      <c r="AC425" s="113"/>
      <c r="AD425" s="113"/>
      <c r="AE425" s="113"/>
      <c r="AF425" s="113"/>
      <c r="AG425" s="113"/>
    </row>
    <row r="426" spans="1:33" ht="13.8">
      <c r="A426" s="113"/>
      <c r="B426" s="113"/>
      <c r="C426" s="113"/>
      <c r="D426" s="113"/>
      <c r="E426" s="113"/>
      <c r="F426" s="113"/>
      <c r="G426" s="113"/>
      <c r="H426" s="113"/>
      <c r="I426" s="113"/>
      <c r="J426" s="113"/>
      <c r="K426" s="113"/>
      <c r="L426" s="113"/>
      <c r="M426" s="113"/>
      <c r="N426" s="113"/>
      <c r="O426" s="113"/>
      <c r="P426" s="113"/>
      <c r="Q426" s="113"/>
      <c r="R426" s="113"/>
      <c r="S426" s="113"/>
      <c r="T426" s="113"/>
      <c r="U426" s="113"/>
      <c r="V426" s="113"/>
      <c r="W426" s="113"/>
      <c r="X426" s="113"/>
      <c r="Y426" s="113"/>
      <c r="Z426" s="113"/>
      <c r="AA426" s="113"/>
      <c r="AB426" s="113"/>
      <c r="AC426" s="113"/>
      <c r="AD426" s="113"/>
      <c r="AE426" s="113"/>
      <c r="AF426" s="113"/>
      <c r="AG426" s="113"/>
    </row>
    <row r="427" spans="1:33" ht="13.8">
      <c r="A427" s="113"/>
      <c r="B427" s="113"/>
      <c r="C427" s="113"/>
      <c r="D427" s="113"/>
      <c r="E427" s="113"/>
      <c r="F427" s="113"/>
      <c r="G427" s="113"/>
      <c r="H427" s="113"/>
      <c r="I427" s="113"/>
      <c r="J427" s="113"/>
      <c r="K427" s="113"/>
      <c r="L427" s="113"/>
      <c r="M427" s="113"/>
      <c r="N427" s="113"/>
      <c r="O427" s="113"/>
      <c r="P427" s="113"/>
      <c r="Q427" s="113"/>
      <c r="R427" s="113"/>
      <c r="S427" s="113"/>
      <c r="T427" s="113"/>
      <c r="U427" s="113"/>
      <c r="V427" s="113"/>
      <c r="W427" s="113"/>
      <c r="X427" s="113"/>
      <c r="Y427" s="113"/>
      <c r="Z427" s="113"/>
      <c r="AA427" s="113"/>
      <c r="AB427" s="113"/>
      <c r="AC427" s="113"/>
      <c r="AD427" s="113"/>
      <c r="AE427" s="113"/>
      <c r="AF427" s="113"/>
      <c r="AG427" s="113"/>
    </row>
    <row r="428" spans="1:33" ht="13.8">
      <c r="A428" s="113"/>
      <c r="B428" s="113"/>
      <c r="C428" s="113"/>
      <c r="D428" s="113"/>
      <c r="E428" s="113"/>
      <c r="F428" s="113"/>
      <c r="G428" s="113"/>
      <c r="H428" s="113"/>
      <c r="I428" s="113"/>
      <c r="J428" s="113"/>
      <c r="K428" s="113"/>
      <c r="L428" s="113"/>
      <c r="M428" s="113"/>
      <c r="N428" s="113"/>
      <c r="O428" s="113"/>
      <c r="P428" s="113"/>
      <c r="Q428" s="113"/>
      <c r="R428" s="113"/>
      <c r="S428" s="113"/>
      <c r="T428" s="113"/>
      <c r="U428" s="113"/>
      <c r="V428" s="113"/>
      <c r="W428" s="113"/>
      <c r="X428" s="113"/>
      <c r="Y428" s="113"/>
      <c r="Z428" s="113"/>
      <c r="AA428" s="113"/>
      <c r="AB428" s="113"/>
      <c r="AC428" s="113"/>
      <c r="AD428" s="113"/>
      <c r="AE428" s="113"/>
      <c r="AF428" s="113"/>
      <c r="AG428" s="113"/>
    </row>
    <row r="429" spans="1:33" ht="13.8">
      <c r="A429" s="113"/>
      <c r="B429" s="113"/>
      <c r="C429" s="113"/>
      <c r="D429" s="113"/>
      <c r="E429" s="113"/>
      <c r="F429" s="113"/>
      <c r="G429" s="113"/>
      <c r="H429" s="113"/>
      <c r="I429" s="113"/>
      <c r="J429" s="113"/>
      <c r="K429" s="113"/>
      <c r="L429" s="113"/>
      <c r="M429" s="113"/>
      <c r="N429" s="113"/>
      <c r="O429" s="113"/>
      <c r="P429" s="113"/>
      <c r="Q429" s="113"/>
      <c r="R429" s="113"/>
      <c r="S429" s="113"/>
      <c r="T429" s="113"/>
      <c r="U429" s="113"/>
      <c r="V429" s="113"/>
      <c r="W429" s="113"/>
      <c r="X429" s="113"/>
      <c r="Y429" s="113"/>
      <c r="Z429" s="113"/>
      <c r="AA429" s="113"/>
      <c r="AB429" s="113"/>
      <c r="AC429" s="113"/>
      <c r="AD429" s="113"/>
      <c r="AE429" s="113"/>
      <c r="AF429" s="113"/>
      <c r="AG429" s="113"/>
    </row>
    <row r="430" spans="1:33" ht="13.8">
      <c r="A430" s="113"/>
      <c r="B430" s="113"/>
      <c r="C430" s="113"/>
      <c r="D430" s="113"/>
      <c r="E430" s="113"/>
      <c r="F430" s="113"/>
      <c r="G430" s="113"/>
      <c r="H430" s="113"/>
      <c r="I430" s="113"/>
      <c r="J430" s="113"/>
      <c r="K430" s="113"/>
      <c r="L430" s="113"/>
      <c r="M430" s="113"/>
      <c r="N430" s="113"/>
      <c r="O430" s="113"/>
      <c r="P430" s="113"/>
      <c r="Q430" s="113"/>
      <c r="R430" s="113"/>
      <c r="S430" s="113"/>
      <c r="T430" s="113"/>
      <c r="U430" s="113"/>
      <c r="V430" s="113"/>
      <c r="W430" s="113"/>
      <c r="X430" s="113"/>
      <c r="Y430" s="113"/>
      <c r="Z430" s="113"/>
      <c r="AA430" s="113"/>
      <c r="AB430" s="113"/>
      <c r="AC430" s="113"/>
      <c r="AD430" s="113"/>
      <c r="AE430" s="113"/>
      <c r="AF430" s="113"/>
      <c r="AG430" s="113"/>
    </row>
    <row r="431" spans="1:33" ht="13.8">
      <c r="A431" s="113"/>
      <c r="B431" s="113"/>
      <c r="C431" s="113"/>
      <c r="D431" s="113"/>
      <c r="E431" s="113"/>
      <c r="F431" s="113"/>
      <c r="G431" s="113"/>
      <c r="H431" s="113"/>
      <c r="I431" s="113"/>
      <c r="J431" s="113"/>
      <c r="K431" s="113"/>
      <c r="L431" s="113"/>
      <c r="M431" s="113"/>
      <c r="N431" s="113"/>
      <c r="O431" s="113"/>
      <c r="P431" s="113"/>
      <c r="Q431" s="113"/>
      <c r="R431" s="113"/>
      <c r="S431" s="113"/>
      <c r="T431" s="113"/>
      <c r="U431" s="113"/>
      <c r="V431" s="113"/>
      <c r="W431" s="113"/>
      <c r="X431" s="113"/>
      <c r="Y431" s="113"/>
      <c r="Z431" s="113"/>
      <c r="AA431" s="113"/>
      <c r="AB431" s="113"/>
      <c r="AC431" s="113"/>
      <c r="AD431" s="113"/>
      <c r="AE431" s="113"/>
      <c r="AF431" s="113"/>
      <c r="AG431" s="113"/>
    </row>
    <row r="432" spans="1:33" ht="13.8">
      <c r="A432" s="113"/>
      <c r="B432" s="113"/>
      <c r="C432" s="113"/>
      <c r="D432" s="113"/>
      <c r="E432" s="113"/>
      <c r="F432" s="113"/>
      <c r="G432" s="113"/>
      <c r="H432" s="113"/>
      <c r="I432" s="113"/>
      <c r="J432" s="113"/>
      <c r="K432" s="113"/>
      <c r="L432" s="113"/>
      <c r="M432" s="113"/>
      <c r="N432" s="113"/>
      <c r="O432" s="113"/>
      <c r="P432" s="113"/>
      <c r="Q432" s="113"/>
      <c r="R432" s="113"/>
      <c r="S432" s="113"/>
      <c r="T432" s="113"/>
      <c r="U432" s="113"/>
      <c r="V432" s="113"/>
      <c r="W432" s="113"/>
      <c r="X432" s="113"/>
      <c r="Y432" s="113"/>
      <c r="Z432" s="113"/>
      <c r="AA432" s="113"/>
      <c r="AB432" s="113"/>
      <c r="AC432" s="113"/>
      <c r="AD432" s="113"/>
      <c r="AE432" s="113"/>
      <c r="AF432" s="113"/>
      <c r="AG432" s="113"/>
    </row>
    <row r="433" spans="1:33" ht="13.8">
      <c r="A433" s="113"/>
      <c r="B433" s="113"/>
      <c r="C433" s="113"/>
      <c r="D433" s="113"/>
      <c r="E433" s="113"/>
      <c r="F433" s="113"/>
      <c r="G433" s="113"/>
      <c r="H433" s="113"/>
      <c r="I433" s="113"/>
      <c r="J433" s="113"/>
      <c r="K433" s="113"/>
      <c r="L433" s="113"/>
      <c r="M433" s="113"/>
      <c r="N433" s="113"/>
      <c r="O433" s="113"/>
      <c r="P433" s="113"/>
      <c r="Q433" s="113"/>
      <c r="R433" s="113"/>
      <c r="S433" s="113"/>
      <c r="T433" s="113"/>
      <c r="U433" s="113"/>
      <c r="V433" s="113"/>
      <c r="W433" s="113"/>
      <c r="X433" s="113"/>
      <c r="Y433" s="113"/>
      <c r="Z433" s="113"/>
      <c r="AA433" s="113"/>
      <c r="AB433" s="113"/>
      <c r="AC433" s="113"/>
      <c r="AD433" s="113"/>
      <c r="AE433" s="113"/>
      <c r="AF433" s="113"/>
      <c r="AG433" s="113"/>
    </row>
    <row r="434" spans="1:33" ht="13.8">
      <c r="A434" s="113"/>
      <c r="B434" s="113"/>
      <c r="C434" s="113"/>
      <c r="D434" s="113"/>
      <c r="E434" s="113"/>
      <c r="F434" s="113"/>
      <c r="G434" s="113"/>
      <c r="H434" s="113"/>
      <c r="I434" s="113"/>
      <c r="J434" s="113"/>
      <c r="K434" s="113"/>
      <c r="L434" s="113"/>
      <c r="M434" s="113"/>
      <c r="N434" s="113"/>
      <c r="O434" s="113"/>
      <c r="P434" s="113"/>
      <c r="Q434" s="113"/>
      <c r="R434" s="113"/>
      <c r="S434" s="113"/>
      <c r="T434" s="113"/>
      <c r="U434" s="113"/>
      <c r="V434" s="113"/>
      <c r="W434" s="113"/>
      <c r="X434" s="113"/>
      <c r="Y434" s="113"/>
      <c r="Z434" s="113"/>
      <c r="AA434" s="113"/>
      <c r="AB434" s="113"/>
      <c r="AC434" s="113"/>
      <c r="AD434" s="113"/>
      <c r="AE434" s="113"/>
      <c r="AF434" s="113"/>
      <c r="AG434" s="113"/>
    </row>
    <row r="435" spans="1:33" ht="13.8">
      <c r="A435" s="113"/>
      <c r="B435" s="113"/>
      <c r="C435" s="113"/>
      <c r="D435" s="113"/>
      <c r="E435" s="113"/>
      <c r="F435" s="113"/>
      <c r="G435" s="113"/>
      <c r="H435" s="113"/>
      <c r="I435" s="113"/>
      <c r="J435" s="113"/>
      <c r="K435" s="113"/>
      <c r="L435" s="113"/>
      <c r="M435" s="113"/>
      <c r="N435" s="113"/>
      <c r="O435" s="113"/>
      <c r="P435" s="113"/>
      <c r="Q435" s="113"/>
      <c r="R435" s="113"/>
      <c r="S435" s="113"/>
      <c r="T435" s="113"/>
      <c r="U435" s="113"/>
      <c r="V435" s="113"/>
      <c r="W435" s="113"/>
      <c r="X435" s="113"/>
      <c r="Y435" s="113"/>
      <c r="Z435" s="113"/>
      <c r="AA435" s="113"/>
      <c r="AB435" s="113"/>
      <c r="AC435" s="113"/>
      <c r="AD435" s="113"/>
      <c r="AE435" s="113"/>
      <c r="AF435" s="113"/>
      <c r="AG435" s="113"/>
    </row>
    <row r="436" spans="1:33" ht="13.8">
      <c r="A436" s="113"/>
      <c r="B436" s="113"/>
      <c r="C436" s="113"/>
      <c r="D436" s="113"/>
      <c r="E436" s="113"/>
      <c r="F436" s="113"/>
      <c r="G436" s="113"/>
      <c r="H436" s="113"/>
      <c r="I436" s="113"/>
      <c r="J436" s="113"/>
      <c r="K436" s="113"/>
      <c r="L436" s="113"/>
      <c r="M436" s="113"/>
      <c r="N436" s="113"/>
      <c r="O436" s="113"/>
      <c r="P436" s="113"/>
      <c r="Q436" s="113"/>
      <c r="R436" s="113"/>
      <c r="S436" s="113"/>
      <c r="T436" s="113"/>
      <c r="U436" s="113"/>
      <c r="V436" s="113"/>
      <c r="W436" s="113"/>
      <c r="X436" s="113"/>
      <c r="Y436" s="113"/>
      <c r="Z436" s="113"/>
      <c r="AA436" s="113"/>
      <c r="AB436" s="113"/>
      <c r="AC436" s="113"/>
      <c r="AD436" s="113"/>
      <c r="AE436" s="113"/>
      <c r="AF436" s="113"/>
      <c r="AG436" s="113"/>
    </row>
    <row r="437" spans="1:33" ht="13.8">
      <c r="A437" s="113"/>
      <c r="B437" s="113"/>
      <c r="C437" s="113"/>
      <c r="D437" s="113"/>
      <c r="E437" s="113"/>
      <c r="F437" s="113"/>
      <c r="G437" s="113"/>
      <c r="H437" s="113"/>
      <c r="I437" s="113"/>
      <c r="J437" s="113"/>
      <c r="K437" s="113"/>
      <c r="L437" s="113"/>
      <c r="M437" s="113"/>
      <c r="N437" s="113"/>
      <c r="O437" s="113"/>
      <c r="P437" s="113"/>
      <c r="Q437" s="113"/>
      <c r="R437" s="113"/>
      <c r="S437" s="113"/>
      <c r="T437" s="113"/>
      <c r="U437" s="113"/>
      <c r="V437" s="113"/>
      <c r="W437" s="113"/>
      <c r="X437" s="113"/>
      <c r="Y437" s="113"/>
      <c r="Z437" s="113"/>
      <c r="AA437" s="113"/>
      <c r="AB437" s="113"/>
      <c r="AC437" s="113"/>
      <c r="AD437" s="113"/>
      <c r="AE437" s="113"/>
      <c r="AF437" s="113"/>
      <c r="AG437" s="113"/>
    </row>
    <row r="438" spans="1:33" ht="13.8">
      <c r="A438" s="113"/>
      <c r="B438" s="113"/>
      <c r="C438" s="113"/>
      <c r="D438" s="113"/>
      <c r="E438" s="113"/>
      <c r="F438" s="113"/>
      <c r="G438" s="113"/>
      <c r="H438" s="113"/>
      <c r="I438" s="113"/>
      <c r="J438" s="113"/>
      <c r="K438" s="113"/>
      <c r="L438" s="113"/>
      <c r="M438" s="113"/>
      <c r="N438" s="113"/>
      <c r="O438" s="113"/>
      <c r="P438" s="113"/>
      <c r="Q438" s="113"/>
      <c r="R438" s="113"/>
      <c r="S438" s="113"/>
      <c r="T438" s="113"/>
      <c r="U438" s="113"/>
      <c r="V438" s="113"/>
      <c r="W438" s="113"/>
      <c r="X438" s="113"/>
      <c r="Y438" s="113"/>
      <c r="Z438" s="113"/>
      <c r="AA438" s="113"/>
      <c r="AB438" s="113"/>
      <c r="AC438" s="113"/>
      <c r="AD438" s="113"/>
      <c r="AE438" s="113"/>
      <c r="AF438" s="113"/>
      <c r="AG438" s="113"/>
    </row>
    <row r="439" spans="1:33" ht="13.8">
      <c r="A439" s="113"/>
      <c r="B439" s="113"/>
      <c r="C439" s="113"/>
      <c r="D439" s="113"/>
      <c r="E439" s="113"/>
      <c r="F439" s="113"/>
      <c r="G439" s="113"/>
      <c r="H439" s="113"/>
      <c r="I439" s="113"/>
      <c r="J439" s="113"/>
      <c r="K439" s="113"/>
      <c r="L439" s="113"/>
      <c r="M439" s="113"/>
      <c r="N439" s="113"/>
      <c r="O439" s="113"/>
      <c r="P439" s="113"/>
      <c r="Q439" s="113"/>
      <c r="R439" s="113"/>
      <c r="S439" s="113"/>
      <c r="T439" s="113"/>
      <c r="U439" s="113"/>
      <c r="V439" s="113"/>
      <c r="W439" s="113"/>
      <c r="X439" s="113"/>
      <c r="Y439" s="113"/>
      <c r="Z439" s="113"/>
      <c r="AA439" s="113"/>
      <c r="AB439" s="113"/>
      <c r="AC439" s="113"/>
      <c r="AD439" s="113"/>
      <c r="AE439" s="113"/>
      <c r="AF439" s="113"/>
      <c r="AG439" s="113"/>
    </row>
    <row r="440" spans="1:33" ht="13.8">
      <c r="A440" s="113"/>
      <c r="B440" s="113"/>
      <c r="C440" s="113"/>
      <c r="D440" s="113"/>
      <c r="E440" s="113"/>
      <c r="F440" s="113"/>
      <c r="G440" s="113"/>
      <c r="H440" s="113"/>
      <c r="I440" s="113"/>
      <c r="J440" s="113"/>
      <c r="K440" s="113"/>
      <c r="L440" s="113"/>
      <c r="M440" s="113"/>
      <c r="N440" s="113"/>
      <c r="O440" s="113"/>
      <c r="P440" s="113"/>
      <c r="Q440" s="113"/>
      <c r="R440" s="113"/>
      <c r="S440" s="113"/>
      <c r="T440" s="113"/>
      <c r="U440" s="113"/>
      <c r="V440" s="113"/>
      <c r="W440" s="113"/>
      <c r="X440" s="113"/>
      <c r="Y440" s="113"/>
      <c r="Z440" s="113"/>
      <c r="AA440" s="113"/>
      <c r="AB440" s="113"/>
      <c r="AC440" s="113"/>
      <c r="AD440" s="113"/>
      <c r="AE440" s="113"/>
      <c r="AF440" s="113"/>
      <c r="AG440" s="113"/>
    </row>
    <row r="441" spans="1:33" ht="13.8">
      <c r="A441" s="113"/>
      <c r="B441" s="113"/>
      <c r="C441" s="113"/>
      <c r="D441" s="113"/>
      <c r="E441" s="113"/>
      <c r="F441" s="113"/>
      <c r="G441" s="113"/>
      <c r="H441" s="113"/>
      <c r="I441" s="113"/>
      <c r="J441" s="113"/>
      <c r="K441" s="113"/>
      <c r="L441" s="113"/>
      <c r="M441" s="113"/>
      <c r="N441" s="113"/>
      <c r="O441" s="113"/>
      <c r="P441" s="113"/>
      <c r="Q441" s="113"/>
      <c r="R441" s="113"/>
      <c r="S441" s="113"/>
      <c r="T441" s="113"/>
      <c r="U441" s="113"/>
      <c r="V441" s="113"/>
      <c r="W441" s="113"/>
      <c r="X441" s="113"/>
      <c r="Y441" s="113"/>
      <c r="Z441" s="113"/>
      <c r="AA441" s="113"/>
      <c r="AB441" s="113"/>
      <c r="AC441" s="113"/>
      <c r="AD441" s="113"/>
      <c r="AE441" s="113"/>
      <c r="AF441" s="113"/>
      <c r="AG441" s="113"/>
    </row>
    <row r="442" spans="1:33" ht="13.8">
      <c r="A442" s="113"/>
      <c r="B442" s="113"/>
      <c r="C442" s="113"/>
      <c r="D442" s="113"/>
      <c r="E442" s="113"/>
      <c r="F442" s="113"/>
      <c r="G442" s="113"/>
      <c r="H442" s="113"/>
      <c r="I442" s="113"/>
      <c r="J442" s="113"/>
      <c r="K442" s="113"/>
      <c r="L442" s="113"/>
      <c r="M442" s="113"/>
      <c r="N442" s="113"/>
      <c r="O442" s="113"/>
      <c r="P442" s="113"/>
      <c r="Q442" s="113"/>
      <c r="R442" s="113"/>
      <c r="S442" s="113"/>
      <c r="T442" s="113"/>
      <c r="U442" s="113"/>
      <c r="V442" s="113"/>
      <c r="W442" s="113"/>
      <c r="X442" s="113"/>
      <c r="Y442" s="113"/>
      <c r="Z442" s="113"/>
      <c r="AA442" s="113"/>
      <c r="AB442" s="113"/>
      <c r="AC442" s="113"/>
      <c r="AD442" s="113"/>
      <c r="AE442" s="113"/>
      <c r="AF442" s="113"/>
      <c r="AG442" s="113"/>
    </row>
    <row r="443" spans="1:33" ht="13.8">
      <c r="A443" s="113"/>
      <c r="B443" s="113"/>
      <c r="C443" s="113"/>
      <c r="D443" s="113"/>
      <c r="E443" s="113"/>
      <c r="F443" s="113"/>
      <c r="G443" s="113"/>
      <c r="H443" s="113"/>
      <c r="I443" s="113"/>
      <c r="J443" s="113"/>
      <c r="K443" s="113"/>
      <c r="L443" s="113"/>
      <c r="M443" s="113"/>
      <c r="N443" s="113"/>
      <c r="O443" s="113"/>
      <c r="P443" s="113"/>
      <c r="Q443" s="113"/>
      <c r="R443" s="113"/>
      <c r="S443" s="113"/>
      <c r="T443" s="113"/>
      <c r="U443" s="113"/>
      <c r="V443" s="113"/>
      <c r="W443" s="113"/>
      <c r="X443" s="113"/>
      <c r="Y443" s="113"/>
      <c r="Z443" s="113"/>
      <c r="AA443" s="113"/>
      <c r="AB443" s="113"/>
      <c r="AC443" s="113"/>
      <c r="AD443" s="113"/>
      <c r="AE443" s="113"/>
      <c r="AF443" s="113"/>
      <c r="AG443" s="113"/>
    </row>
    <row r="444" spans="1:33" ht="13.8">
      <c r="A444" s="113"/>
      <c r="B444" s="113"/>
      <c r="C444" s="113"/>
      <c r="D444" s="113"/>
      <c r="E444" s="113"/>
      <c r="F444" s="113"/>
      <c r="G444" s="113"/>
      <c r="H444" s="113"/>
      <c r="I444" s="113"/>
      <c r="J444" s="113"/>
      <c r="K444" s="113"/>
      <c r="L444" s="113"/>
      <c r="M444" s="113"/>
      <c r="N444" s="113"/>
      <c r="O444" s="113"/>
      <c r="P444" s="113"/>
      <c r="Q444" s="113"/>
      <c r="R444" s="113"/>
      <c r="S444" s="113"/>
      <c r="T444" s="113"/>
      <c r="U444" s="113"/>
      <c r="V444" s="113"/>
      <c r="W444" s="113"/>
      <c r="X444" s="113"/>
      <c r="Y444" s="113"/>
      <c r="Z444" s="113"/>
      <c r="AA444" s="113"/>
      <c r="AB444" s="113"/>
      <c r="AC444" s="113"/>
      <c r="AD444" s="113"/>
      <c r="AE444" s="113"/>
      <c r="AF444" s="113"/>
      <c r="AG444" s="113"/>
    </row>
    <row r="445" spans="1:33" ht="13.8">
      <c r="A445" s="113"/>
      <c r="B445" s="113"/>
      <c r="C445" s="113"/>
      <c r="D445" s="113"/>
      <c r="E445" s="113"/>
      <c r="F445" s="113"/>
      <c r="G445" s="113"/>
      <c r="H445" s="113"/>
      <c r="I445" s="113"/>
      <c r="J445" s="113"/>
      <c r="K445" s="113"/>
      <c r="L445" s="113"/>
      <c r="M445" s="113"/>
      <c r="N445" s="113"/>
      <c r="O445" s="113"/>
      <c r="P445" s="113"/>
      <c r="Q445" s="113"/>
      <c r="R445" s="113"/>
      <c r="S445" s="113"/>
      <c r="T445" s="113"/>
      <c r="U445" s="113"/>
      <c r="V445" s="113"/>
      <c r="W445" s="113"/>
      <c r="X445" s="113"/>
      <c r="Y445" s="113"/>
      <c r="Z445" s="113"/>
      <c r="AA445" s="113"/>
      <c r="AB445" s="113"/>
      <c r="AC445" s="113"/>
      <c r="AD445" s="113"/>
      <c r="AE445" s="113"/>
      <c r="AF445" s="113"/>
      <c r="AG445" s="113"/>
    </row>
    <row r="446" spans="1:33" ht="13.8">
      <c r="A446" s="113"/>
      <c r="B446" s="113"/>
      <c r="C446" s="113"/>
      <c r="D446" s="113"/>
      <c r="E446" s="113"/>
      <c r="F446" s="113"/>
      <c r="G446" s="113"/>
      <c r="H446" s="113"/>
      <c r="I446" s="113"/>
      <c r="J446" s="113"/>
      <c r="K446" s="113"/>
      <c r="L446" s="113"/>
      <c r="M446" s="113"/>
      <c r="N446" s="113"/>
      <c r="O446" s="113"/>
      <c r="P446" s="113"/>
      <c r="Q446" s="113"/>
      <c r="R446" s="113"/>
      <c r="S446" s="113"/>
      <c r="T446" s="113"/>
      <c r="U446" s="113"/>
      <c r="V446" s="113"/>
      <c r="W446" s="113"/>
      <c r="X446" s="113"/>
      <c r="Y446" s="113"/>
      <c r="Z446" s="113"/>
      <c r="AA446" s="113"/>
      <c r="AB446" s="113"/>
      <c r="AC446" s="113"/>
      <c r="AD446" s="113"/>
      <c r="AE446" s="113"/>
      <c r="AF446" s="113"/>
      <c r="AG446" s="113"/>
    </row>
    <row r="447" spans="1:33" ht="13.8">
      <c r="A447" s="113"/>
      <c r="B447" s="113"/>
      <c r="C447" s="113"/>
      <c r="D447" s="113"/>
      <c r="E447" s="113"/>
      <c r="F447" s="113"/>
      <c r="G447" s="113"/>
      <c r="H447" s="113"/>
      <c r="I447" s="113"/>
      <c r="J447" s="113"/>
      <c r="K447" s="113"/>
      <c r="L447" s="113"/>
      <c r="M447" s="113"/>
      <c r="N447" s="113"/>
      <c r="O447" s="113"/>
      <c r="P447" s="113"/>
      <c r="Q447" s="113"/>
      <c r="R447" s="113"/>
      <c r="S447" s="113"/>
      <c r="T447" s="113"/>
      <c r="U447" s="113"/>
      <c r="V447" s="113"/>
      <c r="W447" s="113"/>
      <c r="X447" s="113"/>
      <c r="Y447" s="113"/>
      <c r="Z447" s="113"/>
      <c r="AA447" s="113"/>
      <c r="AB447" s="113"/>
      <c r="AC447" s="113"/>
      <c r="AD447" s="113"/>
      <c r="AE447" s="113"/>
      <c r="AF447" s="113"/>
      <c r="AG447" s="113"/>
    </row>
    <row r="448" spans="1:33" ht="13.8">
      <c r="A448" s="113"/>
      <c r="B448" s="113"/>
      <c r="C448" s="113"/>
      <c r="D448" s="113"/>
      <c r="E448" s="113"/>
      <c r="F448" s="113"/>
      <c r="G448" s="113"/>
      <c r="H448" s="113"/>
      <c r="I448" s="113"/>
      <c r="J448" s="113"/>
      <c r="K448" s="113"/>
      <c r="L448" s="113"/>
      <c r="M448" s="113"/>
      <c r="N448" s="113"/>
      <c r="O448" s="113"/>
      <c r="P448" s="113"/>
      <c r="Q448" s="113"/>
      <c r="R448" s="113"/>
      <c r="S448" s="113"/>
      <c r="T448" s="113"/>
      <c r="U448" s="113"/>
      <c r="V448" s="113"/>
      <c r="W448" s="113"/>
      <c r="X448" s="113"/>
      <c r="Y448" s="113"/>
      <c r="Z448" s="113"/>
      <c r="AA448" s="113"/>
      <c r="AB448" s="113"/>
      <c r="AC448" s="113"/>
      <c r="AD448" s="113"/>
      <c r="AE448" s="113"/>
      <c r="AF448" s="113"/>
      <c r="AG448" s="113"/>
    </row>
    <row r="449" spans="1:33" ht="13.8">
      <c r="A449" s="113"/>
      <c r="B449" s="113"/>
      <c r="C449" s="113"/>
      <c r="D449" s="113"/>
      <c r="E449" s="113"/>
      <c r="F449" s="113"/>
      <c r="G449" s="113"/>
      <c r="H449" s="113"/>
      <c r="I449" s="113"/>
      <c r="J449" s="113"/>
      <c r="K449" s="113"/>
      <c r="L449" s="113"/>
      <c r="M449" s="113"/>
      <c r="N449" s="113"/>
      <c r="O449" s="113"/>
      <c r="P449" s="113"/>
      <c r="Q449" s="113"/>
      <c r="R449" s="113"/>
      <c r="S449" s="113"/>
      <c r="T449" s="113"/>
      <c r="U449" s="113"/>
      <c r="V449" s="113"/>
      <c r="W449" s="113"/>
      <c r="X449" s="113"/>
      <c r="Y449" s="113"/>
      <c r="Z449" s="113"/>
      <c r="AA449" s="113"/>
      <c r="AB449" s="113"/>
      <c r="AC449" s="113"/>
      <c r="AD449" s="113"/>
      <c r="AE449" s="113"/>
      <c r="AF449" s="113"/>
      <c r="AG449" s="113"/>
    </row>
    <row r="450" spans="1:33" ht="13.8">
      <c r="A450" s="113"/>
      <c r="B450" s="113"/>
      <c r="C450" s="113"/>
      <c r="D450" s="113"/>
      <c r="E450" s="113"/>
      <c r="F450" s="113"/>
      <c r="G450" s="113"/>
      <c r="H450" s="113"/>
      <c r="I450" s="113"/>
      <c r="J450" s="113"/>
      <c r="K450" s="113"/>
      <c r="L450" s="113"/>
      <c r="M450" s="113"/>
      <c r="N450" s="113"/>
      <c r="O450" s="113"/>
      <c r="P450" s="113"/>
      <c r="Q450" s="113"/>
      <c r="R450" s="113"/>
      <c r="S450" s="113"/>
      <c r="T450" s="113"/>
      <c r="U450" s="113"/>
      <c r="V450" s="113"/>
      <c r="W450" s="113"/>
      <c r="X450" s="113"/>
      <c r="Y450" s="113"/>
      <c r="Z450" s="113"/>
      <c r="AA450" s="113"/>
      <c r="AB450" s="113"/>
      <c r="AC450" s="113"/>
      <c r="AD450" s="113"/>
      <c r="AE450" s="113"/>
      <c r="AF450" s="113"/>
      <c r="AG450" s="113"/>
    </row>
    <row r="451" spans="1:33" ht="13.8">
      <c r="A451" s="113"/>
      <c r="B451" s="113"/>
      <c r="C451" s="113"/>
      <c r="D451" s="113"/>
      <c r="E451" s="113"/>
      <c r="F451" s="113"/>
      <c r="G451" s="113"/>
      <c r="H451" s="113"/>
      <c r="I451" s="113"/>
      <c r="J451" s="113"/>
      <c r="K451" s="113"/>
      <c r="L451" s="113"/>
      <c r="M451" s="113"/>
      <c r="N451" s="113"/>
      <c r="O451" s="113"/>
      <c r="P451" s="113"/>
      <c r="Q451" s="113"/>
      <c r="R451" s="113"/>
      <c r="S451" s="113"/>
      <c r="T451" s="113"/>
      <c r="U451" s="113"/>
      <c r="V451" s="113"/>
      <c r="W451" s="113"/>
      <c r="X451" s="113"/>
      <c r="Y451" s="113"/>
      <c r="Z451" s="113"/>
      <c r="AA451" s="113"/>
      <c r="AB451" s="113"/>
      <c r="AC451" s="113"/>
      <c r="AD451" s="113"/>
      <c r="AE451" s="113"/>
      <c r="AF451" s="113"/>
      <c r="AG451" s="113"/>
    </row>
    <row r="452" spans="1:33" ht="13.8">
      <c r="A452" s="113"/>
      <c r="B452" s="113"/>
      <c r="C452" s="113"/>
      <c r="D452" s="113"/>
      <c r="E452" s="113"/>
      <c r="F452" s="113"/>
      <c r="G452" s="113"/>
      <c r="H452" s="113"/>
      <c r="I452" s="113"/>
      <c r="J452" s="113"/>
      <c r="K452" s="113"/>
      <c r="L452" s="113"/>
      <c r="M452" s="113"/>
      <c r="N452" s="113"/>
      <c r="O452" s="113"/>
      <c r="P452" s="113"/>
      <c r="Q452" s="113"/>
      <c r="R452" s="113"/>
      <c r="S452" s="113"/>
      <c r="T452" s="113"/>
      <c r="U452" s="113"/>
      <c r="V452" s="113"/>
      <c r="W452" s="113"/>
      <c r="X452" s="113"/>
      <c r="Y452" s="113"/>
      <c r="Z452" s="113"/>
      <c r="AA452" s="113"/>
      <c r="AB452" s="113"/>
      <c r="AC452" s="113"/>
      <c r="AD452" s="113"/>
      <c r="AE452" s="113"/>
      <c r="AF452" s="113"/>
      <c r="AG452" s="113"/>
    </row>
    <row r="453" spans="1:33" ht="13.8">
      <c r="A453" s="113"/>
      <c r="B453" s="113"/>
      <c r="C453" s="113"/>
      <c r="D453" s="113"/>
      <c r="E453" s="113"/>
      <c r="F453" s="113"/>
      <c r="G453" s="113"/>
      <c r="H453" s="113"/>
      <c r="I453" s="113"/>
      <c r="J453" s="113"/>
      <c r="K453" s="113"/>
      <c r="L453" s="113"/>
      <c r="M453" s="113"/>
      <c r="N453" s="113"/>
      <c r="O453" s="113"/>
      <c r="P453" s="113"/>
      <c r="Q453" s="113"/>
      <c r="R453" s="113"/>
      <c r="S453" s="113"/>
      <c r="T453" s="113"/>
      <c r="U453" s="113"/>
      <c r="V453" s="113"/>
      <c r="W453" s="113"/>
      <c r="X453" s="113"/>
      <c r="Y453" s="113"/>
      <c r="Z453" s="113"/>
      <c r="AA453" s="113"/>
      <c r="AB453" s="113"/>
      <c r="AC453" s="113"/>
      <c r="AD453" s="113"/>
      <c r="AE453" s="113"/>
      <c r="AF453" s="113"/>
      <c r="AG453" s="113"/>
    </row>
    <row r="454" spans="1:33" ht="13.8">
      <c r="A454" s="113"/>
      <c r="B454" s="113"/>
      <c r="C454" s="113"/>
      <c r="D454" s="113"/>
      <c r="E454" s="113"/>
      <c r="F454" s="113"/>
      <c r="G454" s="113"/>
      <c r="H454" s="113"/>
      <c r="I454" s="113"/>
      <c r="J454" s="113"/>
      <c r="K454" s="113"/>
      <c r="L454" s="113"/>
      <c r="M454" s="113"/>
      <c r="N454" s="113"/>
      <c r="O454" s="113"/>
      <c r="P454" s="113"/>
      <c r="Q454" s="113"/>
      <c r="R454" s="113"/>
      <c r="S454" s="113"/>
      <c r="T454" s="113"/>
      <c r="U454" s="113"/>
      <c r="V454" s="113"/>
      <c r="W454" s="113"/>
      <c r="X454" s="113"/>
      <c r="Y454" s="113"/>
      <c r="Z454" s="113"/>
      <c r="AA454" s="113"/>
      <c r="AB454" s="113"/>
      <c r="AC454" s="113"/>
      <c r="AD454" s="113"/>
      <c r="AE454" s="113"/>
      <c r="AF454" s="113"/>
      <c r="AG454" s="113"/>
    </row>
    <row r="455" spans="1:33" ht="13.8">
      <c r="A455" s="113"/>
      <c r="B455" s="113"/>
      <c r="C455" s="113"/>
      <c r="D455" s="113"/>
      <c r="E455" s="113"/>
      <c r="F455" s="113"/>
      <c r="G455" s="113"/>
      <c r="H455" s="113"/>
      <c r="I455" s="113"/>
      <c r="J455" s="113"/>
      <c r="K455" s="113"/>
      <c r="L455" s="113"/>
      <c r="M455" s="113"/>
      <c r="N455" s="113"/>
      <c r="O455" s="113"/>
      <c r="P455" s="113"/>
      <c r="Q455" s="113"/>
      <c r="R455" s="113"/>
      <c r="S455" s="113"/>
      <c r="T455" s="113"/>
      <c r="U455" s="113"/>
      <c r="V455" s="113"/>
      <c r="W455" s="113"/>
      <c r="X455" s="113"/>
      <c r="Y455" s="113"/>
      <c r="Z455" s="113"/>
      <c r="AA455" s="113"/>
      <c r="AB455" s="113"/>
      <c r="AC455" s="113"/>
      <c r="AD455" s="113"/>
      <c r="AE455" s="113"/>
      <c r="AF455" s="113"/>
      <c r="AG455" s="113"/>
    </row>
    <row r="456" spans="1:33" ht="13.8">
      <c r="A456" s="113"/>
      <c r="B456" s="113"/>
      <c r="C456" s="113"/>
      <c r="D456" s="113"/>
      <c r="E456" s="113"/>
      <c r="F456" s="113"/>
      <c r="G456" s="113"/>
      <c r="H456" s="113"/>
      <c r="I456" s="113"/>
      <c r="J456" s="113"/>
      <c r="K456" s="113"/>
      <c r="L456" s="113"/>
      <c r="M456" s="113"/>
      <c r="N456" s="113"/>
      <c r="O456" s="113"/>
      <c r="P456" s="113"/>
      <c r="Q456" s="113"/>
      <c r="R456" s="113"/>
      <c r="S456" s="113"/>
      <c r="T456" s="113"/>
      <c r="U456" s="113"/>
      <c r="V456" s="113"/>
      <c r="W456" s="113"/>
      <c r="X456" s="113"/>
      <c r="Y456" s="113"/>
      <c r="Z456" s="113"/>
      <c r="AA456" s="113"/>
      <c r="AB456" s="113"/>
      <c r="AC456" s="113"/>
      <c r="AD456" s="113"/>
      <c r="AE456" s="113"/>
      <c r="AF456" s="113"/>
      <c r="AG456" s="113"/>
    </row>
    <row r="457" spans="1:33" ht="13.8">
      <c r="A457" s="113"/>
      <c r="B457" s="113"/>
      <c r="C457" s="113"/>
      <c r="D457" s="113"/>
      <c r="E457" s="113"/>
      <c r="F457" s="113"/>
      <c r="G457" s="113"/>
      <c r="H457" s="113"/>
      <c r="I457" s="113"/>
      <c r="J457" s="113"/>
      <c r="K457" s="113"/>
      <c r="L457" s="113"/>
      <c r="M457" s="113"/>
      <c r="N457" s="113"/>
      <c r="O457" s="113"/>
      <c r="P457" s="113"/>
      <c r="Q457" s="113"/>
      <c r="R457" s="113"/>
      <c r="S457" s="113"/>
      <c r="T457" s="113"/>
      <c r="U457" s="113"/>
      <c r="V457" s="113"/>
      <c r="W457" s="113"/>
      <c r="X457" s="113"/>
      <c r="Y457" s="113"/>
      <c r="Z457" s="113"/>
      <c r="AA457" s="113"/>
      <c r="AB457" s="113"/>
      <c r="AC457" s="113"/>
      <c r="AD457" s="113"/>
      <c r="AE457" s="113"/>
      <c r="AF457" s="113"/>
      <c r="AG457" s="113"/>
    </row>
    <row r="458" spans="1:33" ht="13.8">
      <c r="A458" s="113"/>
      <c r="B458" s="113"/>
      <c r="C458" s="113"/>
      <c r="D458" s="113"/>
      <c r="E458" s="113"/>
      <c r="F458" s="113"/>
      <c r="G458" s="113"/>
      <c r="H458" s="113"/>
      <c r="I458" s="113"/>
      <c r="J458" s="113"/>
      <c r="K458" s="113"/>
      <c r="L458" s="113"/>
      <c r="M458" s="113"/>
      <c r="N458" s="113"/>
      <c r="O458" s="113"/>
      <c r="P458" s="113"/>
      <c r="Q458" s="113"/>
      <c r="R458" s="113"/>
      <c r="S458" s="113"/>
      <c r="T458" s="113"/>
      <c r="U458" s="113"/>
      <c r="V458" s="113"/>
      <c r="W458" s="113"/>
      <c r="X458" s="113"/>
      <c r="Y458" s="113"/>
      <c r="Z458" s="113"/>
      <c r="AA458" s="113"/>
      <c r="AB458" s="113"/>
      <c r="AC458" s="113"/>
      <c r="AD458" s="113"/>
      <c r="AE458" s="113"/>
      <c r="AF458" s="113"/>
      <c r="AG458" s="113"/>
    </row>
    <row r="459" spans="1:33" ht="13.8">
      <c r="A459" s="113"/>
      <c r="B459" s="113"/>
      <c r="C459" s="113"/>
      <c r="D459" s="113"/>
      <c r="E459" s="113"/>
      <c r="F459" s="113"/>
      <c r="G459" s="113"/>
      <c r="H459" s="113"/>
      <c r="I459" s="113"/>
      <c r="J459" s="113"/>
      <c r="K459" s="113"/>
      <c r="L459" s="113"/>
      <c r="M459" s="113"/>
      <c r="N459" s="113"/>
      <c r="O459" s="113"/>
      <c r="P459" s="113"/>
      <c r="Q459" s="113"/>
      <c r="R459" s="113"/>
      <c r="S459" s="113"/>
      <c r="T459" s="113"/>
      <c r="U459" s="113"/>
      <c r="V459" s="113"/>
      <c r="W459" s="113"/>
      <c r="X459" s="113"/>
      <c r="Y459" s="113"/>
      <c r="Z459" s="113"/>
      <c r="AA459" s="113"/>
      <c r="AB459" s="113"/>
      <c r="AC459" s="113"/>
      <c r="AD459" s="113"/>
      <c r="AE459" s="113"/>
      <c r="AF459" s="113"/>
      <c r="AG459" s="113"/>
    </row>
    <row r="460" spans="1:33" ht="13.8">
      <c r="A460" s="113"/>
      <c r="B460" s="113"/>
      <c r="C460" s="113"/>
      <c r="D460" s="113"/>
      <c r="E460" s="113"/>
      <c r="F460" s="113"/>
      <c r="G460" s="113"/>
      <c r="H460" s="113"/>
      <c r="I460" s="113"/>
      <c r="J460" s="113"/>
      <c r="K460" s="113"/>
      <c r="L460" s="113"/>
      <c r="M460" s="113"/>
      <c r="N460" s="113"/>
      <c r="O460" s="113"/>
      <c r="P460" s="113"/>
      <c r="Q460" s="113"/>
      <c r="R460" s="113"/>
      <c r="S460" s="113"/>
      <c r="T460" s="113"/>
      <c r="U460" s="113"/>
      <c r="V460" s="113"/>
      <c r="W460" s="113"/>
      <c r="X460" s="113"/>
      <c r="Y460" s="113"/>
      <c r="Z460" s="113"/>
      <c r="AA460" s="113"/>
      <c r="AB460" s="113"/>
      <c r="AC460" s="113"/>
      <c r="AD460" s="113"/>
      <c r="AE460" s="113"/>
      <c r="AF460" s="113"/>
      <c r="AG460" s="113"/>
    </row>
    <row r="461" spans="1:33" ht="13.8">
      <c r="A461" s="113"/>
      <c r="B461" s="113"/>
      <c r="C461" s="113"/>
      <c r="D461" s="113"/>
      <c r="E461" s="113"/>
      <c r="F461" s="113"/>
      <c r="G461" s="113"/>
      <c r="H461" s="113"/>
      <c r="I461" s="113"/>
      <c r="J461" s="113"/>
      <c r="K461" s="113"/>
      <c r="L461" s="113"/>
      <c r="M461" s="113"/>
      <c r="N461" s="113"/>
      <c r="O461" s="113"/>
      <c r="P461" s="113"/>
      <c r="Q461" s="113"/>
      <c r="R461" s="113"/>
      <c r="S461" s="113"/>
      <c r="T461" s="113"/>
      <c r="U461" s="113"/>
      <c r="V461" s="113"/>
      <c r="W461" s="113"/>
      <c r="X461" s="113"/>
      <c r="Y461" s="113"/>
      <c r="Z461" s="113"/>
      <c r="AA461" s="113"/>
      <c r="AB461" s="113"/>
      <c r="AC461" s="113"/>
      <c r="AD461" s="113"/>
      <c r="AE461" s="113"/>
      <c r="AF461" s="113"/>
      <c r="AG461" s="113"/>
    </row>
    <row r="462" spans="1:33" ht="13.8">
      <c r="A462" s="113"/>
      <c r="B462" s="113"/>
      <c r="C462" s="113"/>
      <c r="D462" s="113"/>
      <c r="E462" s="113"/>
      <c r="F462" s="113"/>
      <c r="G462" s="113"/>
      <c r="H462" s="113"/>
      <c r="I462" s="113"/>
      <c r="J462" s="113"/>
      <c r="K462" s="113"/>
      <c r="L462" s="113"/>
      <c r="M462" s="113"/>
      <c r="N462" s="113"/>
      <c r="O462" s="113"/>
      <c r="P462" s="113"/>
      <c r="Q462" s="113"/>
      <c r="R462" s="113"/>
      <c r="S462" s="113"/>
      <c r="T462" s="113"/>
      <c r="U462" s="113"/>
      <c r="V462" s="113"/>
      <c r="W462" s="113"/>
      <c r="X462" s="113"/>
      <c r="Y462" s="113"/>
      <c r="Z462" s="113"/>
      <c r="AA462" s="113"/>
      <c r="AB462" s="113"/>
      <c r="AC462" s="113"/>
      <c r="AD462" s="113"/>
      <c r="AE462" s="113"/>
      <c r="AF462" s="113"/>
      <c r="AG462" s="113"/>
    </row>
    <row r="463" spans="1:33" ht="13.8">
      <c r="A463" s="113"/>
      <c r="B463" s="113"/>
      <c r="C463" s="113"/>
      <c r="D463" s="113"/>
      <c r="E463" s="113"/>
      <c r="F463" s="113"/>
      <c r="G463" s="113"/>
      <c r="H463" s="113"/>
      <c r="I463" s="113"/>
      <c r="J463" s="113"/>
      <c r="K463" s="113"/>
      <c r="L463" s="113"/>
      <c r="M463" s="113"/>
      <c r="N463" s="113"/>
      <c r="O463" s="113"/>
      <c r="P463" s="113"/>
      <c r="Q463" s="113"/>
      <c r="R463" s="113"/>
      <c r="S463" s="113"/>
      <c r="T463" s="113"/>
      <c r="U463" s="113"/>
      <c r="V463" s="113"/>
      <c r="W463" s="113"/>
      <c r="X463" s="113"/>
      <c r="Y463" s="113"/>
      <c r="Z463" s="113"/>
      <c r="AA463" s="113"/>
      <c r="AB463" s="113"/>
      <c r="AC463" s="113"/>
      <c r="AD463" s="113"/>
      <c r="AE463" s="113"/>
      <c r="AF463" s="113"/>
      <c r="AG463" s="113"/>
    </row>
    <row r="464" spans="1:33" ht="13.8">
      <c r="A464" s="113"/>
      <c r="B464" s="113"/>
      <c r="C464" s="113"/>
      <c r="D464" s="113"/>
      <c r="E464" s="113"/>
      <c r="F464" s="113"/>
      <c r="G464" s="113"/>
      <c r="H464" s="113"/>
      <c r="I464" s="113"/>
      <c r="J464" s="113"/>
      <c r="K464" s="113"/>
      <c r="L464" s="113"/>
      <c r="M464" s="113"/>
      <c r="N464" s="113"/>
      <c r="O464" s="113"/>
      <c r="P464" s="113"/>
      <c r="Q464" s="113"/>
      <c r="R464" s="113"/>
      <c r="S464" s="113"/>
      <c r="T464" s="113"/>
      <c r="U464" s="113"/>
      <c r="V464" s="113"/>
      <c r="W464" s="113"/>
      <c r="X464" s="113"/>
      <c r="Y464" s="113"/>
      <c r="Z464" s="113"/>
      <c r="AA464" s="113"/>
      <c r="AB464" s="113"/>
      <c r="AC464" s="113"/>
      <c r="AD464" s="113"/>
      <c r="AE464" s="113"/>
      <c r="AF464" s="113"/>
      <c r="AG464" s="113"/>
    </row>
    <row r="465" spans="1:33" ht="13.8">
      <c r="A465" s="113"/>
      <c r="B465" s="113"/>
      <c r="C465" s="113"/>
      <c r="D465" s="113"/>
      <c r="E465" s="113"/>
      <c r="F465" s="113"/>
      <c r="G465" s="113"/>
      <c r="H465" s="113"/>
      <c r="I465" s="113"/>
      <c r="J465" s="113"/>
      <c r="K465" s="113"/>
      <c r="L465" s="113"/>
      <c r="M465" s="113"/>
      <c r="N465" s="113"/>
      <c r="O465" s="113"/>
      <c r="P465" s="113"/>
      <c r="Q465" s="113"/>
      <c r="R465" s="113"/>
      <c r="S465" s="113"/>
      <c r="T465" s="113"/>
      <c r="U465" s="113"/>
      <c r="V465" s="113"/>
      <c r="W465" s="113"/>
      <c r="X465" s="113"/>
      <c r="Y465" s="113"/>
      <c r="Z465" s="113"/>
      <c r="AA465" s="113"/>
      <c r="AB465" s="113"/>
      <c r="AC465" s="113"/>
      <c r="AD465" s="113"/>
      <c r="AE465" s="113"/>
      <c r="AF465" s="113"/>
      <c r="AG465" s="113"/>
    </row>
    <row r="466" spans="1:33" ht="13.8">
      <c r="A466" s="113"/>
      <c r="B466" s="113"/>
      <c r="C466" s="113"/>
      <c r="D466" s="113"/>
      <c r="E466" s="113"/>
      <c r="F466" s="113"/>
      <c r="G466" s="113"/>
      <c r="H466" s="113"/>
      <c r="I466" s="113"/>
      <c r="J466" s="113"/>
      <c r="K466" s="113"/>
      <c r="L466" s="113"/>
      <c r="M466" s="113"/>
      <c r="N466" s="113"/>
      <c r="O466" s="113"/>
      <c r="P466" s="113"/>
      <c r="Q466" s="113"/>
      <c r="R466" s="113"/>
      <c r="S466" s="113"/>
      <c r="T466" s="113"/>
      <c r="U466" s="113"/>
      <c r="V466" s="113"/>
      <c r="W466" s="113"/>
      <c r="X466" s="113"/>
      <c r="Y466" s="113"/>
      <c r="Z466" s="113"/>
      <c r="AA466" s="113"/>
      <c r="AB466" s="113"/>
      <c r="AC466" s="113"/>
      <c r="AD466" s="113"/>
      <c r="AE466" s="113"/>
      <c r="AF466" s="113"/>
      <c r="AG466" s="113"/>
    </row>
    <row r="467" spans="1:33" ht="13.8">
      <c r="A467" s="113"/>
      <c r="B467" s="113"/>
      <c r="C467" s="113"/>
      <c r="D467" s="113"/>
      <c r="E467" s="113"/>
      <c r="F467" s="113"/>
      <c r="G467" s="113"/>
      <c r="H467" s="113"/>
      <c r="I467" s="113"/>
      <c r="J467" s="113"/>
      <c r="K467" s="113"/>
      <c r="L467" s="113"/>
      <c r="M467" s="113"/>
      <c r="N467" s="113"/>
      <c r="O467" s="113"/>
      <c r="P467" s="113"/>
      <c r="Q467" s="113"/>
      <c r="R467" s="113"/>
      <c r="S467" s="113"/>
      <c r="T467" s="113"/>
      <c r="U467" s="113"/>
      <c r="V467" s="113"/>
      <c r="W467" s="113"/>
      <c r="X467" s="113"/>
      <c r="Y467" s="113"/>
      <c r="Z467" s="113"/>
      <c r="AA467" s="113"/>
      <c r="AB467" s="113"/>
      <c r="AC467" s="113"/>
      <c r="AD467" s="113"/>
      <c r="AE467" s="113"/>
      <c r="AF467" s="113"/>
      <c r="AG467" s="113"/>
    </row>
    <row r="468" spans="1:33" ht="13.8">
      <c r="A468" s="113"/>
      <c r="B468" s="113"/>
      <c r="C468" s="113"/>
      <c r="D468" s="113"/>
      <c r="E468" s="113"/>
      <c r="F468" s="113"/>
      <c r="G468" s="113"/>
      <c r="H468" s="113"/>
      <c r="I468" s="113"/>
      <c r="J468" s="113"/>
      <c r="K468" s="113"/>
      <c r="L468" s="113"/>
      <c r="M468" s="113"/>
      <c r="N468" s="113"/>
      <c r="O468" s="113"/>
      <c r="P468" s="113"/>
      <c r="Q468" s="113"/>
      <c r="R468" s="113"/>
      <c r="S468" s="113"/>
      <c r="T468" s="113"/>
      <c r="U468" s="113"/>
      <c r="V468" s="113"/>
      <c r="W468" s="113"/>
      <c r="X468" s="113"/>
      <c r="Y468" s="113"/>
      <c r="Z468" s="113"/>
      <c r="AA468" s="113"/>
      <c r="AB468" s="113"/>
      <c r="AC468" s="113"/>
      <c r="AD468" s="113"/>
      <c r="AE468" s="113"/>
      <c r="AF468" s="113"/>
      <c r="AG468" s="113"/>
    </row>
    <row r="469" spans="1:33" ht="13.8">
      <c r="A469" s="113"/>
      <c r="B469" s="113"/>
      <c r="C469" s="113"/>
      <c r="D469" s="113"/>
      <c r="E469" s="113"/>
      <c r="F469" s="113"/>
      <c r="G469" s="113"/>
      <c r="H469" s="113"/>
      <c r="I469" s="113"/>
      <c r="J469" s="113"/>
      <c r="K469" s="113"/>
      <c r="L469" s="113"/>
      <c r="M469" s="113"/>
      <c r="N469" s="113"/>
      <c r="O469" s="113"/>
      <c r="P469" s="113"/>
      <c r="Q469" s="113"/>
      <c r="R469" s="113"/>
      <c r="S469" s="113"/>
      <c r="T469" s="113"/>
      <c r="U469" s="113"/>
      <c r="V469" s="113"/>
      <c r="W469" s="113"/>
      <c r="X469" s="113"/>
      <c r="Y469" s="113"/>
      <c r="Z469" s="113"/>
      <c r="AA469" s="113"/>
      <c r="AB469" s="113"/>
      <c r="AC469" s="113"/>
      <c r="AD469" s="113"/>
      <c r="AE469" s="113"/>
      <c r="AF469" s="113"/>
      <c r="AG469" s="113"/>
    </row>
    <row r="470" spans="1:33" ht="13.8">
      <c r="A470" s="113"/>
      <c r="B470" s="113"/>
      <c r="C470" s="113"/>
      <c r="D470" s="113"/>
      <c r="E470" s="113"/>
      <c r="F470" s="113"/>
      <c r="G470" s="113"/>
      <c r="H470" s="113"/>
      <c r="I470" s="113"/>
      <c r="J470" s="113"/>
      <c r="K470" s="113"/>
      <c r="L470" s="113"/>
      <c r="M470" s="113"/>
      <c r="N470" s="113"/>
      <c r="O470" s="113"/>
      <c r="P470" s="113"/>
      <c r="Q470" s="113"/>
      <c r="R470" s="113"/>
      <c r="S470" s="113"/>
      <c r="T470" s="113"/>
      <c r="U470" s="113"/>
      <c r="V470" s="113"/>
      <c r="W470" s="113"/>
      <c r="X470" s="113"/>
      <c r="Y470" s="113"/>
      <c r="Z470" s="113"/>
      <c r="AA470" s="113"/>
      <c r="AB470" s="113"/>
      <c r="AC470" s="113"/>
      <c r="AD470" s="113"/>
      <c r="AE470" s="113"/>
      <c r="AF470" s="113"/>
      <c r="AG470" s="113"/>
    </row>
    <row r="471" spans="1:33" ht="13.8">
      <c r="A471" s="113"/>
      <c r="B471" s="113"/>
      <c r="C471" s="113"/>
      <c r="D471" s="113"/>
      <c r="E471" s="113"/>
      <c r="F471" s="113"/>
      <c r="G471" s="113"/>
      <c r="H471" s="113"/>
      <c r="I471" s="113"/>
      <c r="J471" s="113"/>
      <c r="K471" s="113"/>
      <c r="L471" s="113"/>
      <c r="M471" s="113"/>
      <c r="N471" s="113"/>
      <c r="O471" s="113"/>
      <c r="P471" s="113"/>
      <c r="Q471" s="113"/>
      <c r="R471" s="113"/>
      <c r="S471" s="113"/>
      <c r="T471" s="113"/>
      <c r="U471" s="113"/>
      <c r="V471" s="113"/>
      <c r="W471" s="113"/>
      <c r="X471" s="113"/>
      <c r="Y471" s="113"/>
      <c r="Z471" s="113"/>
      <c r="AA471" s="113"/>
      <c r="AB471" s="113"/>
      <c r="AC471" s="113"/>
      <c r="AD471" s="113"/>
      <c r="AE471" s="113"/>
      <c r="AF471" s="113"/>
      <c r="AG471" s="113"/>
    </row>
    <row r="472" spans="1:33" ht="13.8">
      <c r="A472" s="113"/>
      <c r="B472" s="113"/>
      <c r="C472" s="113"/>
      <c r="D472" s="113"/>
      <c r="E472" s="113"/>
      <c r="F472" s="113"/>
      <c r="G472" s="113"/>
      <c r="H472" s="113"/>
      <c r="I472" s="113"/>
      <c r="J472" s="113"/>
      <c r="K472" s="113"/>
      <c r="L472" s="113"/>
      <c r="M472" s="113"/>
      <c r="N472" s="113"/>
      <c r="O472" s="113"/>
      <c r="P472" s="113"/>
      <c r="Q472" s="113"/>
      <c r="R472" s="113"/>
      <c r="S472" s="113"/>
      <c r="T472" s="113"/>
      <c r="U472" s="113"/>
      <c r="V472" s="113"/>
      <c r="W472" s="113"/>
      <c r="X472" s="113"/>
      <c r="Y472" s="113"/>
      <c r="Z472" s="113"/>
      <c r="AA472" s="113"/>
      <c r="AB472" s="113"/>
      <c r="AC472" s="113"/>
      <c r="AD472" s="113"/>
      <c r="AE472" s="113"/>
      <c r="AF472" s="113"/>
      <c r="AG472" s="113"/>
    </row>
    <row r="473" spans="1:33" ht="13.8">
      <c r="A473" s="113"/>
      <c r="B473" s="113"/>
      <c r="C473" s="113"/>
      <c r="D473" s="113"/>
      <c r="E473" s="113"/>
      <c r="F473" s="113"/>
      <c r="G473" s="113"/>
      <c r="H473" s="113"/>
      <c r="I473" s="113"/>
      <c r="J473" s="113"/>
      <c r="K473" s="113"/>
      <c r="L473" s="113"/>
      <c r="M473" s="113"/>
      <c r="N473" s="113"/>
      <c r="O473" s="113"/>
      <c r="P473" s="113"/>
      <c r="Q473" s="113"/>
      <c r="R473" s="113"/>
      <c r="S473" s="113"/>
      <c r="T473" s="113"/>
      <c r="U473" s="113"/>
      <c r="V473" s="113"/>
      <c r="W473" s="113"/>
      <c r="X473" s="113"/>
      <c r="Y473" s="113"/>
      <c r="Z473" s="113"/>
      <c r="AA473" s="113"/>
      <c r="AB473" s="113"/>
      <c r="AC473" s="113"/>
      <c r="AD473" s="113"/>
      <c r="AE473" s="113"/>
      <c r="AF473" s="113"/>
      <c r="AG473" s="113"/>
    </row>
    <row r="474" spans="1:33" ht="13.8">
      <c r="A474" s="113"/>
      <c r="B474" s="113"/>
      <c r="C474" s="113"/>
      <c r="D474" s="113"/>
      <c r="E474" s="113"/>
      <c r="F474" s="113"/>
      <c r="G474" s="113"/>
      <c r="H474" s="113"/>
      <c r="I474" s="113"/>
      <c r="J474" s="113"/>
      <c r="K474" s="113"/>
      <c r="L474" s="113"/>
      <c r="M474" s="113"/>
      <c r="N474" s="113"/>
      <c r="O474" s="113"/>
      <c r="P474" s="113"/>
      <c r="Q474" s="113"/>
      <c r="R474" s="113"/>
      <c r="S474" s="113"/>
      <c r="T474" s="113"/>
      <c r="U474" s="113"/>
      <c r="V474" s="113"/>
      <c r="W474" s="113"/>
      <c r="X474" s="113"/>
      <c r="Y474" s="113"/>
      <c r="Z474" s="113"/>
      <c r="AA474" s="113"/>
      <c r="AB474" s="113"/>
      <c r="AC474" s="113"/>
      <c r="AD474" s="113"/>
      <c r="AE474" s="113"/>
      <c r="AF474" s="113"/>
      <c r="AG474" s="113"/>
    </row>
    <row r="475" spans="1:33" ht="13.8">
      <c r="A475" s="113"/>
      <c r="B475" s="113"/>
      <c r="C475" s="113"/>
      <c r="D475" s="113"/>
      <c r="E475" s="113"/>
      <c r="F475" s="113"/>
      <c r="G475" s="113"/>
      <c r="H475" s="113"/>
      <c r="I475" s="113"/>
      <c r="J475" s="113"/>
      <c r="K475" s="113"/>
      <c r="L475" s="113"/>
      <c r="M475" s="113"/>
      <c r="N475" s="113"/>
      <c r="O475" s="113"/>
      <c r="P475" s="113"/>
      <c r="Q475" s="113"/>
      <c r="R475" s="113"/>
      <c r="S475" s="113"/>
      <c r="T475" s="113"/>
      <c r="U475" s="113"/>
      <c r="V475" s="113"/>
      <c r="W475" s="113"/>
      <c r="X475" s="113"/>
      <c r="Y475" s="113"/>
      <c r="Z475" s="113"/>
      <c r="AA475" s="113"/>
      <c r="AB475" s="113"/>
      <c r="AC475" s="113"/>
      <c r="AD475" s="113"/>
      <c r="AE475" s="113"/>
      <c r="AF475" s="113"/>
      <c r="AG475" s="113"/>
    </row>
    <row r="476" spans="1:33" ht="13.8">
      <c r="A476" s="113"/>
      <c r="B476" s="113"/>
      <c r="C476" s="113"/>
      <c r="D476" s="113"/>
      <c r="E476" s="113"/>
      <c r="F476" s="113"/>
      <c r="G476" s="113"/>
      <c r="H476" s="113"/>
      <c r="I476" s="113"/>
      <c r="J476" s="113"/>
      <c r="K476" s="113"/>
      <c r="L476" s="113"/>
      <c r="M476" s="113"/>
      <c r="N476" s="113"/>
      <c r="O476" s="113"/>
      <c r="P476" s="113"/>
      <c r="Q476" s="113"/>
      <c r="R476" s="113"/>
      <c r="S476" s="113"/>
      <c r="T476" s="113"/>
      <c r="U476" s="113"/>
      <c r="V476" s="113"/>
      <c r="W476" s="113"/>
      <c r="X476" s="113"/>
      <c r="Y476" s="113"/>
      <c r="Z476" s="113"/>
      <c r="AA476" s="113"/>
      <c r="AB476" s="113"/>
      <c r="AC476" s="113"/>
      <c r="AD476" s="113"/>
      <c r="AE476" s="113"/>
      <c r="AF476" s="113"/>
      <c r="AG476" s="113"/>
    </row>
    <row r="477" spans="1:33" ht="13.8">
      <c r="A477" s="113"/>
      <c r="B477" s="113"/>
      <c r="C477" s="113"/>
      <c r="D477" s="113"/>
      <c r="E477" s="113"/>
      <c r="F477" s="113"/>
      <c r="G477" s="113"/>
      <c r="H477" s="113"/>
      <c r="I477" s="113"/>
      <c r="J477" s="113"/>
      <c r="K477" s="113"/>
      <c r="L477" s="113"/>
      <c r="M477" s="113"/>
      <c r="N477" s="113"/>
      <c r="O477" s="113"/>
      <c r="P477" s="113"/>
      <c r="Q477" s="113"/>
      <c r="R477" s="113"/>
      <c r="S477" s="113"/>
      <c r="T477" s="113"/>
      <c r="U477" s="113"/>
      <c r="V477" s="113"/>
      <c r="W477" s="113"/>
      <c r="X477" s="113"/>
      <c r="Y477" s="113"/>
      <c r="Z477" s="113"/>
      <c r="AA477" s="113"/>
      <c r="AB477" s="113"/>
      <c r="AC477" s="113"/>
      <c r="AD477" s="113"/>
      <c r="AE477" s="113"/>
      <c r="AF477" s="113"/>
      <c r="AG477" s="113"/>
    </row>
    <row r="478" spans="1:33" ht="13.8">
      <c r="A478" s="113"/>
      <c r="B478" s="113"/>
      <c r="C478" s="113"/>
      <c r="D478" s="113"/>
      <c r="E478" s="113"/>
      <c r="F478" s="113"/>
      <c r="G478" s="113"/>
      <c r="H478" s="113"/>
      <c r="I478" s="113"/>
      <c r="J478" s="113"/>
      <c r="K478" s="113"/>
      <c r="L478" s="113"/>
      <c r="M478" s="113"/>
      <c r="N478" s="113"/>
      <c r="O478" s="113"/>
      <c r="P478" s="113"/>
      <c r="Q478" s="113"/>
      <c r="R478" s="113"/>
      <c r="S478" s="113"/>
      <c r="T478" s="113"/>
      <c r="U478" s="113"/>
      <c r="V478" s="113"/>
      <c r="W478" s="113"/>
      <c r="X478" s="113"/>
      <c r="Y478" s="113"/>
      <c r="Z478" s="113"/>
      <c r="AA478" s="113"/>
      <c r="AB478" s="113"/>
      <c r="AC478" s="113"/>
      <c r="AD478" s="113"/>
      <c r="AE478" s="113"/>
      <c r="AF478" s="113"/>
      <c r="AG478" s="113"/>
    </row>
    <row r="479" spans="1:33" ht="13.8">
      <c r="A479" s="113"/>
      <c r="B479" s="113"/>
      <c r="C479" s="113"/>
      <c r="D479" s="113"/>
      <c r="E479" s="113"/>
      <c r="F479" s="113"/>
      <c r="G479" s="113"/>
      <c r="H479" s="113"/>
      <c r="I479" s="113"/>
      <c r="J479" s="113"/>
      <c r="K479" s="113"/>
      <c r="L479" s="113"/>
      <c r="M479" s="113"/>
      <c r="N479" s="113"/>
      <c r="O479" s="113"/>
      <c r="P479" s="113"/>
      <c r="Q479" s="113"/>
      <c r="R479" s="113"/>
      <c r="S479" s="113"/>
      <c r="T479" s="113"/>
      <c r="U479" s="113"/>
      <c r="V479" s="113"/>
      <c r="W479" s="113"/>
      <c r="X479" s="113"/>
      <c r="Y479" s="113"/>
      <c r="Z479" s="113"/>
      <c r="AA479" s="113"/>
      <c r="AB479" s="113"/>
      <c r="AC479" s="113"/>
      <c r="AD479" s="113"/>
      <c r="AE479" s="113"/>
      <c r="AF479" s="113"/>
      <c r="AG479" s="113"/>
    </row>
    <row r="480" spans="1:33" ht="13.8">
      <c r="A480" s="113"/>
      <c r="B480" s="113"/>
      <c r="C480" s="113"/>
      <c r="D480" s="113"/>
      <c r="E480" s="113"/>
      <c r="F480" s="113"/>
      <c r="G480" s="113"/>
      <c r="H480" s="113"/>
      <c r="I480" s="113"/>
      <c r="J480" s="113"/>
      <c r="K480" s="113"/>
      <c r="L480" s="113"/>
      <c r="M480" s="113"/>
      <c r="N480" s="113"/>
      <c r="O480" s="113"/>
      <c r="P480" s="113"/>
      <c r="Q480" s="113"/>
      <c r="R480" s="113"/>
      <c r="S480" s="113"/>
      <c r="T480" s="113"/>
      <c r="U480" s="113"/>
      <c r="V480" s="113"/>
      <c r="W480" s="113"/>
      <c r="X480" s="113"/>
      <c r="Y480" s="113"/>
      <c r="Z480" s="113"/>
      <c r="AA480" s="113"/>
      <c r="AB480" s="113"/>
      <c r="AC480" s="113"/>
      <c r="AD480" s="113"/>
      <c r="AE480" s="113"/>
      <c r="AF480" s="113"/>
      <c r="AG480" s="113"/>
    </row>
    <row r="481" spans="1:33" ht="13.8">
      <c r="A481" s="113"/>
      <c r="B481" s="113"/>
      <c r="C481" s="113"/>
      <c r="D481" s="113"/>
      <c r="E481" s="113"/>
      <c r="F481" s="113"/>
      <c r="G481" s="113"/>
      <c r="H481" s="113"/>
      <c r="I481" s="113"/>
      <c r="J481" s="113"/>
      <c r="K481" s="113"/>
      <c r="L481" s="113"/>
      <c r="M481" s="113"/>
      <c r="N481" s="113"/>
      <c r="O481" s="113"/>
      <c r="P481" s="113"/>
      <c r="Q481" s="113"/>
      <c r="R481" s="113"/>
      <c r="S481" s="113"/>
      <c r="T481" s="113"/>
      <c r="U481" s="113"/>
      <c r="V481" s="113"/>
      <c r="W481" s="113"/>
      <c r="X481" s="113"/>
      <c r="Y481" s="113"/>
      <c r="Z481" s="113"/>
      <c r="AA481" s="113"/>
      <c r="AB481" s="113"/>
      <c r="AC481" s="113"/>
      <c r="AD481" s="113"/>
      <c r="AE481" s="113"/>
      <c r="AF481" s="113"/>
      <c r="AG481" s="113"/>
    </row>
    <row r="482" spans="1:33" ht="13.8">
      <c r="A482" s="113"/>
      <c r="B482" s="113"/>
      <c r="C482" s="113"/>
      <c r="D482" s="113"/>
      <c r="E482" s="113"/>
      <c r="F482" s="113"/>
      <c r="G482" s="113"/>
      <c r="H482" s="113"/>
      <c r="I482" s="113"/>
      <c r="J482" s="113"/>
      <c r="K482" s="113"/>
      <c r="L482" s="113"/>
      <c r="M482" s="113"/>
      <c r="N482" s="113"/>
      <c r="O482" s="113"/>
      <c r="P482" s="113"/>
      <c r="Q482" s="113"/>
      <c r="R482" s="113"/>
      <c r="S482" s="113"/>
      <c r="T482" s="113"/>
      <c r="U482" s="113"/>
      <c r="V482" s="113"/>
      <c r="W482" s="113"/>
      <c r="X482" s="113"/>
      <c r="Y482" s="113"/>
      <c r="Z482" s="113"/>
      <c r="AA482" s="113"/>
      <c r="AB482" s="113"/>
      <c r="AC482" s="113"/>
      <c r="AD482" s="113"/>
      <c r="AE482" s="113"/>
      <c r="AF482" s="113"/>
      <c r="AG482" s="113"/>
    </row>
    <row r="483" spans="1:33" ht="13.8">
      <c r="A483" s="113"/>
      <c r="B483" s="113"/>
      <c r="C483" s="113"/>
      <c r="D483" s="113"/>
      <c r="E483" s="113"/>
      <c r="F483" s="113"/>
      <c r="G483" s="113"/>
      <c r="H483" s="113"/>
      <c r="I483" s="113"/>
      <c r="J483" s="113"/>
      <c r="K483" s="113"/>
      <c r="L483" s="113"/>
      <c r="M483" s="113"/>
      <c r="N483" s="113"/>
      <c r="O483" s="113"/>
      <c r="P483" s="113"/>
      <c r="Q483" s="113"/>
      <c r="R483" s="113"/>
      <c r="S483" s="113"/>
      <c r="T483" s="113"/>
      <c r="U483" s="113"/>
      <c r="V483" s="113"/>
      <c r="W483" s="113"/>
      <c r="X483" s="113"/>
      <c r="Y483" s="113"/>
      <c r="Z483" s="113"/>
      <c r="AA483" s="113"/>
      <c r="AB483" s="113"/>
      <c r="AC483" s="113"/>
      <c r="AD483" s="113"/>
      <c r="AE483" s="113"/>
      <c r="AF483" s="113"/>
      <c r="AG483" s="113"/>
    </row>
    <row r="484" spans="1:33" ht="13.8">
      <c r="A484" s="113"/>
      <c r="B484" s="113"/>
      <c r="C484" s="113"/>
      <c r="D484" s="113"/>
      <c r="E484" s="113"/>
      <c r="F484" s="113"/>
      <c r="G484" s="113"/>
      <c r="H484" s="113"/>
      <c r="I484" s="113"/>
      <c r="J484" s="113"/>
      <c r="K484" s="113"/>
      <c r="L484" s="113"/>
      <c r="M484" s="113"/>
      <c r="N484" s="113"/>
      <c r="O484" s="113"/>
      <c r="P484" s="113"/>
      <c r="Q484" s="113"/>
      <c r="R484" s="113"/>
      <c r="S484" s="113"/>
      <c r="T484" s="113"/>
      <c r="U484" s="113"/>
      <c r="V484" s="113"/>
      <c r="W484" s="113"/>
      <c r="X484" s="113"/>
      <c r="Y484" s="113"/>
      <c r="Z484" s="113"/>
      <c r="AA484" s="113"/>
      <c r="AB484" s="113"/>
      <c r="AC484" s="113"/>
      <c r="AD484" s="113"/>
      <c r="AE484" s="113"/>
      <c r="AF484" s="113"/>
      <c r="AG484" s="113"/>
    </row>
    <row r="485" spans="1:33" ht="13.8">
      <c r="A485" s="113"/>
      <c r="B485" s="113"/>
      <c r="C485" s="113"/>
      <c r="D485" s="113"/>
      <c r="E485" s="113"/>
      <c r="F485" s="113"/>
      <c r="G485" s="113"/>
      <c r="H485" s="113"/>
      <c r="I485" s="113"/>
      <c r="J485" s="113"/>
      <c r="K485" s="113"/>
      <c r="L485" s="113"/>
      <c r="M485" s="113"/>
      <c r="N485" s="113"/>
      <c r="O485" s="113"/>
      <c r="P485" s="113"/>
      <c r="Q485" s="113"/>
      <c r="R485" s="113"/>
      <c r="S485" s="113"/>
      <c r="T485" s="113"/>
      <c r="U485" s="113"/>
      <c r="V485" s="113"/>
      <c r="W485" s="113"/>
      <c r="X485" s="113"/>
      <c r="Y485" s="113"/>
      <c r="Z485" s="113"/>
      <c r="AA485" s="113"/>
      <c r="AB485" s="113"/>
      <c r="AC485" s="113"/>
      <c r="AD485" s="113"/>
      <c r="AE485" s="113"/>
      <c r="AF485" s="113"/>
      <c r="AG485" s="113"/>
    </row>
    <row r="486" spans="1:33" ht="13.8">
      <c r="A486" s="113"/>
      <c r="B486" s="113"/>
      <c r="C486" s="113"/>
      <c r="D486" s="113"/>
      <c r="E486" s="113"/>
      <c r="F486" s="113"/>
      <c r="G486" s="113"/>
      <c r="H486" s="113"/>
      <c r="I486" s="113"/>
      <c r="J486" s="113"/>
      <c r="K486" s="113"/>
      <c r="L486" s="113"/>
      <c r="M486" s="113"/>
      <c r="N486" s="113"/>
      <c r="O486" s="113"/>
      <c r="P486" s="113"/>
      <c r="Q486" s="113"/>
      <c r="R486" s="113"/>
      <c r="S486" s="113"/>
      <c r="T486" s="113"/>
      <c r="U486" s="113"/>
      <c r="V486" s="113"/>
      <c r="W486" s="113"/>
      <c r="X486" s="113"/>
      <c r="Y486" s="113"/>
      <c r="Z486" s="113"/>
      <c r="AA486" s="113"/>
      <c r="AB486" s="113"/>
      <c r="AC486" s="113"/>
      <c r="AD486" s="113"/>
      <c r="AE486" s="113"/>
      <c r="AF486" s="113"/>
      <c r="AG486" s="113"/>
    </row>
    <row r="487" spans="1:33" ht="13.8">
      <c r="A487" s="113"/>
      <c r="B487" s="113"/>
      <c r="C487" s="113"/>
      <c r="D487" s="113"/>
      <c r="E487" s="113"/>
      <c r="F487" s="113"/>
      <c r="G487" s="113"/>
      <c r="H487" s="113"/>
      <c r="I487" s="113"/>
      <c r="J487" s="113"/>
      <c r="K487" s="113"/>
      <c r="L487" s="113"/>
      <c r="M487" s="113"/>
      <c r="N487" s="113"/>
      <c r="O487" s="113"/>
      <c r="P487" s="113"/>
      <c r="Q487" s="113"/>
      <c r="R487" s="113"/>
      <c r="S487" s="113"/>
      <c r="T487" s="113"/>
      <c r="U487" s="113"/>
      <c r="V487" s="113"/>
      <c r="W487" s="113"/>
      <c r="X487" s="113"/>
      <c r="Y487" s="113"/>
      <c r="Z487" s="113"/>
      <c r="AA487" s="113"/>
      <c r="AB487" s="113"/>
      <c r="AC487" s="113"/>
      <c r="AD487" s="113"/>
      <c r="AE487" s="113"/>
      <c r="AF487" s="113"/>
      <c r="AG487" s="113"/>
    </row>
    <row r="488" spans="1:33" ht="13.8">
      <c r="A488" s="113"/>
      <c r="B488" s="113"/>
      <c r="C488" s="113"/>
      <c r="D488" s="113"/>
      <c r="E488" s="113"/>
      <c r="F488" s="113"/>
      <c r="G488" s="113"/>
      <c r="H488" s="113"/>
      <c r="I488" s="113"/>
      <c r="J488" s="113"/>
      <c r="K488" s="113"/>
      <c r="L488" s="113"/>
      <c r="M488" s="113"/>
      <c r="N488" s="113"/>
      <c r="O488" s="113"/>
      <c r="P488" s="113"/>
      <c r="Q488" s="113"/>
      <c r="R488" s="113"/>
      <c r="S488" s="113"/>
      <c r="T488" s="113"/>
      <c r="U488" s="113"/>
      <c r="V488" s="113"/>
      <c r="W488" s="113"/>
      <c r="X488" s="113"/>
      <c r="Y488" s="113"/>
      <c r="Z488" s="113"/>
      <c r="AA488" s="113"/>
      <c r="AB488" s="113"/>
      <c r="AC488" s="113"/>
      <c r="AD488" s="113"/>
      <c r="AE488" s="113"/>
      <c r="AF488" s="113"/>
      <c r="AG488" s="113"/>
    </row>
    <row r="489" spans="1:33" ht="13.8">
      <c r="A489" s="113"/>
      <c r="B489" s="113"/>
      <c r="C489" s="113"/>
      <c r="D489" s="113"/>
      <c r="E489" s="113"/>
      <c r="F489" s="113"/>
      <c r="G489" s="113"/>
      <c r="H489" s="113"/>
      <c r="I489" s="113"/>
      <c r="J489" s="113"/>
      <c r="K489" s="113"/>
      <c r="L489" s="113"/>
      <c r="M489" s="113"/>
      <c r="N489" s="113"/>
      <c r="O489" s="113"/>
      <c r="P489" s="113"/>
      <c r="Q489" s="113"/>
      <c r="R489" s="113"/>
      <c r="S489" s="113"/>
      <c r="T489" s="113"/>
      <c r="U489" s="113"/>
      <c r="V489" s="113"/>
      <c r="W489" s="113"/>
      <c r="X489" s="113"/>
      <c r="Y489" s="113"/>
      <c r="Z489" s="113"/>
      <c r="AA489" s="113"/>
      <c r="AB489" s="113"/>
      <c r="AC489" s="113"/>
      <c r="AD489" s="113"/>
      <c r="AE489" s="113"/>
      <c r="AF489" s="113"/>
      <c r="AG489" s="113"/>
    </row>
    <row r="490" spans="1:33" ht="13.8">
      <c r="A490" s="113"/>
      <c r="B490" s="113"/>
      <c r="C490" s="113"/>
      <c r="D490" s="113"/>
      <c r="E490" s="113"/>
      <c r="F490" s="113"/>
      <c r="G490" s="113"/>
      <c r="H490" s="113"/>
      <c r="I490" s="113"/>
      <c r="J490" s="113"/>
      <c r="K490" s="113"/>
      <c r="L490" s="113"/>
      <c r="M490" s="113"/>
      <c r="N490" s="113"/>
      <c r="O490" s="113"/>
      <c r="P490" s="113"/>
      <c r="Q490" s="113"/>
      <c r="R490" s="113"/>
      <c r="S490" s="113"/>
      <c r="T490" s="113"/>
      <c r="U490" s="113"/>
      <c r="V490" s="113"/>
      <c r="W490" s="113"/>
      <c r="X490" s="113"/>
      <c r="Y490" s="113"/>
      <c r="Z490" s="113"/>
      <c r="AA490" s="113"/>
      <c r="AB490" s="113"/>
      <c r="AC490" s="113"/>
      <c r="AD490" s="113"/>
      <c r="AE490" s="113"/>
      <c r="AF490" s="113"/>
      <c r="AG490" s="113"/>
    </row>
    <row r="491" spans="1:33" ht="13.8">
      <c r="A491" s="113"/>
      <c r="B491" s="113"/>
      <c r="C491" s="113"/>
      <c r="D491" s="113"/>
      <c r="E491" s="113"/>
      <c r="F491" s="113"/>
      <c r="G491" s="113"/>
      <c r="H491" s="113"/>
      <c r="I491" s="113"/>
      <c r="J491" s="113"/>
      <c r="K491" s="113"/>
      <c r="L491" s="113"/>
      <c r="M491" s="113"/>
      <c r="N491" s="113"/>
      <c r="O491" s="113"/>
      <c r="P491" s="113"/>
      <c r="Q491" s="113"/>
      <c r="R491" s="113"/>
      <c r="S491" s="113"/>
      <c r="T491" s="113"/>
      <c r="U491" s="113"/>
      <c r="V491" s="113"/>
      <c r="W491" s="113"/>
      <c r="X491" s="113"/>
      <c r="Y491" s="113"/>
      <c r="Z491" s="113"/>
      <c r="AA491" s="113"/>
      <c r="AB491" s="113"/>
      <c r="AC491" s="113"/>
      <c r="AD491" s="113"/>
      <c r="AE491" s="113"/>
      <c r="AF491" s="113"/>
      <c r="AG491" s="113"/>
    </row>
    <row r="492" spans="1:33" ht="13.8">
      <c r="A492" s="113"/>
      <c r="B492" s="113"/>
      <c r="C492" s="113"/>
      <c r="D492" s="113"/>
      <c r="E492" s="113"/>
      <c r="F492" s="113"/>
      <c r="G492" s="113"/>
      <c r="H492" s="113"/>
      <c r="I492" s="113"/>
      <c r="J492" s="113"/>
      <c r="K492" s="113"/>
      <c r="L492" s="113"/>
      <c r="M492" s="113"/>
      <c r="N492" s="113"/>
      <c r="O492" s="113"/>
      <c r="P492" s="113"/>
      <c r="Q492" s="113"/>
      <c r="R492" s="113"/>
      <c r="S492" s="113"/>
      <c r="T492" s="113"/>
      <c r="U492" s="113"/>
      <c r="V492" s="113"/>
      <c r="W492" s="113"/>
      <c r="X492" s="113"/>
      <c r="Y492" s="113"/>
      <c r="Z492" s="113"/>
      <c r="AA492" s="113"/>
      <c r="AB492" s="113"/>
      <c r="AC492" s="113"/>
      <c r="AD492" s="113"/>
      <c r="AE492" s="113"/>
      <c r="AF492" s="113"/>
      <c r="AG492" s="113"/>
    </row>
    <row r="493" spans="1:33" ht="13.8">
      <c r="A493" s="113"/>
      <c r="B493" s="113"/>
      <c r="C493" s="113"/>
      <c r="D493" s="113"/>
      <c r="E493" s="113"/>
      <c r="F493" s="113"/>
      <c r="G493" s="113"/>
      <c r="H493" s="113"/>
      <c r="I493" s="113"/>
      <c r="J493" s="113"/>
      <c r="K493" s="113"/>
      <c r="L493" s="113"/>
      <c r="M493" s="113"/>
      <c r="N493" s="113"/>
      <c r="O493" s="113"/>
      <c r="P493" s="113"/>
      <c r="Q493" s="113"/>
      <c r="R493" s="113"/>
      <c r="S493" s="113"/>
      <c r="T493" s="113"/>
      <c r="U493" s="113"/>
      <c r="V493" s="113"/>
      <c r="W493" s="113"/>
      <c r="X493" s="113"/>
      <c r="Y493" s="113"/>
      <c r="Z493" s="113"/>
      <c r="AA493" s="113"/>
      <c r="AB493" s="113"/>
      <c r="AC493" s="113"/>
      <c r="AD493" s="113"/>
      <c r="AE493" s="113"/>
      <c r="AF493" s="113"/>
      <c r="AG493" s="113"/>
    </row>
    <row r="494" spans="1:33" ht="13.8">
      <c r="A494" s="113"/>
      <c r="B494" s="113"/>
      <c r="C494" s="113"/>
      <c r="D494" s="113"/>
      <c r="E494" s="113"/>
      <c r="F494" s="113"/>
      <c r="G494" s="113"/>
      <c r="H494" s="113"/>
      <c r="I494" s="113"/>
      <c r="J494" s="113"/>
      <c r="K494" s="113"/>
      <c r="L494" s="113"/>
      <c r="M494" s="113"/>
      <c r="N494" s="113"/>
      <c r="O494" s="113"/>
      <c r="P494" s="113"/>
      <c r="Q494" s="113"/>
      <c r="R494" s="113"/>
      <c r="S494" s="113"/>
      <c r="T494" s="113"/>
      <c r="U494" s="113"/>
      <c r="V494" s="113"/>
      <c r="W494" s="113"/>
      <c r="X494" s="113"/>
      <c r="Y494" s="113"/>
      <c r="Z494" s="113"/>
      <c r="AA494" s="113"/>
      <c r="AB494" s="113"/>
      <c r="AC494" s="113"/>
      <c r="AD494" s="113"/>
      <c r="AE494" s="113"/>
      <c r="AF494" s="113"/>
      <c r="AG494" s="113"/>
    </row>
    <row r="495" spans="1:33" ht="13.8">
      <c r="A495" s="113"/>
      <c r="B495" s="113"/>
      <c r="C495" s="113"/>
      <c r="D495" s="113"/>
      <c r="E495" s="113"/>
      <c r="F495" s="113"/>
      <c r="G495" s="113"/>
      <c r="H495" s="113"/>
      <c r="I495" s="113"/>
      <c r="J495" s="113"/>
      <c r="K495" s="113"/>
      <c r="L495" s="113"/>
      <c r="M495" s="113"/>
      <c r="N495" s="113"/>
      <c r="O495" s="113"/>
      <c r="P495" s="113"/>
      <c r="Q495" s="113"/>
      <c r="R495" s="113"/>
      <c r="S495" s="113"/>
      <c r="T495" s="113"/>
      <c r="U495" s="113"/>
      <c r="V495" s="113"/>
      <c r="W495" s="113"/>
      <c r="X495" s="113"/>
      <c r="Y495" s="113"/>
      <c r="Z495" s="113"/>
      <c r="AA495" s="113"/>
      <c r="AB495" s="113"/>
      <c r="AC495" s="113"/>
      <c r="AD495" s="113"/>
      <c r="AE495" s="113"/>
      <c r="AF495" s="113"/>
      <c r="AG495" s="113"/>
    </row>
    <row r="496" spans="1:33" ht="13.8">
      <c r="A496" s="113"/>
      <c r="B496" s="113"/>
      <c r="C496" s="113"/>
      <c r="D496" s="113"/>
      <c r="E496" s="113"/>
      <c r="F496" s="113"/>
      <c r="G496" s="113"/>
      <c r="H496" s="113"/>
      <c r="I496" s="113"/>
      <c r="J496" s="113"/>
      <c r="K496" s="113"/>
      <c r="L496" s="113"/>
      <c r="M496" s="113"/>
      <c r="N496" s="113"/>
      <c r="O496" s="113"/>
      <c r="P496" s="113"/>
      <c r="Q496" s="113"/>
      <c r="R496" s="113"/>
      <c r="S496" s="113"/>
      <c r="T496" s="113"/>
      <c r="U496" s="113"/>
      <c r="V496" s="113"/>
      <c r="W496" s="113"/>
      <c r="X496" s="113"/>
      <c r="Y496" s="113"/>
      <c r="Z496" s="113"/>
      <c r="AA496" s="113"/>
      <c r="AB496" s="113"/>
      <c r="AC496" s="113"/>
      <c r="AD496" s="113"/>
      <c r="AE496" s="113"/>
      <c r="AF496" s="113"/>
      <c r="AG496" s="113"/>
    </row>
    <row r="497" spans="1:33" ht="13.8">
      <c r="A497" s="113"/>
      <c r="B497" s="113"/>
      <c r="C497" s="113"/>
      <c r="D497" s="113"/>
      <c r="E497" s="113"/>
      <c r="F497" s="113"/>
      <c r="G497" s="113"/>
      <c r="H497" s="113"/>
      <c r="I497" s="113"/>
      <c r="J497" s="113"/>
      <c r="K497" s="113"/>
      <c r="L497" s="113"/>
      <c r="M497" s="113"/>
      <c r="N497" s="113"/>
      <c r="O497" s="113"/>
      <c r="P497" s="113"/>
      <c r="Q497" s="113"/>
      <c r="R497" s="113"/>
      <c r="S497" s="113"/>
      <c r="T497" s="113"/>
      <c r="U497" s="113"/>
      <c r="V497" s="113"/>
      <c r="W497" s="113"/>
      <c r="X497" s="113"/>
      <c r="Y497" s="113"/>
      <c r="Z497" s="113"/>
      <c r="AA497" s="113"/>
      <c r="AB497" s="113"/>
      <c r="AC497" s="113"/>
      <c r="AD497" s="113"/>
      <c r="AE497" s="113"/>
      <c r="AF497" s="113"/>
      <c r="AG497" s="113"/>
    </row>
    <row r="498" spans="1:33" ht="13.8">
      <c r="A498" s="113"/>
      <c r="B498" s="113"/>
      <c r="C498" s="113"/>
      <c r="D498" s="113"/>
      <c r="E498" s="113"/>
      <c r="F498" s="113"/>
      <c r="G498" s="113"/>
      <c r="H498" s="113"/>
      <c r="I498" s="113"/>
      <c r="J498" s="113"/>
      <c r="K498" s="113"/>
      <c r="L498" s="113"/>
      <c r="M498" s="113"/>
      <c r="N498" s="113"/>
      <c r="O498" s="113"/>
      <c r="P498" s="113"/>
      <c r="Q498" s="113"/>
      <c r="R498" s="113"/>
      <c r="S498" s="113"/>
      <c r="T498" s="113"/>
      <c r="U498" s="113"/>
      <c r="V498" s="113"/>
      <c r="W498" s="113"/>
      <c r="X498" s="113"/>
      <c r="Y498" s="113"/>
      <c r="Z498" s="113"/>
      <c r="AA498" s="113"/>
      <c r="AB498" s="113"/>
      <c r="AC498" s="113"/>
      <c r="AD498" s="113"/>
      <c r="AE498" s="113"/>
      <c r="AF498" s="113"/>
      <c r="AG498" s="113"/>
    </row>
    <row r="499" spans="1:33" ht="13.8">
      <c r="A499" s="113"/>
      <c r="B499" s="113"/>
      <c r="C499" s="113"/>
      <c r="D499" s="113"/>
      <c r="E499" s="113"/>
      <c r="F499" s="113"/>
      <c r="G499" s="113"/>
      <c r="H499" s="113"/>
      <c r="I499" s="113"/>
      <c r="J499" s="113"/>
      <c r="K499" s="113"/>
      <c r="L499" s="113"/>
      <c r="M499" s="113"/>
      <c r="N499" s="113"/>
      <c r="O499" s="113"/>
      <c r="P499" s="113"/>
      <c r="Q499" s="113"/>
      <c r="R499" s="113"/>
      <c r="S499" s="113"/>
      <c r="T499" s="113"/>
      <c r="U499" s="113"/>
      <c r="V499" s="113"/>
      <c r="W499" s="113"/>
      <c r="X499" s="113"/>
      <c r="Y499" s="113"/>
      <c r="Z499" s="113"/>
      <c r="AA499" s="113"/>
      <c r="AB499" s="113"/>
      <c r="AC499" s="113"/>
      <c r="AD499" s="113"/>
      <c r="AE499" s="113"/>
      <c r="AF499" s="113"/>
      <c r="AG499" s="113"/>
    </row>
    <row r="500" spans="1:33" ht="13.8">
      <c r="A500" s="113"/>
      <c r="B500" s="113"/>
      <c r="C500" s="113"/>
      <c r="D500" s="113"/>
      <c r="E500" s="113"/>
      <c r="F500" s="113"/>
      <c r="G500" s="113"/>
      <c r="H500" s="113"/>
      <c r="I500" s="113"/>
      <c r="J500" s="113"/>
      <c r="K500" s="113"/>
      <c r="L500" s="113"/>
      <c r="M500" s="113"/>
      <c r="N500" s="113"/>
      <c r="O500" s="113"/>
      <c r="P500" s="113"/>
      <c r="Q500" s="113"/>
      <c r="R500" s="113"/>
      <c r="S500" s="113"/>
      <c r="T500" s="113"/>
      <c r="U500" s="113"/>
      <c r="V500" s="113"/>
      <c r="W500" s="113"/>
      <c r="X500" s="113"/>
      <c r="Y500" s="113"/>
      <c r="Z500" s="113"/>
      <c r="AA500" s="113"/>
      <c r="AB500" s="113"/>
      <c r="AC500" s="113"/>
      <c r="AD500" s="113"/>
      <c r="AE500" s="113"/>
      <c r="AF500" s="113"/>
      <c r="AG500" s="113"/>
    </row>
    <row r="501" spans="1:33" ht="13.8">
      <c r="A501" s="113"/>
      <c r="B501" s="113"/>
      <c r="C501" s="113"/>
      <c r="D501" s="113"/>
      <c r="E501" s="113"/>
      <c r="F501" s="113"/>
      <c r="G501" s="113"/>
      <c r="H501" s="113"/>
      <c r="I501" s="113"/>
      <c r="J501" s="113"/>
      <c r="K501" s="113"/>
      <c r="L501" s="113"/>
      <c r="M501" s="113"/>
      <c r="N501" s="113"/>
      <c r="O501" s="113"/>
      <c r="P501" s="113"/>
      <c r="Q501" s="113"/>
      <c r="R501" s="113"/>
      <c r="S501" s="113"/>
      <c r="T501" s="113"/>
      <c r="U501" s="113"/>
      <c r="V501" s="113"/>
      <c r="W501" s="113"/>
      <c r="X501" s="113"/>
      <c r="Y501" s="113"/>
      <c r="Z501" s="113"/>
      <c r="AA501" s="113"/>
      <c r="AB501" s="113"/>
      <c r="AC501" s="113"/>
      <c r="AD501" s="113"/>
      <c r="AE501" s="113"/>
      <c r="AF501" s="113"/>
      <c r="AG501" s="113"/>
    </row>
    <row r="502" spans="1:33" ht="13.8">
      <c r="A502" s="113"/>
      <c r="B502" s="113"/>
      <c r="C502" s="113"/>
      <c r="D502" s="113"/>
      <c r="E502" s="113"/>
      <c r="F502" s="113"/>
      <c r="G502" s="113"/>
      <c r="H502" s="113"/>
      <c r="I502" s="113"/>
      <c r="J502" s="113"/>
      <c r="K502" s="113"/>
      <c r="L502" s="113"/>
      <c r="M502" s="113"/>
      <c r="N502" s="113"/>
      <c r="O502" s="113"/>
      <c r="P502" s="113"/>
      <c r="Q502" s="113"/>
      <c r="R502" s="113"/>
      <c r="S502" s="113"/>
      <c r="T502" s="113"/>
      <c r="U502" s="113"/>
      <c r="V502" s="113"/>
      <c r="W502" s="113"/>
      <c r="X502" s="113"/>
      <c r="Y502" s="113"/>
      <c r="Z502" s="113"/>
      <c r="AA502" s="113"/>
      <c r="AB502" s="113"/>
      <c r="AC502" s="113"/>
      <c r="AD502" s="113"/>
      <c r="AE502" s="113"/>
      <c r="AF502" s="113"/>
      <c r="AG502" s="113"/>
    </row>
    <row r="503" spans="1:33" ht="13.8">
      <c r="A503" s="113"/>
      <c r="B503" s="113"/>
      <c r="C503" s="113"/>
      <c r="D503" s="113"/>
      <c r="E503" s="113"/>
      <c r="F503" s="113"/>
      <c r="G503" s="113"/>
      <c r="H503" s="113"/>
      <c r="I503" s="113"/>
      <c r="J503" s="113"/>
      <c r="K503" s="113"/>
      <c r="L503" s="113"/>
      <c r="M503" s="113"/>
      <c r="N503" s="113"/>
      <c r="O503" s="113"/>
      <c r="P503" s="113"/>
      <c r="Q503" s="113"/>
      <c r="R503" s="113"/>
      <c r="S503" s="113"/>
      <c r="T503" s="113"/>
      <c r="U503" s="113"/>
      <c r="V503" s="113"/>
      <c r="W503" s="113"/>
      <c r="X503" s="113"/>
      <c r="Y503" s="113"/>
      <c r="Z503" s="113"/>
      <c r="AA503" s="113"/>
      <c r="AB503" s="113"/>
      <c r="AC503" s="113"/>
      <c r="AD503" s="113"/>
      <c r="AE503" s="113"/>
      <c r="AF503" s="113"/>
      <c r="AG503" s="113"/>
    </row>
    <row r="504" spans="1:33" ht="13.8">
      <c r="A504" s="113"/>
      <c r="B504" s="113"/>
      <c r="C504" s="113"/>
      <c r="D504" s="113"/>
      <c r="E504" s="113"/>
      <c r="F504" s="113"/>
      <c r="G504" s="113"/>
      <c r="H504" s="113"/>
      <c r="I504" s="113"/>
      <c r="J504" s="113"/>
      <c r="K504" s="113"/>
      <c r="L504" s="113"/>
      <c r="M504" s="113"/>
      <c r="N504" s="113"/>
      <c r="O504" s="113"/>
      <c r="P504" s="113"/>
      <c r="Q504" s="113"/>
      <c r="R504" s="113"/>
      <c r="S504" s="113"/>
      <c r="T504" s="113"/>
      <c r="U504" s="113"/>
      <c r="V504" s="113"/>
      <c r="W504" s="113"/>
      <c r="X504" s="113"/>
      <c r="Y504" s="113"/>
      <c r="Z504" s="113"/>
      <c r="AA504" s="113"/>
      <c r="AB504" s="113"/>
      <c r="AC504" s="113"/>
      <c r="AD504" s="113"/>
      <c r="AE504" s="113"/>
      <c r="AF504" s="113"/>
      <c r="AG504" s="113"/>
    </row>
    <row r="505" spans="1:33" ht="13.8">
      <c r="A505" s="113"/>
      <c r="B505" s="113"/>
      <c r="C505" s="113"/>
      <c r="D505" s="113"/>
      <c r="E505" s="113"/>
      <c r="F505" s="113"/>
      <c r="G505" s="113"/>
      <c r="H505" s="113"/>
      <c r="I505" s="113"/>
      <c r="J505" s="113"/>
      <c r="K505" s="113"/>
      <c r="L505" s="113"/>
      <c r="M505" s="113"/>
      <c r="N505" s="113"/>
      <c r="O505" s="113"/>
      <c r="P505" s="113"/>
      <c r="Q505" s="113"/>
      <c r="R505" s="113"/>
      <c r="S505" s="113"/>
      <c r="T505" s="113"/>
      <c r="U505" s="113"/>
      <c r="V505" s="113"/>
      <c r="W505" s="113"/>
      <c r="X505" s="113"/>
      <c r="Y505" s="113"/>
      <c r="Z505" s="113"/>
      <c r="AA505" s="113"/>
      <c r="AB505" s="113"/>
      <c r="AC505" s="113"/>
      <c r="AD505" s="113"/>
      <c r="AE505" s="113"/>
      <c r="AF505" s="113"/>
      <c r="AG505" s="113"/>
    </row>
    <row r="506" spans="1:33" ht="13.8">
      <c r="A506" s="113"/>
      <c r="B506" s="113"/>
      <c r="C506" s="113"/>
      <c r="D506" s="113"/>
      <c r="E506" s="113"/>
      <c r="F506" s="113"/>
      <c r="G506" s="113"/>
      <c r="H506" s="113"/>
      <c r="I506" s="113"/>
      <c r="J506" s="113"/>
      <c r="K506" s="113"/>
      <c r="L506" s="113"/>
      <c r="M506" s="113"/>
      <c r="N506" s="113"/>
      <c r="O506" s="113"/>
      <c r="P506" s="113"/>
      <c r="Q506" s="113"/>
      <c r="R506" s="113"/>
      <c r="S506" s="113"/>
      <c r="T506" s="113"/>
      <c r="U506" s="113"/>
      <c r="V506" s="113"/>
      <c r="W506" s="113"/>
      <c r="X506" s="113"/>
      <c r="Y506" s="113"/>
      <c r="Z506" s="113"/>
      <c r="AA506" s="113"/>
      <c r="AB506" s="113"/>
      <c r="AC506" s="113"/>
      <c r="AD506" s="113"/>
      <c r="AE506" s="113"/>
      <c r="AF506" s="113"/>
      <c r="AG506" s="113"/>
    </row>
    <row r="507" spans="1:33" ht="13.8">
      <c r="A507" s="113"/>
      <c r="B507" s="113"/>
      <c r="C507" s="113"/>
      <c r="D507" s="113"/>
      <c r="E507" s="113"/>
      <c r="F507" s="113"/>
      <c r="G507" s="113"/>
      <c r="H507" s="113"/>
      <c r="I507" s="113"/>
      <c r="J507" s="113"/>
      <c r="K507" s="113"/>
      <c r="L507" s="113"/>
      <c r="M507" s="113"/>
      <c r="N507" s="113"/>
      <c r="O507" s="113"/>
      <c r="P507" s="113"/>
      <c r="Q507" s="113"/>
      <c r="R507" s="113"/>
      <c r="S507" s="113"/>
      <c r="T507" s="113"/>
      <c r="U507" s="113"/>
      <c r="V507" s="113"/>
      <c r="W507" s="113"/>
      <c r="X507" s="113"/>
      <c r="Y507" s="113"/>
      <c r="Z507" s="113"/>
      <c r="AA507" s="113"/>
      <c r="AB507" s="113"/>
      <c r="AC507" s="113"/>
      <c r="AD507" s="113"/>
      <c r="AE507" s="113"/>
      <c r="AF507" s="113"/>
      <c r="AG507" s="113"/>
    </row>
    <row r="508" spans="1:33" ht="13.8">
      <c r="A508" s="113"/>
      <c r="B508" s="113"/>
      <c r="C508" s="113"/>
      <c r="D508" s="113"/>
      <c r="E508" s="113"/>
      <c r="F508" s="113"/>
      <c r="G508" s="113"/>
      <c r="H508" s="113"/>
      <c r="I508" s="113"/>
      <c r="J508" s="113"/>
      <c r="K508" s="113"/>
      <c r="L508" s="113"/>
      <c r="M508" s="113"/>
      <c r="N508" s="113"/>
      <c r="O508" s="113"/>
      <c r="P508" s="113"/>
      <c r="Q508" s="113"/>
      <c r="R508" s="113"/>
      <c r="S508" s="113"/>
      <c r="T508" s="113"/>
      <c r="U508" s="113"/>
      <c r="V508" s="113"/>
      <c r="W508" s="113"/>
      <c r="X508" s="113"/>
      <c r="Y508" s="113"/>
      <c r="Z508" s="113"/>
      <c r="AA508" s="113"/>
      <c r="AB508" s="113"/>
      <c r="AC508" s="113"/>
      <c r="AD508" s="113"/>
      <c r="AE508" s="113"/>
      <c r="AF508" s="113"/>
      <c r="AG508" s="113"/>
    </row>
    <row r="509" spans="1:33" ht="13.8">
      <c r="A509" s="113"/>
      <c r="B509" s="113"/>
      <c r="C509" s="113"/>
      <c r="D509" s="113"/>
      <c r="E509" s="113"/>
      <c r="F509" s="113"/>
      <c r="G509" s="113"/>
      <c r="H509" s="113"/>
      <c r="I509" s="113"/>
      <c r="J509" s="113"/>
      <c r="K509" s="113"/>
      <c r="L509" s="113"/>
      <c r="M509" s="113"/>
      <c r="N509" s="113"/>
      <c r="O509" s="113"/>
      <c r="P509" s="113"/>
      <c r="Q509" s="113"/>
      <c r="R509" s="113"/>
      <c r="S509" s="113"/>
      <c r="T509" s="113"/>
      <c r="U509" s="113"/>
      <c r="V509" s="113"/>
      <c r="W509" s="113"/>
      <c r="X509" s="113"/>
      <c r="Y509" s="113"/>
      <c r="Z509" s="113"/>
      <c r="AA509" s="113"/>
      <c r="AB509" s="113"/>
      <c r="AC509" s="113"/>
      <c r="AD509" s="113"/>
      <c r="AE509" s="113"/>
      <c r="AF509" s="113"/>
      <c r="AG509" s="113"/>
    </row>
    <row r="510" spans="1:33" ht="13.8">
      <c r="A510" s="113"/>
      <c r="B510" s="113"/>
      <c r="C510" s="113"/>
      <c r="D510" s="113"/>
      <c r="E510" s="113"/>
      <c r="F510" s="113"/>
      <c r="G510" s="113"/>
      <c r="H510" s="113"/>
      <c r="I510" s="113"/>
      <c r="J510" s="113"/>
      <c r="K510" s="113"/>
      <c r="L510" s="113"/>
      <c r="M510" s="113"/>
      <c r="N510" s="113"/>
      <c r="O510" s="113"/>
      <c r="P510" s="113"/>
      <c r="Q510" s="113"/>
      <c r="R510" s="113"/>
      <c r="S510" s="113"/>
      <c r="T510" s="113"/>
      <c r="U510" s="113"/>
      <c r="V510" s="113"/>
      <c r="W510" s="113"/>
      <c r="X510" s="113"/>
      <c r="Y510" s="113"/>
      <c r="Z510" s="113"/>
      <c r="AA510" s="113"/>
      <c r="AB510" s="113"/>
      <c r="AC510" s="113"/>
      <c r="AD510" s="113"/>
      <c r="AE510" s="113"/>
      <c r="AF510" s="113"/>
      <c r="AG510" s="113"/>
    </row>
    <row r="511" spans="1:33" ht="13.8">
      <c r="A511" s="113"/>
      <c r="B511" s="113"/>
      <c r="C511" s="113"/>
      <c r="D511" s="113"/>
      <c r="E511" s="113"/>
      <c r="F511" s="113"/>
      <c r="G511" s="113"/>
      <c r="H511" s="113"/>
      <c r="I511" s="113"/>
      <c r="J511" s="113"/>
      <c r="K511" s="113"/>
      <c r="L511" s="113"/>
      <c r="M511" s="113"/>
      <c r="N511" s="113"/>
      <c r="O511" s="113"/>
      <c r="P511" s="113"/>
      <c r="Q511" s="113"/>
      <c r="R511" s="113"/>
      <c r="S511" s="113"/>
      <c r="T511" s="113"/>
      <c r="U511" s="113"/>
      <c r="V511" s="113"/>
      <c r="W511" s="113"/>
      <c r="X511" s="113"/>
      <c r="Y511" s="113"/>
      <c r="Z511" s="113"/>
      <c r="AA511" s="113"/>
      <c r="AB511" s="113"/>
      <c r="AC511" s="113"/>
      <c r="AD511" s="113"/>
      <c r="AE511" s="113"/>
      <c r="AF511" s="113"/>
      <c r="AG511" s="113"/>
    </row>
    <row r="512" spans="1:33" ht="13.8">
      <c r="A512" s="113"/>
      <c r="B512" s="113"/>
      <c r="C512" s="113"/>
      <c r="D512" s="113"/>
      <c r="E512" s="113"/>
      <c r="F512" s="113"/>
      <c r="G512" s="113"/>
      <c r="H512" s="113"/>
      <c r="I512" s="113"/>
      <c r="J512" s="113"/>
      <c r="K512" s="113"/>
      <c r="L512" s="113"/>
      <c r="M512" s="113"/>
      <c r="N512" s="113"/>
      <c r="O512" s="113"/>
      <c r="P512" s="113"/>
      <c r="Q512" s="113"/>
      <c r="R512" s="113"/>
      <c r="S512" s="113"/>
      <c r="T512" s="113"/>
      <c r="U512" s="113"/>
      <c r="V512" s="113"/>
      <c r="W512" s="113"/>
      <c r="X512" s="113"/>
      <c r="Y512" s="113"/>
      <c r="Z512" s="113"/>
      <c r="AA512" s="113"/>
      <c r="AB512" s="113"/>
      <c r="AC512" s="113"/>
      <c r="AD512" s="113"/>
      <c r="AE512" s="113"/>
      <c r="AF512" s="113"/>
      <c r="AG512" s="113"/>
    </row>
    <row r="513" spans="1:33" ht="13.8">
      <c r="A513" s="113"/>
      <c r="B513" s="113"/>
      <c r="C513" s="113"/>
      <c r="D513" s="113"/>
      <c r="E513" s="113"/>
      <c r="F513" s="113"/>
      <c r="G513" s="113"/>
      <c r="H513" s="113"/>
      <c r="I513" s="113"/>
      <c r="J513" s="113"/>
      <c r="K513" s="113"/>
      <c r="L513" s="113"/>
      <c r="M513" s="113"/>
      <c r="N513" s="113"/>
      <c r="O513" s="113"/>
      <c r="P513" s="113"/>
      <c r="Q513" s="113"/>
      <c r="R513" s="113"/>
      <c r="S513" s="113"/>
      <c r="T513" s="113"/>
      <c r="U513" s="113"/>
      <c r="V513" s="113"/>
      <c r="W513" s="113"/>
      <c r="X513" s="113"/>
      <c r="Y513" s="113"/>
      <c r="Z513" s="113"/>
      <c r="AA513" s="113"/>
      <c r="AB513" s="113"/>
      <c r="AC513" s="113"/>
      <c r="AD513" s="113"/>
      <c r="AE513" s="113"/>
      <c r="AF513" s="113"/>
      <c r="AG513" s="113"/>
    </row>
    <row r="514" spans="1:33" ht="13.8">
      <c r="A514" s="113"/>
      <c r="B514" s="113"/>
      <c r="C514" s="113"/>
      <c r="D514" s="113"/>
      <c r="E514" s="113"/>
      <c r="F514" s="113"/>
      <c r="G514" s="113"/>
      <c r="H514" s="113"/>
      <c r="I514" s="113"/>
      <c r="J514" s="113"/>
      <c r="K514" s="113"/>
      <c r="L514" s="113"/>
      <c r="M514" s="113"/>
      <c r="N514" s="113"/>
      <c r="O514" s="113"/>
      <c r="P514" s="113"/>
      <c r="Q514" s="113"/>
      <c r="R514" s="113"/>
      <c r="S514" s="113"/>
      <c r="T514" s="113"/>
      <c r="U514" s="113"/>
      <c r="V514" s="113"/>
      <c r="W514" s="113"/>
      <c r="X514" s="113"/>
      <c r="Y514" s="113"/>
      <c r="Z514" s="113"/>
      <c r="AA514" s="113"/>
      <c r="AB514" s="113"/>
      <c r="AC514" s="113"/>
      <c r="AD514" s="113"/>
      <c r="AE514" s="113"/>
      <c r="AF514" s="113"/>
      <c r="AG514" s="113"/>
    </row>
    <row r="515" spans="1:33" ht="13.8">
      <c r="A515" s="113"/>
      <c r="B515" s="113"/>
      <c r="C515" s="113"/>
      <c r="D515" s="113"/>
      <c r="E515" s="113"/>
      <c r="F515" s="113"/>
      <c r="G515" s="113"/>
      <c r="H515" s="113"/>
      <c r="I515" s="113"/>
      <c r="J515" s="113"/>
      <c r="K515" s="113"/>
      <c r="L515" s="113"/>
      <c r="M515" s="113"/>
      <c r="N515" s="113"/>
      <c r="O515" s="113"/>
      <c r="P515" s="113"/>
      <c r="Q515" s="113"/>
      <c r="R515" s="113"/>
      <c r="S515" s="113"/>
      <c r="T515" s="113"/>
      <c r="U515" s="113"/>
      <c r="V515" s="113"/>
      <c r="W515" s="113"/>
      <c r="X515" s="113"/>
      <c r="Y515" s="113"/>
      <c r="Z515" s="113"/>
      <c r="AA515" s="113"/>
      <c r="AB515" s="113"/>
      <c r="AC515" s="113"/>
      <c r="AD515" s="113"/>
      <c r="AE515" s="113"/>
      <c r="AF515" s="113"/>
      <c r="AG515" s="113"/>
    </row>
    <row r="516" spans="1:33" ht="13.8">
      <c r="A516" s="113"/>
      <c r="B516" s="113"/>
      <c r="C516" s="113"/>
      <c r="D516" s="113"/>
      <c r="E516" s="113"/>
      <c r="F516" s="113"/>
      <c r="G516" s="113"/>
      <c r="H516" s="113"/>
      <c r="I516" s="113"/>
      <c r="J516" s="113"/>
      <c r="K516" s="113"/>
      <c r="L516" s="113"/>
      <c r="M516" s="113"/>
      <c r="N516" s="113"/>
      <c r="O516" s="113"/>
      <c r="P516" s="113"/>
      <c r="Q516" s="113"/>
      <c r="R516" s="113"/>
      <c r="S516" s="113"/>
      <c r="T516" s="113"/>
      <c r="U516" s="113"/>
      <c r="V516" s="113"/>
      <c r="W516" s="113"/>
      <c r="X516" s="113"/>
      <c r="Y516" s="113"/>
      <c r="Z516" s="113"/>
      <c r="AA516" s="113"/>
      <c r="AB516" s="113"/>
      <c r="AC516" s="113"/>
      <c r="AD516" s="113"/>
      <c r="AE516" s="113"/>
      <c r="AF516" s="113"/>
      <c r="AG516" s="113"/>
    </row>
    <row r="517" spans="1:33" ht="13.8">
      <c r="A517" s="113"/>
      <c r="B517" s="113"/>
      <c r="C517" s="113"/>
      <c r="D517" s="113"/>
      <c r="E517" s="113"/>
      <c r="F517" s="113"/>
      <c r="G517" s="113"/>
      <c r="H517" s="113"/>
      <c r="I517" s="113"/>
      <c r="J517" s="113"/>
      <c r="K517" s="113"/>
      <c r="L517" s="113"/>
      <c r="M517" s="113"/>
      <c r="N517" s="113"/>
      <c r="O517" s="113"/>
      <c r="P517" s="113"/>
      <c r="Q517" s="113"/>
      <c r="R517" s="113"/>
      <c r="S517" s="113"/>
      <c r="T517" s="113"/>
      <c r="U517" s="113"/>
      <c r="V517" s="113"/>
      <c r="W517" s="113"/>
      <c r="X517" s="113"/>
      <c r="Y517" s="113"/>
      <c r="Z517" s="113"/>
      <c r="AA517" s="113"/>
      <c r="AB517" s="113"/>
      <c r="AC517" s="113"/>
      <c r="AD517" s="113"/>
      <c r="AE517" s="113"/>
      <c r="AF517" s="113"/>
      <c r="AG517" s="113"/>
    </row>
    <row r="518" spans="1:33" ht="13.8">
      <c r="A518" s="113"/>
      <c r="B518" s="113"/>
      <c r="C518" s="113"/>
      <c r="D518" s="113"/>
      <c r="E518" s="113"/>
      <c r="F518" s="113"/>
      <c r="G518" s="113"/>
      <c r="H518" s="113"/>
      <c r="I518" s="113"/>
      <c r="J518" s="113"/>
      <c r="K518" s="113"/>
      <c r="L518" s="113"/>
      <c r="M518" s="113"/>
      <c r="N518" s="113"/>
      <c r="O518" s="113"/>
      <c r="P518" s="113"/>
      <c r="Q518" s="113"/>
      <c r="R518" s="113"/>
      <c r="S518" s="113"/>
      <c r="T518" s="113"/>
      <c r="U518" s="113"/>
      <c r="V518" s="113"/>
      <c r="W518" s="113"/>
      <c r="X518" s="113"/>
      <c r="Y518" s="113"/>
      <c r="Z518" s="113"/>
      <c r="AA518" s="113"/>
      <c r="AB518" s="113"/>
      <c r="AC518" s="113"/>
      <c r="AD518" s="113"/>
      <c r="AE518" s="113"/>
      <c r="AF518" s="113"/>
      <c r="AG518" s="113"/>
    </row>
    <row r="519" spans="1:33" ht="13.8">
      <c r="A519" s="113"/>
      <c r="B519" s="113"/>
      <c r="C519" s="113"/>
      <c r="D519" s="113"/>
      <c r="E519" s="113"/>
      <c r="F519" s="113"/>
      <c r="G519" s="113"/>
      <c r="H519" s="113"/>
      <c r="I519" s="113"/>
      <c r="J519" s="113"/>
      <c r="K519" s="113"/>
      <c r="L519" s="113"/>
      <c r="M519" s="113"/>
      <c r="N519" s="113"/>
      <c r="O519" s="113"/>
      <c r="P519" s="113"/>
      <c r="Q519" s="113"/>
      <c r="R519" s="113"/>
      <c r="S519" s="113"/>
      <c r="T519" s="113"/>
      <c r="U519" s="113"/>
      <c r="V519" s="113"/>
      <c r="W519" s="113"/>
      <c r="X519" s="113"/>
      <c r="Y519" s="113"/>
      <c r="Z519" s="113"/>
      <c r="AA519" s="113"/>
      <c r="AB519" s="113"/>
      <c r="AC519" s="113"/>
      <c r="AD519" s="113"/>
      <c r="AE519" s="113"/>
      <c r="AF519" s="113"/>
      <c r="AG519" s="113"/>
    </row>
    <row r="520" spans="1:33" ht="13.8">
      <c r="A520" s="113"/>
      <c r="B520" s="113"/>
      <c r="C520" s="113"/>
      <c r="D520" s="113"/>
      <c r="E520" s="113"/>
      <c r="F520" s="113"/>
      <c r="G520" s="113"/>
      <c r="H520" s="113"/>
      <c r="I520" s="113"/>
      <c r="J520" s="113"/>
      <c r="K520" s="113"/>
      <c r="L520" s="113"/>
      <c r="M520" s="113"/>
      <c r="N520" s="113"/>
      <c r="O520" s="113"/>
      <c r="P520" s="113"/>
      <c r="Q520" s="113"/>
      <c r="R520" s="113"/>
      <c r="S520" s="113"/>
      <c r="T520" s="113"/>
      <c r="U520" s="113"/>
      <c r="V520" s="113"/>
      <c r="W520" s="113"/>
      <c r="X520" s="113"/>
      <c r="Y520" s="113"/>
      <c r="Z520" s="113"/>
      <c r="AA520" s="113"/>
      <c r="AB520" s="113"/>
      <c r="AC520" s="113"/>
      <c r="AD520" s="113"/>
      <c r="AE520" s="113"/>
      <c r="AF520" s="113"/>
      <c r="AG520" s="113"/>
    </row>
    <row r="521" spans="1:33" ht="13.8">
      <c r="A521" s="113"/>
      <c r="B521" s="113"/>
      <c r="C521" s="113"/>
      <c r="D521" s="113"/>
      <c r="E521" s="113"/>
      <c r="F521" s="113"/>
      <c r="G521" s="113"/>
      <c r="H521" s="113"/>
      <c r="I521" s="113"/>
      <c r="J521" s="113"/>
      <c r="K521" s="113"/>
      <c r="L521" s="113"/>
      <c r="M521" s="113"/>
      <c r="N521" s="113"/>
      <c r="O521" s="113"/>
      <c r="P521" s="113"/>
      <c r="Q521" s="113"/>
      <c r="R521" s="113"/>
      <c r="S521" s="113"/>
      <c r="T521" s="113"/>
      <c r="U521" s="113"/>
      <c r="V521" s="113"/>
      <c r="W521" s="113"/>
      <c r="X521" s="113"/>
      <c r="Y521" s="113"/>
      <c r="Z521" s="113"/>
      <c r="AA521" s="113"/>
      <c r="AB521" s="113"/>
      <c r="AC521" s="113"/>
      <c r="AD521" s="113"/>
      <c r="AE521" s="113"/>
      <c r="AF521" s="113"/>
      <c r="AG521" s="113"/>
    </row>
    <row r="522" spans="1:33" ht="13.8">
      <c r="A522" s="113"/>
      <c r="B522" s="113"/>
      <c r="C522" s="113"/>
      <c r="D522" s="113"/>
      <c r="E522" s="113"/>
      <c r="F522" s="113"/>
      <c r="G522" s="113"/>
      <c r="H522" s="113"/>
      <c r="I522" s="113"/>
      <c r="J522" s="113"/>
      <c r="K522" s="113"/>
      <c r="L522" s="113"/>
      <c r="M522" s="113"/>
      <c r="N522" s="113"/>
      <c r="O522" s="113"/>
      <c r="P522" s="113"/>
      <c r="Q522" s="113"/>
      <c r="R522" s="113"/>
      <c r="S522" s="113"/>
      <c r="T522" s="113"/>
      <c r="U522" s="113"/>
      <c r="V522" s="113"/>
      <c r="W522" s="113"/>
      <c r="X522" s="113"/>
      <c r="Y522" s="113"/>
      <c r="Z522" s="113"/>
      <c r="AA522" s="113"/>
      <c r="AB522" s="113"/>
      <c r="AC522" s="113"/>
      <c r="AD522" s="113"/>
      <c r="AE522" s="113"/>
      <c r="AF522" s="113"/>
      <c r="AG522" s="113"/>
    </row>
    <row r="523" spans="1:33" ht="13.8">
      <c r="A523" s="113"/>
      <c r="B523" s="113"/>
      <c r="C523" s="113"/>
      <c r="D523" s="113"/>
      <c r="E523" s="113"/>
      <c r="F523" s="113"/>
      <c r="G523" s="113"/>
      <c r="H523" s="113"/>
      <c r="I523" s="113"/>
      <c r="J523" s="113"/>
      <c r="K523" s="113"/>
      <c r="L523" s="113"/>
      <c r="M523" s="113"/>
      <c r="N523" s="113"/>
      <c r="O523" s="113"/>
      <c r="P523" s="113"/>
      <c r="Q523" s="113"/>
      <c r="R523" s="113"/>
      <c r="S523" s="113"/>
      <c r="T523" s="113"/>
      <c r="U523" s="113"/>
      <c r="V523" s="113"/>
      <c r="W523" s="113"/>
      <c r="X523" s="113"/>
      <c r="Y523" s="113"/>
      <c r="Z523" s="113"/>
      <c r="AA523" s="113"/>
      <c r="AB523" s="113"/>
      <c r="AC523" s="113"/>
      <c r="AD523" s="113"/>
      <c r="AE523" s="113"/>
      <c r="AF523" s="113"/>
      <c r="AG523" s="113"/>
    </row>
    <row r="524" spans="1:33" ht="13.8">
      <c r="A524" s="113"/>
      <c r="B524" s="113"/>
      <c r="C524" s="113"/>
      <c r="D524" s="113"/>
      <c r="E524" s="113"/>
      <c r="F524" s="113"/>
      <c r="G524" s="113"/>
      <c r="H524" s="113"/>
      <c r="I524" s="113"/>
      <c r="J524" s="113"/>
      <c r="K524" s="113"/>
      <c r="L524" s="113"/>
      <c r="M524" s="113"/>
      <c r="N524" s="113"/>
      <c r="O524" s="113"/>
      <c r="P524" s="113"/>
      <c r="Q524" s="113"/>
      <c r="R524" s="113"/>
      <c r="S524" s="113"/>
      <c r="T524" s="113"/>
      <c r="U524" s="113"/>
      <c r="V524" s="113"/>
      <c r="W524" s="113"/>
      <c r="X524" s="113"/>
      <c r="Y524" s="113"/>
      <c r="Z524" s="113"/>
      <c r="AA524" s="113"/>
      <c r="AB524" s="113"/>
      <c r="AC524" s="113"/>
      <c r="AD524" s="113"/>
      <c r="AE524" s="113"/>
      <c r="AF524" s="113"/>
      <c r="AG524" s="113"/>
    </row>
    <row r="525" spans="1:33" ht="13.8">
      <c r="A525" s="113"/>
      <c r="B525" s="113"/>
      <c r="C525" s="113"/>
      <c r="D525" s="113"/>
      <c r="E525" s="113"/>
      <c r="F525" s="113"/>
      <c r="G525" s="113"/>
      <c r="H525" s="113"/>
      <c r="I525" s="113"/>
      <c r="J525" s="113"/>
      <c r="K525" s="113"/>
      <c r="L525" s="113"/>
      <c r="M525" s="113"/>
      <c r="N525" s="113"/>
      <c r="O525" s="113"/>
      <c r="P525" s="113"/>
      <c r="Q525" s="113"/>
      <c r="R525" s="113"/>
      <c r="S525" s="113"/>
      <c r="T525" s="113"/>
      <c r="U525" s="113"/>
      <c r="V525" s="113"/>
      <c r="W525" s="113"/>
      <c r="X525" s="113"/>
      <c r="Y525" s="113"/>
      <c r="Z525" s="113"/>
      <c r="AA525" s="113"/>
      <c r="AB525" s="113"/>
      <c r="AC525" s="113"/>
      <c r="AD525" s="113"/>
      <c r="AE525" s="113"/>
      <c r="AF525" s="113"/>
      <c r="AG525" s="113"/>
    </row>
    <row r="526" spans="1:33" ht="13.8">
      <c r="A526" s="113"/>
      <c r="B526" s="113"/>
      <c r="C526" s="113"/>
      <c r="D526" s="113"/>
      <c r="E526" s="113"/>
      <c r="F526" s="113"/>
      <c r="G526" s="113"/>
      <c r="H526" s="113"/>
      <c r="I526" s="113"/>
      <c r="J526" s="113"/>
      <c r="K526" s="113"/>
      <c r="L526" s="113"/>
      <c r="M526" s="113"/>
      <c r="N526" s="113"/>
      <c r="O526" s="113"/>
      <c r="P526" s="113"/>
      <c r="Q526" s="113"/>
      <c r="R526" s="113"/>
      <c r="S526" s="113"/>
      <c r="T526" s="113"/>
      <c r="U526" s="113"/>
      <c r="V526" s="113"/>
      <c r="W526" s="113"/>
      <c r="X526" s="113"/>
      <c r="Y526" s="113"/>
      <c r="Z526" s="113"/>
      <c r="AA526" s="113"/>
      <c r="AB526" s="113"/>
      <c r="AC526" s="113"/>
      <c r="AD526" s="113"/>
      <c r="AE526" s="113"/>
      <c r="AF526" s="113"/>
      <c r="AG526" s="113"/>
    </row>
    <row r="527" spans="1:33" ht="13.8">
      <c r="A527" s="113"/>
      <c r="B527" s="113"/>
      <c r="C527" s="113"/>
      <c r="D527" s="113"/>
      <c r="E527" s="113"/>
      <c r="F527" s="113"/>
      <c r="G527" s="113"/>
      <c r="H527" s="113"/>
      <c r="I527" s="113"/>
      <c r="J527" s="113"/>
      <c r="K527" s="113"/>
      <c r="L527" s="113"/>
      <c r="M527" s="113"/>
      <c r="N527" s="113"/>
      <c r="O527" s="113"/>
      <c r="P527" s="113"/>
      <c r="Q527" s="113"/>
      <c r="R527" s="113"/>
      <c r="S527" s="113"/>
      <c r="T527" s="113"/>
      <c r="U527" s="113"/>
      <c r="V527" s="113"/>
      <c r="W527" s="113"/>
      <c r="X527" s="113"/>
      <c r="Y527" s="113"/>
      <c r="Z527" s="113"/>
      <c r="AA527" s="113"/>
      <c r="AB527" s="113"/>
      <c r="AC527" s="113"/>
      <c r="AD527" s="113"/>
      <c r="AE527" s="113"/>
      <c r="AF527" s="113"/>
      <c r="AG527" s="113"/>
    </row>
    <row r="528" spans="1:33" ht="13.8">
      <c r="A528" s="113"/>
      <c r="B528" s="113"/>
      <c r="C528" s="113"/>
      <c r="D528" s="113"/>
      <c r="E528" s="113"/>
      <c r="F528" s="113"/>
      <c r="G528" s="113"/>
      <c r="H528" s="113"/>
      <c r="I528" s="113"/>
      <c r="J528" s="113"/>
      <c r="K528" s="113"/>
      <c r="L528" s="113"/>
      <c r="M528" s="113"/>
      <c r="N528" s="113"/>
      <c r="O528" s="113"/>
      <c r="P528" s="113"/>
      <c r="Q528" s="113"/>
      <c r="R528" s="113"/>
      <c r="S528" s="113"/>
      <c r="T528" s="113"/>
      <c r="U528" s="113"/>
      <c r="V528" s="113"/>
      <c r="W528" s="113"/>
      <c r="X528" s="113"/>
      <c r="Y528" s="113"/>
      <c r="Z528" s="113"/>
      <c r="AA528" s="113"/>
      <c r="AB528" s="113"/>
      <c r="AC528" s="113"/>
      <c r="AD528" s="113"/>
      <c r="AE528" s="113"/>
      <c r="AF528" s="113"/>
      <c r="AG528" s="113"/>
    </row>
    <row r="529" spans="1:33" ht="13.8">
      <c r="A529" s="113"/>
      <c r="B529" s="113"/>
      <c r="C529" s="113"/>
      <c r="D529" s="113"/>
      <c r="E529" s="113"/>
      <c r="F529" s="113"/>
      <c r="G529" s="113"/>
      <c r="H529" s="113"/>
      <c r="I529" s="113"/>
      <c r="J529" s="113"/>
      <c r="K529" s="113"/>
      <c r="L529" s="113"/>
      <c r="M529" s="113"/>
      <c r="N529" s="113"/>
      <c r="O529" s="113"/>
      <c r="P529" s="113"/>
      <c r="Q529" s="113"/>
      <c r="R529" s="113"/>
      <c r="S529" s="113"/>
      <c r="T529" s="113"/>
      <c r="U529" s="113"/>
      <c r="V529" s="113"/>
      <c r="W529" s="113"/>
      <c r="X529" s="113"/>
      <c r="Y529" s="113"/>
      <c r="Z529" s="113"/>
      <c r="AA529" s="113"/>
      <c r="AB529" s="113"/>
      <c r="AC529" s="113"/>
      <c r="AD529" s="113"/>
      <c r="AE529" s="113"/>
      <c r="AF529" s="113"/>
      <c r="AG529" s="113"/>
    </row>
    <row r="530" spans="1:33" ht="13.8">
      <c r="A530" s="113"/>
      <c r="B530" s="113"/>
      <c r="C530" s="113"/>
      <c r="D530" s="113"/>
      <c r="E530" s="113"/>
      <c r="F530" s="113"/>
      <c r="G530" s="113"/>
      <c r="H530" s="113"/>
      <c r="I530" s="113"/>
      <c r="J530" s="113"/>
      <c r="K530" s="113"/>
      <c r="L530" s="113"/>
      <c r="M530" s="113"/>
      <c r="N530" s="113"/>
      <c r="O530" s="113"/>
      <c r="P530" s="113"/>
      <c r="Q530" s="113"/>
      <c r="R530" s="113"/>
      <c r="S530" s="113"/>
      <c r="T530" s="113"/>
      <c r="U530" s="113"/>
      <c r="V530" s="113"/>
      <c r="W530" s="113"/>
      <c r="X530" s="113"/>
      <c r="Y530" s="113"/>
      <c r="Z530" s="113"/>
      <c r="AA530" s="113"/>
      <c r="AB530" s="113"/>
      <c r="AC530" s="113"/>
      <c r="AD530" s="113"/>
      <c r="AE530" s="113"/>
      <c r="AF530" s="113"/>
      <c r="AG530" s="113"/>
    </row>
    <row r="531" spans="1:33" ht="13.8">
      <c r="A531" s="113"/>
      <c r="B531" s="113"/>
      <c r="C531" s="113"/>
      <c r="D531" s="113"/>
      <c r="E531" s="113"/>
      <c r="F531" s="113"/>
      <c r="G531" s="113"/>
      <c r="H531" s="113"/>
      <c r="I531" s="113"/>
      <c r="J531" s="113"/>
      <c r="K531" s="113"/>
      <c r="L531" s="113"/>
      <c r="M531" s="113"/>
      <c r="N531" s="113"/>
      <c r="O531" s="113"/>
      <c r="P531" s="113"/>
      <c r="Q531" s="113"/>
      <c r="R531" s="113"/>
      <c r="S531" s="113"/>
      <c r="T531" s="113"/>
      <c r="U531" s="113"/>
      <c r="V531" s="113"/>
      <c r="W531" s="113"/>
      <c r="X531" s="113"/>
      <c r="Y531" s="113"/>
      <c r="Z531" s="113"/>
      <c r="AA531" s="113"/>
      <c r="AB531" s="113"/>
      <c r="AC531" s="113"/>
      <c r="AD531" s="113"/>
      <c r="AE531" s="113"/>
      <c r="AF531" s="113"/>
      <c r="AG531" s="113"/>
    </row>
    <row r="532" spans="1:33" ht="13.8">
      <c r="A532" s="113"/>
      <c r="B532" s="113"/>
      <c r="C532" s="113"/>
      <c r="D532" s="113"/>
      <c r="E532" s="113"/>
      <c r="F532" s="113"/>
      <c r="G532" s="113"/>
      <c r="H532" s="113"/>
      <c r="I532" s="113"/>
      <c r="J532" s="113"/>
      <c r="K532" s="113"/>
      <c r="L532" s="113"/>
      <c r="M532" s="113"/>
      <c r="N532" s="113"/>
      <c r="O532" s="113"/>
      <c r="P532" s="113"/>
      <c r="Q532" s="113"/>
      <c r="R532" s="113"/>
      <c r="S532" s="113"/>
      <c r="T532" s="113"/>
      <c r="U532" s="113"/>
      <c r="V532" s="113"/>
      <c r="W532" s="113"/>
      <c r="X532" s="113"/>
      <c r="Y532" s="113"/>
      <c r="Z532" s="113"/>
      <c r="AA532" s="113"/>
      <c r="AB532" s="113"/>
      <c r="AC532" s="113"/>
      <c r="AD532" s="113"/>
      <c r="AE532" s="113"/>
      <c r="AF532" s="113"/>
      <c r="AG532" s="113"/>
    </row>
    <row r="533" spans="1:33" ht="13.8">
      <c r="A533" s="113"/>
      <c r="B533" s="113"/>
      <c r="C533" s="113"/>
      <c r="D533" s="113"/>
      <c r="E533" s="113"/>
      <c r="F533" s="113"/>
      <c r="G533" s="113"/>
      <c r="H533" s="113"/>
      <c r="I533" s="113"/>
      <c r="J533" s="113"/>
      <c r="K533" s="113"/>
      <c r="L533" s="113"/>
      <c r="M533" s="113"/>
      <c r="N533" s="113"/>
      <c r="O533" s="113"/>
      <c r="P533" s="113"/>
      <c r="Q533" s="113"/>
      <c r="R533" s="113"/>
      <c r="S533" s="113"/>
      <c r="T533" s="113"/>
      <c r="U533" s="113"/>
      <c r="V533" s="113"/>
      <c r="W533" s="113"/>
      <c r="X533" s="113"/>
      <c r="Y533" s="113"/>
      <c r="Z533" s="113"/>
      <c r="AA533" s="113"/>
      <c r="AB533" s="113"/>
      <c r="AC533" s="113"/>
      <c r="AD533" s="113"/>
      <c r="AE533" s="113"/>
      <c r="AF533" s="113"/>
      <c r="AG533" s="113"/>
    </row>
    <row r="534" spans="1:33" ht="13.8">
      <c r="A534" s="113"/>
      <c r="B534" s="113"/>
      <c r="C534" s="113"/>
      <c r="D534" s="113"/>
      <c r="E534" s="113"/>
      <c r="F534" s="113"/>
      <c r="G534" s="113"/>
      <c r="H534" s="113"/>
      <c r="I534" s="113"/>
      <c r="J534" s="113"/>
      <c r="K534" s="113"/>
      <c r="L534" s="113"/>
      <c r="M534" s="113"/>
      <c r="N534" s="113"/>
      <c r="O534" s="113"/>
      <c r="P534" s="113"/>
      <c r="Q534" s="113"/>
      <c r="R534" s="113"/>
      <c r="S534" s="113"/>
      <c r="T534" s="113"/>
      <c r="U534" s="113"/>
      <c r="V534" s="113"/>
      <c r="W534" s="113"/>
      <c r="X534" s="113"/>
      <c r="Y534" s="113"/>
      <c r="Z534" s="113"/>
      <c r="AA534" s="113"/>
      <c r="AB534" s="113"/>
      <c r="AC534" s="113"/>
      <c r="AD534" s="113"/>
      <c r="AE534" s="113"/>
      <c r="AF534" s="113"/>
      <c r="AG534" s="113"/>
    </row>
    <row r="535" spans="1:33" ht="13.8">
      <c r="A535" s="113"/>
      <c r="B535" s="113"/>
      <c r="C535" s="113"/>
      <c r="D535" s="113"/>
      <c r="E535" s="113"/>
      <c r="F535" s="113"/>
      <c r="G535" s="113"/>
      <c r="H535" s="113"/>
      <c r="I535" s="113"/>
      <c r="J535" s="113"/>
      <c r="K535" s="113"/>
      <c r="L535" s="113"/>
      <c r="M535" s="113"/>
      <c r="N535" s="113"/>
      <c r="O535" s="113"/>
      <c r="P535" s="113"/>
      <c r="Q535" s="113"/>
      <c r="R535" s="113"/>
      <c r="S535" s="113"/>
      <c r="T535" s="113"/>
      <c r="U535" s="113"/>
      <c r="V535" s="113"/>
      <c r="W535" s="113"/>
      <c r="X535" s="113"/>
      <c r="Y535" s="113"/>
      <c r="Z535" s="113"/>
      <c r="AA535" s="113"/>
      <c r="AB535" s="113"/>
      <c r="AC535" s="113"/>
      <c r="AD535" s="113"/>
      <c r="AE535" s="113"/>
      <c r="AF535" s="113"/>
      <c r="AG535" s="113"/>
    </row>
    <row r="536" spans="1:33" ht="13.8">
      <c r="A536" s="113"/>
      <c r="B536" s="113"/>
      <c r="C536" s="113"/>
      <c r="D536" s="113"/>
      <c r="E536" s="113"/>
      <c r="F536" s="113"/>
      <c r="G536" s="113"/>
      <c r="H536" s="113"/>
      <c r="I536" s="113"/>
      <c r="J536" s="113"/>
      <c r="K536" s="113"/>
      <c r="L536" s="113"/>
      <c r="M536" s="113"/>
      <c r="N536" s="113"/>
      <c r="O536" s="113"/>
      <c r="P536" s="113"/>
      <c r="Q536" s="113"/>
      <c r="R536" s="113"/>
      <c r="S536" s="113"/>
      <c r="T536" s="113"/>
      <c r="U536" s="113"/>
      <c r="V536" s="113"/>
      <c r="W536" s="113"/>
      <c r="X536" s="113"/>
      <c r="Y536" s="113"/>
      <c r="Z536" s="113"/>
      <c r="AA536" s="113"/>
      <c r="AB536" s="113"/>
      <c r="AC536" s="113"/>
      <c r="AD536" s="113"/>
      <c r="AE536" s="113"/>
      <c r="AF536" s="113"/>
      <c r="AG536" s="113"/>
    </row>
    <row r="537" spans="1:33" ht="13.8">
      <c r="A537" s="113"/>
      <c r="B537" s="113"/>
      <c r="C537" s="113"/>
      <c r="D537" s="113"/>
      <c r="E537" s="113"/>
      <c r="F537" s="113"/>
      <c r="G537" s="113"/>
      <c r="H537" s="113"/>
      <c r="I537" s="113"/>
      <c r="J537" s="113"/>
      <c r="K537" s="113"/>
      <c r="L537" s="113"/>
      <c r="M537" s="113"/>
      <c r="N537" s="113"/>
      <c r="O537" s="113"/>
      <c r="P537" s="113"/>
      <c r="Q537" s="113"/>
      <c r="R537" s="113"/>
      <c r="S537" s="113"/>
      <c r="T537" s="113"/>
      <c r="U537" s="113"/>
      <c r="V537" s="113"/>
      <c r="W537" s="113"/>
      <c r="X537" s="113"/>
      <c r="Y537" s="113"/>
      <c r="Z537" s="113"/>
      <c r="AA537" s="113"/>
      <c r="AB537" s="113"/>
      <c r="AC537" s="113"/>
      <c r="AD537" s="113"/>
      <c r="AE537" s="113"/>
      <c r="AF537" s="113"/>
      <c r="AG537" s="113"/>
    </row>
    <row r="538" spans="1:33" ht="13.8">
      <c r="A538" s="113"/>
      <c r="B538" s="113"/>
      <c r="C538" s="113"/>
      <c r="D538" s="113"/>
      <c r="E538" s="113"/>
      <c r="F538" s="113"/>
      <c r="G538" s="113"/>
      <c r="H538" s="113"/>
      <c r="I538" s="113"/>
      <c r="J538" s="113"/>
      <c r="K538" s="113"/>
      <c r="L538" s="113"/>
      <c r="M538" s="113"/>
      <c r="N538" s="113"/>
      <c r="O538" s="113"/>
      <c r="P538" s="113"/>
      <c r="Q538" s="113"/>
      <c r="R538" s="113"/>
      <c r="S538" s="113"/>
      <c r="T538" s="113"/>
      <c r="U538" s="113"/>
      <c r="V538" s="113"/>
      <c r="W538" s="113"/>
      <c r="X538" s="113"/>
      <c r="Y538" s="113"/>
      <c r="Z538" s="113"/>
      <c r="AA538" s="113"/>
      <c r="AB538" s="113"/>
      <c r="AC538" s="113"/>
      <c r="AD538" s="113"/>
      <c r="AE538" s="113"/>
      <c r="AF538" s="113"/>
      <c r="AG538" s="113"/>
    </row>
    <row r="539" spans="1:33" ht="13.8">
      <c r="A539" s="113"/>
      <c r="B539" s="113"/>
      <c r="C539" s="113"/>
      <c r="D539" s="113"/>
      <c r="E539" s="113"/>
      <c r="F539" s="113"/>
      <c r="G539" s="113"/>
      <c r="H539" s="113"/>
      <c r="I539" s="113"/>
      <c r="J539" s="113"/>
      <c r="K539" s="113"/>
      <c r="L539" s="113"/>
      <c r="M539" s="113"/>
      <c r="N539" s="113"/>
      <c r="O539" s="113"/>
      <c r="P539" s="113"/>
      <c r="Q539" s="113"/>
      <c r="R539" s="113"/>
      <c r="S539" s="113"/>
      <c r="T539" s="113"/>
      <c r="U539" s="113"/>
      <c r="V539" s="113"/>
      <c r="W539" s="113"/>
      <c r="X539" s="113"/>
      <c r="Y539" s="113"/>
      <c r="Z539" s="113"/>
      <c r="AA539" s="113"/>
      <c r="AB539" s="113"/>
      <c r="AC539" s="113"/>
      <c r="AD539" s="113"/>
      <c r="AE539" s="113"/>
      <c r="AF539" s="113"/>
      <c r="AG539" s="113"/>
    </row>
    <row r="540" spans="1:33" ht="13.8">
      <c r="A540" s="113"/>
      <c r="B540" s="113"/>
      <c r="C540" s="113"/>
      <c r="D540" s="113"/>
      <c r="E540" s="113"/>
      <c r="F540" s="113"/>
      <c r="G540" s="113"/>
      <c r="H540" s="113"/>
      <c r="I540" s="113"/>
      <c r="J540" s="113"/>
      <c r="K540" s="113"/>
      <c r="L540" s="113"/>
      <c r="M540" s="113"/>
      <c r="N540" s="113"/>
      <c r="O540" s="113"/>
      <c r="P540" s="113"/>
      <c r="Q540" s="113"/>
      <c r="R540" s="113"/>
      <c r="S540" s="113"/>
      <c r="T540" s="113"/>
      <c r="U540" s="113"/>
      <c r="V540" s="113"/>
      <c r="W540" s="113"/>
      <c r="X540" s="113"/>
      <c r="Y540" s="113"/>
      <c r="Z540" s="113"/>
      <c r="AA540" s="113"/>
      <c r="AB540" s="113"/>
      <c r="AC540" s="113"/>
      <c r="AD540" s="113"/>
      <c r="AE540" s="113"/>
      <c r="AF540" s="113"/>
      <c r="AG540" s="113"/>
    </row>
    <row r="541" spans="1:33" ht="13.8">
      <c r="A541" s="113"/>
      <c r="B541" s="113"/>
      <c r="C541" s="113"/>
      <c r="D541" s="113"/>
      <c r="E541" s="113"/>
      <c r="F541" s="113"/>
      <c r="G541" s="113"/>
      <c r="H541" s="113"/>
      <c r="I541" s="113"/>
      <c r="J541" s="113"/>
      <c r="K541" s="113"/>
      <c r="L541" s="113"/>
      <c r="M541" s="113"/>
      <c r="N541" s="113"/>
      <c r="O541" s="113"/>
      <c r="P541" s="113"/>
      <c r="Q541" s="113"/>
      <c r="R541" s="113"/>
      <c r="S541" s="113"/>
      <c r="T541" s="113"/>
      <c r="U541" s="113"/>
      <c r="V541" s="113"/>
      <c r="W541" s="113"/>
      <c r="X541" s="113"/>
      <c r="Y541" s="113"/>
      <c r="Z541" s="113"/>
      <c r="AA541" s="113"/>
      <c r="AB541" s="113"/>
      <c r="AC541" s="113"/>
      <c r="AD541" s="113"/>
      <c r="AE541" s="113"/>
      <c r="AF541" s="113"/>
      <c r="AG541" s="113"/>
    </row>
    <row r="542" spans="1:33" ht="13.8">
      <c r="A542" s="113"/>
      <c r="B542" s="113"/>
      <c r="C542" s="113"/>
      <c r="D542" s="113"/>
      <c r="E542" s="113"/>
      <c r="F542" s="113"/>
      <c r="G542" s="113"/>
      <c r="H542" s="113"/>
      <c r="I542" s="113"/>
      <c r="J542" s="113"/>
      <c r="K542" s="113"/>
      <c r="L542" s="113"/>
      <c r="M542" s="113"/>
      <c r="N542" s="113"/>
      <c r="O542" s="113"/>
      <c r="P542" s="113"/>
      <c r="Q542" s="113"/>
      <c r="R542" s="113"/>
      <c r="S542" s="113"/>
      <c r="T542" s="113"/>
      <c r="U542" s="113"/>
      <c r="V542" s="113"/>
      <c r="W542" s="113"/>
      <c r="X542" s="113"/>
      <c r="Y542" s="113"/>
      <c r="Z542" s="113"/>
      <c r="AA542" s="113"/>
      <c r="AB542" s="113"/>
      <c r="AC542" s="113"/>
      <c r="AD542" s="113"/>
      <c r="AE542" s="113"/>
      <c r="AF542" s="113"/>
      <c r="AG542" s="113"/>
    </row>
    <row r="543" spans="1:33" ht="13.8">
      <c r="A543" s="113"/>
      <c r="B543" s="113"/>
      <c r="C543" s="113"/>
      <c r="D543" s="113"/>
      <c r="E543" s="113"/>
      <c r="F543" s="113"/>
      <c r="G543" s="113"/>
      <c r="H543" s="113"/>
      <c r="I543" s="113"/>
      <c r="J543" s="113"/>
      <c r="K543" s="113"/>
      <c r="L543" s="113"/>
      <c r="M543" s="113"/>
      <c r="N543" s="113"/>
      <c r="O543" s="113"/>
      <c r="P543" s="113"/>
      <c r="Q543" s="113"/>
      <c r="R543" s="113"/>
      <c r="S543" s="113"/>
      <c r="T543" s="113"/>
      <c r="U543" s="113"/>
      <c r="V543" s="113"/>
      <c r="W543" s="113"/>
      <c r="X543" s="113"/>
      <c r="Y543" s="113"/>
      <c r="Z543" s="113"/>
      <c r="AA543" s="113"/>
      <c r="AB543" s="113"/>
      <c r="AC543" s="113"/>
      <c r="AD543" s="113"/>
      <c r="AE543" s="113"/>
      <c r="AF543" s="113"/>
      <c r="AG543" s="113"/>
    </row>
    <row r="544" spans="1:33" ht="13.8">
      <c r="A544" s="113"/>
      <c r="B544" s="113"/>
      <c r="C544" s="113"/>
      <c r="D544" s="113"/>
      <c r="E544" s="113"/>
      <c r="F544" s="113"/>
      <c r="G544" s="113"/>
      <c r="H544" s="113"/>
      <c r="I544" s="113"/>
      <c r="J544" s="113"/>
      <c r="K544" s="113"/>
      <c r="L544" s="113"/>
      <c r="M544" s="113"/>
      <c r="N544" s="113"/>
      <c r="O544" s="113"/>
      <c r="P544" s="113"/>
      <c r="Q544" s="113"/>
      <c r="R544" s="113"/>
      <c r="S544" s="113"/>
      <c r="T544" s="113"/>
      <c r="U544" s="113"/>
      <c r="V544" s="113"/>
      <c r="W544" s="113"/>
      <c r="X544" s="113"/>
      <c r="Y544" s="113"/>
      <c r="Z544" s="113"/>
      <c r="AA544" s="113"/>
      <c r="AB544" s="113"/>
      <c r="AC544" s="113"/>
      <c r="AD544" s="113"/>
      <c r="AE544" s="113"/>
      <c r="AF544" s="113"/>
      <c r="AG544" s="113"/>
    </row>
    <row r="545" spans="1:33" ht="13.8">
      <c r="A545" s="113"/>
      <c r="B545" s="113"/>
      <c r="C545" s="113"/>
      <c r="D545" s="113"/>
      <c r="E545" s="113"/>
      <c r="F545" s="113"/>
      <c r="G545" s="113"/>
      <c r="H545" s="113"/>
      <c r="I545" s="113"/>
      <c r="J545" s="113"/>
      <c r="K545" s="113"/>
      <c r="L545" s="113"/>
      <c r="M545" s="113"/>
      <c r="N545" s="113"/>
      <c r="O545" s="113"/>
      <c r="P545" s="113"/>
      <c r="Q545" s="113"/>
      <c r="R545" s="113"/>
      <c r="S545" s="113"/>
      <c r="T545" s="113"/>
      <c r="U545" s="113"/>
      <c r="V545" s="113"/>
      <c r="W545" s="113"/>
      <c r="X545" s="113"/>
      <c r="Y545" s="113"/>
      <c r="Z545" s="113"/>
      <c r="AA545" s="113"/>
      <c r="AB545" s="113"/>
      <c r="AC545" s="113"/>
      <c r="AD545" s="113"/>
      <c r="AE545" s="113"/>
      <c r="AF545" s="113"/>
      <c r="AG545" s="113"/>
    </row>
    <row r="546" spans="1:33" ht="13.8">
      <c r="A546" s="113"/>
      <c r="B546" s="113"/>
      <c r="C546" s="113"/>
      <c r="D546" s="113"/>
      <c r="E546" s="113"/>
      <c r="F546" s="113"/>
      <c r="G546" s="113"/>
      <c r="H546" s="113"/>
      <c r="I546" s="113"/>
      <c r="J546" s="113"/>
      <c r="K546" s="113"/>
      <c r="L546" s="113"/>
      <c r="M546" s="113"/>
      <c r="N546" s="113"/>
      <c r="O546" s="113"/>
      <c r="P546" s="113"/>
      <c r="Q546" s="113"/>
      <c r="R546" s="113"/>
      <c r="S546" s="113"/>
      <c r="T546" s="113"/>
      <c r="U546" s="113"/>
      <c r="V546" s="113"/>
      <c r="W546" s="113"/>
      <c r="X546" s="113"/>
      <c r="Y546" s="113"/>
      <c r="Z546" s="113"/>
      <c r="AA546" s="113"/>
      <c r="AB546" s="113"/>
      <c r="AC546" s="113"/>
      <c r="AD546" s="113"/>
      <c r="AE546" s="113"/>
      <c r="AF546" s="113"/>
      <c r="AG546" s="113"/>
    </row>
    <row r="547" spans="1:33" ht="13.8">
      <c r="A547" s="113"/>
      <c r="B547" s="113"/>
      <c r="C547" s="113"/>
      <c r="D547" s="113"/>
      <c r="E547" s="113"/>
      <c r="F547" s="113"/>
      <c r="G547" s="113"/>
      <c r="H547" s="113"/>
      <c r="I547" s="113"/>
      <c r="J547" s="113"/>
      <c r="K547" s="113"/>
      <c r="L547" s="113"/>
      <c r="M547" s="113"/>
      <c r="N547" s="113"/>
      <c r="O547" s="113"/>
      <c r="P547" s="113"/>
      <c r="Q547" s="113"/>
      <c r="R547" s="113"/>
      <c r="S547" s="113"/>
      <c r="T547" s="113"/>
      <c r="U547" s="113"/>
      <c r="V547" s="113"/>
      <c r="W547" s="113"/>
      <c r="X547" s="113"/>
      <c r="Y547" s="113"/>
      <c r="Z547" s="113"/>
      <c r="AA547" s="113"/>
      <c r="AB547" s="113"/>
      <c r="AC547" s="113"/>
      <c r="AD547" s="113"/>
      <c r="AE547" s="113"/>
      <c r="AF547" s="113"/>
      <c r="AG547" s="113"/>
    </row>
    <row r="548" spans="1:33" ht="13.8">
      <c r="A548" s="113"/>
      <c r="B548" s="113"/>
      <c r="C548" s="113"/>
      <c r="D548" s="113"/>
      <c r="E548" s="113"/>
      <c r="F548" s="113"/>
      <c r="G548" s="113"/>
      <c r="H548" s="113"/>
      <c r="I548" s="113"/>
      <c r="J548" s="113"/>
      <c r="K548" s="113"/>
      <c r="L548" s="113"/>
      <c r="M548" s="113"/>
      <c r="N548" s="113"/>
      <c r="O548" s="113"/>
      <c r="P548" s="113"/>
      <c r="Q548" s="113"/>
      <c r="R548" s="113"/>
      <c r="S548" s="113"/>
      <c r="T548" s="113"/>
      <c r="U548" s="113"/>
      <c r="V548" s="113"/>
      <c r="W548" s="113"/>
      <c r="X548" s="113"/>
      <c r="Y548" s="113"/>
      <c r="Z548" s="113"/>
      <c r="AA548" s="113"/>
      <c r="AB548" s="113"/>
      <c r="AC548" s="113"/>
      <c r="AD548" s="113"/>
      <c r="AE548" s="113"/>
      <c r="AF548" s="113"/>
      <c r="AG548" s="113"/>
    </row>
    <row r="549" spans="1:33" ht="13.8">
      <c r="A549" s="113"/>
      <c r="B549" s="113"/>
      <c r="C549" s="113"/>
      <c r="D549" s="113"/>
      <c r="E549" s="113"/>
      <c r="F549" s="113"/>
      <c r="G549" s="113"/>
      <c r="H549" s="113"/>
      <c r="I549" s="113"/>
      <c r="J549" s="113"/>
      <c r="K549" s="113"/>
      <c r="L549" s="113"/>
      <c r="M549" s="113"/>
      <c r="N549" s="113"/>
      <c r="O549" s="113"/>
      <c r="P549" s="113"/>
      <c r="Q549" s="113"/>
      <c r="R549" s="113"/>
      <c r="S549" s="113"/>
      <c r="T549" s="113"/>
      <c r="U549" s="113"/>
      <c r="V549" s="113"/>
      <c r="W549" s="113"/>
      <c r="X549" s="113"/>
      <c r="Y549" s="113"/>
      <c r="Z549" s="113"/>
      <c r="AA549" s="113"/>
      <c r="AB549" s="113"/>
      <c r="AC549" s="113"/>
      <c r="AD549" s="113"/>
      <c r="AE549" s="113"/>
      <c r="AF549" s="113"/>
      <c r="AG549" s="113"/>
    </row>
    <row r="550" spans="1:33" ht="13.8">
      <c r="A550" s="113"/>
      <c r="B550" s="113"/>
      <c r="C550" s="113"/>
      <c r="D550" s="113"/>
      <c r="E550" s="113"/>
      <c r="F550" s="113"/>
      <c r="G550" s="113"/>
      <c r="H550" s="113"/>
      <c r="I550" s="113"/>
      <c r="J550" s="113"/>
      <c r="K550" s="113"/>
      <c r="L550" s="113"/>
      <c r="M550" s="113"/>
      <c r="N550" s="113"/>
      <c r="O550" s="113"/>
      <c r="P550" s="113"/>
      <c r="Q550" s="113"/>
      <c r="R550" s="113"/>
      <c r="S550" s="113"/>
      <c r="T550" s="113"/>
      <c r="U550" s="113"/>
      <c r="V550" s="113"/>
      <c r="W550" s="113"/>
      <c r="X550" s="113"/>
      <c r="Y550" s="113"/>
      <c r="Z550" s="113"/>
      <c r="AA550" s="113"/>
      <c r="AB550" s="113"/>
      <c r="AC550" s="113"/>
      <c r="AD550" s="113"/>
      <c r="AE550" s="113"/>
      <c r="AF550" s="113"/>
      <c r="AG550" s="113"/>
    </row>
    <row r="551" spans="1:33" ht="13.8">
      <c r="A551" s="113"/>
      <c r="B551" s="113"/>
      <c r="C551" s="113"/>
      <c r="D551" s="113"/>
      <c r="E551" s="113"/>
      <c r="F551" s="113"/>
      <c r="G551" s="113"/>
      <c r="H551" s="113"/>
      <c r="I551" s="113"/>
      <c r="J551" s="113"/>
      <c r="K551" s="113"/>
      <c r="L551" s="113"/>
      <c r="M551" s="113"/>
      <c r="N551" s="113"/>
      <c r="O551" s="113"/>
      <c r="P551" s="113"/>
      <c r="Q551" s="113"/>
      <c r="R551" s="113"/>
      <c r="S551" s="113"/>
      <c r="T551" s="113"/>
      <c r="U551" s="113"/>
      <c r="V551" s="113"/>
      <c r="W551" s="113"/>
      <c r="X551" s="113"/>
      <c r="Y551" s="113"/>
      <c r="Z551" s="113"/>
      <c r="AA551" s="113"/>
      <c r="AB551" s="113"/>
      <c r="AC551" s="113"/>
      <c r="AD551" s="113"/>
      <c r="AE551" s="113"/>
      <c r="AF551" s="113"/>
      <c r="AG551" s="113"/>
    </row>
    <row r="552" spans="1:33" ht="13.8">
      <c r="A552" s="113"/>
      <c r="B552" s="113"/>
      <c r="C552" s="113"/>
      <c r="D552" s="113"/>
      <c r="E552" s="113"/>
      <c r="F552" s="113"/>
      <c r="G552" s="113"/>
      <c r="H552" s="113"/>
      <c r="I552" s="113"/>
      <c r="J552" s="113"/>
      <c r="K552" s="113"/>
      <c r="L552" s="113"/>
      <c r="M552" s="113"/>
      <c r="N552" s="113"/>
      <c r="O552" s="113"/>
      <c r="P552" s="113"/>
      <c r="Q552" s="113"/>
      <c r="R552" s="113"/>
      <c r="S552" s="113"/>
      <c r="T552" s="113"/>
      <c r="U552" s="113"/>
      <c r="V552" s="113"/>
      <c r="W552" s="113"/>
      <c r="X552" s="113"/>
      <c r="Y552" s="113"/>
      <c r="Z552" s="113"/>
      <c r="AA552" s="113"/>
      <c r="AB552" s="113"/>
      <c r="AC552" s="113"/>
      <c r="AD552" s="113"/>
      <c r="AE552" s="113"/>
      <c r="AF552" s="113"/>
      <c r="AG552" s="113"/>
    </row>
    <row r="553" spans="1:33" ht="13.8">
      <c r="A553" s="113"/>
      <c r="B553" s="113"/>
      <c r="C553" s="113"/>
      <c r="D553" s="113"/>
      <c r="E553" s="113"/>
      <c r="F553" s="113"/>
      <c r="G553" s="113"/>
      <c r="H553" s="113"/>
      <c r="I553" s="113"/>
      <c r="J553" s="113"/>
      <c r="K553" s="113"/>
      <c r="L553" s="113"/>
      <c r="M553" s="113"/>
      <c r="N553" s="113"/>
      <c r="O553" s="113"/>
      <c r="P553" s="113"/>
      <c r="Q553" s="113"/>
      <c r="R553" s="113"/>
      <c r="S553" s="113"/>
      <c r="T553" s="113"/>
      <c r="U553" s="113"/>
      <c r="V553" s="113"/>
      <c r="W553" s="113"/>
      <c r="X553" s="113"/>
      <c r="Y553" s="113"/>
      <c r="Z553" s="113"/>
      <c r="AA553" s="113"/>
      <c r="AB553" s="113"/>
      <c r="AC553" s="113"/>
      <c r="AD553" s="113"/>
      <c r="AE553" s="113"/>
      <c r="AF553" s="113"/>
      <c r="AG553" s="113"/>
    </row>
    <row r="554" spans="1:33" ht="13.8">
      <c r="A554" s="113"/>
      <c r="B554" s="113"/>
      <c r="C554" s="113"/>
      <c r="D554" s="113"/>
      <c r="E554" s="113"/>
      <c r="F554" s="113"/>
      <c r="G554" s="113"/>
      <c r="H554" s="113"/>
      <c r="I554" s="113"/>
      <c r="J554" s="113"/>
      <c r="K554" s="113"/>
      <c r="L554" s="113"/>
      <c r="M554" s="113"/>
      <c r="N554" s="113"/>
      <c r="O554" s="113"/>
      <c r="P554" s="113"/>
      <c r="Q554" s="113"/>
      <c r="R554" s="113"/>
      <c r="S554" s="113"/>
      <c r="T554" s="113"/>
      <c r="U554" s="113"/>
      <c r="V554" s="113"/>
      <c r="W554" s="113"/>
      <c r="X554" s="113"/>
      <c r="Y554" s="113"/>
      <c r="Z554" s="113"/>
      <c r="AA554" s="113"/>
      <c r="AB554" s="113"/>
      <c r="AC554" s="113"/>
      <c r="AD554" s="113"/>
      <c r="AE554" s="113"/>
      <c r="AF554" s="113"/>
      <c r="AG554" s="113"/>
    </row>
    <row r="555" spans="1:33" ht="13.8">
      <c r="A555" s="113"/>
      <c r="B555" s="113"/>
      <c r="C555" s="113"/>
      <c r="D555" s="113"/>
      <c r="E555" s="113"/>
      <c r="F555" s="113"/>
      <c r="G555" s="113"/>
      <c r="H555" s="113"/>
      <c r="I555" s="113"/>
      <c r="J555" s="113"/>
      <c r="K555" s="113"/>
      <c r="L555" s="113"/>
      <c r="M555" s="113"/>
      <c r="N555" s="113"/>
      <c r="O555" s="113"/>
      <c r="P555" s="113"/>
      <c r="Q555" s="113"/>
      <c r="R555" s="113"/>
      <c r="S555" s="113"/>
      <c r="T555" s="113"/>
      <c r="U555" s="113"/>
      <c r="V555" s="113"/>
      <c r="W555" s="113"/>
      <c r="X555" s="113"/>
      <c r="Y555" s="113"/>
      <c r="Z555" s="113"/>
      <c r="AA555" s="113"/>
      <c r="AB555" s="113"/>
      <c r="AC555" s="113"/>
      <c r="AD555" s="113"/>
      <c r="AE555" s="113"/>
      <c r="AF555" s="113"/>
      <c r="AG555" s="113"/>
    </row>
    <row r="556" spans="1:33" ht="13.8">
      <c r="A556" s="113"/>
      <c r="B556" s="113"/>
      <c r="C556" s="113"/>
      <c r="D556" s="113"/>
      <c r="E556" s="113"/>
      <c r="F556" s="113"/>
      <c r="G556" s="113"/>
      <c r="H556" s="113"/>
      <c r="I556" s="113"/>
      <c r="J556" s="113"/>
      <c r="K556" s="113"/>
      <c r="L556" s="113"/>
      <c r="M556" s="113"/>
      <c r="N556" s="113"/>
      <c r="O556" s="113"/>
      <c r="P556" s="113"/>
      <c r="Q556" s="113"/>
      <c r="R556" s="113"/>
      <c r="S556" s="113"/>
      <c r="T556" s="113"/>
      <c r="U556" s="113"/>
      <c r="V556" s="113"/>
      <c r="W556" s="113"/>
      <c r="X556" s="113"/>
      <c r="Y556" s="113"/>
      <c r="Z556" s="113"/>
      <c r="AA556" s="113"/>
      <c r="AB556" s="113"/>
      <c r="AC556" s="113"/>
      <c r="AD556" s="113"/>
      <c r="AE556" s="113"/>
      <c r="AF556" s="113"/>
      <c r="AG556" s="113"/>
    </row>
    <row r="557" spans="1:33" ht="13.8">
      <c r="A557" s="113"/>
      <c r="B557" s="113"/>
      <c r="C557" s="113"/>
      <c r="D557" s="113"/>
      <c r="E557" s="113"/>
      <c r="F557" s="113"/>
      <c r="G557" s="113"/>
      <c r="H557" s="113"/>
      <c r="I557" s="113"/>
      <c r="J557" s="113"/>
      <c r="K557" s="113"/>
      <c r="L557" s="113"/>
      <c r="M557" s="113"/>
      <c r="N557" s="113"/>
      <c r="O557" s="113"/>
      <c r="P557" s="113"/>
      <c r="Q557" s="113"/>
      <c r="R557" s="113"/>
      <c r="S557" s="113"/>
      <c r="T557" s="113"/>
      <c r="U557" s="113"/>
      <c r="V557" s="113"/>
      <c r="W557" s="113"/>
      <c r="X557" s="113"/>
      <c r="Y557" s="113"/>
      <c r="Z557" s="113"/>
      <c r="AA557" s="113"/>
      <c r="AB557" s="113"/>
      <c r="AC557" s="113"/>
      <c r="AD557" s="113"/>
      <c r="AE557" s="113"/>
      <c r="AF557" s="113"/>
      <c r="AG557" s="113"/>
    </row>
    <row r="558" spans="1:33" ht="13.8">
      <c r="A558" s="113"/>
      <c r="B558" s="113"/>
      <c r="C558" s="113"/>
      <c r="D558" s="113"/>
      <c r="E558" s="113"/>
      <c r="F558" s="113"/>
      <c r="G558" s="113"/>
      <c r="H558" s="113"/>
      <c r="I558" s="113"/>
      <c r="J558" s="113"/>
      <c r="K558" s="113"/>
      <c r="L558" s="113"/>
      <c r="M558" s="113"/>
      <c r="N558" s="113"/>
      <c r="O558" s="113"/>
      <c r="P558" s="113"/>
      <c r="Q558" s="113"/>
      <c r="R558" s="113"/>
      <c r="S558" s="113"/>
      <c r="T558" s="113"/>
      <c r="U558" s="113"/>
      <c r="V558" s="113"/>
      <c r="W558" s="113"/>
      <c r="X558" s="113"/>
      <c r="Y558" s="113"/>
      <c r="Z558" s="113"/>
      <c r="AA558" s="113"/>
      <c r="AB558" s="113"/>
      <c r="AC558" s="113"/>
      <c r="AD558" s="113"/>
      <c r="AE558" s="113"/>
      <c r="AF558" s="113"/>
      <c r="AG558" s="113"/>
    </row>
    <row r="559" spans="1:33" ht="13.8">
      <c r="A559" s="113"/>
      <c r="B559" s="113"/>
      <c r="C559" s="113"/>
      <c r="D559" s="113"/>
      <c r="E559" s="113"/>
      <c r="F559" s="113"/>
      <c r="G559" s="113"/>
      <c r="H559" s="113"/>
      <c r="I559" s="113"/>
      <c r="J559" s="113"/>
      <c r="K559" s="113"/>
      <c r="L559" s="113"/>
      <c r="M559" s="113"/>
      <c r="N559" s="113"/>
      <c r="O559" s="113"/>
      <c r="P559" s="113"/>
      <c r="Q559" s="113"/>
      <c r="R559" s="113"/>
      <c r="S559" s="113"/>
      <c r="T559" s="113"/>
      <c r="U559" s="113"/>
      <c r="V559" s="113"/>
      <c r="W559" s="113"/>
      <c r="X559" s="113"/>
      <c r="Y559" s="113"/>
      <c r="Z559" s="113"/>
      <c r="AA559" s="113"/>
      <c r="AB559" s="113"/>
      <c r="AC559" s="113"/>
      <c r="AD559" s="113"/>
      <c r="AE559" s="113"/>
      <c r="AF559" s="113"/>
      <c r="AG559" s="113"/>
    </row>
    <row r="560" spans="1:33" ht="13.8">
      <c r="A560" s="113"/>
      <c r="B560" s="113"/>
      <c r="C560" s="113"/>
      <c r="D560" s="113"/>
      <c r="E560" s="113"/>
      <c r="F560" s="113"/>
      <c r="G560" s="113"/>
      <c r="H560" s="113"/>
      <c r="I560" s="113"/>
      <c r="J560" s="113"/>
      <c r="K560" s="113"/>
      <c r="L560" s="113"/>
      <c r="M560" s="113"/>
      <c r="N560" s="113"/>
      <c r="O560" s="113"/>
      <c r="P560" s="113"/>
      <c r="Q560" s="113"/>
      <c r="R560" s="113"/>
      <c r="S560" s="113"/>
      <c r="T560" s="113"/>
      <c r="U560" s="113"/>
      <c r="V560" s="113"/>
      <c r="W560" s="113"/>
      <c r="X560" s="113"/>
      <c r="Y560" s="113"/>
      <c r="Z560" s="113"/>
      <c r="AA560" s="113"/>
      <c r="AB560" s="113"/>
      <c r="AC560" s="113"/>
      <c r="AD560" s="113"/>
      <c r="AE560" s="113"/>
      <c r="AF560" s="113"/>
      <c r="AG560" s="113"/>
    </row>
    <row r="561" spans="1:33" ht="13.8">
      <c r="A561" s="113"/>
      <c r="B561" s="113"/>
      <c r="C561" s="113"/>
      <c r="D561" s="113"/>
      <c r="E561" s="113"/>
      <c r="F561" s="113"/>
      <c r="G561" s="113"/>
      <c r="H561" s="113"/>
      <c r="I561" s="113"/>
      <c r="J561" s="113"/>
      <c r="K561" s="113"/>
      <c r="L561" s="113"/>
      <c r="M561" s="113"/>
      <c r="N561" s="113"/>
      <c r="O561" s="113"/>
      <c r="P561" s="113"/>
      <c r="Q561" s="113"/>
      <c r="R561" s="113"/>
      <c r="S561" s="113"/>
      <c r="T561" s="113"/>
      <c r="U561" s="113"/>
      <c r="V561" s="113"/>
      <c r="W561" s="113"/>
      <c r="X561" s="113"/>
      <c r="Y561" s="113"/>
      <c r="Z561" s="113"/>
      <c r="AA561" s="113"/>
      <c r="AB561" s="113"/>
      <c r="AC561" s="113"/>
      <c r="AD561" s="113"/>
      <c r="AE561" s="113"/>
      <c r="AF561" s="113"/>
      <c r="AG561" s="113"/>
    </row>
    <row r="562" spans="1:33" ht="13.8">
      <c r="A562" s="113"/>
      <c r="B562" s="113"/>
      <c r="C562" s="113"/>
      <c r="D562" s="113"/>
      <c r="E562" s="113"/>
      <c r="F562" s="113"/>
      <c r="G562" s="113"/>
      <c r="H562" s="113"/>
      <c r="I562" s="113"/>
      <c r="J562" s="113"/>
      <c r="K562" s="113"/>
      <c r="L562" s="113"/>
      <c r="M562" s="113"/>
      <c r="N562" s="113"/>
      <c r="O562" s="113"/>
      <c r="P562" s="113"/>
      <c r="Q562" s="113"/>
      <c r="R562" s="113"/>
      <c r="S562" s="113"/>
      <c r="T562" s="113"/>
      <c r="U562" s="113"/>
      <c r="V562" s="113"/>
      <c r="W562" s="113"/>
      <c r="X562" s="113"/>
      <c r="Y562" s="113"/>
      <c r="Z562" s="113"/>
      <c r="AA562" s="113"/>
      <c r="AB562" s="113"/>
      <c r="AC562" s="113"/>
      <c r="AD562" s="113"/>
      <c r="AE562" s="113"/>
      <c r="AF562" s="113"/>
      <c r="AG562" s="113"/>
    </row>
    <row r="563" spans="1:33" ht="13.8">
      <c r="A563" s="113"/>
      <c r="B563" s="113"/>
      <c r="C563" s="113"/>
      <c r="D563" s="113"/>
      <c r="E563" s="113"/>
      <c r="F563" s="113"/>
      <c r="G563" s="113"/>
      <c r="H563" s="113"/>
      <c r="I563" s="113"/>
      <c r="J563" s="113"/>
      <c r="K563" s="113"/>
      <c r="L563" s="113"/>
      <c r="M563" s="113"/>
      <c r="N563" s="113"/>
      <c r="O563" s="113"/>
      <c r="P563" s="113"/>
      <c r="Q563" s="113"/>
      <c r="R563" s="113"/>
      <c r="S563" s="113"/>
      <c r="T563" s="113"/>
      <c r="U563" s="113"/>
      <c r="V563" s="113"/>
      <c r="W563" s="113"/>
      <c r="X563" s="113"/>
      <c r="Y563" s="113"/>
      <c r="Z563" s="113"/>
      <c r="AA563" s="113"/>
      <c r="AB563" s="113"/>
      <c r="AC563" s="113"/>
      <c r="AD563" s="113"/>
      <c r="AE563" s="113"/>
      <c r="AF563" s="113"/>
      <c r="AG563" s="113"/>
    </row>
    <row r="564" spans="1:33" ht="13.8">
      <c r="A564" s="113"/>
      <c r="B564" s="113"/>
      <c r="C564" s="113"/>
      <c r="D564" s="113"/>
      <c r="E564" s="113"/>
      <c r="F564" s="113"/>
      <c r="G564" s="113"/>
      <c r="H564" s="113"/>
      <c r="I564" s="113"/>
      <c r="J564" s="113"/>
      <c r="K564" s="113"/>
      <c r="L564" s="113"/>
      <c r="M564" s="113"/>
      <c r="N564" s="113"/>
      <c r="O564" s="113"/>
      <c r="P564" s="113"/>
      <c r="Q564" s="113"/>
      <c r="R564" s="113"/>
      <c r="S564" s="113"/>
      <c r="T564" s="113"/>
      <c r="U564" s="113"/>
      <c r="V564" s="113"/>
      <c r="W564" s="113"/>
      <c r="X564" s="113"/>
      <c r="Y564" s="113"/>
      <c r="Z564" s="113"/>
      <c r="AA564" s="113"/>
      <c r="AB564" s="113"/>
      <c r="AC564" s="113"/>
      <c r="AD564" s="113"/>
      <c r="AE564" s="113"/>
      <c r="AF564" s="113"/>
      <c r="AG564" s="113"/>
    </row>
    <row r="565" spans="1:33" ht="13.8">
      <c r="A565" s="113"/>
      <c r="B565" s="113"/>
      <c r="C565" s="113"/>
      <c r="D565" s="113"/>
      <c r="E565" s="113"/>
      <c r="F565" s="113"/>
      <c r="G565" s="113"/>
      <c r="H565" s="113"/>
      <c r="I565" s="113"/>
      <c r="J565" s="113"/>
      <c r="K565" s="113"/>
      <c r="L565" s="113"/>
      <c r="M565" s="113"/>
      <c r="N565" s="113"/>
      <c r="O565" s="113"/>
      <c r="P565" s="113"/>
      <c r="Q565" s="113"/>
      <c r="R565" s="113"/>
      <c r="S565" s="113"/>
      <c r="T565" s="113"/>
      <c r="U565" s="113"/>
      <c r="V565" s="113"/>
      <c r="W565" s="113"/>
      <c r="X565" s="113"/>
      <c r="Y565" s="113"/>
      <c r="Z565" s="113"/>
      <c r="AA565" s="113"/>
      <c r="AB565" s="113"/>
      <c r="AC565" s="113"/>
      <c r="AD565" s="113"/>
      <c r="AE565" s="113"/>
      <c r="AF565" s="113"/>
      <c r="AG565" s="113"/>
    </row>
    <row r="566" spans="1:33" ht="13.8">
      <c r="A566" s="113"/>
      <c r="B566" s="113"/>
      <c r="C566" s="113"/>
      <c r="D566" s="113"/>
      <c r="E566" s="113"/>
      <c r="F566" s="113"/>
      <c r="G566" s="113"/>
      <c r="H566" s="113"/>
      <c r="I566" s="113"/>
      <c r="J566" s="113"/>
      <c r="K566" s="113"/>
      <c r="L566" s="113"/>
      <c r="M566" s="113"/>
      <c r="N566" s="113"/>
      <c r="O566" s="113"/>
      <c r="P566" s="113"/>
      <c r="Q566" s="113"/>
      <c r="R566" s="113"/>
      <c r="S566" s="113"/>
      <c r="T566" s="113"/>
      <c r="U566" s="113"/>
      <c r="V566" s="113"/>
      <c r="W566" s="113"/>
      <c r="X566" s="113"/>
      <c r="Y566" s="113"/>
      <c r="Z566" s="113"/>
      <c r="AA566" s="113"/>
      <c r="AB566" s="113"/>
      <c r="AC566" s="113"/>
      <c r="AD566" s="113"/>
      <c r="AE566" s="113"/>
      <c r="AF566" s="113"/>
      <c r="AG566" s="113"/>
    </row>
    <row r="567" spans="1:33" ht="13.8">
      <c r="A567" s="113"/>
      <c r="B567" s="113"/>
      <c r="C567" s="113"/>
      <c r="D567" s="113"/>
      <c r="E567" s="113"/>
      <c r="F567" s="113"/>
      <c r="G567" s="113"/>
      <c r="H567" s="113"/>
      <c r="I567" s="113"/>
      <c r="J567" s="113"/>
      <c r="K567" s="113"/>
      <c r="L567" s="113"/>
      <c r="M567" s="113"/>
      <c r="N567" s="113"/>
      <c r="O567" s="113"/>
      <c r="P567" s="113"/>
      <c r="Q567" s="113"/>
      <c r="R567" s="113"/>
      <c r="S567" s="113"/>
      <c r="T567" s="113"/>
      <c r="U567" s="113"/>
      <c r="V567" s="113"/>
      <c r="W567" s="113"/>
      <c r="X567" s="113"/>
      <c r="Y567" s="113"/>
      <c r="Z567" s="113"/>
      <c r="AA567" s="113"/>
      <c r="AB567" s="113"/>
      <c r="AC567" s="113"/>
      <c r="AD567" s="113"/>
      <c r="AE567" s="113"/>
      <c r="AF567" s="113"/>
      <c r="AG567" s="113"/>
    </row>
    <row r="568" spans="1:33" ht="13.8">
      <c r="A568" s="113"/>
      <c r="B568" s="113"/>
      <c r="C568" s="113"/>
      <c r="D568" s="113"/>
      <c r="E568" s="113"/>
      <c r="F568" s="113"/>
      <c r="G568" s="113"/>
      <c r="H568" s="113"/>
      <c r="I568" s="113"/>
      <c r="J568" s="113"/>
      <c r="K568" s="113"/>
      <c r="L568" s="113"/>
      <c r="M568" s="113"/>
      <c r="N568" s="113"/>
      <c r="O568" s="113"/>
      <c r="P568" s="113"/>
      <c r="Q568" s="113"/>
      <c r="R568" s="113"/>
      <c r="S568" s="113"/>
      <c r="T568" s="113"/>
      <c r="U568" s="113"/>
      <c r="V568" s="113"/>
      <c r="W568" s="113"/>
      <c r="X568" s="113"/>
      <c r="Y568" s="113"/>
      <c r="Z568" s="113"/>
      <c r="AA568" s="113"/>
      <c r="AB568" s="113"/>
      <c r="AC568" s="113"/>
      <c r="AD568" s="113"/>
      <c r="AE568" s="113"/>
      <c r="AF568" s="113"/>
      <c r="AG568" s="113"/>
    </row>
    <row r="569" spans="1:33" ht="13.8">
      <c r="A569" s="113"/>
      <c r="B569" s="113"/>
      <c r="C569" s="113"/>
      <c r="D569" s="113"/>
      <c r="E569" s="113"/>
      <c r="F569" s="113"/>
      <c r="G569" s="113"/>
      <c r="H569" s="113"/>
      <c r="I569" s="113"/>
      <c r="J569" s="113"/>
      <c r="K569" s="113"/>
      <c r="L569" s="113"/>
      <c r="M569" s="113"/>
      <c r="N569" s="113"/>
      <c r="O569" s="113"/>
      <c r="P569" s="113"/>
      <c r="Q569" s="113"/>
      <c r="R569" s="113"/>
      <c r="S569" s="113"/>
      <c r="T569" s="113"/>
      <c r="U569" s="113"/>
      <c r="V569" s="113"/>
      <c r="W569" s="113"/>
      <c r="X569" s="113"/>
      <c r="Y569" s="113"/>
      <c r="Z569" s="113"/>
      <c r="AA569" s="113"/>
      <c r="AB569" s="113"/>
      <c r="AC569" s="113"/>
      <c r="AD569" s="113"/>
      <c r="AE569" s="113"/>
      <c r="AF569" s="113"/>
      <c r="AG569" s="113"/>
    </row>
    <row r="570" spans="1:33" ht="13.8">
      <c r="A570" s="113"/>
      <c r="B570" s="113"/>
      <c r="C570" s="113"/>
      <c r="D570" s="113"/>
      <c r="E570" s="113"/>
      <c r="F570" s="113"/>
      <c r="G570" s="113"/>
      <c r="H570" s="113"/>
      <c r="I570" s="113"/>
      <c r="J570" s="113"/>
      <c r="K570" s="113"/>
      <c r="L570" s="113"/>
      <c r="M570" s="113"/>
      <c r="N570" s="113"/>
      <c r="O570" s="113"/>
      <c r="P570" s="113"/>
      <c r="Q570" s="113"/>
      <c r="R570" s="113"/>
      <c r="S570" s="113"/>
      <c r="T570" s="113"/>
      <c r="U570" s="113"/>
      <c r="V570" s="113"/>
      <c r="W570" s="113"/>
      <c r="X570" s="113"/>
      <c r="Y570" s="113"/>
      <c r="Z570" s="113"/>
      <c r="AA570" s="113"/>
      <c r="AB570" s="113"/>
      <c r="AC570" s="113"/>
      <c r="AD570" s="113"/>
      <c r="AE570" s="113"/>
      <c r="AF570" s="113"/>
      <c r="AG570" s="113"/>
    </row>
    <row r="571" spans="1:33" ht="13.8">
      <c r="A571" s="113"/>
      <c r="B571" s="113"/>
      <c r="C571" s="113"/>
      <c r="D571" s="113"/>
      <c r="E571" s="113"/>
      <c r="F571" s="113"/>
      <c r="G571" s="113"/>
      <c r="H571" s="113"/>
      <c r="I571" s="113"/>
      <c r="J571" s="113"/>
      <c r="K571" s="113"/>
      <c r="L571" s="113"/>
      <c r="M571" s="113"/>
      <c r="N571" s="113"/>
      <c r="O571" s="113"/>
      <c r="P571" s="113"/>
      <c r="Q571" s="113"/>
      <c r="R571" s="113"/>
      <c r="S571" s="113"/>
      <c r="T571" s="113"/>
      <c r="U571" s="113"/>
      <c r="V571" s="113"/>
      <c r="W571" s="113"/>
      <c r="X571" s="113"/>
      <c r="Y571" s="113"/>
      <c r="Z571" s="113"/>
      <c r="AA571" s="113"/>
      <c r="AB571" s="113"/>
      <c r="AC571" s="113"/>
      <c r="AD571" s="113"/>
      <c r="AE571" s="113"/>
      <c r="AF571" s="113"/>
      <c r="AG571" s="113"/>
    </row>
    <row r="572" spans="1:33" ht="13.8">
      <c r="A572" s="113"/>
      <c r="B572" s="113"/>
      <c r="C572" s="113"/>
      <c r="D572" s="113"/>
      <c r="E572" s="113"/>
      <c r="F572" s="113"/>
      <c r="G572" s="113"/>
      <c r="H572" s="113"/>
      <c r="I572" s="113"/>
      <c r="J572" s="113"/>
      <c r="K572" s="113"/>
      <c r="L572" s="113"/>
      <c r="M572" s="113"/>
      <c r="N572" s="113"/>
      <c r="O572" s="113"/>
      <c r="P572" s="113"/>
      <c r="Q572" s="113"/>
      <c r="R572" s="113"/>
      <c r="S572" s="113"/>
      <c r="T572" s="113"/>
      <c r="U572" s="113"/>
      <c r="V572" s="113"/>
      <c r="W572" s="113"/>
      <c r="X572" s="113"/>
      <c r="Y572" s="113"/>
      <c r="Z572" s="113"/>
      <c r="AA572" s="113"/>
      <c r="AB572" s="113"/>
      <c r="AC572" s="113"/>
      <c r="AD572" s="113"/>
      <c r="AE572" s="113"/>
      <c r="AF572" s="113"/>
      <c r="AG572" s="113"/>
    </row>
    <row r="573" spans="1:33" ht="13.8">
      <c r="A573" s="113"/>
      <c r="B573" s="113"/>
      <c r="C573" s="113"/>
      <c r="D573" s="113"/>
      <c r="E573" s="113"/>
      <c r="F573" s="113"/>
      <c r="G573" s="113"/>
      <c r="H573" s="113"/>
      <c r="I573" s="113"/>
      <c r="J573" s="113"/>
      <c r="K573" s="113"/>
      <c r="L573" s="113"/>
      <c r="M573" s="113"/>
      <c r="N573" s="113"/>
      <c r="O573" s="113"/>
      <c r="P573" s="113"/>
      <c r="Q573" s="113"/>
      <c r="R573" s="113"/>
      <c r="S573" s="113"/>
      <c r="T573" s="113"/>
      <c r="U573" s="113"/>
      <c r="V573" s="113"/>
      <c r="W573" s="113"/>
      <c r="X573" s="113"/>
      <c r="Y573" s="113"/>
      <c r="Z573" s="113"/>
      <c r="AA573" s="113"/>
      <c r="AB573" s="113"/>
      <c r="AC573" s="113"/>
      <c r="AD573" s="113"/>
      <c r="AE573" s="113"/>
      <c r="AF573" s="113"/>
      <c r="AG573" s="113"/>
    </row>
    <row r="574" spans="1:33" ht="13.8">
      <c r="A574" s="113"/>
      <c r="B574" s="113"/>
      <c r="C574" s="113"/>
      <c r="D574" s="113"/>
      <c r="E574" s="113"/>
      <c r="F574" s="113"/>
      <c r="G574" s="113"/>
      <c r="H574" s="113"/>
      <c r="I574" s="113"/>
      <c r="J574" s="113"/>
      <c r="K574" s="113"/>
      <c r="L574" s="113"/>
      <c r="M574" s="113"/>
      <c r="N574" s="113"/>
      <c r="O574" s="113"/>
      <c r="P574" s="113"/>
      <c r="Q574" s="113"/>
      <c r="R574" s="113"/>
      <c r="S574" s="113"/>
      <c r="T574" s="113"/>
      <c r="U574" s="113"/>
      <c r="V574" s="113"/>
      <c r="W574" s="113"/>
      <c r="X574" s="113"/>
      <c r="Y574" s="113"/>
      <c r="Z574" s="113"/>
      <c r="AA574" s="113"/>
      <c r="AB574" s="113"/>
      <c r="AC574" s="113"/>
      <c r="AD574" s="113"/>
      <c r="AE574" s="113"/>
      <c r="AF574" s="113"/>
      <c r="AG574" s="113"/>
    </row>
    <row r="575" spans="1:33" ht="13.8">
      <c r="A575" s="113"/>
      <c r="B575" s="113"/>
      <c r="C575" s="113"/>
      <c r="D575" s="113"/>
      <c r="E575" s="113"/>
      <c r="F575" s="113"/>
      <c r="G575" s="113"/>
      <c r="H575" s="113"/>
      <c r="I575" s="113"/>
      <c r="J575" s="113"/>
      <c r="K575" s="113"/>
      <c r="L575" s="113"/>
      <c r="M575" s="113"/>
      <c r="N575" s="113"/>
      <c r="O575" s="113"/>
      <c r="P575" s="113"/>
      <c r="Q575" s="113"/>
      <c r="R575" s="113"/>
      <c r="S575" s="113"/>
      <c r="T575" s="113"/>
      <c r="U575" s="113"/>
      <c r="V575" s="113"/>
      <c r="W575" s="113"/>
      <c r="X575" s="113"/>
      <c r="Y575" s="113"/>
      <c r="Z575" s="113"/>
      <c r="AA575" s="113"/>
      <c r="AB575" s="113"/>
      <c r="AC575" s="113"/>
      <c r="AD575" s="113"/>
      <c r="AE575" s="113"/>
      <c r="AF575" s="113"/>
      <c r="AG575" s="113"/>
    </row>
    <row r="576" spans="1:33" ht="13.8">
      <c r="A576" s="113"/>
      <c r="B576" s="113"/>
      <c r="C576" s="113"/>
      <c r="D576" s="113"/>
      <c r="E576" s="113"/>
      <c r="F576" s="113"/>
      <c r="G576" s="113"/>
      <c r="H576" s="113"/>
      <c r="I576" s="113"/>
      <c r="J576" s="113"/>
      <c r="K576" s="113"/>
      <c r="L576" s="113"/>
      <c r="M576" s="113"/>
      <c r="N576" s="113"/>
      <c r="O576" s="113"/>
      <c r="P576" s="113"/>
      <c r="Q576" s="113"/>
      <c r="R576" s="113"/>
      <c r="S576" s="113"/>
      <c r="T576" s="113"/>
      <c r="U576" s="113"/>
      <c r="V576" s="113"/>
      <c r="W576" s="113"/>
      <c r="X576" s="113"/>
      <c r="Y576" s="113"/>
      <c r="Z576" s="113"/>
      <c r="AA576" s="113"/>
      <c r="AB576" s="113"/>
      <c r="AC576" s="113"/>
      <c r="AD576" s="113"/>
      <c r="AE576" s="113"/>
      <c r="AF576" s="113"/>
      <c r="AG576" s="113"/>
    </row>
    <row r="577" spans="1:33" ht="13.8">
      <c r="A577" s="113"/>
      <c r="B577" s="113"/>
      <c r="C577" s="113"/>
      <c r="D577" s="113"/>
      <c r="E577" s="113"/>
      <c r="F577" s="113"/>
      <c r="G577" s="113"/>
      <c r="H577" s="113"/>
      <c r="I577" s="113"/>
      <c r="J577" s="113"/>
      <c r="K577" s="113"/>
      <c r="L577" s="113"/>
      <c r="M577" s="113"/>
      <c r="N577" s="113"/>
      <c r="O577" s="113"/>
      <c r="P577" s="113"/>
      <c r="Q577" s="113"/>
      <c r="R577" s="113"/>
      <c r="S577" s="113"/>
      <c r="T577" s="113"/>
      <c r="U577" s="113"/>
      <c r="V577" s="113"/>
      <c r="W577" s="113"/>
      <c r="X577" s="113"/>
      <c r="Y577" s="113"/>
      <c r="Z577" s="113"/>
      <c r="AA577" s="113"/>
      <c r="AB577" s="113"/>
      <c r="AC577" s="113"/>
      <c r="AD577" s="113"/>
      <c r="AE577" s="113"/>
      <c r="AF577" s="113"/>
      <c r="AG577" s="113"/>
    </row>
    <row r="578" spans="1:33" ht="13.8">
      <c r="A578" s="113"/>
      <c r="B578" s="113"/>
      <c r="C578" s="113"/>
      <c r="D578" s="113"/>
      <c r="E578" s="113"/>
      <c r="F578" s="113"/>
      <c r="G578" s="113"/>
      <c r="H578" s="113"/>
      <c r="I578" s="113"/>
      <c r="J578" s="113"/>
      <c r="K578" s="113"/>
      <c r="L578" s="113"/>
      <c r="M578" s="113"/>
      <c r="N578" s="113"/>
      <c r="O578" s="113"/>
      <c r="P578" s="113"/>
      <c r="Q578" s="113"/>
      <c r="R578" s="113"/>
      <c r="S578" s="113"/>
      <c r="T578" s="113"/>
      <c r="U578" s="113"/>
      <c r="V578" s="113"/>
      <c r="W578" s="113"/>
      <c r="X578" s="113"/>
      <c r="Y578" s="113"/>
      <c r="Z578" s="113"/>
      <c r="AA578" s="113"/>
      <c r="AB578" s="113"/>
      <c r="AC578" s="113"/>
      <c r="AD578" s="113"/>
      <c r="AE578" s="113"/>
      <c r="AF578" s="113"/>
      <c r="AG578" s="113"/>
    </row>
    <row r="579" spans="1:33" ht="13.8">
      <c r="A579" s="113"/>
      <c r="B579" s="113"/>
      <c r="C579" s="113"/>
      <c r="D579" s="113"/>
      <c r="E579" s="113"/>
      <c r="F579" s="113"/>
      <c r="G579" s="113"/>
      <c r="H579" s="113"/>
      <c r="I579" s="113"/>
      <c r="J579" s="113"/>
      <c r="K579" s="113"/>
      <c r="L579" s="113"/>
      <c r="M579" s="113"/>
      <c r="N579" s="113"/>
      <c r="O579" s="113"/>
      <c r="P579" s="113"/>
      <c r="Q579" s="113"/>
      <c r="R579" s="113"/>
      <c r="S579" s="113"/>
      <c r="T579" s="113"/>
      <c r="U579" s="113"/>
      <c r="V579" s="113"/>
      <c r="W579" s="113"/>
      <c r="X579" s="113"/>
      <c r="Y579" s="113"/>
      <c r="Z579" s="113"/>
      <c r="AA579" s="113"/>
      <c r="AB579" s="113"/>
      <c r="AC579" s="113"/>
      <c r="AD579" s="113"/>
      <c r="AE579" s="113"/>
      <c r="AF579" s="113"/>
      <c r="AG579" s="113"/>
    </row>
    <row r="580" spans="1:33" ht="13.8">
      <c r="A580" s="113"/>
      <c r="B580" s="113"/>
      <c r="C580" s="113"/>
      <c r="D580" s="113"/>
      <c r="E580" s="113"/>
      <c r="F580" s="113"/>
      <c r="G580" s="113"/>
      <c r="H580" s="113"/>
      <c r="I580" s="113"/>
      <c r="J580" s="113"/>
      <c r="K580" s="113"/>
      <c r="L580" s="113"/>
      <c r="M580" s="113"/>
      <c r="N580" s="113"/>
      <c r="O580" s="113"/>
      <c r="P580" s="113"/>
      <c r="Q580" s="113"/>
      <c r="R580" s="113"/>
      <c r="S580" s="113"/>
      <c r="T580" s="113"/>
      <c r="U580" s="113"/>
      <c r="V580" s="113"/>
      <c r="W580" s="113"/>
      <c r="X580" s="113"/>
      <c r="Y580" s="113"/>
      <c r="Z580" s="113"/>
      <c r="AA580" s="113"/>
      <c r="AB580" s="113"/>
      <c r="AC580" s="113"/>
      <c r="AD580" s="113"/>
      <c r="AE580" s="113"/>
      <c r="AF580" s="113"/>
      <c r="AG580" s="113"/>
    </row>
    <row r="581" spans="1:33" ht="13.8">
      <c r="A581" s="113"/>
      <c r="B581" s="113"/>
      <c r="C581" s="113"/>
      <c r="D581" s="113"/>
      <c r="E581" s="113"/>
      <c r="F581" s="113"/>
      <c r="G581" s="113"/>
      <c r="H581" s="113"/>
      <c r="I581" s="113"/>
      <c r="J581" s="113"/>
      <c r="K581" s="113"/>
      <c r="L581" s="113"/>
      <c r="M581" s="113"/>
      <c r="N581" s="113"/>
      <c r="O581" s="113"/>
      <c r="P581" s="113"/>
      <c r="Q581" s="113"/>
      <c r="R581" s="113"/>
      <c r="S581" s="113"/>
      <c r="T581" s="113"/>
      <c r="U581" s="113"/>
      <c r="V581" s="113"/>
      <c r="W581" s="113"/>
      <c r="X581" s="113"/>
      <c r="Y581" s="113"/>
      <c r="Z581" s="113"/>
      <c r="AA581" s="113"/>
      <c r="AB581" s="113"/>
      <c r="AC581" s="113"/>
      <c r="AD581" s="113"/>
      <c r="AE581" s="113"/>
      <c r="AF581" s="113"/>
      <c r="AG581" s="113"/>
    </row>
    <row r="582" spans="1:33" ht="13.8">
      <c r="A582" s="113"/>
      <c r="B582" s="113"/>
      <c r="C582" s="113"/>
      <c r="D582" s="113"/>
      <c r="E582" s="113"/>
      <c r="F582" s="113"/>
      <c r="G582" s="113"/>
      <c r="H582" s="113"/>
      <c r="I582" s="113"/>
      <c r="J582" s="113"/>
      <c r="K582" s="113"/>
      <c r="L582" s="113"/>
      <c r="M582" s="113"/>
      <c r="N582" s="113"/>
      <c r="O582" s="113"/>
      <c r="P582" s="113"/>
      <c r="Q582" s="113"/>
      <c r="R582" s="113"/>
      <c r="S582" s="113"/>
      <c r="T582" s="113"/>
      <c r="U582" s="113"/>
      <c r="V582" s="113"/>
      <c r="W582" s="113"/>
      <c r="X582" s="113"/>
      <c r="Y582" s="113"/>
      <c r="Z582" s="113"/>
      <c r="AA582" s="113"/>
      <c r="AB582" s="113"/>
      <c r="AC582" s="113"/>
      <c r="AD582" s="113"/>
      <c r="AE582" s="113"/>
      <c r="AF582" s="113"/>
      <c r="AG582" s="113"/>
    </row>
    <row r="583" spans="1:33" ht="13.8">
      <c r="A583" s="113"/>
      <c r="B583" s="113"/>
      <c r="C583" s="113"/>
      <c r="D583" s="113"/>
      <c r="E583" s="113"/>
      <c r="F583" s="113"/>
      <c r="G583" s="113"/>
      <c r="H583" s="113"/>
      <c r="I583" s="113"/>
      <c r="J583" s="113"/>
      <c r="K583" s="113"/>
      <c r="L583" s="113"/>
      <c r="M583" s="113"/>
      <c r="N583" s="113"/>
      <c r="O583" s="113"/>
      <c r="P583" s="113"/>
      <c r="Q583" s="113"/>
      <c r="R583" s="113"/>
      <c r="S583" s="113"/>
      <c r="T583" s="113"/>
      <c r="U583" s="113"/>
      <c r="V583" s="113"/>
      <c r="W583" s="113"/>
      <c r="X583" s="113"/>
      <c r="Y583" s="113"/>
      <c r="Z583" s="113"/>
      <c r="AA583" s="113"/>
      <c r="AB583" s="113"/>
      <c r="AC583" s="113"/>
      <c r="AD583" s="113"/>
      <c r="AE583" s="113"/>
      <c r="AF583" s="113"/>
      <c r="AG583" s="113"/>
    </row>
    <row r="584" spans="1:33" ht="13.8">
      <c r="A584" s="113"/>
      <c r="B584" s="113"/>
      <c r="C584" s="113"/>
      <c r="D584" s="113"/>
      <c r="E584" s="113"/>
      <c r="F584" s="113"/>
      <c r="G584" s="113"/>
      <c r="H584" s="113"/>
      <c r="I584" s="113"/>
      <c r="J584" s="113"/>
      <c r="K584" s="113"/>
      <c r="L584" s="113"/>
      <c r="M584" s="113"/>
      <c r="N584" s="113"/>
      <c r="O584" s="113"/>
      <c r="P584" s="113"/>
      <c r="Q584" s="113"/>
      <c r="R584" s="113"/>
      <c r="S584" s="113"/>
      <c r="T584" s="113"/>
      <c r="U584" s="113"/>
      <c r="V584" s="113"/>
      <c r="W584" s="113"/>
      <c r="X584" s="113"/>
      <c r="Y584" s="113"/>
      <c r="Z584" s="113"/>
      <c r="AA584" s="113"/>
      <c r="AB584" s="113"/>
      <c r="AC584" s="113"/>
      <c r="AD584" s="113"/>
      <c r="AE584" s="113"/>
      <c r="AF584" s="113"/>
      <c r="AG584" s="113"/>
    </row>
    <row r="585" spans="1:33" ht="13.8">
      <c r="A585" s="113"/>
      <c r="B585" s="113"/>
      <c r="C585" s="113"/>
      <c r="D585" s="113"/>
      <c r="E585" s="113"/>
      <c r="F585" s="113"/>
      <c r="G585" s="113"/>
      <c r="H585" s="113"/>
      <c r="I585" s="113"/>
      <c r="J585" s="113"/>
      <c r="K585" s="113"/>
      <c r="L585" s="113"/>
      <c r="M585" s="113"/>
      <c r="N585" s="113"/>
      <c r="O585" s="113"/>
      <c r="P585" s="113"/>
      <c r="Q585" s="113"/>
      <c r="R585" s="113"/>
      <c r="S585" s="113"/>
      <c r="T585" s="113"/>
      <c r="U585" s="113"/>
      <c r="V585" s="113"/>
      <c r="W585" s="113"/>
      <c r="X585" s="113"/>
      <c r="Y585" s="113"/>
      <c r="Z585" s="113"/>
      <c r="AA585" s="113"/>
      <c r="AB585" s="113"/>
      <c r="AC585" s="113"/>
      <c r="AD585" s="113"/>
      <c r="AE585" s="113"/>
      <c r="AF585" s="113"/>
      <c r="AG585" s="113"/>
    </row>
    <row r="586" spans="1:33" ht="13.8">
      <c r="A586" s="113"/>
      <c r="B586" s="113"/>
      <c r="C586" s="113"/>
      <c r="D586" s="113"/>
      <c r="E586" s="113"/>
      <c r="F586" s="113"/>
      <c r="G586" s="113"/>
      <c r="H586" s="113"/>
      <c r="I586" s="113"/>
      <c r="J586" s="113"/>
      <c r="K586" s="113"/>
      <c r="L586" s="113"/>
      <c r="M586" s="113"/>
      <c r="N586" s="113"/>
      <c r="O586" s="113"/>
      <c r="P586" s="113"/>
      <c r="Q586" s="113"/>
      <c r="R586" s="113"/>
      <c r="S586" s="113"/>
      <c r="T586" s="113"/>
      <c r="U586" s="113"/>
      <c r="V586" s="113"/>
      <c r="W586" s="113"/>
      <c r="X586" s="113"/>
      <c r="Y586" s="113"/>
      <c r="Z586" s="113"/>
      <c r="AA586" s="113"/>
      <c r="AB586" s="113"/>
      <c r="AC586" s="113"/>
      <c r="AD586" s="113"/>
      <c r="AE586" s="113"/>
      <c r="AF586" s="113"/>
      <c r="AG586" s="113"/>
    </row>
    <row r="587" spans="1:33" ht="13.8">
      <c r="A587" s="113"/>
      <c r="B587" s="113"/>
      <c r="C587" s="113"/>
      <c r="D587" s="113"/>
      <c r="E587" s="113"/>
      <c r="F587" s="113"/>
      <c r="G587" s="113"/>
      <c r="H587" s="113"/>
      <c r="I587" s="113"/>
      <c r="J587" s="113"/>
      <c r="K587" s="113"/>
      <c r="L587" s="113"/>
      <c r="M587" s="113"/>
      <c r="N587" s="113"/>
      <c r="O587" s="113"/>
      <c r="P587" s="113"/>
      <c r="Q587" s="113"/>
      <c r="R587" s="113"/>
      <c r="S587" s="113"/>
      <c r="T587" s="113"/>
      <c r="U587" s="113"/>
      <c r="V587" s="113"/>
      <c r="W587" s="113"/>
      <c r="X587" s="113"/>
      <c r="Y587" s="113"/>
      <c r="Z587" s="113"/>
      <c r="AA587" s="113"/>
      <c r="AB587" s="113"/>
      <c r="AC587" s="113"/>
      <c r="AD587" s="113"/>
      <c r="AE587" s="113"/>
      <c r="AF587" s="113"/>
      <c r="AG587" s="113"/>
    </row>
    <row r="588" spans="1:33" ht="13.8">
      <c r="A588" s="113"/>
      <c r="B588" s="113"/>
      <c r="C588" s="113"/>
      <c r="D588" s="113"/>
      <c r="E588" s="113"/>
      <c r="F588" s="113"/>
      <c r="G588" s="113"/>
      <c r="H588" s="113"/>
      <c r="I588" s="113"/>
      <c r="J588" s="113"/>
      <c r="K588" s="113"/>
      <c r="L588" s="113"/>
      <c r="M588" s="113"/>
      <c r="N588" s="113"/>
      <c r="O588" s="113"/>
      <c r="P588" s="113"/>
      <c r="Q588" s="113"/>
      <c r="R588" s="113"/>
      <c r="S588" s="113"/>
      <c r="T588" s="113"/>
      <c r="U588" s="113"/>
      <c r="V588" s="113"/>
      <c r="W588" s="113"/>
      <c r="X588" s="113"/>
      <c r="Y588" s="113"/>
      <c r="Z588" s="113"/>
      <c r="AA588" s="113"/>
      <c r="AB588" s="113"/>
      <c r="AC588" s="113"/>
      <c r="AD588" s="113"/>
      <c r="AE588" s="113"/>
      <c r="AF588" s="113"/>
      <c r="AG588" s="113"/>
    </row>
    <row r="589" spans="1:33" ht="13.8">
      <c r="A589" s="113"/>
      <c r="B589" s="113"/>
      <c r="C589" s="113"/>
      <c r="D589" s="113"/>
      <c r="E589" s="113"/>
      <c r="F589" s="113"/>
      <c r="G589" s="113"/>
      <c r="H589" s="113"/>
      <c r="I589" s="113"/>
      <c r="J589" s="113"/>
      <c r="K589" s="113"/>
      <c r="L589" s="113"/>
      <c r="M589" s="113"/>
      <c r="N589" s="113"/>
      <c r="O589" s="113"/>
      <c r="P589" s="113"/>
      <c r="Q589" s="113"/>
      <c r="R589" s="113"/>
      <c r="S589" s="113"/>
      <c r="T589" s="113"/>
      <c r="U589" s="113"/>
      <c r="V589" s="113"/>
      <c r="W589" s="113"/>
      <c r="X589" s="113"/>
      <c r="Y589" s="113"/>
      <c r="Z589" s="113"/>
      <c r="AA589" s="113"/>
      <c r="AB589" s="113"/>
      <c r="AC589" s="113"/>
      <c r="AD589" s="113"/>
      <c r="AE589" s="113"/>
      <c r="AF589" s="113"/>
      <c r="AG589" s="113"/>
    </row>
    <row r="590" spans="1:33" ht="13.8">
      <c r="A590" s="113"/>
      <c r="B590" s="113"/>
      <c r="C590" s="113"/>
      <c r="D590" s="113"/>
      <c r="E590" s="113"/>
      <c r="F590" s="113"/>
      <c r="G590" s="113"/>
      <c r="H590" s="113"/>
      <c r="I590" s="113"/>
      <c r="J590" s="113"/>
      <c r="K590" s="113"/>
      <c r="L590" s="113"/>
      <c r="M590" s="113"/>
      <c r="N590" s="113"/>
      <c r="O590" s="113"/>
      <c r="P590" s="113"/>
      <c r="Q590" s="113"/>
      <c r="R590" s="113"/>
      <c r="S590" s="113"/>
      <c r="T590" s="113"/>
      <c r="U590" s="113"/>
      <c r="V590" s="113"/>
      <c r="W590" s="113"/>
      <c r="X590" s="113"/>
      <c r="Y590" s="113"/>
      <c r="Z590" s="113"/>
      <c r="AA590" s="113"/>
      <c r="AB590" s="113"/>
      <c r="AC590" s="113"/>
      <c r="AD590" s="113"/>
      <c r="AE590" s="113"/>
      <c r="AF590" s="113"/>
      <c r="AG590" s="113"/>
    </row>
    <row r="591" spans="1:33" ht="13.8">
      <c r="A591" s="113"/>
      <c r="B591" s="113"/>
      <c r="C591" s="113"/>
      <c r="D591" s="113"/>
      <c r="E591" s="113"/>
      <c r="F591" s="113"/>
      <c r="G591" s="113"/>
      <c r="H591" s="113"/>
      <c r="I591" s="113"/>
      <c r="J591" s="113"/>
      <c r="K591" s="113"/>
      <c r="L591" s="113"/>
      <c r="M591" s="113"/>
      <c r="N591" s="113"/>
      <c r="O591" s="113"/>
      <c r="P591" s="113"/>
      <c r="Q591" s="113"/>
      <c r="R591" s="113"/>
      <c r="S591" s="113"/>
      <c r="T591" s="113"/>
      <c r="U591" s="113"/>
      <c r="V591" s="113"/>
      <c r="W591" s="113"/>
      <c r="X591" s="113"/>
      <c r="Y591" s="113"/>
      <c r="Z591" s="113"/>
      <c r="AA591" s="113"/>
      <c r="AB591" s="113"/>
      <c r="AC591" s="113"/>
      <c r="AD591" s="113"/>
      <c r="AE591" s="113"/>
      <c r="AF591" s="113"/>
      <c r="AG591" s="113"/>
    </row>
    <row r="592" spans="1:33" ht="13.8">
      <c r="A592" s="113"/>
      <c r="B592" s="113"/>
      <c r="C592" s="113"/>
      <c r="D592" s="113"/>
      <c r="E592" s="113"/>
      <c r="F592" s="113"/>
      <c r="G592" s="113"/>
      <c r="H592" s="113"/>
      <c r="I592" s="113"/>
      <c r="J592" s="113"/>
      <c r="K592" s="113"/>
      <c r="L592" s="113"/>
      <c r="M592" s="113"/>
      <c r="N592" s="113"/>
      <c r="O592" s="113"/>
      <c r="P592" s="113"/>
      <c r="Q592" s="113"/>
      <c r="R592" s="113"/>
      <c r="S592" s="113"/>
      <c r="T592" s="113"/>
      <c r="U592" s="113"/>
      <c r="V592" s="113"/>
      <c r="W592" s="113"/>
      <c r="X592" s="113"/>
      <c r="Y592" s="113"/>
      <c r="Z592" s="113"/>
      <c r="AA592" s="113"/>
      <c r="AB592" s="113"/>
      <c r="AC592" s="113"/>
      <c r="AD592" s="113"/>
      <c r="AE592" s="113"/>
      <c r="AF592" s="113"/>
      <c r="AG592" s="113"/>
    </row>
    <row r="593" spans="1:33" ht="13.8">
      <c r="A593" s="113"/>
      <c r="B593" s="113"/>
      <c r="C593" s="113"/>
      <c r="D593" s="113"/>
      <c r="E593" s="113"/>
      <c r="F593" s="113"/>
      <c r="G593" s="113"/>
      <c r="H593" s="113"/>
      <c r="I593" s="113"/>
      <c r="J593" s="113"/>
      <c r="K593" s="113"/>
      <c r="L593" s="113"/>
      <c r="M593" s="113"/>
      <c r="N593" s="113"/>
      <c r="O593" s="113"/>
      <c r="P593" s="113"/>
      <c r="Q593" s="113"/>
      <c r="R593" s="113"/>
      <c r="S593" s="113"/>
      <c r="T593" s="113"/>
      <c r="U593" s="113"/>
      <c r="V593" s="113"/>
      <c r="W593" s="113"/>
      <c r="X593" s="113"/>
      <c r="Y593" s="113"/>
      <c r="Z593" s="113"/>
      <c r="AA593" s="113"/>
      <c r="AB593" s="113"/>
      <c r="AC593" s="113"/>
      <c r="AD593" s="113"/>
      <c r="AE593" s="113"/>
      <c r="AF593" s="113"/>
      <c r="AG593" s="113"/>
    </row>
    <row r="594" spans="1:33" ht="13.8">
      <c r="A594" s="113"/>
      <c r="B594" s="113"/>
      <c r="C594" s="113"/>
      <c r="D594" s="113"/>
      <c r="E594" s="113"/>
      <c r="F594" s="113"/>
      <c r="G594" s="113"/>
      <c r="H594" s="113"/>
      <c r="I594" s="113"/>
      <c r="J594" s="113"/>
      <c r="K594" s="113"/>
      <c r="L594" s="113"/>
      <c r="M594" s="113"/>
      <c r="N594" s="113"/>
      <c r="O594" s="113"/>
      <c r="P594" s="113"/>
      <c r="Q594" s="113"/>
      <c r="R594" s="113"/>
      <c r="S594" s="113"/>
      <c r="T594" s="113"/>
      <c r="U594" s="113"/>
      <c r="V594" s="113"/>
      <c r="W594" s="113"/>
      <c r="X594" s="113"/>
      <c r="Y594" s="113"/>
      <c r="Z594" s="113"/>
      <c r="AA594" s="113"/>
      <c r="AB594" s="113"/>
      <c r="AC594" s="113"/>
      <c r="AD594" s="113"/>
      <c r="AE594" s="113"/>
      <c r="AF594" s="113"/>
      <c r="AG594" s="113"/>
    </row>
    <row r="595" spans="1:33" ht="13.8">
      <c r="A595" s="113"/>
      <c r="B595" s="113"/>
      <c r="C595" s="113"/>
      <c r="D595" s="113"/>
      <c r="E595" s="113"/>
      <c r="F595" s="113"/>
      <c r="G595" s="113"/>
      <c r="H595" s="113"/>
      <c r="I595" s="113"/>
      <c r="J595" s="113"/>
      <c r="K595" s="113"/>
      <c r="L595" s="113"/>
      <c r="M595" s="113"/>
      <c r="N595" s="113"/>
      <c r="O595" s="113"/>
      <c r="P595" s="113"/>
      <c r="Q595" s="113"/>
      <c r="R595" s="113"/>
      <c r="S595" s="113"/>
      <c r="T595" s="113"/>
      <c r="U595" s="113"/>
      <c r="V595" s="113"/>
      <c r="W595" s="113"/>
      <c r="X595" s="113"/>
      <c r="Y595" s="113"/>
      <c r="Z595" s="113"/>
      <c r="AA595" s="113"/>
      <c r="AB595" s="113"/>
      <c r="AC595" s="113"/>
      <c r="AD595" s="113"/>
      <c r="AE595" s="113"/>
      <c r="AF595" s="113"/>
      <c r="AG595" s="113"/>
    </row>
    <row r="596" spans="1:33" ht="13.8">
      <c r="A596" s="113"/>
      <c r="B596" s="113"/>
      <c r="C596" s="113"/>
      <c r="D596" s="113"/>
      <c r="E596" s="113"/>
      <c r="F596" s="113"/>
      <c r="G596" s="113"/>
      <c r="H596" s="113"/>
      <c r="I596" s="113"/>
      <c r="J596" s="113"/>
      <c r="K596" s="113"/>
      <c r="L596" s="113"/>
      <c r="M596" s="113"/>
      <c r="N596" s="113"/>
      <c r="O596" s="113"/>
      <c r="P596" s="113"/>
      <c r="Q596" s="113"/>
      <c r="R596" s="113"/>
      <c r="S596" s="113"/>
      <c r="T596" s="113"/>
      <c r="U596" s="113"/>
      <c r="V596" s="113"/>
      <c r="W596" s="113"/>
      <c r="X596" s="113"/>
      <c r="Y596" s="113"/>
      <c r="Z596" s="113"/>
      <c r="AA596" s="113"/>
      <c r="AB596" s="113"/>
      <c r="AC596" s="113"/>
      <c r="AD596" s="113"/>
      <c r="AE596" s="113"/>
      <c r="AF596" s="113"/>
      <c r="AG596" s="113"/>
    </row>
    <row r="597" spans="1:33" ht="13.8">
      <c r="A597" s="113"/>
      <c r="B597" s="113"/>
      <c r="C597" s="113"/>
      <c r="D597" s="113"/>
      <c r="E597" s="113"/>
      <c r="F597" s="113"/>
      <c r="G597" s="113"/>
      <c r="H597" s="113"/>
      <c r="I597" s="113"/>
      <c r="J597" s="113"/>
      <c r="K597" s="113"/>
      <c r="L597" s="113"/>
      <c r="M597" s="113"/>
      <c r="N597" s="113"/>
      <c r="O597" s="113"/>
      <c r="P597" s="113"/>
      <c r="Q597" s="113"/>
      <c r="R597" s="113"/>
      <c r="S597" s="113"/>
      <c r="T597" s="113"/>
      <c r="U597" s="113"/>
      <c r="V597" s="113"/>
      <c r="W597" s="113"/>
      <c r="X597" s="113"/>
      <c r="Y597" s="113"/>
      <c r="Z597" s="113"/>
      <c r="AA597" s="113"/>
      <c r="AB597" s="113"/>
      <c r="AC597" s="113"/>
      <c r="AD597" s="113"/>
      <c r="AE597" s="113"/>
      <c r="AF597" s="113"/>
      <c r="AG597" s="113"/>
    </row>
    <row r="598" spans="1:33" ht="13.8">
      <c r="A598" s="113"/>
      <c r="B598" s="113"/>
      <c r="C598" s="113"/>
      <c r="D598" s="113"/>
      <c r="E598" s="113"/>
      <c r="F598" s="113"/>
      <c r="G598" s="113"/>
      <c r="H598" s="113"/>
      <c r="I598" s="113"/>
      <c r="J598" s="113"/>
      <c r="K598" s="113"/>
      <c r="L598" s="113"/>
      <c r="M598" s="113"/>
      <c r="N598" s="113"/>
      <c r="O598" s="113"/>
      <c r="P598" s="113"/>
      <c r="Q598" s="113"/>
      <c r="R598" s="113"/>
      <c r="S598" s="113"/>
      <c r="T598" s="113"/>
      <c r="U598" s="113"/>
      <c r="V598" s="113"/>
      <c r="W598" s="113"/>
      <c r="X598" s="113"/>
      <c r="Y598" s="113"/>
      <c r="Z598" s="113"/>
      <c r="AA598" s="113"/>
      <c r="AB598" s="113"/>
      <c r="AC598" s="113"/>
      <c r="AD598" s="113"/>
      <c r="AE598" s="113"/>
      <c r="AF598" s="113"/>
      <c r="AG598" s="113"/>
    </row>
    <row r="599" spans="1:33" ht="13.8">
      <c r="A599" s="113"/>
      <c r="B599" s="113"/>
      <c r="C599" s="113"/>
      <c r="D599" s="113"/>
      <c r="E599" s="113"/>
      <c r="F599" s="113"/>
      <c r="G599" s="113"/>
      <c r="H599" s="113"/>
      <c r="I599" s="113"/>
      <c r="J599" s="113"/>
      <c r="K599" s="113"/>
      <c r="L599" s="113"/>
      <c r="M599" s="113"/>
      <c r="N599" s="113"/>
      <c r="O599" s="113"/>
      <c r="P599" s="113"/>
      <c r="Q599" s="113"/>
      <c r="R599" s="113"/>
      <c r="S599" s="113"/>
      <c r="T599" s="113"/>
      <c r="U599" s="113"/>
      <c r="V599" s="113"/>
      <c r="W599" s="113"/>
      <c r="X599" s="113"/>
      <c r="Y599" s="113"/>
      <c r="Z599" s="113"/>
      <c r="AA599" s="113"/>
      <c r="AB599" s="113"/>
      <c r="AC599" s="113"/>
      <c r="AD599" s="113"/>
      <c r="AE599" s="113"/>
      <c r="AF599" s="113"/>
      <c r="AG599" s="113"/>
    </row>
    <row r="600" spans="1:33" ht="13.8">
      <c r="A600" s="113"/>
      <c r="B600" s="113"/>
      <c r="C600" s="113"/>
      <c r="D600" s="113"/>
      <c r="E600" s="113"/>
      <c r="F600" s="113"/>
      <c r="G600" s="113"/>
      <c r="H600" s="113"/>
      <c r="I600" s="113"/>
      <c r="J600" s="113"/>
      <c r="K600" s="113"/>
      <c r="L600" s="113"/>
      <c r="M600" s="113"/>
      <c r="N600" s="113"/>
      <c r="O600" s="113"/>
      <c r="P600" s="113"/>
      <c r="Q600" s="113"/>
      <c r="R600" s="113"/>
      <c r="S600" s="113"/>
      <c r="T600" s="113"/>
      <c r="U600" s="113"/>
      <c r="V600" s="113"/>
      <c r="W600" s="113"/>
      <c r="X600" s="113"/>
      <c r="Y600" s="113"/>
      <c r="Z600" s="113"/>
      <c r="AA600" s="113"/>
      <c r="AB600" s="113"/>
      <c r="AC600" s="113"/>
      <c r="AD600" s="113"/>
      <c r="AE600" s="113"/>
      <c r="AF600" s="113"/>
      <c r="AG600" s="113"/>
    </row>
    <row r="601" spans="1:33" ht="13.8">
      <c r="A601" s="113"/>
      <c r="B601" s="113"/>
      <c r="C601" s="113"/>
      <c r="D601" s="113"/>
      <c r="E601" s="113"/>
      <c r="F601" s="113"/>
      <c r="G601" s="113"/>
      <c r="H601" s="113"/>
      <c r="I601" s="113"/>
      <c r="J601" s="113"/>
      <c r="K601" s="113"/>
      <c r="L601" s="113"/>
      <c r="M601" s="113"/>
      <c r="N601" s="113"/>
      <c r="O601" s="113"/>
      <c r="P601" s="113"/>
      <c r="Q601" s="113"/>
      <c r="R601" s="113"/>
      <c r="S601" s="113"/>
      <c r="T601" s="113"/>
      <c r="U601" s="113"/>
      <c r="V601" s="113"/>
      <c r="W601" s="113"/>
      <c r="X601" s="113"/>
      <c r="Y601" s="113"/>
      <c r="Z601" s="113"/>
      <c r="AA601" s="113"/>
      <c r="AB601" s="113"/>
      <c r="AC601" s="113"/>
      <c r="AD601" s="113"/>
      <c r="AE601" s="113"/>
      <c r="AF601" s="113"/>
      <c r="AG601" s="113"/>
    </row>
    <row r="602" spans="1:33" ht="13.8">
      <c r="A602" s="113"/>
      <c r="B602" s="113"/>
      <c r="C602" s="113"/>
      <c r="D602" s="113"/>
      <c r="E602" s="113"/>
      <c r="F602" s="113"/>
      <c r="G602" s="113"/>
      <c r="H602" s="113"/>
      <c r="I602" s="113"/>
      <c r="J602" s="113"/>
      <c r="K602" s="113"/>
      <c r="L602" s="113"/>
      <c r="M602" s="113"/>
      <c r="N602" s="113"/>
      <c r="O602" s="113"/>
      <c r="P602" s="113"/>
      <c r="Q602" s="113"/>
      <c r="R602" s="113"/>
      <c r="S602" s="113"/>
      <c r="T602" s="113"/>
      <c r="U602" s="113"/>
      <c r="V602" s="113"/>
      <c r="W602" s="113"/>
      <c r="X602" s="113"/>
      <c r="Y602" s="113"/>
      <c r="Z602" s="113"/>
      <c r="AA602" s="113"/>
      <c r="AB602" s="113"/>
      <c r="AC602" s="113"/>
      <c r="AD602" s="113"/>
      <c r="AE602" s="113"/>
      <c r="AF602" s="113"/>
      <c r="AG602" s="113"/>
    </row>
    <row r="603" spans="1:33" ht="13.8">
      <c r="A603" s="113"/>
      <c r="B603" s="113"/>
      <c r="C603" s="113"/>
      <c r="D603" s="113"/>
      <c r="E603" s="113"/>
      <c r="F603" s="113"/>
      <c r="G603" s="113"/>
      <c r="H603" s="113"/>
      <c r="I603" s="113"/>
      <c r="J603" s="113"/>
      <c r="K603" s="113"/>
      <c r="L603" s="113"/>
      <c r="M603" s="113"/>
      <c r="N603" s="113"/>
      <c r="O603" s="113"/>
      <c r="P603" s="113"/>
      <c r="Q603" s="113"/>
      <c r="R603" s="113"/>
      <c r="S603" s="113"/>
      <c r="T603" s="113"/>
      <c r="U603" s="113"/>
      <c r="V603" s="113"/>
      <c r="W603" s="113"/>
      <c r="X603" s="113"/>
      <c r="Y603" s="113"/>
      <c r="Z603" s="113"/>
      <c r="AA603" s="113"/>
      <c r="AB603" s="113"/>
      <c r="AC603" s="113"/>
      <c r="AD603" s="113"/>
      <c r="AE603" s="113"/>
      <c r="AF603" s="113"/>
      <c r="AG603" s="113"/>
    </row>
    <row r="604" spans="1:33" ht="13.8">
      <c r="A604" s="113"/>
      <c r="B604" s="113"/>
      <c r="C604" s="113"/>
      <c r="D604" s="113"/>
      <c r="E604" s="113"/>
      <c r="F604" s="113"/>
      <c r="G604" s="113"/>
      <c r="H604" s="113"/>
      <c r="I604" s="113"/>
      <c r="J604" s="113"/>
      <c r="K604" s="113"/>
      <c r="L604" s="113"/>
      <c r="M604" s="113"/>
      <c r="N604" s="113"/>
      <c r="O604" s="113"/>
      <c r="P604" s="113"/>
      <c r="Q604" s="113"/>
      <c r="R604" s="113"/>
      <c r="S604" s="113"/>
      <c r="T604" s="113"/>
      <c r="U604" s="113"/>
      <c r="V604" s="113"/>
      <c r="W604" s="113"/>
      <c r="X604" s="113"/>
      <c r="Y604" s="113"/>
      <c r="Z604" s="113"/>
      <c r="AA604" s="113"/>
      <c r="AB604" s="113"/>
      <c r="AC604" s="113"/>
      <c r="AD604" s="113"/>
      <c r="AE604" s="113"/>
      <c r="AF604" s="113"/>
      <c r="AG604" s="113"/>
    </row>
    <row r="605" spans="1:33" ht="13.8">
      <c r="A605" s="113"/>
      <c r="B605" s="113"/>
      <c r="C605" s="113"/>
      <c r="D605" s="113"/>
      <c r="E605" s="113"/>
      <c r="F605" s="113"/>
      <c r="G605" s="113"/>
      <c r="H605" s="113"/>
      <c r="I605" s="113"/>
      <c r="J605" s="113"/>
      <c r="K605" s="113"/>
      <c r="L605" s="113"/>
      <c r="M605" s="113"/>
      <c r="N605" s="113"/>
      <c r="O605" s="113"/>
      <c r="P605" s="113"/>
      <c r="Q605" s="113"/>
      <c r="R605" s="113"/>
      <c r="S605" s="113"/>
      <c r="T605" s="113"/>
      <c r="U605" s="113"/>
      <c r="V605" s="113"/>
      <c r="W605" s="113"/>
      <c r="X605" s="113"/>
      <c r="Y605" s="113"/>
      <c r="Z605" s="113"/>
      <c r="AA605" s="113"/>
      <c r="AB605" s="113"/>
      <c r="AC605" s="113"/>
      <c r="AD605" s="113"/>
      <c r="AE605" s="113"/>
      <c r="AF605" s="113"/>
      <c r="AG605" s="113"/>
    </row>
    <row r="606" spans="1:33" ht="13.8">
      <c r="A606" s="113"/>
      <c r="B606" s="113"/>
      <c r="C606" s="113"/>
      <c r="D606" s="113"/>
      <c r="E606" s="113"/>
      <c r="F606" s="113"/>
      <c r="G606" s="113"/>
      <c r="H606" s="113"/>
      <c r="I606" s="113"/>
      <c r="J606" s="113"/>
      <c r="K606" s="113"/>
      <c r="L606" s="113"/>
      <c r="M606" s="113"/>
      <c r="N606" s="113"/>
      <c r="O606" s="113"/>
      <c r="P606" s="113"/>
      <c r="Q606" s="113"/>
      <c r="R606" s="113"/>
      <c r="S606" s="113"/>
      <c r="T606" s="113"/>
      <c r="U606" s="113"/>
      <c r="V606" s="113"/>
      <c r="W606" s="113"/>
      <c r="X606" s="113"/>
      <c r="Y606" s="113"/>
      <c r="Z606" s="113"/>
      <c r="AA606" s="113"/>
      <c r="AB606" s="113"/>
      <c r="AC606" s="113"/>
      <c r="AD606" s="113"/>
      <c r="AE606" s="113"/>
      <c r="AF606" s="113"/>
      <c r="AG606" s="113"/>
    </row>
    <row r="607" spans="1:33" ht="13.8">
      <c r="A607" s="113"/>
      <c r="B607" s="113"/>
      <c r="C607" s="113"/>
      <c r="D607" s="113"/>
      <c r="E607" s="113"/>
      <c r="F607" s="113"/>
      <c r="G607" s="113"/>
      <c r="H607" s="113"/>
      <c r="I607" s="113"/>
      <c r="J607" s="113"/>
      <c r="K607" s="113"/>
      <c r="L607" s="113"/>
      <c r="M607" s="113"/>
      <c r="N607" s="113"/>
      <c r="O607" s="113"/>
      <c r="P607" s="113"/>
      <c r="Q607" s="113"/>
      <c r="R607" s="113"/>
      <c r="S607" s="113"/>
      <c r="T607" s="113"/>
      <c r="U607" s="113"/>
      <c r="V607" s="113"/>
      <c r="W607" s="113"/>
      <c r="X607" s="113"/>
      <c r="Y607" s="113"/>
      <c r="Z607" s="113"/>
      <c r="AA607" s="113"/>
      <c r="AB607" s="113"/>
      <c r="AC607" s="113"/>
      <c r="AD607" s="113"/>
      <c r="AE607" s="113"/>
      <c r="AF607" s="113"/>
      <c r="AG607" s="113"/>
    </row>
    <row r="608" spans="1:33" ht="13.8">
      <c r="A608" s="113"/>
      <c r="B608" s="113"/>
      <c r="C608" s="113"/>
      <c r="D608" s="113"/>
      <c r="E608" s="113"/>
      <c r="F608" s="113"/>
      <c r="G608" s="113"/>
      <c r="H608" s="113"/>
      <c r="I608" s="113"/>
      <c r="J608" s="113"/>
      <c r="K608" s="113"/>
      <c r="L608" s="113"/>
      <c r="M608" s="113"/>
      <c r="N608" s="113"/>
      <c r="O608" s="113"/>
      <c r="P608" s="113"/>
      <c r="Q608" s="113"/>
      <c r="R608" s="113"/>
      <c r="S608" s="113"/>
      <c r="T608" s="113"/>
      <c r="U608" s="113"/>
      <c r="V608" s="113"/>
      <c r="W608" s="113"/>
      <c r="X608" s="113"/>
      <c r="Y608" s="113"/>
      <c r="Z608" s="113"/>
      <c r="AA608" s="113"/>
      <c r="AB608" s="113"/>
      <c r="AC608" s="113"/>
      <c r="AD608" s="113"/>
      <c r="AE608" s="113"/>
      <c r="AF608" s="113"/>
      <c r="AG608" s="113"/>
    </row>
    <row r="609" spans="1:33" ht="13.8">
      <c r="A609" s="113"/>
      <c r="B609" s="113"/>
      <c r="C609" s="113"/>
      <c r="D609" s="113"/>
      <c r="E609" s="113"/>
      <c r="F609" s="113"/>
      <c r="G609" s="113"/>
      <c r="H609" s="113"/>
      <c r="I609" s="113"/>
      <c r="J609" s="113"/>
      <c r="K609" s="113"/>
      <c r="L609" s="113"/>
      <c r="M609" s="113"/>
      <c r="N609" s="113"/>
      <c r="O609" s="113"/>
      <c r="P609" s="113"/>
      <c r="Q609" s="113"/>
      <c r="R609" s="113"/>
      <c r="S609" s="113"/>
      <c r="T609" s="113"/>
      <c r="U609" s="113"/>
      <c r="V609" s="113"/>
      <c r="W609" s="113"/>
      <c r="X609" s="113"/>
      <c r="Y609" s="113"/>
      <c r="Z609" s="113"/>
      <c r="AA609" s="113"/>
      <c r="AB609" s="113"/>
      <c r="AC609" s="113"/>
      <c r="AD609" s="113"/>
      <c r="AE609" s="113"/>
      <c r="AF609" s="113"/>
      <c r="AG609" s="113"/>
    </row>
    <row r="610" spans="1:33" ht="13.8">
      <c r="A610" s="113"/>
      <c r="B610" s="113"/>
      <c r="C610" s="113"/>
      <c r="D610" s="113"/>
      <c r="E610" s="113"/>
      <c r="F610" s="113"/>
      <c r="G610" s="113"/>
      <c r="H610" s="113"/>
      <c r="I610" s="113"/>
      <c r="J610" s="113"/>
      <c r="K610" s="113"/>
      <c r="L610" s="113"/>
      <c r="M610" s="113"/>
      <c r="N610" s="113"/>
      <c r="O610" s="113"/>
      <c r="P610" s="113"/>
      <c r="Q610" s="113"/>
      <c r="R610" s="113"/>
      <c r="S610" s="113"/>
      <c r="T610" s="113"/>
      <c r="U610" s="113"/>
      <c r="V610" s="113"/>
      <c r="W610" s="113"/>
      <c r="X610" s="113"/>
      <c r="Y610" s="113"/>
      <c r="Z610" s="113"/>
      <c r="AA610" s="113"/>
      <c r="AB610" s="113"/>
      <c r="AC610" s="113"/>
      <c r="AD610" s="113"/>
      <c r="AE610" s="113"/>
      <c r="AF610" s="113"/>
      <c r="AG610" s="113"/>
    </row>
    <row r="611" spans="1:33" ht="13.8">
      <c r="A611" s="113"/>
      <c r="B611" s="113"/>
      <c r="C611" s="113"/>
      <c r="D611" s="113"/>
      <c r="E611" s="113"/>
      <c r="F611" s="113"/>
      <c r="G611" s="113"/>
      <c r="H611" s="113"/>
      <c r="I611" s="113"/>
      <c r="J611" s="113"/>
      <c r="K611" s="113"/>
      <c r="L611" s="113"/>
      <c r="M611" s="113"/>
      <c r="N611" s="113"/>
      <c r="O611" s="113"/>
      <c r="P611" s="113"/>
      <c r="Q611" s="113"/>
      <c r="R611" s="113"/>
      <c r="S611" s="113"/>
      <c r="T611" s="113"/>
      <c r="U611" s="113"/>
      <c r="V611" s="113"/>
      <c r="W611" s="113"/>
      <c r="X611" s="113"/>
      <c r="Y611" s="113"/>
      <c r="Z611" s="113"/>
      <c r="AA611" s="113"/>
      <c r="AB611" s="113"/>
      <c r="AC611" s="113"/>
      <c r="AD611" s="113"/>
      <c r="AE611" s="113"/>
      <c r="AF611" s="113"/>
      <c r="AG611" s="113"/>
    </row>
    <row r="612" spans="1:33" ht="13.8">
      <c r="A612" s="113"/>
      <c r="B612" s="113"/>
      <c r="C612" s="113"/>
      <c r="D612" s="113"/>
      <c r="E612" s="113"/>
      <c r="F612" s="113"/>
      <c r="G612" s="113"/>
      <c r="H612" s="113"/>
      <c r="I612" s="113"/>
      <c r="J612" s="113"/>
      <c r="K612" s="113"/>
      <c r="L612" s="113"/>
      <c r="M612" s="113"/>
      <c r="N612" s="113"/>
      <c r="O612" s="113"/>
      <c r="P612" s="113"/>
      <c r="Q612" s="113"/>
      <c r="R612" s="113"/>
      <c r="S612" s="113"/>
      <c r="T612" s="113"/>
      <c r="U612" s="113"/>
      <c r="V612" s="113"/>
      <c r="W612" s="113"/>
      <c r="X612" s="113"/>
      <c r="Y612" s="113"/>
      <c r="Z612" s="113"/>
      <c r="AA612" s="113"/>
      <c r="AB612" s="113"/>
      <c r="AC612" s="113"/>
      <c r="AD612" s="113"/>
      <c r="AE612" s="113"/>
      <c r="AF612" s="113"/>
      <c r="AG612" s="113"/>
    </row>
    <row r="613" spans="1:33" ht="13.8">
      <c r="A613" s="113"/>
      <c r="B613" s="113"/>
      <c r="C613" s="113"/>
      <c r="D613" s="113"/>
      <c r="E613" s="113"/>
      <c r="F613" s="113"/>
      <c r="G613" s="113"/>
      <c r="H613" s="113"/>
      <c r="I613" s="113"/>
      <c r="J613" s="113"/>
      <c r="K613" s="113"/>
      <c r="L613" s="113"/>
      <c r="M613" s="113"/>
      <c r="N613" s="113"/>
      <c r="O613" s="113"/>
      <c r="P613" s="113"/>
      <c r="Q613" s="113"/>
      <c r="R613" s="113"/>
      <c r="S613" s="113"/>
      <c r="T613" s="113"/>
      <c r="U613" s="113"/>
      <c r="V613" s="113"/>
      <c r="W613" s="113"/>
      <c r="X613" s="113"/>
      <c r="Y613" s="113"/>
      <c r="Z613" s="113"/>
      <c r="AA613" s="113"/>
      <c r="AB613" s="113"/>
      <c r="AC613" s="113"/>
      <c r="AD613" s="113"/>
      <c r="AE613" s="113"/>
      <c r="AF613" s="113"/>
      <c r="AG613" s="113"/>
    </row>
    <row r="614" spans="1:33" ht="13.8">
      <c r="A614" s="113"/>
      <c r="B614" s="113"/>
      <c r="C614" s="113"/>
      <c r="D614" s="113"/>
      <c r="E614" s="113"/>
      <c r="F614" s="113"/>
      <c r="G614" s="113"/>
      <c r="H614" s="113"/>
      <c r="I614" s="113"/>
      <c r="J614" s="113"/>
      <c r="K614" s="113"/>
      <c r="L614" s="113"/>
      <c r="M614" s="113"/>
      <c r="N614" s="113"/>
      <c r="O614" s="113"/>
      <c r="P614" s="113"/>
      <c r="Q614" s="113"/>
      <c r="R614" s="113"/>
      <c r="S614" s="113"/>
      <c r="T614" s="113"/>
      <c r="U614" s="113"/>
      <c r="V614" s="113"/>
      <c r="W614" s="113"/>
      <c r="X614" s="113"/>
      <c r="Y614" s="113"/>
      <c r="Z614" s="113"/>
      <c r="AA614" s="113"/>
      <c r="AB614" s="113"/>
      <c r="AC614" s="113"/>
      <c r="AD614" s="113"/>
      <c r="AE614" s="113"/>
      <c r="AF614" s="113"/>
      <c r="AG614" s="113"/>
    </row>
    <row r="615" spans="1:33" ht="13.8">
      <c r="A615" s="113"/>
      <c r="B615" s="113"/>
      <c r="C615" s="113"/>
      <c r="D615" s="113"/>
      <c r="E615" s="113"/>
      <c r="F615" s="113"/>
      <c r="G615" s="113"/>
      <c r="H615" s="113"/>
      <c r="I615" s="113"/>
      <c r="J615" s="113"/>
      <c r="K615" s="113"/>
      <c r="L615" s="113"/>
      <c r="M615" s="113"/>
      <c r="N615" s="113"/>
      <c r="O615" s="113"/>
      <c r="P615" s="113"/>
      <c r="Q615" s="113"/>
      <c r="R615" s="113"/>
      <c r="S615" s="113"/>
      <c r="T615" s="113"/>
      <c r="U615" s="113"/>
      <c r="V615" s="113"/>
      <c r="W615" s="113"/>
      <c r="X615" s="113"/>
      <c r="Y615" s="113"/>
      <c r="Z615" s="113"/>
      <c r="AA615" s="113"/>
      <c r="AB615" s="113"/>
      <c r="AC615" s="113"/>
      <c r="AD615" s="113"/>
      <c r="AE615" s="113"/>
      <c r="AF615" s="113"/>
      <c r="AG615" s="113"/>
    </row>
    <row r="616" spans="1:33" ht="13.8">
      <c r="A616" s="113"/>
      <c r="B616" s="113"/>
      <c r="C616" s="113"/>
      <c r="D616" s="113"/>
      <c r="E616" s="113"/>
      <c r="F616" s="113"/>
      <c r="G616" s="113"/>
      <c r="H616" s="113"/>
      <c r="I616" s="113"/>
      <c r="J616" s="113"/>
      <c r="K616" s="113"/>
      <c r="L616" s="113"/>
      <c r="M616" s="113"/>
      <c r="N616" s="113"/>
      <c r="O616" s="113"/>
      <c r="P616" s="113"/>
      <c r="Q616" s="113"/>
      <c r="R616" s="113"/>
      <c r="S616" s="113"/>
      <c r="T616" s="113"/>
      <c r="U616" s="113"/>
      <c r="V616" s="113"/>
      <c r="W616" s="113"/>
      <c r="X616" s="113"/>
      <c r="Y616" s="113"/>
      <c r="Z616" s="113"/>
      <c r="AA616" s="113"/>
      <c r="AB616" s="113"/>
      <c r="AC616" s="113"/>
      <c r="AD616" s="113"/>
      <c r="AE616" s="113"/>
      <c r="AF616" s="113"/>
      <c r="AG616" s="113"/>
    </row>
    <row r="617" spans="1:33" ht="13.8">
      <c r="A617" s="113"/>
      <c r="B617" s="113"/>
      <c r="C617" s="113"/>
      <c r="D617" s="113"/>
      <c r="E617" s="113"/>
      <c r="F617" s="113"/>
      <c r="G617" s="113"/>
      <c r="H617" s="113"/>
      <c r="I617" s="113"/>
      <c r="J617" s="113"/>
      <c r="K617" s="113"/>
      <c r="L617" s="113"/>
      <c r="M617" s="113"/>
      <c r="N617" s="113"/>
      <c r="O617" s="113"/>
      <c r="P617" s="113"/>
      <c r="Q617" s="113"/>
      <c r="R617" s="113"/>
      <c r="S617" s="113"/>
      <c r="T617" s="113"/>
      <c r="U617" s="113"/>
      <c r="V617" s="113"/>
      <c r="W617" s="113"/>
      <c r="X617" s="113"/>
      <c r="Y617" s="113"/>
      <c r="Z617" s="113"/>
      <c r="AA617" s="113"/>
      <c r="AB617" s="113"/>
      <c r="AC617" s="113"/>
      <c r="AD617" s="113"/>
      <c r="AE617" s="113"/>
      <c r="AF617" s="113"/>
      <c r="AG617" s="113"/>
    </row>
    <row r="618" spans="1:33" ht="13.8">
      <c r="A618" s="113"/>
      <c r="B618" s="113"/>
      <c r="C618" s="113"/>
      <c r="D618" s="113"/>
      <c r="E618" s="113"/>
      <c r="F618" s="113"/>
      <c r="G618" s="113"/>
      <c r="H618" s="113"/>
      <c r="I618" s="113"/>
      <c r="J618" s="113"/>
      <c r="K618" s="113"/>
      <c r="L618" s="113"/>
      <c r="M618" s="113"/>
      <c r="N618" s="113"/>
      <c r="O618" s="113"/>
      <c r="P618" s="113"/>
      <c r="Q618" s="113"/>
      <c r="R618" s="113"/>
      <c r="S618" s="113"/>
      <c r="T618" s="113"/>
      <c r="U618" s="113"/>
      <c r="V618" s="113"/>
      <c r="W618" s="113"/>
      <c r="X618" s="113"/>
      <c r="Y618" s="113"/>
      <c r="Z618" s="113"/>
      <c r="AA618" s="113"/>
      <c r="AB618" s="113"/>
      <c r="AC618" s="113"/>
      <c r="AD618" s="113"/>
      <c r="AE618" s="113"/>
      <c r="AF618" s="113"/>
      <c r="AG618" s="113"/>
    </row>
    <row r="619" spans="1:33" ht="13.8">
      <c r="A619" s="113"/>
      <c r="B619" s="113"/>
      <c r="C619" s="113"/>
      <c r="D619" s="113"/>
      <c r="E619" s="113"/>
      <c r="F619" s="113"/>
      <c r="G619" s="113"/>
      <c r="H619" s="113"/>
      <c r="I619" s="113"/>
      <c r="J619" s="113"/>
      <c r="K619" s="113"/>
      <c r="L619" s="113"/>
      <c r="M619" s="113"/>
      <c r="N619" s="113"/>
      <c r="O619" s="113"/>
      <c r="P619" s="113"/>
      <c r="Q619" s="113"/>
      <c r="R619" s="113"/>
      <c r="S619" s="113"/>
      <c r="T619" s="113"/>
      <c r="U619" s="113"/>
      <c r="V619" s="113"/>
      <c r="W619" s="113"/>
      <c r="X619" s="113"/>
      <c r="Y619" s="113"/>
      <c r="Z619" s="113"/>
      <c r="AA619" s="113"/>
      <c r="AB619" s="113"/>
      <c r="AC619" s="113"/>
      <c r="AD619" s="113"/>
      <c r="AE619" s="113"/>
      <c r="AF619" s="113"/>
      <c r="AG619" s="113"/>
    </row>
    <row r="620" spans="1:33" ht="13.8">
      <c r="A620" s="113"/>
      <c r="B620" s="113"/>
      <c r="C620" s="113"/>
      <c r="D620" s="113"/>
      <c r="E620" s="113"/>
      <c r="F620" s="113"/>
      <c r="G620" s="113"/>
      <c r="H620" s="113"/>
      <c r="I620" s="113"/>
      <c r="J620" s="113"/>
      <c r="K620" s="113"/>
      <c r="L620" s="113"/>
      <c r="M620" s="113"/>
      <c r="N620" s="113"/>
      <c r="O620" s="113"/>
      <c r="P620" s="113"/>
      <c r="Q620" s="113"/>
      <c r="R620" s="113"/>
      <c r="S620" s="113"/>
      <c r="T620" s="113"/>
      <c r="U620" s="113"/>
      <c r="V620" s="113"/>
      <c r="W620" s="113"/>
      <c r="X620" s="113"/>
      <c r="Y620" s="113"/>
      <c r="Z620" s="113"/>
      <c r="AA620" s="113"/>
      <c r="AB620" s="113"/>
      <c r="AC620" s="113"/>
      <c r="AD620" s="113"/>
      <c r="AE620" s="113"/>
      <c r="AF620" s="113"/>
      <c r="AG620" s="113"/>
    </row>
    <row r="621" spans="1:33" ht="13.8">
      <c r="A621" s="113"/>
      <c r="B621" s="113"/>
      <c r="C621" s="113"/>
      <c r="D621" s="113"/>
      <c r="E621" s="113"/>
      <c r="F621" s="113"/>
      <c r="G621" s="113"/>
      <c r="H621" s="113"/>
      <c r="I621" s="113"/>
      <c r="J621" s="113"/>
      <c r="K621" s="113"/>
      <c r="L621" s="113"/>
      <c r="M621" s="113"/>
      <c r="N621" s="113"/>
      <c r="O621" s="113"/>
      <c r="P621" s="113"/>
      <c r="Q621" s="113"/>
      <c r="R621" s="113"/>
      <c r="S621" s="113"/>
      <c r="T621" s="113"/>
      <c r="U621" s="113"/>
      <c r="V621" s="113"/>
      <c r="W621" s="113"/>
      <c r="X621" s="113"/>
      <c r="Y621" s="113"/>
      <c r="Z621" s="113"/>
      <c r="AA621" s="113"/>
      <c r="AB621" s="113"/>
      <c r="AC621" s="113"/>
      <c r="AD621" s="113"/>
      <c r="AE621" s="113"/>
      <c r="AF621" s="113"/>
      <c r="AG621" s="113"/>
    </row>
    <row r="622" spans="1:33" ht="13.8">
      <c r="A622" s="113"/>
      <c r="B622" s="113"/>
      <c r="C622" s="113"/>
      <c r="D622" s="113"/>
      <c r="E622" s="113"/>
      <c r="F622" s="113"/>
      <c r="G622" s="113"/>
      <c r="H622" s="113"/>
      <c r="I622" s="113"/>
      <c r="J622" s="113"/>
      <c r="K622" s="113"/>
      <c r="L622" s="113"/>
      <c r="M622" s="113"/>
      <c r="N622" s="113"/>
      <c r="O622" s="113"/>
      <c r="P622" s="113"/>
      <c r="Q622" s="113"/>
      <c r="R622" s="113"/>
      <c r="S622" s="113"/>
      <c r="T622" s="113"/>
      <c r="U622" s="113"/>
      <c r="V622" s="113"/>
      <c r="W622" s="113"/>
      <c r="X622" s="113"/>
      <c r="Y622" s="113"/>
      <c r="Z622" s="113"/>
      <c r="AA622" s="113"/>
      <c r="AB622" s="113"/>
      <c r="AC622" s="113"/>
      <c r="AD622" s="113"/>
      <c r="AE622" s="113"/>
      <c r="AF622" s="113"/>
      <c r="AG622" s="113"/>
    </row>
    <row r="623" spans="1:33" ht="13.8">
      <c r="A623" s="113"/>
      <c r="B623" s="113"/>
      <c r="C623" s="113"/>
      <c r="D623" s="113"/>
      <c r="E623" s="113"/>
      <c r="F623" s="113"/>
      <c r="G623" s="113"/>
      <c r="H623" s="113"/>
      <c r="I623" s="113"/>
      <c r="J623" s="113"/>
      <c r="K623" s="113"/>
      <c r="L623" s="113"/>
      <c r="M623" s="113"/>
      <c r="N623" s="113"/>
      <c r="O623" s="113"/>
      <c r="P623" s="113"/>
      <c r="Q623" s="113"/>
      <c r="R623" s="113"/>
      <c r="S623" s="113"/>
      <c r="T623" s="113"/>
      <c r="U623" s="113"/>
      <c r="V623" s="113"/>
      <c r="W623" s="113"/>
      <c r="X623" s="113"/>
      <c r="Y623" s="113"/>
      <c r="Z623" s="113"/>
      <c r="AA623" s="113"/>
      <c r="AB623" s="113"/>
      <c r="AC623" s="113"/>
      <c r="AD623" s="113"/>
      <c r="AE623" s="113"/>
      <c r="AF623" s="113"/>
      <c r="AG623" s="113"/>
    </row>
    <row r="624" spans="1:33" ht="13.8">
      <c r="A624" s="113"/>
      <c r="B624" s="113"/>
      <c r="C624" s="113"/>
      <c r="D624" s="113"/>
      <c r="E624" s="113"/>
      <c r="F624" s="113"/>
      <c r="G624" s="113"/>
      <c r="H624" s="113"/>
      <c r="I624" s="113"/>
      <c r="J624" s="113"/>
      <c r="K624" s="113"/>
      <c r="L624" s="113"/>
      <c r="M624" s="113"/>
      <c r="N624" s="113"/>
      <c r="O624" s="113"/>
      <c r="P624" s="113"/>
      <c r="Q624" s="113"/>
      <c r="R624" s="113"/>
      <c r="S624" s="113"/>
      <c r="T624" s="113"/>
      <c r="U624" s="113"/>
      <c r="V624" s="113"/>
      <c r="W624" s="113"/>
      <c r="X624" s="113"/>
      <c r="Y624" s="113"/>
      <c r="Z624" s="113"/>
      <c r="AA624" s="113"/>
      <c r="AB624" s="113"/>
      <c r="AC624" s="113"/>
      <c r="AD624" s="113"/>
      <c r="AE624" s="113"/>
      <c r="AF624" s="113"/>
      <c r="AG624" s="113"/>
    </row>
    <row r="625" spans="1:33" ht="13.8">
      <c r="A625" s="113"/>
      <c r="B625" s="113"/>
      <c r="C625" s="113"/>
      <c r="D625" s="113"/>
      <c r="E625" s="113"/>
      <c r="F625" s="113"/>
      <c r="G625" s="113"/>
      <c r="H625" s="113"/>
      <c r="I625" s="113"/>
      <c r="J625" s="113"/>
      <c r="K625" s="113"/>
      <c r="L625" s="113"/>
      <c r="M625" s="113"/>
      <c r="N625" s="113"/>
      <c r="O625" s="113"/>
      <c r="P625" s="113"/>
      <c r="Q625" s="113"/>
      <c r="R625" s="113"/>
      <c r="S625" s="113"/>
      <c r="T625" s="113"/>
      <c r="U625" s="113"/>
      <c r="V625" s="113"/>
      <c r="W625" s="113"/>
      <c r="X625" s="113"/>
      <c r="Y625" s="113"/>
      <c r="Z625" s="113"/>
      <c r="AA625" s="113"/>
      <c r="AB625" s="113"/>
      <c r="AC625" s="113"/>
      <c r="AD625" s="113"/>
      <c r="AE625" s="113"/>
      <c r="AF625" s="113"/>
      <c r="AG625" s="113"/>
    </row>
    <row r="626" spans="1:33" ht="13.8">
      <c r="A626" s="113"/>
      <c r="B626" s="113"/>
      <c r="C626" s="113"/>
      <c r="D626" s="113"/>
      <c r="E626" s="113"/>
      <c r="F626" s="113"/>
      <c r="G626" s="113"/>
      <c r="H626" s="113"/>
      <c r="I626" s="113"/>
      <c r="J626" s="113"/>
      <c r="K626" s="113"/>
      <c r="L626" s="113"/>
      <c r="M626" s="113"/>
      <c r="N626" s="113"/>
      <c r="O626" s="113"/>
      <c r="P626" s="113"/>
      <c r="Q626" s="113"/>
      <c r="R626" s="113"/>
      <c r="S626" s="113"/>
      <c r="T626" s="113"/>
      <c r="U626" s="113"/>
      <c r="V626" s="113"/>
      <c r="W626" s="113"/>
      <c r="X626" s="113"/>
      <c r="Y626" s="113"/>
      <c r="Z626" s="113"/>
      <c r="AA626" s="113"/>
      <c r="AB626" s="113"/>
      <c r="AC626" s="113"/>
      <c r="AD626" s="113"/>
      <c r="AE626" s="113"/>
      <c r="AF626" s="113"/>
      <c r="AG626" s="113"/>
    </row>
    <row r="627" spans="1:33" ht="13.8">
      <c r="A627" s="113"/>
      <c r="B627" s="113"/>
      <c r="C627" s="113"/>
      <c r="D627" s="113"/>
      <c r="E627" s="113"/>
      <c r="F627" s="113"/>
      <c r="G627" s="113"/>
      <c r="H627" s="113"/>
      <c r="I627" s="113"/>
      <c r="J627" s="113"/>
      <c r="K627" s="113"/>
      <c r="L627" s="113"/>
      <c r="M627" s="113"/>
      <c r="N627" s="113"/>
      <c r="O627" s="113"/>
      <c r="P627" s="113"/>
      <c r="Q627" s="113"/>
      <c r="R627" s="113"/>
      <c r="S627" s="113"/>
      <c r="T627" s="113"/>
      <c r="U627" s="113"/>
      <c r="V627" s="113"/>
      <c r="W627" s="113"/>
      <c r="X627" s="113"/>
      <c r="Y627" s="113"/>
      <c r="Z627" s="113"/>
      <c r="AA627" s="113"/>
      <c r="AB627" s="113"/>
      <c r="AC627" s="113"/>
      <c r="AD627" s="113"/>
      <c r="AE627" s="113"/>
      <c r="AF627" s="113"/>
      <c r="AG627" s="113"/>
    </row>
    <row r="628" spans="1:33" ht="13.8">
      <c r="A628" s="113"/>
      <c r="B628" s="113"/>
      <c r="C628" s="113"/>
      <c r="D628" s="113"/>
      <c r="E628" s="113"/>
      <c r="F628" s="113"/>
      <c r="G628" s="113"/>
      <c r="H628" s="113"/>
      <c r="I628" s="113"/>
      <c r="J628" s="113"/>
      <c r="K628" s="113"/>
      <c r="L628" s="113"/>
      <c r="M628" s="113"/>
      <c r="N628" s="113"/>
      <c r="O628" s="113"/>
      <c r="P628" s="113"/>
      <c r="Q628" s="113"/>
      <c r="R628" s="113"/>
      <c r="S628" s="113"/>
      <c r="T628" s="113"/>
      <c r="U628" s="113"/>
      <c r="V628" s="113"/>
      <c r="W628" s="113"/>
      <c r="X628" s="113"/>
      <c r="Y628" s="113"/>
      <c r="Z628" s="113"/>
      <c r="AA628" s="113"/>
      <c r="AB628" s="113"/>
      <c r="AC628" s="113"/>
      <c r="AD628" s="113"/>
      <c r="AE628" s="113"/>
      <c r="AF628" s="113"/>
      <c r="AG628" s="113"/>
    </row>
    <row r="629" spans="1:33" ht="13.8">
      <c r="A629" s="113"/>
      <c r="B629" s="113"/>
      <c r="C629" s="113"/>
      <c r="D629" s="113"/>
      <c r="E629" s="113"/>
      <c r="F629" s="113"/>
      <c r="G629" s="113"/>
      <c r="H629" s="113"/>
      <c r="I629" s="113"/>
      <c r="J629" s="113"/>
      <c r="K629" s="113"/>
      <c r="L629" s="113"/>
      <c r="M629" s="113"/>
      <c r="N629" s="113"/>
      <c r="O629" s="113"/>
      <c r="P629" s="113"/>
      <c r="Q629" s="113"/>
      <c r="R629" s="113"/>
      <c r="S629" s="113"/>
      <c r="T629" s="113"/>
      <c r="U629" s="113"/>
      <c r="V629" s="113"/>
      <c r="W629" s="113"/>
      <c r="X629" s="113"/>
      <c r="Y629" s="113"/>
      <c r="Z629" s="113"/>
      <c r="AA629" s="113"/>
      <c r="AB629" s="113"/>
      <c r="AC629" s="113"/>
      <c r="AD629" s="113"/>
      <c r="AE629" s="113"/>
      <c r="AF629" s="113"/>
      <c r="AG629" s="113"/>
    </row>
    <row r="630" spans="1:33" ht="13.8">
      <c r="A630" s="113"/>
      <c r="B630" s="113"/>
      <c r="C630" s="113"/>
      <c r="D630" s="113"/>
      <c r="E630" s="113"/>
      <c r="F630" s="113"/>
      <c r="G630" s="113"/>
      <c r="H630" s="113"/>
      <c r="I630" s="113"/>
      <c r="J630" s="113"/>
      <c r="K630" s="113"/>
      <c r="L630" s="113"/>
      <c r="M630" s="113"/>
      <c r="N630" s="113"/>
      <c r="O630" s="113"/>
      <c r="P630" s="113"/>
      <c r="Q630" s="113"/>
      <c r="R630" s="113"/>
      <c r="S630" s="113"/>
      <c r="T630" s="113"/>
      <c r="U630" s="113"/>
      <c r="V630" s="113"/>
      <c r="W630" s="113"/>
      <c r="X630" s="113"/>
      <c r="Y630" s="113"/>
      <c r="Z630" s="113"/>
      <c r="AA630" s="113"/>
      <c r="AB630" s="113"/>
      <c r="AC630" s="113"/>
      <c r="AD630" s="113"/>
      <c r="AE630" s="113"/>
      <c r="AF630" s="113"/>
      <c r="AG630" s="113"/>
    </row>
    <row r="631" spans="1:33" ht="13.8">
      <c r="A631" s="113"/>
      <c r="B631" s="113"/>
      <c r="C631" s="113"/>
      <c r="D631" s="113"/>
      <c r="E631" s="113"/>
      <c r="F631" s="113"/>
      <c r="G631" s="113"/>
      <c r="H631" s="113"/>
      <c r="I631" s="113"/>
      <c r="J631" s="113"/>
      <c r="K631" s="113"/>
      <c r="L631" s="113"/>
      <c r="M631" s="113"/>
      <c r="N631" s="113"/>
      <c r="O631" s="113"/>
      <c r="P631" s="113"/>
      <c r="Q631" s="113"/>
      <c r="R631" s="113"/>
      <c r="S631" s="113"/>
      <c r="T631" s="113"/>
      <c r="U631" s="113"/>
      <c r="V631" s="113"/>
      <c r="W631" s="113"/>
      <c r="X631" s="113"/>
      <c r="Y631" s="113"/>
      <c r="Z631" s="113"/>
      <c r="AA631" s="113"/>
      <c r="AB631" s="113"/>
      <c r="AC631" s="113"/>
      <c r="AD631" s="113"/>
      <c r="AE631" s="113"/>
      <c r="AF631" s="113"/>
      <c r="AG631" s="113"/>
    </row>
    <row r="632" spans="1:33" ht="13.8">
      <c r="A632" s="113"/>
      <c r="B632" s="113"/>
      <c r="C632" s="113"/>
      <c r="D632" s="113"/>
      <c r="E632" s="113"/>
      <c r="F632" s="113"/>
      <c r="G632" s="113"/>
      <c r="H632" s="113"/>
      <c r="I632" s="113"/>
      <c r="J632" s="113"/>
      <c r="K632" s="113"/>
      <c r="L632" s="113"/>
      <c r="M632" s="113"/>
      <c r="N632" s="113"/>
      <c r="O632" s="113"/>
      <c r="P632" s="113"/>
      <c r="Q632" s="113"/>
      <c r="R632" s="113"/>
      <c r="S632" s="113"/>
      <c r="T632" s="113"/>
      <c r="U632" s="113"/>
      <c r="V632" s="113"/>
      <c r="W632" s="113"/>
      <c r="X632" s="113"/>
      <c r="Y632" s="113"/>
      <c r="Z632" s="113"/>
      <c r="AA632" s="113"/>
      <c r="AB632" s="113"/>
      <c r="AC632" s="113"/>
      <c r="AD632" s="113"/>
      <c r="AE632" s="113"/>
      <c r="AF632" s="113"/>
      <c r="AG632" s="113"/>
    </row>
    <row r="633" spans="1:33" ht="13.8">
      <c r="A633" s="113"/>
      <c r="B633" s="113"/>
      <c r="C633" s="113"/>
      <c r="D633" s="113"/>
      <c r="E633" s="113"/>
      <c r="F633" s="113"/>
      <c r="G633" s="113"/>
      <c r="H633" s="113"/>
      <c r="I633" s="113"/>
      <c r="J633" s="113"/>
      <c r="K633" s="113"/>
      <c r="L633" s="113"/>
      <c r="M633" s="113"/>
      <c r="N633" s="113"/>
      <c r="O633" s="113"/>
      <c r="P633" s="113"/>
      <c r="Q633" s="113"/>
      <c r="R633" s="113"/>
      <c r="S633" s="113"/>
      <c r="T633" s="113"/>
      <c r="U633" s="113"/>
      <c r="V633" s="113"/>
      <c r="W633" s="113"/>
      <c r="X633" s="113"/>
      <c r="Y633" s="113"/>
      <c r="Z633" s="113"/>
      <c r="AA633" s="113"/>
      <c r="AB633" s="113"/>
      <c r="AC633" s="113"/>
      <c r="AD633" s="113"/>
      <c r="AE633" s="113"/>
      <c r="AF633" s="113"/>
      <c r="AG633" s="113"/>
    </row>
    <row r="634" spans="1:33" ht="13.8">
      <c r="A634" s="113"/>
      <c r="B634" s="113"/>
      <c r="C634" s="113"/>
      <c r="D634" s="113"/>
      <c r="E634" s="113"/>
      <c r="F634" s="113"/>
      <c r="G634" s="113"/>
      <c r="H634" s="113"/>
      <c r="I634" s="113"/>
      <c r="J634" s="113"/>
      <c r="K634" s="113"/>
      <c r="L634" s="113"/>
      <c r="M634" s="113"/>
      <c r="N634" s="113"/>
      <c r="O634" s="113"/>
      <c r="P634" s="113"/>
      <c r="Q634" s="113"/>
      <c r="R634" s="113"/>
      <c r="S634" s="113"/>
      <c r="T634" s="113"/>
      <c r="U634" s="113"/>
      <c r="V634" s="113"/>
      <c r="W634" s="113"/>
      <c r="X634" s="113"/>
      <c r="Y634" s="113"/>
      <c r="Z634" s="113"/>
      <c r="AA634" s="113"/>
      <c r="AB634" s="113"/>
      <c r="AC634" s="113"/>
      <c r="AD634" s="113"/>
      <c r="AE634" s="113"/>
      <c r="AF634" s="113"/>
      <c r="AG634" s="113"/>
    </row>
    <row r="635" spans="1:33" ht="13.8">
      <c r="A635" s="113"/>
      <c r="B635" s="113"/>
      <c r="C635" s="113"/>
      <c r="D635" s="113"/>
      <c r="E635" s="113"/>
      <c r="F635" s="113"/>
      <c r="G635" s="113"/>
      <c r="H635" s="113"/>
      <c r="I635" s="113"/>
      <c r="J635" s="113"/>
      <c r="K635" s="113"/>
      <c r="L635" s="113"/>
      <c r="M635" s="113"/>
      <c r="N635" s="113"/>
      <c r="O635" s="113"/>
      <c r="P635" s="113"/>
      <c r="Q635" s="113"/>
      <c r="R635" s="113"/>
      <c r="S635" s="113"/>
      <c r="T635" s="113"/>
      <c r="U635" s="113"/>
      <c r="V635" s="113"/>
      <c r="W635" s="113"/>
      <c r="X635" s="113"/>
      <c r="Y635" s="113"/>
      <c r="Z635" s="113"/>
      <c r="AA635" s="113"/>
      <c r="AB635" s="113"/>
      <c r="AC635" s="113"/>
      <c r="AD635" s="113"/>
      <c r="AE635" s="113"/>
      <c r="AF635" s="113"/>
      <c r="AG635" s="113"/>
    </row>
    <row r="636" spans="1:33" ht="13.8">
      <c r="A636" s="113"/>
      <c r="B636" s="113"/>
      <c r="C636" s="113"/>
      <c r="D636" s="113"/>
      <c r="E636" s="113"/>
      <c r="F636" s="113"/>
      <c r="G636" s="113"/>
      <c r="H636" s="113"/>
      <c r="I636" s="113"/>
      <c r="J636" s="113"/>
      <c r="K636" s="113"/>
      <c r="L636" s="113"/>
      <c r="M636" s="113"/>
      <c r="N636" s="113"/>
      <c r="O636" s="113"/>
      <c r="P636" s="113"/>
      <c r="Q636" s="113"/>
      <c r="R636" s="113"/>
      <c r="S636" s="113"/>
      <c r="T636" s="113"/>
      <c r="U636" s="113"/>
      <c r="V636" s="113"/>
      <c r="W636" s="113"/>
      <c r="X636" s="113"/>
      <c r="Y636" s="113"/>
      <c r="Z636" s="113"/>
      <c r="AA636" s="113"/>
      <c r="AB636" s="113"/>
      <c r="AC636" s="113"/>
      <c r="AD636" s="113"/>
      <c r="AE636" s="113"/>
      <c r="AF636" s="113"/>
      <c r="AG636" s="113"/>
    </row>
    <row r="637" spans="1:33" ht="13.8">
      <c r="A637" s="113"/>
      <c r="B637" s="113"/>
      <c r="C637" s="113"/>
      <c r="D637" s="113"/>
      <c r="E637" s="113"/>
      <c r="F637" s="113"/>
      <c r="G637" s="113"/>
      <c r="H637" s="113"/>
      <c r="I637" s="113"/>
      <c r="J637" s="113"/>
      <c r="K637" s="113"/>
      <c r="L637" s="113"/>
      <c r="M637" s="113"/>
      <c r="N637" s="113"/>
      <c r="O637" s="113"/>
      <c r="P637" s="113"/>
      <c r="Q637" s="113"/>
      <c r="R637" s="113"/>
      <c r="S637" s="113"/>
      <c r="T637" s="113"/>
      <c r="U637" s="113"/>
      <c r="V637" s="113"/>
      <c r="W637" s="113"/>
      <c r="X637" s="113"/>
      <c r="Y637" s="113"/>
      <c r="Z637" s="113"/>
      <c r="AA637" s="113"/>
      <c r="AB637" s="113"/>
      <c r="AC637" s="113"/>
      <c r="AD637" s="113"/>
      <c r="AE637" s="113"/>
      <c r="AF637" s="113"/>
      <c r="AG637" s="113"/>
    </row>
    <row r="638" spans="1:33" ht="13.8">
      <c r="A638" s="113"/>
      <c r="B638" s="113"/>
      <c r="C638" s="113"/>
      <c r="D638" s="113"/>
      <c r="E638" s="113"/>
      <c r="F638" s="113"/>
      <c r="G638" s="113"/>
      <c r="H638" s="113"/>
      <c r="I638" s="113"/>
      <c r="J638" s="113"/>
      <c r="K638" s="113"/>
      <c r="L638" s="113"/>
      <c r="M638" s="113"/>
      <c r="N638" s="113"/>
      <c r="O638" s="113"/>
      <c r="P638" s="113"/>
      <c r="Q638" s="113"/>
      <c r="R638" s="113"/>
      <c r="S638" s="113"/>
      <c r="T638" s="113"/>
      <c r="U638" s="113"/>
      <c r="V638" s="113"/>
      <c r="W638" s="113"/>
      <c r="X638" s="113"/>
      <c r="Y638" s="113"/>
      <c r="Z638" s="113"/>
      <c r="AA638" s="113"/>
      <c r="AB638" s="113"/>
      <c r="AC638" s="113"/>
      <c r="AD638" s="113"/>
      <c r="AE638" s="113"/>
      <c r="AF638" s="113"/>
      <c r="AG638" s="113"/>
    </row>
    <row r="639" spans="1:33" ht="13.8">
      <c r="A639" s="113"/>
      <c r="B639" s="113"/>
      <c r="C639" s="113"/>
      <c r="D639" s="113"/>
      <c r="E639" s="113"/>
      <c r="F639" s="113"/>
      <c r="G639" s="113"/>
      <c r="H639" s="113"/>
      <c r="I639" s="113"/>
      <c r="J639" s="113"/>
      <c r="K639" s="113"/>
      <c r="L639" s="113"/>
      <c r="M639" s="113"/>
      <c r="N639" s="113"/>
      <c r="O639" s="113"/>
      <c r="P639" s="113"/>
      <c r="Q639" s="113"/>
      <c r="R639" s="113"/>
      <c r="S639" s="113"/>
      <c r="T639" s="113"/>
      <c r="U639" s="113"/>
      <c r="V639" s="113"/>
      <c r="W639" s="113"/>
      <c r="X639" s="113"/>
      <c r="Y639" s="113"/>
      <c r="Z639" s="113"/>
      <c r="AA639" s="113"/>
      <c r="AB639" s="113"/>
      <c r="AC639" s="113"/>
      <c r="AD639" s="113"/>
      <c r="AE639" s="113"/>
      <c r="AF639" s="113"/>
      <c r="AG639" s="113"/>
    </row>
    <row r="640" spans="1:33" ht="13.8">
      <c r="A640" s="113"/>
      <c r="B640" s="113"/>
      <c r="C640" s="113"/>
      <c r="D640" s="113"/>
      <c r="E640" s="113"/>
      <c r="F640" s="113"/>
      <c r="G640" s="113"/>
      <c r="H640" s="113"/>
      <c r="I640" s="113"/>
      <c r="J640" s="113"/>
      <c r="K640" s="113"/>
      <c r="L640" s="113"/>
      <c r="M640" s="113"/>
      <c r="N640" s="113"/>
      <c r="O640" s="113"/>
      <c r="P640" s="113"/>
      <c r="Q640" s="113"/>
      <c r="R640" s="113"/>
      <c r="S640" s="113"/>
      <c r="T640" s="113"/>
      <c r="U640" s="113"/>
      <c r="V640" s="113"/>
      <c r="W640" s="113"/>
      <c r="X640" s="113"/>
      <c r="Y640" s="113"/>
      <c r="Z640" s="113"/>
      <c r="AA640" s="113"/>
      <c r="AB640" s="113"/>
      <c r="AC640" s="113"/>
      <c r="AD640" s="113"/>
      <c r="AE640" s="113"/>
      <c r="AF640" s="113"/>
      <c r="AG640" s="113"/>
    </row>
    <row r="641" spans="1:33" ht="13.8">
      <c r="A641" s="113"/>
      <c r="B641" s="113"/>
      <c r="C641" s="113"/>
      <c r="D641" s="113"/>
      <c r="E641" s="113"/>
      <c r="F641" s="113"/>
      <c r="G641" s="113"/>
      <c r="H641" s="113"/>
      <c r="I641" s="113"/>
      <c r="J641" s="113"/>
      <c r="K641" s="113"/>
      <c r="L641" s="113"/>
      <c r="M641" s="113"/>
      <c r="N641" s="113"/>
      <c r="O641" s="113"/>
      <c r="P641" s="113"/>
      <c r="Q641" s="113"/>
      <c r="R641" s="113"/>
      <c r="S641" s="113"/>
      <c r="T641" s="113"/>
      <c r="U641" s="113"/>
      <c r="V641" s="113"/>
      <c r="W641" s="113"/>
      <c r="X641" s="113"/>
      <c r="Y641" s="113"/>
      <c r="Z641" s="113"/>
      <c r="AA641" s="113"/>
      <c r="AB641" s="113"/>
      <c r="AC641" s="113"/>
      <c r="AD641" s="113"/>
      <c r="AE641" s="113"/>
      <c r="AF641" s="113"/>
      <c r="AG641" s="113"/>
    </row>
    <row r="642" spans="1:33" ht="13.8">
      <c r="A642" s="113"/>
      <c r="B642" s="113"/>
      <c r="C642" s="113"/>
      <c r="D642" s="113"/>
      <c r="E642" s="113"/>
      <c r="F642" s="113"/>
      <c r="G642" s="113"/>
      <c r="H642" s="113"/>
      <c r="I642" s="113"/>
      <c r="J642" s="113"/>
      <c r="K642" s="113"/>
      <c r="L642" s="113"/>
      <c r="M642" s="113"/>
      <c r="N642" s="113"/>
      <c r="O642" s="113"/>
      <c r="P642" s="113"/>
      <c r="Q642" s="113"/>
      <c r="R642" s="113"/>
      <c r="S642" s="113"/>
      <c r="T642" s="113"/>
      <c r="U642" s="113"/>
      <c r="V642" s="113"/>
      <c r="W642" s="113"/>
      <c r="X642" s="113"/>
      <c r="Y642" s="113"/>
      <c r="Z642" s="113"/>
      <c r="AA642" s="113"/>
      <c r="AB642" s="113"/>
      <c r="AC642" s="113"/>
      <c r="AD642" s="113"/>
      <c r="AE642" s="113"/>
      <c r="AF642" s="113"/>
      <c r="AG642" s="113"/>
    </row>
    <row r="643" spans="1:33" ht="13.8">
      <c r="A643" s="113"/>
      <c r="B643" s="113"/>
      <c r="C643" s="113"/>
      <c r="D643" s="113"/>
      <c r="E643" s="113"/>
      <c r="F643" s="113"/>
      <c r="G643" s="113"/>
      <c r="H643" s="113"/>
      <c r="I643" s="113"/>
      <c r="J643" s="113"/>
      <c r="K643" s="113"/>
      <c r="L643" s="113"/>
      <c r="M643" s="113"/>
      <c r="N643" s="113"/>
      <c r="O643" s="113"/>
      <c r="P643" s="113"/>
      <c r="Q643" s="113"/>
      <c r="R643" s="113"/>
      <c r="S643" s="113"/>
      <c r="T643" s="113"/>
      <c r="U643" s="113"/>
      <c r="V643" s="113"/>
      <c r="W643" s="113"/>
      <c r="X643" s="113"/>
      <c r="Y643" s="113"/>
      <c r="Z643" s="113"/>
      <c r="AA643" s="113"/>
      <c r="AB643" s="113"/>
      <c r="AC643" s="113"/>
      <c r="AD643" s="113"/>
      <c r="AE643" s="113"/>
      <c r="AF643" s="113"/>
      <c r="AG643" s="113"/>
    </row>
    <row r="644" spans="1:33" ht="13.8">
      <c r="A644" s="113"/>
      <c r="B644" s="113"/>
      <c r="C644" s="113"/>
      <c r="D644" s="113"/>
      <c r="E644" s="113"/>
      <c r="F644" s="113"/>
      <c r="G644" s="113"/>
      <c r="H644" s="113"/>
      <c r="I644" s="113"/>
      <c r="J644" s="113"/>
      <c r="K644" s="113"/>
      <c r="L644" s="113"/>
      <c r="M644" s="113"/>
      <c r="N644" s="113"/>
      <c r="O644" s="113"/>
      <c r="P644" s="113"/>
      <c r="Q644" s="113"/>
      <c r="R644" s="113"/>
      <c r="S644" s="113"/>
      <c r="T644" s="113"/>
      <c r="U644" s="113"/>
      <c r="V644" s="113"/>
      <c r="W644" s="113"/>
      <c r="X644" s="113"/>
      <c r="Y644" s="113"/>
      <c r="Z644" s="113"/>
      <c r="AA644" s="113"/>
      <c r="AB644" s="113"/>
      <c r="AC644" s="113"/>
      <c r="AD644" s="113"/>
      <c r="AE644" s="113"/>
      <c r="AF644" s="113"/>
      <c r="AG644" s="113"/>
    </row>
    <row r="645" spans="1:33" ht="13.8">
      <c r="A645" s="113"/>
      <c r="B645" s="113"/>
      <c r="C645" s="113"/>
      <c r="D645" s="113"/>
      <c r="E645" s="113"/>
      <c r="F645" s="113"/>
      <c r="G645" s="113"/>
      <c r="H645" s="113"/>
      <c r="I645" s="113"/>
      <c r="J645" s="113"/>
      <c r="K645" s="113"/>
      <c r="L645" s="113"/>
      <c r="M645" s="113"/>
      <c r="N645" s="113"/>
      <c r="O645" s="113"/>
      <c r="P645" s="113"/>
      <c r="Q645" s="113"/>
      <c r="R645" s="113"/>
      <c r="S645" s="113"/>
      <c r="T645" s="113"/>
      <c r="U645" s="113"/>
      <c r="V645" s="113"/>
      <c r="W645" s="113"/>
      <c r="X645" s="113"/>
      <c r="Y645" s="113"/>
      <c r="Z645" s="113"/>
      <c r="AA645" s="113"/>
      <c r="AB645" s="113"/>
      <c r="AC645" s="113"/>
      <c r="AD645" s="113"/>
      <c r="AE645" s="113"/>
      <c r="AF645" s="113"/>
      <c r="AG645" s="113"/>
    </row>
    <row r="646" spans="1:33" ht="13.8">
      <c r="A646" s="113"/>
      <c r="B646" s="113"/>
      <c r="C646" s="113"/>
      <c r="D646" s="113"/>
      <c r="E646" s="113"/>
      <c r="F646" s="113"/>
      <c r="G646" s="113"/>
      <c r="H646" s="113"/>
      <c r="I646" s="113"/>
      <c r="J646" s="113"/>
      <c r="K646" s="113"/>
      <c r="L646" s="113"/>
      <c r="M646" s="113"/>
      <c r="N646" s="113"/>
      <c r="O646" s="113"/>
      <c r="P646" s="113"/>
      <c r="Q646" s="113"/>
      <c r="R646" s="113"/>
      <c r="S646" s="113"/>
      <c r="T646" s="113"/>
      <c r="U646" s="113"/>
      <c r="V646" s="113"/>
      <c r="W646" s="113"/>
      <c r="X646" s="113"/>
      <c r="Y646" s="113"/>
      <c r="Z646" s="113"/>
      <c r="AA646" s="113"/>
      <c r="AB646" s="113"/>
      <c r="AC646" s="113"/>
      <c r="AD646" s="113"/>
      <c r="AE646" s="113"/>
      <c r="AF646" s="113"/>
      <c r="AG646" s="113"/>
    </row>
    <row r="647" spans="1:33" ht="13.8">
      <c r="A647" s="113"/>
      <c r="B647" s="113"/>
      <c r="C647" s="113"/>
      <c r="D647" s="113"/>
      <c r="E647" s="113"/>
      <c r="F647" s="113"/>
      <c r="G647" s="113"/>
      <c r="H647" s="113"/>
      <c r="I647" s="113"/>
      <c r="J647" s="113"/>
      <c r="K647" s="113"/>
      <c r="L647" s="113"/>
      <c r="M647" s="113"/>
      <c r="N647" s="113"/>
      <c r="O647" s="113"/>
      <c r="P647" s="113"/>
      <c r="Q647" s="113"/>
      <c r="R647" s="113"/>
      <c r="S647" s="113"/>
      <c r="T647" s="113"/>
      <c r="U647" s="113"/>
      <c r="V647" s="113"/>
      <c r="W647" s="113"/>
      <c r="X647" s="113"/>
      <c r="Y647" s="113"/>
      <c r="Z647" s="113"/>
      <c r="AA647" s="113"/>
      <c r="AB647" s="113"/>
      <c r="AC647" s="113"/>
      <c r="AD647" s="113"/>
      <c r="AE647" s="113"/>
      <c r="AF647" s="113"/>
      <c r="AG647" s="113"/>
    </row>
    <row r="648" spans="1:33" ht="13.8">
      <c r="A648" s="113"/>
      <c r="B648" s="113"/>
      <c r="C648" s="113"/>
      <c r="D648" s="113"/>
      <c r="E648" s="113"/>
      <c r="F648" s="113"/>
      <c r="G648" s="113"/>
      <c r="H648" s="113"/>
      <c r="I648" s="113"/>
      <c r="J648" s="113"/>
      <c r="K648" s="113"/>
      <c r="L648" s="113"/>
      <c r="M648" s="113"/>
      <c r="N648" s="113"/>
      <c r="O648" s="113"/>
      <c r="P648" s="113"/>
      <c r="Q648" s="113"/>
      <c r="R648" s="113"/>
      <c r="S648" s="113"/>
      <c r="T648" s="113"/>
      <c r="U648" s="113"/>
      <c r="V648" s="113"/>
      <c r="W648" s="113"/>
      <c r="X648" s="113"/>
      <c r="Y648" s="113"/>
      <c r="Z648" s="113"/>
      <c r="AA648" s="113"/>
      <c r="AB648" s="113"/>
      <c r="AC648" s="113"/>
      <c r="AD648" s="113"/>
      <c r="AE648" s="113"/>
      <c r="AF648" s="113"/>
      <c r="AG648" s="113"/>
    </row>
    <row r="649" spans="1:33" ht="13.8">
      <c r="A649" s="113"/>
      <c r="B649" s="113"/>
      <c r="C649" s="113"/>
      <c r="D649" s="113"/>
      <c r="E649" s="113"/>
      <c r="F649" s="113"/>
      <c r="G649" s="113"/>
      <c r="H649" s="113"/>
      <c r="I649" s="113"/>
      <c r="J649" s="113"/>
      <c r="K649" s="113"/>
      <c r="L649" s="113"/>
      <c r="M649" s="113"/>
      <c r="N649" s="113"/>
      <c r="O649" s="113"/>
      <c r="P649" s="113"/>
      <c r="Q649" s="113"/>
      <c r="R649" s="113"/>
      <c r="S649" s="113"/>
      <c r="T649" s="113"/>
      <c r="U649" s="113"/>
      <c r="V649" s="113"/>
      <c r="W649" s="113"/>
      <c r="X649" s="113"/>
      <c r="Y649" s="113"/>
      <c r="Z649" s="113"/>
      <c r="AA649" s="113"/>
      <c r="AB649" s="113"/>
      <c r="AC649" s="113"/>
      <c r="AD649" s="113"/>
      <c r="AE649" s="113"/>
      <c r="AF649" s="113"/>
      <c r="AG649" s="113"/>
    </row>
    <row r="650" spans="1:33" ht="13.8">
      <c r="A650" s="113"/>
      <c r="B650" s="113"/>
      <c r="C650" s="113"/>
      <c r="D650" s="113"/>
      <c r="E650" s="113"/>
      <c r="F650" s="113"/>
      <c r="G650" s="113"/>
      <c r="H650" s="113"/>
      <c r="I650" s="113"/>
      <c r="J650" s="113"/>
      <c r="K650" s="113"/>
      <c r="L650" s="113"/>
      <c r="M650" s="113"/>
      <c r="N650" s="113"/>
      <c r="O650" s="113"/>
      <c r="P650" s="113"/>
      <c r="Q650" s="113"/>
      <c r="R650" s="113"/>
      <c r="S650" s="113"/>
      <c r="T650" s="113"/>
      <c r="U650" s="113"/>
      <c r="V650" s="113"/>
      <c r="W650" s="113"/>
      <c r="X650" s="113"/>
      <c r="Y650" s="113"/>
      <c r="Z650" s="113"/>
      <c r="AA650" s="113"/>
      <c r="AB650" s="113"/>
      <c r="AC650" s="113"/>
      <c r="AD650" s="113"/>
      <c r="AE650" s="113"/>
      <c r="AF650" s="113"/>
      <c r="AG650" s="113"/>
    </row>
    <row r="651" spans="1:33" ht="13.8">
      <c r="A651" s="113"/>
      <c r="B651" s="113"/>
      <c r="C651" s="113"/>
      <c r="D651" s="113"/>
      <c r="E651" s="113"/>
      <c r="F651" s="113"/>
      <c r="G651" s="113"/>
      <c r="H651" s="113"/>
      <c r="I651" s="113"/>
      <c r="J651" s="113"/>
      <c r="K651" s="113"/>
      <c r="L651" s="113"/>
      <c r="M651" s="113"/>
      <c r="N651" s="113"/>
      <c r="O651" s="113"/>
      <c r="P651" s="113"/>
      <c r="Q651" s="113"/>
      <c r="R651" s="113"/>
      <c r="S651" s="113"/>
      <c r="T651" s="113"/>
      <c r="U651" s="113"/>
      <c r="V651" s="113"/>
      <c r="W651" s="113"/>
      <c r="X651" s="113"/>
      <c r="Y651" s="113"/>
      <c r="Z651" s="113"/>
      <c r="AA651" s="113"/>
      <c r="AB651" s="113"/>
      <c r="AC651" s="113"/>
      <c r="AD651" s="113"/>
      <c r="AE651" s="113"/>
      <c r="AF651" s="113"/>
      <c r="AG651" s="113"/>
    </row>
    <row r="652" spans="1:33" ht="13.8">
      <c r="A652" s="113"/>
      <c r="B652" s="113"/>
      <c r="C652" s="113"/>
      <c r="D652" s="113"/>
      <c r="E652" s="113"/>
      <c r="F652" s="113"/>
      <c r="G652" s="113"/>
      <c r="H652" s="113"/>
      <c r="I652" s="113"/>
      <c r="J652" s="113"/>
      <c r="K652" s="113"/>
      <c r="L652" s="113"/>
      <c r="M652" s="113"/>
      <c r="N652" s="113"/>
      <c r="O652" s="113"/>
      <c r="P652" s="113"/>
      <c r="Q652" s="113"/>
      <c r="R652" s="113"/>
      <c r="S652" s="113"/>
      <c r="T652" s="113"/>
      <c r="U652" s="113"/>
      <c r="V652" s="113"/>
      <c r="W652" s="113"/>
      <c r="X652" s="113"/>
      <c r="Y652" s="113"/>
      <c r="Z652" s="113"/>
      <c r="AA652" s="113"/>
      <c r="AB652" s="113"/>
      <c r="AC652" s="113"/>
      <c r="AD652" s="113"/>
      <c r="AE652" s="113"/>
      <c r="AF652" s="113"/>
      <c r="AG652" s="113"/>
    </row>
    <row r="653" spans="1:33" ht="13.8">
      <c r="A653" s="113"/>
      <c r="B653" s="113"/>
      <c r="C653" s="113"/>
      <c r="D653" s="113"/>
      <c r="E653" s="113"/>
      <c r="F653" s="113"/>
      <c r="G653" s="113"/>
      <c r="H653" s="113"/>
      <c r="I653" s="113"/>
      <c r="J653" s="113"/>
      <c r="K653" s="113"/>
      <c r="L653" s="113"/>
      <c r="M653" s="113"/>
      <c r="N653" s="113"/>
      <c r="O653" s="113"/>
      <c r="P653" s="113"/>
      <c r="Q653" s="113"/>
      <c r="R653" s="113"/>
      <c r="S653" s="113"/>
      <c r="T653" s="113"/>
      <c r="U653" s="113"/>
      <c r="V653" s="113"/>
      <c r="W653" s="113"/>
      <c r="X653" s="113"/>
      <c r="Y653" s="113"/>
      <c r="Z653" s="113"/>
      <c r="AA653" s="113"/>
      <c r="AB653" s="113"/>
      <c r="AC653" s="113"/>
      <c r="AD653" s="113"/>
      <c r="AE653" s="113"/>
      <c r="AF653" s="113"/>
      <c r="AG653" s="113"/>
    </row>
    <row r="654" spans="1:33" ht="13.8">
      <c r="A654" s="113"/>
      <c r="B654" s="113"/>
      <c r="C654" s="113"/>
      <c r="D654" s="113"/>
      <c r="E654" s="113"/>
      <c r="F654" s="113"/>
      <c r="G654" s="113"/>
      <c r="H654" s="113"/>
      <c r="I654" s="113"/>
      <c r="J654" s="113"/>
      <c r="K654" s="113"/>
      <c r="L654" s="113"/>
      <c r="M654" s="113"/>
      <c r="N654" s="113"/>
      <c r="O654" s="113"/>
      <c r="P654" s="113"/>
      <c r="Q654" s="113"/>
      <c r="R654" s="113"/>
      <c r="S654" s="113"/>
      <c r="T654" s="113"/>
      <c r="U654" s="113"/>
      <c r="V654" s="113"/>
      <c r="W654" s="113"/>
      <c r="X654" s="113"/>
      <c r="Y654" s="113"/>
      <c r="Z654" s="113"/>
      <c r="AA654" s="113"/>
      <c r="AB654" s="113"/>
      <c r="AC654" s="113"/>
      <c r="AD654" s="113"/>
      <c r="AE654" s="113"/>
      <c r="AF654" s="113"/>
      <c r="AG654" s="113"/>
    </row>
    <row r="655" spans="1:33" ht="13.8">
      <c r="A655" s="113"/>
      <c r="B655" s="113"/>
      <c r="C655" s="113"/>
      <c r="D655" s="113"/>
      <c r="E655" s="113"/>
      <c r="F655" s="113"/>
      <c r="G655" s="113"/>
      <c r="H655" s="113"/>
      <c r="I655" s="113"/>
      <c r="J655" s="113"/>
      <c r="K655" s="113"/>
      <c r="L655" s="113"/>
      <c r="M655" s="113"/>
      <c r="N655" s="113"/>
      <c r="O655" s="113"/>
      <c r="P655" s="113"/>
      <c r="Q655" s="113"/>
      <c r="R655" s="113"/>
      <c r="S655" s="113"/>
      <c r="T655" s="113"/>
      <c r="U655" s="113"/>
      <c r="V655" s="113"/>
      <c r="W655" s="113"/>
      <c r="X655" s="113"/>
      <c r="Y655" s="113"/>
      <c r="Z655" s="113"/>
      <c r="AA655" s="113"/>
      <c r="AB655" s="113"/>
      <c r="AC655" s="113"/>
      <c r="AD655" s="113"/>
      <c r="AE655" s="113"/>
      <c r="AF655" s="113"/>
      <c r="AG655" s="113"/>
    </row>
    <row r="656" spans="1:33" ht="13.8">
      <c r="A656" s="113"/>
      <c r="B656" s="113"/>
      <c r="C656" s="113"/>
      <c r="D656" s="113"/>
      <c r="E656" s="113"/>
      <c r="F656" s="113"/>
      <c r="G656" s="113"/>
      <c r="H656" s="113"/>
      <c r="I656" s="113"/>
      <c r="J656" s="113"/>
      <c r="K656" s="113"/>
      <c r="L656" s="113"/>
      <c r="M656" s="113"/>
      <c r="N656" s="113"/>
      <c r="O656" s="113"/>
      <c r="P656" s="113"/>
      <c r="Q656" s="113"/>
      <c r="R656" s="113"/>
      <c r="S656" s="113"/>
      <c r="T656" s="113"/>
      <c r="U656" s="113"/>
      <c r="V656" s="113"/>
      <c r="W656" s="113"/>
      <c r="X656" s="113"/>
      <c r="Y656" s="113"/>
      <c r="Z656" s="113"/>
      <c r="AA656" s="113"/>
      <c r="AB656" s="113"/>
      <c r="AC656" s="113"/>
      <c r="AD656" s="113"/>
      <c r="AE656" s="113"/>
      <c r="AF656" s="113"/>
      <c r="AG656" s="113"/>
    </row>
    <row r="657" spans="1:33" ht="13.8">
      <c r="A657" s="113"/>
      <c r="B657" s="113"/>
      <c r="C657" s="113"/>
      <c r="D657" s="113"/>
      <c r="E657" s="113"/>
      <c r="F657" s="113"/>
      <c r="G657" s="113"/>
      <c r="H657" s="113"/>
      <c r="I657" s="113"/>
      <c r="J657" s="113"/>
      <c r="K657" s="113"/>
      <c r="L657" s="113"/>
      <c r="M657" s="113"/>
      <c r="N657" s="113"/>
      <c r="O657" s="113"/>
      <c r="P657" s="113"/>
      <c r="Q657" s="113"/>
      <c r="R657" s="113"/>
      <c r="S657" s="113"/>
      <c r="T657" s="113"/>
      <c r="U657" s="113"/>
      <c r="V657" s="113"/>
      <c r="W657" s="113"/>
      <c r="X657" s="113"/>
      <c r="Y657" s="113"/>
      <c r="Z657" s="113"/>
      <c r="AA657" s="113"/>
      <c r="AB657" s="113"/>
      <c r="AC657" s="113"/>
      <c r="AD657" s="113"/>
      <c r="AE657" s="113"/>
      <c r="AF657" s="113"/>
      <c r="AG657" s="113"/>
    </row>
    <row r="658" spans="1:33" ht="13.8">
      <c r="A658" s="113"/>
      <c r="B658" s="113"/>
      <c r="C658" s="113"/>
      <c r="D658" s="113"/>
      <c r="E658" s="113"/>
      <c r="F658" s="113"/>
      <c r="G658" s="113"/>
      <c r="H658" s="113"/>
      <c r="I658" s="113"/>
      <c r="J658" s="113"/>
      <c r="K658" s="113"/>
      <c r="L658" s="113"/>
      <c r="M658" s="113"/>
      <c r="N658" s="113"/>
      <c r="O658" s="113"/>
      <c r="P658" s="113"/>
      <c r="Q658" s="113"/>
      <c r="R658" s="113"/>
      <c r="S658" s="113"/>
      <c r="T658" s="113"/>
      <c r="U658" s="113"/>
      <c r="V658" s="113"/>
      <c r="W658" s="113"/>
      <c r="X658" s="113"/>
      <c r="Y658" s="113"/>
      <c r="Z658" s="113"/>
      <c r="AA658" s="113"/>
      <c r="AB658" s="113"/>
      <c r="AC658" s="113"/>
      <c r="AD658" s="113"/>
      <c r="AE658" s="113"/>
      <c r="AF658" s="113"/>
      <c r="AG658" s="113"/>
    </row>
    <row r="659" spans="1:33" ht="13.8">
      <c r="A659" s="113"/>
      <c r="B659" s="113"/>
      <c r="C659" s="113"/>
      <c r="D659" s="113"/>
      <c r="E659" s="113"/>
      <c r="F659" s="113"/>
      <c r="G659" s="113"/>
      <c r="H659" s="113"/>
      <c r="I659" s="113"/>
      <c r="J659" s="113"/>
      <c r="K659" s="113"/>
      <c r="L659" s="113"/>
      <c r="M659" s="113"/>
      <c r="N659" s="113"/>
      <c r="O659" s="113"/>
      <c r="P659" s="113"/>
      <c r="Q659" s="113"/>
      <c r="R659" s="113"/>
      <c r="S659" s="113"/>
      <c r="T659" s="113"/>
      <c r="U659" s="113"/>
      <c r="V659" s="113"/>
      <c r="W659" s="113"/>
      <c r="X659" s="113"/>
      <c r="Y659" s="113"/>
      <c r="Z659" s="113"/>
      <c r="AA659" s="113"/>
      <c r="AB659" s="113"/>
      <c r="AC659" s="113"/>
      <c r="AD659" s="113"/>
      <c r="AE659" s="113"/>
      <c r="AF659" s="113"/>
      <c r="AG659" s="113"/>
    </row>
    <row r="660" spans="1:33" ht="13.8">
      <c r="A660" s="113"/>
      <c r="B660" s="113"/>
      <c r="C660" s="113"/>
      <c r="D660" s="113"/>
      <c r="E660" s="113"/>
      <c r="F660" s="113"/>
      <c r="G660" s="113"/>
      <c r="H660" s="113"/>
      <c r="I660" s="113"/>
      <c r="J660" s="113"/>
      <c r="K660" s="113"/>
      <c r="L660" s="113"/>
      <c r="M660" s="113"/>
      <c r="N660" s="113"/>
      <c r="O660" s="113"/>
      <c r="P660" s="113"/>
      <c r="Q660" s="113"/>
      <c r="R660" s="113"/>
      <c r="S660" s="113"/>
      <c r="T660" s="113"/>
      <c r="U660" s="113"/>
      <c r="V660" s="113"/>
      <c r="W660" s="113"/>
      <c r="X660" s="113"/>
      <c r="Y660" s="113"/>
      <c r="Z660" s="113"/>
      <c r="AA660" s="113"/>
      <c r="AB660" s="113"/>
      <c r="AC660" s="113"/>
      <c r="AD660" s="113"/>
      <c r="AE660" s="113"/>
      <c r="AF660" s="113"/>
      <c r="AG660" s="113"/>
    </row>
    <row r="661" spans="1:33" ht="13.8">
      <c r="A661" s="113"/>
      <c r="B661" s="113"/>
      <c r="C661" s="113"/>
      <c r="D661" s="113"/>
      <c r="E661" s="113"/>
      <c r="F661" s="113"/>
      <c r="G661" s="113"/>
      <c r="H661" s="113"/>
      <c r="I661" s="113"/>
      <c r="J661" s="113"/>
      <c r="K661" s="113"/>
      <c r="L661" s="113"/>
      <c r="M661" s="113"/>
      <c r="N661" s="113"/>
      <c r="O661" s="113"/>
      <c r="P661" s="113"/>
      <c r="Q661" s="113"/>
      <c r="R661" s="113"/>
      <c r="S661" s="113"/>
      <c r="T661" s="113"/>
      <c r="U661" s="113"/>
      <c r="V661" s="113"/>
      <c r="W661" s="113"/>
      <c r="X661" s="113"/>
      <c r="Y661" s="113"/>
      <c r="Z661" s="113"/>
      <c r="AA661" s="113"/>
      <c r="AB661" s="113"/>
      <c r="AC661" s="113"/>
      <c r="AD661" s="113"/>
      <c r="AE661" s="113"/>
      <c r="AF661" s="113"/>
      <c r="AG661" s="113"/>
    </row>
    <row r="662" spans="1:33" ht="13.8">
      <c r="A662" s="113"/>
      <c r="B662" s="113"/>
      <c r="C662" s="113"/>
      <c r="D662" s="113"/>
      <c r="E662" s="113"/>
      <c r="F662" s="113"/>
      <c r="G662" s="113"/>
      <c r="H662" s="113"/>
      <c r="I662" s="113"/>
      <c r="J662" s="113"/>
      <c r="K662" s="113"/>
      <c r="L662" s="113"/>
      <c r="M662" s="113"/>
      <c r="N662" s="113"/>
      <c r="O662" s="113"/>
      <c r="P662" s="113"/>
      <c r="Q662" s="113"/>
      <c r="R662" s="113"/>
      <c r="S662" s="113"/>
      <c r="T662" s="113"/>
      <c r="U662" s="113"/>
      <c r="V662" s="113"/>
      <c r="W662" s="113"/>
      <c r="X662" s="113"/>
      <c r="Y662" s="113"/>
      <c r="Z662" s="113"/>
      <c r="AA662" s="113"/>
      <c r="AB662" s="113"/>
      <c r="AC662" s="113"/>
      <c r="AD662" s="113"/>
      <c r="AE662" s="113"/>
      <c r="AF662" s="113"/>
      <c r="AG662" s="113"/>
    </row>
    <row r="663" spans="1:33" ht="13.8">
      <c r="A663" s="113"/>
      <c r="B663" s="113"/>
      <c r="C663" s="113"/>
      <c r="D663" s="113"/>
      <c r="E663" s="113"/>
      <c r="F663" s="113"/>
      <c r="G663" s="113"/>
      <c r="H663" s="113"/>
      <c r="I663" s="113"/>
      <c r="J663" s="113"/>
      <c r="K663" s="113"/>
      <c r="L663" s="113"/>
      <c r="M663" s="113"/>
      <c r="N663" s="113"/>
      <c r="O663" s="113"/>
      <c r="P663" s="113"/>
      <c r="Q663" s="113"/>
      <c r="R663" s="113"/>
      <c r="S663" s="113"/>
      <c r="T663" s="113"/>
      <c r="U663" s="113"/>
      <c r="V663" s="113"/>
      <c r="W663" s="113"/>
      <c r="X663" s="113"/>
      <c r="Y663" s="113"/>
      <c r="Z663" s="113"/>
      <c r="AA663" s="113"/>
      <c r="AB663" s="113"/>
      <c r="AC663" s="113"/>
      <c r="AD663" s="113"/>
      <c r="AE663" s="113"/>
      <c r="AF663" s="113"/>
      <c r="AG663" s="113"/>
    </row>
    <row r="664" spans="1:33" ht="13.8">
      <c r="A664" s="113"/>
      <c r="B664" s="113"/>
      <c r="C664" s="113"/>
      <c r="D664" s="113"/>
      <c r="E664" s="113"/>
      <c r="F664" s="113"/>
      <c r="G664" s="113"/>
      <c r="H664" s="113"/>
      <c r="I664" s="113"/>
      <c r="J664" s="113"/>
      <c r="K664" s="113"/>
      <c r="L664" s="113"/>
      <c r="M664" s="113"/>
      <c r="N664" s="113"/>
      <c r="O664" s="113"/>
      <c r="P664" s="113"/>
      <c r="Q664" s="113"/>
      <c r="R664" s="113"/>
      <c r="S664" s="113"/>
      <c r="T664" s="113"/>
      <c r="U664" s="113"/>
      <c r="V664" s="113"/>
      <c r="W664" s="113"/>
      <c r="X664" s="113"/>
      <c r="Y664" s="113"/>
      <c r="Z664" s="113"/>
      <c r="AA664" s="113"/>
      <c r="AB664" s="113"/>
      <c r="AC664" s="113"/>
      <c r="AD664" s="113"/>
      <c r="AE664" s="113"/>
      <c r="AF664" s="113"/>
      <c r="AG664" s="113"/>
    </row>
    <row r="665" spans="1:33" ht="13.8">
      <c r="A665" s="113"/>
      <c r="B665" s="113"/>
      <c r="C665" s="113"/>
      <c r="D665" s="113"/>
      <c r="E665" s="113"/>
      <c r="F665" s="113"/>
      <c r="G665" s="113"/>
      <c r="H665" s="113"/>
      <c r="I665" s="113"/>
      <c r="J665" s="113"/>
      <c r="K665" s="113"/>
      <c r="L665" s="113"/>
      <c r="M665" s="113"/>
      <c r="N665" s="113"/>
      <c r="O665" s="113"/>
      <c r="P665" s="113"/>
      <c r="Q665" s="113"/>
      <c r="R665" s="113"/>
      <c r="S665" s="113"/>
      <c r="T665" s="113"/>
      <c r="U665" s="113"/>
      <c r="V665" s="113"/>
      <c r="W665" s="113"/>
      <c r="X665" s="113"/>
      <c r="Y665" s="113"/>
      <c r="Z665" s="113"/>
      <c r="AA665" s="113"/>
      <c r="AB665" s="113"/>
      <c r="AC665" s="113"/>
      <c r="AD665" s="113"/>
      <c r="AE665" s="113"/>
      <c r="AF665" s="113"/>
      <c r="AG665" s="113"/>
    </row>
    <row r="666" spans="1:33" ht="13.8">
      <c r="A666" s="113"/>
      <c r="B666" s="113"/>
      <c r="C666" s="113"/>
      <c r="D666" s="113"/>
      <c r="E666" s="113"/>
      <c r="F666" s="113"/>
      <c r="G666" s="113"/>
      <c r="H666" s="113"/>
      <c r="I666" s="113"/>
      <c r="J666" s="113"/>
      <c r="K666" s="113"/>
      <c r="L666" s="113"/>
      <c r="M666" s="113"/>
      <c r="N666" s="113"/>
      <c r="O666" s="113"/>
      <c r="P666" s="113"/>
      <c r="Q666" s="113"/>
      <c r="R666" s="113"/>
      <c r="S666" s="113"/>
      <c r="T666" s="113"/>
      <c r="U666" s="113"/>
      <c r="V666" s="113"/>
      <c r="W666" s="113"/>
      <c r="X666" s="113"/>
      <c r="Y666" s="113"/>
      <c r="Z666" s="113"/>
      <c r="AA666" s="113"/>
      <c r="AB666" s="113"/>
      <c r="AC666" s="113"/>
      <c r="AD666" s="113"/>
      <c r="AE666" s="113"/>
      <c r="AF666" s="113"/>
      <c r="AG666" s="113"/>
    </row>
    <row r="667" spans="1:33" ht="13.8">
      <c r="A667" s="113"/>
      <c r="B667" s="113"/>
      <c r="C667" s="113"/>
      <c r="D667" s="113"/>
      <c r="E667" s="113"/>
      <c r="F667" s="113"/>
      <c r="G667" s="113"/>
      <c r="H667" s="113"/>
      <c r="I667" s="113"/>
      <c r="J667" s="113"/>
      <c r="K667" s="113"/>
      <c r="L667" s="113"/>
      <c r="M667" s="113"/>
      <c r="N667" s="113"/>
      <c r="O667" s="113"/>
      <c r="P667" s="113"/>
      <c r="Q667" s="113"/>
      <c r="R667" s="113"/>
      <c r="S667" s="113"/>
      <c r="T667" s="113"/>
      <c r="U667" s="113"/>
      <c r="V667" s="113"/>
      <c r="W667" s="113"/>
      <c r="X667" s="113"/>
      <c r="Y667" s="113"/>
      <c r="Z667" s="113"/>
      <c r="AA667" s="113"/>
      <c r="AB667" s="113"/>
      <c r="AC667" s="113"/>
      <c r="AD667" s="113"/>
      <c r="AE667" s="113"/>
      <c r="AF667" s="113"/>
      <c r="AG667" s="113"/>
    </row>
    <row r="668" spans="1:33" ht="13.8">
      <c r="A668" s="113"/>
      <c r="B668" s="113"/>
      <c r="C668" s="113"/>
      <c r="D668" s="113"/>
      <c r="E668" s="113"/>
      <c r="F668" s="113"/>
      <c r="G668" s="113"/>
      <c r="H668" s="113"/>
      <c r="I668" s="113"/>
      <c r="J668" s="113"/>
      <c r="K668" s="113"/>
      <c r="L668" s="113"/>
      <c r="M668" s="113"/>
      <c r="N668" s="113"/>
      <c r="O668" s="113"/>
      <c r="P668" s="113"/>
      <c r="Q668" s="113"/>
      <c r="R668" s="113"/>
      <c r="S668" s="113"/>
      <c r="T668" s="113"/>
      <c r="U668" s="113"/>
      <c r="V668" s="113"/>
      <c r="W668" s="113"/>
      <c r="X668" s="113"/>
      <c r="Y668" s="113"/>
      <c r="Z668" s="113"/>
      <c r="AA668" s="113"/>
      <c r="AB668" s="113"/>
      <c r="AC668" s="113"/>
      <c r="AD668" s="113"/>
      <c r="AE668" s="113"/>
      <c r="AF668" s="113"/>
      <c r="AG668" s="113"/>
    </row>
    <row r="669" spans="1:33" ht="13.8">
      <c r="A669" s="113"/>
      <c r="B669" s="113"/>
      <c r="C669" s="113"/>
      <c r="D669" s="113"/>
      <c r="E669" s="113"/>
      <c r="F669" s="113"/>
      <c r="G669" s="113"/>
      <c r="H669" s="113"/>
      <c r="I669" s="113"/>
      <c r="J669" s="113"/>
      <c r="K669" s="113"/>
      <c r="L669" s="113"/>
      <c r="M669" s="113"/>
      <c r="N669" s="113"/>
      <c r="O669" s="113"/>
      <c r="P669" s="113"/>
      <c r="Q669" s="113"/>
      <c r="R669" s="113"/>
      <c r="S669" s="113"/>
      <c r="T669" s="113"/>
      <c r="U669" s="113"/>
      <c r="V669" s="113"/>
      <c r="W669" s="113"/>
      <c r="X669" s="113"/>
      <c r="Y669" s="113"/>
      <c r="Z669" s="113"/>
      <c r="AA669" s="113"/>
      <c r="AB669" s="113"/>
      <c r="AC669" s="113"/>
      <c r="AD669" s="113"/>
      <c r="AE669" s="113"/>
      <c r="AF669" s="113"/>
      <c r="AG669" s="113"/>
    </row>
    <row r="670" spans="1:33" ht="13.8">
      <c r="A670" s="113"/>
      <c r="B670" s="113"/>
      <c r="C670" s="113"/>
      <c r="D670" s="113"/>
      <c r="E670" s="113"/>
      <c r="F670" s="113"/>
      <c r="G670" s="113"/>
      <c r="H670" s="113"/>
      <c r="I670" s="113"/>
      <c r="J670" s="113"/>
      <c r="K670" s="113"/>
      <c r="L670" s="113"/>
      <c r="M670" s="113"/>
      <c r="N670" s="113"/>
      <c r="O670" s="113"/>
      <c r="P670" s="113"/>
      <c r="Q670" s="113"/>
      <c r="R670" s="113"/>
      <c r="S670" s="113"/>
      <c r="T670" s="113"/>
      <c r="U670" s="113"/>
      <c r="V670" s="113"/>
      <c r="W670" s="113"/>
      <c r="X670" s="113"/>
      <c r="Y670" s="113"/>
      <c r="Z670" s="113"/>
      <c r="AA670" s="113"/>
      <c r="AB670" s="113"/>
      <c r="AC670" s="113"/>
      <c r="AD670" s="113"/>
      <c r="AE670" s="113"/>
      <c r="AF670" s="113"/>
      <c r="AG670" s="113"/>
    </row>
    <row r="671" spans="1:33" ht="13.8">
      <c r="A671" s="113"/>
      <c r="B671" s="113"/>
      <c r="C671" s="113"/>
      <c r="D671" s="113"/>
      <c r="E671" s="113"/>
      <c r="F671" s="113"/>
      <c r="G671" s="113"/>
      <c r="H671" s="113"/>
      <c r="I671" s="113"/>
      <c r="J671" s="113"/>
      <c r="K671" s="113"/>
      <c r="L671" s="113"/>
      <c r="M671" s="113"/>
      <c r="N671" s="113"/>
      <c r="O671" s="113"/>
      <c r="P671" s="113"/>
      <c r="Q671" s="113"/>
      <c r="R671" s="113"/>
      <c r="S671" s="113"/>
      <c r="T671" s="113"/>
      <c r="U671" s="113"/>
      <c r="V671" s="113"/>
      <c r="W671" s="113"/>
      <c r="X671" s="113"/>
      <c r="Y671" s="113"/>
      <c r="Z671" s="113"/>
      <c r="AA671" s="113"/>
      <c r="AB671" s="113"/>
      <c r="AC671" s="113"/>
      <c r="AD671" s="113"/>
      <c r="AE671" s="113"/>
      <c r="AF671" s="113"/>
      <c r="AG671" s="113"/>
    </row>
    <row r="672" spans="1:33" ht="13.8">
      <c r="A672" s="113"/>
      <c r="B672" s="113"/>
      <c r="C672" s="113"/>
      <c r="D672" s="113"/>
      <c r="E672" s="113"/>
      <c r="F672" s="113"/>
      <c r="G672" s="113"/>
      <c r="H672" s="113"/>
      <c r="I672" s="113"/>
      <c r="J672" s="113"/>
      <c r="K672" s="113"/>
      <c r="L672" s="113"/>
      <c r="M672" s="113"/>
      <c r="N672" s="113"/>
      <c r="O672" s="113"/>
      <c r="P672" s="113"/>
      <c r="Q672" s="113"/>
      <c r="R672" s="113"/>
      <c r="S672" s="113"/>
      <c r="T672" s="113"/>
      <c r="U672" s="113"/>
      <c r="V672" s="113"/>
      <c r="W672" s="113"/>
      <c r="X672" s="113"/>
      <c r="Y672" s="113"/>
      <c r="Z672" s="113"/>
      <c r="AA672" s="113"/>
      <c r="AB672" s="113"/>
      <c r="AC672" s="113"/>
      <c r="AD672" s="113"/>
      <c r="AE672" s="113"/>
      <c r="AF672" s="113"/>
      <c r="AG672" s="113"/>
    </row>
    <row r="673" spans="1:33" ht="13.8">
      <c r="A673" s="113"/>
      <c r="B673" s="113"/>
      <c r="C673" s="113"/>
      <c r="D673" s="113"/>
      <c r="E673" s="113"/>
      <c r="F673" s="113"/>
      <c r="G673" s="113"/>
      <c r="H673" s="113"/>
      <c r="I673" s="113"/>
      <c r="J673" s="113"/>
      <c r="K673" s="113"/>
      <c r="L673" s="113"/>
      <c r="M673" s="113"/>
      <c r="N673" s="113"/>
      <c r="O673" s="113"/>
      <c r="P673" s="113"/>
      <c r="Q673" s="113"/>
      <c r="R673" s="113"/>
      <c r="S673" s="113"/>
      <c r="T673" s="113"/>
      <c r="U673" s="113"/>
      <c r="V673" s="113"/>
      <c r="W673" s="113"/>
      <c r="X673" s="113"/>
      <c r="Y673" s="113"/>
      <c r="Z673" s="113"/>
      <c r="AA673" s="113"/>
      <c r="AB673" s="113"/>
      <c r="AC673" s="113"/>
      <c r="AD673" s="113"/>
      <c r="AE673" s="113"/>
      <c r="AF673" s="113"/>
      <c r="AG673" s="113"/>
    </row>
    <row r="674" spans="1:33" ht="13.8">
      <c r="A674" s="113"/>
      <c r="B674" s="113"/>
      <c r="C674" s="113"/>
      <c r="D674" s="113"/>
      <c r="E674" s="113"/>
      <c r="F674" s="113"/>
      <c r="G674" s="113"/>
      <c r="H674" s="113"/>
      <c r="I674" s="113"/>
      <c r="J674" s="113"/>
      <c r="K674" s="113"/>
      <c r="L674" s="113"/>
      <c r="M674" s="113"/>
      <c r="N674" s="113"/>
      <c r="O674" s="113"/>
      <c r="P674" s="113"/>
      <c r="Q674" s="113"/>
      <c r="R674" s="113"/>
      <c r="S674" s="113"/>
      <c r="T674" s="113"/>
      <c r="U674" s="113"/>
      <c r="V674" s="113"/>
      <c r="W674" s="113"/>
      <c r="X674" s="113"/>
      <c r="Y674" s="113"/>
      <c r="Z674" s="113"/>
      <c r="AA674" s="113"/>
      <c r="AB674" s="113"/>
      <c r="AC674" s="113"/>
      <c r="AD674" s="113"/>
      <c r="AE674" s="113"/>
      <c r="AF674" s="113"/>
      <c r="AG674" s="113"/>
    </row>
    <row r="675" spans="1:33" ht="13.8">
      <c r="A675" s="113"/>
      <c r="B675" s="113"/>
      <c r="C675" s="113"/>
      <c r="D675" s="113"/>
      <c r="E675" s="113"/>
      <c r="F675" s="113"/>
      <c r="G675" s="113"/>
      <c r="H675" s="113"/>
      <c r="I675" s="113"/>
      <c r="J675" s="113"/>
      <c r="K675" s="113"/>
      <c r="L675" s="113"/>
      <c r="M675" s="113"/>
      <c r="N675" s="113"/>
      <c r="O675" s="113"/>
      <c r="P675" s="113"/>
      <c r="Q675" s="113"/>
      <c r="R675" s="113"/>
      <c r="S675" s="113"/>
      <c r="T675" s="113"/>
      <c r="U675" s="113"/>
      <c r="V675" s="113"/>
      <c r="W675" s="113"/>
      <c r="X675" s="113"/>
      <c r="Y675" s="113"/>
      <c r="Z675" s="113"/>
      <c r="AA675" s="113"/>
      <c r="AB675" s="113"/>
      <c r="AC675" s="113"/>
      <c r="AD675" s="113"/>
      <c r="AE675" s="113"/>
      <c r="AF675" s="113"/>
      <c r="AG675" s="113"/>
    </row>
    <row r="676" spans="1:33" ht="13.8">
      <c r="A676" s="113"/>
      <c r="B676" s="113"/>
      <c r="C676" s="113"/>
      <c r="D676" s="113"/>
      <c r="E676" s="113"/>
      <c r="F676" s="113"/>
      <c r="G676" s="113"/>
      <c r="H676" s="113"/>
      <c r="I676" s="113"/>
      <c r="J676" s="113"/>
      <c r="K676" s="113"/>
      <c r="L676" s="113"/>
      <c r="M676" s="113"/>
      <c r="N676" s="113"/>
      <c r="O676" s="113"/>
      <c r="P676" s="113"/>
      <c r="Q676" s="113"/>
      <c r="R676" s="113"/>
      <c r="S676" s="113"/>
      <c r="T676" s="113"/>
      <c r="U676" s="113"/>
      <c r="V676" s="113"/>
      <c r="W676" s="113"/>
      <c r="X676" s="113"/>
      <c r="Y676" s="113"/>
      <c r="Z676" s="113"/>
      <c r="AA676" s="113"/>
      <c r="AB676" s="113"/>
      <c r="AC676" s="113"/>
      <c r="AD676" s="113"/>
      <c r="AE676" s="113"/>
      <c r="AF676" s="113"/>
      <c r="AG676" s="113"/>
    </row>
    <row r="677" spans="1:33" ht="13.8">
      <c r="A677" s="113"/>
      <c r="B677" s="113"/>
      <c r="C677" s="113"/>
      <c r="D677" s="113"/>
      <c r="E677" s="113"/>
      <c r="F677" s="113"/>
      <c r="G677" s="113"/>
      <c r="H677" s="113"/>
      <c r="I677" s="113"/>
      <c r="J677" s="113"/>
      <c r="K677" s="113"/>
      <c r="L677" s="113"/>
      <c r="M677" s="113"/>
      <c r="N677" s="113"/>
      <c r="O677" s="113"/>
      <c r="P677" s="113"/>
      <c r="Q677" s="113"/>
      <c r="R677" s="113"/>
      <c r="S677" s="113"/>
      <c r="T677" s="113"/>
      <c r="U677" s="113"/>
      <c r="V677" s="113"/>
      <c r="W677" s="113"/>
      <c r="X677" s="113"/>
      <c r="Y677" s="113"/>
      <c r="Z677" s="113"/>
      <c r="AA677" s="113"/>
      <c r="AB677" s="113"/>
      <c r="AC677" s="113"/>
      <c r="AD677" s="113"/>
      <c r="AE677" s="113"/>
      <c r="AF677" s="113"/>
      <c r="AG677" s="113"/>
    </row>
    <row r="678" spans="1:33" ht="13.8">
      <c r="A678" s="113"/>
      <c r="B678" s="113"/>
      <c r="C678" s="113"/>
      <c r="D678" s="113"/>
      <c r="E678" s="113"/>
      <c r="F678" s="113"/>
      <c r="G678" s="113"/>
      <c r="H678" s="113"/>
      <c r="I678" s="113"/>
      <c r="J678" s="113"/>
      <c r="K678" s="113"/>
      <c r="L678" s="113"/>
      <c r="M678" s="113"/>
      <c r="N678" s="113"/>
      <c r="O678" s="113"/>
      <c r="P678" s="113"/>
      <c r="Q678" s="113"/>
      <c r="R678" s="113"/>
      <c r="S678" s="113"/>
      <c r="T678" s="113"/>
      <c r="U678" s="113"/>
      <c r="V678" s="113"/>
      <c r="W678" s="113"/>
      <c r="X678" s="113"/>
      <c r="Y678" s="113"/>
      <c r="Z678" s="113"/>
      <c r="AA678" s="113"/>
      <c r="AB678" s="113"/>
      <c r="AC678" s="113"/>
      <c r="AD678" s="113"/>
      <c r="AE678" s="113"/>
      <c r="AF678" s="113"/>
      <c r="AG678" s="113"/>
    </row>
    <row r="679" spans="1:33" ht="13.8">
      <c r="A679" s="113"/>
      <c r="B679" s="113"/>
      <c r="C679" s="113"/>
      <c r="D679" s="113"/>
      <c r="E679" s="113"/>
      <c r="F679" s="113"/>
      <c r="G679" s="113"/>
      <c r="H679" s="113"/>
      <c r="I679" s="113"/>
      <c r="J679" s="113"/>
      <c r="K679" s="113"/>
      <c r="L679" s="113"/>
      <c r="M679" s="113"/>
      <c r="N679" s="113"/>
      <c r="O679" s="113"/>
      <c r="P679" s="113"/>
      <c r="Q679" s="113"/>
      <c r="R679" s="113"/>
      <c r="S679" s="113"/>
      <c r="T679" s="113"/>
      <c r="U679" s="113"/>
      <c r="V679" s="113"/>
      <c r="W679" s="113"/>
      <c r="X679" s="113"/>
      <c r="Y679" s="113"/>
      <c r="Z679" s="113"/>
      <c r="AA679" s="113"/>
      <c r="AB679" s="113"/>
      <c r="AC679" s="113"/>
      <c r="AD679" s="113"/>
      <c r="AE679" s="113"/>
      <c r="AF679" s="113"/>
      <c r="AG679" s="113"/>
    </row>
    <row r="680" spans="1:33" ht="13.8">
      <c r="A680" s="113"/>
      <c r="B680" s="113"/>
      <c r="C680" s="113"/>
      <c r="D680" s="113"/>
      <c r="E680" s="113"/>
      <c r="F680" s="113"/>
      <c r="G680" s="113"/>
      <c r="H680" s="113"/>
      <c r="I680" s="113"/>
      <c r="J680" s="113"/>
      <c r="K680" s="113"/>
      <c r="L680" s="113"/>
      <c r="M680" s="113"/>
      <c r="N680" s="113"/>
      <c r="O680" s="113"/>
      <c r="P680" s="113"/>
      <c r="Q680" s="113"/>
      <c r="R680" s="113"/>
      <c r="S680" s="113"/>
      <c r="T680" s="113"/>
      <c r="U680" s="113"/>
      <c r="V680" s="113"/>
      <c r="W680" s="113"/>
      <c r="X680" s="113"/>
      <c r="Y680" s="113"/>
      <c r="Z680" s="113"/>
      <c r="AA680" s="113"/>
      <c r="AB680" s="113"/>
      <c r="AC680" s="113"/>
      <c r="AD680" s="113"/>
      <c r="AE680" s="113"/>
      <c r="AF680" s="113"/>
      <c r="AG680" s="113"/>
    </row>
    <row r="681" spans="1:33" ht="13.8">
      <c r="A681" s="113"/>
      <c r="B681" s="113"/>
      <c r="C681" s="113"/>
      <c r="D681" s="113"/>
      <c r="E681" s="113"/>
      <c r="F681" s="113"/>
      <c r="G681" s="113"/>
      <c r="H681" s="113"/>
      <c r="I681" s="113"/>
      <c r="J681" s="113"/>
      <c r="K681" s="113"/>
      <c r="L681" s="113"/>
      <c r="M681" s="113"/>
      <c r="N681" s="113"/>
      <c r="O681" s="113"/>
      <c r="P681" s="113"/>
      <c r="Q681" s="113"/>
      <c r="R681" s="113"/>
      <c r="S681" s="113"/>
      <c r="T681" s="113"/>
      <c r="U681" s="113"/>
      <c r="V681" s="113"/>
      <c r="W681" s="113"/>
      <c r="X681" s="113"/>
      <c r="Y681" s="113"/>
      <c r="Z681" s="113"/>
      <c r="AA681" s="113"/>
      <c r="AB681" s="113"/>
      <c r="AC681" s="113"/>
      <c r="AD681" s="113"/>
      <c r="AE681" s="113"/>
      <c r="AF681" s="113"/>
      <c r="AG681" s="113"/>
    </row>
    <row r="682" spans="1:33" ht="13.8">
      <c r="A682" s="113"/>
      <c r="B682" s="113"/>
      <c r="C682" s="113"/>
      <c r="D682" s="113"/>
      <c r="E682" s="113"/>
      <c r="F682" s="113"/>
      <c r="G682" s="113"/>
      <c r="H682" s="113"/>
      <c r="I682" s="113"/>
      <c r="J682" s="113"/>
      <c r="K682" s="113"/>
      <c r="L682" s="113"/>
      <c r="M682" s="113"/>
      <c r="N682" s="113"/>
      <c r="O682" s="113"/>
      <c r="P682" s="113"/>
      <c r="Q682" s="113"/>
      <c r="R682" s="113"/>
      <c r="S682" s="113"/>
      <c r="T682" s="113"/>
      <c r="U682" s="113"/>
      <c r="V682" s="113"/>
      <c r="W682" s="113"/>
      <c r="X682" s="113"/>
      <c r="Y682" s="113"/>
      <c r="Z682" s="113"/>
      <c r="AA682" s="113"/>
      <c r="AB682" s="113"/>
      <c r="AC682" s="113"/>
      <c r="AD682" s="113"/>
      <c r="AE682" s="113"/>
      <c r="AF682" s="113"/>
      <c r="AG682" s="113"/>
    </row>
    <row r="683" spans="1:33" ht="13.8">
      <c r="A683" s="113"/>
      <c r="B683" s="113"/>
      <c r="C683" s="113"/>
      <c r="D683" s="113"/>
      <c r="E683" s="113"/>
      <c r="F683" s="113"/>
      <c r="G683" s="113"/>
      <c r="H683" s="113"/>
      <c r="I683" s="113"/>
      <c r="J683" s="113"/>
      <c r="K683" s="113"/>
      <c r="L683" s="113"/>
      <c r="M683" s="113"/>
      <c r="N683" s="113"/>
      <c r="O683" s="113"/>
      <c r="P683" s="113"/>
      <c r="Q683" s="113"/>
      <c r="R683" s="113"/>
      <c r="S683" s="113"/>
      <c r="T683" s="113"/>
      <c r="U683" s="113"/>
      <c r="V683" s="113"/>
      <c r="W683" s="113"/>
      <c r="X683" s="113"/>
      <c r="Y683" s="113"/>
      <c r="Z683" s="113"/>
      <c r="AA683" s="113"/>
      <c r="AB683" s="113"/>
      <c r="AC683" s="113"/>
      <c r="AD683" s="113"/>
      <c r="AE683" s="113"/>
      <c r="AF683" s="113"/>
      <c r="AG683" s="113"/>
    </row>
    <row r="684" spans="1:33" ht="13.8">
      <c r="A684" s="113"/>
      <c r="B684" s="113"/>
      <c r="C684" s="113"/>
      <c r="D684" s="113"/>
      <c r="E684" s="113"/>
      <c r="F684" s="113"/>
      <c r="G684" s="113"/>
      <c r="H684" s="113"/>
      <c r="I684" s="113"/>
      <c r="J684" s="113"/>
      <c r="K684" s="113"/>
      <c r="L684" s="113"/>
      <c r="M684" s="113"/>
      <c r="N684" s="113"/>
      <c r="O684" s="113"/>
      <c r="P684" s="113"/>
      <c r="Q684" s="113"/>
      <c r="R684" s="113"/>
      <c r="S684" s="113"/>
      <c r="T684" s="113"/>
      <c r="U684" s="113"/>
      <c r="V684" s="113"/>
      <c r="W684" s="113"/>
      <c r="X684" s="113"/>
      <c r="Y684" s="113"/>
      <c r="Z684" s="113"/>
      <c r="AA684" s="113"/>
      <c r="AB684" s="113"/>
      <c r="AC684" s="113"/>
      <c r="AD684" s="113"/>
      <c r="AE684" s="113"/>
      <c r="AF684" s="113"/>
      <c r="AG684" s="113"/>
    </row>
    <row r="685" spans="1:33" ht="13.8">
      <c r="A685" s="113"/>
      <c r="B685" s="113"/>
      <c r="C685" s="113"/>
      <c r="D685" s="113"/>
      <c r="E685" s="113"/>
      <c r="F685" s="113"/>
      <c r="G685" s="113"/>
      <c r="H685" s="113"/>
      <c r="I685" s="113"/>
      <c r="J685" s="113"/>
      <c r="K685" s="113"/>
      <c r="L685" s="113"/>
      <c r="M685" s="113"/>
      <c r="N685" s="113"/>
      <c r="O685" s="113"/>
      <c r="P685" s="113"/>
      <c r="Q685" s="113"/>
      <c r="R685" s="113"/>
      <c r="S685" s="113"/>
      <c r="T685" s="113"/>
      <c r="U685" s="113"/>
      <c r="V685" s="113"/>
      <c r="W685" s="113"/>
      <c r="X685" s="113"/>
      <c r="Y685" s="113"/>
      <c r="Z685" s="113"/>
      <c r="AA685" s="113"/>
      <c r="AB685" s="113"/>
      <c r="AC685" s="113"/>
      <c r="AD685" s="113"/>
      <c r="AE685" s="113"/>
      <c r="AF685" s="113"/>
      <c r="AG685" s="113"/>
    </row>
    <row r="686" spans="1:33" ht="13.8">
      <c r="A686" s="113"/>
      <c r="B686" s="113"/>
      <c r="C686" s="113"/>
      <c r="D686" s="113"/>
      <c r="E686" s="113"/>
      <c r="F686" s="113"/>
      <c r="G686" s="113"/>
      <c r="H686" s="113"/>
      <c r="I686" s="113"/>
      <c r="J686" s="113"/>
      <c r="K686" s="113"/>
      <c r="L686" s="113"/>
      <c r="M686" s="113"/>
      <c r="N686" s="113"/>
      <c r="O686" s="113"/>
      <c r="P686" s="113"/>
      <c r="Q686" s="113"/>
      <c r="R686" s="113"/>
      <c r="S686" s="113"/>
      <c r="T686" s="113"/>
      <c r="U686" s="113"/>
      <c r="V686" s="113"/>
      <c r="W686" s="113"/>
      <c r="X686" s="113"/>
      <c r="Y686" s="113"/>
      <c r="Z686" s="113"/>
      <c r="AA686" s="113"/>
      <c r="AB686" s="113"/>
      <c r="AC686" s="113"/>
      <c r="AD686" s="113"/>
      <c r="AE686" s="113"/>
      <c r="AF686" s="113"/>
      <c r="AG686" s="113"/>
    </row>
    <row r="687" spans="1:33" ht="13.8">
      <c r="A687" s="113"/>
      <c r="B687" s="113"/>
      <c r="C687" s="113"/>
      <c r="D687" s="113"/>
      <c r="E687" s="113"/>
      <c r="F687" s="113"/>
      <c r="G687" s="113"/>
      <c r="H687" s="113"/>
      <c r="I687" s="113"/>
      <c r="J687" s="113"/>
      <c r="K687" s="113"/>
      <c r="L687" s="113"/>
      <c r="M687" s="113"/>
      <c r="N687" s="113"/>
      <c r="O687" s="113"/>
      <c r="P687" s="113"/>
      <c r="Q687" s="113"/>
      <c r="R687" s="113"/>
      <c r="S687" s="113"/>
      <c r="T687" s="113"/>
      <c r="U687" s="113"/>
      <c r="V687" s="113"/>
      <c r="W687" s="113"/>
      <c r="X687" s="113"/>
      <c r="Y687" s="113"/>
      <c r="Z687" s="113"/>
      <c r="AA687" s="113"/>
      <c r="AB687" s="113"/>
      <c r="AC687" s="113"/>
      <c r="AD687" s="113"/>
      <c r="AE687" s="113"/>
      <c r="AF687" s="113"/>
      <c r="AG687" s="113"/>
    </row>
    <row r="688" spans="1:33" ht="13.8">
      <c r="A688" s="113"/>
      <c r="B688" s="113"/>
      <c r="C688" s="113"/>
      <c r="D688" s="113"/>
      <c r="E688" s="113"/>
      <c r="F688" s="113"/>
      <c r="G688" s="113"/>
      <c r="H688" s="113"/>
      <c r="I688" s="113"/>
      <c r="J688" s="113"/>
      <c r="K688" s="113"/>
      <c r="L688" s="113"/>
      <c r="M688" s="113"/>
      <c r="N688" s="113"/>
      <c r="O688" s="113"/>
      <c r="P688" s="113"/>
      <c r="Q688" s="113"/>
      <c r="R688" s="113"/>
      <c r="S688" s="113"/>
      <c r="T688" s="113"/>
      <c r="U688" s="113"/>
      <c r="V688" s="113"/>
      <c r="W688" s="113"/>
      <c r="X688" s="113"/>
      <c r="Y688" s="113"/>
      <c r="Z688" s="113"/>
      <c r="AA688" s="113"/>
      <c r="AB688" s="113"/>
      <c r="AC688" s="113"/>
      <c r="AD688" s="113"/>
      <c r="AE688" s="113"/>
      <c r="AF688" s="113"/>
      <c r="AG688" s="113"/>
    </row>
    <row r="689" spans="1:33" ht="13.8">
      <c r="A689" s="113"/>
      <c r="B689" s="113"/>
      <c r="C689" s="113"/>
      <c r="D689" s="113"/>
      <c r="E689" s="113"/>
      <c r="F689" s="113"/>
      <c r="G689" s="113"/>
      <c r="H689" s="113"/>
      <c r="I689" s="113"/>
      <c r="J689" s="113"/>
      <c r="K689" s="113"/>
      <c r="L689" s="113"/>
      <c r="M689" s="113"/>
      <c r="N689" s="113"/>
      <c r="O689" s="113"/>
      <c r="P689" s="113"/>
      <c r="Q689" s="113"/>
      <c r="R689" s="113"/>
      <c r="S689" s="113"/>
      <c r="T689" s="113"/>
      <c r="U689" s="113"/>
      <c r="V689" s="113"/>
      <c r="W689" s="113"/>
      <c r="X689" s="113"/>
      <c r="Y689" s="113"/>
      <c r="Z689" s="113"/>
      <c r="AA689" s="113"/>
      <c r="AB689" s="113"/>
      <c r="AC689" s="113"/>
      <c r="AD689" s="113"/>
      <c r="AE689" s="113"/>
      <c r="AF689" s="113"/>
      <c r="AG689" s="113"/>
    </row>
    <row r="690" spans="1:33" ht="13.8">
      <c r="A690" s="113"/>
      <c r="B690" s="113"/>
      <c r="C690" s="113"/>
      <c r="D690" s="113"/>
      <c r="E690" s="113"/>
      <c r="F690" s="113"/>
      <c r="G690" s="113"/>
      <c r="H690" s="113"/>
      <c r="I690" s="113"/>
      <c r="J690" s="113"/>
      <c r="K690" s="113"/>
      <c r="L690" s="113"/>
      <c r="M690" s="113"/>
      <c r="N690" s="113"/>
      <c r="O690" s="113"/>
      <c r="P690" s="113"/>
      <c r="Q690" s="113"/>
      <c r="R690" s="113"/>
      <c r="S690" s="113"/>
      <c r="T690" s="113"/>
      <c r="U690" s="113"/>
      <c r="V690" s="113"/>
      <c r="W690" s="113"/>
      <c r="X690" s="113"/>
      <c r="Y690" s="113"/>
      <c r="Z690" s="113"/>
      <c r="AA690" s="113"/>
      <c r="AB690" s="113"/>
      <c r="AC690" s="113"/>
      <c r="AD690" s="113"/>
      <c r="AE690" s="113"/>
      <c r="AF690" s="113"/>
      <c r="AG690" s="113"/>
    </row>
    <row r="691" spans="1:33" ht="13.8">
      <c r="A691" s="113"/>
      <c r="B691" s="113"/>
      <c r="C691" s="113"/>
      <c r="D691" s="113"/>
      <c r="E691" s="113"/>
      <c r="F691" s="113"/>
      <c r="G691" s="113"/>
      <c r="H691" s="113"/>
      <c r="I691" s="113"/>
      <c r="J691" s="113"/>
      <c r="K691" s="113"/>
      <c r="L691" s="113"/>
      <c r="M691" s="113"/>
      <c r="N691" s="113"/>
      <c r="O691" s="113"/>
      <c r="P691" s="113"/>
      <c r="Q691" s="113"/>
      <c r="R691" s="113"/>
      <c r="S691" s="113"/>
      <c r="T691" s="113"/>
      <c r="U691" s="113"/>
      <c r="V691" s="113"/>
      <c r="W691" s="113"/>
      <c r="X691" s="113"/>
      <c r="Y691" s="113"/>
      <c r="Z691" s="113"/>
      <c r="AA691" s="113"/>
      <c r="AB691" s="113"/>
      <c r="AC691" s="113"/>
      <c r="AD691" s="113"/>
      <c r="AE691" s="113"/>
      <c r="AF691" s="113"/>
      <c r="AG691" s="113"/>
    </row>
    <row r="692" spans="1:33" ht="13.8">
      <c r="A692" s="113"/>
      <c r="B692" s="113"/>
      <c r="C692" s="113"/>
      <c r="D692" s="113"/>
      <c r="E692" s="113"/>
      <c r="F692" s="113"/>
      <c r="G692" s="113"/>
      <c r="H692" s="113"/>
      <c r="I692" s="113"/>
      <c r="J692" s="113"/>
      <c r="K692" s="113"/>
      <c r="L692" s="113"/>
      <c r="M692" s="113"/>
      <c r="N692" s="113"/>
      <c r="O692" s="113"/>
      <c r="P692" s="113"/>
      <c r="Q692" s="113"/>
      <c r="R692" s="113"/>
      <c r="S692" s="113"/>
      <c r="T692" s="113"/>
      <c r="U692" s="113"/>
      <c r="V692" s="113"/>
      <c r="W692" s="113"/>
      <c r="X692" s="113"/>
      <c r="Y692" s="113"/>
      <c r="Z692" s="113"/>
      <c r="AA692" s="113"/>
      <c r="AB692" s="113"/>
      <c r="AC692" s="113"/>
      <c r="AD692" s="113"/>
      <c r="AE692" s="113"/>
      <c r="AF692" s="113"/>
      <c r="AG692" s="113"/>
    </row>
    <row r="693" spans="1:33" ht="13.8">
      <c r="A693" s="113"/>
      <c r="B693" s="113"/>
      <c r="C693" s="113"/>
      <c r="D693" s="113"/>
      <c r="E693" s="113"/>
      <c r="F693" s="113"/>
      <c r="G693" s="113"/>
      <c r="H693" s="113"/>
      <c r="I693" s="113"/>
      <c r="J693" s="113"/>
      <c r="K693" s="113"/>
      <c r="L693" s="113"/>
      <c r="M693" s="113"/>
      <c r="N693" s="113"/>
      <c r="O693" s="113"/>
      <c r="P693" s="113"/>
      <c r="Q693" s="113"/>
      <c r="R693" s="113"/>
      <c r="S693" s="113"/>
      <c r="T693" s="113"/>
      <c r="U693" s="113"/>
      <c r="V693" s="113"/>
      <c r="W693" s="113"/>
      <c r="X693" s="113"/>
      <c r="Y693" s="113"/>
      <c r="Z693" s="113"/>
      <c r="AA693" s="113"/>
      <c r="AB693" s="113"/>
      <c r="AC693" s="113"/>
      <c r="AD693" s="113"/>
      <c r="AE693" s="113"/>
      <c r="AF693" s="113"/>
      <c r="AG693" s="113"/>
    </row>
    <row r="694" spans="1:33" ht="13.8">
      <c r="A694" s="113"/>
      <c r="B694" s="113"/>
      <c r="C694" s="113"/>
      <c r="D694" s="113"/>
      <c r="E694" s="113"/>
      <c r="F694" s="113"/>
      <c r="G694" s="113"/>
      <c r="H694" s="113"/>
      <c r="I694" s="113"/>
      <c r="J694" s="113"/>
      <c r="K694" s="113"/>
      <c r="L694" s="113"/>
      <c r="M694" s="113"/>
      <c r="N694" s="113"/>
      <c r="O694" s="113"/>
      <c r="P694" s="113"/>
      <c r="Q694" s="113"/>
      <c r="R694" s="113"/>
      <c r="S694" s="113"/>
      <c r="T694" s="113"/>
      <c r="U694" s="113"/>
      <c r="V694" s="113"/>
      <c r="W694" s="113"/>
      <c r="X694" s="113"/>
      <c r="Y694" s="113"/>
      <c r="Z694" s="113"/>
      <c r="AA694" s="113"/>
      <c r="AB694" s="113"/>
      <c r="AC694" s="113"/>
      <c r="AD694" s="113"/>
      <c r="AE694" s="113"/>
      <c r="AF694" s="113"/>
      <c r="AG694" s="113"/>
    </row>
    <row r="695" spans="1:33" ht="13.8">
      <c r="A695" s="113"/>
      <c r="B695" s="113"/>
      <c r="C695" s="113"/>
      <c r="D695" s="113"/>
      <c r="E695" s="113"/>
      <c r="F695" s="113"/>
      <c r="G695" s="113"/>
      <c r="H695" s="113"/>
      <c r="I695" s="113"/>
      <c r="J695" s="113"/>
      <c r="K695" s="113"/>
      <c r="L695" s="113"/>
      <c r="M695" s="113"/>
      <c r="N695" s="113"/>
      <c r="O695" s="113"/>
      <c r="P695" s="113"/>
      <c r="Q695" s="113"/>
      <c r="R695" s="113"/>
      <c r="S695" s="113"/>
      <c r="T695" s="113"/>
      <c r="U695" s="113"/>
      <c r="V695" s="113"/>
      <c r="W695" s="113"/>
      <c r="X695" s="113"/>
      <c r="Y695" s="113"/>
      <c r="Z695" s="113"/>
      <c r="AA695" s="113"/>
      <c r="AB695" s="113"/>
      <c r="AC695" s="113"/>
      <c r="AD695" s="113"/>
      <c r="AE695" s="113"/>
      <c r="AF695" s="113"/>
      <c r="AG695" s="113"/>
    </row>
    <row r="696" spans="1:33" ht="13.8">
      <c r="A696" s="113"/>
      <c r="B696" s="113"/>
      <c r="C696" s="113"/>
      <c r="D696" s="113"/>
      <c r="E696" s="113"/>
      <c r="F696" s="113"/>
      <c r="G696" s="113"/>
      <c r="H696" s="113"/>
      <c r="I696" s="113"/>
      <c r="J696" s="113"/>
      <c r="K696" s="113"/>
      <c r="L696" s="113"/>
      <c r="M696" s="113"/>
      <c r="N696" s="113"/>
      <c r="O696" s="113"/>
      <c r="P696" s="113"/>
      <c r="Q696" s="113"/>
      <c r="R696" s="113"/>
      <c r="S696" s="113"/>
      <c r="T696" s="113"/>
      <c r="U696" s="113"/>
      <c r="V696" s="113"/>
      <c r="W696" s="113"/>
      <c r="X696" s="113"/>
      <c r="Y696" s="113"/>
      <c r="Z696" s="113"/>
      <c r="AA696" s="113"/>
      <c r="AB696" s="113"/>
      <c r="AC696" s="113"/>
      <c r="AD696" s="113"/>
      <c r="AE696" s="113"/>
      <c r="AF696" s="113"/>
      <c r="AG696" s="113"/>
    </row>
    <row r="697" spans="1:33" ht="13.8">
      <c r="A697" s="113"/>
      <c r="B697" s="113"/>
      <c r="C697" s="113"/>
      <c r="D697" s="113"/>
      <c r="E697" s="113"/>
      <c r="F697" s="113"/>
      <c r="G697" s="113"/>
      <c r="H697" s="113"/>
      <c r="I697" s="113"/>
      <c r="J697" s="113"/>
      <c r="K697" s="113"/>
      <c r="L697" s="113"/>
      <c r="M697" s="113"/>
      <c r="N697" s="113"/>
      <c r="O697" s="113"/>
      <c r="P697" s="113"/>
      <c r="Q697" s="113"/>
      <c r="R697" s="113"/>
      <c r="S697" s="113"/>
      <c r="T697" s="113"/>
      <c r="U697" s="113"/>
      <c r="V697" s="113"/>
      <c r="W697" s="113"/>
      <c r="X697" s="113"/>
      <c r="Y697" s="113"/>
      <c r="Z697" s="113"/>
      <c r="AA697" s="113"/>
      <c r="AB697" s="113"/>
      <c r="AC697" s="113"/>
      <c r="AD697" s="113"/>
      <c r="AE697" s="113"/>
      <c r="AF697" s="113"/>
      <c r="AG697" s="113"/>
    </row>
    <row r="698" spans="1:33" ht="13.8">
      <c r="A698" s="113"/>
      <c r="B698" s="113"/>
      <c r="C698" s="113"/>
      <c r="D698" s="113"/>
      <c r="E698" s="113"/>
      <c r="F698" s="113"/>
      <c r="G698" s="113"/>
      <c r="H698" s="113"/>
      <c r="I698" s="113"/>
      <c r="J698" s="113"/>
      <c r="K698" s="113"/>
      <c r="L698" s="113"/>
      <c r="M698" s="113"/>
      <c r="N698" s="113"/>
      <c r="O698" s="113"/>
      <c r="P698" s="113"/>
      <c r="Q698" s="113"/>
      <c r="R698" s="113"/>
      <c r="S698" s="113"/>
      <c r="T698" s="113"/>
      <c r="U698" s="113"/>
      <c r="V698" s="113"/>
      <c r="W698" s="113"/>
      <c r="X698" s="113"/>
      <c r="Y698" s="113"/>
      <c r="Z698" s="113"/>
      <c r="AA698" s="113"/>
      <c r="AB698" s="113"/>
      <c r="AC698" s="113"/>
      <c r="AD698" s="113"/>
      <c r="AE698" s="113"/>
      <c r="AF698" s="113"/>
      <c r="AG698" s="113"/>
    </row>
    <row r="699" spans="1:33" ht="13.8">
      <c r="A699" s="113"/>
      <c r="B699" s="113"/>
      <c r="C699" s="113"/>
      <c r="D699" s="113"/>
      <c r="E699" s="113"/>
      <c r="F699" s="113"/>
      <c r="G699" s="113"/>
      <c r="H699" s="113"/>
      <c r="I699" s="113"/>
      <c r="J699" s="113"/>
      <c r="K699" s="113"/>
      <c r="L699" s="113"/>
      <c r="M699" s="113"/>
      <c r="N699" s="113"/>
      <c r="O699" s="113"/>
      <c r="P699" s="113"/>
      <c r="Q699" s="113"/>
      <c r="R699" s="113"/>
      <c r="S699" s="113"/>
      <c r="T699" s="113"/>
      <c r="U699" s="113"/>
      <c r="V699" s="113"/>
      <c r="W699" s="113"/>
      <c r="X699" s="113"/>
      <c r="Y699" s="113"/>
      <c r="Z699" s="113"/>
      <c r="AA699" s="113"/>
      <c r="AB699" s="113"/>
      <c r="AC699" s="113"/>
      <c r="AD699" s="113"/>
      <c r="AE699" s="113"/>
      <c r="AF699" s="113"/>
      <c r="AG699" s="113"/>
    </row>
    <row r="700" spans="1:33" ht="13.8">
      <c r="A700" s="113"/>
      <c r="B700" s="113"/>
      <c r="C700" s="113"/>
      <c r="D700" s="113"/>
      <c r="E700" s="113"/>
      <c r="F700" s="113"/>
      <c r="G700" s="113"/>
      <c r="H700" s="113"/>
      <c r="I700" s="113"/>
      <c r="J700" s="113"/>
      <c r="K700" s="113"/>
      <c r="L700" s="113"/>
      <c r="M700" s="113"/>
      <c r="N700" s="113"/>
      <c r="O700" s="113"/>
      <c r="P700" s="113"/>
      <c r="Q700" s="113"/>
      <c r="R700" s="113"/>
      <c r="S700" s="113"/>
      <c r="T700" s="113"/>
      <c r="U700" s="113"/>
      <c r="V700" s="113"/>
      <c r="W700" s="113"/>
      <c r="X700" s="113"/>
      <c r="Y700" s="113"/>
      <c r="Z700" s="113"/>
      <c r="AA700" s="113"/>
      <c r="AB700" s="113"/>
      <c r="AC700" s="113"/>
      <c r="AD700" s="113"/>
      <c r="AE700" s="113"/>
      <c r="AF700" s="113"/>
      <c r="AG700" s="113"/>
    </row>
    <row r="701" spans="1:33" ht="13.8">
      <c r="A701" s="113"/>
      <c r="B701" s="113"/>
      <c r="C701" s="113"/>
      <c r="D701" s="113"/>
      <c r="E701" s="113"/>
      <c r="F701" s="113"/>
      <c r="G701" s="113"/>
      <c r="H701" s="113"/>
      <c r="I701" s="113"/>
      <c r="J701" s="113"/>
      <c r="K701" s="113"/>
      <c r="L701" s="113"/>
      <c r="M701" s="113"/>
      <c r="N701" s="113"/>
      <c r="O701" s="113"/>
      <c r="P701" s="113"/>
      <c r="Q701" s="113"/>
      <c r="R701" s="113"/>
      <c r="S701" s="113"/>
      <c r="T701" s="113"/>
      <c r="U701" s="113"/>
      <c r="V701" s="113"/>
      <c r="W701" s="113"/>
      <c r="X701" s="113"/>
      <c r="Y701" s="113"/>
      <c r="Z701" s="113"/>
      <c r="AA701" s="113"/>
      <c r="AB701" s="113"/>
      <c r="AC701" s="113"/>
      <c r="AD701" s="113"/>
      <c r="AE701" s="113"/>
      <c r="AF701" s="113"/>
      <c r="AG701" s="113"/>
    </row>
    <row r="702" spans="1:33" ht="13.8">
      <c r="A702" s="113"/>
      <c r="B702" s="113"/>
      <c r="C702" s="113"/>
      <c r="D702" s="113"/>
      <c r="E702" s="113"/>
      <c r="F702" s="113"/>
      <c r="G702" s="113"/>
      <c r="H702" s="113"/>
      <c r="I702" s="113"/>
      <c r="J702" s="113"/>
      <c r="K702" s="113"/>
      <c r="L702" s="113"/>
      <c r="M702" s="113"/>
      <c r="N702" s="113"/>
      <c r="O702" s="113"/>
      <c r="P702" s="113"/>
      <c r="Q702" s="113"/>
      <c r="R702" s="113"/>
      <c r="S702" s="113"/>
      <c r="T702" s="113"/>
      <c r="U702" s="113"/>
      <c r="V702" s="113"/>
      <c r="W702" s="113"/>
      <c r="X702" s="113"/>
      <c r="Y702" s="113"/>
      <c r="Z702" s="113"/>
      <c r="AA702" s="113"/>
      <c r="AB702" s="113"/>
      <c r="AC702" s="113"/>
      <c r="AD702" s="113"/>
      <c r="AE702" s="113"/>
      <c r="AF702" s="113"/>
      <c r="AG702" s="113"/>
    </row>
    <row r="703" spans="1:33" ht="13.8">
      <c r="A703" s="113"/>
      <c r="B703" s="113"/>
      <c r="C703" s="113"/>
      <c r="D703" s="113"/>
      <c r="E703" s="113"/>
      <c r="F703" s="113"/>
      <c r="G703" s="113"/>
      <c r="H703" s="113"/>
      <c r="I703" s="113"/>
      <c r="J703" s="113"/>
      <c r="K703" s="113"/>
      <c r="L703" s="113"/>
      <c r="M703" s="113"/>
      <c r="N703" s="113"/>
      <c r="O703" s="113"/>
      <c r="P703" s="113"/>
      <c r="Q703" s="113"/>
      <c r="R703" s="113"/>
      <c r="S703" s="113"/>
      <c r="T703" s="113"/>
      <c r="U703" s="113"/>
      <c r="V703" s="113"/>
      <c r="W703" s="113"/>
      <c r="X703" s="113"/>
      <c r="Y703" s="113"/>
      <c r="Z703" s="113"/>
      <c r="AA703" s="113"/>
      <c r="AB703" s="113"/>
      <c r="AC703" s="113"/>
      <c r="AD703" s="113"/>
      <c r="AE703" s="113"/>
      <c r="AF703" s="113"/>
      <c r="AG703" s="113"/>
    </row>
    <row r="704" spans="1:33" ht="13.8">
      <c r="A704" s="113"/>
      <c r="B704" s="113"/>
      <c r="C704" s="113"/>
      <c r="D704" s="113"/>
      <c r="E704" s="113"/>
      <c r="F704" s="113"/>
      <c r="G704" s="113"/>
      <c r="H704" s="113"/>
      <c r="I704" s="113"/>
      <c r="J704" s="113"/>
      <c r="K704" s="113"/>
      <c r="L704" s="113"/>
      <c r="M704" s="113"/>
      <c r="N704" s="113"/>
      <c r="O704" s="113"/>
      <c r="P704" s="113"/>
      <c r="Q704" s="113"/>
      <c r="R704" s="113"/>
      <c r="S704" s="113"/>
      <c r="T704" s="113"/>
      <c r="U704" s="113"/>
      <c r="V704" s="113"/>
      <c r="W704" s="113"/>
      <c r="X704" s="113"/>
      <c r="Y704" s="113"/>
      <c r="Z704" s="113"/>
      <c r="AA704" s="113"/>
      <c r="AB704" s="113"/>
      <c r="AC704" s="113"/>
      <c r="AD704" s="113"/>
      <c r="AE704" s="113"/>
      <c r="AF704" s="113"/>
      <c r="AG704" s="113"/>
    </row>
    <row r="705" spans="1:33" ht="13.8">
      <c r="A705" s="113"/>
      <c r="B705" s="113"/>
      <c r="C705" s="113"/>
      <c r="D705" s="113"/>
      <c r="E705" s="113"/>
      <c r="F705" s="113"/>
      <c r="G705" s="113"/>
      <c r="H705" s="113"/>
      <c r="I705" s="113"/>
      <c r="J705" s="113"/>
      <c r="K705" s="113"/>
      <c r="L705" s="113"/>
      <c r="M705" s="113"/>
      <c r="N705" s="113"/>
      <c r="O705" s="113"/>
      <c r="P705" s="113"/>
      <c r="Q705" s="113"/>
      <c r="R705" s="113"/>
      <c r="S705" s="113"/>
      <c r="T705" s="113"/>
      <c r="U705" s="113"/>
      <c r="V705" s="113"/>
      <c r="W705" s="113"/>
      <c r="X705" s="113"/>
      <c r="Y705" s="113"/>
      <c r="Z705" s="113"/>
      <c r="AA705" s="113"/>
      <c r="AB705" s="113"/>
      <c r="AC705" s="113"/>
      <c r="AD705" s="113"/>
      <c r="AE705" s="113"/>
      <c r="AF705" s="113"/>
      <c r="AG705" s="113"/>
    </row>
    <row r="706" spans="1:33" ht="13.8">
      <c r="A706" s="113"/>
      <c r="B706" s="113"/>
      <c r="C706" s="113"/>
      <c r="D706" s="113"/>
      <c r="E706" s="113"/>
      <c r="F706" s="113"/>
      <c r="G706" s="113"/>
      <c r="H706" s="113"/>
      <c r="I706" s="113"/>
      <c r="J706" s="113"/>
      <c r="K706" s="113"/>
      <c r="L706" s="113"/>
      <c r="M706" s="113"/>
      <c r="N706" s="113"/>
      <c r="O706" s="113"/>
      <c r="P706" s="113"/>
      <c r="Q706" s="113"/>
      <c r="R706" s="113"/>
      <c r="S706" s="113"/>
      <c r="T706" s="113"/>
      <c r="U706" s="113"/>
      <c r="V706" s="113"/>
      <c r="W706" s="113"/>
      <c r="X706" s="113"/>
      <c r="Y706" s="113"/>
      <c r="Z706" s="113"/>
      <c r="AA706" s="113"/>
      <c r="AB706" s="113"/>
      <c r="AC706" s="113"/>
      <c r="AD706" s="113"/>
      <c r="AE706" s="113"/>
      <c r="AF706" s="113"/>
      <c r="AG706" s="113"/>
    </row>
    <row r="707" spans="1:33" ht="13.8">
      <c r="A707" s="113"/>
      <c r="B707" s="113"/>
      <c r="C707" s="113"/>
      <c r="D707" s="113"/>
      <c r="E707" s="113"/>
      <c r="F707" s="113"/>
      <c r="G707" s="113"/>
      <c r="H707" s="113"/>
      <c r="I707" s="113"/>
      <c r="J707" s="113"/>
      <c r="K707" s="113"/>
      <c r="L707" s="113"/>
      <c r="M707" s="113"/>
      <c r="N707" s="113"/>
      <c r="O707" s="113"/>
      <c r="P707" s="113"/>
      <c r="Q707" s="113"/>
      <c r="R707" s="113"/>
      <c r="S707" s="113"/>
      <c r="T707" s="113"/>
      <c r="U707" s="113"/>
      <c r="V707" s="113"/>
      <c r="W707" s="113"/>
      <c r="X707" s="113"/>
      <c r="Y707" s="113"/>
      <c r="Z707" s="113"/>
      <c r="AA707" s="113"/>
      <c r="AB707" s="113"/>
      <c r="AC707" s="113"/>
      <c r="AD707" s="113"/>
      <c r="AE707" s="113"/>
      <c r="AF707" s="113"/>
      <c r="AG707" s="113"/>
    </row>
    <row r="708" spans="1:33" ht="13.8">
      <c r="A708" s="113"/>
      <c r="B708" s="113"/>
      <c r="C708" s="113"/>
      <c r="D708" s="113"/>
      <c r="E708" s="113"/>
      <c r="F708" s="113"/>
      <c r="G708" s="113"/>
      <c r="H708" s="113"/>
      <c r="I708" s="113"/>
      <c r="J708" s="113"/>
      <c r="K708" s="113"/>
      <c r="L708" s="113"/>
      <c r="M708" s="113"/>
      <c r="N708" s="113"/>
      <c r="O708" s="113"/>
      <c r="P708" s="113"/>
      <c r="Q708" s="113"/>
      <c r="R708" s="113"/>
      <c r="S708" s="113"/>
      <c r="T708" s="113"/>
      <c r="U708" s="113"/>
      <c r="V708" s="113"/>
      <c r="W708" s="113"/>
      <c r="X708" s="113"/>
      <c r="Y708" s="113"/>
      <c r="Z708" s="113"/>
      <c r="AA708" s="113"/>
      <c r="AB708" s="113"/>
      <c r="AC708" s="113"/>
      <c r="AD708" s="113"/>
      <c r="AE708" s="113"/>
      <c r="AF708" s="113"/>
      <c r="AG708" s="113"/>
    </row>
    <row r="709" spans="1:33" ht="13.8">
      <c r="A709" s="113"/>
      <c r="B709" s="113"/>
      <c r="C709" s="113"/>
      <c r="D709" s="113"/>
      <c r="E709" s="113"/>
      <c r="F709" s="113"/>
      <c r="G709" s="113"/>
      <c r="H709" s="113"/>
      <c r="I709" s="113"/>
      <c r="J709" s="113"/>
      <c r="K709" s="113"/>
      <c r="L709" s="113"/>
      <c r="M709" s="113"/>
      <c r="N709" s="113"/>
      <c r="O709" s="113"/>
      <c r="P709" s="113"/>
      <c r="Q709" s="113"/>
      <c r="R709" s="113"/>
      <c r="S709" s="113"/>
      <c r="T709" s="113"/>
      <c r="U709" s="113"/>
      <c r="V709" s="113"/>
      <c r="W709" s="113"/>
      <c r="X709" s="113"/>
      <c r="Y709" s="113"/>
      <c r="Z709" s="113"/>
      <c r="AA709" s="113"/>
      <c r="AB709" s="113"/>
      <c r="AC709" s="113"/>
      <c r="AD709" s="113"/>
      <c r="AE709" s="113"/>
      <c r="AF709" s="113"/>
      <c r="AG709" s="113"/>
    </row>
    <row r="710" spans="1:33" ht="13.8">
      <c r="A710" s="113"/>
      <c r="B710" s="113"/>
      <c r="C710" s="113"/>
      <c r="D710" s="113"/>
      <c r="E710" s="113"/>
      <c r="F710" s="113"/>
      <c r="G710" s="113"/>
      <c r="H710" s="113"/>
      <c r="I710" s="113"/>
      <c r="J710" s="113"/>
      <c r="K710" s="113"/>
      <c r="L710" s="113"/>
      <c r="M710" s="113"/>
      <c r="N710" s="113"/>
      <c r="O710" s="113"/>
      <c r="P710" s="113"/>
      <c r="Q710" s="113"/>
      <c r="R710" s="113"/>
      <c r="S710" s="113"/>
      <c r="T710" s="113"/>
      <c r="U710" s="113"/>
      <c r="V710" s="113"/>
      <c r="W710" s="113"/>
      <c r="X710" s="113"/>
      <c r="Y710" s="113"/>
      <c r="Z710" s="113"/>
      <c r="AA710" s="113"/>
      <c r="AB710" s="113"/>
      <c r="AC710" s="113"/>
      <c r="AD710" s="113"/>
      <c r="AE710" s="113"/>
      <c r="AF710" s="113"/>
      <c r="AG710" s="113"/>
    </row>
    <row r="711" spans="1:33" ht="13.8">
      <c r="A711" s="113"/>
      <c r="B711" s="113"/>
      <c r="C711" s="113"/>
      <c r="D711" s="113"/>
      <c r="E711" s="113"/>
      <c r="F711" s="113"/>
      <c r="G711" s="113"/>
      <c r="H711" s="113"/>
      <c r="I711" s="113"/>
      <c r="J711" s="113"/>
      <c r="K711" s="113"/>
      <c r="L711" s="113"/>
      <c r="M711" s="113"/>
      <c r="N711" s="113"/>
      <c r="O711" s="113"/>
      <c r="P711" s="113"/>
      <c r="Q711" s="113"/>
      <c r="R711" s="113"/>
      <c r="S711" s="113"/>
      <c r="T711" s="113"/>
      <c r="U711" s="113"/>
      <c r="V711" s="113"/>
      <c r="W711" s="113"/>
      <c r="X711" s="113"/>
      <c r="Y711" s="113"/>
      <c r="Z711" s="113"/>
      <c r="AA711" s="113"/>
      <c r="AB711" s="113"/>
      <c r="AC711" s="113"/>
      <c r="AD711" s="113"/>
      <c r="AE711" s="113"/>
      <c r="AF711" s="113"/>
      <c r="AG711" s="113"/>
    </row>
    <row r="712" spans="1:33" ht="13.8">
      <c r="A712" s="113"/>
      <c r="B712" s="113"/>
      <c r="C712" s="113"/>
      <c r="D712" s="113"/>
      <c r="E712" s="113"/>
      <c r="F712" s="113"/>
      <c r="G712" s="113"/>
      <c r="H712" s="113"/>
      <c r="I712" s="113"/>
      <c r="J712" s="113"/>
      <c r="K712" s="113"/>
      <c r="L712" s="113"/>
      <c r="M712" s="113"/>
      <c r="N712" s="113"/>
      <c r="O712" s="113"/>
      <c r="P712" s="113"/>
      <c r="Q712" s="113"/>
      <c r="R712" s="113"/>
      <c r="S712" s="113"/>
      <c r="T712" s="113"/>
      <c r="U712" s="113"/>
      <c r="V712" s="113"/>
      <c r="W712" s="113"/>
      <c r="X712" s="113"/>
      <c r="Y712" s="113"/>
      <c r="Z712" s="113"/>
      <c r="AA712" s="113"/>
      <c r="AB712" s="113"/>
      <c r="AC712" s="113"/>
      <c r="AD712" s="113"/>
      <c r="AE712" s="113"/>
      <c r="AF712" s="113"/>
      <c r="AG712" s="113"/>
    </row>
    <row r="713" spans="1:33" ht="13.8">
      <c r="A713" s="113"/>
      <c r="B713" s="113"/>
      <c r="C713" s="113"/>
      <c r="D713" s="113"/>
      <c r="E713" s="113"/>
      <c r="F713" s="113"/>
      <c r="G713" s="113"/>
      <c r="H713" s="113"/>
      <c r="I713" s="113"/>
      <c r="J713" s="113"/>
      <c r="K713" s="113"/>
      <c r="L713" s="113"/>
      <c r="M713" s="113"/>
      <c r="N713" s="113"/>
      <c r="O713" s="113"/>
      <c r="P713" s="113"/>
      <c r="Q713" s="113"/>
      <c r="R713" s="113"/>
      <c r="S713" s="113"/>
      <c r="T713" s="113"/>
      <c r="U713" s="113"/>
      <c r="V713" s="113"/>
      <c r="W713" s="113"/>
      <c r="X713" s="113"/>
      <c r="Y713" s="113"/>
      <c r="Z713" s="113"/>
      <c r="AA713" s="113"/>
      <c r="AB713" s="113"/>
      <c r="AC713" s="113"/>
      <c r="AD713" s="113"/>
      <c r="AE713" s="113"/>
      <c r="AF713" s="113"/>
      <c r="AG713" s="113"/>
    </row>
    <row r="714" spans="1:33" ht="13.8">
      <c r="A714" s="113"/>
      <c r="B714" s="113"/>
      <c r="C714" s="113"/>
      <c r="D714" s="113"/>
      <c r="E714" s="113"/>
      <c r="F714" s="113"/>
      <c r="G714" s="113"/>
      <c r="H714" s="113"/>
      <c r="I714" s="113"/>
      <c r="J714" s="113"/>
      <c r="K714" s="113"/>
      <c r="L714" s="113"/>
      <c r="M714" s="113"/>
      <c r="N714" s="113"/>
      <c r="O714" s="113"/>
      <c r="P714" s="113"/>
      <c r="Q714" s="113"/>
      <c r="R714" s="113"/>
      <c r="S714" s="113"/>
      <c r="T714" s="113"/>
      <c r="U714" s="113"/>
      <c r="V714" s="113"/>
      <c r="W714" s="113"/>
      <c r="X714" s="113"/>
      <c r="Y714" s="113"/>
      <c r="Z714" s="113"/>
      <c r="AA714" s="113"/>
      <c r="AB714" s="113"/>
      <c r="AC714" s="113"/>
      <c r="AD714" s="113"/>
      <c r="AE714" s="113"/>
      <c r="AF714" s="113"/>
      <c r="AG714" s="113"/>
    </row>
    <row r="715" spans="1:33" ht="13.8">
      <c r="A715" s="113"/>
      <c r="B715" s="113"/>
      <c r="C715" s="113"/>
      <c r="D715" s="113"/>
      <c r="E715" s="113"/>
      <c r="F715" s="113"/>
      <c r="G715" s="113"/>
      <c r="H715" s="113"/>
      <c r="I715" s="113"/>
      <c r="J715" s="113"/>
      <c r="K715" s="113"/>
      <c r="L715" s="113"/>
      <c r="M715" s="113"/>
      <c r="N715" s="113"/>
      <c r="O715" s="113"/>
      <c r="P715" s="113"/>
      <c r="Q715" s="113"/>
      <c r="R715" s="113"/>
      <c r="S715" s="113"/>
      <c r="T715" s="113"/>
      <c r="U715" s="113"/>
      <c r="V715" s="113"/>
      <c r="W715" s="113"/>
      <c r="X715" s="113"/>
      <c r="Y715" s="113"/>
      <c r="Z715" s="113"/>
      <c r="AA715" s="113"/>
      <c r="AB715" s="113"/>
      <c r="AC715" s="113"/>
      <c r="AD715" s="113"/>
      <c r="AE715" s="113"/>
      <c r="AF715" s="113"/>
      <c r="AG715" s="113"/>
    </row>
    <row r="716" spans="1:33" ht="13.8">
      <c r="A716" s="113"/>
      <c r="B716" s="113"/>
      <c r="C716" s="113"/>
      <c r="D716" s="113"/>
      <c r="E716" s="113"/>
      <c r="F716" s="113"/>
      <c r="G716" s="113"/>
      <c r="H716" s="113"/>
      <c r="I716" s="113"/>
      <c r="J716" s="113"/>
      <c r="K716" s="113"/>
      <c r="L716" s="113"/>
      <c r="M716" s="113"/>
      <c r="N716" s="113"/>
      <c r="O716" s="113"/>
      <c r="P716" s="113"/>
      <c r="Q716" s="113"/>
      <c r="R716" s="113"/>
      <c r="S716" s="113"/>
      <c r="T716" s="113"/>
      <c r="U716" s="113"/>
      <c r="V716" s="113"/>
      <c r="W716" s="113"/>
      <c r="X716" s="113"/>
      <c r="Y716" s="113"/>
      <c r="Z716" s="113"/>
      <c r="AA716" s="113"/>
      <c r="AB716" s="113"/>
      <c r="AC716" s="113"/>
      <c r="AD716" s="113"/>
      <c r="AE716" s="113"/>
      <c r="AF716" s="113"/>
      <c r="AG716" s="113"/>
    </row>
    <row r="717" spans="1:33" ht="13.8">
      <c r="A717" s="113"/>
      <c r="B717" s="113"/>
      <c r="C717" s="113"/>
      <c r="D717" s="113"/>
      <c r="E717" s="113"/>
      <c r="F717" s="113"/>
      <c r="G717" s="113"/>
      <c r="H717" s="113"/>
      <c r="I717" s="113"/>
      <c r="J717" s="113"/>
      <c r="K717" s="113"/>
      <c r="L717" s="113"/>
      <c r="M717" s="113"/>
      <c r="N717" s="113"/>
      <c r="O717" s="113"/>
      <c r="P717" s="113"/>
      <c r="Q717" s="113"/>
      <c r="R717" s="113"/>
      <c r="S717" s="113"/>
      <c r="T717" s="113"/>
      <c r="U717" s="113"/>
      <c r="V717" s="113"/>
      <c r="W717" s="113"/>
      <c r="X717" s="113"/>
      <c r="Y717" s="113"/>
      <c r="Z717" s="113"/>
      <c r="AA717" s="113"/>
      <c r="AB717" s="113"/>
      <c r="AC717" s="113"/>
      <c r="AD717" s="113"/>
      <c r="AE717" s="113"/>
      <c r="AF717" s="113"/>
      <c r="AG717" s="113"/>
    </row>
    <row r="718" spans="1:33" ht="13.8">
      <c r="A718" s="113"/>
      <c r="B718" s="113"/>
      <c r="C718" s="113"/>
      <c r="D718" s="113"/>
      <c r="E718" s="113"/>
      <c r="F718" s="113"/>
      <c r="G718" s="113"/>
      <c r="H718" s="113"/>
      <c r="I718" s="113"/>
      <c r="J718" s="113"/>
      <c r="K718" s="113"/>
      <c r="L718" s="113"/>
      <c r="M718" s="113"/>
      <c r="N718" s="113"/>
      <c r="O718" s="113"/>
      <c r="P718" s="113"/>
      <c r="Q718" s="113"/>
      <c r="R718" s="113"/>
      <c r="S718" s="113"/>
      <c r="T718" s="113"/>
      <c r="U718" s="113"/>
      <c r="V718" s="113"/>
      <c r="W718" s="113"/>
      <c r="X718" s="113"/>
      <c r="Y718" s="113"/>
      <c r="Z718" s="113"/>
      <c r="AA718" s="113"/>
      <c r="AB718" s="113"/>
      <c r="AC718" s="113"/>
      <c r="AD718" s="113"/>
      <c r="AE718" s="113"/>
      <c r="AF718" s="113"/>
      <c r="AG718" s="113"/>
    </row>
    <row r="719" spans="1:33" ht="13.8">
      <c r="A719" s="113"/>
      <c r="B719" s="113"/>
      <c r="C719" s="113"/>
      <c r="D719" s="113"/>
      <c r="E719" s="113"/>
      <c r="F719" s="113"/>
      <c r="G719" s="113"/>
      <c r="H719" s="113"/>
      <c r="I719" s="113"/>
      <c r="J719" s="113"/>
      <c r="K719" s="113"/>
      <c r="L719" s="113"/>
      <c r="M719" s="113"/>
      <c r="N719" s="113"/>
      <c r="O719" s="113"/>
      <c r="P719" s="113"/>
      <c r="Q719" s="113"/>
      <c r="R719" s="113"/>
      <c r="S719" s="113"/>
      <c r="T719" s="113"/>
      <c r="U719" s="113"/>
      <c r="V719" s="113"/>
      <c r="W719" s="113"/>
      <c r="X719" s="113"/>
      <c r="Y719" s="113"/>
      <c r="Z719" s="113"/>
      <c r="AA719" s="113"/>
      <c r="AB719" s="113"/>
      <c r="AC719" s="113"/>
      <c r="AD719" s="113"/>
      <c r="AE719" s="113"/>
      <c r="AF719" s="113"/>
      <c r="AG719" s="113"/>
    </row>
    <row r="720" spans="1:33" ht="13.8">
      <c r="A720" s="113"/>
      <c r="B720" s="113"/>
      <c r="C720" s="113"/>
      <c r="D720" s="113"/>
      <c r="E720" s="113"/>
      <c r="F720" s="113"/>
      <c r="G720" s="113"/>
      <c r="H720" s="113"/>
      <c r="I720" s="113"/>
      <c r="J720" s="113"/>
      <c r="K720" s="113"/>
      <c r="L720" s="113"/>
      <c r="M720" s="113"/>
      <c r="N720" s="113"/>
      <c r="O720" s="113"/>
      <c r="P720" s="113"/>
      <c r="Q720" s="113"/>
      <c r="R720" s="113"/>
      <c r="S720" s="113"/>
      <c r="T720" s="113"/>
      <c r="U720" s="113"/>
      <c r="V720" s="113"/>
      <c r="W720" s="113"/>
      <c r="X720" s="113"/>
      <c r="Y720" s="113"/>
      <c r="Z720" s="113"/>
      <c r="AA720" s="113"/>
      <c r="AB720" s="113"/>
      <c r="AC720" s="113"/>
      <c r="AD720" s="113"/>
      <c r="AE720" s="113"/>
      <c r="AF720" s="113"/>
      <c r="AG720" s="113"/>
    </row>
    <row r="721" spans="1:33" ht="13.8">
      <c r="A721" s="113"/>
      <c r="B721" s="113"/>
      <c r="C721" s="113"/>
      <c r="D721" s="113"/>
      <c r="E721" s="113"/>
      <c r="F721" s="113"/>
      <c r="G721" s="113"/>
      <c r="H721" s="113"/>
      <c r="I721" s="113"/>
      <c r="J721" s="113"/>
      <c r="K721" s="113"/>
      <c r="L721" s="113"/>
      <c r="M721" s="113"/>
      <c r="N721" s="113"/>
      <c r="O721" s="113"/>
      <c r="P721" s="113"/>
      <c r="Q721" s="113"/>
      <c r="R721" s="113"/>
      <c r="S721" s="113"/>
      <c r="T721" s="113"/>
      <c r="U721" s="113"/>
      <c r="V721" s="113"/>
      <c r="W721" s="113"/>
      <c r="X721" s="113"/>
      <c r="Y721" s="113"/>
      <c r="Z721" s="113"/>
      <c r="AA721" s="113"/>
      <c r="AB721" s="113"/>
      <c r="AC721" s="113"/>
      <c r="AD721" s="113"/>
      <c r="AE721" s="113"/>
      <c r="AF721" s="113"/>
      <c r="AG721" s="113"/>
    </row>
    <row r="722" spans="1:33" ht="13.8">
      <c r="A722" s="113"/>
      <c r="B722" s="113"/>
      <c r="C722" s="113"/>
      <c r="D722" s="113"/>
      <c r="E722" s="113"/>
      <c r="F722" s="113"/>
      <c r="G722" s="113"/>
      <c r="H722" s="113"/>
      <c r="I722" s="113"/>
      <c r="J722" s="113"/>
      <c r="K722" s="113"/>
      <c r="L722" s="113"/>
      <c r="M722" s="113"/>
      <c r="N722" s="113"/>
      <c r="O722" s="113"/>
      <c r="P722" s="113"/>
      <c r="Q722" s="113"/>
      <c r="R722" s="113"/>
      <c r="S722" s="113"/>
      <c r="T722" s="113"/>
      <c r="U722" s="113"/>
      <c r="V722" s="113"/>
      <c r="W722" s="113"/>
      <c r="X722" s="113"/>
      <c r="Y722" s="113"/>
      <c r="Z722" s="113"/>
      <c r="AA722" s="113"/>
      <c r="AB722" s="113"/>
      <c r="AC722" s="113"/>
      <c r="AD722" s="113"/>
      <c r="AE722" s="113"/>
      <c r="AF722" s="113"/>
      <c r="AG722" s="113"/>
    </row>
    <row r="723" spans="1:33" ht="13.8">
      <c r="A723" s="113"/>
      <c r="B723" s="113"/>
      <c r="C723" s="113"/>
      <c r="D723" s="113"/>
      <c r="E723" s="113"/>
      <c r="F723" s="113"/>
      <c r="G723" s="113"/>
      <c r="H723" s="113"/>
      <c r="I723" s="113"/>
      <c r="J723" s="113"/>
      <c r="K723" s="113"/>
      <c r="L723" s="113"/>
      <c r="M723" s="113"/>
      <c r="N723" s="113"/>
      <c r="O723" s="113"/>
      <c r="P723" s="113"/>
      <c r="Q723" s="113"/>
      <c r="R723" s="113"/>
      <c r="S723" s="113"/>
      <c r="T723" s="113"/>
      <c r="U723" s="113"/>
      <c r="V723" s="113"/>
      <c r="W723" s="113"/>
      <c r="X723" s="113"/>
      <c r="Y723" s="113"/>
      <c r="Z723" s="113"/>
      <c r="AA723" s="113"/>
      <c r="AB723" s="113"/>
      <c r="AC723" s="113"/>
      <c r="AD723" s="113"/>
      <c r="AE723" s="113"/>
      <c r="AF723" s="113"/>
      <c r="AG723" s="113"/>
    </row>
    <row r="724" spans="1:33" ht="13.8">
      <c r="A724" s="113"/>
      <c r="B724" s="113"/>
      <c r="C724" s="113"/>
      <c r="D724" s="113"/>
      <c r="E724" s="113"/>
      <c r="F724" s="113"/>
      <c r="G724" s="113"/>
      <c r="H724" s="113"/>
      <c r="I724" s="113"/>
      <c r="J724" s="113"/>
      <c r="K724" s="113"/>
      <c r="L724" s="113"/>
      <c r="M724" s="113"/>
      <c r="N724" s="113"/>
      <c r="O724" s="113"/>
      <c r="P724" s="113"/>
      <c r="Q724" s="113"/>
      <c r="R724" s="113"/>
      <c r="S724" s="113"/>
      <c r="T724" s="113"/>
      <c r="U724" s="113"/>
      <c r="V724" s="113"/>
      <c r="W724" s="113"/>
      <c r="X724" s="113"/>
      <c r="Y724" s="113"/>
      <c r="Z724" s="113"/>
      <c r="AA724" s="113"/>
      <c r="AB724" s="113"/>
      <c r="AC724" s="113"/>
      <c r="AD724" s="113"/>
      <c r="AE724" s="113"/>
      <c r="AF724" s="113"/>
      <c r="AG724" s="113"/>
    </row>
    <row r="725" spans="1:33" ht="13.8">
      <c r="A725" s="113"/>
      <c r="B725" s="113"/>
      <c r="C725" s="113"/>
      <c r="D725" s="113"/>
      <c r="E725" s="113"/>
      <c r="F725" s="113"/>
      <c r="G725" s="113"/>
      <c r="H725" s="113"/>
      <c r="I725" s="113"/>
      <c r="J725" s="113"/>
      <c r="K725" s="113"/>
      <c r="L725" s="113"/>
      <c r="M725" s="113"/>
      <c r="N725" s="113"/>
      <c r="O725" s="113"/>
      <c r="P725" s="113"/>
      <c r="Q725" s="113"/>
      <c r="R725" s="113"/>
      <c r="S725" s="113"/>
      <c r="T725" s="113"/>
      <c r="U725" s="113"/>
      <c r="V725" s="113"/>
      <c r="W725" s="113"/>
      <c r="X725" s="113"/>
      <c r="Y725" s="113"/>
      <c r="Z725" s="113"/>
      <c r="AA725" s="113"/>
      <c r="AB725" s="113"/>
      <c r="AC725" s="113"/>
      <c r="AD725" s="113"/>
      <c r="AE725" s="113"/>
      <c r="AF725" s="113"/>
      <c r="AG725" s="113"/>
    </row>
    <row r="726" spans="1:33" ht="13.8">
      <c r="A726" s="113"/>
      <c r="B726" s="113"/>
      <c r="C726" s="113"/>
      <c r="D726" s="113"/>
      <c r="E726" s="113"/>
      <c r="F726" s="113"/>
      <c r="G726" s="113"/>
      <c r="H726" s="113"/>
      <c r="I726" s="113"/>
      <c r="J726" s="113"/>
      <c r="K726" s="113"/>
      <c r="L726" s="113"/>
      <c r="M726" s="113"/>
      <c r="N726" s="113"/>
      <c r="O726" s="113"/>
      <c r="P726" s="113"/>
      <c r="Q726" s="113"/>
      <c r="R726" s="113"/>
      <c r="S726" s="113"/>
      <c r="T726" s="113"/>
      <c r="U726" s="113"/>
      <c r="V726" s="113"/>
      <c r="W726" s="113"/>
      <c r="X726" s="113"/>
      <c r="Y726" s="113"/>
      <c r="Z726" s="113"/>
      <c r="AA726" s="113"/>
      <c r="AB726" s="113"/>
      <c r="AC726" s="113"/>
      <c r="AD726" s="113"/>
      <c r="AE726" s="113"/>
      <c r="AF726" s="113"/>
      <c r="AG726" s="113"/>
    </row>
    <row r="727" spans="1:33" ht="13.8">
      <c r="A727" s="113"/>
      <c r="B727" s="113"/>
      <c r="C727" s="113"/>
      <c r="D727" s="113"/>
      <c r="E727" s="113"/>
      <c r="F727" s="113"/>
      <c r="G727" s="113"/>
      <c r="H727" s="113"/>
      <c r="I727" s="113"/>
      <c r="J727" s="113"/>
      <c r="K727" s="113"/>
      <c r="L727" s="113"/>
      <c r="M727" s="113"/>
      <c r="N727" s="113"/>
      <c r="O727" s="113"/>
      <c r="P727" s="113"/>
      <c r="Q727" s="113"/>
      <c r="R727" s="113"/>
      <c r="S727" s="113"/>
      <c r="T727" s="113"/>
      <c r="U727" s="113"/>
      <c r="V727" s="113"/>
      <c r="W727" s="113"/>
      <c r="X727" s="113"/>
      <c r="Y727" s="113"/>
      <c r="Z727" s="113"/>
      <c r="AA727" s="113"/>
      <c r="AB727" s="113"/>
      <c r="AC727" s="113"/>
      <c r="AD727" s="113"/>
      <c r="AE727" s="113"/>
      <c r="AF727" s="113"/>
      <c r="AG727" s="113"/>
    </row>
    <row r="728" spans="1:33" ht="13.8">
      <c r="A728" s="113"/>
      <c r="B728" s="113"/>
      <c r="C728" s="113"/>
      <c r="D728" s="113"/>
      <c r="E728" s="113"/>
      <c r="F728" s="113"/>
      <c r="G728" s="113"/>
      <c r="H728" s="113"/>
      <c r="I728" s="113"/>
      <c r="J728" s="113"/>
      <c r="K728" s="113"/>
      <c r="L728" s="113"/>
      <c r="M728" s="113"/>
      <c r="N728" s="113"/>
      <c r="O728" s="113"/>
      <c r="P728" s="113"/>
      <c r="Q728" s="113"/>
      <c r="R728" s="113"/>
      <c r="S728" s="113"/>
      <c r="T728" s="113"/>
      <c r="U728" s="113"/>
      <c r="V728" s="113"/>
      <c r="W728" s="113"/>
      <c r="X728" s="113"/>
      <c r="Y728" s="113"/>
      <c r="Z728" s="113"/>
      <c r="AA728" s="113"/>
      <c r="AB728" s="113"/>
      <c r="AC728" s="113"/>
      <c r="AD728" s="113"/>
      <c r="AE728" s="113"/>
      <c r="AF728" s="113"/>
      <c r="AG728" s="113"/>
    </row>
    <row r="729" spans="1:33" ht="13.8">
      <c r="A729" s="113"/>
      <c r="B729" s="113"/>
      <c r="C729" s="113"/>
      <c r="D729" s="113"/>
      <c r="E729" s="113"/>
      <c r="F729" s="113"/>
      <c r="G729" s="113"/>
      <c r="H729" s="113"/>
      <c r="I729" s="113"/>
      <c r="J729" s="113"/>
      <c r="K729" s="113"/>
      <c r="L729" s="113"/>
      <c r="M729" s="113"/>
      <c r="N729" s="113"/>
      <c r="O729" s="113"/>
      <c r="P729" s="113"/>
      <c r="Q729" s="113"/>
      <c r="R729" s="113"/>
      <c r="S729" s="113"/>
      <c r="T729" s="113"/>
      <c r="U729" s="113"/>
      <c r="V729" s="113"/>
      <c r="W729" s="113"/>
      <c r="X729" s="113"/>
      <c r="Y729" s="113"/>
      <c r="Z729" s="113"/>
      <c r="AA729" s="113"/>
      <c r="AB729" s="113"/>
      <c r="AC729" s="113"/>
      <c r="AD729" s="113"/>
      <c r="AE729" s="113"/>
      <c r="AF729" s="113"/>
      <c r="AG729" s="113"/>
    </row>
    <row r="730" spans="1:33" ht="13.8">
      <c r="A730" s="113"/>
      <c r="B730" s="113"/>
      <c r="C730" s="113"/>
      <c r="D730" s="113"/>
      <c r="E730" s="113"/>
      <c r="F730" s="113"/>
      <c r="G730" s="113"/>
      <c r="H730" s="113"/>
      <c r="I730" s="113"/>
      <c r="J730" s="113"/>
      <c r="K730" s="113"/>
      <c r="L730" s="113"/>
      <c r="M730" s="113"/>
      <c r="N730" s="113"/>
      <c r="O730" s="113"/>
      <c r="P730" s="113"/>
      <c r="Q730" s="113"/>
      <c r="R730" s="113"/>
      <c r="S730" s="113"/>
      <c r="T730" s="113"/>
      <c r="U730" s="113"/>
      <c r="V730" s="113"/>
      <c r="W730" s="113"/>
      <c r="X730" s="113"/>
      <c r="Y730" s="113"/>
      <c r="Z730" s="113"/>
      <c r="AA730" s="113"/>
      <c r="AB730" s="113"/>
      <c r="AC730" s="113"/>
      <c r="AD730" s="113"/>
      <c r="AE730" s="113"/>
      <c r="AF730" s="113"/>
      <c r="AG730" s="113"/>
    </row>
    <row r="731" spans="1:33" ht="13.8">
      <c r="A731" s="113"/>
      <c r="B731" s="113"/>
      <c r="C731" s="113"/>
      <c r="D731" s="113"/>
      <c r="E731" s="113"/>
      <c r="F731" s="113"/>
      <c r="G731" s="113"/>
      <c r="H731" s="113"/>
      <c r="I731" s="113"/>
      <c r="J731" s="113"/>
      <c r="K731" s="113"/>
      <c r="L731" s="113"/>
      <c r="M731" s="113"/>
      <c r="N731" s="113"/>
      <c r="O731" s="113"/>
      <c r="P731" s="113"/>
      <c r="Q731" s="113"/>
      <c r="R731" s="113"/>
      <c r="S731" s="113"/>
      <c r="T731" s="113"/>
      <c r="U731" s="113"/>
      <c r="V731" s="113"/>
      <c r="W731" s="113"/>
      <c r="X731" s="113"/>
      <c r="Y731" s="113"/>
      <c r="Z731" s="113"/>
      <c r="AA731" s="113"/>
      <c r="AB731" s="113"/>
      <c r="AC731" s="113"/>
      <c r="AD731" s="113"/>
      <c r="AE731" s="113"/>
      <c r="AF731" s="113"/>
      <c r="AG731" s="113"/>
    </row>
    <row r="732" spans="1:33" ht="13.8">
      <c r="A732" s="113"/>
      <c r="B732" s="113"/>
      <c r="C732" s="113"/>
      <c r="D732" s="113"/>
      <c r="E732" s="113"/>
      <c r="F732" s="113"/>
      <c r="G732" s="113"/>
      <c r="H732" s="113"/>
      <c r="I732" s="113"/>
      <c r="J732" s="113"/>
      <c r="K732" s="113"/>
      <c r="L732" s="113"/>
      <c r="M732" s="113"/>
      <c r="N732" s="113"/>
      <c r="O732" s="113"/>
      <c r="P732" s="113"/>
      <c r="Q732" s="113"/>
      <c r="R732" s="113"/>
      <c r="S732" s="113"/>
      <c r="T732" s="113"/>
      <c r="U732" s="113"/>
      <c r="V732" s="113"/>
      <c r="W732" s="113"/>
      <c r="X732" s="113"/>
      <c r="Y732" s="113"/>
      <c r="Z732" s="113"/>
      <c r="AA732" s="113"/>
      <c r="AB732" s="113"/>
      <c r="AC732" s="113"/>
      <c r="AD732" s="113"/>
      <c r="AE732" s="113"/>
      <c r="AF732" s="113"/>
      <c r="AG732" s="113"/>
    </row>
    <row r="733" spans="1:33" ht="13.8">
      <c r="A733" s="113"/>
      <c r="B733" s="113"/>
      <c r="C733" s="113"/>
      <c r="D733" s="113"/>
      <c r="E733" s="113"/>
      <c r="F733" s="113"/>
      <c r="G733" s="113"/>
      <c r="H733" s="113"/>
      <c r="I733" s="113"/>
      <c r="J733" s="113"/>
      <c r="K733" s="113"/>
      <c r="L733" s="113"/>
      <c r="M733" s="113"/>
      <c r="N733" s="113"/>
      <c r="O733" s="113"/>
      <c r="P733" s="113"/>
      <c r="Q733" s="113"/>
      <c r="R733" s="113"/>
      <c r="S733" s="113"/>
      <c r="T733" s="113"/>
      <c r="U733" s="113"/>
      <c r="V733" s="113"/>
      <c r="W733" s="113"/>
      <c r="X733" s="113"/>
      <c r="Y733" s="113"/>
      <c r="Z733" s="113"/>
      <c r="AA733" s="113"/>
      <c r="AB733" s="113"/>
      <c r="AC733" s="113"/>
      <c r="AD733" s="113"/>
      <c r="AE733" s="113"/>
      <c r="AF733" s="113"/>
      <c r="AG733" s="113"/>
    </row>
    <row r="734" spans="1:33" ht="13.8">
      <c r="A734" s="113"/>
      <c r="B734" s="113"/>
      <c r="C734" s="113"/>
      <c r="D734" s="113"/>
      <c r="E734" s="113"/>
      <c r="F734" s="113"/>
      <c r="G734" s="113"/>
      <c r="H734" s="113"/>
      <c r="I734" s="113"/>
      <c r="J734" s="113"/>
      <c r="K734" s="113"/>
      <c r="L734" s="113"/>
      <c r="M734" s="113"/>
      <c r="N734" s="113"/>
      <c r="O734" s="113"/>
      <c r="P734" s="113"/>
      <c r="Q734" s="113"/>
      <c r="R734" s="113"/>
      <c r="S734" s="113"/>
      <c r="T734" s="113"/>
      <c r="U734" s="113"/>
      <c r="V734" s="113"/>
      <c r="W734" s="113"/>
      <c r="X734" s="113"/>
      <c r="Y734" s="113"/>
      <c r="Z734" s="113"/>
      <c r="AA734" s="113"/>
      <c r="AB734" s="113"/>
      <c r="AC734" s="113"/>
      <c r="AD734" s="113"/>
      <c r="AE734" s="113"/>
      <c r="AF734" s="113"/>
      <c r="AG734" s="113"/>
    </row>
    <row r="735" spans="1:33" ht="13.8">
      <c r="A735" s="113"/>
      <c r="B735" s="113"/>
      <c r="C735" s="113"/>
      <c r="D735" s="113"/>
      <c r="E735" s="113"/>
      <c r="F735" s="113"/>
      <c r="G735" s="113"/>
      <c r="H735" s="113"/>
      <c r="I735" s="113"/>
      <c r="J735" s="113"/>
      <c r="K735" s="113"/>
      <c r="L735" s="113"/>
      <c r="M735" s="113"/>
      <c r="N735" s="113"/>
      <c r="O735" s="113"/>
      <c r="P735" s="113"/>
      <c r="Q735" s="113"/>
      <c r="R735" s="113"/>
      <c r="S735" s="113"/>
      <c r="T735" s="113"/>
      <c r="U735" s="113"/>
      <c r="V735" s="113"/>
      <c r="W735" s="113"/>
      <c r="X735" s="113"/>
      <c r="Y735" s="113"/>
      <c r="Z735" s="113"/>
      <c r="AA735" s="113"/>
      <c r="AB735" s="113"/>
      <c r="AC735" s="113"/>
      <c r="AD735" s="113"/>
      <c r="AE735" s="113"/>
      <c r="AF735" s="113"/>
      <c r="AG735" s="113"/>
    </row>
    <row r="736" spans="1:33" ht="13.8">
      <c r="A736" s="113"/>
      <c r="B736" s="113"/>
      <c r="C736" s="113"/>
      <c r="D736" s="113"/>
      <c r="E736" s="113"/>
      <c r="F736" s="113"/>
      <c r="G736" s="113"/>
      <c r="H736" s="113"/>
      <c r="I736" s="113"/>
      <c r="J736" s="113"/>
      <c r="K736" s="113"/>
      <c r="L736" s="113"/>
      <c r="M736" s="113"/>
      <c r="N736" s="113"/>
      <c r="O736" s="113"/>
      <c r="P736" s="113"/>
      <c r="Q736" s="113"/>
      <c r="R736" s="113"/>
      <c r="S736" s="113"/>
      <c r="T736" s="113"/>
      <c r="U736" s="113"/>
      <c r="V736" s="113"/>
      <c r="W736" s="113"/>
      <c r="X736" s="113"/>
      <c r="Y736" s="113"/>
      <c r="Z736" s="113"/>
      <c r="AA736" s="113"/>
      <c r="AB736" s="113"/>
      <c r="AC736" s="113"/>
      <c r="AD736" s="113"/>
      <c r="AE736" s="113"/>
      <c r="AF736" s="113"/>
      <c r="AG736" s="113"/>
    </row>
    <row r="737" spans="1:33" ht="13.8">
      <c r="A737" s="113"/>
      <c r="B737" s="113"/>
      <c r="C737" s="113"/>
      <c r="D737" s="113"/>
      <c r="E737" s="113"/>
      <c r="F737" s="113"/>
      <c r="G737" s="113"/>
      <c r="H737" s="113"/>
      <c r="I737" s="113"/>
      <c r="J737" s="113"/>
      <c r="K737" s="113"/>
      <c r="L737" s="113"/>
      <c r="M737" s="113"/>
      <c r="N737" s="113"/>
      <c r="O737" s="113"/>
      <c r="P737" s="113"/>
      <c r="Q737" s="113"/>
      <c r="R737" s="113"/>
      <c r="S737" s="113"/>
      <c r="T737" s="113"/>
      <c r="U737" s="113"/>
      <c r="V737" s="113"/>
      <c r="W737" s="113"/>
      <c r="X737" s="113"/>
      <c r="Y737" s="113"/>
      <c r="Z737" s="113"/>
      <c r="AA737" s="113"/>
      <c r="AB737" s="113"/>
      <c r="AC737" s="113"/>
      <c r="AD737" s="113"/>
      <c r="AE737" s="113"/>
      <c r="AF737" s="113"/>
      <c r="AG737" s="113"/>
    </row>
    <row r="738" spans="1:33" ht="13.8">
      <c r="A738" s="113"/>
      <c r="B738" s="113"/>
      <c r="C738" s="113"/>
      <c r="D738" s="113"/>
      <c r="E738" s="113"/>
      <c r="F738" s="113"/>
      <c r="G738" s="113"/>
      <c r="H738" s="113"/>
      <c r="I738" s="113"/>
      <c r="J738" s="113"/>
      <c r="K738" s="113"/>
      <c r="L738" s="113"/>
      <c r="M738" s="113"/>
      <c r="N738" s="113"/>
      <c r="O738" s="113"/>
      <c r="P738" s="113"/>
      <c r="Q738" s="113"/>
      <c r="R738" s="113"/>
      <c r="S738" s="113"/>
      <c r="T738" s="113"/>
      <c r="U738" s="113"/>
      <c r="V738" s="113"/>
      <c r="W738" s="113"/>
      <c r="X738" s="113"/>
      <c r="Y738" s="113"/>
      <c r="Z738" s="113"/>
      <c r="AA738" s="113"/>
      <c r="AB738" s="113"/>
      <c r="AC738" s="113"/>
      <c r="AD738" s="113"/>
      <c r="AE738" s="113"/>
      <c r="AF738" s="113"/>
      <c r="AG738" s="113"/>
    </row>
    <row r="739" spans="1:33" ht="13.8">
      <c r="A739" s="113"/>
      <c r="B739" s="113"/>
      <c r="C739" s="113"/>
      <c r="D739" s="113"/>
      <c r="E739" s="113"/>
      <c r="F739" s="113"/>
      <c r="G739" s="113"/>
      <c r="H739" s="113"/>
      <c r="I739" s="113"/>
      <c r="J739" s="113"/>
      <c r="K739" s="113"/>
      <c r="L739" s="113"/>
      <c r="M739" s="113"/>
      <c r="N739" s="113"/>
      <c r="O739" s="113"/>
      <c r="P739" s="113"/>
      <c r="Q739" s="113"/>
      <c r="R739" s="113"/>
      <c r="S739" s="113"/>
      <c r="T739" s="113"/>
      <c r="U739" s="113"/>
      <c r="V739" s="113"/>
      <c r="W739" s="113"/>
      <c r="X739" s="113"/>
      <c r="Y739" s="113"/>
      <c r="Z739" s="113"/>
      <c r="AA739" s="113"/>
      <c r="AB739" s="113"/>
      <c r="AC739" s="113"/>
      <c r="AD739" s="113"/>
      <c r="AE739" s="113"/>
      <c r="AF739" s="113"/>
      <c r="AG739" s="113"/>
    </row>
    <row r="740" spans="1:33" ht="13.8">
      <c r="A740" s="113"/>
      <c r="B740" s="113"/>
      <c r="C740" s="113"/>
      <c r="D740" s="113"/>
      <c r="E740" s="113"/>
      <c r="F740" s="113"/>
      <c r="G740" s="113"/>
      <c r="H740" s="113"/>
      <c r="I740" s="113"/>
      <c r="J740" s="113"/>
      <c r="K740" s="113"/>
      <c r="L740" s="113"/>
      <c r="M740" s="113"/>
      <c r="N740" s="113"/>
      <c r="O740" s="113"/>
      <c r="P740" s="113"/>
      <c r="Q740" s="113"/>
      <c r="R740" s="113"/>
      <c r="S740" s="113"/>
      <c r="T740" s="113"/>
      <c r="U740" s="113"/>
      <c r="V740" s="113"/>
      <c r="W740" s="113"/>
      <c r="X740" s="113"/>
      <c r="Y740" s="113"/>
      <c r="Z740" s="113"/>
      <c r="AA740" s="113"/>
      <c r="AB740" s="113"/>
      <c r="AC740" s="113"/>
      <c r="AD740" s="113"/>
      <c r="AE740" s="113"/>
      <c r="AF740" s="113"/>
      <c r="AG740" s="113"/>
    </row>
    <row r="741" spans="1:33" ht="13.8">
      <c r="A741" s="113"/>
      <c r="B741" s="113"/>
      <c r="C741" s="113"/>
      <c r="D741" s="113"/>
      <c r="E741" s="113"/>
      <c r="F741" s="113"/>
      <c r="G741" s="113"/>
      <c r="H741" s="113"/>
      <c r="I741" s="113"/>
      <c r="J741" s="113"/>
      <c r="K741" s="113"/>
      <c r="L741" s="113"/>
      <c r="M741" s="113"/>
      <c r="N741" s="113"/>
      <c r="O741" s="113"/>
      <c r="P741" s="113"/>
      <c r="Q741" s="113"/>
      <c r="R741" s="113"/>
      <c r="S741" s="113"/>
      <c r="T741" s="113"/>
      <c r="U741" s="113"/>
      <c r="V741" s="113"/>
      <c r="W741" s="113"/>
      <c r="X741" s="113"/>
      <c r="Y741" s="113"/>
      <c r="Z741" s="113"/>
      <c r="AA741" s="113"/>
      <c r="AB741" s="113"/>
      <c r="AC741" s="113"/>
      <c r="AD741" s="113"/>
      <c r="AE741" s="113"/>
      <c r="AF741" s="113"/>
      <c r="AG741" s="113"/>
    </row>
    <row r="742" spans="1:33" ht="13.8">
      <c r="A742" s="113"/>
      <c r="B742" s="113"/>
      <c r="C742" s="113"/>
      <c r="D742" s="113"/>
      <c r="E742" s="113"/>
      <c r="F742" s="113"/>
      <c r="G742" s="113"/>
      <c r="H742" s="113"/>
      <c r="I742" s="113"/>
      <c r="J742" s="113"/>
      <c r="K742" s="113"/>
      <c r="L742" s="113"/>
      <c r="M742" s="113"/>
      <c r="N742" s="113"/>
      <c r="O742" s="113"/>
      <c r="P742" s="113"/>
      <c r="Q742" s="113"/>
      <c r="R742" s="113"/>
      <c r="S742" s="113"/>
      <c r="T742" s="113"/>
      <c r="U742" s="113"/>
      <c r="V742" s="113"/>
      <c r="W742" s="113"/>
      <c r="X742" s="113"/>
      <c r="Y742" s="113"/>
      <c r="Z742" s="113"/>
      <c r="AA742" s="113"/>
      <c r="AB742" s="113"/>
      <c r="AC742" s="113"/>
      <c r="AD742" s="113"/>
      <c r="AE742" s="113"/>
      <c r="AF742" s="113"/>
      <c r="AG742" s="113"/>
    </row>
    <row r="743" spans="1:33" ht="13.8">
      <c r="A743" s="113"/>
      <c r="B743" s="113"/>
      <c r="C743" s="113"/>
      <c r="D743" s="113"/>
      <c r="E743" s="113"/>
      <c r="F743" s="113"/>
      <c r="G743" s="113"/>
      <c r="H743" s="113"/>
      <c r="I743" s="113"/>
      <c r="J743" s="113"/>
      <c r="K743" s="113"/>
      <c r="L743" s="113"/>
      <c r="M743" s="113"/>
      <c r="N743" s="113"/>
      <c r="O743" s="113"/>
      <c r="P743" s="113"/>
      <c r="Q743" s="113"/>
      <c r="R743" s="113"/>
      <c r="S743" s="113"/>
      <c r="T743" s="113"/>
      <c r="U743" s="113"/>
      <c r="V743" s="113"/>
      <c r="W743" s="113"/>
      <c r="X743" s="113"/>
      <c r="Y743" s="113"/>
      <c r="Z743" s="113"/>
      <c r="AA743" s="113"/>
      <c r="AB743" s="113"/>
      <c r="AC743" s="113"/>
      <c r="AD743" s="113"/>
      <c r="AE743" s="113"/>
      <c r="AF743" s="113"/>
      <c r="AG743" s="113"/>
    </row>
    <row r="744" spans="1:33" ht="13.8">
      <c r="A744" s="113"/>
      <c r="B744" s="113"/>
      <c r="C744" s="113"/>
      <c r="D744" s="113"/>
      <c r="E744" s="113"/>
      <c r="F744" s="113"/>
      <c r="G744" s="113"/>
      <c r="H744" s="113"/>
      <c r="I744" s="113"/>
      <c r="J744" s="113"/>
      <c r="K744" s="113"/>
      <c r="L744" s="113"/>
      <c r="M744" s="113"/>
      <c r="N744" s="113"/>
      <c r="O744" s="113"/>
      <c r="P744" s="113"/>
      <c r="Q744" s="113"/>
      <c r="R744" s="113"/>
      <c r="S744" s="113"/>
      <c r="T744" s="113"/>
      <c r="U744" s="113"/>
      <c r="V744" s="113"/>
      <c r="W744" s="113"/>
      <c r="X744" s="113"/>
      <c r="Y744" s="113"/>
      <c r="Z744" s="113"/>
      <c r="AA744" s="113"/>
      <c r="AB744" s="113"/>
      <c r="AC744" s="113"/>
      <c r="AD744" s="113"/>
      <c r="AE744" s="113"/>
      <c r="AF744" s="113"/>
      <c r="AG744" s="113"/>
    </row>
    <row r="745" spans="1:33" ht="13.8">
      <c r="A745" s="113"/>
      <c r="B745" s="113"/>
      <c r="C745" s="113"/>
      <c r="D745" s="113"/>
      <c r="E745" s="113"/>
      <c r="F745" s="113"/>
      <c r="G745" s="113"/>
      <c r="H745" s="113"/>
      <c r="I745" s="113"/>
      <c r="J745" s="113"/>
      <c r="K745" s="113"/>
      <c r="L745" s="113"/>
      <c r="M745" s="113"/>
      <c r="N745" s="113"/>
      <c r="O745" s="113"/>
      <c r="P745" s="113"/>
      <c r="Q745" s="113"/>
      <c r="R745" s="113"/>
      <c r="S745" s="113"/>
      <c r="T745" s="113"/>
      <c r="U745" s="113"/>
      <c r="V745" s="113"/>
      <c r="W745" s="113"/>
      <c r="X745" s="113"/>
      <c r="Y745" s="113"/>
      <c r="Z745" s="113"/>
      <c r="AA745" s="113"/>
      <c r="AB745" s="113"/>
      <c r="AC745" s="113"/>
      <c r="AD745" s="113"/>
      <c r="AE745" s="113"/>
      <c r="AF745" s="113"/>
      <c r="AG745" s="113"/>
    </row>
    <row r="746" spans="1:33" ht="13.8">
      <c r="A746" s="113"/>
      <c r="B746" s="113"/>
      <c r="C746" s="113"/>
      <c r="D746" s="113"/>
      <c r="E746" s="113"/>
      <c r="F746" s="113"/>
      <c r="G746" s="113"/>
      <c r="H746" s="113"/>
      <c r="I746" s="113"/>
      <c r="J746" s="113"/>
      <c r="K746" s="113"/>
      <c r="L746" s="113"/>
      <c r="M746" s="113"/>
      <c r="N746" s="113"/>
      <c r="O746" s="113"/>
      <c r="P746" s="113"/>
      <c r="Q746" s="113"/>
      <c r="R746" s="113"/>
      <c r="S746" s="113"/>
      <c r="T746" s="113"/>
      <c r="U746" s="113"/>
      <c r="V746" s="113"/>
      <c r="W746" s="113"/>
      <c r="X746" s="113"/>
      <c r="Y746" s="113"/>
      <c r="Z746" s="113"/>
      <c r="AA746" s="113"/>
      <c r="AB746" s="113"/>
      <c r="AC746" s="113"/>
      <c r="AD746" s="113"/>
      <c r="AE746" s="113"/>
      <c r="AF746" s="113"/>
      <c r="AG746" s="113"/>
    </row>
    <row r="747" spans="1:33" ht="13.8">
      <c r="A747" s="113"/>
      <c r="B747" s="113"/>
      <c r="C747" s="113"/>
      <c r="D747" s="113"/>
      <c r="E747" s="113"/>
      <c r="F747" s="113"/>
      <c r="G747" s="113"/>
      <c r="H747" s="113"/>
      <c r="I747" s="113"/>
      <c r="J747" s="113"/>
      <c r="K747" s="113"/>
      <c r="L747" s="113"/>
      <c r="M747" s="113"/>
      <c r="N747" s="113"/>
      <c r="O747" s="113"/>
      <c r="P747" s="113"/>
      <c r="Q747" s="113"/>
      <c r="R747" s="113"/>
      <c r="S747" s="113"/>
      <c r="T747" s="113"/>
      <c r="U747" s="113"/>
      <c r="V747" s="113"/>
      <c r="W747" s="113"/>
      <c r="X747" s="113"/>
      <c r="Y747" s="113"/>
      <c r="Z747" s="113"/>
      <c r="AA747" s="113"/>
      <c r="AB747" s="113"/>
      <c r="AC747" s="113"/>
      <c r="AD747" s="113"/>
      <c r="AE747" s="113"/>
      <c r="AF747" s="113"/>
      <c r="AG747" s="113"/>
    </row>
    <row r="748" spans="1:33" ht="13.8">
      <c r="A748" s="113"/>
      <c r="B748" s="113"/>
      <c r="C748" s="113"/>
      <c r="D748" s="113"/>
      <c r="E748" s="113"/>
      <c r="F748" s="113"/>
      <c r="G748" s="113"/>
      <c r="H748" s="113"/>
      <c r="I748" s="113"/>
      <c r="J748" s="113"/>
      <c r="K748" s="113"/>
      <c r="L748" s="113"/>
      <c r="M748" s="113"/>
      <c r="N748" s="113"/>
      <c r="O748" s="113"/>
      <c r="P748" s="113"/>
      <c r="Q748" s="113"/>
      <c r="R748" s="113"/>
      <c r="S748" s="113"/>
      <c r="T748" s="113"/>
      <c r="U748" s="113"/>
      <c r="V748" s="113"/>
      <c r="W748" s="113"/>
      <c r="X748" s="113"/>
      <c r="Y748" s="113"/>
      <c r="Z748" s="113"/>
      <c r="AA748" s="113"/>
      <c r="AB748" s="113"/>
      <c r="AC748" s="113"/>
      <c r="AD748" s="113"/>
      <c r="AE748" s="113"/>
      <c r="AF748" s="113"/>
      <c r="AG748" s="113"/>
    </row>
    <row r="749" spans="1:33" ht="13.8">
      <c r="A749" s="113"/>
      <c r="B749" s="113"/>
      <c r="C749" s="113"/>
      <c r="D749" s="113"/>
      <c r="E749" s="113"/>
      <c r="F749" s="113"/>
      <c r="G749" s="113"/>
      <c r="H749" s="113"/>
      <c r="I749" s="113"/>
      <c r="J749" s="113"/>
      <c r="K749" s="113"/>
      <c r="L749" s="113"/>
      <c r="M749" s="113"/>
      <c r="N749" s="113"/>
      <c r="O749" s="113"/>
      <c r="P749" s="113"/>
      <c r="Q749" s="113"/>
      <c r="R749" s="113"/>
      <c r="S749" s="113"/>
      <c r="T749" s="113"/>
      <c r="U749" s="113"/>
      <c r="V749" s="113"/>
      <c r="W749" s="113"/>
      <c r="X749" s="113"/>
      <c r="Y749" s="113"/>
      <c r="Z749" s="113"/>
      <c r="AA749" s="113"/>
      <c r="AB749" s="113"/>
      <c r="AC749" s="113"/>
      <c r="AD749" s="113"/>
      <c r="AE749" s="113"/>
      <c r="AF749" s="113"/>
      <c r="AG749" s="113"/>
    </row>
    <row r="750" spans="1:33" ht="13.8">
      <c r="A750" s="113"/>
      <c r="B750" s="113"/>
      <c r="C750" s="113"/>
      <c r="D750" s="113"/>
      <c r="E750" s="113"/>
      <c r="F750" s="113"/>
      <c r="G750" s="113"/>
      <c r="H750" s="113"/>
      <c r="I750" s="113"/>
      <c r="J750" s="113"/>
      <c r="K750" s="113"/>
      <c r="L750" s="113"/>
      <c r="M750" s="113"/>
      <c r="N750" s="113"/>
      <c r="O750" s="113"/>
      <c r="P750" s="113"/>
      <c r="Q750" s="113"/>
      <c r="R750" s="113"/>
      <c r="S750" s="113"/>
      <c r="T750" s="113"/>
      <c r="U750" s="113"/>
      <c r="V750" s="113"/>
      <c r="W750" s="113"/>
      <c r="X750" s="113"/>
      <c r="Y750" s="113"/>
      <c r="Z750" s="113"/>
      <c r="AA750" s="113"/>
      <c r="AB750" s="113"/>
      <c r="AC750" s="113"/>
      <c r="AD750" s="113"/>
      <c r="AE750" s="113"/>
      <c r="AF750" s="113"/>
      <c r="AG750" s="113"/>
    </row>
    <row r="751" spans="1:33" ht="13.8">
      <c r="A751" s="113"/>
      <c r="B751" s="113"/>
      <c r="C751" s="113"/>
      <c r="D751" s="113"/>
      <c r="E751" s="113"/>
      <c r="F751" s="113"/>
      <c r="G751" s="113"/>
      <c r="H751" s="113"/>
      <c r="I751" s="113"/>
      <c r="J751" s="113"/>
      <c r="K751" s="113"/>
      <c r="L751" s="113"/>
      <c r="M751" s="113"/>
      <c r="N751" s="113"/>
      <c r="O751" s="113"/>
      <c r="P751" s="113"/>
      <c r="Q751" s="113"/>
      <c r="R751" s="113"/>
      <c r="S751" s="113"/>
      <c r="T751" s="113"/>
      <c r="U751" s="113"/>
      <c r="V751" s="113"/>
      <c r="W751" s="113"/>
      <c r="X751" s="113"/>
      <c r="Y751" s="113"/>
      <c r="Z751" s="113"/>
      <c r="AA751" s="113"/>
      <c r="AB751" s="113"/>
      <c r="AC751" s="113"/>
      <c r="AD751" s="113"/>
      <c r="AE751" s="113"/>
      <c r="AF751" s="113"/>
      <c r="AG751" s="113"/>
    </row>
    <row r="752" spans="1:33" ht="13.8">
      <c r="A752" s="113"/>
      <c r="B752" s="113"/>
      <c r="C752" s="113"/>
      <c r="D752" s="113"/>
      <c r="E752" s="113"/>
      <c r="F752" s="113"/>
      <c r="G752" s="113"/>
      <c r="H752" s="113"/>
      <c r="I752" s="113"/>
      <c r="J752" s="113"/>
      <c r="K752" s="113"/>
      <c r="L752" s="113"/>
      <c r="M752" s="113"/>
      <c r="N752" s="113"/>
      <c r="O752" s="113"/>
      <c r="P752" s="113"/>
      <c r="Q752" s="113"/>
      <c r="R752" s="113"/>
      <c r="S752" s="113"/>
      <c r="T752" s="113"/>
      <c r="U752" s="113"/>
      <c r="V752" s="113"/>
      <c r="W752" s="113"/>
      <c r="X752" s="113"/>
      <c r="Y752" s="113"/>
      <c r="Z752" s="113"/>
      <c r="AA752" s="113"/>
      <c r="AB752" s="113"/>
      <c r="AC752" s="113"/>
      <c r="AD752" s="113"/>
      <c r="AE752" s="113"/>
      <c r="AF752" s="113"/>
      <c r="AG752" s="113"/>
    </row>
    <row r="753" spans="1:33" ht="13.8">
      <c r="A753" s="113"/>
      <c r="B753" s="113"/>
      <c r="C753" s="113"/>
      <c r="D753" s="113"/>
      <c r="E753" s="113"/>
      <c r="F753" s="113"/>
      <c r="G753" s="113"/>
      <c r="H753" s="113"/>
      <c r="I753" s="113"/>
      <c r="J753" s="113"/>
      <c r="K753" s="113"/>
      <c r="L753" s="113"/>
      <c r="M753" s="113"/>
      <c r="N753" s="113"/>
      <c r="O753" s="113"/>
      <c r="P753" s="113"/>
      <c r="Q753" s="113"/>
      <c r="R753" s="113"/>
      <c r="S753" s="113"/>
      <c r="T753" s="113"/>
      <c r="U753" s="113"/>
      <c r="V753" s="113"/>
      <c r="W753" s="113"/>
      <c r="X753" s="113"/>
      <c r="Y753" s="113"/>
      <c r="Z753" s="113"/>
      <c r="AA753" s="113"/>
      <c r="AB753" s="113"/>
      <c r="AC753" s="113"/>
      <c r="AD753" s="113"/>
      <c r="AE753" s="113"/>
      <c r="AF753" s="113"/>
      <c r="AG753" s="113"/>
    </row>
    <row r="754" spans="1:33" ht="13.8">
      <c r="A754" s="113"/>
      <c r="B754" s="113"/>
      <c r="C754" s="113"/>
      <c r="D754" s="113"/>
      <c r="E754" s="113"/>
      <c r="F754" s="113"/>
      <c r="G754" s="113"/>
      <c r="H754" s="113"/>
      <c r="I754" s="113"/>
      <c r="J754" s="113"/>
      <c r="K754" s="113"/>
      <c r="L754" s="113"/>
      <c r="M754" s="113"/>
      <c r="N754" s="113"/>
      <c r="O754" s="113"/>
      <c r="P754" s="113"/>
      <c r="Q754" s="113"/>
      <c r="R754" s="113"/>
      <c r="S754" s="113"/>
      <c r="T754" s="113"/>
      <c r="U754" s="113"/>
      <c r="V754" s="113"/>
      <c r="W754" s="113"/>
      <c r="X754" s="113"/>
      <c r="Y754" s="113"/>
      <c r="Z754" s="113"/>
      <c r="AA754" s="113"/>
      <c r="AB754" s="113"/>
      <c r="AC754" s="113"/>
      <c r="AD754" s="113"/>
      <c r="AE754" s="113"/>
      <c r="AF754" s="113"/>
      <c r="AG754" s="113"/>
    </row>
    <row r="755" spans="1:33" ht="13.8">
      <c r="A755" s="113"/>
      <c r="B755" s="113"/>
      <c r="C755" s="113"/>
      <c r="D755" s="113"/>
      <c r="E755" s="113"/>
      <c r="F755" s="113"/>
      <c r="G755" s="113"/>
      <c r="H755" s="113"/>
      <c r="I755" s="113"/>
      <c r="J755" s="113"/>
      <c r="K755" s="113"/>
      <c r="L755" s="113"/>
      <c r="M755" s="113"/>
      <c r="N755" s="113"/>
      <c r="O755" s="113"/>
      <c r="P755" s="113"/>
      <c r="Q755" s="113"/>
      <c r="R755" s="113"/>
      <c r="S755" s="113"/>
      <c r="T755" s="113"/>
      <c r="U755" s="113"/>
      <c r="V755" s="113"/>
      <c r="W755" s="113"/>
      <c r="X755" s="113"/>
      <c r="Y755" s="113"/>
      <c r="Z755" s="113"/>
      <c r="AA755" s="113"/>
      <c r="AB755" s="113"/>
      <c r="AC755" s="113"/>
      <c r="AD755" s="113"/>
      <c r="AE755" s="113"/>
      <c r="AF755" s="113"/>
      <c r="AG755" s="113"/>
    </row>
    <row r="756" spans="1:33" ht="13.8">
      <c r="A756" s="113"/>
      <c r="B756" s="113"/>
      <c r="C756" s="113"/>
      <c r="D756" s="113"/>
      <c r="E756" s="113"/>
      <c r="F756" s="113"/>
      <c r="G756" s="113"/>
      <c r="H756" s="113"/>
      <c r="I756" s="113"/>
      <c r="J756" s="113"/>
      <c r="K756" s="113"/>
      <c r="L756" s="113"/>
      <c r="M756" s="113"/>
      <c r="N756" s="113"/>
      <c r="O756" s="113"/>
      <c r="P756" s="113"/>
      <c r="Q756" s="113"/>
      <c r="R756" s="113"/>
      <c r="S756" s="113"/>
      <c r="T756" s="113"/>
      <c r="U756" s="113"/>
      <c r="V756" s="113"/>
      <c r="W756" s="113"/>
      <c r="X756" s="113"/>
      <c r="Y756" s="113"/>
      <c r="Z756" s="113"/>
      <c r="AA756" s="113"/>
      <c r="AB756" s="113"/>
      <c r="AC756" s="113"/>
      <c r="AD756" s="113"/>
      <c r="AE756" s="113"/>
      <c r="AF756" s="113"/>
      <c r="AG756" s="113"/>
    </row>
    <row r="757" spans="1:33" ht="13.8">
      <c r="A757" s="113"/>
      <c r="B757" s="113"/>
      <c r="C757" s="113"/>
      <c r="D757" s="113"/>
      <c r="E757" s="113"/>
      <c r="F757" s="113"/>
      <c r="G757" s="113"/>
      <c r="H757" s="113"/>
      <c r="I757" s="113"/>
      <c r="J757" s="113"/>
      <c r="K757" s="113"/>
      <c r="L757" s="113"/>
      <c r="M757" s="113"/>
      <c r="N757" s="113"/>
      <c r="O757" s="113"/>
      <c r="P757" s="113"/>
      <c r="Q757" s="113"/>
      <c r="R757" s="113"/>
      <c r="S757" s="113"/>
      <c r="T757" s="113"/>
      <c r="U757" s="113"/>
      <c r="V757" s="113"/>
      <c r="W757" s="113"/>
      <c r="X757" s="113"/>
      <c r="Y757" s="113"/>
      <c r="Z757" s="113"/>
      <c r="AA757" s="113"/>
      <c r="AB757" s="113"/>
      <c r="AC757" s="113"/>
      <c r="AD757" s="113"/>
      <c r="AE757" s="113"/>
      <c r="AF757" s="113"/>
      <c r="AG757" s="113"/>
    </row>
    <row r="758" spans="1:33" ht="13.8">
      <c r="A758" s="113"/>
      <c r="B758" s="113"/>
      <c r="C758" s="113"/>
      <c r="D758" s="113"/>
      <c r="E758" s="113"/>
      <c r="F758" s="113"/>
      <c r="G758" s="113"/>
      <c r="H758" s="113"/>
      <c r="I758" s="113"/>
      <c r="J758" s="113"/>
      <c r="K758" s="113"/>
      <c r="L758" s="113"/>
      <c r="M758" s="113"/>
      <c r="N758" s="113"/>
      <c r="O758" s="113"/>
      <c r="P758" s="113"/>
      <c r="Q758" s="113"/>
      <c r="R758" s="113"/>
      <c r="S758" s="113"/>
      <c r="T758" s="113"/>
      <c r="U758" s="113"/>
      <c r="V758" s="113"/>
      <c r="W758" s="113"/>
      <c r="X758" s="113"/>
      <c r="Y758" s="113"/>
      <c r="Z758" s="113"/>
      <c r="AA758" s="113"/>
      <c r="AB758" s="113"/>
      <c r="AC758" s="113"/>
      <c r="AD758" s="113"/>
      <c r="AE758" s="113"/>
      <c r="AF758" s="113"/>
      <c r="AG758" s="113"/>
    </row>
    <row r="759" spans="1:33" ht="13.8">
      <c r="A759" s="113"/>
      <c r="B759" s="113"/>
      <c r="C759" s="113"/>
      <c r="D759" s="113"/>
      <c r="E759" s="113"/>
      <c r="F759" s="113"/>
      <c r="G759" s="113"/>
      <c r="H759" s="113"/>
      <c r="I759" s="113"/>
      <c r="J759" s="113"/>
      <c r="K759" s="113"/>
      <c r="L759" s="113"/>
      <c r="M759" s="113"/>
      <c r="N759" s="113"/>
      <c r="O759" s="113"/>
      <c r="P759" s="113"/>
      <c r="Q759" s="113"/>
      <c r="R759" s="113"/>
      <c r="S759" s="113"/>
      <c r="T759" s="113"/>
      <c r="U759" s="113"/>
      <c r="V759" s="113"/>
      <c r="W759" s="113"/>
      <c r="X759" s="113"/>
      <c r="Y759" s="113"/>
      <c r="Z759" s="113"/>
      <c r="AA759" s="113"/>
      <c r="AB759" s="113"/>
      <c r="AC759" s="113"/>
      <c r="AD759" s="113"/>
      <c r="AE759" s="113"/>
      <c r="AF759" s="113"/>
      <c r="AG759" s="113"/>
    </row>
    <row r="760" spans="1:33" ht="13.8">
      <c r="A760" s="113"/>
      <c r="B760" s="113"/>
      <c r="C760" s="113"/>
      <c r="D760" s="113"/>
      <c r="E760" s="113"/>
      <c r="F760" s="113"/>
      <c r="G760" s="113"/>
      <c r="H760" s="113"/>
      <c r="I760" s="113"/>
      <c r="J760" s="113"/>
      <c r="K760" s="113"/>
      <c r="L760" s="113"/>
      <c r="M760" s="113"/>
      <c r="N760" s="113"/>
      <c r="O760" s="113"/>
      <c r="P760" s="113"/>
      <c r="Q760" s="113"/>
      <c r="R760" s="113"/>
      <c r="S760" s="113"/>
      <c r="T760" s="113"/>
      <c r="U760" s="113"/>
      <c r="V760" s="113"/>
      <c r="W760" s="113"/>
      <c r="X760" s="113"/>
      <c r="Y760" s="113"/>
      <c r="Z760" s="113"/>
      <c r="AA760" s="113"/>
      <c r="AB760" s="113"/>
      <c r="AC760" s="113"/>
      <c r="AD760" s="113"/>
      <c r="AE760" s="113"/>
      <c r="AF760" s="113"/>
      <c r="AG760" s="113"/>
    </row>
    <row r="761" spans="1:33" ht="13.8">
      <c r="A761" s="113"/>
      <c r="B761" s="113"/>
      <c r="C761" s="113"/>
      <c r="D761" s="113"/>
      <c r="E761" s="113"/>
      <c r="F761" s="113"/>
      <c r="G761" s="113"/>
      <c r="H761" s="113"/>
      <c r="I761" s="113"/>
      <c r="J761" s="113"/>
      <c r="K761" s="113"/>
      <c r="L761" s="113"/>
      <c r="M761" s="113"/>
      <c r="N761" s="113"/>
      <c r="O761" s="113"/>
      <c r="P761" s="113"/>
      <c r="Q761" s="113"/>
      <c r="R761" s="113"/>
      <c r="S761" s="113"/>
      <c r="T761" s="113"/>
      <c r="U761" s="113"/>
      <c r="V761" s="113"/>
      <c r="W761" s="113"/>
      <c r="X761" s="113"/>
      <c r="Y761" s="113"/>
      <c r="Z761" s="113"/>
      <c r="AA761" s="113"/>
      <c r="AB761" s="113"/>
      <c r="AC761" s="113"/>
      <c r="AD761" s="113"/>
      <c r="AE761" s="113"/>
      <c r="AF761" s="113"/>
      <c r="AG761" s="113"/>
    </row>
    <row r="762" spans="1:33" ht="13.8">
      <c r="A762" s="113"/>
      <c r="B762" s="113"/>
      <c r="C762" s="113"/>
      <c r="D762" s="113"/>
      <c r="E762" s="113"/>
      <c r="F762" s="113"/>
      <c r="G762" s="113"/>
      <c r="H762" s="113"/>
      <c r="I762" s="113"/>
      <c r="J762" s="113"/>
      <c r="K762" s="113"/>
      <c r="L762" s="113"/>
      <c r="M762" s="113"/>
      <c r="N762" s="113"/>
      <c r="O762" s="113"/>
      <c r="P762" s="113"/>
      <c r="Q762" s="113"/>
      <c r="R762" s="113"/>
      <c r="S762" s="113"/>
      <c r="T762" s="113"/>
      <c r="U762" s="113"/>
      <c r="V762" s="113"/>
      <c r="W762" s="113"/>
      <c r="X762" s="113"/>
      <c r="Y762" s="113"/>
      <c r="Z762" s="113"/>
      <c r="AA762" s="113"/>
      <c r="AB762" s="113"/>
      <c r="AC762" s="113"/>
      <c r="AD762" s="113"/>
      <c r="AE762" s="113"/>
      <c r="AF762" s="113"/>
      <c r="AG762" s="113"/>
    </row>
    <row r="763" spans="1:33" ht="13.8">
      <c r="A763" s="113"/>
      <c r="B763" s="113"/>
      <c r="C763" s="113"/>
      <c r="D763" s="113"/>
      <c r="E763" s="113"/>
      <c r="F763" s="113"/>
      <c r="G763" s="113"/>
      <c r="H763" s="113"/>
      <c r="I763" s="113"/>
      <c r="J763" s="113"/>
      <c r="K763" s="113"/>
      <c r="L763" s="113"/>
      <c r="M763" s="113"/>
      <c r="N763" s="113"/>
      <c r="O763" s="113"/>
      <c r="P763" s="113"/>
      <c r="Q763" s="113"/>
      <c r="R763" s="113"/>
      <c r="S763" s="113"/>
      <c r="T763" s="113"/>
      <c r="U763" s="113"/>
      <c r="V763" s="113"/>
      <c r="W763" s="113"/>
      <c r="X763" s="113"/>
      <c r="Y763" s="113"/>
      <c r="Z763" s="113"/>
      <c r="AA763" s="113"/>
      <c r="AB763" s="113"/>
      <c r="AC763" s="113"/>
      <c r="AD763" s="113"/>
      <c r="AE763" s="113"/>
      <c r="AF763" s="113"/>
      <c r="AG763" s="113"/>
    </row>
    <row r="764" spans="1:33" ht="13.8">
      <c r="A764" s="113"/>
      <c r="B764" s="113"/>
      <c r="C764" s="113"/>
      <c r="D764" s="113"/>
      <c r="E764" s="113"/>
      <c r="F764" s="113"/>
      <c r="G764" s="113"/>
      <c r="H764" s="113"/>
      <c r="I764" s="113"/>
      <c r="J764" s="113"/>
      <c r="K764" s="113"/>
      <c r="L764" s="113"/>
      <c r="M764" s="113"/>
      <c r="N764" s="113"/>
      <c r="O764" s="113"/>
      <c r="P764" s="113"/>
      <c r="Q764" s="113"/>
      <c r="R764" s="113"/>
      <c r="S764" s="113"/>
      <c r="T764" s="113"/>
      <c r="U764" s="113"/>
      <c r="V764" s="113"/>
      <c r="W764" s="113"/>
      <c r="X764" s="113"/>
      <c r="Y764" s="113"/>
      <c r="Z764" s="113"/>
      <c r="AA764" s="113"/>
      <c r="AB764" s="113"/>
      <c r="AC764" s="113"/>
      <c r="AD764" s="113"/>
      <c r="AE764" s="113"/>
      <c r="AF764" s="113"/>
      <c r="AG764" s="113"/>
    </row>
    <row r="765" spans="1:33" ht="13.8">
      <c r="A765" s="113"/>
      <c r="B765" s="113"/>
      <c r="C765" s="113"/>
      <c r="D765" s="113"/>
      <c r="E765" s="113"/>
      <c r="F765" s="113"/>
      <c r="G765" s="113"/>
      <c r="H765" s="113"/>
      <c r="I765" s="113"/>
      <c r="J765" s="113"/>
      <c r="K765" s="113"/>
      <c r="L765" s="113"/>
      <c r="M765" s="113"/>
      <c r="N765" s="113"/>
      <c r="O765" s="113"/>
      <c r="P765" s="113"/>
      <c r="Q765" s="113"/>
      <c r="R765" s="113"/>
      <c r="S765" s="113"/>
      <c r="T765" s="113"/>
      <c r="U765" s="113"/>
      <c r="V765" s="113"/>
      <c r="W765" s="113"/>
      <c r="X765" s="113"/>
      <c r="Y765" s="113"/>
      <c r="Z765" s="113"/>
      <c r="AA765" s="113"/>
      <c r="AB765" s="113"/>
      <c r="AC765" s="113"/>
      <c r="AD765" s="113"/>
      <c r="AE765" s="113"/>
      <c r="AF765" s="113"/>
      <c r="AG765" s="113"/>
    </row>
    <row r="766" spans="1:33" ht="13.8">
      <c r="A766" s="113"/>
      <c r="B766" s="113"/>
      <c r="C766" s="113"/>
      <c r="D766" s="113"/>
      <c r="E766" s="113"/>
      <c r="F766" s="113"/>
      <c r="G766" s="113"/>
      <c r="H766" s="113"/>
      <c r="I766" s="113"/>
      <c r="J766" s="113"/>
      <c r="K766" s="113"/>
      <c r="L766" s="113"/>
      <c r="M766" s="113"/>
      <c r="N766" s="113"/>
      <c r="O766" s="113"/>
      <c r="P766" s="113"/>
      <c r="Q766" s="113"/>
      <c r="R766" s="113"/>
      <c r="S766" s="113"/>
      <c r="T766" s="113"/>
      <c r="U766" s="113"/>
      <c r="V766" s="113"/>
      <c r="W766" s="113"/>
      <c r="X766" s="113"/>
      <c r="Y766" s="113"/>
      <c r="Z766" s="113"/>
      <c r="AA766" s="113"/>
      <c r="AB766" s="113"/>
      <c r="AC766" s="113"/>
      <c r="AD766" s="113"/>
      <c r="AE766" s="113"/>
      <c r="AF766" s="113"/>
      <c r="AG766" s="113"/>
    </row>
    <row r="767" spans="1:33" ht="13.8">
      <c r="A767" s="113"/>
      <c r="B767" s="113"/>
      <c r="C767" s="113"/>
      <c r="D767" s="113"/>
      <c r="E767" s="113"/>
      <c r="F767" s="113"/>
      <c r="G767" s="113"/>
      <c r="H767" s="113"/>
      <c r="I767" s="113"/>
      <c r="J767" s="113"/>
      <c r="K767" s="113"/>
      <c r="L767" s="113"/>
      <c r="M767" s="113"/>
      <c r="N767" s="113"/>
      <c r="O767" s="113"/>
      <c r="P767" s="113"/>
      <c r="Q767" s="113"/>
      <c r="R767" s="113"/>
      <c r="S767" s="113"/>
      <c r="T767" s="113"/>
      <c r="U767" s="113"/>
      <c r="V767" s="113"/>
      <c r="W767" s="113"/>
      <c r="X767" s="113"/>
      <c r="Y767" s="113"/>
      <c r="Z767" s="113"/>
      <c r="AA767" s="113"/>
      <c r="AB767" s="113"/>
      <c r="AC767" s="113"/>
      <c r="AD767" s="113"/>
      <c r="AE767" s="113"/>
      <c r="AF767" s="113"/>
      <c r="AG767" s="113"/>
    </row>
    <row r="768" spans="1:33" ht="13.8">
      <c r="A768" s="113"/>
      <c r="B768" s="113"/>
      <c r="C768" s="113"/>
      <c r="D768" s="113"/>
      <c r="E768" s="113"/>
      <c r="F768" s="113"/>
      <c r="G768" s="113"/>
      <c r="H768" s="113"/>
      <c r="I768" s="113"/>
      <c r="J768" s="113"/>
      <c r="K768" s="113"/>
      <c r="L768" s="113"/>
      <c r="M768" s="113"/>
      <c r="N768" s="113"/>
      <c r="O768" s="113"/>
      <c r="P768" s="113"/>
      <c r="Q768" s="113"/>
      <c r="R768" s="113"/>
      <c r="S768" s="113"/>
      <c r="T768" s="113"/>
      <c r="U768" s="113"/>
      <c r="V768" s="113"/>
      <c r="W768" s="113"/>
      <c r="X768" s="113"/>
      <c r="Y768" s="113"/>
      <c r="Z768" s="113"/>
      <c r="AA768" s="113"/>
      <c r="AB768" s="113"/>
      <c r="AC768" s="113"/>
      <c r="AD768" s="113"/>
      <c r="AE768" s="113"/>
      <c r="AF768" s="113"/>
      <c r="AG768" s="113"/>
    </row>
    <row r="769" spans="1:33" ht="13.8">
      <c r="A769" s="113"/>
      <c r="B769" s="113"/>
      <c r="C769" s="113"/>
      <c r="D769" s="113"/>
      <c r="E769" s="113"/>
      <c r="F769" s="113"/>
      <c r="G769" s="113"/>
      <c r="H769" s="113"/>
      <c r="I769" s="113"/>
      <c r="J769" s="113"/>
      <c r="K769" s="113"/>
      <c r="L769" s="113"/>
      <c r="M769" s="113"/>
      <c r="N769" s="113"/>
      <c r="O769" s="113"/>
      <c r="P769" s="113"/>
      <c r="Q769" s="113"/>
      <c r="R769" s="113"/>
      <c r="S769" s="113"/>
      <c r="T769" s="113"/>
      <c r="U769" s="113"/>
      <c r="V769" s="113"/>
      <c r="W769" s="113"/>
      <c r="X769" s="113"/>
      <c r="Y769" s="113"/>
      <c r="Z769" s="113"/>
      <c r="AA769" s="113"/>
      <c r="AB769" s="113"/>
      <c r="AC769" s="113"/>
      <c r="AD769" s="113"/>
      <c r="AE769" s="113"/>
      <c r="AF769" s="113"/>
      <c r="AG769" s="113"/>
    </row>
    <row r="770" spans="1:33" ht="13.8">
      <c r="A770" s="113"/>
      <c r="B770" s="113"/>
      <c r="C770" s="113"/>
      <c r="D770" s="113"/>
      <c r="E770" s="113"/>
      <c r="F770" s="113"/>
      <c r="G770" s="113"/>
      <c r="H770" s="113"/>
      <c r="I770" s="113"/>
      <c r="J770" s="113"/>
      <c r="K770" s="113"/>
      <c r="L770" s="113"/>
      <c r="M770" s="113"/>
      <c r="N770" s="113"/>
      <c r="O770" s="113"/>
      <c r="P770" s="113"/>
      <c r="Q770" s="113"/>
      <c r="R770" s="113"/>
      <c r="S770" s="113"/>
      <c r="T770" s="113"/>
      <c r="U770" s="113"/>
      <c r="V770" s="113"/>
      <c r="W770" s="113"/>
      <c r="X770" s="113"/>
      <c r="Y770" s="113"/>
      <c r="Z770" s="113"/>
      <c r="AA770" s="113"/>
      <c r="AB770" s="113"/>
      <c r="AC770" s="113"/>
      <c r="AD770" s="113"/>
      <c r="AE770" s="113"/>
      <c r="AF770" s="113"/>
      <c r="AG770" s="113"/>
    </row>
    <row r="771" spans="1:33" ht="13.8">
      <c r="A771" s="113"/>
      <c r="B771" s="113"/>
      <c r="C771" s="113"/>
      <c r="D771" s="113"/>
      <c r="E771" s="113"/>
      <c r="F771" s="113"/>
      <c r="G771" s="113"/>
      <c r="H771" s="113"/>
      <c r="I771" s="113"/>
      <c r="J771" s="113"/>
      <c r="K771" s="113"/>
      <c r="L771" s="113"/>
      <c r="M771" s="113"/>
      <c r="N771" s="113"/>
      <c r="O771" s="113"/>
      <c r="P771" s="113"/>
      <c r="Q771" s="113"/>
      <c r="R771" s="113"/>
      <c r="S771" s="113"/>
      <c r="T771" s="113"/>
      <c r="U771" s="113"/>
      <c r="V771" s="113"/>
      <c r="W771" s="113"/>
      <c r="X771" s="113"/>
      <c r="Y771" s="113"/>
      <c r="Z771" s="113"/>
      <c r="AA771" s="113"/>
      <c r="AB771" s="113"/>
      <c r="AC771" s="113"/>
      <c r="AD771" s="113"/>
      <c r="AE771" s="113"/>
      <c r="AF771" s="113"/>
      <c r="AG771" s="113"/>
    </row>
    <row r="772" spans="1:33" ht="13.8">
      <c r="A772" s="113"/>
      <c r="B772" s="113"/>
      <c r="C772" s="113"/>
      <c r="D772" s="113"/>
      <c r="E772" s="113"/>
      <c r="F772" s="113"/>
      <c r="G772" s="113"/>
      <c r="H772" s="113"/>
      <c r="I772" s="113"/>
      <c r="J772" s="113"/>
      <c r="K772" s="113"/>
      <c r="L772" s="113"/>
      <c r="M772" s="113"/>
      <c r="N772" s="113"/>
      <c r="O772" s="113"/>
      <c r="P772" s="113"/>
      <c r="Q772" s="113"/>
      <c r="R772" s="113"/>
      <c r="S772" s="113"/>
      <c r="T772" s="113"/>
      <c r="U772" s="113"/>
      <c r="V772" s="113"/>
      <c r="W772" s="113"/>
      <c r="X772" s="113"/>
      <c r="Y772" s="113"/>
      <c r="Z772" s="113"/>
      <c r="AA772" s="113"/>
      <c r="AB772" s="113"/>
      <c r="AC772" s="113"/>
      <c r="AD772" s="113"/>
      <c r="AE772" s="113"/>
      <c r="AF772" s="113"/>
      <c r="AG772" s="113"/>
    </row>
    <row r="773" spans="1:33" ht="13.8">
      <c r="A773" s="113"/>
      <c r="B773" s="113"/>
      <c r="C773" s="113"/>
      <c r="D773" s="113"/>
      <c r="E773" s="113"/>
      <c r="F773" s="113"/>
      <c r="G773" s="113"/>
      <c r="H773" s="113"/>
      <c r="I773" s="113"/>
      <c r="J773" s="113"/>
      <c r="K773" s="113"/>
      <c r="L773" s="113"/>
      <c r="M773" s="113"/>
      <c r="N773" s="113"/>
      <c r="O773" s="113"/>
      <c r="P773" s="113"/>
      <c r="Q773" s="113"/>
      <c r="R773" s="113"/>
      <c r="S773" s="113"/>
      <c r="T773" s="113"/>
      <c r="U773" s="113"/>
      <c r="V773" s="113"/>
      <c r="W773" s="113"/>
      <c r="X773" s="113"/>
      <c r="Y773" s="113"/>
      <c r="Z773" s="113"/>
      <c r="AA773" s="113"/>
      <c r="AB773" s="113"/>
      <c r="AC773" s="113"/>
      <c r="AD773" s="113"/>
      <c r="AE773" s="113"/>
      <c r="AF773" s="113"/>
      <c r="AG773" s="113"/>
    </row>
    <row r="774" spans="1:33" ht="13.8">
      <c r="A774" s="113"/>
      <c r="B774" s="113"/>
      <c r="C774" s="113"/>
      <c r="D774" s="113"/>
      <c r="E774" s="113"/>
      <c r="F774" s="113"/>
      <c r="G774" s="113"/>
      <c r="H774" s="113"/>
      <c r="I774" s="113"/>
      <c r="J774" s="113"/>
      <c r="K774" s="113"/>
      <c r="L774" s="113"/>
      <c r="M774" s="113"/>
      <c r="N774" s="113"/>
      <c r="O774" s="113"/>
      <c r="P774" s="113"/>
      <c r="Q774" s="113"/>
      <c r="R774" s="113"/>
      <c r="S774" s="113"/>
      <c r="T774" s="113"/>
      <c r="U774" s="113"/>
      <c r="V774" s="113"/>
      <c r="W774" s="113"/>
      <c r="X774" s="113"/>
      <c r="Y774" s="113"/>
      <c r="Z774" s="113"/>
      <c r="AA774" s="113"/>
      <c r="AB774" s="113"/>
      <c r="AC774" s="113"/>
      <c r="AD774" s="113"/>
      <c r="AE774" s="113"/>
      <c r="AF774" s="113"/>
      <c r="AG774" s="113"/>
    </row>
    <row r="775" spans="1:33" ht="13.8">
      <c r="A775" s="113"/>
      <c r="B775" s="113"/>
      <c r="C775" s="113"/>
      <c r="D775" s="113"/>
      <c r="E775" s="113"/>
      <c r="F775" s="113"/>
      <c r="G775" s="113"/>
      <c r="H775" s="113"/>
      <c r="I775" s="113"/>
      <c r="J775" s="113"/>
      <c r="K775" s="113"/>
      <c r="L775" s="113"/>
      <c r="M775" s="113"/>
      <c r="N775" s="113"/>
      <c r="O775" s="113"/>
      <c r="P775" s="113"/>
      <c r="Q775" s="113"/>
      <c r="R775" s="113"/>
      <c r="S775" s="113"/>
      <c r="T775" s="113"/>
      <c r="U775" s="113"/>
      <c r="V775" s="113"/>
      <c r="W775" s="113"/>
      <c r="X775" s="113"/>
      <c r="Y775" s="113"/>
      <c r="Z775" s="113"/>
      <c r="AA775" s="113"/>
      <c r="AB775" s="113"/>
      <c r="AC775" s="113"/>
      <c r="AD775" s="113"/>
      <c r="AE775" s="113"/>
      <c r="AF775" s="113"/>
      <c r="AG775" s="113"/>
    </row>
    <row r="776" spans="1:33" ht="13.8">
      <c r="A776" s="113"/>
      <c r="B776" s="113"/>
      <c r="C776" s="113"/>
      <c r="D776" s="113"/>
      <c r="E776" s="113"/>
      <c r="F776" s="113"/>
      <c r="G776" s="113"/>
      <c r="H776" s="113"/>
      <c r="I776" s="113"/>
      <c r="J776" s="113"/>
      <c r="K776" s="113"/>
      <c r="L776" s="113"/>
      <c r="M776" s="113"/>
      <c r="N776" s="113"/>
      <c r="O776" s="113"/>
      <c r="P776" s="113"/>
      <c r="Q776" s="113"/>
      <c r="R776" s="113"/>
      <c r="S776" s="113"/>
      <c r="T776" s="113"/>
      <c r="U776" s="113"/>
      <c r="V776" s="113"/>
      <c r="W776" s="113"/>
      <c r="X776" s="113"/>
      <c r="Y776" s="113"/>
      <c r="Z776" s="113"/>
      <c r="AA776" s="113"/>
      <c r="AB776" s="113"/>
      <c r="AC776" s="113"/>
      <c r="AD776" s="113"/>
      <c r="AE776" s="113"/>
      <c r="AF776" s="113"/>
      <c r="AG776" s="113"/>
    </row>
    <row r="777" spans="1:33" ht="13.8">
      <c r="A777" s="113"/>
      <c r="B777" s="113"/>
      <c r="C777" s="113"/>
      <c r="D777" s="113"/>
      <c r="E777" s="113"/>
      <c r="F777" s="113"/>
      <c r="G777" s="113"/>
      <c r="H777" s="113"/>
      <c r="I777" s="113"/>
      <c r="J777" s="113"/>
      <c r="K777" s="113"/>
      <c r="L777" s="113"/>
      <c r="M777" s="113"/>
      <c r="N777" s="113"/>
      <c r="O777" s="113"/>
      <c r="P777" s="113"/>
      <c r="Q777" s="113"/>
      <c r="R777" s="113"/>
      <c r="S777" s="113"/>
      <c r="T777" s="113"/>
      <c r="U777" s="113"/>
      <c r="V777" s="113"/>
      <c r="W777" s="113"/>
      <c r="X777" s="113"/>
      <c r="Y777" s="113"/>
      <c r="Z777" s="113"/>
      <c r="AA777" s="113"/>
      <c r="AB777" s="113"/>
      <c r="AC777" s="113"/>
      <c r="AD777" s="113"/>
      <c r="AE777" s="113"/>
      <c r="AF777" s="113"/>
      <c r="AG777" s="113"/>
    </row>
    <row r="778" spans="1:33" ht="13.8">
      <c r="A778" s="113"/>
      <c r="B778" s="113"/>
      <c r="C778" s="113"/>
      <c r="D778" s="113"/>
      <c r="E778" s="113"/>
      <c r="F778" s="113"/>
      <c r="G778" s="113"/>
      <c r="H778" s="113"/>
      <c r="I778" s="113"/>
      <c r="J778" s="113"/>
      <c r="K778" s="113"/>
      <c r="L778" s="113"/>
      <c r="M778" s="113"/>
      <c r="N778" s="113"/>
      <c r="O778" s="113"/>
      <c r="P778" s="113"/>
      <c r="Q778" s="113"/>
      <c r="R778" s="113"/>
      <c r="S778" s="113"/>
      <c r="T778" s="113"/>
      <c r="U778" s="113"/>
      <c r="V778" s="113"/>
      <c r="W778" s="113"/>
      <c r="X778" s="113"/>
      <c r="Y778" s="113"/>
      <c r="Z778" s="113"/>
      <c r="AA778" s="113"/>
      <c r="AB778" s="113"/>
      <c r="AC778" s="113"/>
      <c r="AD778" s="113"/>
      <c r="AE778" s="113"/>
      <c r="AF778" s="113"/>
      <c r="AG778" s="113"/>
    </row>
    <row r="779" spans="1:33" ht="13.8">
      <c r="A779" s="113"/>
      <c r="B779" s="113"/>
      <c r="C779" s="113"/>
      <c r="D779" s="113"/>
      <c r="E779" s="113"/>
      <c r="F779" s="113"/>
      <c r="G779" s="113"/>
      <c r="H779" s="113"/>
      <c r="I779" s="113"/>
      <c r="J779" s="113"/>
      <c r="K779" s="113"/>
      <c r="L779" s="113"/>
      <c r="M779" s="113"/>
      <c r="N779" s="113"/>
      <c r="O779" s="113"/>
      <c r="P779" s="113"/>
      <c r="Q779" s="113"/>
      <c r="R779" s="113"/>
      <c r="S779" s="113"/>
      <c r="T779" s="113"/>
      <c r="U779" s="113"/>
      <c r="V779" s="113"/>
      <c r="W779" s="113"/>
      <c r="X779" s="113"/>
      <c r="Y779" s="113"/>
      <c r="Z779" s="113"/>
      <c r="AA779" s="113"/>
      <c r="AB779" s="113"/>
      <c r="AC779" s="113"/>
      <c r="AD779" s="113"/>
      <c r="AE779" s="113"/>
      <c r="AF779" s="113"/>
      <c r="AG779" s="113"/>
    </row>
    <row r="780" spans="1:33" ht="13.8">
      <c r="A780" s="113"/>
      <c r="B780" s="113"/>
      <c r="C780" s="113"/>
      <c r="D780" s="113"/>
      <c r="E780" s="113"/>
      <c r="F780" s="113"/>
      <c r="G780" s="113"/>
      <c r="H780" s="113"/>
      <c r="I780" s="113"/>
      <c r="J780" s="113"/>
      <c r="K780" s="113"/>
      <c r="L780" s="113"/>
      <c r="M780" s="113"/>
      <c r="N780" s="113"/>
      <c r="O780" s="113"/>
      <c r="P780" s="113"/>
      <c r="Q780" s="113"/>
      <c r="R780" s="113"/>
      <c r="S780" s="113"/>
      <c r="T780" s="113"/>
      <c r="U780" s="113"/>
      <c r="V780" s="113"/>
      <c r="W780" s="113"/>
      <c r="X780" s="113"/>
      <c r="Y780" s="113"/>
      <c r="Z780" s="113"/>
      <c r="AA780" s="113"/>
      <c r="AB780" s="113"/>
      <c r="AC780" s="113"/>
      <c r="AD780" s="113"/>
      <c r="AE780" s="113"/>
      <c r="AF780" s="113"/>
      <c r="AG780" s="113"/>
    </row>
    <row r="781" spans="1:33" ht="13.8">
      <c r="A781" s="113"/>
      <c r="B781" s="113"/>
      <c r="C781" s="113"/>
      <c r="D781" s="113"/>
      <c r="E781" s="113"/>
      <c r="F781" s="113"/>
      <c r="G781" s="113"/>
      <c r="H781" s="113"/>
      <c r="I781" s="113"/>
      <c r="J781" s="113"/>
      <c r="K781" s="113"/>
      <c r="L781" s="113"/>
      <c r="M781" s="113"/>
      <c r="N781" s="113"/>
      <c r="O781" s="113"/>
      <c r="P781" s="113"/>
      <c r="Q781" s="113"/>
      <c r="R781" s="113"/>
      <c r="S781" s="113"/>
      <c r="T781" s="113"/>
      <c r="U781" s="113"/>
      <c r="V781" s="113"/>
      <c r="W781" s="113"/>
      <c r="X781" s="113"/>
      <c r="Y781" s="113"/>
      <c r="Z781" s="113"/>
      <c r="AA781" s="113"/>
      <c r="AB781" s="113"/>
      <c r="AC781" s="113"/>
      <c r="AD781" s="113"/>
      <c r="AE781" s="113"/>
      <c r="AF781" s="113"/>
      <c r="AG781" s="113"/>
    </row>
    <row r="782" spans="1:33" ht="13.8">
      <c r="A782" s="113"/>
      <c r="B782" s="113"/>
      <c r="C782" s="113"/>
      <c r="D782" s="113"/>
      <c r="E782" s="113"/>
      <c r="F782" s="113"/>
      <c r="G782" s="113"/>
      <c r="H782" s="113"/>
      <c r="I782" s="113"/>
      <c r="J782" s="113"/>
      <c r="K782" s="113"/>
      <c r="L782" s="113"/>
      <c r="M782" s="113"/>
      <c r="N782" s="113"/>
      <c r="O782" s="113"/>
      <c r="P782" s="113"/>
      <c r="Q782" s="113"/>
      <c r="R782" s="113"/>
      <c r="S782" s="113"/>
      <c r="T782" s="113"/>
      <c r="U782" s="113"/>
      <c r="V782" s="113"/>
      <c r="W782" s="113"/>
      <c r="X782" s="113"/>
      <c r="Y782" s="113"/>
      <c r="Z782" s="113"/>
      <c r="AA782" s="113"/>
      <c r="AB782" s="113"/>
      <c r="AC782" s="113"/>
      <c r="AD782" s="113"/>
      <c r="AE782" s="113"/>
      <c r="AF782" s="113"/>
      <c r="AG782" s="113"/>
    </row>
    <row r="783" spans="1:33" ht="13.8">
      <c r="A783" s="113"/>
      <c r="B783" s="113"/>
      <c r="C783" s="113"/>
      <c r="D783" s="113"/>
      <c r="E783" s="113"/>
      <c r="F783" s="113"/>
      <c r="G783" s="113"/>
      <c r="H783" s="113"/>
      <c r="I783" s="113"/>
      <c r="J783" s="113"/>
      <c r="K783" s="113"/>
      <c r="L783" s="113"/>
      <c r="M783" s="113"/>
      <c r="N783" s="113"/>
      <c r="O783" s="113"/>
      <c r="P783" s="113"/>
      <c r="Q783" s="113"/>
      <c r="R783" s="113"/>
      <c r="S783" s="113"/>
      <c r="T783" s="113"/>
      <c r="U783" s="113"/>
      <c r="V783" s="113"/>
      <c r="W783" s="113"/>
      <c r="X783" s="113"/>
      <c r="Y783" s="113"/>
      <c r="Z783" s="113"/>
      <c r="AA783" s="113"/>
      <c r="AB783" s="113"/>
      <c r="AC783" s="113"/>
      <c r="AD783" s="113"/>
      <c r="AE783" s="113"/>
      <c r="AF783" s="113"/>
      <c r="AG783" s="113"/>
    </row>
    <row r="784" spans="1:33" ht="13.8">
      <c r="A784" s="113"/>
      <c r="B784" s="113"/>
      <c r="C784" s="113"/>
      <c r="D784" s="113"/>
      <c r="E784" s="113"/>
      <c r="F784" s="113"/>
      <c r="G784" s="113"/>
      <c r="H784" s="113"/>
      <c r="I784" s="113"/>
      <c r="J784" s="113"/>
      <c r="K784" s="113"/>
      <c r="L784" s="113"/>
      <c r="M784" s="113"/>
      <c r="N784" s="113"/>
      <c r="O784" s="113"/>
      <c r="P784" s="113"/>
      <c r="Q784" s="113"/>
      <c r="R784" s="113"/>
      <c r="S784" s="113"/>
      <c r="T784" s="113"/>
      <c r="U784" s="113"/>
      <c r="V784" s="113"/>
      <c r="W784" s="113"/>
      <c r="X784" s="113"/>
      <c r="Y784" s="113"/>
      <c r="Z784" s="113"/>
      <c r="AA784" s="113"/>
      <c r="AB784" s="113"/>
      <c r="AC784" s="113"/>
      <c r="AD784" s="113"/>
      <c r="AE784" s="113"/>
      <c r="AF784" s="113"/>
      <c r="AG784" s="113"/>
    </row>
    <row r="785" spans="1:33" ht="13.8">
      <c r="A785" s="113"/>
      <c r="B785" s="113"/>
      <c r="C785" s="113"/>
      <c r="D785" s="113"/>
      <c r="E785" s="113"/>
      <c r="F785" s="113"/>
      <c r="G785" s="113"/>
      <c r="H785" s="113"/>
      <c r="I785" s="113"/>
      <c r="J785" s="113"/>
      <c r="K785" s="113"/>
      <c r="L785" s="113"/>
      <c r="M785" s="113"/>
      <c r="N785" s="113"/>
      <c r="O785" s="113"/>
      <c r="P785" s="113"/>
      <c r="Q785" s="113"/>
      <c r="R785" s="113"/>
      <c r="S785" s="113"/>
      <c r="T785" s="113"/>
      <c r="U785" s="113"/>
      <c r="V785" s="113"/>
      <c r="W785" s="113"/>
      <c r="X785" s="113"/>
      <c r="Y785" s="113"/>
      <c r="Z785" s="113"/>
      <c r="AA785" s="113"/>
      <c r="AB785" s="113"/>
      <c r="AC785" s="113"/>
      <c r="AD785" s="113"/>
      <c r="AE785" s="113"/>
      <c r="AF785" s="113"/>
      <c r="AG785" s="113"/>
    </row>
    <row r="786" spans="1:33" ht="13.8">
      <c r="A786" s="113"/>
      <c r="B786" s="113"/>
      <c r="C786" s="113"/>
      <c r="D786" s="113"/>
      <c r="E786" s="113"/>
      <c r="F786" s="113"/>
      <c r="G786" s="113"/>
      <c r="H786" s="113"/>
      <c r="I786" s="113"/>
      <c r="J786" s="113"/>
      <c r="K786" s="113"/>
      <c r="L786" s="113"/>
      <c r="M786" s="113"/>
      <c r="N786" s="113"/>
      <c r="O786" s="113"/>
      <c r="P786" s="113"/>
      <c r="Q786" s="113"/>
      <c r="R786" s="113"/>
      <c r="S786" s="113"/>
      <c r="T786" s="113"/>
      <c r="U786" s="113"/>
      <c r="V786" s="113"/>
      <c r="W786" s="113"/>
      <c r="X786" s="113"/>
      <c r="Y786" s="113"/>
      <c r="Z786" s="113"/>
      <c r="AA786" s="113"/>
      <c r="AB786" s="113"/>
      <c r="AC786" s="113"/>
      <c r="AD786" s="113"/>
      <c r="AE786" s="113"/>
      <c r="AF786" s="113"/>
      <c r="AG786" s="113"/>
    </row>
    <row r="787" spans="1:33" ht="13.8">
      <c r="A787" s="113"/>
      <c r="B787" s="113"/>
      <c r="C787" s="113"/>
      <c r="D787" s="113"/>
      <c r="E787" s="113"/>
      <c r="F787" s="113"/>
      <c r="G787" s="113"/>
      <c r="H787" s="113"/>
      <c r="I787" s="113"/>
      <c r="J787" s="113"/>
      <c r="K787" s="113"/>
      <c r="L787" s="113"/>
      <c r="M787" s="113"/>
      <c r="N787" s="113"/>
      <c r="O787" s="113"/>
      <c r="P787" s="113"/>
      <c r="Q787" s="113"/>
      <c r="R787" s="113"/>
      <c r="S787" s="113"/>
      <c r="T787" s="113"/>
      <c r="U787" s="113"/>
      <c r="V787" s="113"/>
      <c r="W787" s="113"/>
      <c r="X787" s="113"/>
      <c r="Y787" s="113"/>
      <c r="Z787" s="113"/>
      <c r="AA787" s="113"/>
      <c r="AB787" s="113"/>
      <c r="AC787" s="113"/>
      <c r="AD787" s="113"/>
      <c r="AE787" s="113"/>
      <c r="AF787" s="113"/>
      <c r="AG787" s="113"/>
    </row>
    <row r="788" spans="1:33" ht="13.8">
      <c r="A788" s="113"/>
      <c r="B788" s="113"/>
      <c r="C788" s="113"/>
      <c r="D788" s="113"/>
      <c r="E788" s="113"/>
      <c r="F788" s="113"/>
      <c r="G788" s="113"/>
      <c r="H788" s="113"/>
      <c r="I788" s="113"/>
      <c r="J788" s="113"/>
      <c r="K788" s="113"/>
      <c r="L788" s="113"/>
      <c r="M788" s="113"/>
      <c r="N788" s="113"/>
      <c r="O788" s="113"/>
      <c r="P788" s="113"/>
      <c r="Q788" s="113"/>
      <c r="R788" s="113"/>
      <c r="S788" s="113"/>
      <c r="T788" s="113"/>
      <c r="U788" s="113"/>
      <c r="V788" s="113"/>
      <c r="W788" s="113"/>
      <c r="X788" s="113"/>
      <c r="Y788" s="113"/>
      <c r="Z788" s="113"/>
      <c r="AA788" s="113"/>
      <c r="AB788" s="113"/>
      <c r="AC788" s="113"/>
      <c r="AD788" s="113"/>
      <c r="AE788" s="113"/>
      <c r="AF788" s="113"/>
      <c r="AG788" s="113"/>
    </row>
    <row r="789" spans="1:33" ht="13.8">
      <c r="A789" s="113"/>
      <c r="B789" s="113"/>
      <c r="C789" s="113"/>
      <c r="D789" s="113"/>
      <c r="E789" s="113"/>
      <c r="F789" s="113"/>
      <c r="G789" s="113"/>
      <c r="H789" s="113"/>
      <c r="I789" s="113"/>
      <c r="J789" s="113"/>
      <c r="K789" s="113"/>
      <c r="L789" s="113"/>
      <c r="M789" s="113"/>
      <c r="N789" s="113"/>
      <c r="O789" s="113"/>
      <c r="P789" s="113"/>
      <c r="Q789" s="113"/>
      <c r="R789" s="113"/>
      <c r="S789" s="113"/>
      <c r="T789" s="113"/>
      <c r="U789" s="113"/>
      <c r="V789" s="113"/>
      <c r="W789" s="113"/>
      <c r="X789" s="113"/>
      <c r="Y789" s="113"/>
      <c r="Z789" s="113"/>
      <c r="AA789" s="113"/>
      <c r="AB789" s="113"/>
      <c r="AC789" s="113"/>
      <c r="AD789" s="113"/>
      <c r="AE789" s="113"/>
      <c r="AF789" s="113"/>
      <c r="AG789" s="113"/>
    </row>
    <row r="790" spans="1:33" ht="13.8">
      <c r="A790" s="113"/>
      <c r="B790" s="113"/>
      <c r="C790" s="113"/>
      <c r="D790" s="113"/>
      <c r="E790" s="113"/>
      <c r="F790" s="113"/>
      <c r="G790" s="113"/>
      <c r="H790" s="113"/>
      <c r="I790" s="113"/>
      <c r="J790" s="113"/>
      <c r="K790" s="113"/>
      <c r="L790" s="113"/>
      <c r="M790" s="113"/>
      <c r="N790" s="113"/>
      <c r="O790" s="113"/>
      <c r="P790" s="113"/>
      <c r="Q790" s="113"/>
      <c r="R790" s="113"/>
      <c r="S790" s="113"/>
      <c r="T790" s="113"/>
      <c r="U790" s="113"/>
      <c r="V790" s="113"/>
      <c r="W790" s="113"/>
      <c r="X790" s="113"/>
      <c r="Y790" s="113"/>
      <c r="Z790" s="113"/>
      <c r="AA790" s="113"/>
      <c r="AB790" s="113"/>
      <c r="AC790" s="113"/>
      <c r="AD790" s="113"/>
      <c r="AE790" s="113"/>
      <c r="AF790" s="113"/>
      <c r="AG790" s="113"/>
    </row>
    <row r="791" spans="1:33" ht="13.8">
      <c r="A791" s="113"/>
      <c r="B791" s="113"/>
      <c r="C791" s="113"/>
      <c r="D791" s="113"/>
      <c r="E791" s="113"/>
      <c r="F791" s="113"/>
      <c r="G791" s="113"/>
      <c r="H791" s="113"/>
      <c r="I791" s="113"/>
      <c r="J791" s="113"/>
      <c r="K791" s="113"/>
      <c r="L791" s="113"/>
      <c r="M791" s="113"/>
      <c r="N791" s="113"/>
      <c r="O791" s="113"/>
      <c r="P791" s="113"/>
      <c r="Q791" s="113"/>
      <c r="R791" s="113"/>
      <c r="S791" s="113"/>
      <c r="T791" s="113"/>
      <c r="U791" s="113"/>
      <c r="V791" s="113"/>
      <c r="W791" s="113"/>
      <c r="X791" s="113"/>
      <c r="Y791" s="113"/>
      <c r="Z791" s="113"/>
      <c r="AA791" s="113"/>
      <c r="AB791" s="113"/>
      <c r="AC791" s="113"/>
      <c r="AD791" s="113"/>
      <c r="AE791" s="113"/>
      <c r="AF791" s="113"/>
      <c r="AG791" s="113"/>
    </row>
    <row r="792" spans="1:33" ht="13.8">
      <c r="A792" s="113"/>
      <c r="B792" s="113"/>
      <c r="C792" s="113"/>
      <c r="D792" s="113"/>
      <c r="E792" s="113"/>
      <c r="F792" s="113"/>
      <c r="G792" s="113"/>
      <c r="H792" s="113"/>
      <c r="I792" s="113"/>
      <c r="J792" s="113"/>
      <c r="K792" s="113"/>
      <c r="L792" s="113"/>
      <c r="M792" s="113"/>
      <c r="N792" s="113"/>
      <c r="O792" s="113"/>
      <c r="P792" s="113"/>
      <c r="Q792" s="113"/>
      <c r="R792" s="113"/>
      <c r="S792" s="113"/>
      <c r="T792" s="113"/>
      <c r="U792" s="113"/>
      <c r="V792" s="113"/>
      <c r="W792" s="113"/>
      <c r="X792" s="113"/>
      <c r="Y792" s="113"/>
      <c r="Z792" s="113"/>
      <c r="AA792" s="113"/>
      <c r="AB792" s="113"/>
      <c r="AC792" s="113"/>
      <c r="AD792" s="113"/>
      <c r="AE792" s="113"/>
      <c r="AF792" s="113"/>
      <c r="AG792" s="113"/>
    </row>
    <row r="793" spans="1:33" ht="13.8">
      <c r="A793" s="113"/>
      <c r="B793" s="113"/>
      <c r="C793" s="113"/>
      <c r="D793" s="113"/>
      <c r="E793" s="113"/>
      <c r="F793" s="113"/>
      <c r="G793" s="113"/>
      <c r="H793" s="113"/>
      <c r="I793" s="113"/>
      <c r="J793" s="113"/>
      <c r="K793" s="113"/>
      <c r="L793" s="113"/>
      <c r="M793" s="113"/>
      <c r="N793" s="113"/>
      <c r="O793" s="113"/>
      <c r="P793" s="113"/>
      <c r="Q793" s="113"/>
      <c r="R793" s="113"/>
      <c r="S793" s="113"/>
      <c r="T793" s="113"/>
      <c r="U793" s="113"/>
      <c r="V793" s="113"/>
      <c r="W793" s="113"/>
      <c r="X793" s="113"/>
      <c r="Y793" s="113"/>
      <c r="Z793" s="113"/>
      <c r="AA793" s="113"/>
      <c r="AB793" s="113"/>
      <c r="AC793" s="113"/>
      <c r="AD793" s="113"/>
      <c r="AE793" s="113"/>
      <c r="AF793" s="113"/>
      <c r="AG793" s="113"/>
    </row>
    <row r="794" spans="1:33" ht="13.8">
      <c r="A794" s="113"/>
      <c r="B794" s="113"/>
      <c r="C794" s="113"/>
      <c r="D794" s="113"/>
      <c r="E794" s="113"/>
      <c r="F794" s="113"/>
      <c r="G794" s="113"/>
      <c r="H794" s="113"/>
      <c r="I794" s="113"/>
      <c r="J794" s="113"/>
      <c r="K794" s="113"/>
      <c r="L794" s="113"/>
      <c r="M794" s="113"/>
      <c r="N794" s="113"/>
      <c r="O794" s="113"/>
      <c r="P794" s="113"/>
      <c r="Q794" s="113"/>
      <c r="R794" s="113"/>
      <c r="S794" s="113"/>
      <c r="T794" s="113"/>
      <c r="U794" s="113"/>
      <c r="V794" s="113"/>
      <c r="W794" s="113"/>
      <c r="X794" s="113"/>
      <c r="Y794" s="113"/>
      <c r="Z794" s="113"/>
      <c r="AA794" s="113"/>
      <c r="AB794" s="113"/>
      <c r="AC794" s="113"/>
      <c r="AD794" s="113"/>
      <c r="AE794" s="113"/>
      <c r="AF794" s="113"/>
      <c r="AG794" s="113"/>
    </row>
    <row r="795" spans="1:33" ht="13.8">
      <c r="A795" s="113"/>
      <c r="B795" s="113"/>
      <c r="C795" s="113"/>
      <c r="D795" s="113"/>
      <c r="E795" s="113"/>
      <c r="F795" s="113"/>
      <c r="G795" s="113"/>
      <c r="H795" s="113"/>
      <c r="I795" s="113"/>
      <c r="J795" s="113"/>
      <c r="K795" s="113"/>
      <c r="L795" s="113"/>
      <c r="M795" s="113"/>
      <c r="N795" s="113"/>
      <c r="O795" s="113"/>
      <c r="P795" s="113"/>
      <c r="Q795" s="113"/>
      <c r="R795" s="113"/>
      <c r="S795" s="113"/>
      <c r="T795" s="113"/>
      <c r="U795" s="113"/>
      <c r="V795" s="113"/>
      <c r="W795" s="113"/>
      <c r="X795" s="113"/>
      <c r="Y795" s="113"/>
      <c r="Z795" s="113"/>
      <c r="AA795" s="113"/>
      <c r="AB795" s="113"/>
      <c r="AC795" s="113"/>
      <c r="AD795" s="113"/>
      <c r="AE795" s="113"/>
      <c r="AF795" s="113"/>
      <c r="AG795" s="113"/>
    </row>
    <row r="796" spans="1:33" ht="13.8">
      <c r="A796" s="113"/>
      <c r="B796" s="113"/>
      <c r="C796" s="113"/>
      <c r="D796" s="113"/>
      <c r="E796" s="113"/>
      <c r="F796" s="113"/>
      <c r="G796" s="113"/>
      <c r="H796" s="113"/>
      <c r="I796" s="113"/>
      <c r="J796" s="113"/>
      <c r="K796" s="113"/>
      <c r="L796" s="113"/>
      <c r="M796" s="113"/>
      <c r="N796" s="113"/>
      <c r="O796" s="113"/>
      <c r="P796" s="113"/>
      <c r="Q796" s="113"/>
      <c r="R796" s="113"/>
      <c r="S796" s="113"/>
      <c r="T796" s="113"/>
      <c r="U796" s="113"/>
      <c r="V796" s="113"/>
      <c r="W796" s="113"/>
      <c r="X796" s="113"/>
      <c r="Y796" s="113"/>
      <c r="Z796" s="113"/>
      <c r="AA796" s="113"/>
      <c r="AB796" s="113"/>
      <c r="AC796" s="113"/>
      <c r="AD796" s="113"/>
      <c r="AE796" s="113"/>
      <c r="AF796" s="113"/>
      <c r="AG796" s="113"/>
    </row>
    <row r="797" spans="1:33" ht="13.8">
      <c r="A797" s="113"/>
      <c r="B797" s="113"/>
      <c r="C797" s="113"/>
      <c r="D797" s="113"/>
      <c r="E797" s="113"/>
      <c r="F797" s="113"/>
      <c r="G797" s="113"/>
      <c r="H797" s="113"/>
      <c r="I797" s="113"/>
      <c r="J797" s="113"/>
      <c r="K797" s="113"/>
      <c r="L797" s="113"/>
      <c r="M797" s="113"/>
      <c r="N797" s="113"/>
      <c r="O797" s="113"/>
      <c r="P797" s="113"/>
      <c r="Q797" s="113"/>
      <c r="R797" s="113"/>
      <c r="S797" s="113"/>
      <c r="T797" s="113"/>
      <c r="U797" s="113"/>
      <c r="V797" s="113"/>
      <c r="W797" s="113"/>
      <c r="X797" s="113"/>
      <c r="Y797" s="113"/>
      <c r="Z797" s="113"/>
      <c r="AA797" s="113"/>
      <c r="AB797" s="113"/>
      <c r="AC797" s="113"/>
      <c r="AD797" s="113"/>
      <c r="AE797" s="113"/>
      <c r="AF797" s="113"/>
      <c r="AG797" s="113"/>
    </row>
    <row r="798" spans="1:33" ht="13.8">
      <c r="A798" s="113"/>
      <c r="B798" s="113"/>
      <c r="C798" s="113"/>
      <c r="D798" s="113"/>
      <c r="E798" s="113"/>
      <c r="F798" s="113"/>
      <c r="G798" s="113"/>
      <c r="H798" s="113"/>
      <c r="I798" s="113"/>
      <c r="J798" s="113"/>
      <c r="K798" s="113"/>
      <c r="L798" s="113"/>
      <c r="M798" s="113"/>
      <c r="N798" s="113"/>
      <c r="O798" s="113"/>
      <c r="P798" s="113"/>
      <c r="Q798" s="113"/>
      <c r="R798" s="113"/>
      <c r="S798" s="113"/>
      <c r="T798" s="113"/>
      <c r="U798" s="113"/>
      <c r="V798" s="113"/>
      <c r="W798" s="113"/>
      <c r="X798" s="113"/>
      <c r="Y798" s="113"/>
      <c r="Z798" s="113"/>
      <c r="AA798" s="113"/>
      <c r="AB798" s="113"/>
      <c r="AC798" s="113"/>
      <c r="AD798" s="113"/>
      <c r="AE798" s="113"/>
      <c r="AF798" s="113"/>
      <c r="AG798" s="113"/>
    </row>
    <row r="799" spans="1:33" ht="13.8">
      <c r="A799" s="113"/>
      <c r="B799" s="113"/>
      <c r="C799" s="113"/>
      <c r="D799" s="113"/>
      <c r="E799" s="113"/>
      <c r="F799" s="113"/>
      <c r="G799" s="113"/>
      <c r="H799" s="113"/>
      <c r="I799" s="113"/>
      <c r="J799" s="113"/>
      <c r="K799" s="113"/>
      <c r="L799" s="113"/>
      <c r="M799" s="113"/>
      <c r="N799" s="113"/>
      <c r="O799" s="113"/>
      <c r="P799" s="113"/>
      <c r="Q799" s="113"/>
      <c r="R799" s="113"/>
      <c r="S799" s="113"/>
      <c r="T799" s="113"/>
      <c r="U799" s="113"/>
      <c r="V799" s="113"/>
      <c r="W799" s="113"/>
      <c r="X799" s="113"/>
      <c r="Y799" s="113"/>
      <c r="Z799" s="113"/>
      <c r="AA799" s="113"/>
      <c r="AB799" s="113"/>
      <c r="AC799" s="113"/>
      <c r="AD799" s="113"/>
      <c r="AE799" s="113"/>
      <c r="AF799" s="113"/>
      <c r="AG799" s="113"/>
    </row>
    <row r="800" spans="1:33" ht="13.8">
      <c r="A800" s="113"/>
      <c r="B800" s="113"/>
      <c r="C800" s="113"/>
      <c r="D800" s="113"/>
      <c r="E800" s="113"/>
      <c r="F800" s="113"/>
      <c r="G800" s="113"/>
      <c r="H800" s="113"/>
      <c r="I800" s="113"/>
      <c r="J800" s="113"/>
      <c r="K800" s="113"/>
      <c r="L800" s="113"/>
      <c r="M800" s="113"/>
      <c r="N800" s="113"/>
      <c r="O800" s="113"/>
      <c r="P800" s="113"/>
      <c r="Q800" s="113"/>
      <c r="R800" s="113"/>
      <c r="S800" s="113"/>
      <c r="T800" s="113"/>
      <c r="U800" s="113"/>
      <c r="V800" s="113"/>
      <c r="W800" s="113"/>
      <c r="X800" s="113"/>
      <c r="Y800" s="113"/>
      <c r="Z800" s="113"/>
      <c r="AA800" s="113"/>
      <c r="AB800" s="113"/>
      <c r="AC800" s="113"/>
      <c r="AD800" s="113"/>
      <c r="AE800" s="113"/>
      <c r="AF800" s="113"/>
      <c r="AG800" s="113"/>
    </row>
    <row r="801" spans="1:33" ht="13.8">
      <c r="A801" s="113"/>
      <c r="B801" s="113"/>
      <c r="C801" s="113"/>
      <c r="D801" s="113"/>
      <c r="E801" s="113"/>
      <c r="F801" s="113"/>
      <c r="G801" s="113"/>
      <c r="H801" s="113"/>
      <c r="I801" s="113"/>
      <c r="J801" s="113"/>
      <c r="K801" s="113"/>
      <c r="L801" s="113"/>
      <c r="M801" s="113"/>
      <c r="N801" s="113"/>
      <c r="O801" s="113"/>
      <c r="P801" s="113"/>
      <c r="Q801" s="113"/>
      <c r="R801" s="113"/>
      <c r="S801" s="113"/>
      <c r="T801" s="113"/>
      <c r="U801" s="113"/>
      <c r="V801" s="113"/>
      <c r="W801" s="113"/>
      <c r="X801" s="113"/>
      <c r="Y801" s="113"/>
      <c r="Z801" s="113"/>
      <c r="AA801" s="113"/>
      <c r="AB801" s="113"/>
      <c r="AC801" s="113"/>
      <c r="AD801" s="113"/>
      <c r="AE801" s="113"/>
      <c r="AF801" s="113"/>
      <c r="AG801" s="113"/>
    </row>
    <row r="802" spans="1:33" ht="13.8">
      <c r="A802" s="113"/>
      <c r="B802" s="113"/>
      <c r="C802" s="113"/>
      <c r="D802" s="113"/>
      <c r="E802" s="113"/>
      <c r="F802" s="113"/>
      <c r="G802" s="113"/>
      <c r="H802" s="113"/>
      <c r="I802" s="113"/>
      <c r="J802" s="113"/>
      <c r="K802" s="113"/>
      <c r="L802" s="113"/>
      <c r="M802" s="113"/>
      <c r="N802" s="113"/>
      <c r="O802" s="113"/>
      <c r="P802" s="113"/>
      <c r="Q802" s="113"/>
      <c r="R802" s="113"/>
      <c r="S802" s="113"/>
      <c r="T802" s="113"/>
      <c r="U802" s="113"/>
      <c r="V802" s="113"/>
      <c r="W802" s="113"/>
      <c r="X802" s="113"/>
      <c r="Y802" s="113"/>
      <c r="Z802" s="113"/>
      <c r="AA802" s="113"/>
      <c r="AB802" s="113"/>
      <c r="AC802" s="113"/>
      <c r="AD802" s="113"/>
      <c r="AE802" s="113"/>
      <c r="AF802" s="113"/>
      <c r="AG802" s="113"/>
    </row>
    <row r="803" spans="1:33" ht="13.8">
      <c r="A803" s="113"/>
      <c r="B803" s="113"/>
      <c r="C803" s="113"/>
      <c r="D803" s="113"/>
      <c r="E803" s="113"/>
      <c r="F803" s="113"/>
      <c r="G803" s="113"/>
      <c r="H803" s="113"/>
      <c r="I803" s="113"/>
      <c r="J803" s="113"/>
      <c r="K803" s="113"/>
      <c r="L803" s="113"/>
      <c r="M803" s="113"/>
      <c r="N803" s="113"/>
      <c r="O803" s="113"/>
      <c r="P803" s="113"/>
      <c r="Q803" s="113"/>
      <c r="R803" s="113"/>
      <c r="S803" s="113"/>
      <c r="T803" s="113"/>
      <c r="U803" s="113"/>
      <c r="V803" s="113"/>
      <c r="W803" s="113"/>
      <c r="X803" s="113"/>
      <c r="Y803" s="113"/>
      <c r="Z803" s="113"/>
      <c r="AA803" s="113"/>
      <c r="AB803" s="113"/>
      <c r="AC803" s="113"/>
      <c r="AD803" s="113"/>
      <c r="AE803" s="113"/>
      <c r="AF803" s="113"/>
      <c r="AG803" s="113"/>
    </row>
    <row r="804" spans="1:33" ht="13.8">
      <c r="A804" s="113"/>
      <c r="B804" s="113"/>
      <c r="C804" s="113"/>
      <c r="D804" s="113"/>
      <c r="E804" s="113"/>
      <c r="F804" s="113"/>
      <c r="G804" s="113"/>
      <c r="H804" s="113"/>
      <c r="I804" s="113"/>
      <c r="J804" s="113"/>
      <c r="K804" s="113"/>
      <c r="L804" s="113"/>
      <c r="M804" s="113"/>
      <c r="N804" s="113"/>
      <c r="O804" s="113"/>
      <c r="P804" s="113"/>
      <c r="Q804" s="113"/>
      <c r="R804" s="113"/>
      <c r="S804" s="113"/>
      <c r="T804" s="113"/>
      <c r="U804" s="113"/>
      <c r="V804" s="113"/>
      <c r="W804" s="113"/>
      <c r="X804" s="113"/>
      <c r="Y804" s="113"/>
      <c r="Z804" s="113"/>
      <c r="AA804" s="113"/>
      <c r="AB804" s="113"/>
      <c r="AC804" s="113"/>
      <c r="AD804" s="113"/>
      <c r="AE804" s="113"/>
      <c r="AF804" s="113"/>
      <c r="AG804" s="113"/>
    </row>
    <row r="805" spans="1:33" ht="13.8">
      <c r="A805" s="113"/>
      <c r="B805" s="113"/>
      <c r="C805" s="113"/>
      <c r="D805" s="113"/>
      <c r="E805" s="113"/>
      <c r="F805" s="113"/>
      <c r="G805" s="113"/>
      <c r="H805" s="113"/>
      <c r="I805" s="113"/>
      <c r="J805" s="113"/>
      <c r="K805" s="113"/>
      <c r="L805" s="113"/>
      <c r="M805" s="113"/>
      <c r="N805" s="113"/>
      <c r="O805" s="113"/>
      <c r="P805" s="113"/>
      <c r="Q805" s="113"/>
      <c r="R805" s="113"/>
      <c r="S805" s="113"/>
      <c r="T805" s="113"/>
      <c r="U805" s="113"/>
      <c r="V805" s="113"/>
      <c r="W805" s="113"/>
      <c r="X805" s="113"/>
      <c r="Y805" s="113"/>
      <c r="Z805" s="113"/>
      <c r="AA805" s="113"/>
      <c r="AB805" s="113"/>
      <c r="AC805" s="113"/>
      <c r="AD805" s="113"/>
      <c r="AE805" s="113"/>
      <c r="AF805" s="113"/>
      <c r="AG805" s="113"/>
    </row>
    <row r="806" spans="1:33" ht="13.8">
      <c r="A806" s="113"/>
      <c r="B806" s="113"/>
      <c r="C806" s="113"/>
      <c r="D806" s="113"/>
      <c r="E806" s="113"/>
      <c r="F806" s="113"/>
      <c r="G806" s="113"/>
      <c r="H806" s="113"/>
      <c r="I806" s="113"/>
      <c r="J806" s="113"/>
      <c r="K806" s="113"/>
      <c r="L806" s="113"/>
      <c r="M806" s="113"/>
      <c r="N806" s="113"/>
      <c r="O806" s="113"/>
      <c r="P806" s="113"/>
      <c r="Q806" s="113"/>
      <c r="R806" s="113"/>
      <c r="S806" s="113"/>
      <c r="T806" s="113"/>
      <c r="U806" s="113"/>
      <c r="V806" s="113"/>
      <c r="W806" s="113"/>
      <c r="X806" s="113"/>
      <c r="Y806" s="113"/>
      <c r="Z806" s="113"/>
      <c r="AA806" s="113"/>
      <c r="AB806" s="113"/>
      <c r="AC806" s="113"/>
      <c r="AD806" s="113"/>
      <c r="AE806" s="113"/>
      <c r="AF806" s="113"/>
      <c r="AG806" s="113"/>
    </row>
    <row r="807" spans="1:33" ht="13.8">
      <c r="A807" s="113"/>
      <c r="B807" s="113"/>
      <c r="C807" s="113"/>
      <c r="D807" s="113"/>
      <c r="E807" s="113"/>
      <c r="F807" s="113"/>
      <c r="G807" s="113"/>
      <c r="H807" s="113"/>
      <c r="I807" s="113"/>
      <c r="J807" s="113"/>
      <c r="K807" s="113"/>
      <c r="L807" s="113"/>
      <c r="M807" s="113"/>
      <c r="N807" s="113"/>
      <c r="O807" s="113"/>
      <c r="P807" s="113"/>
      <c r="Q807" s="113"/>
      <c r="R807" s="113"/>
      <c r="S807" s="113"/>
      <c r="T807" s="113"/>
      <c r="U807" s="113"/>
      <c r="V807" s="113"/>
      <c r="W807" s="113"/>
      <c r="X807" s="113"/>
      <c r="Y807" s="113"/>
      <c r="Z807" s="113"/>
      <c r="AA807" s="113"/>
      <c r="AB807" s="113"/>
      <c r="AC807" s="113"/>
      <c r="AD807" s="113"/>
      <c r="AE807" s="113"/>
      <c r="AF807" s="113"/>
      <c r="AG807" s="113"/>
    </row>
    <row r="808" spans="1:33" ht="13.8">
      <c r="A808" s="113"/>
      <c r="B808" s="113"/>
      <c r="C808" s="113"/>
      <c r="D808" s="113"/>
      <c r="E808" s="113"/>
      <c r="F808" s="113"/>
      <c r="G808" s="113"/>
      <c r="H808" s="113"/>
      <c r="I808" s="113"/>
      <c r="J808" s="113"/>
      <c r="K808" s="113"/>
      <c r="L808" s="113"/>
      <c r="M808" s="113"/>
      <c r="N808" s="113"/>
      <c r="O808" s="113"/>
      <c r="P808" s="113"/>
      <c r="Q808" s="113"/>
      <c r="R808" s="113"/>
      <c r="S808" s="113"/>
      <c r="T808" s="113"/>
      <c r="U808" s="113"/>
      <c r="V808" s="113"/>
      <c r="W808" s="113"/>
      <c r="X808" s="113"/>
      <c r="Y808" s="113"/>
      <c r="Z808" s="113"/>
      <c r="AA808" s="113"/>
      <c r="AB808" s="113"/>
      <c r="AC808" s="113"/>
      <c r="AD808" s="113"/>
      <c r="AE808" s="113"/>
      <c r="AF808" s="113"/>
      <c r="AG808" s="113"/>
    </row>
    <row r="809" spans="1:33" ht="13.8">
      <c r="A809" s="113"/>
      <c r="B809" s="113"/>
      <c r="C809" s="113"/>
      <c r="D809" s="113"/>
      <c r="E809" s="113"/>
      <c r="F809" s="113"/>
      <c r="G809" s="113"/>
      <c r="H809" s="113"/>
      <c r="I809" s="113"/>
      <c r="J809" s="113"/>
      <c r="K809" s="113"/>
      <c r="L809" s="113"/>
      <c r="M809" s="113"/>
      <c r="N809" s="113"/>
      <c r="O809" s="113"/>
      <c r="P809" s="113"/>
      <c r="Q809" s="113"/>
      <c r="R809" s="113"/>
      <c r="S809" s="113"/>
      <c r="T809" s="113"/>
      <c r="U809" s="113"/>
      <c r="V809" s="113"/>
      <c r="W809" s="113"/>
      <c r="X809" s="113"/>
      <c r="Y809" s="113"/>
      <c r="Z809" s="113"/>
      <c r="AA809" s="113"/>
      <c r="AB809" s="113"/>
      <c r="AC809" s="113"/>
      <c r="AD809" s="113"/>
      <c r="AE809" s="113"/>
      <c r="AF809" s="113"/>
      <c r="AG809" s="113"/>
    </row>
    <row r="810" spans="1:33" ht="13.8">
      <c r="A810" s="113"/>
      <c r="B810" s="113"/>
      <c r="C810" s="113"/>
      <c r="D810" s="113"/>
      <c r="E810" s="113"/>
      <c r="F810" s="113"/>
      <c r="G810" s="113"/>
      <c r="H810" s="113"/>
      <c r="I810" s="113"/>
      <c r="J810" s="113"/>
      <c r="K810" s="113"/>
      <c r="L810" s="113"/>
      <c r="M810" s="113"/>
      <c r="N810" s="113"/>
      <c r="O810" s="113"/>
      <c r="P810" s="113"/>
      <c r="Q810" s="113"/>
      <c r="R810" s="113"/>
      <c r="S810" s="113"/>
      <c r="T810" s="113"/>
      <c r="U810" s="113"/>
      <c r="V810" s="113"/>
      <c r="W810" s="113"/>
      <c r="X810" s="113"/>
      <c r="Y810" s="113"/>
      <c r="Z810" s="113"/>
      <c r="AA810" s="113"/>
      <c r="AB810" s="113"/>
      <c r="AC810" s="113"/>
      <c r="AD810" s="113"/>
      <c r="AE810" s="113"/>
      <c r="AF810" s="113"/>
      <c r="AG810" s="113"/>
    </row>
    <row r="811" spans="1:33" ht="13.8">
      <c r="A811" s="113"/>
      <c r="B811" s="113"/>
      <c r="C811" s="113"/>
      <c r="D811" s="113"/>
      <c r="E811" s="113"/>
      <c r="F811" s="113"/>
      <c r="G811" s="113"/>
      <c r="H811" s="113"/>
      <c r="I811" s="113"/>
      <c r="J811" s="113"/>
      <c r="K811" s="113"/>
      <c r="L811" s="113"/>
      <c r="M811" s="113"/>
      <c r="N811" s="113"/>
      <c r="O811" s="113"/>
      <c r="P811" s="113"/>
      <c r="Q811" s="113"/>
      <c r="R811" s="113"/>
      <c r="S811" s="113"/>
      <c r="T811" s="113"/>
      <c r="U811" s="113"/>
      <c r="V811" s="113"/>
      <c r="W811" s="113"/>
      <c r="X811" s="113"/>
      <c r="Y811" s="113"/>
      <c r="Z811" s="113"/>
      <c r="AA811" s="113"/>
      <c r="AB811" s="113"/>
      <c r="AC811" s="113"/>
      <c r="AD811" s="113"/>
      <c r="AE811" s="113"/>
      <c r="AF811" s="113"/>
      <c r="AG811" s="113"/>
    </row>
    <row r="812" spans="1:33" ht="13.8">
      <c r="A812" s="113"/>
      <c r="B812" s="113"/>
      <c r="C812" s="113"/>
      <c r="D812" s="113"/>
      <c r="E812" s="113"/>
      <c r="F812" s="113"/>
      <c r="G812" s="113"/>
      <c r="H812" s="113"/>
      <c r="I812" s="113"/>
      <c r="J812" s="113"/>
      <c r="K812" s="113"/>
      <c r="L812" s="113"/>
      <c r="M812" s="113"/>
      <c r="N812" s="113"/>
      <c r="O812" s="113"/>
      <c r="P812" s="113"/>
      <c r="Q812" s="113"/>
      <c r="R812" s="113"/>
      <c r="S812" s="113"/>
      <c r="T812" s="113"/>
      <c r="U812" s="113"/>
      <c r="V812" s="113"/>
      <c r="W812" s="113"/>
      <c r="X812" s="113"/>
      <c r="Y812" s="113"/>
      <c r="Z812" s="113"/>
      <c r="AA812" s="113"/>
      <c r="AB812" s="113"/>
      <c r="AC812" s="113"/>
      <c r="AD812" s="113"/>
      <c r="AE812" s="113"/>
      <c r="AF812" s="113"/>
      <c r="AG812" s="113"/>
    </row>
    <row r="813" spans="1:33" ht="13.8">
      <c r="A813" s="113"/>
      <c r="B813" s="113"/>
      <c r="C813" s="113"/>
      <c r="D813" s="113"/>
      <c r="E813" s="113"/>
      <c r="F813" s="113"/>
      <c r="G813" s="113"/>
      <c r="H813" s="113"/>
      <c r="I813" s="113"/>
      <c r="J813" s="113"/>
      <c r="K813" s="113"/>
      <c r="L813" s="113"/>
      <c r="M813" s="113"/>
      <c r="N813" s="113"/>
      <c r="O813" s="113"/>
      <c r="P813" s="113"/>
      <c r="Q813" s="113"/>
      <c r="R813" s="113"/>
      <c r="S813" s="113"/>
      <c r="T813" s="113"/>
      <c r="U813" s="113"/>
      <c r="V813" s="113"/>
      <c r="W813" s="113"/>
      <c r="X813" s="113"/>
      <c r="Y813" s="113"/>
      <c r="Z813" s="113"/>
      <c r="AA813" s="113"/>
      <c r="AB813" s="113"/>
      <c r="AC813" s="113"/>
      <c r="AD813" s="113"/>
      <c r="AE813" s="113"/>
      <c r="AF813" s="113"/>
      <c r="AG813" s="113"/>
    </row>
    <row r="814" spans="1:33" ht="13.8">
      <c r="A814" s="113"/>
      <c r="B814" s="113"/>
      <c r="C814" s="113"/>
      <c r="D814" s="113"/>
      <c r="E814" s="113"/>
      <c r="F814" s="113"/>
      <c r="G814" s="113"/>
      <c r="H814" s="113"/>
      <c r="I814" s="113"/>
      <c r="J814" s="113"/>
      <c r="K814" s="113"/>
      <c r="L814" s="113"/>
      <c r="M814" s="113"/>
      <c r="N814" s="113"/>
      <c r="O814" s="113"/>
      <c r="P814" s="113"/>
      <c r="Q814" s="113"/>
      <c r="R814" s="113"/>
      <c r="S814" s="113"/>
      <c r="T814" s="113"/>
      <c r="U814" s="113"/>
      <c r="V814" s="113"/>
      <c r="W814" s="113"/>
      <c r="X814" s="113"/>
      <c r="Y814" s="113"/>
      <c r="Z814" s="113"/>
      <c r="AA814" s="113"/>
      <c r="AB814" s="113"/>
      <c r="AC814" s="113"/>
      <c r="AD814" s="113"/>
      <c r="AE814" s="113"/>
      <c r="AF814" s="113"/>
      <c r="AG814" s="113"/>
    </row>
    <row r="815" spans="1:33" ht="13.8">
      <c r="A815" s="113"/>
      <c r="B815" s="113"/>
      <c r="C815" s="113"/>
      <c r="D815" s="113"/>
      <c r="E815" s="113"/>
      <c r="F815" s="113"/>
      <c r="G815" s="113"/>
      <c r="H815" s="113"/>
      <c r="I815" s="113"/>
      <c r="J815" s="113"/>
      <c r="K815" s="113"/>
      <c r="L815" s="113"/>
      <c r="M815" s="113"/>
      <c r="N815" s="113"/>
      <c r="O815" s="113"/>
      <c r="P815" s="113"/>
      <c r="Q815" s="113"/>
      <c r="R815" s="113"/>
      <c r="S815" s="113"/>
      <c r="T815" s="113"/>
      <c r="U815" s="113"/>
      <c r="V815" s="113"/>
      <c r="W815" s="113"/>
      <c r="X815" s="113"/>
      <c r="Y815" s="113"/>
      <c r="Z815" s="113"/>
      <c r="AA815" s="113"/>
      <c r="AB815" s="113"/>
      <c r="AC815" s="113"/>
      <c r="AD815" s="113"/>
      <c r="AE815" s="113"/>
      <c r="AF815" s="113"/>
      <c r="AG815" s="113"/>
    </row>
    <row r="816" spans="1:33" ht="13.8">
      <c r="A816" s="113"/>
      <c r="B816" s="113"/>
      <c r="C816" s="113"/>
      <c r="D816" s="113"/>
      <c r="E816" s="113"/>
      <c r="F816" s="113"/>
      <c r="G816" s="113"/>
      <c r="H816" s="113"/>
      <c r="I816" s="113"/>
      <c r="J816" s="113"/>
      <c r="K816" s="113"/>
      <c r="L816" s="113"/>
      <c r="M816" s="113"/>
      <c r="N816" s="113"/>
      <c r="O816" s="113"/>
      <c r="P816" s="113"/>
      <c r="Q816" s="113"/>
      <c r="R816" s="113"/>
      <c r="S816" s="113"/>
      <c r="T816" s="113"/>
      <c r="U816" s="113"/>
      <c r="V816" s="113"/>
      <c r="W816" s="113"/>
      <c r="X816" s="113"/>
      <c r="Y816" s="113"/>
      <c r="Z816" s="113"/>
      <c r="AA816" s="113"/>
      <c r="AB816" s="113"/>
      <c r="AC816" s="113"/>
      <c r="AD816" s="113"/>
      <c r="AE816" s="113"/>
      <c r="AF816" s="113"/>
      <c r="AG816" s="113"/>
    </row>
    <row r="817" spans="1:33" ht="13.8">
      <c r="A817" s="113"/>
      <c r="B817" s="113"/>
      <c r="C817" s="113"/>
      <c r="D817" s="113"/>
      <c r="E817" s="113"/>
      <c r="F817" s="113"/>
      <c r="G817" s="113"/>
      <c r="H817" s="113"/>
      <c r="I817" s="113"/>
      <c r="J817" s="113"/>
      <c r="K817" s="113"/>
      <c r="L817" s="113"/>
      <c r="M817" s="113"/>
      <c r="N817" s="113"/>
      <c r="O817" s="113"/>
      <c r="P817" s="113"/>
      <c r="Q817" s="113"/>
      <c r="R817" s="113"/>
      <c r="S817" s="113"/>
      <c r="T817" s="113"/>
      <c r="U817" s="113"/>
      <c r="V817" s="113"/>
      <c r="W817" s="113"/>
      <c r="X817" s="113"/>
      <c r="Y817" s="113"/>
      <c r="Z817" s="113"/>
      <c r="AA817" s="113"/>
      <c r="AB817" s="113"/>
      <c r="AC817" s="113"/>
      <c r="AD817" s="113"/>
      <c r="AE817" s="113"/>
      <c r="AF817" s="113"/>
      <c r="AG817" s="113"/>
    </row>
    <row r="818" spans="1:33" ht="13.8">
      <c r="A818" s="113"/>
      <c r="B818" s="113"/>
      <c r="C818" s="113"/>
      <c r="D818" s="113"/>
      <c r="E818" s="113"/>
      <c r="F818" s="113"/>
      <c r="G818" s="113"/>
      <c r="H818" s="113"/>
      <c r="I818" s="113"/>
      <c r="J818" s="113"/>
      <c r="K818" s="113"/>
      <c r="L818" s="113"/>
      <c r="M818" s="113"/>
      <c r="N818" s="113"/>
      <c r="O818" s="113"/>
      <c r="P818" s="113"/>
      <c r="Q818" s="113"/>
      <c r="R818" s="113"/>
      <c r="S818" s="113"/>
      <c r="T818" s="113"/>
      <c r="U818" s="113"/>
      <c r="V818" s="113"/>
      <c r="W818" s="113"/>
      <c r="X818" s="113"/>
      <c r="Y818" s="113"/>
      <c r="Z818" s="113"/>
      <c r="AA818" s="113"/>
      <c r="AB818" s="113"/>
      <c r="AC818" s="113"/>
      <c r="AD818" s="113"/>
      <c r="AE818" s="113"/>
      <c r="AF818" s="113"/>
      <c r="AG818" s="113"/>
    </row>
    <row r="819" spans="1:33" ht="13.8">
      <c r="A819" s="113"/>
      <c r="B819" s="113"/>
      <c r="C819" s="113"/>
      <c r="D819" s="113"/>
      <c r="E819" s="113"/>
      <c r="F819" s="113"/>
      <c r="G819" s="113"/>
      <c r="H819" s="113"/>
      <c r="I819" s="113"/>
      <c r="J819" s="113"/>
      <c r="K819" s="113"/>
      <c r="L819" s="113"/>
      <c r="M819" s="113"/>
      <c r="N819" s="113"/>
      <c r="O819" s="113"/>
      <c r="P819" s="113"/>
      <c r="Q819" s="113"/>
      <c r="R819" s="113"/>
      <c r="S819" s="113"/>
      <c r="T819" s="113"/>
      <c r="U819" s="113"/>
      <c r="V819" s="113"/>
      <c r="W819" s="113"/>
      <c r="X819" s="113"/>
      <c r="Y819" s="113"/>
      <c r="Z819" s="113"/>
      <c r="AA819" s="113"/>
      <c r="AB819" s="113"/>
      <c r="AC819" s="113"/>
      <c r="AD819" s="113"/>
      <c r="AE819" s="113"/>
      <c r="AF819" s="113"/>
      <c r="AG819" s="113"/>
    </row>
    <row r="820" spans="1:33" ht="13.8">
      <c r="A820" s="113"/>
      <c r="B820" s="113"/>
      <c r="C820" s="113"/>
      <c r="D820" s="113"/>
      <c r="E820" s="113"/>
      <c r="F820" s="113"/>
      <c r="G820" s="113"/>
      <c r="H820" s="113"/>
      <c r="I820" s="113"/>
      <c r="J820" s="113"/>
      <c r="K820" s="113"/>
      <c r="L820" s="113"/>
      <c r="M820" s="113"/>
      <c r="N820" s="113"/>
      <c r="O820" s="113"/>
      <c r="P820" s="113"/>
      <c r="Q820" s="113"/>
      <c r="R820" s="113"/>
      <c r="S820" s="113"/>
      <c r="T820" s="113"/>
      <c r="U820" s="113"/>
      <c r="V820" s="113"/>
      <c r="W820" s="113"/>
      <c r="X820" s="113"/>
      <c r="Y820" s="113"/>
      <c r="Z820" s="113"/>
      <c r="AA820" s="113"/>
      <c r="AB820" s="113"/>
      <c r="AC820" s="113"/>
      <c r="AD820" s="113"/>
      <c r="AE820" s="113"/>
      <c r="AF820" s="113"/>
      <c r="AG820" s="113"/>
    </row>
    <row r="821" spans="1:33" ht="13.8">
      <c r="A821" s="113"/>
      <c r="B821" s="113"/>
      <c r="C821" s="113"/>
      <c r="D821" s="113"/>
      <c r="E821" s="113"/>
      <c r="F821" s="113"/>
      <c r="G821" s="113"/>
      <c r="H821" s="113"/>
      <c r="I821" s="113"/>
      <c r="J821" s="113"/>
      <c r="K821" s="113"/>
      <c r="L821" s="113"/>
      <c r="M821" s="113"/>
      <c r="N821" s="113"/>
      <c r="O821" s="113"/>
      <c r="P821" s="113"/>
      <c r="Q821" s="113"/>
      <c r="R821" s="113"/>
      <c r="S821" s="113"/>
      <c r="T821" s="113"/>
      <c r="U821" s="113"/>
      <c r="V821" s="113"/>
      <c r="W821" s="113"/>
      <c r="X821" s="113"/>
      <c r="Y821" s="113"/>
      <c r="Z821" s="113"/>
      <c r="AA821" s="113"/>
      <c r="AB821" s="113"/>
      <c r="AC821" s="113"/>
      <c r="AD821" s="113"/>
      <c r="AE821" s="113"/>
      <c r="AF821" s="113"/>
      <c r="AG821" s="113"/>
    </row>
    <row r="822" spans="1:33" ht="13.8">
      <c r="A822" s="113"/>
      <c r="B822" s="113"/>
      <c r="C822" s="113"/>
      <c r="D822" s="113"/>
      <c r="E822" s="113"/>
      <c r="F822" s="113"/>
      <c r="G822" s="113"/>
      <c r="H822" s="113"/>
      <c r="I822" s="113"/>
      <c r="J822" s="113"/>
      <c r="K822" s="113"/>
      <c r="L822" s="113"/>
      <c r="M822" s="113"/>
      <c r="N822" s="113"/>
      <c r="O822" s="113"/>
      <c r="P822" s="113"/>
      <c r="Q822" s="113"/>
      <c r="R822" s="113"/>
      <c r="S822" s="113"/>
      <c r="T822" s="113"/>
      <c r="U822" s="113"/>
      <c r="V822" s="113"/>
      <c r="W822" s="113"/>
      <c r="X822" s="113"/>
      <c r="Y822" s="113"/>
      <c r="Z822" s="113"/>
      <c r="AA822" s="113"/>
      <c r="AB822" s="113"/>
      <c r="AC822" s="113"/>
      <c r="AD822" s="113"/>
      <c r="AE822" s="113"/>
      <c r="AF822" s="113"/>
      <c r="AG822" s="113"/>
    </row>
    <row r="823" spans="1:33" ht="13.8">
      <c r="A823" s="113"/>
      <c r="B823" s="113"/>
      <c r="C823" s="113"/>
      <c r="D823" s="113"/>
      <c r="E823" s="113"/>
      <c r="F823" s="113"/>
      <c r="G823" s="113"/>
      <c r="H823" s="113"/>
      <c r="I823" s="113"/>
      <c r="J823" s="113"/>
      <c r="K823" s="113"/>
      <c r="L823" s="113"/>
      <c r="M823" s="113"/>
      <c r="N823" s="113"/>
      <c r="O823" s="113"/>
      <c r="P823" s="113"/>
      <c r="Q823" s="113"/>
      <c r="R823" s="113"/>
      <c r="S823" s="113"/>
      <c r="T823" s="113"/>
      <c r="U823" s="113"/>
      <c r="V823" s="113"/>
      <c r="W823" s="113"/>
      <c r="X823" s="113"/>
      <c r="Y823" s="113"/>
      <c r="Z823" s="113"/>
      <c r="AA823" s="113"/>
      <c r="AB823" s="113"/>
      <c r="AC823" s="113"/>
      <c r="AD823" s="113"/>
      <c r="AE823" s="113"/>
      <c r="AF823" s="113"/>
      <c r="AG823" s="113"/>
    </row>
    <row r="824" spans="1:33" ht="13.8">
      <c r="A824" s="113"/>
      <c r="B824" s="113"/>
      <c r="C824" s="113"/>
      <c r="D824" s="113"/>
      <c r="E824" s="113"/>
      <c r="F824" s="113"/>
      <c r="G824" s="113"/>
      <c r="H824" s="113"/>
      <c r="I824" s="113"/>
      <c r="J824" s="113"/>
      <c r="K824" s="113"/>
      <c r="L824" s="113"/>
      <c r="M824" s="113"/>
      <c r="N824" s="113"/>
      <c r="O824" s="113"/>
      <c r="P824" s="113"/>
      <c r="Q824" s="113"/>
      <c r="R824" s="113"/>
      <c r="S824" s="113"/>
      <c r="T824" s="113"/>
      <c r="U824" s="113"/>
      <c r="V824" s="113"/>
      <c r="W824" s="113"/>
      <c r="X824" s="113"/>
      <c r="Y824" s="113"/>
      <c r="Z824" s="113"/>
      <c r="AA824" s="113"/>
      <c r="AB824" s="113"/>
      <c r="AC824" s="113"/>
      <c r="AD824" s="113"/>
      <c r="AE824" s="113"/>
      <c r="AF824" s="113"/>
      <c r="AG824" s="113"/>
    </row>
    <row r="825" spans="1:33" ht="13.8">
      <c r="A825" s="113"/>
      <c r="B825" s="113"/>
      <c r="C825" s="113"/>
      <c r="D825" s="113"/>
      <c r="E825" s="113"/>
      <c r="F825" s="113"/>
      <c r="G825" s="113"/>
      <c r="H825" s="113"/>
      <c r="I825" s="113"/>
      <c r="J825" s="113"/>
      <c r="K825" s="113"/>
      <c r="L825" s="113"/>
      <c r="M825" s="113"/>
      <c r="N825" s="113"/>
      <c r="O825" s="113"/>
      <c r="P825" s="113"/>
      <c r="Q825" s="113"/>
      <c r="R825" s="113"/>
      <c r="S825" s="113"/>
      <c r="T825" s="113"/>
      <c r="U825" s="113"/>
      <c r="V825" s="113"/>
      <c r="W825" s="113"/>
      <c r="X825" s="113"/>
      <c r="Y825" s="113"/>
      <c r="Z825" s="113"/>
      <c r="AA825" s="113"/>
      <c r="AB825" s="113"/>
      <c r="AC825" s="113"/>
      <c r="AD825" s="113"/>
      <c r="AE825" s="113"/>
      <c r="AF825" s="113"/>
      <c r="AG825" s="113"/>
    </row>
    <row r="826" spans="1:33" ht="13.8">
      <c r="A826" s="113"/>
      <c r="B826" s="113"/>
      <c r="C826" s="113"/>
      <c r="D826" s="113"/>
      <c r="E826" s="113"/>
      <c r="F826" s="113"/>
      <c r="G826" s="113"/>
      <c r="H826" s="113"/>
      <c r="I826" s="113"/>
      <c r="J826" s="113"/>
      <c r="K826" s="113"/>
      <c r="L826" s="113"/>
      <c r="M826" s="113"/>
      <c r="N826" s="113"/>
      <c r="O826" s="113"/>
      <c r="P826" s="113"/>
      <c r="Q826" s="113"/>
      <c r="R826" s="113"/>
      <c r="S826" s="113"/>
      <c r="T826" s="113"/>
      <c r="U826" s="113"/>
      <c r="V826" s="113"/>
      <c r="W826" s="113"/>
      <c r="X826" s="113"/>
      <c r="Y826" s="113"/>
      <c r="Z826" s="113"/>
      <c r="AA826" s="113"/>
      <c r="AB826" s="113"/>
      <c r="AC826" s="113"/>
      <c r="AD826" s="113"/>
      <c r="AE826" s="113"/>
      <c r="AF826" s="113"/>
      <c r="AG826" s="113"/>
    </row>
    <row r="827" spans="1:33" ht="13.8">
      <c r="A827" s="113"/>
      <c r="B827" s="113"/>
      <c r="C827" s="113"/>
      <c r="D827" s="113"/>
      <c r="E827" s="113"/>
      <c r="F827" s="113"/>
      <c r="G827" s="113"/>
      <c r="H827" s="113"/>
      <c r="I827" s="113"/>
      <c r="J827" s="113"/>
      <c r="K827" s="113"/>
      <c r="L827" s="113"/>
      <c r="M827" s="113"/>
      <c r="N827" s="113"/>
      <c r="O827" s="113"/>
      <c r="P827" s="113"/>
      <c r="Q827" s="113"/>
      <c r="R827" s="113"/>
      <c r="S827" s="113"/>
      <c r="T827" s="113"/>
      <c r="U827" s="113"/>
      <c r="V827" s="113"/>
      <c r="W827" s="113"/>
      <c r="X827" s="113"/>
      <c r="Y827" s="113"/>
      <c r="Z827" s="113"/>
      <c r="AA827" s="113"/>
      <c r="AB827" s="113"/>
      <c r="AC827" s="113"/>
      <c r="AD827" s="113"/>
      <c r="AE827" s="113"/>
      <c r="AF827" s="113"/>
      <c r="AG827" s="113"/>
    </row>
    <row r="828" spans="1:33" ht="13.8">
      <c r="A828" s="113"/>
      <c r="B828" s="113"/>
      <c r="C828" s="113"/>
      <c r="D828" s="113"/>
      <c r="E828" s="113"/>
      <c r="F828" s="113"/>
      <c r="G828" s="113"/>
      <c r="H828" s="113"/>
      <c r="I828" s="113"/>
      <c r="J828" s="113"/>
      <c r="K828" s="113"/>
      <c r="L828" s="113"/>
      <c r="M828" s="113"/>
      <c r="N828" s="113"/>
      <c r="O828" s="113"/>
      <c r="P828" s="113"/>
      <c r="Q828" s="113"/>
      <c r="R828" s="113"/>
      <c r="S828" s="113"/>
      <c r="T828" s="113"/>
      <c r="U828" s="113"/>
      <c r="V828" s="113"/>
      <c r="W828" s="113"/>
      <c r="X828" s="113"/>
      <c r="Y828" s="113"/>
      <c r="Z828" s="113"/>
      <c r="AA828" s="113"/>
      <c r="AB828" s="113"/>
      <c r="AC828" s="113"/>
      <c r="AD828" s="113"/>
      <c r="AE828" s="113"/>
      <c r="AF828" s="113"/>
      <c r="AG828" s="113"/>
    </row>
    <row r="829" spans="1:33" ht="13.8">
      <c r="A829" s="113"/>
      <c r="B829" s="113"/>
      <c r="C829" s="113"/>
      <c r="D829" s="113"/>
      <c r="E829" s="113"/>
      <c r="F829" s="113"/>
      <c r="G829" s="113"/>
      <c r="H829" s="113"/>
      <c r="I829" s="113"/>
      <c r="J829" s="113"/>
      <c r="K829" s="113"/>
      <c r="L829" s="113"/>
      <c r="M829" s="113"/>
      <c r="N829" s="113"/>
      <c r="O829" s="113"/>
      <c r="P829" s="113"/>
      <c r="Q829" s="113"/>
      <c r="R829" s="113"/>
      <c r="S829" s="113"/>
      <c r="T829" s="113"/>
      <c r="U829" s="113"/>
      <c r="V829" s="113"/>
      <c r="W829" s="113"/>
      <c r="X829" s="113"/>
      <c r="Y829" s="113"/>
      <c r="Z829" s="113"/>
      <c r="AA829" s="113"/>
      <c r="AB829" s="113"/>
      <c r="AC829" s="113"/>
      <c r="AD829" s="113"/>
      <c r="AE829" s="113"/>
      <c r="AF829" s="113"/>
      <c r="AG829" s="113"/>
    </row>
    <row r="830" spans="1:33" ht="13.8">
      <c r="A830" s="113"/>
      <c r="B830" s="113"/>
      <c r="C830" s="113"/>
      <c r="D830" s="113"/>
      <c r="E830" s="113"/>
      <c r="F830" s="113"/>
      <c r="G830" s="113"/>
      <c r="H830" s="113"/>
      <c r="I830" s="113"/>
      <c r="J830" s="113"/>
      <c r="K830" s="113"/>
      <c r="L830" s="113"/>
      <c r="M830" s="113"/>
      <c r="N830" s="113"/>
      <c r="O830" s="113"/>
      <c r="P830" s="113"/>
      <c r="Q830" s="113"/>
      <c r="R830" s="113"/>
      <c r="S830" s="113"/>
      <c r="T830" s="113"/>
      <c r="U830" s="113"/>
      <c r="V830" s="113"/>
      <c r="W830" s="113"/>
      <c r="X830" s="113"/>
      <c r="Y830" s="113"/>
      <c r="Z830" s="113"/>
      <c r="AA830" s="113"/>
      <c r="AB830" s="113"/>
      <c r="AC830" s="113"/>
      <c r="AD830" s="113"/>
      <c r="AE830" s="113"/>
      <c r="AF830" s="113"/>
      <c r="AG830" s="113"/>
    </row>
    <row r="831" spans="1:33" ht="13.8">
      <c r="A831" s="113"/>
      <c r="B831" s="113"/>
      <c r="C831" s="113"/>
      <c r="D831" s="113"/>
      <c r="E831" s="113"/>
      <c r="F831" s="113"/>
      <c r="G831" s="113"/>
      <c r="H831" s="113"/>
      <c r="I831" s="113"/>
      <c r="J831" s="113"/>
      <c r="K831" s="113"/>
      <c r="L831" s="113"/>
      <c r="M831" s="113"/>
      <c r="N831" s="113"/>
      <c r="O831" s="113"/>
      <c r="P831" s="113"/>
      <c r="Q831" s="113"/>
      <c r="R831" s="113"/>
      <c r="S831" s="113"/>
      <c r="T831" s="113"/>
      <c r="U831" s="113"/>
      <c r="V831" s="113"/>
      <c r="W831" s="113"/>
      <c r="X831" s="113"/>
      <c r="Y831" s="113"/>
      <c r="Z831" s="113"/>
      <c r="AA831" s="113"/>
      <c r="AB831" s="113"/>
      <c r="AC831" s="113"/>
      <c r="AD831" s="113"/>
      <c r="AE831" s="113"/>
      <c r="AF831" s="113"/>
      <c r="AG831" s="113"/>
    </row>
    <row r="832" spans="1:33" ht="13.8">
      <c r="A832" s="113"/>
      <c r="B832" s="113"/>
      <c r="C832" s="113"/>
      <c r="D832" s="113"/>
      <c r="E832" s="113"/>
      <c r="F832" s="113"/>
      <c r="G832" s="113"/>
      <c r="H832" s="113"/>
      <c r="I832" s="113"/>
      <c r="J832" s="113"/>
      <c r="K832" s="113"/>
      <c r="L832" s="113"/>
      <c r="M832" s="113"/>
      <c r="N832" s="113"/>
      <c r="O832" s="113"/>
      <c r="P832" s="113"/>
      <c r="Q832" s="113"/>
      <c r="R832" s="113"/>
      <c r="S832" s="113"/>
      <c r="T832" s="113"/>
      <c r="U832" s="113"/>
      <c r="V832" s="113"/>
      <c r="W832" s="113"/>
      <c r="X832" s="113"/>
      <c r="Y832" s="113"/>
      <c r="Z832" s="113"/>
      <c r="AA832" s="113"/>
      <c r="AB832" s="113"/>
      <c r="AC832" s="113"/>
      <c r="AD832" s="113"/>
      <c r="AE832" s="113"/>
      <c r="AF832" s="113"/>
      <c r="AG832" s="113"/>
    </row>
    <row r="833" spans="1:33" ht="13.8">
      <c r="A833" s="113"/>
      <c r="B833" s="113"/>
      <c r="C833" s="113"/>
      <c r="D833" s="113"/>
      <c r="E833" s="113"/>
      <c r="F833" s="113"/>
      <c r="G833" s="113"/>
      <c r="H833" s="113"/>
      <c r="I833" s="113"/>
      <c r="J833" s="113"/>
      <c r="K833" s="113"/>
      <c r="L833" s="113"/>
      <c r="M833" s="113"/>
      <c r="N833" s="113"/>
      <c r="O833" s="113"/>
      <c r="P833" s="113"/>
      <c r="Q833" s="113"/>
      <c r="R833" s="113"/>
      <c r="S833" s="113"/>
      <c r="T833" s="113"/>
      <c r="U833" s="113"/>
      <c r="V833" s="113"/>
      <c r="W833" s="113"/>
      <c r="X833" s="113"/>
      <c r="Y833" s="113"/>
      <c r="Z833" s="113"/>
      <c r="AA833" s="113"/>
      <c r="AB833" s="113"/>
      <c r="AC833" s="113"/>
      <c r="AD833" s="113"/>
      <c r="AE833" s="113"/>
      <c r="AF833" s="113"/>
      <c r="AG833" s="113"/>
    </row>
    <row r="834" spans="1:33" ht="13.8">
      <c r="A834" s="113"/>
      <c r="B834" s="113"/>
      <c r="C834" s="113"/>
      <c r="D834" s="113"/>
      <c r="E834" s="113"/>
      <c r="F834" s="113"/>
      <c r="G834" s="113"/>
      <c r="H834" s="113"/>
      <c r="I834" s="113"/>
      <c r="J834" s="113"/>
      <c r="K834" s="113"/>
      <c r="L834" s="113"/>
      <c r="M834" s="113"/>
      <c r="N834" s="113"/>
      <c r="O834" s="113"/>
      <c r="P834" s="113"/>
      <c r="Q834" s="113"/>
      <c r="R834" s="113"/>
      <c r="S834" s="113"/>
      <c r="T834" s="113"/>
      <c r="U834" s="113"/>
      <c r="V834" s="113"/>
      <c r="W834" s="113"/>
      <c r="X834" s="113"/>
      <c r="Y834" s="113"/>
      <c r="Z834" s="113"/>
      <c r="AA834" s="113"/>
      <c r="AB834" s="113"/>
      <c r="AC834" s="113"/>
      <c r="AD834" s="113"/>
      <c r="AE834" s="113"/>
      <c r="AF834" s="113"/>
      <c r="AG834" s="113"/>
    </row>
    <row r="835" spans="1:33" ht="13.8">
      <c r="A835" s="113"/>
      <c r="B835" s="113"/>
      <c r="C835" s="113"/>
      <c r="D835" s="113"/>
      <c r="E835" s="113"/>
      <c r="F835" s="113"/>
      <c r="G835" s="113"/>
      <c r="H835" s="113"/>
      <c r="I835" s="113"/>
      <c r="J835" s="113"/>
      <c r="K835" s="113"/>
      <c r="L835" s="113"/>
      <c r="M835" s="113"/>
      <c r="N835" s="113"/>
      <c r="O835" s="113"/>
      <c r="P835" s="113"/>
      <c r="Q835" s="113"/>
      <c r="R835" s="113"/>
      <c r="S835" s="113"/>
      <c r="T835" s="113"/>
      <c r="U835" s="113"/>
      <c r="V835" s="113"/>
      <c r="W835" s="113"/>
      <c r="X835" s="113"/>
      <c r="Y835" s="113"/>
      <c r="Z835" s="113"/>
      <c r="AA835" s="113"/>
      <c r="AB835" s="113"/>
      <c r="AC835" s="113"/>
      <c r="AD835" s="113"/>
      <c r="AE835" s="113"/>
      <c r="AF835" s="113"/>
      <c r="AG835" s="113"/>
    </row>
    <row r="836" spans="1:33" ht="13.8">
      <c r="A836" s="113"/>
      <c r="B836" s="113"/>
      <c r="C836" s="113"/>
      <c r="D836" s="113"/>
      <c r="E836" s="113"/>
      <c r="F836" s="113"/>
      <c r="G836" s="113"/>
      <c r="H836" s="113"/>
      <c r="I836" s="113"/>
      <c r="J836" s="113"/>
      <c r="K836" s="113"/>
      <c r="L836" s="113"/>
      <c r="M836" s="113"/>
      <c r="N836" s="113"/>
      <c r="O836" s="113"/>
      <c r="P836" s="113"/>
      <c r="Q836" s="113"/>
      <c r="R836" s="113"/>
      <c r="S836" s="113"/>
      <c r="T836" s="113"/>
      <c r="U836" s="113"/>
      <c r="V836" s="113"/>
      <c r="W836" s="113"/>
      <c r="X836" s="113"/>
      <c r="Y836" s="113"/>
      <c r="Z836" s="113"/>
      <c r="AA836" s="113"/>
      <c r="AB836" s="113"/>
      <c r="AC836" s="113"/>
      <c r="AD836" s="113"/>
      <c r="AE836" s="113"/>
      <c r="AF836" s="113"/>
      <c r="AG836" s="113"/>
    </row>
    <row r="837" spans="1:33" ht="13.8">
      <c r="A837" s="113"/>
      <c r="B837" s="113"/>
      <c r="C837" s="113"/>
      <c r="D837" s="113"/>
      <c r="E837" s="113"/>
      <c r="F837" s="113"/>
      <c r="G837" s="113"/>
      <c r="H837" s="113"/>
      <c r="I837" s="113"/>
      <c r="J837" s="113"/>
      <c r="K837" s="113"/>
      <c r="L837" s="113"/>
      <c r="M837" s="113"/>
      <c r="N837" s="113"/>
      <c r="O837" s="113"/>
      <c r="P837" s="113"/>
      <c r="Q837" s="113"/>
      <c r="R837" s="113"/>
      <c r="S837" s="113"/>
      <c r="T837" s="113"/>
      <c r="U837" s="113"/>
      <c r="V837" s="113"/>
      <c r="W837" s="113"/>
      <c r="X837" s="113"/>
      <c r="Y837" s="113"/>
      <c r="Z837" s="113"/>
      <c r="AA837" s="113"/>
      <c r="AB837" s="113"/>
      <c r="AC837" s="113"/>
      <c r="AD837" s="113"/>
      <c r="AE837" s="113"/>
      <c r="AF837" s="113"/>
      <c r="AG837" s="113"/>
    </row>
    <row r="838" spans="1:33" ht="13.8">
      <c r="A838" s="113"/>
      <c r="B838" s="113"/>
      <c r="C838" s="113"/>
      <c r="D838" s="113"/>
      <c r="E838" s="113"/>
      <c r="F838" s="113"/>
      <c r="G838" s="113"/>
      <c r="H838" s="113"/>
      <c r="I838" s="113"/>
      <c r="J838" s="113"/>
      <c r="K838" s="113"/>
      <c r="L838" s="113"/>
      <c r="M838" s="113"/>
      <c r="N838" s="113"/>
      <c r="O838" s="113"/>
      <c r="P838" s="113"/>
      <c r="Q838" s="113"/>
      <c r="R838" s="113"/>
      <c r="S838" s="113"/>
      <c r="T838" s="113"/>
      <c r="U838" s="113"/>
      <c r="V838" s="113"/>
      <c r="W838" s="113"/>
      <c r="X838" s="113"/>
      <c r="Y838" s="113"/>
      <c r="Z838" s="113"/>
      <c r="AA838" s="113"/>
      <c r="AB838" s="113"/>
      <c r="AC838" s="113"/>
      <c r="AD838" s="113"/>
      <c r="AE838" s="113"/>
      <c r="AF838" s="113"/>
      <c r="AG838" s="113"/>
    </row>
    <row r="839" spans="1:33" ht="13.8">
      <c r="A839" s="113"/>
      <c r="B839" s="113"/>
      <c r="C839" s="113"/>
      <c r="D839" s="113"/>
      <c r="E839" s="113"/>
      <c r="F839" s="113"/>
      <c r="G839" s="113"/>
      <c r="H839" s="113"/>
      <c r="I839" s="113"/>
      <c r="J839" s="113"/>
      <c r="K839" s="113"/>
      <c r="L839" s="113"/>
      <c r="M839" s="113"/>
      <c r="N839" s="113"/>
      <c r="O839" s="113"/>
      <c r="P839" s="113"/>
      <c r="Q839" s="113"/>
      <c r="R839" s="113"/>
      <c r="S839" s="113"/>
      <c r="T839" s="113"/>
      <c r="U839" s="113"/>
      <c r="V839" s="113"/>
      <c r="W839" s="113"/>
      <c r="X839" s="113"/>
      <c r="Y839" s="113"/>
      <c r="Z839" s="113"/>
      <c r="AA839" s="113"/>
      <c r="AB839" s="113"/>
      <c r="AC839" s="113"/>
      <c r="AD839" s="113"/>
      <c r="AE839" s="113"/>
      <c r="AF839" s="113"/>
      <c r="AG839" s="113"/>
    </row>
    <row r="840" spans="1:33" ht="13.8">
      <c r="A840" s="113"/>
      <c r="B840" s="113"/>
      <c r="C840" s="113"/>
      <c r="D840" s="113"/>
      <c r="E840" s="113"/>
      <c r="F840" s="113"/>
      <c r="G840" s="113"/>
      <c r="H840" s="113"/>
      <c r="I840" s="113"/>
      <c r="J840" s="113"/>
      <c r="K840" s="113"/>
      <c r="L840" s="113"/>
      <c r="M840" s="113"/>
      <c r="N840" s="113"/>
      <c r="O840" s="113"/>
      <c r="P840" s="113"/>
      <c r="Q840" s="113"/>
      <c r="R840" s="113"/>
      <c r="S840" s="113"/>
      <c r="T840" s="113"/>
      <c r="U840" s="113"/>
      <c r="V840" s="113"/>
      <c r="W840" s="113"/>
      <c r="X840" s="113"/>
      <c r="Y840" s="113"/>
      <c r="Z840" s="113"/>
      <c r="AA840" s="113"/>
      <c r="AB840" s="113"/>
      <c r="AC840" s="113"/>
      <c r="AD840" s="113"/>
      <c r="AE840" s="113"/>
      <c r="AF840" s="113"/>
      <c r="AG840" s="113"/>
    </row>
    <row r="841" spans="1:33" ht="13.8">
      <c r="A841" s="113"/>
      <c r="B841" s="113"/>
      <c r="C841" s="113"/>
      <c r="D841" s="113"/>
      <c r="E841" s="113"/>
      <c r="F841" s="113"/>
      <c r="G841" s="113"/>
      <c r="H841" s="113"/>
      <c r="I841" s="113"/>
      <c r="J841" s="113"/>
      <c r="K841" s="113"/>
      <c r="L841" s="113"/>
      <c r="M841" s="113"/>
      <c r="N841" s="113"/>
      <c r="O841" s="113"/>
      <c r="P841" s="113"/>
      <c r="Q841" s="113"/>
      <c r="R841" s="113"/>
      <c r="S841" s="113"/>
      <c r="T841" s="113"/>
      <c r="U841" s="113"/>
      <c r="V841" s="113"/>
      <c r="W841" s="113"/>
      <c r="X841" s="113"/>
      <c r="Y841" s="113"/>
      <c r="Z841" s="113"/>
      <c r="AA841" s="113"/>
      <c r="AB841" s="113"/>
      <c r="AC841" s="113"/>
      <c r="AD841" s="113"/>
      <c r="AE841" s="113"/>
      <c r="AF841" s="113"/>
      <c r="AG841" s="113"/>
    </row>
    <row r="842" spans="1:33" ht="13.8">
      <c r="A842" s="113"/>
      <c r="B842" s="113"/>
      <c r="C842" s="113"/>
      <c r="D842" s="113"/>
      <c r="E842" s="113"/>
      <c r="F842" s="113"/>
      <c r="G842" s="113"/>
      <c r="H842" s="113"/>
      <c r="I842" s="113"/>
      <c r="J842" s="113"/>
      <c r="K842" s="113"/>
      <c r="L842" s="113"/>
      <c r="M842" s="113"/>
      <c r="N842" s="113"/>
      <c r="O842" s="113"/>
      <c r="P842" s="113"/>
      <c r="Q842" s="113"/>
      <c r="R842" s="113"/>
      <c r="S842" s="113"/>
      <c r="T842" s="113"/>
      <c r="U842" s="113"/>
      <c r="V842" s="113"/>
      <c r="W842" s="113"/>
      <c r="X842" s="113"/>
      <c r="Y842" s="113"/>
      <c r="Z842" s="113"/>
      <c r="AA842" s="113"/>
      <c r="AB842" s="113"/>
      <c r="AC842" s="113"/>
      <c r="AD842" s="113"/>
      <c r="AE842" s="113"/>
      <c r="AF842" s="113"/>
      <c r="AG842" s="113"/>
    </row>
    <row r="843" spans="1:33" ht="13.8">
      <c r="A843" s="113"/>
      <c r="B843" s="113"/>
      <c r="C843" s="113"/>
      <c r="D843" s="113"/>
      <c r="E843" s="113"/>
      <c r="F843" s="113"/>
      <c r="G843" s="113"/>
      <c r="H843" s="113"/>
      <c r="I843" s="113"/>
      <c r="J843" s="113"/>
      <c r="K843" s="113"/>
      <c r="L843" s="113"/>
      <c r="M843" s="113"/>
      <c r="N843" s="113"/>
      <c r="O843" s="113"/>
      <c r="P843" s="113"/>
      <c r="Q843" s="113"/>
      <c r="R843" s="113"/>
      <c r="S843" s="113"/>
      <c r="T843" s="113"/>
      <c r="U843" s="113"/>
      <c r="V843" s="113"/>
      <c r="W843" s="113"/>
      <c r="X843" s="113"/>
      <c r="Y843" s="113"/>
      <c r="Z843" s="113"/>
      <c r="AA843" s="113"/>
      <c r="AB843" s="113"/>
      <c r="AC843" s="113"/>
      <c r="AD843" s="113"/>
      <c r="AE843" s="113"/>
      <c r="AF843" s="113"/>
      <c r="AG843" s="113"/>
    </row>
    <row r="844" spans="1:33" ht="13.8">
      <c r="A844" s="113"/>
      <c r="B844" s="113"/>
      <c r="C844" s="113"/>
      <c r="D844" s="113"/>
      <c r="E844" s="113"/>
      <c r="F844" s="113"/>
      <c r="G844" s="113"/>
      <c r="H844" s="113"/>
      <c r="I844" s="113"/>
      <c r="J844" s="113"/>
      <c r="K844" s="113"/>
      <c r="L844" s="113"/>
      <c r="M844" s="113"/>
      <c r="N844" s="113"/>
      <c r="O844" s="113"/>
      <c r="P844" s="113"/>
      <c r="Q844" s="113"/>
      <c r="R844" s="113"/>
      <c r="S844" s="113"/>
      <c r="T844" s="113"/>
      <c r="U844" s="113"/>
      <c r="V844" s="113"/>
      <c r="W844" s="113"/>
      <c r="X844" s="113"/>
      <c r="Y844" s="113"/>
      <c r="Z844" s="113"/>
      <c r="AA844" s="113"/>
      <c r="AB844" s="113"/>
      <c r="AC844" s="113"/>
      <c r="AD844" s="113"/>
      <c r="AE844" s="113"/>
      <c r="AF844" s="113"/>
      <c r="AG844" s="113"/>
    </row>
    <row r="845" spans="1:33" ht="13.8">
      <c r="A845" s="113"/>
      <c r="B845" s="113"/>
      <c r="C845" s="113"/>
      <c r="D845" s="113"/>
      <c r="E845" s="113"/>
      <c r="F845" s="113"/>
      <c r="G845" s="113"/>
      <c r="H845" s="113"/>
      <c r="I845" s="113"/>
      <c r="J845" s="113"/>
      <c r="K845" s="113"/>
      <c r="L845" s="113"/>
      <c r="M845" s="113"/>
      <c r="N845" s="113"/>
      <c r="O845" s="113"/>
      <c r="P845" s="113"/>
      <c r="Q845" s="113"/>
      <c r="R845" s="113"/>
      <c r="S845" s="113"/>
      <c r="T845" s="113"/>
      <c r="U845" s="113"/>
      <c r="V845" s="113"/>
      <c r="W845" s="113"/>
      <c r="X845" s="113"/>
      <c r="Y845" s="113"/>
      <c r="Z845" s="113"/>
      <c r="AA845" s="113"/>
      <c r="AB845" s="113"/>
      <c r="AC845" s="113"/>
      <c r="AD845" s="113"/>
      <c r="AE845" s="113"/>
      <c r="AF845" s="113"/>
      <c r="AG845" s="113"/>
    </row>
    <row r="846" spans="1:33" ht="13.8">
      <c r="A846" s="113"/>
      <c r="B846" s="113"/>
      <c r="C846" s="113"/>
      <c r="D846" s="113"/>
      <c r="E846" s="113"/>
      <c r="F846" s="113"/>
      <c r="G846" s="113"/>
      <c r="H846" s="113"/>
      <c r="I846" s="113"/>
      <c r="J846" s="113"/>
      <c r="K846" s="113"/>
      <c r="L846" s="113"/>
      <c r="M846" s="113"/>
      <c r="N846" s="113"/>
      <c r="O846" s="113"/>
      <c r="P846" s="113"/>
      <c r="Q846" s="113"/>
      <c r="R846" s="113"/>
      <c r="S846" s="113"/>
      <c r="T846" s="113"/>
      <c r="U846" s="113"/>
      <c r="V846" s="113"/>
      <c r="W846" s="113"/>
      <c r="X846" s="113"/>
      <c r="Y846" s="113"/>
      <c r="Z846" s="113"/>
      <c r="AA846" s="113"/>
      <c r="AB846" s="113"/>
      <c r="AC846" s="113"/>
      <c r="AD846" s="113"/>
      <c r="AE846" s="113"/>
      <c r="AF846" s="113"/>
      <c r="AG846" s="113"/>
    </row>
    <row r="847" spans="1:33" ht="13.8">
      <c r="A847" s="113"/>
      <c r="B847" s="113"/>
      <c r="C847" s="113"/>
      <c r="D847" s="113"/>
      <c r="E847" s="113"/>
      <c r="F847" s="113"/>
      <c r="G847" s="113"/>
      <c r="H847" s="113"/>
      <c r="I847" s="113"/>
      <c r="J847" s="113"/>
      <c r="K847" s="113"/>
      <c r="L847" s="113"/>
      <c r="M847" s="113"/>
      <c r="N847" s="113"/>
      <c r="O847" s="113"/>
      <c r="P847" s="113"/>
      <c r="Q847" s="113"/>
      <c r="R847" s="113"/>
      <c r="S847" s="113"/>
      <c r="T847" s="113"/>
      <c r="U847" s="113"/>
      <c r="V847" s="113"/>
      <c r="W847" s="113"/>
      <c r="X847" s="113"/>
      <c r="Y847" s="113"/>
      <c r="Z847" s="113"/>
      <c r="AA847" s="113"/>
      <c r="AB847" s="113"/>
      <c r="AC847" s="113"/>
      <c r="AD847" s="113"/>
      <c r="AE847" s="113"/>
      <c r="AF847" s="113"/>
      <c r="AG847" s="113"/>
    </row>
    <row r="848" spans="1:33" ht="13.8">
      <c r="A848" s="113"/>
      <c r="B848" s="113"/>
      <c r="C848" s="113"/>
      <c r="D848" s="113"/>
      <c r="E848" s="113"/>
      <c r="F848" s="113"/>
      <c r="G848" s="113"/>
      <c r="H848" s="113"/>
      <c r="I848" s="113"/>
      <c r="J848" s="113"/>
      <c r="K848" s="113"/>
      <c r="L848" s="113"/>
      <c r="M848" s="113"/>
      <c r="N848" s="113"/>
      <c r="O848" s="113"/>
      <c r="P848" s="113"/>
      <c r="Q848" s="113"/>
      <c r="R848" s="113"/>
      <c r="S848" s="113"/>
      <c r="T848" s="113"/>
      <c r="U848" s="113"/>
      <c r="V848" s="113"/>
      <c r="W848" s="113"/>
      <c r="X848" s="113"/>
      <c r="Y848" s="113"/>
      <c r="Z848" s="113"/>
      <c r="AA848" s="113"/>
      <c r="AB848" s="113"/>
      <c r="AC848" s="113"/>
      <c r="AD848" s="113"/>
      <c r="AE848" s="113"/>
      <c r="AF848" s="113"/>
      <c r="AG848" s="113"/>
    </row>
    <row r="849" spans="1:33" ht="13.8">
      <c r="A849" s="113"/>
      <c r="B849" s="113"/>
      <c r="C849" s="113"/>
      <c r="D849" s="113"/>
      <c r="E849" s="113"/>
      <c r="F849" s="113"/>
      <c r="G849" s="113"/>
      <c r="H849" s="113"/>
      <c r="I849" s="113"/>
      <c r="J849" s="113"/>
      <c r="K849" s="113"/>
      <c r="L849" s="113"/>
      <c r="M849" s="113"/>
      <c r="N849" s="113"/>
      <c r="O849" s="113"/>
      <c r="P849" s="113"/>
      <c r="Q849" s="113"/>
      <c r="R849" s="113"/>
      <c r="S849" s="113"/>
      <c r="T849" s="113"/>
      <c r="U849" s="113"/>
      <c r="V849" s="113"/>
      <c r="W849" s="113"/>
      <c r="X849" s="113"/>
      <c r="Y849" s="113"/>
      <c r="Z849" s="113"/>
      <c r="AA849" s="113"/>
      <c r="AB849" s="113"/>
      <c r="AC849" s="113"/>
      <c r="AD849" s="113"/>
      <c r="AE849" s="113"/>
      <c r="AF849" s="113"/>
      <c r="AG849" s="113"/>
    </row>
    <row r="850" spans="1:33" ht="13.8">
      <c r="A850" s="113"/>
      <c r="B850" s="113"/>
      <c r="C850" s="113"/>
      <c r="D850" s="113"/>
      <c r="E850" s="113"/>
      <c r="F850" s="113"/>
      <c r="G850" s="113"/>
      <c r="H850" s="113"/>
      <c r="I850" s="113"/>
      <c r="J850" s="113"/>
      <c r="K850" s="113"/>
      <c r="L850" s="113"/>
      <c r="M850" s="113"/>
      <c r="N850" s="113"/>
      <c r="O850" s="113"/>
      <c r="P850" s="113"/>
      <c r="Q850" s="113"/>
      <c r="R850" s="113"/>
      <c r="S850" s="113"/>
      <c r="T850" s="113"/>
      <c r="U850" s="113"/>
      <c r="V850" s="113"/>
      <c r="W850" s="113"/>
      <c r="X850" s="113"/>
      <c r="Y850" s="113"/>
      <c r="Z850" s="113"/>
      <c r="AA850" s="113"/>
      <c r="AB850" s="113"/>
      <c r="AC850" s="113"/>
      <c r="AD850" s="113"/>
      <c r="AE850" s="113"/>
      <c r="AF850" s="113"/>
      <c r="AG850" s="113"/>
    </row>
    <row r="851" spans="1:33" ht="13.8">
      <c r="A851" s="113"/>
      <c r="B851" s="113"/>
      <c r="C851" s="113"/>
      <c r="D851" s="113"/>
      <c r="E851" s="113"/>
      <c r="F851" s="113"/>
      <c r="G851" s="113"/>
      <c r="H851" s="113"/>
      <c r="I851" s="113"/>
      <c r="J851" s="113"/>
      <c r="K851" s="113"/>
      <c r="L851" s="113"/>
      <c r="M851" s="113"/>
      <c r="N851" s="113"/>
      <c r="O851" s="113"/>
      <c r="P851" s="113"/>
      <c r="Q851" s="113"/>
      <c r="R851" s="113"/>
      <c r="S851" s="113"/>
      <c r="T851" s="113"/>
      <c r="U851" s="113"/>
      <c r="V851" s="113"/>
      <c r="W851" s="113"/>
      <c r="X851" s="113"/>
      <c r="Y851" s="113"/>
      <c r="Z851" s="113"/>
      <c r="AA851" s="113"/>
      <c r="AB851" s="113"/>
      <c r="AC851" s="113"/>
      <c r="AD851" s="113"/>
      <c r="AE851" s="113"/>
      <c r="AF851" s="113"/>
      <c r="AG851" s="113"/>
    </row>
    <row r="852" spans="1:33" ht="13.8">
      <c r="A852" s="113"/>
      <c r="B852" s="113"/>
      <c r="C852" s="113"/>
      <c r="D852" s="113"/>
      <c r="E852" s="113"/>
      <c r="F852" s="113"/>
      <c r="G852" s="113"/>
      <c r="H852" s="113"/>
      <c r="I852" s="113"/>
      <c r="J852" s="113"/>
      <c r="K852" s="113"/>
      <c r="L852" s="113"/>
      <c r="M852" s="113"/>
      <c r="N852" s="113"/>
      <c r="O852" s="113"/>
      <c r="P852" s="113"/>
      <c r="Q852" s="113"/>
      <c r="R852" s="113"/>
      <c r="S852" s="113"/>
      <c r="T852" s="113"/>
      <c r="U852" s="113"/>
      <c r="V852" s="113"/>
      <c r="W852" s="113"/>
      <c r="X852" s="113"/>
      <c r="Y852" s="113"/>
      <c r="Z852" s="113"/>
      <c r="AA852" s="113"/>
      <c r="AB852" s="113"/>
      <c r="AC852" s="113"/>
      <c r="AD852" s="113"/>
      <c r="AE852" s="113"/>
      <c r="AF852" s="113"/>
      <c r="AG852" s="113"/>
    </row>
    <row r="853" spans="1:33" ht="13.8">
      <c r="A853" s="113"/>
      <c r="B853" s="113"/>
      <c r="C853" s="113"/>
      <c r="D853" s="113"/>
      <c r="E853" s="113"/>
      <c r="F853" s="113"/>
      <c r="G853" s="113"/>
      <c r="H853" s="113"/>
      <c r="I853" s="113"/>
      <c r="J853" s="113"/>
      <c r="K853" s="113"/>
      <c r="L853" s="113"/>
      <c r="M853" s="113"/>
      <c r="N853" s="113"/>
      <c r="O853" s="113"/>
      <c r="P853" s="113"/>
      <c r="Q853" s="113"/>
      <c r="R853" s="113"/>
      <c r="S853" s="113"/>
      <c r="T853" s="113"/>
      <c r="U853" s="113"/>
      <c r="V853" s="113"/>
      <c r="W853" s="113"/>
      <c r="X853" s="113"/>
      <c r="Y853" s="113"/>
      <c r="Z853" s="113"/>
      <c r="AA853" s="113"/>
      <c r="AB853" s="113"/>
      <c r="AC853" s="113"/>
      <c r="AD853" s="113"/>
      <c r="AE853" s="113"/>
      <c r="AF853" s="113"/>
      <c r="AG853" s="113"/>
    </row>
    <row r="854" spans="1:33" ht="13.8">
      <c r="A854" s="113"/>
      <c r="B854" s="113"/>
      <c r="C854" s="113"/>
      <c r="D854" s="113"/>
      <c r="E854" s="113"/>
      <c r="F854" s="113"/>
      <c r="G854" s="113"/>
      <c r="H854" s="113"/>
      <c r="I854" s="113"/>
      <c r="J854" s="113"/>
      <c r="K854" s="113"/>
      <c r="L854" s="113"/>
      <c r="M854" s="113"/>
      <c r="N854" s="113"/>
      <c r="O854" s="113"/>
      <c r="P854" s="113"/>
      <c r="Q854" s="113"/>
      <c r="R854" s="113"/>
      <c r="S854" s="113"/>
      <c r="T854" s="113"/>
      <c r="U854" s="113"/>
      <c r="V854" s="113"/>
      <c r="W854" s="113"/>
      <c r="X854" s="113"/>
      <c r="Y854" s="113"/>
      <c r="Z854" s="113"/>
      <c r="AA854" s="113"/>
      <c r="AB854" s="113"/>
      <c r="AC854" s="113"/>
      <c r="AD854" s="113"/>
      <c r="AE854" s="113"/>
      <c r="AF854" s="113"/>
      <c r="AG854" s="113"/>
    </row>
    <row r="855" spans="1:33" ht="13.8">
      <c r="A855" s="113"/>
      <c r="B855" s="113"/>
      <c r="C855" s="113"/>
      <c r="D855" s="113"/>
      <c r="E855" s="113"/>
      <c r="F855" s="113"/>
      <c r="G855" s="113"/>
      <c r="H855" s="113"/>
      <c r="I855" s="113"/>
      <c r="J855" s="113"/>
      <c r="K855" s="113"/>
      <c r="L855" s="113"/>
      <c r="M855" s="113"/>
      <c r="N855" s="113"/>
      <c r="O855" s="113"/>
      <c r="P855" s="113"/>
      <c r="Q855" s="113"/>
      <c r="R855" s="113"/>
      <c r="S855" s="113"/>
      <c r="T855" s="113"/>
      <c r="U855" s="113"/>
      <c r="V855" s="113"/>
      <c r="W855" s="113"/>
      <c r="X855" s="113"/>
      <c r="Y855" s="113"/>
      <c r="Z855" s="113"/>
      <c r="AA855" s="113"/>
      <c r="AB855" s="113"/>
      <c r="AC855" s="113"/>
      <c r="AD855" s="113"/>
      <c r="AE855" s="113"/>
      <c r="AF855" s="113"/>
      <c r="AG855" s="113"/>
    </row>
    <row r="856" spans="1:33" ht="13.8">
      <c r="A856" s="113"/>
      <c r="B856" s="113"/>
      <c r="C856" s="113"/>
      <c r="D856" s="113"/>
      <c r="E856" s="113"/>
      <c r="F856" s="113"/>
      <c r="G856" s="113"/>
      <c r="H856" s="113"/>
      <c r="I856" s="113"/>
      <c r="J856" s="113"/>
      <c r="K856" s="113"/>
      <c r="L856" s="113"/>
      <c r="M856" s="113"/>
      <c r="N856" s="113"/>
      <c r="O856" s="113"/>
      <c r="P856" s="113"/>
      <c r="Q856" s="113"/>
      <c r="R856" s="113"/>
      <c r="S856" s="113"/>
      <c r="T856" s="113"/>
      <c r="U856" s="113"/>
      <c r="V856" s="113"/>
      <c r="W856" s="113"/>
      <c r="X856" s="113"/>
      <c r="Y856" s="113"/>
      <c r="Z856" s="113"/>
      <c r="AA856" s="113"/>
      <c r="AB856" s="113"/>
      <c r="AC856" s="113"/>
      <c r="AD856" s="113"/>
      <c r="AE856" s="113"/>
      <c r="AF856" s="113"/>
      <c r="AG856" s="113"/>
    </row>
    <row r="857" spans="1:33" ht="13.8">
      <c r="A857" s="113"/>
      <c r="B857" s="113"/>
      <c r="C857" s="113"/>
      <c r="D857" s="113"/>
      <c r="E857" s="113"/>
      <c r="F857" s="113"/>
      <c r="G857" s="113"/>
      <c r="H857" s="113"/>
      <c r="I857" s="113"/>
      <c r="J857" s="113"/>
      <c r="K857" s="113"/>
      <c r="L857" s="113"/>
      <c r="M857" s="113"/>
      <c r="N857" s="113"/>
      <c r="O857" s="113"/>
      <c r="P857" s="113"/>
      <c r="Q857" s="113"/>
      <c r="R857" s="113"/>
      <c r="S857" s="113"/>
      <c r="T857" s="113"/>
      <c r="U857" s="113"/>
      <c r="V857" s="113"/>
      <c r="W857" s="113"/>
      <c r="X857" s="113"/>
      <c r="Y857" s="113"/>
      <c r="Z857" s="113"/>
      <c r="AA857" s="113"/>
      <c r="AB857" s="113"/>
      <c r="AC857" s="113"/>
      <c r="AD857" s="113"/>
      <c r="AE857" s="113"/>
      <c r="AF857" s="113"/>
      <c r="AG857" s="113"/>
    </row>
    <row r="858" spans="1:33" ht="13.8">
      <c r="A858" s="113"/>
      <c r="B858" s="113"/>
      <c r="C858" s="113"/>
      <c r="D858" s="113"/>
      <c r="E858" s="113"/>
      <c r="F858" s="113"/>
      <c r="G858" s="113"/>
      <c r="H858" s="113"/>
      <c r="I858" s="113"/>
      <c r="J858" s="113"/>
      <c r="K858" s="113"/>
      <c r="L858" s="113"/>
      <c r="M858" s="113"/>
      <c r="N858" s="113"/>
      <c r="O858" s="113"/>
      <c r="P858" s="113"/>
      <c r="Q858" s="113"/>
      <c r="R858" s="113"/>
      <c r="S858" s="113"/>
      <c r="T858" s="113"/>
      <c r="U858" s="113"/>
      <c r="V858" s="113"/>
      <c r="W858" s="113"/>
      <c r="X858" s="113"/>
      <c r="Y858" s="113"/>
      <c r="Z858" s="113"/>
      <c r="AA858" s="113"/>
      <c r="AB858" s="113"/>
      <c r="AC858" s="113"/>
      <c r="AD858" s="113"/>
      <c r="AE858" s="113"/>
      <c r="AF858" s="113"/>
      <c r="AG858" s="113"/>
    </row>
    <row r="859" spans="1:33" ht="13.8">
      <c r="A859" s="113"/>
      <c r="B859" s="113"/>
      <c r="C859" s="113"/>
      <c r="D859" s="113"/>
      <c r="E859" s="113"/>
      <c r="F859" s="113"/>
      <c r="G859" s="113"/>
      <c r="H859" s="113"/>
      <c r="I859" s="113"/>
      <c r="J859" s="113"/>
      <c r="K859" s="113"/>
      <c r="L859" s="113"/>
      <c r="M859" s="113"/>
      <c r="N859" s="113"/>
      <c r="O859" s="113"/>
      <c r="P859" s="113"/>
      <c r="Q859" s="113"/>
      <c r="R859" s="113"/>
      <c r="S859" s="113"/>
      <c r="T859" s="113"/>
      <c r="U859" s="113"/>
      <c r="V859" s="113"/>
      <c r="W859" s="113"/>
      <c r="X859" s="113"/>
      <c r="Y859" s="113"/>
      <c r="Z859" s="113"/>
      <c r="AA859" s="113"/>
      <c r="AB859" s="113"/>
      <c r="AC859" s="113"/>
      <c r="AD859" s="113"/>
      <c r="AE859" s="113"/>
      <c r="AF859" s="113"/>
      <c r="AG859" s="113"/>
    </row>
    <row r="860" spans="1:33" ht="13.8">
      <c r="A860" s="113"/>
      <c r="B860" s="113"/>
      <c r="C860" s="113"/>
      <c r="D860" s="113"/>
      <c r="E860" s="113"/>
      <c r="F860" s="113"/>
      <c r="G860" s="113"/>
      <c r="H860" s="113"/>
      <c r="I860" s="113"/>
      <c r="J860" s="113"/>
      <c r="K860" s="113"/>
      <c r="L860" s="113"/>
      <c r="M860" s="113"/>
      <c r="N860" s="113"/>
      <c r="O860" s="113"/>
      <c r="P860" s="113"/>
      <c r="Q860" s="113"/>
      <c r="R860" s="113"/>
      <c r="S860" s="113"/>
      <c r="T860" s="113"/>
      <c r="U860" s="113"/>
      <c r="V860" s="113"/>
      <c r="W860" s="113"/>
      <c r="X860" s="113"/>
      <c r="Y860" s="113"/>
      <c r="Z860" s="113"/>
      <c r="AA860" s="113"/>
      <c r="AB860" s="113"/>
      <c r="AC860" s="113"/>
      <c r="AD860" s="113"/>
      <c r="AE860" s="113"/>
      <c r="AF860" s="113"/>
      <c r="AG860" s="113"/>
    </row>
    <row r="861" spans="1:33" ht="13.8">
      <c r="A861" s="113"/>
      <c r="B861" s="113"/>
      <c r="C861" s="113"/>
      <c r="D861" s="113"/>
      <c r="E861" s="113"/>
      <c r="F861" s="113"/>
      <c r="G861" s="113"/>
      <c r="H861" s="113"/>
      <c r="I861" s="113"/>
      <c r="J861" s="113"/>
      <c r="K861" s="113"/>
      <c r="L861" s="113"/>
      <c r="M861" s="113"/>
      <c r="N861" s="113"/>
      <c r="O861" s="113"/>
      <c r="P861" s="113"/>
      <c r="Q861" s="113"/>
      <c r="R861" s="113"/>
      <c r="S861" s="113"/>
      <c r="T861" s="113"/>
      <c r="U861" s="113"/>
      <c r="V861" s="113"/>
      <c r="W861" s="113"/>
      <c r="X861" s="113"/>
      <c r="Y861" s="113"/>
      <c r="Z861" s="113"/>
      <c r="AA861" s="113"/>
      <c r="AB861" s="113"/>
      <c r="AC861" s="113"/>
      <c r="AD861" s="113"/>
      <c r="AE861" s="113"/>
      <c r="AF861" s="113"/>
      <c r="AG861" s="113"/>
    </row>
    <row r="862" spans="1:33" ht="13.8">
      <c r="A862" s="113"/>
      <c r="B862" s="113"/>
      <c r="C862" s="113"/>
      <c r="D862" s="113"/>
      <c r="E862" s="113"/>
      <c r="F862" s="113"/>
      <c r="G862" s="113"/>
      <c r="H862" s="113"/>
      <c r="I862" s="113"/>
      <c r="J862" s="113"/>
      <c r="K862" s="113"/>
      <c r="L862" s="113"/>
      <c r="M862" s="113"/>
      <c r="N862" s="113"/>
      <c r="O862" s="113"/>
      <c r="P862" s="113"/>
      <c r="Q862" s="113"/>
      <c r="R862" s="113"/>
      <c r="S862" s="113"/>
      <c r="T862" s="113"/>
      <c r="U862" s="113"/>
      <c r="V862" s="113"/>
      <c r="W862" s="113"/>
      <c r="X862" s="113"/>
      <c r="Y862" s="113"/>
      <c r="Z862" s="113"/>
      <c r="AA862" s="113"/>
      <c r="AB862" s="113"/>
      <c r="AC862" s="113"/>
      <c r="AD862" s="113"/>
      <c r="AE862" s="113"/>
      <c r="AF862" s="113"/>
      <c r="AG862" s="113"/>
    </row>
    <row r="863" spans="1:33" ht="13.8">
      <c r="A863" s="113"/>
      <c r="B863" s="113"/>
      <c r="C863" s="113"/>
      <c r="D863" s="113"/>
      <c r="E863" s="113"/>
      <c r="F863" s="113"/>
      <c r="G863" s="113"/>
      <c r="H863" s="113"/>
      <c r="I863" s="113"/>
      <c r="J863" s="113"/>
      <c r="K863" s="113"/>
      <c r="L863" s="113"/>
      <c r="M863" s="113"/>
      <c r="N863" s="113"/>
      <c r="O863" s="113"/>
      <c r="P863" s="113"/>
      <c r="Q863" s="113"/>
      <c r="R863" s="113"/>
      <c r="S863" s="113"/>
      <c r="T863" s="113"/>
      <c r="U863" s="113"/>
      <c r="V863" s="113"/>
      <c r="W863" s="113"/>
      <c r="X863" s="113"/>
      <c r="Y863" s="113"/>
      <c r="Z863" s="113"/>
      <c r="AA863" s="113"/>
      <c r="AB863" s="113"/>
      <c r="AC863" s="113"/>
      <c r="AD863" s="113"/>
      <c r="AE863" s="113"/>
      <c r="AF863" s="113"/>
      <c r="AG863" s="113"/>
    </row>
    <row r="864" spans="1:33" ht="13.8">
      <c r="A864" s="113"/>
      <c r="B864" s="113"/>
      <c r="C864" s="113"/>
      <c r="D864" s="113"/>
      <c r="E864" s="113"/>
      <c r="F864" s="113"/>
      <c r="G864" s="113"/>
      <c r="H864" s="113"/>
      <c r="I864" s="113"/>
      <c r="J864" s="113"/>
      <c r="K864" s="113"/>
      <c r="L864" s="113"/>
      <c r="M864" s="113"/>
      <c r="N864" s="113"/>
      <c r="O864" s="113"/>
      <c r="P864" s="113"/>
      <c r="Q864" s="113"/>
      <c r="R864" s="113"/>
      <c r="S864" s="113"/>
      <c r="T864" s="113"/>
      <c r="U864" s="113"/>
      <c r="V864" s="113"/>
      <c r="W864" s="113"/>
      <c r="X864" s="113"/>
      <c r="Y864" s="113"/>
      <c r="Z864" s="113"/>
      <c r="AA864" s="113"/>
      <c r="AB864" s="113"/>
      <c r="AC864" s="113"/>
      <c r="AD864" s="113"/>
      <c r="AE864" s="113"/>
      <c r="AF864" s="113"/>
      <c r="AG864" s="113"/>
    </row>
    <row r="865" spans="1:33" ht="13.8">
      <c r="A865" s="113"/>
      <c r="B865" s="113"/>
      <c r="C865" s="113"/>
      <c r="D865" s="113"/>
      <c r="E865" s="113"/>
      <c r="F865" s="113"/>
      <c r="G865" s="113"/>
      <c r="H865" s="113"/>
      <c r="I865" s="113"/>
      <c r="J865" s="113"/>
      <c r="K865" s="113"/>
      <c r="L865" s="113"/>
      <c r="M865" s="113"/>
      <c r="N865" s="113"/>
      <c r="O865" s="113"/>
      <c r="P865" s="113"/>
      <c r="Q865" s="113"/>
      <c r="R865" s="113"/>
      <c r="S865" s="113"/>
      <c r="T865" s="113"/>
      <c r="U865" s="113"/>
      <c r="V865" s="113"/>
      <c r="W865" s="113"/>
      <c r="X865" s="113"/>
      <c r="Y865" s="113"/>
      <c r="Z865" s="113"/>
      <c r="AA865" s="113"/>
      <c r="AB865" s="113"/>
      <c r="AC865" s="113"/>
      <c r="AD865" s="113"/>
      <c r="AE865" s="113"/>
      <c r="AF865" s="113"/>
      <c r="AG865" s="113"/>
    </row>
    <row r="866" spans="1:33" ht="13.8">
      <c r="A866" s="113"/>
      <c r="B866" s="113"/>
      <c r="C866" s="113"/>
      <c r="D866" s="113"/>
      <c r="E866" s="113"/>
      <c r="F866" s="113"/>
      <c r="G866" s="113"/>
      <c r="H866" s="113"/>
      <c r="I866" s="113"/>
      <c r="J866" s="113"/>
      <c r="K866" s="113"/>
      <c r="L866" s="113"/>
      <c r="M866" s="113"/>
      <c r="N866" s="113"/>
      <c r="O866" s="113"/>
      <c r="P866" s="113"/>
      <c r="Q866" s="113"/>
      <c r="R866" s="113"/>
      <c r="S866" s="113"/>
      <c r="T866" s="113"/>
      <c r="U866" s="113"/>
      <c r="V866" s="113"/>
      <c r="W866" s="113"/>
      <c r="X866" s="113"/>
      <c r="Y866" s="113"/>
      <c r="Z866" s="113"/>
      <c r="AA866" s="113"/>
      <c r="AB866" s="113"/>
      <c r="AC866" s="113"/>
      <c r="AD866" s="113"/>
      <c r="AE866" s="113"/>
      <c r="AF866" s="113"/>
      <c r="AG866" s="113"/>
    </row>
    <row r="867" spans="1:33" ht="13.8">
      <c r="A867" s="113"/>
      <c r="B867" s="113"/>
      <c r="C867" s="113"/>
      <c r="D867" s="113"/>
      <c r="E867" s="113"/>
      <c r="F867" s="113"/>
      <c r="G867" s="113"/>
      <c r="H867" s="113"/>
      <c r="I867" s="113"/>
      <c r="J867" s="113"/>
      <c r="K867" s="113"/>
      <c r="L867" s="113"/>
      <c r="M867" s="113"/>
      <c r="N867" s="113"/>
      <c r="O867" s="113"/>
      <c r="P867" s="113"/>
      <c r="Q867" s="113"/>
      <c r="R867" s="113"/>
      <c r="S867" s="113"/>
      <c r="T867" s="113"/>
      <c r="U867" s="113"/>
      <c r="V867" s="113"/>
      <c r="W867" s="113"/>
      <c r="X867" s="113"/>
      <c r="Y867" s="113"/>
      <c r="Z867" s="113"/>
      <c r="AA867" s="113"/>
      <c r="AB867" s="113"/>
      <c r="AC867" s="113"/>
      <c r="AD867" s="113"/>
      <c r="AE867" s="113"/>
      <c r="AF867" s="113"/>
      <c r="AG867" s="113"/>
    </row>
    <row r="868" spans="1:33" ht="13.8">
      <c r="A868" s="113"/>
      <c r="B868" s="113"/>
      <c r="C868" s="113"/>
      <c r="D868" s="113"/>
      <c r="E868" s="113"/>
      <c r="F868" s="113"/>
      <c r="G868" s="113"/>
      <c r="H868" s="113"/>
      <c r="I868" s="113"/>
      <c r="J868" s="113"/>
      <c r="K868" s="113"/>
      <c r="L868" s="113"/>
      <c r="M868" s="113"/>
      <c r="N868" s="113"/>
      <c r="O868" s="113"/>
      <c r="P868" s="113"/>
      <c r="Q868" s="113"/>
      <c r="R868" s="113"/>
      <c r="S868" s="113"/>
      <c r="T868" s="113"/>
      <c r="U868" s="113"/>
      <c r="V868" s="113"/>
      <c r="W868" s="113"/>
      <c r="X868" s="113"/>
      <c r="Y868" s="113"/>
      <c r="Z868" s="113"/>
      <c r="AA868" s="113"/>
      <c r="AB868" s="113"/>
      <c r="AC868" s="113"/>
      <c r="AD868" s="113"/>
      <c r="AE868" s="113"/>
      <c r="AF868" s="113"/>
      <c r="AG868" s="113"/>
    </row>
    <row r="869" spans="1:33" ht="13.8">
      <c r="A869" s="113"/>
      <c r="B869" s="113"/>
      <c r="C869" s="113"/>
      <c r="D869" s="113"/>
      <c r="E869" s="113"/>
      <c r="F869" s="113"/>
      <c r="G869" s="113"/>
      <c r="H869" s="113"/>
      <c r="I869" s="113"/>
      <c r="J869" s="113"/>
      <c r="K869" s="113"/>
      <c r="L869" s="113"/>
      <c r="M869" s="113"/>
      <c r="N869" s="113"/>
      <c r="O869" s="113"/>
      <c r="P869" s="113"/>
      <c r="Q869" s="113"/>
      <c r="R869" s="113"/>
      <c r="S869" s="113"/>
      <c r="T869" s="113"/>
      <c r="U869" s="113"/>
      <c r="V869" s="113"/>
      <c r="W869" s="113"/>
      <c r="X869" s="113"/>
      <c r="Y869" s="113"/>
      <c r="Z869" s="113"/>
      <c r="AA869" s="113"/>
      <c r="AB869" s="113"/>
      <c r="AC869" s="113"/>
      <c r="AD869" s="113"/>
      <c r="AE869" s="113"/>
      <c r="AF869" s="113"/>
      <c r="AG869" s="113"/>
    </row>
    <row r="870" spans="1:33" ht="13.8">
      <c r="A870" s="113"/>
      <c r="B870" s="113"/>
      <c r="C870" s="113"/>
      <c r="D870" s="113"/>
      <c r="E870" s="113"/>
      <c r="F870" s="113"/>
      <c r="G870" s="113"/>
      <c r="H870" s="113"/>
      <c r="I870" s="113"/>
      <c r="J870" s="113"/>
      <c r="K870" s="113"/>
      <c r="L870" s="113"/>
      <c r="M870" s="113"/>
      <c r="N870" s="113"/>
      <c r="O870" s="113"/>
      <c r="P870" s="113"/>
      <c r="Q870" s="113"/>
      <c r="R870" s="113"/>
      <c r="S870" s="113"/>
      <c r="T870" s="113"/>
      <c r="U870" s="113"/>
      <c r="V870" s="113"/>
      <c r="W870" s="113"/>
      <c r="X870" s="113"/>
      <c r="Y870" s="113"/>
      <c r="Z870" s="113"/>
      <c r="AA870" s="113"/>
      <c r="AB870" s="113"/>
      <c r="AC870" s="113"/>
      <c r="AD870" s="113"/>
      <c r="AE870" s="113"/>
      <c r="AF870" s="113"/>
      <c r="AG870" s="113"/>
    </row>
    <row r="871" spans="1:33" ht="13.8">
      <c r="A871" s="113"/>
      <c r="B871" s="113"/>
      <c r="C871" s="113"/>
      <c r="D871" s="113"/>
      <c r="E871" s="113"/>
      <c r="F871" s="113"/>
      <c r="G871" s="113"/>
      <c r="H871" s="113"/>
      <c r="I871" s="113"/>
      <c r="J871" s="113"/>
      <c r="K871" s="113"/>
      <c r="L871" s="113"/>
      <c r="M871" s="113"/>
      <c r="N871" s="113"/>
      <c r="O871" s="113"/>
      <c r="P871" s="113"/>
      <c r="Q871" s="113"/>
      <c r="R871" s="113"/>
      <c r="S871" s="113"/>
      <c r="T871" s="113"/>
      <c r="U871" s="113"/>
      <c r="V871" s="113"/>
      <c r="W871" s="113"/>
      <c r="X871" s="113"/>
      <c r="Y871" s="113"/>
      <c r="Z871" s="113"/>
      <c r="AA871" s="113"/>
      <c r="AB871" s="113"/>
      <c r="AC871" s="113"/>
      <c r="AD871" s="113"/>
      <c r="AE871" s="113"/>
      <c r="AF871" s="113"/>
      <c r="AG871" s="113"/>
    </row>
    <row r="872" spans="1:33" ht="13.8">
      <c r="A872" s="113"/>
      <c r="B872" s="113"/>
      <c r="C872" s="113"/>
      <c r="D872" s="113"/>
      <c r="E872" s="113"/>
      <c r="F872" s="113"/>
      <c r="G872" s="113"/>
      <c r="H872" s="113"/>
      <c r="I872" s="113"/>
      <c r="J872" s="113"/>
      <c r="K872" s="113"/>
      <c r="L872" s="113"/>
      <c r="M872" s="113"/>
      <c r="N872" s="113"/>
      <c r="O872" s="113"/>
      <c r="P872" s="113"/>
      <c r="Q872" s="113"/>
      <c r="R872" s="113"/>
      <c r="S872" s="113"/>
      <c r="T872" s="113"/>
      <c r="U872" s="113"/>
      <c r="V872" s="113"/>
      <c r="W872" s="113"/>
      <c r="X872" s="113"/>
      <c r="Y872" s="113"/>
      <c r="Z872" s="113"/>
      <c r="AA872" s="113"/>
      <c r="AB872" s="113"/>
      <c r="AC872" s="113"/>
      <c r="AD872" s="113"/>
      <c r="AE872" s="113"/>
      <c r="AF872" s="113"/>
      <c r="AG872" s="113"/>
    </row>
    <row r="873" spans="1:33" ht="13.8">
      <c r="A873" s="113"/>
      <c r="B873" s="113"/>
      <c r="C873" s="113"/>
      <c r="D873" s="113"/>
      <c r="E873" s="113"/>
      <c r="F873" s="113"/>
      <c r="G873" s="113"/>
      <c r="H873" s="113"/>
      <c r="I873" s="113"/>
      <c r="J873" s="113"/>
      <c r="K873" s="113"/>
      <c r="L873" s="113"/>
      <c r="M873" s="113"/>
      <c r="N873" s="113"/>
      <c r="O873" s="113"/>
      <c r="P873" s="113"/>
      <c r="Q873" s="113"/>
      <c r="R873" s="113"/>
      <c r="S873" s="113"/>
      <c r="T873" s="113"/>
      <c r="U873" s="113"/>
      <c r="V873" s="113"/>
      <c r="W873" s="113"/>
      <c r="X873" s="113"/>
      <c r="Y873" s="113"/>
      <c r="Z873" s="113"/>
      <c r="AA873" s="113"/>
      <c r="AB873" s="113"/>
      <c r="AC873" s="113"/>
      <c r="AD873" s="113"/>
      <c r="AE873" s="113"/>
      <c r="AF873" s="113"/>
      <c r="AG873" s="113"/>
    </row>
    <row r="874" spans="1:33" ht="13.8">
      <c r="A874" s="113"/>
      <c r="B874" s="113"/>
      <c r="C874" s="113"/>
      <c r="D874" s="113"/>
      <c r="E874" s="113"/>
      <c r="F874" s="113"/>
      <c r="G874" s="113"/>
      <c r="H874" s="113"/>
      <c r="I874" s="113"/>
      <c r="J874" s="113"/>
      <c r="K874" s="113"/>
      <c r="L874" s="113"/>
      <c r="M874" s="113"/>
      <c r="N874" s="113"/>
      <c r="O874" s="113"/>
      <c r="P874" s="113"/>
      <c r="Q874" s="113"/>
      <c r="R874" s="113"/>
      <c r="S874" s="113"/>
      <c r="T874" s="113"/>
      <c r="U874" s="113"/>
      <c r="V874" s="113"/>
      <c r="W874" s="113"/>
      <c r="X874" s="113"/>
      <c r="Y874" s="113"/>
      <c r="Z874" s="113"/>
      <c r="AA874" s="113"/>
      <c r="AB874" s="113"/>
      <c r="AC874" s="113"/>
      <c r="AD874" s="113"/>
      <c r="AE874" s="113"/>
      <c r="AF874" s="113"/>
      <c r="AG874" s="113"/>
    </row>
    <row r="875" spans="1:33" ht="13.8">
      <c r="A875" s="113"/>
      <c r="B875" s="113"/>
      <c r="C875" s="113"/>
      <c r="D875" s="113"/>
      <c r="E875" s="113"/>
      <c r="F875" s="113"/>
      <c r="G875" s="113"/>
      <c r="H875" s="113"/>
      <c r="I875" s="113"/>
      <c r="J875" s="113"/>
      <c r="K875" s="113"/>
      <c r="L875" s="113"/>
      <c r="M875" s="113"/>
      <c r="N875" s="113"/>
      <c r="O875" s="113"/>
      <c r="P875" s="113"/>
      <c r="Q875" s="113"/>
      <c r="R875" s="113"/>
      <c r="S875" s="113"/>
      <c r="T875" s="113"/>
      <c r="U875" s="113"/>
      <c r="V875" s="113"/>
      <c r="W875" s="113"/>
      <c r="X875" s="113"/>
      <c r="Y875" s="113"/>
      <c r="Z875" s="113"/>
      <c r="AA875" s="113"/>
      <c r="AB875" s="113"/>
      <c r="AC875" s="113"/>
      <c r="AD875" s="113"/>
      <c r="AE875" s="113"/>
      <c r="AF875" s="113"/>
      <c r="AG875" s="113"/>
    </row>
    <row r="876" spans="1:33" ht="13.8">
      <c r="A876" s="113"/>
      <c r="B876" s="113"/>
      <c r="C876" s="113"/>
      <c r="D876" s="113"/>
      <c r="E876" s="113"/>
      <c r="F876" s="113"/>
      <c r="G876" s="113"/>
      <c r="H876" s="113"/>
      <c r="I876" s="113"/>
      <c r="J876" s="113"/>
      <c r="K876" s="113"/>
      <c r="L876" s="113"/>
      <c r="M876" s="113"/>
      <c r="N876" s="113"/>
      <c r="O876" s="113"/>
      <c r="P876" s="113"/>
      <c r="Q876" s="113"/>
      <c r="R876" s="113"/>
      <c r="S876" s="113"/>
      <c r="T876" s="113"/>
      <c r="U876" s="113"/>
      <c r="V876" s="113"/>
      <c r="W876" s="113"/>
      <c r="X876" s="113"/>
      <c r="Y876" s="113"/>
      <c r="Z876" s="113"/>
      <c r="AA876" s="113"/>
      <c r="AB876" s="113"/>
      <c r="AC876" s="113"/>
      <c r="AD876" s="113"/>
      <c r="AE876" s="113"/>
      <c r="AF876" s="113"/>
      <c r="AG876" s="113"/>
    </row>
    <row r="877" spans="1:33" ht="13.8">
      <c r="A877" s="113"/>
      <c r="B877" s="113"/>
      <c r="C877" s="113"/>
      <c r="D877" s="113"/>
      <c r="E877" s="113"/>
      <c r="F877" s="113"/>
      <c r="G877" s="113"/>
      <c r="H877" s="113"/>
      <c r="I877" s="113"/>
      <c r="J877" s="113"/>
      <c r="K877" s="113"/>
      <c r="L877" s="113"/>
      <c r="M877" s="113"/>
      <c r="N877" s="113"/>
      <c r="O877" s="113"/>
      <c r="P877" s="113"/>
      <c r="Q877" s="113"/>
      <c r="R877" s="113"/>
      <c r="S877" s="113"/>
      <c r="T877" s="113"/>
      <c r="U877" s="113"/>
      <c r="V877" s="113"/>
      <c r="W877" s="113"/>
      <c r="X877" s="113"/>
      <c r="Y877" s="113"/>
      <c r="Z877" s="113"/>
      <c r="AA877" s="113"/>
      <c r="AB877" s="113"/>
      <c r="AC877" s="113"/>
      <c r="AD877" s="113"/>
      <c r="AE877" s="113"/>
      <c r="AF877" s="113"/>
      <c r="AG877" s="113"/>
    </row>
    <row r="878" spans="1:33" ht="13.8">
      <c r="A878" s="113"/>
      <c r="B878" s="113"/>
      <c r="C878" s="113"/>
      <c r="D878" s="113"/>
      <c r="E878" s="113"/>
      <c r="F878" s="113"/>
      <c r="G878" s="113"/>
      <c r="H878" s="113"/>
      <c r="I878" s="113"/>
      <c r="J878" s="113"/>
      <c r="K878" s="113"/>
      <c r="L878" s="113"/>
      <c r="M878" s="113"/>
      <c r="N878" s="113"/>
      <c r="O878" s="113"/>
      <c r="P878" s="113"/>
      <c r="Q878" s="113"/>
      <c r="R878" s="113"/>
      <c r="S878" s="113"/>
      <c r="T878" s="113"/>
      <c r="U878" s="113"/>
      <c r="V878" s="113"/>
      <c r="W878" s="113"/>
      <c r="X878" s="113"/>
      <c r="Y878" s="113"/>
      <c r="Z878" s="113"/>
      <c r="AA878" s="113"/>
      <c r="AB878" s="113"/>
      <c r="AC878" s="113"/>
      <c r="AD878" s="113"/>
      <c r="AE878" s="113"/>
      <c r="AF878" s="113"/>
      <c r="AG878" s="113"/>
    </row>
    <row r="879" spans="1:33" ht="13.8">
      <c r="A879" s="113"/>
      <c r="B879" s="113"/>
      <c r="C879" s="113"/>
      <c r="D879" s="113"/>
      <c r="E879" s="113"/>
      <c r="F879" s="113"/>
      <c r="G879" s="113"/>
      <c r="H879" s="113"/>
      <c r="I879" s="113"/>
      <c r="J879" s="113"/>
      <c r="K879" s="113"/>
      <c r="L879" s="113"/>
      <c r="M879" s="113"/>
      <c r="N879" s="113"/>
      <c r="O879" s="113"/>
      <c r="P879" s="113"/>
      <c r="Q879" s="113"/>
      <c r="R879" s="113"/>
      <c r="S879" s="113"/>
      <c r="T879" s="113"/>
      <c r="U879" s="113"/>
      <c r="V879" s="113"/>
      <c r="W879" s="113"/>
      <c r="X879" s="113"/>
      <c r="Y879" s="113"/>
      <c r="Z879" s="113"/>
      <c r="AA879" s="113"/>
      <c r="AB879" s="113"/>
      <c r="AC879" s="113"/>
      <c r="AD879" s="113"/>
      <c r="AE879" s="113"/>
      <c r="AF879" s="113"/>
      <c r="AG879" s="113"/>
    </row>
    <row r="880" spans="1:33" ht="13.8">
      <c r="A880" s="113"/>
      <c r="B880" s="113"/>
      <c r="C880" s="113"/>
      <c r="D880" s="113"/>
      <c r="E880" s="113"/>
      <c r="F880" s="113"/>
      <c r="G880" s="113"/>
      <c r="H880" s="113"/>
      <c r="I880" s="113"/>
      <c r="J880" s="113"/>
      <c r="K880" s="113"/>
      <c r="L880" s="113"/>
      <c r="M880" s="113"/>
      <c r="N880" s="113"/>
      <c r="O880" s="113"/>
      <c r="P880" s="113"/>
      <c r="Q880" s="113"/>
      <c r="R880" s="113"/>
      <c r="S880" s="113"/>
      <c r="T880" s="113"/>
      <c r="U880" s="113"/>
      <c r="V880" s="113"/>
      <c r="W880" s="113"/>
      <c r="X880" s="113"/>
      <c r="Y880" s="113"/>
      <c r="Z880" s="113"/>
      <c r="AA880" s="113"/>
      <c r="AB880" s="113"/>
      <c r="AC880" s="113"/>
      <c r="AD880" s="113"/>
      <c r="AE880" s="113"/>
      <c r="AF880" s="113"/>
      <c r="AG880" s="113"/>
    </row>
    <row r="881" spans="1:33" ht="13.8">
      <c r="A881" s="113"/>
      <c r="B881" s="113"/>
      <c r="C881" s="113"/>
      <c r="D881" s="113"/>
      <c r="E881" s="113"/>
      <c r="F881" s="113"/>
      <c r="G881" s="113"/>
      <c r="H881" s="113"/>
      <c r="I881" s="113"/>
      <c r="J881" s="113"/>
      <c r="K881" s="113"/>
      <c r="L881" s="113"/>
      <c r="M881" s="113"/>
      <c r="N881" s="113"/>
      <c r="O881" s="113"/>
      <c r="P881" s="113"/>
      <c r="Q881" s="113"/>
      <c r="R881" s="113"/>
      <c r="S881" s="113"/>
      <c r="T881" s="113"/>
      <c r="U881" s="113"/>
      <c r="V881" s="113"/>
      <c r="W881" s="113"/>
      <c r="X881" s="113"/>
      <c r="Y881" s="113"/>
      <c r="Z881" s="113"/>
      <c r="AA881" s="113"/>
      <c r="AB881" s="113"/>
      <c r="AC881" s="113"/>
      <c r="AD881" s="113"/>
      <c r="AE881" s="113"/>
      <c r="AF881" s="113"/>
      <c r="AG881" s="113"/>
    </row>
    <row r="882" spans="1:33" ht="13.8">
      <c r="A882" s="113"/>
      <c r="B882" s="113"/>
      <c r="C882" s="113"/>
      <c r="D882" s="113"/>
      <c r="E882" s="113"/>
      <c r="F882" s="113"/>
      <c r="G882" s="113"/>
      <c r="H882" s="113"/>
      <c r="I882" s="113"/>
      <c r="J882" s="113"/>
      <c r="K882" s="113"/>
      <c r="L882" s="113"/>
      <c r="M882" s="113"/>
      <c r="N882" s="113"/>
      <c r="O882" s="113"/>
      <c r="P882" s="113"/>
      <c r="Q882" s="113"/>
      <c r="R882" s="113"/>
      <c r="S882" s="113"/>
      <c r="T882" s="113"/>
      <c r="U882" s="113"/>
      <c r="V882" s="113"/>
      <c r="W882" s="113"/>
      <c r="X882" s="113"/>
      <c r="Y882" s="113"/>
      <c r="Z882" s="113"/>
      <c r="AA882" s="113"/>
      <c r="AB882" s="113"/>
      <c r="AC882" s="113"/>
      <c r="AD882" s="113"/>
      <c r="AE882" s="113"/>
      <c r="AF882" s="113"/>
      <c r="AG882" s="113"/>
    </row>
    <row r="883" spans="1:33" ht="13.8">
      <c r="A883" s="113"/>
      <c r="B883" s="113"/>
      <c r="C883" s="113"/>
      <c r="D883" s="113"/>
      <c r="E883" s="113"/>
      <c r="F883" s="113"/>
      <c r="G883" s="113"/>
      <c r="H883" s="113"/>
      <c r="I883" s="113"/>
      <c r="J883" s="113"/>
      <c r="K883" s="113"/>
      <c r="L883" s="113"/>
      <c r="M883" s="113"/>
      <c r="N883" s="113"/>
      <c r="O883" s="113"/>
      <c r="P883" s="113"/>
      <c r="Q883" s="113"/>
      <c r="R883" s="113"/>
      <c r="S883" s="113"/>
      <c r="T883" s="113"/>
      <c r="U883" s="113"/>
      <c r="V883" s="113"/>
      <c r="W883" s="113"/>
      <c r="X883" s="113"/>
      <c r="Y883" s="113"/>
      <c r="Z883" s="113"/>
      <c r="AA883" s="113"/>
      <c r="AB883" s="113"/>
      <c r="AC883" s="113"/>
      <c r="AD883" s="113"/>
      <c r="AE883" s="113"/>
      <c r="AF883" s="113"/>
      <c r="AG883" s="113"/>
    </row>
    <row r="884" spans="1:33" ht="13.8">
      <c r="A884" s="113"/>
      <c r="B884" s="113"/>
      <c r="C884" s="113"/>
      <c r="D884" s="113"/>
      <c r="E884" s="113"/>
      <c r="F884" s="113"/>
      <c r="G884" s="113"/>
      <c r="H884" s="113"/>
      <c r="I884" s="113"/>
      <c r="J884" s="113"/>
      <c r="K884" s="113"/>
      <c r="L884" s="113"/>
      <c r="M884" s="113"/>
      <c r="N884" s="113"/>
      <c r="O884" s="113"/>
      <c r="P884" s="113"/>
      <c r="Q884" s="113"/>
      <c r="R884" s="113"/>
      <c r="S884" s="113"/>
      <c r="T884" s="113"/>
      <c r="U884" s="113"/>
      <c r="V884" s="113"/>
      <c r="W884" s="113"/>
      <c r="X884" s="113"/>
      <c r="Y884" s="113"/>
      <c r="Z884" s="113"/>
      <c r="AA884" s="113"/>
      <c r="AB884" s="113"/>
      <c r="AC884" s="113"/>
      <c r="AD884" s="113"/>
      <c r="AE884" s="113"/>
      <c r="AF884" s="113"/>
      <c r="AG884" s="113"/>
    </row>
    <row r="885" spans="1:33" ht="13.8">
      <c r="A885" s="113"/>
      <c r="B885" s="113"/>
      <c r="C885" s="113"/>
      <c r="D885" s="113"/>
      <c r="E885" s="113"/>
      <c r="F885" s="113"/>
      <c r="G885" s="113"/>
      <c r="H885" s="113"/>
      <c r="I885" s="113"/>
      <c r="J885" s="113"/>
      <c r="K885" s="113"/>
      <c r="L885" s="113"/>
      <c r="M885" s="113"/>
      <c r="N885" s="113"/>
      <c r="O885" s="113"/>
      <c r="P885" s="113"/>
      <c r="Q885" s="113"/>
      <c r="R885" s="113"/>
      <c r="S885" s="113"/>
      <c r="T885" s="113"/>
      <c r="U885" s="113"/>
      <c r="V885" s="113"/>
      <c r="W885" s="113"/>
      <c r="X885" s="113"/>
      <c r="Y885" s="113"/>
      <c r="Z885" s="113"/>
      <c r="AA885" s="113"/>
      <c r="AB885" s="113"/>
      <c r="AC885" s="113"/>
      <c r="AD885" s="113"/>
      <c r="AE885" s="113"/>
      <c r="AF885" s="113"/>
      <c r="AG885" s="113"/>
    </row>
    <row r="886" spans="1:33" ht="13.8">
      <c r="A886" s="113"/>
      <c r="B886" s="113"/>
      <c r="C886" s="113"/>
      <c r="D886" s="113"/>
      <c r="E886" s="113"/>
      <c r="F886" s="113"/>
      <c r="G886" s="113"/>
      <c r="H886" s="113"/>
      <c r="I886" s="113"/>
      <c r="J886" s="113"/>
      <c r="K886" s="113"/>
      <c r="L886" s="113"/>
      <c r="M886" s="113"/>
      <c r="N886" s="113"/>
      <c r="O886" s="113"/>
      <c r="P886" s="113"/>
      <c r="Q886" s="113"/>
      <c r="R886" s="113"/>
      <c r="S886" s="113"/>
      <c r="T886" s="113"/>
      <c r="U886" s="113"/>
      <c r="V886" s="113"/>
      <c r="W886" s="113"/>
      <c r="X886" s="113"/>
      <c r="Y886" s="113"/>
      <c r="Z886" s="113"/>
      <c r="AA886" s="113"/>
      <c r="AB886" s="113"/>
      <c r="AC886" s="113"/>
      <c r="AD886" s="113"/>
      <c r="AE886" s="113"/>
      <c r="AF886" s="113"/>
      <c r="AG886" s="113"/>
    </row>
    <row r="887" spans="1:33" ht="13.8">
      <c r="A887" s="113"/>
      <c r="B887" s="113"/>
      <c r="C887" s="113"/>
      <c r="D887" s="113"/>
      <c r="E887" s="113"/>
      <c r="F887" s="113"/>
      <c r="G887" s="113"/>
      <c r="H887" s="113"/>
      <c r="I887" s="113"/>
      <c r="J887" s="113"/>
      <c r="K887" s="113"/>
      <c r="L887" s="113"/>
      <c r="M887" s="113"/>
      <c r="N887" s="113"/>
      <c r="O887" s="113"/>
      <c r="P887" s="113"/>
      <c r="Q887" s="113"/>
      <c r="R887" s="113"/>
      <c r="S887" s="113"/>
      <c r="T887" s="113"/>
      <c r="U887" s="113"/>
      <c r="V887" s="113"/>
      <c r="W887" s="113"/>
      <c r="X887" s="113"/>
      <c r="Y887" s="113"/>
      <c r="Z887" s="113"/>
      <c r="AA887" s="113"/>
      <c r="AB887" s="113"/>
      <c r="AC887" s="113"/>
      <c r="AD887" s="113"/>
      <c r="AE887" s="113"/>
      <c r="AF887" s="113"/>
      <c r="AG887" s="113"/>
    </row>
    <row r="888" spans="1:33" ht="13.8">
      <c r="A888" s="113"/>
      <c r="B888" s="113"/>
      <c r="C888" s="113"/>
      <c r="D888" s="113"/>
      <c r="E888" s="113"/>
      <c r="F888" s="113"/>
      <c r="G888" s="113"/>
      <c r="H888" s="113"/>
      <c r="I888" s="113"/>
      <c r="J888" s="113"/>
      <c r="K888" s="113"/>
      <c r="L888" s="113"/>
      <c r="M888" s="113"/>
      <c r="N888" s="113"/>
      <c r="O888" s="113"/>
      <c r="P888" s="113"/>
      <c r="Q888" s="113"/>
      <c r="R888" s="113"/>
      <c r="S888" s="113"/>
      <c r="T888" s="113"/>
      <c r="U888" s="113"/>
      <c r="V888" s="113"/>
      <c r="W888" s="113"/>
      <c r="X888" s="113"/>
      <c r="Y888" s="113"/>
      <c r="Z888" s="113"/>
      <c r="AA888" s="113"/>
      <c r="AB888" s="113"/>
      <c r="AC888" s="113"/>
      <c r="AD888" s="113"/>
      <c r="AE888" s="113"/>
      <c r="AF888" s="113"/>
      <c r="AG888" s="113"/>
    </row>
    <row r="889" spans="1:33" ht="13.8">
      <c r="A889" s="113"/>
      <c r="B889" s="113"/>
      <c r="C889" s="113"/>
      <c r="D889" s="113"/>
      <c r="E889" s="113"/>
      <c r="F889" s="113"/>
      <c r="G889" s="113"/>
      <c r="H889" s="113"/>
      <c r="I889" s="113"/>
      <c r="J889" s="113"/>
      <c r="K889" s="113"/>
      <c r="L889" s="113"/>
      <c r="M889" s="113"/>
      <c r="N889" s="113"/>
      <c r="O889" s="113"/>
      <c r="P889" s="113"/>
      <c r="Q889" s="113"/>
      <c r="R889" s="113"/>
      <c r="S889" s="113"/>
      <c r="T889" s="113"/>
      <c r="U889" s="113"/>
      <c r="V889" s="113"/>
      <c r="W889" s="113"/>
      <c r="X889" s="113"/>
      <c r="Y889" s="113"/>
      <c r="Z889" s="113"/>
      <c r="AA889" s="113"/>
      <c r="AB889" s="113"/>
      <c r="AC889" s="113"/>
      <c r="AD889" s="113"/>
      <c r="AE889" s="113"/>
      <c r="AF889" s="113"/>
      <c r="AG889" s="113"/>
    </row>
    <row r="890" spans="1:33" ht="13.8">
      <c r="A890" s="113"/>
      <c r="B890" s="113"/>
      <c r="C890" s="113"/>
      <c r="D890" s="113"/>
      <c r="E890" s="113"/>
      <c r="F890" s="113"/>
      <c r="G890" s="113"/>
      <c r="H890" s="113"/>
      <c r="I890" s="113"/>
      <c r="J890" s="113"/>
      <c r="K890" s="113"/>
      <c r="L890" s="113"/>
      <c r="M890" s="113"/>
      <c r="N890" s="113"/>
      <c r="O890" s="113"/>
      <c r="P890" s="113"/>
      <c r="Q890" s="113"/>
      <c r="R890" s="113"/>
      <c r="S890" s="113"/>
      <c r="T890" s="113"/>
      <c r="U890" s="113"/>
      <c r="V890" s="113"/>
      <c r="W890" s="113"/>
      <c r="X890" s="113"/>
      <c r="Y890" s="113"/>
      <c r="Z890" s="113"/>
      <c r="AA890" s="113"/>
      <c r="AB890" s="113"/>
      <c r="AC890" s="113"/>
      <c r="AD890" s="113"/>
      <c r="AE890" s="113"/>
      <c r="AF890" s="113"/>
      <c r="AG890" s="113"/>
    </row>
    <row r="891" spans="1:33" ht="13.8">
      <c r="A891" s="113"/>
      <c r="B891" s="113"/>
      <c r="C891" s="113"/>
      <c r="D891" s="113"/>
      <c r="E891" s="113"/>
      <c r="F891" s="113"/>
      <c r="G891" s="113"/>
      <c r="H891" s="113"/>
      <c r="I891" s="113"/>
      <c r="J891" s="113"/>
      <c r="K891" s="113"/>
      <c r="L891" s="113"/>
      <c r="M891" s="113"/>
      <c r="N891" s="113"/>
      <c r="O891" s="113"/>
      <c r="P891" s="113"/>
      <c r="Q891" s="113"/>
      <c r="R891" s="113"/>
      <c r="S891" s="113"/>
      <c r="T891" s="113"/>
      <c r="U891" s="113"/>
      <c r="V891" s="113"/>
      <c r="W891" s="113"/>
      <c r="X891" s="113"/>
      <c r="Y891" s="113"/>
      <c r="Z891" s="113"/>
      <c r="AA891" s="113"/>
      <c r="AB891" s="113"/>
      <c r="AC891" s="113"/>
      <c r="AD891" s="113"/>
      <c r="AE891" s="113"/>
      <c r="AF891" s="113"/>
      <c r="AG891" s="113"/>
    </row>
    <row r="892" spans="1:33" ht="13.8">
      <c r="A892" s="113"/>
      <c r="B892" s="113"/>
      <c r="C892" s="113"/>
      <c r="D892" s="113"/>
      <c r="E892" s="113"/>
      <c r="F892" s="113"/>
      <c r="G892" s="113"/>
      <c r="H892" s="113"/>
      <c r="I892" s="113"/>
      <c r="J892" s="113"/>
      <c r="K892" s="113"/>
      <c r="L892" s="113"/>
      <c r="M892" s="113"/>
      <c r="N892" s="113"/>
      <c r="O892" s="113"/>
      <c r="P892" s="113"/>
      <c r="Q892" s="113"/>
      <c r="R892" s="113"/>
      <c r="S892" s="113"/>
      <c r="T892" s="113"/>
      <c r="U892" s="113"/>
      <c r="V892" s="113"/>
      <c r="W892" s="113"/>
      <c r="X892" s="113"/>
      <c r="Y892" s="113"/>
      <c r="Z892" s="113"/>
      <c r="AA892" s="113"/>
      <c r="AB892" s="113"/>
      <c r="AC892" s="113"/>
      <c r="AD892" s="113"/>
      <c r="AE892" s="113"/>
      <c r="AF892" s="113"/>
      <c r="AG892" s="113"/>
    </row>
    <row r="893" spans="1:33" ht="13.8">
      <c r="A893" s="113"/>
      <c r="B893" s="113"/>
      <c r="C893" s="113"/>
      <c r="D893" s="113"/>
      <c r="E893" s="113"/>
      <c r="F893" s="113"/>
      <c r="G893" s="113"/>
      <c r="H893" s="113"/>
      <c r="I893" s="113"/>
      <c r="J893" s="113"/>
      <c r="K893" s="113"/>
      <c r="L893" s="113"/>
      <c r="M893" s="113"/>
      <c r="N893" s="113"/>
      <c r="O893" s="113"/>
      <c r="P893" s="113"/>
      <c r="Q893" s="113"/>
      <c r="R893" s="113"/>
      <c r="S893" s="113"/>
      <c r="T893" s="113"/>
      <c r="U893" s="113"/>
      <c r="V893" s="113"/>
      <c r="W893" s="113"/>
      <c r="X893" s="113"/>
      <c r="Y893" s="113"/>
      <c r="Z893" s="113"/>
      <c r="AA893" s="113"/>
      <c r="AB893" s="113"/>
      <c r="AC893" s="113"/>
      <c r="AD893" s="113"/>
      <c r="AE893" s="113"/>
      <c r="AF893" s="113"/>
      <c r="AG893" s="113"/>
    </row>
    <row r="894" spans="1:33" ht="13.8">
      <c r="A894" s="113"/>
      <c r="B894" s="113"/>
      <c r="C894" s="113"/>
      <c r="D894" s="113"/>
      <c r="E894" s="113"/>
      <c r="F894" s="113"/>
      <c r="G894" s="113"/>
      <c r="H894" s="113"/>
      <c r="I894" s="113"/>
      <c r="J894" s="113"/>
      <c r="K894" s="113"/>
      <c r="L894" s="113"/>
      <c r="M894" s="113"/>
      <c r="N894" s="113"/>
      <c r="O894" s="113"/>
      <c r="P894" s="113"/>
      <c r="Q894" s="113"/>
      <c r="R894" s="113"/>
      <c r="S894" s="113"/>
      <c r="T894" s="113"/>
      <c r="U894" s="113"/>
      <c r="V894" s="113"/>
      <c r="W894" s="113"/>
      <c r="X894" s="113"/>
      <c r="Y894" s="113"/>
      <c r="Z894" s="113"/>
      <c r="AA894" s="113"/>
      <c r="AB894" s="113"/>
      <c r="AC894" s="113"/>
      <c r="AD894" s="113"/>
      <c r="AE894" s="113"/>
      <c r="AF894" s="113"/>
      <c r="AG894" s="113"/>
    </row>
    <row r="895" spans="1:33" ht="13.8">
      <c r="A895" s="113"/>
      <c r="B895" s="113"/>
      <c r="C895" s="113"/>
      <c r="D895" s="113"/>
      <c r="E895" s="113"/>
      <c r="F895" s="113"/>
      <c r="G895" s="113"/>
      <c r="H895" s="113"/>
      <c r="I895" s="113"/>
      <c r="J895" s="113"/>
      <c r="K895" s="113"/>
      <c r="L895" s="113"/>
      <c r="M895" s="113"/>
      <c r="N895" s="113"/>
      <c r="O895" s="113"/>
      <c r="P895" s="113"/>
      <c r="Q895" s="113"/>
      <c r="R895" s="113"/>
      <c r="S895" s="113"/>
      <c r="T895" s="113"/>
      <c r="U895" s="113"/>
      <c r="V895" s="113"/>
      <c r="W895" s="113"/>
      <c r="X895" s="113"/>
      <c r="Y895" s="113"/>
      <c r="Z895" s="113"/>
      <c r="AA895" s="113"/>
      <c r="AB895" s="113"/>
      <c r="AC895" s="113"/>
      <c r="AD895" s="113"/>
      <c r="AE895" s="113"/>
      <c r="AF895" s="113"/>
      <c r="AG895" s="113"/>
    </row>
    <row r="896" spans="1:33" ht="13.8">
      <c r="A896" s="113"/>
      <c r="B896" s="113"/>
      <c r="C896" s="113"/>
      <c r="D896" s="113"/>
      <c r="E896" s="113"/>
      <c r="F896" s="113"/>
      <c r="G896" s="113"/>
      <c r="H896" s="113"/>
      <c r="I896" s="113"/>
      <c r="J896" s="113"/>
      <c r="K896" s="113"/>
      <c r="L896" s="113"/>
      <c r="M896" s="113"/>
      <c r="N896" s="113"/>
      <c r="O896" s="113"/>
      <c r="P896" s="113"/>
      <c r="Q896" s="113"/>
      <c r="R896" s="113"/>
      <c r="S896" s="113"/>
      <c r="T896" s="113"/>
      <c r="U896" s="113"/>
      <c r="V896" s="113"/>
      <c r="W896" s="113"/>
      <c r="X896" s="113"/>
      <c r="Y896" s="113"/>
      <c r="Z896" s="113"/>
      <c r="AA896" s="113"/>
      <c r="AB896" s="113"/>
      <c r="AC896" s="113"/>
      <c r="AD896" s="113"/>
      <c r="AE896" s="113"/>
      <c r="AF896" s="113"/>
      <c r="AG896" s="113"/>
    </row>
    <row r="897" spans="1:33" ht="13.8">
      <c r="A897" s="113"/>
      <c r="B897" s="113"/>
      <c r="C897" s="113"/>
      <c r="D897" s="113"/>
      <c r="E897" s="113"/>
      <c r="F897" s="113"/>
      <c r="G897" s="113"/>
      <c r="H897" s="113"/>
      <c r="I897" s="113"/>
      <c r="J897" s="113"/>
      <c r="K897" s="113"/>
      <c r="L897" s="113"/>
      <c r="M897" s="113"/>
      <c r="N897" s="113"/>
      <c r="O897" s="113"/>
      <c r="P897" s="113"/>
      <c r="Q897" s="113"/>
      <c r="R897" s="113"/>
      <c r="S897" s="113"/>
      <c r="T897" s="113"/>
      <c r="U897" s="113"/>
      <c r="V897" s="113"/>
      <c r="W897" s="113"/>
      <c r="X897" s="113"/>
      <c r="Y897" s="113"/>
      <c r="Z897" s="113"/>
      <c r="AA897" s="113"/>
      <c r="AB897" s="113"/>
      <c r="AC897" s="113"/>
      <c r="AD897" s="113"/>
      <c r="AE897" s="113"/>
      <c r="AF897" s="113"/>
      <c r="AG897" s="113"/>
    </row>
    <row r="898" spans="1:33" ht="13.8">
      <c r="A898" s="113"/>
      <c r="B898" s="113"/>
      <c r="C898" s="113"/>
      <c r="D898" s="113"/>
      <c r="E898" s="113"/>
      <c r="F898" s="113"/>
      <c r="G898" s="113"/>
      <c r="H898" s="113"/>
      <c r="I898" s="113"/>
      <c r="J898" s="113"/>
      <c r="K898" s="113"/>
      <c r="L898" s="113"/>
      <c r="M898" s="113"/>
      <c r="N898" s="113"/>
      <c r="O898" s="113"/>
      <c r="P898" s="113"/>
      <c r="Q898" s="113"/>
      <c r="R898" s="113"/>
      <c r="S898" s="113"/>
      <c r="T898" s="113"/>
      <c r="U898" s="113"/>
      <c r="V898" s="113"/>
      <c r="W898" s="113"/>
      <c r="X898" s="113"/>
      <c r="Y898" s="113"/>
      <c r="Z898" s="113"/>
      <c r="AA898" s="113"/>
      <c r="AB898" s="113"/>
      <c r="AC898" s="113"/>
      <c r="AD898" s="113"/>
      <c r="AE898" s="113"/>
      <c r="AF898" s="113"/>
      <c r="AG898" s="113"/>
    </row>
    <row r="899" spans="1:33" ht="13.8">
      <c r="A899" s="113"/>
      <c r="B899" s="113"/>
      <c r="C899" s="113"/>
      <c r="D899" s="113"/>
      <c r="E899" s="113"/>
      <c r="F899" s="113"/>
      <c r="G899" s="113"/>
      <c r="H899" s="113"/>
      <c r="I899" s="113"/>
      <c r="J899" s="113"/>
      <c r="K899" s="113"/>
      <c r="L899" s="113"/>
      <c r="M899" s="113"/>
      <c r="N899" s="113"/>
      <c r="O899" s="113"/>
      <c r="P899" s="113"/>
      <c r="Q899" s="113"/>
      <c r="R899" s="113"/>
      <c r="S899" s="113"/>
      <c r="T899" s="113"/>
      <c r="U899" s="113"/>
      <c r="V899" s="113"/>
      <c r="W899" s="113"/>
      <c r="X899" s="113"/>
      <c r="Y899" s="113"/>
      <c r="Z899" s="113"/>
      <c r="AA899" s="113"/>
      <c r="AB899" s="113"/>
      <c r="AC899" s="113"/>
      <c r="AD899" s="113"/>
      <c r="AE899" s="113"/>
      <c r="AF899" s="113"/>
      <c r="AG899" s="113"/>
    </row>
    <row r="900" spans="1:33" ht="13.8">
      <c r="A900" s="113"/>
      <c r="B900" s="113"/>
      <c r="C900" s="113"/>
      <c r="D900" s="113"/>
      <c r="E900" s="113"/>
      <c r="F900" s="113"/>
      <c r="G900" s="113"/>
      <c r="H900" s="113"/>
      <c r="I900" s="113"/>
      <c r="J900" s="113"/>
      <c r="K900" s="113"/>
      <c r="L900" s="113"/>
      <c r="M900" s="113"/>
      <c r="N900" s="113"/>
      <c r="O900" s="113"/>
      <c r="P900" s="113"/>
      <c r="Q900" s="113"/>
      <c r="R900" s="113"/>
      <c r="S900" s="113"/>
      <c r="T900" s="113"/>
      <c r="U900" s="113"/>
      <c r="V900" s="113"/>
      <c r="W900" s="113"/>
      <c r="X900" s="113"/>
      <c r="Y900" s="113"/>
      <c r="Z900" s="113"/>
      <c r="AA900" s="113"/>
      <c r="AB900" s="113"/>
      <c r="AC900" s="113"/>
      <c r="AD900" s="113"/>
      <c r="AE900" s="113"/>
      <c r="AF900" s="113"/>
      <c r="AG900" s="113"/>
    </row>
    <row r="901" spans="1:33" ht="13.8">
      <c r="A901" s="113"/>
      <c r="B901" s="113"/>
      <c r="C901" s="113"/>
      <c r="D901" s="113"/>
      <c r="E901" s="113"/>
      <c r="F901" s="113"/>
      <c r="G901" s="113"/>
      <c r="H901" s="113"/>
      <c r="I901" s="113"/>
      <c r="J901" s="113"/>
      <c r="K901" s="113"/>
      <c r="L901" s="113"/>
      <c r="M901" s="113"/>
      <c r="N901" s="113"/>
      <c r="O901" s="113"/>
      <c r="P901" s="113"/>
      <c r="Q901" s="113"/>
      <c r="R901" s="113"/>
      <c r="S901" s="113"/>
      <c r="T901" s="113"/>
      <c r="U901" s="113"/>
      <c r="V901" s="113"/>
      <c r="W901" s="113"/>
      <c r="X901" s="113"/>
      <c r="Y901" s="113"/>
      <c r="Z901" s="113"/>
      <c r="AA901" s="113"/>
      <c r="AB901" s="113"/>
      <c r="AC901" s="113"/>
      <c r="AD901" s="113"/>
      <c r="AE901" s="113"/>
      <c r="AF901" s="113"/>
      <c r="AG901" s="113"/>
    </row>
    <row r="902" spans="1:33" ht="13.8">
      <c r="A902" s="113"/>
      <c r="B902" s="113"/>
      <c r="C902" s="113"/>
      <c r="D902" s="113"/>
      <c r="E902" s="113"/>
      <c r="F902" s="113"/>
      <c r="G902" s="113"/>
      <c r="H902" s="113"/>
      <c r="I902" s="113"/>
      <c r="J902" s="113"/>
      <c r="K902" s="113"/>
      <c r="L902" s="113"/>
      <c r="M902" s="113"/>
      <c r="N902" s="113"/>
      <c r="O902" s="113"/>
      <c r="P902" s="113"/>
      <c r="Q902" s="113"/>
      <c r="R902" s="113"/>
      <c r="S902" s="113"/>
      <c r="T902" s="113"/>
      <c r="U902" s="113"/>
      <c r="V902" s="113"/>
      <c r="W902" s="113"/>
      <c r="X902" s="113"/>
      <c r="Y902" s="113"/>
      <c r="Z902" s="113"/>
      <c r="AA902" s="113"/>
      <c r="AB902" s="113"/>
      <c r="AC902" s="113"/>
      <c r="AD902" s="113"/>
      <c r="AE902" s="113"/>
      <c r="AF902" s="113"/>
      <c r="AG902" s="113"/>
    </row>
    <row r="903" spans="1:33" ht="13.8">
      <c r="A903" s="113"/>
      <c r="B903" s="113"/>
      <c r="C903" s="113"/>
      <c r="D903" s="113"/>
      <c r="E903" s="113"/>
      <c r="F903" s="113"/>
      <c r="G903" s="113"/>
      <c r="H903" s="113"/>
      <c r="I903" s="113"/>
      <c r="J903" s="113"/>
      <c r="K903" s="113"/>
      <c r="L903" s="113"/>
      <c r="M903" s="113"/>
      <c r="N903" s="113"/>
      <c r="O903" s="113"/>
      <c r="P903" s="113"/>
      <c r="Q903" s="113"/>
      <c r="R903" s="113"/>
      <c r="S903" s="113"/>
      <c r="T903" s="113"/>
      <c r="U903" s="113"/>
      <c r="V903" s="113"/>
      <c r="W903" s="113"/>
      <c r="X903" s="113"/>
      <c r="Y903" s="113"/>
      <c r="Z903" s="113"/>
      <c r="AA903" s="113"/>
      <c r="AB903" s="113"/>
      <c r="AC903" s="113"/>
      <c r="AD903" s="113"/>
      <c r="AE903" s="113"/>
      <c r="AF903" s="113"/>
      <c r="AG903" s="113"/>
    </row>
    <row r="904" spans="1:33" ht="13.8">
      <c r="A904" s="113"/>
      <c r="B904" s="113"/>
      <c r="C904" s="113"/>
      <c r="D904" s="113"/>
      <c r="E904" s="113"/>
      <c r="F904" s="113"/>
      <c r="G904" s="113"/>
      <c r="H904" s="113"/>
      <c r="I904" s="113"/>
      <c r="J904" s="113"/>
      <c r="K904" s="113"/>
      <c r="L904" s="113"/>
      <c r="M904" s="113"/>
      <c r="N904" s="113"/>
      <c r="O904" s="113"/>
      <c r="P904" s="113"/>
      <c r="Q904" s="113"/>
      <c r="R904" s="113"/>
      <c r="S904" s="113"/>
      <c r="T904" s="113"/>
      <c r="U904" s="113"/>
      <c r="V904" s="113"/>
      <c r="W904" s="113"/>
      <c r="X904" s="113"/>
      <c r="Y904" s="113"/>
      <c r="Z904" s="113"/>
      <c r="AA904" s="113"/>
      <c r="AB904" s="113"/>
      <c r="AC904" s="113"/>
      <c r="AD904" s="113"/>
      <c r="AE904" s="113"/>
      <c r="AF904" s="113"/>
      <c r="AG904" s="113"/>
    </row>
    <row r="905" spans="1:33" ht="13.8">
      <c r="A905" s="113"/>
      <c r="B905" s="113"/>
      <c r="C905" s="113"/>
      <c r="D905" s="113"/>
      <c r="E905" s="113"/>
      <c r="F905" s="113"/>
      <c r="G905" s="113"/>
      <c r="H905" s="113"/>
      <c r="I905" s="113"/>
      <c r="J905" s="113"/>
      <c r="K905" s="113"/>
      <c r="L905" s="113"/>
      <c r="M905" s="113"/>
      <c r="N905" s="113"/>
      <c r="O905" s="113"/>
      <c r="P905" s="113"/>
      <c r="Q905" s="113"/>
      <c r="R905" s="113"/>
      <c r="S905" s="113"/>
      <c r="T905" s="113"/>
      <c r="U905" s="113"/>
      <c r="V905" s="113"/>
      <c r="W905" s="113"/>
      <c r="X905" s="113"/>
      <c r="Y905" s="113"/>
      <c r="Z905" s="113"/>
      <c r="AA905" s="113"/>
      <c r="AB905" s="113"/>
      <c r="AC905" s="113"/>
      <c r="AD905" s="113"/>
      <c r="AE905" s="113"/>
      <c r="AF905" s="113"/>
      <c r="AG905" s="113"/>
    </row>
    <row r="906" spans="1:33" ht="13.8">
      <c r="A906" s="113"/>
      <c r="B906" s="113"/>
      <c r="C906" s="113"/>
      <c r="D906" s="113"/>
      <c r="E906" s="113"/>
      <c r="F906" s="113"/>
      <c r="G906" s="113"/>
      <c r="H906" s="113"/>
      <c r="I906" s="113"/>
      <c r="J906" s="113"/>
      <c r="K906" s="113"/>
      <c r="L906" s="113"/>
      <c r="M906" s="113"/>
      <c r="N906" s="113"/>
      <c r="O906" s="113"/>
      <c r="P906" s="113"/>
      <c r="Q906" s="113"/>
      <c r="R906" s="113"/>
      <c r="S906" s="113"/>
      <c r="T906" s="113"/>
      <c r="U906" s="113"/>
      <c r="V906" s="113"/>
      <c r="W906" s="113"/>
      <c r="X906" s="113"/>
      <c r="Y906" s="113"/>
      <c r="Z906" s="113"/>
      <c r="AA906" s="113"/>
      <c r="AB906" s="113"/>
      <c r="AC906" s="113"/>
      <c r="AD906" s="113"/>
      <c r="AE906" s="113"/>
      <c r="AF906" s="113"/>
      <c r="AG906" s="113"/>
    </row>
    <row r="907" spans="1:33" ht="13.8">
      <c r="A907" s="113"/>
      <c r="B907" s="113"/>
      <c r="C907" s="113"/>
      <c r="D907" s="113"/>
      <c r="E907" s="113"/>
      <c r="F907" s="113"/>
      <c r="G907" s="113"/>
      <c r="H907" s="113"/>
      <c r="I907" s="113"/>
      <c r="J907" s="113"/>
      <c r="K907" s="113"/>
      <c r="L907" s="113"/>
      <c r="M907" s="113"/>
      <c r="N907" s="113"/>
      <c r="O907" s="113"/>
      <c r="P907" s="113"/>
      <c r="Q907" s="113"/>
      <c r="R907" s="113"/>
      <c r="S907" s="113"/>
      <c r="T907" s="113"/>
      <c r="U907" s="113"/>
      <c r="V907" s="113"/>
      <c r="W907" s="113"/>
      <c r="X907" s="113"/>
      <c r="Y907" s="113"/>
      <c r="Z907" s="113"/>
      <c r="AA907" s="113"/>
      <c r="AB907" s="113"/>
      <c r="AC907" s="113"/>
      <c r="AD907" s="113"/>
      <c r="AE907" s="113"/>
      <c r="AF907" s="113"/>
      <c r="AG907" s="113"/>
    </row>
    <row r="908" spans="1:33" ht="13.8">
      <c r="A908" s="113"/>
      <c r="B908" s="113"/>
      <c r="C908" s="113"/>
      <c r="D908" s="113"/>
      <c r="E908" s="113"/>
      <c r="F908" s="113"/>
      <c r="G908" s="113"/>
      <c r="H908" s="113"/>
      <c r="I908" s="113"/>
      <c r="J908" s="113"/>
      <c r="K908" s="113"/>
      <c r="L908" s="113"/>
      <c r="M908" s="113"/>
      <c r="N908" s="113"/>
      <c r="O908" s="113"/>
      <c r="P908" s="113"/>
      <c r="Q908" s="113"/>
      <c r="R908" s="113"/>
      <c r="S908" s="113"/>
      <c r="T908" s="113"/>
      <c r="U908" s="113"/>
      <c r="V908" s="113"/>
      <c r="W908" s="113"/>
      <c r="X908" s="113"/>
      <c r="Y908" s="113"/>
      <c r="Z908" s="113"/>
      <c r="AA908" s="113"/>
      <c r="AB908" s="113"/>
      <c r="AC908" s="113"/>
      <c r="AD908" s="113"/>
      <c r="AE908" s="113"/>
      <c r="AF908" s="113"/>
      <c r="AG908" s="113"/>
    </row>
    <row r="909" spans="1:33" ht="13.8">
      <c r="A909" s="113"/>
      <c r="B909" s="113"/>
      <c r="C909" s="113"/>
      <c r="D909" s="113"/>
      <c r="E909" s="113"/>
      <c r="F909" s="113"/>
      <c r="G909" s="113"/>
      <c r="H909" s="113"/>
      <c r="I909" s="113"/>
      <c r="J909" s="113"/>
      <c r="K909" s="113"/>
      <c r="L909" s="113"/>
      <c r="M909" s="113"/>
      <c r="N909" s="113"/>
      <c r="O909" s="113"/>
      <c r="P909" s="113"/>
      <c r="Q909" s="113"/>
      <c r="R909" s="113"/>
      <c r="S909" s="113"/>
      <c r="T909" s="113"/>
      <c r="U909" s="113"/>
      <c r="V909" s="113"/>
      <c r="W909" s="113"/>
      <c r="X909" s="113"/>
      <c r="Y909" s="113"/>
      <c r="Z909" s="113"/>
      <c r="AA909" s="113"/>
      <c r="AB909" s="113"/>
      <c r="AC909" s="113"/>
      <c r="AD909" s="113"/>
      <c r="AE909" s="113"/>
      <c r="AF909" s="113"/>
      <c r="AG909" s="113"/>
    </row>
    <row r="910" spans="1:33" ht="13.8">
      <c r="A910" s="113"/>
      <c r="B910" s="113"/>
      <c r="C910" s="113"/>
      <c r="D910" s="113"/>
      <c r="E910" s="113"/>
      <c r="F910" s="113"/>
      <c r="G910" s="113"/>
      <c r="H910" s="113"/>
      <c r="I910" s="113"/>
      <c r="J910" s="113"/>
      <c r="K910" s="113"/>
      <c r="L910" s="113"/>
      <c r="M910" s="113"/>
      <c r="N910" s="113"/>
      <c r="O910" s="113"/>
      <c r="P910" s="113"/>
      <c r="Q910" s="113"/>
      <c r="R910" s="113"/>
      <c r="S910" s="113"/>
      <c r="T910" s="113"/>
      <c r="U910" s="113"/>
      <c r="V910" s="113"/>
      <c r="W910" s="113"/>
      <c r="X910" s="113"/>
      <c r="Y910" s="113"/>
      <c r="Z910" s="113"/>
      <c r="AA910" s="113"/>
      <c r="AB910" s="113"/>
      <c r="AC910" s="113"/>
      <c r="AD910" s="113"/>
      <c r="AE910" s="113"/>
      <c r="AF910" s="113"/>
      <c r="AG910" s="113"/>
    </row>
    <row r="911" spans="1:33" ht="13.8">
      <c r="A911" s="113"/>
      <c r="B911" s="113"/>
      <c r="C911" s="113"/>
      <c r="D911" s="113"/>
      <c r="E911" s="113"/>
      <c r="F911" s="113"/>
      <c r="G911" s="113"/>
      <c r="H911" s="113"/>
      <c r="I911" s="113"/>
      <c r="J911" s="113"/>
      <c r="K911" s="113"/>
      <c r="L911" s="113"/>
      <c r="M911" s="113"/>
      <c r="N911" s="113"/>
      <c r="O911" s="113"/>
      <c r="P911" s="113"/>
      <c r="Q911" s="113"/>
      <c r="R911" s="113"/>
      <c r="S911" s="113"/>
      <c r="T911" s="113"/>
      <c r="U911" s="113"/>
      <c r="V911" s="113"/>
      <c r="W911" s="113"/>
      <c r="X911" s="113"/>
      <c r="Y911" s="113"/>
      <c r="Z911" s="113"/>
      <c r="AA911" s="113"/>
      <c r="AB911" s="113"/>
      <c r="AC911" s="113"/>
      <c r="AD911" s="113"/>
      <c r="AE911" s="113"/>
      <c r="AF911" s="113"/>
      <c r="AG911" s="113"/>
    </row>
    <row r="912" spans="1:33" ht="13.8">
      <c r="A912" s="113"/>
      <c r="B912" s="113"/>
      <c r="C912" s="113"/>
      <c r="D912" s="113"/>
      <c r="E912" s="113"/>
      <c r="F912" s="113"/>
      <c r="G912" s="113"/>
      <c r="H912" s="113"/>
      <c r="I912" s="113"/>
      <c r="J912" s="113"/>
      <c r="K912" s="113"/>
      <c r="L912" s="113"/>
      <c r="M912" s="113"/>
      <c r="N912" s="113"/>
      <c r="O912" s="113"/>
      <c r="P912" s="113"/>
      <c r="Q912" s="113"/>
      <c r="R912" s="113"/>
      <c r="S912" s="113"/>
      <c r="T912" s="113"/>
      <c r="U912" s="113"/>
      <c r="V912" s="113"/>
      <c r="W912" s="113"/>
      <c r="X912" s="113"/>
      <c r="Y912" s="113"/>
      <c r="Z912" s="113"/>
      <c r="AA912" s="113"/>
      <c r="AB912" s="113"/>
      <c r="AC912" s="113"/>
      <c r="AD912" s="113"/>
      <c r="AE912" s="113"/>
      <c r="AF912" s="113"/>
      <c r="AG912" s="113"/>
    </row>
    <row r="913" spans="1:33" ht="13.8">
      <c r="A913" s="113"/>
      <c r="B913" s="113"/>
      <c r="C913" s="113"/>
      <c r="D913" s="113"/>
      <c r="E913" s="113"/>
      <c r="F913" s="113"/>
      <c r="G913" s="113"/>
      <c r="H913" s="113"/>
      <c r="I913" s="113"/>
      <c r="J913" s="113"/>
      <c r="K913" s="113"/>
      <c r="L913" s="113"/>
      <c r="M913" s="113"/>
      <c r="N913" s="113"/>
      <c r="O913" s="113"/>
      <c r="P913" s="113"/>
      <c r="Q913" s="113"/>
      <c r="R913" s="113"/>
      <c r="S913" s="113"/>
      <c r="T913" s="113"/>
      <c r="U913" s="113"/>
      <c r="V913" s="113"/>
      <c r="W913" s="113"/>
      <c r="X913" s="113"/>
      <c r="Y913" s="113"/>
      <c r="Z913" s="113"/>
      <c r="AA913" s="113"/>
      <c r="AB913" s="113"/>
      <c r="AC913" s="113"/>
      <c r="AD913" s="113"/>
      <c r="AE913" s="113"/>
      <c r="AF913" s="113"/>
      <c r="AG913" s="113"/>
    </row>
    <row r="914" spans="1:33" ht="13.8">
      <c r="A914" s="113"/>
      <c r="B914" s="113"/>
      <c r="C914" s="113"/>
      <c r="D914" s="113"/>
      <c r="E914" s="113"/>
      <c r="F914" s="113"/>
      <c r="G914" s="113"/>
      <c r="H914" s="113"/>
      <c r="I914" s="113"/>
      <c r="J914" s="113"/>
      <c r="K914" s="113"/>
      <c r="L914" s="113"/>
      <c r="M914" s="113"/>
      <c r="N914" s="113"/>
      <c r="O914" s="113"/>
      <c r="P914" s="113"/>
      <c r="Q914" s="113"/>
      <c r="R914" s="113"/>
      <c r="S914" s="113"/>
      <c r="T914" s="113"/>
      <c r="U914" s="113"/>
      <c r="V914" s="113"/>
      <c r="W914" s="113"/>
      <c r="X914" s="113"/>
      <c r="Y914" s="113"/>
      <c r="Z914" s="113"/>
      <c r="AA914" s="113"/>
      <c r="AB914" s="113"/>
      <c r="AC914" s="113"/>
      <c r="AD914" s="113"/>
      <c r="AE914" s="113"/>
      <c r="AF914" s="113"/>
      <c r="AG914" s="113"/>
    </row>
    <row r="915" spans="1:33" ht="13.8">
      <c r="A915" s="113"/>
      <c r="B915" s="113"/>
      <c r="C915" s="113"/>
      <c r="D915" s="113"/>
      <c r="E915" s="113"/>
      <c r="F915" s="113"/>
      <c r="G915" s="113"/>
      <c r="H915" s="113"/>
      <c r="I915" s="113"/>
      <c r="J915" s="113"/>
      <c r="K915" s="113"/>
      <c r="L915" s="113"/>
      <c r="M915" s="113"/>
      <c r="N915" s="113"/>
      <c r="O915" s="113"/>
      <c r="P915" s="113"/>
      <c r="Q915" s="113"/>
      <c r="R915" s="113"/>
      <c r="S915" s="113"/>
      <c r="T915" s="113"/>
      <c r="U915" s="113"/>
      <c r="V915" s="113"/>
      <c r="W915" s="113"/>
      <c r="X915" s="113"/>
      <c r="Y915" s="113"/>
      <c r="Z915" s="113"/>
      <c r="AA915" s="113"/>
      <c r="AB915" s="113"/>
      <c r="AC915" s="113"/>
      <c r="AD915" s="113"/>
      <c r="AE915" s="113"/>
      <c r="AF915" s="113"/>
      <c r="AG915" s="113"/>
    </row>
    <row r="916" spans="1:33" ht="13.8">
      <c r="A916" s="113"/>
      <c r="B916" s="113"/>
      <c r="C916" s="113"/>
      <c r="D916" s="113"/>
      <c r="E916" s="113"/>
      <c r="F916" s="113"/>
      <c r="G916" s="113"/>
      <c r="H916" s="113"/>
      <c r="I916" s="113"/>
      <c r="J916" s="113"/>
      <c r="K916" s="113"/>
      <c r="L916" s="113"/>
      <c r="M916" s="113"/>
      <c r="N916" s="113"/>
      <c r="O916" s="113"/>
      <c r="P916" s="113"/>
      <c r="Q916" s="113"/>
      <c r="R916" s="113"/>
      <c r="S916" s="113"/>
      <c r="T916" s="113"/>
      <c r="U916" s="113"/>
      <c r="V916" s="113"/>
      <c r="W916" s="113"/>
      <c r="X916" s="113"/>
      <c r="Y916" s="113"/>
      <c r="Z916" s="113"/>
      <c r="AA916" s="113"/>
      <c r="AB916" s="113"/>
      <c r="AC916" s="113"/>
      <c r="AD916" s="113"/>
      <c r="AE916" s="113"/>
      <c r="AF916" s="113"/>
      <c r="AG916" s="113"/>
    </row>
    <row r="917" spans="1:33" ht="13.8">
      <c r="A917" s="113"/>
      <c r="B917" s="113"/>
      <c r="C917" s="113"/>
      <c r="D917" s="113"/>
      <c r="E917" s="113"/>
      <c r="F917" s="113"/>
      <c r="G917" s="113"/>
      <c r="H917" s="113"/>
      <c r="I917" s="113"/>
      <c r="J917" s="113"/>
      <c r="K917" s="113"/>
      <c r="L917" s="113"/>
      <c r="M917" s="113"/>
      <c r="N917" s="113"/>
      <c r="O917" s="113"/>
      <c r="P917" s="113"/>
      <c r="Q917" s="113"/>
      <c r="R917" s="113"/>
      <c r="S917" s="113"/>
      <c r="T917" s="113"/>
      <c r="U917" s="113"/>
      <c r="V917" s="113"/>
      <c r="W917" s="113"/>
      <c r="X917" s="113"/>
      <c r="Y917" s="113"/>
      <c r="Z917" s="113"/>
      <c r="AA917" s="113"/>
      <c r="AB917" s="113"/>
      <c r="AC917" s="113"/>
      <c r="AD917" s="113"/>
      <c r="AE917" s="113"/>
      <c r="AF917" s="113"/>
      <c r="AG917" s="113"/>
    </row>
    <row r="918" spans="1:33" ht="13.8">
      <c r="A918" s="113"/>
      <c r="B918" s="113"/>
      <c r="C918" s="113"/>
      <c r="D918" s="113"/>
      <c r="E918" s="113"/>
      <c r="F918" s="113"/>
      <c r="G918" s="113"/>
      <c r="H918" s="113"/>
      <c r="I918" s="113"/>
      <c r="J918" s="113"/>
      <c r="K918" s="113"/>
      <c r="L918" s="113"/>
      <c r="M918" s="113"/>
      <c r="N918" s="113"/>
      <c r="O918" s="113"/>
      <c r="P918" s="113"/>
      <c r="Q918" s="113"/>
      <c r="R918" s="113"/>
      <c r="S918" s="113"/>
      <c r="T918" s="113"/>
      <c r="U918" s="113"/>
      <c r="V918" s="113"/>
      <c r="W918" s="113"/>
      <c r="X918" s="113"/>
      <c r="Y918" s="113"/>
      <c r="Z918" s="113"/>
      <c r="AA918" s="113"/>
      <c r="AB918" s="113"/>
      <c r="AC918" s="113"/>
      <c r="AD918" s="113"/>
      <c r="AE918" s="113"/>
      <c r="AF918" s="113"/>
      <c r="AG918" s="113"/>
    </row>
    <row r="919" spans="1:33" ht="13.8">
      <c r="A919" s="113"/>
      <c r="B919" s="113"/>
      <c r="C919" s="113"/>
      <c r="D919" s="113"/>
      <c r="E919" s="113"/>
      <c r="F919" s="113"/>
      <c r="G919" s="113"/>
      <c r="H919" s="113"/>
      <c r="I919" s="113"/>
      <c r="J919" s="113"/>
      <c r="K919" s="113"/>
      <c r="L919" s="113"/>
      <c r="M919" s="113"/>
      <c r="N919" s="113"/>
      <c r="O919" s="113"/>
      <c r="P919" s="113"/>
      <c r="Q919" s="113"/>
      <c r="R919" s="113"/>
      <c r="S919" s="113"/>
      <c r="T919" s="113"/>
      <c r="U919" s="113"/>
      <c r="V919" s="113"/>
      <c r="W919" s="113"/>
      <c r="X919" s="113"/>
      <c r="Y919" s="113"/>
      <c r="Z919" s="113"/>
      <c r="AA919" s="113"/>
      <c r="AB919" s="113"/>
      <c r="AC919" s="113"/>
      <c r="AD919" s="113"/>
      <c r="AE919" s="113"/>
      <c r="AF919" s="113"/>
      <c r="AG919" s="113"/>
    </row>
    <row r="920" spans="1:33" ht="13.8">
      <c r="A920" s="113"/>
      <c r="B920" s="113"/>
      <c r="C920" s="113"/>
      <c r="D920" s="113"/>
      <c r="E920" s="113"/>
      <c r="F920" s="113"/>
      <c r="G920" s="113"/>
      <c r="H920" s="113"/>
      <c r="I920" s="113"/>
      <c r="J920" s="113"/>
      <c r="K920" s="113"/>
      <c r="L920" s="113"/>
      <c r="M920" s="113"/>
      <c r="N920" s="113"/>
      <c r="O920" s="113"/>
      <c r="P920" s="113"/>
      <c r="Q920" s="113"/>
      <c r="R920" s="113"/>
      <c r="S920" s="113"/>
      <c r="T920" s="113"/>
      <c r="U920" s="113"/>
      <c r="V920" s="113"/>
      <c r="W920" s="113"/>
      <c r="X920" s="113"/>
      <c r="Y920" s="113"/>
      <c r="Z920" s="113"/>
      <c r="AA920" s="113"/>
      <c r="AB920" s="113"/>
      <c r="AC920" s="113"/>
      <c r="AD920" s="113"/>
      <c r="AE920" s="113"/>
      <c r="AF920" s="113"/>
      <c r="AG920" s="113"/>
    </row>
    <row r="921" spans="1:33" ht="13.8">
      <c r="A921" s="113"/>
      <c r="B921" s="113"/>
      <c r="C921" s="113"/>
      <c r="D921" s="113"/>
      <c r="E921" s="113"/>
      <c r="F921" s="113"/>
      <c r="G921" s="113"/>
      <c r="H921" s="113"/>
      <c r="I921" s="113"/>
      <c r="J921" s="113"/>
      <c r="K921" s="113"/>
      <c r="L921" s="113"/>
      <c r="M921" s="113"/>
      <c r="N921" s="113"/>
      <c r="O921" s="113"/>
      <c r="P921" s="113"/>
      <c r="Q921" s="113"/>
      <c r="R921" s="113"/>
      <c r="S921" s="113"/>
      <c r="T921" s="113"/>
      <c r="U921" s="113"/>
      <c r="V921" s="113"/>
      <c r="W921" s="113"/>
      <c r="X921" s="113"/>
      <c r="Y921" s="113"/>
      <c r="Z921" s="113"/>
      <c r="AA921" s="113"/>
      <c r="AB921" s="113"/>
      <c r="AC921" s="113"/>
      <c r="AD921" s="113"/>
      <c r="AE921" s="113"/>
      <c r="AF921" s="113"/>
      <c r="AG921" s="113"/>
    </row>
    <row r="922" spans="1:33" ht="13.8">
      <c r="A922" s="113"/>
      <c r="B922" s="113"/>
      <c r="C922" s="113"/>
      <c r="D922" s="113"/>
      <c r="E922" s="113"/>
      <c r="F922" s="113"/>
      <c r="G922" s="113"/>
      <c r="H922" s="113"/>
      <c r="I922" s="113"/>
      <c r="J922" s="113"/>
      <c r="K922" s="113"/>
      <c r="L922" s="113"/>
      <c r="M922" s="113"/>
      <c r="N922" s="113"/>
      <c r="O922" s="113"/>
      <c r="P922" s="113"/>
      <c r="Q922" s="113"/>
      <c r="R922" s="113"/>
      <c r="S922" s="113"/>
      <c r="T922" s="113"/>
      <c r="U922" s="113"/>
      <c r="V922" s="113"/>
      <c r="W922" s="113"/>
      <c r="X922" s="113"/>
      <c r="Y922" s="113"/>
      <c r="Z922" s="113"/>
      <c r="AA922" s="113"/>
      <c r="AB922" s="113"/>
      <c r="AC922" s="113"/>
      <c r="AD922" s="113"/>
      <c r="AE922" s="113"/>
      <c r="AF922" s="113"/>
      <c r="AG922" s="113"/>
    </row>
    <row r="923" spans="1:33" ht="13.8">
      <c r="A923" s="113"/>
      <c r="B923" s="113"/>
      <c r="C923" s="113"/>
      <c r="D923" s="113"/>
      <c r="E923" s="113"/>
      <c r="F923" s="113"/>
      <c r="G923" s="113"/>
      <c r="H923" s="113"/>
      <c r="I923" s="113"/>
      <c r="J923" s="113"/>
      <c r="K923" s="113"/>
      <c r="L923" s="113"/>
      <c r="M923" s="113"/>
      <c r="N923" s="113"/>
      <c r="O923" s="113"/>
      <c r="P923" s="113"/>
      <c r="Q923" s="113"/>
      <c r="R923" s="113"/>
      <c r="S923" s="113"/>
      <c r="T923" s="113"/>
      <c r="U923" s="113"/>
      <c r="V923" s="113"/>
      <c r="W923" s="113"/>
      <c r="X923" s="113"/>
      <c r="Y923" s="113"/>
      <c r="Z923" s="113"/>
      <c r="AA923" s="113"/>
      <c r="AB923" s="113"/>
      <c r="AC923" s="113"/>
      <c r="AD923" s="113"/>
      <c r="AE923" s="113"/>
      <c r="AF923" s="113"/>
      <c r="AG923" s="113"/>
    </row>
    <row r="924" spans="1:33" ht="13.8">
      <c r="A924" s="113"/>
      <c r="B924" s="113"/>
      <c r="C924" s="113"/>
      <c r="D924" s="113"/>
      <c r="E924" s="113"/>
      <c r="F924" s="113"/>
      <c r="G924" s="113"/>
      <c r="H924" s="113"/>
      <c r="I924" s="113"/>
      <c r="J924" s="113"/>
      <c r="K924" s="113"/>
      <c r="L924" s="113"/>
      <c r="M924" s="113"/>
      <c r="N924" s="113"/>
      <c r="O924" s="113"/>
      <c r="P924" s="113"/>
      <c r="Q924" s="113"/>
      <c r="R924" s="113"/>
      <c r="S924" s="113"/>
      <c r="T924" s="113"/>
      <c r="U924" s="113"/>
      <c r="V924" s="113"/>
      <c r="W924" s="113"/>
      <c r="X924" s="113"/>
      <c r="Y924" s="113"/>
      <c r="Z924" s="113"/>
      <c r="AA924" s="113"/>
      <c r="AB924" s="113"/>
      <c r="AC924" s="113"/>
      <c r="AD924" s="113"/>
      <c r="AE924" s="113"/>
      <c r="AF924" s="113"/>
      <c r="AG924" s="113"/>
    </row>
    <row r="925" spans="1:33" ht="13.8">
      <c r="A925" s="113"/>
      <c r="B925" s="113"/>
      <c r="C925" s="113"/>
      <c r="D925" s="113"/>
      <c r="E925" s="113"/>
      <c r="F925" s="113"/>
      <c r="G925" s="113"/>
      <c r="H925" s="113"/>
      <c r="I925" s="113"/>
      <c r="J925" s="113"/>
      <c r="K925" s="113"/>
      <c r="L925" s="113"/>
      <c r="M925" s="113"/>
      <c r="N925" s="113"/>
      <c r="O925" s="113"/>
      <c r="P925" s="113"/>
      <c r="Q925" s="113"/>
      <c r="R925" s="113"/>
      <c r="S925" s="113"/>
      <c r="T925" s="113"/>
      <c r="U925" s="113"/>
      <c r="V925" s="113"/>
      <c r="W925" s="113"/>
      <c r="X925" s="113"/>
      <c r="Y925" s="113"/>
      <c r="Z925" s="113"/>
      <c r="AA925" s="113"/>
      <c r="AB925" s="113"/>
      <c r="AC925" s="113"/>
      <c r="AD925" s="113"/>
      <c r="AE925" s="113"/>
      <c r="AF925" s="113"/>
      <c r="AG925" s="113"/>
    </row>
    <row r="926" spans="1:33" ht="13.8">
      <c r="A926" s="113"/>
      <c r="B926" s="113"/>
      <c r="C926" s="113"/>
      <c r="D926" s="113"/>
      <c r="E926" s="113"/>
      <c r="F926" s="113"/>
      <c r="G926" s="113"/>
      <c r="H926" s="113"/>
      <c r="I926" s="113"/>
      <c r="J926" s="113"/>
      <c r="K926" s="113"/>
      <c r="L926" s="113"/>
      <c r="M926" s="113"/>
      <c r="N926" s="113"/>
      <c r="O926" s="113"/>
      <c r="P926" s="113"/>
      <c r="Q926" s="113"/>
      <c r="R926" s="113"/>
      <c r="S926" s="113"/>
      <c r="T926" s="113"/>
      <c r="U926" s="113"/>
      <c r="V926" s="113"/>
      <c r="W926" s="113"/>
      <c r="X926" s="113"/>
      <c r="Y926" s="113"/>
      <c r="Z926" s="113"/>
      <c r="AA926" s="113"/>
      <c r="AB926" s="113"/>
      <c r="AC926" s="113"/>
      <c r="AD926" s="113"/>
      <c r="AE926" s="113"/>
      <c r="AF926" s="113"/>
      <c r="AG926" s="113"/>
    </row>
    <row r="927" spans="1:33" ht="13.8">
      <c r="A927" s="113"/>
      <c r="B927" s="113"/>
      <c r="C927" s="113"/>
      <c r="D927" s="113"/>
      <c r="E927" s="113"/>
      <c r="F927" s="113"/>
      <c r="G927" s="113"/>
      <c r="H927" s="113"/>
      <c r="I927" s="113"/>
      <c r="J927" s="113"/>
      <c r="K927" s="113"/>
      <c r="L927" s="113"/>
      <c r="M927" s="113"/>
      <c r="N927" s="113"/>
      <c r="O927" s="113"/>
      <c r="P927" s="113"/>
      <c r="Q927" s="113"/>
      <c r="R927" s="113"/>
      <c r="S927" s="113"/>
      <c r="T927" s="113"/>
      <c r="U927" s="113"/>
      <c r="V927" s="113"/>
      <c r="W927" s="113"/>
      <c r="X927" s="113"/>
      <c r="Y927" s="113"/>
      <c r="Z927" s="113"/>
      <c r="AA927" s="113"/>
      <c r="AB927" s="113"/>
      <c r="AC927" s="113"/>
      <c r="AD927" s="113"/>
      <c r="AE927" s="113"/>
      <c r="AF927" s="113"/>
      <c r="AG927" s="113"/>
    </row>
    <row r="928" spans="1:33" ht="13.8">
      <c r="A928" s="113"/>
      <c r="B928" s="113"/>
      <c r="C928" s="113"/>
      <c r="D928" s="113"/>
      <c r="E928" s="113"/>
      <c r="F928" s="113"/>
      <c r="G928" s="113"/>
      <c r="H928" s="113"/>
      <c r="I928" s="113"/>
      <c r="J928" s="113"/>
      <c r="K928" s="113"/>
      <c r="L928" s="113"/>
      <c r="M928" s="113"/>
      <c r="N928" s="113"/>
      <c r="O928" s="113"/>
      <c r="P928" s="113"/>
      <c r="Q928" s="113"/>
      <c r="R928" s="113"/>
      <c r="S928" s="113"/>
      <c r="T928" s="113"/>
      <c r="U928" s="113"/>
      <c r="V928" s="113"/>
      <c r="W928" s="113"/>
      <c r="X928" s="113"/>
      <c r="Y928" s="113"/>
      <c r="Z928" s="113"/>
      <c r="AA928" s="113"/>
      <c r="AB928" s="113"/>
      <c r="AC928" s="113"/>
      <c r="AD928" s="113"/>
      <c r="AE928" s="113"/>
      <c r="AF928" s="113"/>
      <c r="AG928" s="113"/>
    </row>
    <row r="929" spans="1:33" ht="13.8">
      <c r="A929" s="113"/>
      <c r="B929" s="113"/>
      <c r="C929" s="113"/>
      <c r="D929" s="113"/>
      <c r="E929" s="113"/>
      <c r="F929" s="113"/>
      <c r="G929" s="113"/>
      <c r="H929" s="113"/>
      <c r="I929" s="113"/>
      <c r="J929" s="113"/>
      <c r="K929" s="113"/>
      <c r="L929" s="113"/>
      <c r="M929" s="113"/>
      <c r="N929" s="113"/>
      <c r="O929" s="113"/>
      <c r="P929" s="113"/>
      <c r="Q929" s="113"/>
      <c r="R929" s="113"/>
      <c r="S929" s="113"/>
      <c r="T929" s="113"/>
      <c r="U929" s="113"/>
      <c r="V929" s="113"/>
      <c r="W929" s="113"/>
      <c r="X929" s="113"/>
      <c r="Y929" s="113"/>
      <c r="Z929" s="113"/>
      <c r="AA929" s="113"/>
      <c r="AB929" s="113"/>
      <c r="AC929" s="113"/>
      <c r="AD929" s="113"/>
      <c r="AE929" s="113"/>
      <c r="AF929" s="113"/>
      <c r="AG929" s="113"/>
    </row>
    <row r="930" spans="1:33" ht="13.8">
      <c r="A930" s="113"/>
      <c r="B930" s="113"/>
      <c r="C930" s="113"/>
      <c r="D930" s="113"/>
      <c r="E930" s="113"/>
      <c r="F930" s="113"/>
      <c r="G930" s="113"/>
      <c r="H930" s="113"/>
      <c r="I930" s="113"/>
      <c r="J930" s="113"/>
      <c r="K930" s="113"/>
      <c r="L930" s="113"/>
      <c r="M930" s="113"/>
      <c r="N930" s="113"/>
      <c r="O930" s="113"/>
      <c r="P930" s="113"/>
      <c r="Q930" s="113"/>
      <c r="R930" s="113"/>
      <c r="S930" s="113"/>
      <c r="T930" s="113"/>
      <c r="U930" s="113"/>
      <c r="V930" s="113"/>
      <c r="W930" s="113"/>
      <c r="X930" s="113"/>
      <c r="Y930" s="113"/>
      <c r="Z930" s="113"/>
      <c r="AA930" s="113"/>
      <c r="AB930" s="113"/>
      <c r="AC930" s="113"/>
      <c r="AD930" s="113"/>
      <c r="AE930" s="113"/>
      <c r="AF930" s="113"/>
      <c r="AG930" s="113"/>
    </row>
    <row r="931" spans="1:33" ht="13.8">
      <c r="A931" s="113"/>
      <c r="B931" s="113"/>
      <c r="C931" s="113"/>
      <c r="D931" s="113"/>
      <c r="E931" s="113"/>
      <c r="F931" s="113"/>
      <c r="G931" s="113"/>
      <c r="H931" s="113"/>
      <c r="I931" s="113"/>
      <c r="J931" s="113"/>
      <c r="K931" s="113"/>
      <c r="L931" s="113"/>
      <c r="M931" s="113"/>
      <c r="N931" s="113"/>
      <c r="O931" s="113"/>
      <c r="P931" s="113"/>
      <c r="Q931" s="113"/>
      <c r="R931" s="113"/>
      <c r="S931" s="113"/>
      <c r="T931" s="113"/>
      <c r="U931" s="113"/>
      <c r="V931" s="113"/>
      <c r="W931" s="113"/>
      <c r="X931" s="113"/>
      <c r="Y931" s="113"/>
      <c r="Z931" s="113"/>
      <c r="AA931" s="113"/>
      <c r="AB931" s="113"/>
      <c r="AC931" s="113"/>
      <c r="AD931" s="113"/>
      <c r="AE931" s="113"/>
      <c r="AF931" s="113"/>
      <c r="AG931" s="113"/>
    </row>
    <row r="932" spans="1:33" ht="13.8">
      <c r="A932" s="113"/>
      <c r="B932" s="113"/>
      <c r="C932" s="113"/>
      <c r="D932" s="113"/>
      <c r="E932" s="113"/>
      <c r="F932" s="113"/>
      <c r="G932" s="113"/>
      <c r="H932" s="113"/>
      <c r="I932" s="113"/>
      <c r="J932" s="113"/>
      <c r="K932" s="113"/>
      <c r="L932" s="113"/>
      <c r="M932" s="113"/>
      <c r="N932" s="113"/>
      <c r="O932" s="113"/>
      <c r="P932" s="113"/>
      <c r="Q932" s="113"/>
      <c r="R932" s="113"/>
      <c r="S932" s="113"/>
      <c r="T932" s="113"/>
      <c r="U932" s="113"/>
      <c r="V932" s="113"/>
      <c r="W932" s="113"/>
      <c r="X932" s="113"/>
      <c r="Y932" s="113"/>
      <c r="Z932" s="113"/>
      <c r="AA932" s="113"/>
      <c r="AB932" s="113"/>
      <c r="AC932" s="113"/>
      <c r="AD932" s="113"/>
      <c r="AE932" s="113"/>
      <c r="AF932" s="113"/>
      <c r="AG932" s="113"/>
    </row>
    <row r="933" spans="1:33" ht="13.8">
      <c r="A933" s="113"/>
      <c r="B933" s="113"/>
      <c r="C933" s="113"/>
      <c r="D933" s="113"/>
      <c r="E933" s="113"/>
      <c r="F933" s="113"/>
      <c r="G933" s="113"/>
      <c r="H933" s="113"/>
      <c r="I933" s="113"/>
      <c r="J933" s="113"/>
      <c r="K933" s="113"/>
      <c r="L933" s="113"/>
      <c r="M933" s="113"/>
      <c r="N933" s="113"/>
      <c r="O933" s="113"/>
      <c r="P933" s="113"/>
      <c r="Q933" s="113"/>
      <c r="R933" s="113"/>
      <c r="S933" s="113"/>
      <c r="T933" s="113"/>
      <c r="U933" s="113"/>
      <c r="V933" s="113"/>
      <c r="W933" s="113"/>
      <c r="X933" s="113"/>
      <c r="Y933" s="113"/>
      <c r="Z933" s="113"/>
      <c r="AA933" s="113"/>
      <c r="AB933" s="113"/>
      <c r="AC933" s="113"/>
      <c r="AD933" s="113"/>
      <c r="AE933" s="113"/>
      <c r="AF933" s="113"/>
      <c r="AG933" s="113"/>
    </row>
    <row r="934" spans="1:33" ht="13.8">
      <c r="A934" s="113"/>
      <c r="B934" s="113"/>
      <c r="C934" s="113"/>
      <c r="D934" s="113"/>
      <c r="E934" s="113"/>
      <c r="F934" s="113"/>
      <c r="G934" s="113"/>
      <c r="H934" s="113"/>
      <c r="I934" s="113"/>
      <c r="J934" s="113"/>
      <c r="K934" s="113"/>
      <c r="L934" s="113"/>
      <c r="M934" s="113"/>
      <c r="N934" s="113"/>
      <c r="O934" s="113"/>
      <c r="P934" s="113"/>
      <c r="Q934" s="113"/>
      <c r="R934" s="113"/>
      <c r="S934" s="113"/>
      <c r="T934" s="113"/>
      <c r="U934" s="113"/>
      <c r="V934" s="113"/>
      <c r="W934" s="113"/>
      <c r="X934" s="113"/>
      <c r="Y934" s="113"/>
      <c r="Z934" s="113"/>
      <c r="AA934" s="113"/>
      <c r="AB934" s="113"/>
      <c r="AC934" s="113"/>
      <c r="AD934" s="113"/>
      <c r="AE934" s="113"/>
      <c r="AF934" s="113"/>
      <c r="AG934" s="113"/>
    </row>
    <row r="935" spans="1:33" ht="13.8">
      <c r="A935" s="113"/>
      <c r="B935" s="113"/>
      <c r="C935" s="113"/>
      <c r="D935" s="113"/>
      <c r="E935" s="113"/>
      <c r="F935" s="113"/>
      <c r="G935" s="113"/>
      <c r="H935" s="113"/>
      <c r="I935" s="113"/>
      <c r="J935" s="113"/>
      <c r="K935" s="113"/>
      <c r="L935" s="113"/>
      <c r="M935" s="113"/>
      <c r="N935" s="113"/>
      <c r="O935" s="113"/>
      <c r="P935" s="113"/>
      <c r="Q935" s="113"/>
      <c r="R935" s="113"/>
      <c r="S935" s="113"/>
      <c r="T935" s="113"/>
      <c r="U935" s="113"/>
      <c r="V935" s="113"/>
      <c r="W935" s="113"/>
      <c r="X935" s="113"/>
      <c r="Y935" s="113"/>
      <c r="Z935" s="113"/>
      <c r="AA935" s="113"/>
      <c r="AB935" s="113"/>
      <c r="AC935" s="113"/>
      <c r="AD935" s="113"/>
      <c r="AE935" s="113"/>
      <c r="AF935" s="113"/>
      <c r="AG935" s="113"/>
    </row>
    <row r="936" spans="1:33" ht="13.8">
      <c r="A936" s="113"/>
      <c r="B936" s="113"/>
      <c r="C936" s="113"/>
      <c r="D936" s="113"/>
      <c r="E936" s="113"/>
      <c r="F936" s="113"/>
      <c r="G936" s="113"/>
      <c r="H936" s="113"/>
      <c r="I936" s="113"/>
      <c r="J936" s="113"/>
      <c r="K936" s="113"/>
      <c r="L936" s="113"/>
      <c r="M936" s="113"/>
      <c r="N936" s="113"/>
      <c r="O936" s="113"/>
      <c r="P936" s="113"/>
      <c r="Q936" s="113"/>
      <c r="R936" s="113"/>
      <c r="S936" s="113"/>
      <c r="T936" s="113"/>
      <c r="U936" s="113"/>
      <c r="V936" s="113"/>
      <c r="W936" s="113"/>
      <c r="X936" s="113"/>
      <c r="Y936" s="113"/>
      <c r="Z936" s="113"/>
      <c r="AA936" s="113"/>
      <c r="AB936" s="113"/>
      <c r="AC936" s="113"/>
      <c r="AD936" s="113"/>
      <c r="AE936" s="113"/>
      <c r="AF936" s="113"/>
      <c r="AG936" s="113"/>
    </row>
    <row r="937" spans="1:33" ht="13.8">
      <c r="A937" s="113"/>
      <c r="B937" s="113"/>
      <c r="C937" s="113"/>
      <c r="D937" s="113"/>
      <c r="E937" s="113"/>
      <c r="F937" s="113"/>
      <c r="G937" s="113"/>
      <c r="H937" s="113"/>
      <c r="I937" s="113"/>
      <c r="J937" s="113"/>
      <c r="K937" s="113"/>
      <c r="L937" s="113"/>
      <c r="M937" s="113"/>
      <c r="N937" s="113"/>
      <c r="O937" s="113"/>
      <c r="P937" s="113"/>
      <c r="Q937" s="113"/>
      <c r="R937" s="113"/>
      <c r="S937" s="113"/>
      <c r="T937" s="113"/>
      <c r="U937" s="113"/>
      <c r="V937" s="113"/>
      <c r="W937" s="113"/>
      <c r="X937" s="113"/>
      <c r="Y937" s="113"/>
      <c r="Z937" s="113"/>
      <c r="AA937" s="113"/>
      <c r="AB937" s="113"/>
      <c r="AC937" s="113"/>
      <c r="AD937" s="113"/>
      <c r="AE937" s="113"/>
      <c r="AF937" s="113"/>
      <c r="AG937" s="113"/>
    </row>
    <row r="938" spans="1:33" ht="13.8">
      <c r="A938" s="113"/>
      <c r="B938" s="113"/>
      <c r="C938" s="113"/>
      <c r="D938" s="113"/>
      <c r="E938" s="113"/>
      <c r="F938" s="113"/>
      <c r="G938" s="113"/>
      <c r="H938" s="113"/>
      <c r="I938" s="113"/>
      <c r="J938" s="113"/>
      <c r="K938" s="113"/>
      <c r="L938" s="113"/>
      <c r="M938" s="113"/>
      <c r="N938" s="113"/>
      <c r="O938" s="113"/>
      <c r="P938" s="113"/>
      <c r="Q938" s="113"/>
      <c r="R938" s="113"/>
      <c r="S938" s="113"/>
      <c r="T938" s="113"/>
      <c r="U938" s="113"/>
      <c r="V938" s="113"/>
      <c r="W938" s="113"/>
      <c r="X938" s="113"/>
      <c r="Y938" s="113"/>
      <c r="Z938" s="113"/>
      <c r="AA938" s="113"/>
      <c r="AB938" s="113"/>
      <c r="AC938" s="113"/>
      <c r="AD938" s="113"/>
      <c r="AE938" s="113"/>
      <c r="AF938" s="113"/>
      <c r="AG938" s="113"/>
    </row>
    <row r="939" spans="1:33" ht="13.8">
      <c r="A939" s="113"/>
      <c r="B939" s="113"/>
      <c r="C939" s="113"/>
      <c r="D939" s="113"/>
      <c r="E939" s="113"/>
      <c r="F939" s="113"/>
      <c r="G939" s="113"/>
      <c r="H939" s="113"/>
      <c r="I939" s="113"/>
      <c r="J939" s="113"/>
      <c r="K939" s="113"/>
      <c r="L939" s="113"/>
      <c r="M939" s="113"/>
      <c r="N939" s="113"/>
      <c r="O939" s="113"/>
      <c r="P939" s="113"/>
      <c r="Q939" s="113"/>
      <c r="R939" s="113"/>
      <c r="S939" s="113"/>
      <c r="T939" s="113"/>
      <c r="U939" s="113"/>
      <c r="V939" s="113"/>
      <c r="W939" s="113"/>
      <c r="X939" s="113"/>
      <c r="Y939" s="113"/>
      <c r="Z939" s="113"/>
      <c r="AA939" s="113"/>
      <c r="AB939" s="113"/>
      <c r="AC939" s="113"/>
      <c r="AD939" s="113"/>
      <c r="AE939" s="113"/>
      <c r="AF939" s="113"/>
      <c r="AG939" s="113"/>
    </row>
    <row r="940" spans="1:33" ht="13.8">
      <c r="A940" s="113"/>
      <c r="B940" s="113"/>
      <c r="C940" s="113"/>
      <c r="D940" s="113"/>
      <c r="E940" s="113"/>
      <c r="F940" s="113"/>
      <c r="G940" s="113"/>
      <c r="H940" s="113"/>
      <c r="I940" s="113"/>
      <c r="J940" s="113"/>
      <c r="K940" s="113"/>
      <c r="L940" s="113"/>
      <c r="M940" s="113"/>
      <c r="N940" s="113"/>
      <c r="O940" s="113"/>
      <c r="P940" s="113"/>
      <c r="Q940" s="113"/>
      <c r="R940" s="113"/>
      <c r="S940" s="113"/>
      <c r="T940" s="113"/>
      <c r="U940" s="113"/>
      <c r="V940" s="113"/>
      <c r="W940" s="113"/>
      <c r="X940" s="113"/>
      <c r="Y940" s="113"/>
      <c r="Z940" s="113"/>
      <c r="AA940" s="113"/>
      <c r="AB940" s="113"/>
      <c r="AC940" s="113"/>
      <c r="AD940" s="113"/>
      <c r="AE940" s="113"/>
      <c r="AF940" s="113"/>
      <c r="AG940" s="113"/>
    </row>
    <row r="941" spans="1:33" ht="13.8">
      <c r="A941" s="113"/>
      <c r="B941" s="113"/>
      <c r="C941" s="113"/>
      <c r="D941" s="113"/>
      <c r="E941" s="113"/>
      <c r="F941" s="113"/>
      <c r="G941" s="113"/>
      <c r="H941" s="113"/>
      <c r="I941" s="113"/>
      <c r="J941" s="113"/>
      <c r="K941" s="113"/>
      <c r="L941" s="113"/>
      <c r="M941" s="113"/>
      <c r="N941" s="113"/>
      <c r="O941" s="113"/>
      <c r="P941" s="113"/>
      <c r="Q941" s="113"/>
      <c r="R941" s="113"/>
      <c r="S941" s="113"/>
      <c r="T941" s="113"/>
      <c r="U941" s="113"/>
      <c r="V941" s="113"/>
      <c r="W941" s="113"/>
      <c r="X941" s="113"/>
      <c r="Y941" s="113"/>
      <c r="Z941" s="113"/>
      <c r="AA941" s="113"/>
      <c r="AB941" s="113"/>
      <c r="AC941" s="113"/>
      <c r="AD941" s="113"/>
      <c r="AE941" s="113"/>
      <c r="AF941" s="113"/>
      <c r="AG941" s="113"/>
    </row>
    <row r="942" spans="1:33" ht="13.8">
      <c r="A942" s="113"/>
      <c r="B942" s="113"/>
      <c r="C942" s="113"/>
      <c r="D942" s="113"/>
      <c r="E942" s="113"/>
      <c r="F942" s="113"/>
      <c r="G942" s="113"/>
      <c r="H942" s="113"/>
      <c r="I942" s="113"/>
      <c r="J942" s="113"/>
      <c r="K942" s="113"/>
      <c r="L942" s="113"/>
      <c r="M942" s="113"/>
      <c r="N942" s="113"/>
      <c r="O942" s="113"/>
      <c r="P942" s="113"/>
      <c r="Q942" s="113"/>
      <c r="R942" s="113"/>
      <c r="S942" s="113"/>
      <c r="T942" s="113"/>
      <c r="U942" s="113"/>
      <c r="V942" s="113"/>
      <c r="W942" s="113"/>
      <c r="X942" s="113"/>
      <c r="Y942" s="113"/>
      <c r="Z942" s="113"/>
      <c r="AA942" s="113"/>
      <c r="AB942" s="113"/>
      <c r="AC942" s="113"/>
      <c r="AD942" s="113"/>
      <c r="AE942" s="113"/>
      <c r="AF942" s="113"/>
      <c r="AG942" s="113"/>
    </row>
    <row r="943" spans="1:33" ht="13.8">
      <c r="A943" s="113"/>
      <c r="B943" s="113"/>
      <c r="C943" s="113"/>
      <c r="D943" s="113"/>
      <c r="E943" s="113"/>
      <c r="F943" s="113"/>
      <c r="G943" s="113"/>
      <c r="H943" s="113"/>
      <c r="I943" s="113"/>
      <c r="J943" s="113"/>
      <c r="K943" s="113"/>
      <c r="L943" s="113"/>
      <c r="M943" s="113"/>
      <c r="N943" s="113"/>
      <c r="O943" s="113"/>
      <c r="P943" s="113"/>
      <c r="Q943" s="113"/>
      <c r="R943" s="113"/>
      <c r="S943" s="113"/>
      <c r="T943" s="113"/>
      <c r="U943" s="113"/>
      <c r="V943" s="113"/>
      <c r="W943" s="113"/>
      <c r="X943" s="113"/>
      <c r="Y943" s="113"/>
      <c r="Z943" s="113"/>
      <c r="AA943" s="113"/>
      <c r="AB943" s="113"/>
      <c r="AC943" s="113"/>
      <c r="AD943" s="113"/>
      <c r="AE943" s="113"/>
      <c r="AF943" s="113"/>
      <c r="AG943" s="113"/>
    </row>
    <row r="944" spans="1:33" ht="13.8">
      <c r="A944" s="113"/>
      <c r="B944" s="113"/>
      <c r="C944" s="113"/>
      <c r="D944" s="113"/>
      <c r="E944" s="113"/>
      <c r="F944" s="113"/>
      <c r="G944" s="113"/>
      <c r="H944" s="113"/>
      <c r="I944" s="113"/>
      <c r="J944" s="113"/>
      <c r="K944" s="113"/>
      <c r="L944" s="113"/>
      <c r="M944" s="113"/>
      <c r="N944" s="113"/>
      <c r="O944" s="113"/>
      <c r="P944" s="113"/>
      <c r="Q944" s="113"/>
      <c r="R944" s="113"/>
      <c r="S944" s="113"/>
      <c r="T944" s="113"/>
      <c r="U944" s="113"/>
      <c r="V944" s="113"/>
      <c r="W944" s="113"/>
      <c r="X944" s="113"/>
      <c r="Y944" s="113"/>
      <c r="Z944" s="113"/>
      <c r="AA944" s="113"/>
      <c r="AB944" s="113"/>
      <c r="AC944" s="113"/>
      <c r="AD944" s="113"/>
      <c r="AE944" s="113"/>
      <c r="AF944" s="113"/>
      <c r="AG944" s="113"/>
    </row>
    <row r="945" spans="1:33" ht="13.8">
      <c r="A945" s="113"/>
      <c r="B945" s="113"/>
      <c r="C945" s="113"/>
      <c r="D945" s="113"/>
      <c r="E945" s="113"/>
      <c r="F945" s="113"/>
      <c r="G945" s="113"/>
      <c r="H945" s="113"/>
      <c r="I945" s="113"/>
      <c r="J945" s="113"/>
      <c r="K945" s="113"/>
      <c r="L945" s="113"/>
      <c r="M945" s="113"/>
      <c r="N945" s="113"/>
      <c r="O945" s="113"/>
      <c r="P945" s="113"/>
      <c r="Q945" s="113"/>
      <c r="R945" s="113"/>
      <c r="S945" s="113"/>
      <c r="T945" s="113"/>
      <c r="U945" s="113"/>
      <c r="V945" s="113"/>
      <c r="W945" s="113"/>
      <c r="X945" s="113"/>
      <c r="Y945" s="113"/>
      <c r="Z945" s="113"/>
      <c r="AA945" s="113"/>
      <c r="AB945" s="113"/>
      <c r="AC945" s="113"/>
      <c r="AD945" s="113"/>
      <c r="AE945" s="113"/>
      <c r="AF945" s="113"/>
      <c r="AG945" s="113"/>
    </row>
    <row r="946" spans="1:33" ht="13.8">
      <c r="A946" s="113"/>
      <c r="B946" s="113"/>
      <c r="C946" s="113"/>
      <c r="D946" s="113"/>
      <c r="E946" s="113"/>
      <c r="F946" s="113"/>
      <c r="G946" s="113"/>
      <c r="H946" s="113"/>
      <c r="I946" s="113"/>
      <c r="J946" s="113"/>
      <c r="K946" s="113"/>
      <c r="L946" s="113"/>
      <c r="M946" s="113"/>
      <c r="N946" s="113"/>
      <c r="O946" s="113"/>
      <c r="P946" s="113"/>
      <c r="Q946" s="113"/>
      <c r="R946" s="113"/>
      <c r="S946" s="113"/>
      <c r="T946" s="113"/>
      <c r="U946" s="113"/>
      <c r="V946" s="113"/>
      <c r="W946" s="113"/>
      <c r="X946" s="113"/>
      <c r="Y946" s="113"/>
      <c r="Z946" s="113"/>
      <c r="AA946" s="113"/>
      <c r="AB946" s="113"/>
      <c r="AC946" s="113"/>
      <c r="AD946" s="113"/>
      <c r="AE946" s="113"/>
      <c r="AF946" s="113"/>
      <c r="AG946" s="113"/>
    </row>
    <row r="947" spans="1:33" ht="13.8">
      <c r="A947" s="113"/>
      <c r="B947" s="113"/>
      <c r="C947" s="113"/>
      <c r="D947" s="113"/>
      <c r="E947" s="113"/>
      <c r="F947" s="113"/>
      <c r="G947" s="113"/>
      <c r="H947" s="113"/>
      <c r="I947" s="113"/>
      <c r="J947" s="113"/>
      <c r="K947" s="113"/>
      <c r="L947" s="113"/>
      <c r="M947" s="113"/>
      <c r="N947" s="113"/>
      <c r="O947" s="113"/>
      <c r="P947" s="113"/>
      <c r="Q947" s="113"/>
      <c r="R947" s="113"/>
      <c r="S947" s="113"/>
      <c r="T947" s="113"/>
      <c r="U947" s="113"/>
      <c r="V947" s="113"/>
      <c r="W947" s="113"/>
      <c r="X947" s="113"/>
      <c r="Y947" s="113"/>
      <c r="Z947" s="113"/>
      <c r="AA947" s="113"/>
      <c r="AB947" s="113"/>
      <c r="AC947" s="113"/>
      <c r="AD947" s="113"/>
      <c r="AE947" s="113"/>
      <c r="AF947" s="113"/>
      <c r="AG947" s="113"/>
    </row>
    <row r="948" spans="1:33" ht="13.8">
      <c r="A948" s="113"/>
      <c r="B948" s="113"/>
      <c r="C948" s="113"/>
      <c r="D948" s="113"/>
      <c r="E948" s="113"/>
      <c r="F948" s="113"/>
      <c r="G948" s="113"/>
      <c r="H948" s="113"/>
      <c r="I948" s="113"/>
      <c r="J948" s="113"/>
      <c r="K948" s="113"/>
      <c r="L948" s="113"/>
      <c r="M948" s="113"/>
      <c r="N948" s="113"/>
      <c r="O948" s="113"/>
      <c r="P948" s="113"/>
      <c r="Q948" s="113"/>
      <c r="R948" s="113"/>
      <c r="S948" s="113"/>
      <c r="T948" s="113"/>
      <c r="U948" s="113"/>
      <c r="V948" s="113"/>
      <c r="W948" s="113"/>
      <c r="X948" s="113"/>
      <c r="Y948" s="113"/>
      <c r="Z948" s="113"/>
      <c r="AA948" s="113"/>
      <c r="AB948" s="113"/>
      <c r="AC948" s="113"/>
      <c r="AD948" s="113"/>
      <c r="AE948" s="113"/>
      <c r="AF948" s="113"/>
      <c r="AG948" s="113"/>
    </row>
    <row r="949" spans="1:33" ht="13.8">
      <c r="A949" s="113"/>
      <c r="B949" s="113"/>
      <c r="C949" s="113"/>
      <c r="D949" s="113"/>
      <c r="E949" s="113"/>
      <c r="F949" s="113"/>
      <c r="G949" s="113"/>
      <c r="H949" s="113"/>
      <c r="I949" s="113"/>
      <c r="J949" s="113"/>
      <c r="K949" s="113"/>
      <c r="L949" s="113"/>
      <c r="M949" s="113"/>
      <c r="N949" s="113"/>
      <c r="O949" s="113"/>
      <c r="P949" s="113"/>
      <c r="Q949" s="113"/>
      <c r="R949" s="113"/>
      <c r="S949" s="113"/>
      <c r="T949" s="113"/>
      <c r="U949" s="113"/>
      <c r="V949" s="113"/>
      <c r="W949" s="113"/>
      <c r="X949" s="113"/>
      <c r="Y949" s="113"/>
      <c r="Z949" s="113"/>
      <c r="AA949" s="113"/>
      <c r="AB949" s="113"/>
      <c r="AC949" s="113"/>
      <c r="AD949" s="113"/>
      <c r="AE949" s="113"/>
      <c r="AF949" s="113"/>
      <c r="AG949" s="113"/>
    </row>
    <row r="950" spans="1:33" ht="13.8">
      <c r="A950" s="113"/>
      <c r="B950" s="113"/>
      <c r="C950" s="113"/>
      <c r="D950" s="113"/>
      <c r="E950" s="113"/>
      <c r="F950" s="113"/>
      <c r="G950" s="113"/>
      <c r="H950" s="113"/>
      <c r="I950" s="113"/>
      <c r="J950" s="113"/>
      <c r="K950" s="113"/>
      <c r="L950" s="113"/>
      <c r="M950" s="113"/>
      <c r="N950" s="113"/>
      <c r="O950" s="113"/>
      <c r="P950" s="113"/>
      <c r="Q950" s="113"/>
      <c r="R950" s="113"/>
      <c r="S950" s="113"/>
      <c r="T950" s="113"/>
      <c r="U950" s="113"/>
      <c r="V950" s="113"/>
      <c r="W950" s="113"/>
      <c r="X950" s="113"/>
      <c r="Y950" s="113"/>
      <c r="Z950" s="113"/>
      <c r="AA950" s="113"/>
      <c r="AB950" s="113"/>
      <c r="AC950" s="113"/>
      <c r="AD950" s="113"/>
      <c r="AE950" s="113"/>
      <c r="AF950" s="113"/>
      <c r="AG950" s="113"/>
    </row>
    <row r="951" spans="1:33" ht="13.8">
      <c r="A951" s="113"/>
      <c r="B951" s="113"/>
      <c r="C951" s="113"/>
      <c r="D951" s="113"/>
      <c r="E951" s="113"/>
      <c r="F951" s="113"/>
      <c r="G951" s="113"/>
      <c r="H951" s="113"/>
      <c r="I951" s="113"/>
      <c r="J951" s="113"/>
      <c r="K951" s="113"/>
      <c r="L951" s="113"/>
      <c r="M951" s="113"/>
      <c r="N951" s="113"/>
      <c r="O951" s="113"/>
      <c r="P951" s="113"/>
      <c r="Q951" s="113"/>
      <c r="R951" s="113"/>
      <c r="S951" s="113"/>
      <c r="T951" s="113"/>
      <c r="U951" s="113"/>
      <c r="V951" s="113"/>
      <c r="W951" s="113"/>
      <c r="X951" s="113"/>
      <c r="Y951" s="113"/>
      <c r="Z951" s="113"/>
      <c r="AA951" s="113"/>
      <c r="AB951" s="113"/>
      <c r="AC951" s="113"/>
      <c r="AD951" s="113"/>
      <c r="AE951" s="113"/>
      <c r="AF951" s="113"/>
      <c r="AG951" s="113"/>
    </row>
    <row r="952" spans="1:33" ht="13.8">
      <c r="A952" s="113"/>
      <c r="B952" s="113"/>
      <c r="C952" s="113"/>
      <c r="D952" s="113"/>
      <c r="E952" s="113"/>
      <c r="F952" s="113"/>
      <c r="G952" s="113"/>
      <c r="H952" s="113"/>
      <c r="I952" s="113"/>
      <c r="J952" s="113"/>
      <c r="K952" s="113"/>
      <c r="L952" s="113"/>
      <c r="M952" s="113"/>
      <c r="N952" s="113"/>
      <c r="O952" s="113"/>
      <c r="P952" s="113"/>
      <c r="Q952" s="113"/>
      <c r="R952" s="113"/>
      <c r="S952" s="113"/>
      <c r="T952" s="113"/>
      <c r="U952" s="113"/>
      <c r="V952" s="113"/>
      <c r="W952" s="113"/>
      <c r="X952" s="113"/>
      <c r="Y952" s="113"/>
      <c r="Z952" s="113"/>
      <c r="AA952" s="113"/>
      <c r="AB952" s="113"/>
      <c r="AC952" s="113"/>
      <c r="AD952" s="113"/>
      <c r="AE952" s="113"/>
      <c r="AF952" s="113"/>
      <c r="AG952" s="113"/>
    </row>
    <row r="953" spans="1:33" ht="13.8">
      <c r="A953" s="113"/>
      <c r="B953" s="113"/>
      <c r="C953" s="113"/>
      <c r="D953" s="113"/>
      <c r="E953" s="113"/>
      <c r="F953" s="113"/>
      <c r="G953" s="113"/>
      <c r="H953" s="113"/>
      <c r="I953" s="113"/>
      <c r="J953" s="113"/>
      <c r="K953" s="113"/>
      <c r="L953" s="113"/>
      <c r="M953" s="113"/>
      <c r="N953" s="113"/>
      <c r="O953" s="113"/>
      <c r="P953" s="113"/>
      <c r="Q953" s="113"/>
      <c r="R953" s="113"/>
      <c r="S953" s="113"/>
      <c r="T953" s="113"/>
      <c r="U953" s="113"/>
      <c r="V953" s="113"/>
      <c r="W953" s="113"/>
      <c r="X953" s="113"/>
      <c r="Y953" s="113"/>
      <c r="Z953" s="113"/>
      <c r="AA953" s="113"/>
      <c r="AB953" s="113"/>
      <c r="AC953" s="113"/>
      <c r="AD953" s="113"/>
      <c r="AE953" s="113"/>
      <c r="AF953" s="113"/>
      <c r="AG953" s="113"/>
    </row>
    <row r="954" spans="1:33" ht="13.8">
      <c r="A954" s="113"/>
      <c r="B954" s="113"/>
      <c r="C954" s="113"/>
      <c r="D954" s="113"/>
      <c r="E954" s="113"/>
      <c r="F954" s="113"/>
      <c r="G954" s="113"/>
      <c r="H954" s="113"/>
      <c r="I954" s="113"/>
      <c r="J954" s="113"/>
      <c r="K954" s="113"/>
      <c r="L954" s="113"/>
      <c r="M954" s="113"/>
      <c r="N954" s="113"/>
      <c r="O954" s="113"/>
      <c r="P954" s="113"/>
      <c r="Q954" s="113"/>
      <c r="R954" s="113"/>
      <c r="S954" s="113"/>
      <c r="T954" s="113"/>
      <c r="U954" s="113"/>
      <c r="V954" s="113"/>
      <c r="W954" s="113"/>
      <c r="X954" s="113"/>
      <c r="Y954" s="113"/>
      <c r="Z954" s="113"/>
      <c r="AA954" s="113"/>
      <c r="AB954" s="113"/>
      <c r="AC954" s="113"/>
      <c r="AD954" s="113"/>
      <c r="AE954" s="113"/>
      <c r="AF954" s="113"/>
      <c r="AG954" s="113"/>
    </row>
    <row r="955" spans="1:33" ht="13.8">
      <c r="A955" s="113"/>
      <c r="B955" s="113"/>
      <c r="C955" s="113"/>
      <c r="D955" s="113"/>
      <c r="E955" s="113"/>
      <c r="F955" s="113"/>
      <c r="G955" s="113"/>
      <c r="H955" s="113"/>
      <c r="I955" s="113"/>
      <c r="J955" s="113"/>
      <c r="K955" s="113"/>
      <c r="L955" s="113"/>
      <c r="M955" s="113"/>
      <c r="N955" s="113"/>
      <c r="O955" s="113"/>
      <c r="P955" s="113"/>
      <c r="Q955" s="113"/>
      <c r="R955" s="113"/>
      <c r="S955" s="113"/>
      <c r="T955" s="113"/>
      <c r="U955" s="113"/>
      <c r="V955" s="113"/>
      <c r="W955" s="113"/>
      <c r="X955" s="113"/>
      <c r="Y955" s="113"/>
      <c r="Z955" s="113"/>
      <c r="AA955" s="113"/>
      <c r="AB955" s="113"/>
      <c r="AC955" s="113"/>
      <c r="AD955" s="113"/>
      <c r="AE955" s="113"/>
      <c r="AF955" s="113"/>
      <c r="AG955" s="113"/>
    </row>
    <row r="956" spans="1:33" ht="13.8">
      <c r="A956" s="113"/>
      <c r="B956" s="113"/>
      <c r="C956" s="113"/>
      <c r="D956" s="113"/>
      <c r="E956" s="113"/>
      <c r="F956" s="113"/>
      <c r="G956" s="113"/>
      <c r="H956" s="113"/>
      <c r="I956" s="113"/>
      <c r="J956" s="113"/>
      <c r="K956" s="113"/>
      <c r="L956" s="113"/>
      <c r="M956" s="113"/>
      <c r="N956" s="113"/>
      <c r="O956" s="113"/>
      <c r="P956" s="113"/>
      <c r="Q956" s="113"/>
      <c r="R956" s="113"/>
      <c r="S956" s="113"/>
      <c r="T956" s="113"/>
      <c r="U956" s="113"/>
      <c r="V956" s="113"/>
      <c r="W956" s="113"/>
      <c r="X956" s="113"/>
      <c r="Y956" s="113"/>
      <c r="Z956" s="113"/>
      <c r="AA956" s="113"/>
      <c r="AB956" s="113"/>
      <c r="AC956" s="113"/>
      <c r="AD956" s="113"/>
      <c r="AE956" s="113"/>
      <c r="AF956" s="113"/>
      <c r="AG956" s="113"/>
    </row>
    <row r="957" spans="1:33" ht="13.8">
      <c r="A957" s="113"/>
      <c r="B957" s="113"/>
      <c r="C957" s="113"/>
      <c r="D957" s="113"/>
      <c r="E957" s="113"/>
      <c r="F957" s="113"/>
      <c r="G957" s="113"/>
      <c r="H957" s="113"/>
      <c r="I957" s="113"/>
      <c r="J957" s="113"/>
      <c r="K957" s="113"/>
      <c r="L957" s="113"/>
      <c r="M957" s="113"/>
      <c r="N957" s="113"/>
      <c r="O957" s="113"/>
      <c r="P957" s="113"/>
      <c r="Q957" s="113"/>
      <c r="R957" s="113"/>
      <c r="S957" s="113"/>
      <c r="T957" s="113"/>
      <c r="U957" s="113"/>
      <c r="V957" s="113"/>
      <c r="W957" s="113"/>
      <c r="X957" s="113"/>
      <c r="Y957" s="113"/>
      <c r="Z957" s="113"/>
      <c r="AA957" s="113"/>
      <c r="AB957" s="113"/>
      <c r="AC957" s="113"/>
      <c r="AD957" s="113"/>
      <c r="AE957" s="113"/>
      <c r="AF957" s="113"/>
      <c r="AG957" s="113"/>
    </row>
    <row r="958" spans="1:33" ht="13.8">
      <c r="A958" s="113"/>
      <c r="B958" s="113"/>
      <c r="C958" s="113"/>
      <c r="D958" s="113"/>
      <c r="E958" s="113"/>
      <c r="F958" s="113"/>
      <c r="G958" s="113"/>
      <c r="H958" s="113"/>
      <c r="I958" s="113"/>
      <c r="J958" s="113"/>
      <c r="K958" s="113"/>
      <c r="L958" s="113"/>
      <c r="M958" s="113"/>
      <c r="N958" s="113"/>
      <c r="O958" s="113"/>
      <c r="P958" s="113"/>
      <c r="Q958" s="113"/>
      <c r="R958" s="113"/>
      <c r="S958" s="113"/>
      <c r="T958" s="113"/>
      <c r="U958" s="113"/>
      <c r="V958" s="113"/>
      <c r="W958" s="113"/>
      <c r="X958" s="113"/>
      <c r="Y958" s="113"/>
      <c r="Z958" s="113"/>
      <c r="AA958" s="113"/>
      <c r="AB958" s="113"/>
      <c r="AC958" s="113"/>
      <c r="AD958" s="113"/>
      <c r="AE958" s="113"/>
      <c r="AF958" s="113"/>
      <c r="AG958" s="113"/>
    </row>
    <row r="959" spans="1:33" ht="13.8">
      <c r="A959" s="113"/>
      <c r="B959" s="113"/>
      <c r="C959" s="113"/>
      <c r="D959" s="113"/>
      <c r="E959" s="113"/>
      <c r="F959" s="113"/>
      <c r="G959" s="113"/>
      <c r="H959" s="113"/>
      <c r="I959" s="113"/>
      <c r="J959" s="113"/>
      <c r="K959" s="113"/>
      <c r="L959" s="113"/>
      <c r="M959" s="113"/>
      <c r="N959" s="113"/>
      <c r="O959" s="113"/>
      <c r="P959" s="113"/>
      <c r="Q959" s="113"/>
      <c r="R959" s="113"/>
      <c r="S959" s="113"/>
      <c r="T959" s="113"/>
      <c r="U959" s="113"/>
      <c r="V959" s="113"/>
      <c r="W959" s="113"/>
      <c r="X959" s="113"/>
      <c r="Y959" s="113"/>
      <c r="Z959" s="113"/>
      <c r="AA959" s="113"/>
      <c r="AB959" s="113"/>
      <c r="AC959" s="113"/>
      <c r="AD959" s="113"/>
      <c r="AE959" s="113"/>
      <c r="AF959" s="113"/>
      <c r="AG959" s="113"/>
    </row>
    <row r="960" spans="1:33" ht="13.8">
      <c r="A960" s="113"/>
      <c r="B960" s="113"/>
      <c r="C960" s="113"/>
      <c r="D960" s="113"/>
      <c r="E960" s="113"/>
      <c r="F960" s="113"/>
      <c r="G960" s="113"/>
      <c r="H960" s="113"/>
      <c r="I960" s="113"/>
      <c r="J960" s="113"/>
      <c r="K960" s="113"/>
      <c r="L960" s="113"/>
      <c r="M960" s="113"/>
      <c r="N960" s="113"/>
      <c r="O960" s="113"/>
      <c r="P960" s="113"/>
      <c r="Q960" s="113"/>
      <c r="R960" s="113"/>
      <c r="S960" s="113"/>
      <c r="T960" s="113"/>
      <c r="U960" s="113"/>
      <c r="V960" s="113"/>
      <c r="W960" s="113"/>
      <c r="X960" s="113"/>
      <c r="Y960" s="113"/>
      <c r="Z960" s="113"/>
      <c r="AA960" s="113"/>
      <c r="AB960" s="113"/>
      <c r="AC960" s="113"/>
      <c r="AD960" s="113"/>
      <c r="AE960" s="113"/>
      <c r="AF960" s="113"/>
      <c r="AG960" s="113"/>
    </row>
    <row r="961" spans="1:33" ht="13.8">
      <c r="A961" s="113"/>
      <c r="B961" s="113"/>
      <c r="C961" s="113"/>
      <c r="D961" s="113"/>
      <c r="E961" s="113"/>
      <c r="F961" s="113"/>
      <c r="G961" s="113"/>
      <c r="H961" s="113"/>
      <c r="I961" s="113"/>
      <c r="J961" s="113"/>
      <c r="K961" s="113"/>
      <c r="L961" s="113"/>
      <c r="M961" s="113"/>
      <c r="N961" s="113"/>
      <c r="O961" s="113"/>
      <c r="P961" s="113"/>
      <c r="Q961" s="113"/>
      <c r="R961" s="113"/>
      <c r="S961" s="113"/>
      <c r="T961" s="113"/>
      <c r="U961" s="113"/>
      <c r="V961" s="113"/>
      <c r="W961" s="113"/>
      <c r="X961" s="113"/>
      <c r="Y961" s="113"/>
      <c r="Z961" s="113"/>
      <c r="AA961" s="113"/>
      <c r="AB961" s="113"/>
      <c r="AC961" s="113"/>
      <c r="AD961" s="113"/>
      <c r="AE961" s="113"/>
      <c r="AF961" s="113"/>
      <c r="AG961" s="113"/>
    </row>
    <row r="962" spans="1:33" ht="13.8">
      <c r="A962" s="113"/>
      <c r="B962" s="113"/>
      <c r="C962" s="113"/>
      <c r="D962" s="113"/>
      <c r="E962" s="113"/>
      <c r="F962" s="113"/>
      <c r="G962" s="113"/>
      <c r="H962" s="113"/>
      <c r="I962" s="113"/>
      <c r="J962" s="113"/>
      <c r="K962" s="113"/>
      <c r="L962" s="113"/>
      <c r="M962" s="113"/>
      <c r="N962" s="113"/>
      <c r="O962" s="113"/>
      <c r="P962" s="113"/>
      <c r="Q962" s="113"/>
      <c r="R962" s="113"/>
      <c r="S962" s="113"/>
      <c r="T962" s="113"/>
      <c r="U962" s="113"/>
      <c r="V962" s="113"/>
      <c r="W962" s="113"/>
      <c r="X962" s="113"/>
      <c r="Y962" s="113"/>
      <c r="Z962" s="113"/>
      <c r="AA962" s="113"/>
      <c r="AB962" s="113"/>
      <c r="AC962" s="113"/>
      <c r="AD962" s="113"/>
      <c r="AE962" s="113"/>
      <c r="AF962" s="113"/>
      <c r="AG962" s="113"/>
    </row>
    <row r="963" spans="1:33" ht="13.8">
      <c r="A963" s="113"/>
      <c r="B963" s="113"/>
      <c r="C963" s="113"/>
      <c r="D963" s="113"/>
      <c r="E963" s="113"/>
      <c r="F963" s="113"/>
      <c r="G963" s="113"/>
      <c r="H963" s="113"/>
      <c r="I963" s="113"/>
      <c r="J963" s="113"/>
      <c r="K963" s="113"/>
      <c r="L963" s="113"/>
      <c r="M963" s="113"/>
      <c r="N963" s="113"/>
      <c r="O963" s="113"/>
      <c r="P963" s="113"/>
      <c r="Q963" s="113"/>
      <c r="R963" s="113"/>
      <c r="S963" s="113"/>
      <c r="T963" s="113"/>
      <c r="U963" s="113"/>
      <c r="V963" s="113"/>
      <c r="W963" s="113"/>
      <c r="X963" s="113"/>
      <c r="Y963" s="113"/>
      <c r="Z963" s="113"/>
      <c r="AA963" s="113"/>
      <c r="AB963" s="113"/>
      <c r="AC963" s="113"/>
      <c r="AD963" s="113"/>
      <c r="AE963" s="113"/>
      <c r="AF963" s="113"/>
      <c r="AG963" s="113"/>
    </row>
    <row r="964" spans="1:33" ht="13.8">
      <c r="A964" s="113"/>
      <c r="B964" s="113"/>
      <c r="C964" s="113"/>
      <c r="D964" s="113"/>
      <c r="E964" s="113"/>
      <c r="F964" s="113"/>
      <c r="G964" s="113"/>
      <c r="H964" s="113"/>
      <c r="I964" s="113"/>
      <c r="J964" s="113"/>
      <c r="K964" s="113"/>
      <c r="L964" s="113"/>
      <c r="M964" s="113"/>
      <c r="N964" s="113"/>
      <c r="O964" s="113"/>
      <c r="P964" s="113"/>
      <c r="Q964" s="113"/>
      <c r="R964" s="113"/>
      <c r="S964" s="113"/>
      <c r="T964" s="113"/>
      <c r="U964" s="113"/>
      <c r="V964" s="113"/>
      <c r="W964" s="113"/>
      <c r="X964" s="113"/>
      <c r="Y964" s="113"/>
      <c r="Z964" s="113"/>
      <c r="AA964" s="113"/>
      <c r="AB964" s="113"/>
      <c r="AC964" s="113"/>
      <c r="AD964" s="113"/>
      <c r="AE964" s="113"/>
      <c r="AF964" s="113"/>
      <c r="AG964" s="113"/>
    </row>
    <row r="965" spans="1:33" ht="13.8">
      <c r="A965" s="113"/>
      <c r="B965" s="113"/>
      <c r="C965" s="113"/>
      <c r="D965" s="113"/>
      <c r="E965" s="113"/>
      <c r="F965" s="113"/>
      <c r="G965" s="113"/>
      <c r="H965" s="113"/>
      <c r="I965" s="113"/>
      <c r="J965" s="113"/>
      <c r="K965" s="113"/>
      <c r="L965" s="113"/>
      <c r="M965" s="113"/>
      <c r="N965" s="113"/>
      <c r="O965" s="113"/>
      <c r="P965" s="113"/>
      <c r="Q965" s="113"/>
      <c r="R965" s="113"/>
      <c r="S965" s="113"/>
      <c r="T965" s="113"/>
      <c r="U965" s="113"/>
      <c r="V965" s="113"/>
      <c r="W965" s="113"/>
      <c r="X965" s="113"/>
      <c r="Y965" s="113"/>
      <c r="Z965" s="113"/>
      <c r="AA965" s="113"/>
      <c r="AB965" s="113"/>
      <c r="AC965" s="113"/>
      <c r="AD965" s="113"/>
      <c r="AE965" s="113"/>
      <c r="AF965" s="113"/>
      <c r="AG965" s="113"/>
    </row>
    <row r="966" spans="1:33" ht="13.8">
      <c r="A966" s="113"/>
      <c r="B966" s="113"/>
      <c r="C966" s="113"/>
      <c r="D966" s="113"/>
      <c r="E966" s="113"/>
      <c r="F966" s="113"/>
      <c r="G966" s="113"/>
      <c r="H966" s="113"/>
      <c r="I966" s="113"/>
      <c r="J966" s="113"/>
      <c r="K966" s="113"/>
      <c r="L966" s="113"/>
      <c r="M966" s="113"/>
      <c r="N966" s="113"/>
      <c r="O966" s="113"/>
      <c r="P966" s="113"/>
      <c r="Q966" s="113"/>
      <c r="R966" s="113"/>
      <c r="S966" s="113"/>
      <c r="T966" s="113"/>
      <c r="U966" s="113"/>
      <c r="V966" s="113"/>
      <c r="W966" s="113"/>
      <c r="X966" s="113"/>
      <c r="Y966" s="113"/>
      <c r="Z966" s="113"/>
      <c r="AA966" s="113"/>
      <c r="AB966" s="113"/>
      <c r="AC966" s="113"/>
      <c r="AD966" s="113"/>
      <c r="AE966" s="113"/>
      <c r="AF966" s="113"/>
      <c r="AG966" s="113"/>
    </row>
    <row r="967" spans="1:33" ht="13.8">
      <c r="A967" s="113"/>
      <c r="B967" s="113"/>
      <c r="C967" s="113"/>
      <c r="D967" s="113"/>
      <c r="E967" s="113"/>
      <c r="F967" s="113"/>
      <c r="G967" s="113"/>
      <c r="H967" s="113"/>
      <c r="I967" s="113"/>
      <c r="J967" s="113"/>
      <c r="K967" s="113"/>
      <c r="L967" s="113"/>
      <c r="M967" s="113"/>
      <c r="N967" s="113"/>
      <c r="O967" s="113"/>
      <c r="P967" s="113"/>
      <c r="Q967" s="113"/>
      <c r="R967" s="113"/>
      <c r="S967" s="113"/>
      <c r="T967" s="113"/>
      <c r="U967" s="113"/>
      <c r="V967" s="113"/>
      <c r="W967" s="113"/>
      <c r="X967" s="113"/>
      <c r="Y967" s="113"/>
      <c r="Z967" s="113"/>
      <c r="AA967" s="113"/>
      <c r="AB967" s="113"/>
      <c r="AC967" s="113"/>
      <c r="AD967" s="113"/>
      <c r="AE967" s="113"/>
      <c r="AF967" s="113"/>
      <c r="AG967" s="113"/>
    </row>
    <row r="968" spans="1:33" ht="13.8">
      <c r="A968" s="113"/>
      <c r="B968" s="113"/>
      <c r="C968" s="113"/>
      <c r="D968" s="113"/>
      <c r="E968" s="113"/>
      <c r="F968" s="113"/>
      <c r="G968" s="113"/>
      <c r="H968" s="113"/>
      <c r="I968" s="113"/>
      <c r="J968" s="113"/>
      <c r="K968" s="113"/>
      <c r="L968" s="113"/>
      <c r="M968" s="113"/>
      <c r="N968" s="113"/>
      <c r="O968" s="113"/>
      <c r="P968" s="113"/>
      <c r="Q968" s="113"/>
      <c r="R968" s="113"/>
      <c r="S968" s="113"/>
      <c r="T968" s="113"/>
      <c r="U968" s="113"/>
      <c r="V968" s="113"/>
      <c r="W968" s="113"/>
      <c r="X968" s="113"/>
      <c r="Y968" s="113"/>
      <c r="Z968" s="113"/>
      <c r="AA968" s="113"/>
      <c r="AB968" s="113"/>
      <c r="AC968" s="113"/>
      <c r="AD968" s="113"/>
      <c r="AE968" s="113"/>
      <c r="AF968" s="113"/>
      <c r="AG968" s="113"/>
    </row>
    <row r="969" spans="1:33" ht="13.8">
      <c r="A969" s="113"/>
      <c r="B969" s="113"/>
      <c r="C969" s="113"/>
      <c r="D969" s="113"/>
      <c r="E969" s="113"/>
      <c r="F969" s="113"/>
      <c r="G969" s="113"/>
      <c r="H969" s="113"/>
      <c r="I969" s="113"/>
      <c r="J969" s="113"/>
      <c r="K969" s="113"/>
      <c r="L969" s="113"/>
      <c r="M969" s="113"/>
      <c r="N969" s="113"/>
      <c r="O969" s="113"/>
      <c r="P969" s="113"/>
      <c r="Q969" s="113"/>
      <c r="R969" s="113"/>
      <c r="S969" s="113"/>
      <c r="T969" s="113"/>
      <c r="U969" s="113"/>
      <c r="V969" s="113"/>
      <c r="W969" s="113"/>
      <c r="X969" s="113"/>
      <c r="Y969" s="113"/>
      <c r="Z969" s="113"/>
      <c r="AA969" s="113"/>
      <c r="AB969" s="113"/>
      <c r="AC969" s="113"/>
      <c r="AD969" s="113"/>
      <c r="AE969" s="113"/>
      <c r="AF969" s="113"/>
      <c r="AG969" s="113"/>
    </row>
    <row r="970" spans="1:33" ht="13.8">
      <c r="A970" s="113"/>
      <c r="B970" s="113"/>
      <c r="C970" s="113"/>
      <c r="D970" s="113"/>
      <c r="E970" s="113"/>
      <c r="F970" s="113"/>
      <c r="G970" s="113"/>
      <c r="H970" s="113"/>
      <c r="I970" s="113"/>
      <c r="J970" s="113"/>
      <c r="K970" s="113"/>
      <c r="L970" s="113"/>
      <c r="M970" s="113"/>
      <c r="N970" s="113"/>
      <c r="O970" s="113"/>
      <c r="P970" s="113"/>
      <c r="Q970" s="113"/>
      <c r="R970" s="113"/>
      <c r="S970" s="113"/>
      <c r="T970" s="113"/>
      <c r="U970" s="113"/>
      <c r="V970" s="113"/>
      <c r="W970" s="113"/>
      <c r="X970" s="113"/>
      <c r="Y970" s="113"/>
      <c r="Z970" s="113"/>
      <c r="AA970" s="113"/>
      <c r="AB970" s="113"/>
      <c r="AC970" s="113"/>
      <c r="AD970" s="113"/>
      <c r="AE970" s="113"/>
      <c r="AF970" s="113"/>
      <c r="AG970" s="113"/>
    </row>
    <row r="971" spans="1:33" ht="13.8">
      <c r="A971" s="113"/>
      <c r="B971" s="113"/>
      <c r="C971" s="113"/>
      <c r="D971" s="113"/>
      <c r="E971" s="113"/>
      <c r="F971" s="113"/>
      <c r="G971" s="113"/>
      <c r="H971" s="113"/>
      <c r="I971" s="113"/>
      <c r="J971" s="113"/>
      <c r="K971" s="113"/>
      <c r="L971" s="113"/>
      <c r="M971" s="113"/>
      <c r="N971" s="113"/>
      <c r="O971" s="113"/>
      <c r="P971" s="113"/>
      <c r="Q971" s="113"/>
      <c r="R971" s="113"/>
      <c r="S971" s="113"/>
      <c r="T971" s="113"/>
      <c r="U971" s="113"/>
      <c r="V971" s="113"/>
      <c r="W971" s="113"/>
      <c r="X971" s="113"/>
      <c r="Y971" s="113"/>
      <c r="Z971" s="113"/>
      <c r="AA971" s="113"/>
      <c r="AB971" s="113"/>
      <c r="AC971" s="113"/>
      <c r="AD971" s="113"/>
      <c r="AE971" s="113"/>
      <c r="AF971" s="113"/>
      <c r="AG971" s="113"/>
    </row>
    <row r="972" spans="1:33" ht="13.8">
      <c r="A972" s="113"/>
      <c r="B972" s="113"/>
      <c r="C972" s="113"/>
      <c r="D972" s="113"/>
      <c r="E972" s="113"/>
      <c r="F972" s="113"/>
      <c r="G972" s="113"/>
      <c r="H972" s="113"/>
      <c r="I972" s="113"/>
      <c r="J972" s="113"/>
      <c r="K972" s="113"/>
      <c r="L972" s="113"/>
      <c r="M972" s="113"/>
      <c r="N972" s="113"/>
      <c r="O972" s="113"/>
      <c r="P972" s="113"/>
      <c r="Q972" s="113"/>
      <c r="R972" s="113"/>
      <c r="S972" s="113"/>
      <c r="T972" s="113"/>
      <c r="U972" s="113"/>
      <c r="V972" s="113"/>
      <c r="W972" s="113"/>
      <c r="X972" s="113"/>
      <c r="Y972" s="113"/>
      <c r="Z972" s="113"/>
      <c r="AA972" s="113"/>
      <c r="AB972" s="113"/>
      <c r="AC972" s="113"/>
      <c r="AD972" s="113"/>
      <c r="AE972" s="113"/>
      <c r="AF972" s="113"/>
      <c r="AG972" s="113"/>
    </row>
    <row r="973" spans="1:33" ht="13.8">
      <c r="A973" s="113"/>
      <c r="B973" s="113"/>
      <c r="C973" s="113"/>
      <c r="D973" s="113"/>
      <c r="E973" s="113"/>
      <c r="F973" s="113"/>
      <c r="G973" s="113"/>
      <c r="H973" s="113"/>
      <c r="I973" s="113"/>
      <c r="J973" s="113"/>
      <c r="K973" s="113"/>
      <c r="L973" s="113"/>
      <c r="M973" s="113"/>
      <c r="N973" s="113"/>
      <c r="O973" s="113"/>
      <c r="P973" s="113"/>
      <c r="Q973" s="113"/>
      <c r="R973" s="113"/>
      <c r="S973" s="113"/>
      <c r="T973" s="113"/>
      <c r="U973" s="113"/>
      <c r="V973" s="113"/>
      <c r="W973" s="113"/>
      <c r="X973" s="113"/>
      <c r="Y973" s="113"/>
      <c r="Z973" s="113"/>
      <c r="AA973" s="113"/>
      <c r="AB973" s="113"/>
      <c r="AC973" s="113"/>
      <c r="AD973" s="113"/>
      <c r="AE973" s="113"/>
      <c r="AF973" s="113"/>
      <c r="AG973" s="113"/>
    </row>
    <row r="974" spans="1:33" ht="13.8">
      <c r="A974" s="113"/>
      <c r="B974" s="113"/>
      <c r="C974" s="113"/>
      <c r="D974" s="113"/>
      <c r="E974" s="113"/>
      <c r="F974" s="113"/>
      <c r="G974" s="113"/>
      <c r="H974" s="113"/>
      <c r="I974" s="113"/>
      <c r="J974" s="113"/>
      <c r="K974" s="113"/>
      <c r="L974" s="113"/>
      <c r="M974" s="113"/>
      <c r="N974" s="113"/>
      <c r="O974" s="113"/>
      <c r="P974" s="113"/>
      <c r="Q974" s="113"/>
      <c r="R974" s="113"/>
      <c r="S974" s="113"/>
      <c r="T974" s="113"/>
      <c r="U974" s="113"/>
      <c r="V974" s="113"/>
      <c r="W974" s="113"/>
      <c r="X974" s="113"/>
      <c r="Y974" s="113"/>
      <c r="Z974" s="113"/>
      <c r="AA974" s="113"/>
      <c r="AB974" s="113"/>
      <c r="AC974" s="113"/>
      <c r="AD974" s="113"/>
      <c r="AE974" s="113"/>
      <c r="AF974" s="113"/>
      <c r="AG974" s="113"/>
    </row>
    <row r="975" spans="1:33" ht="13.8">
      <c r="A975" s="113"/>
      <c r="B975" s="113"/>
      <c r="C975" s="113"/>
      <c r="D975" s="113"/>
      <c r="E975" s="113"/>
      <c r="F975" s="113"/>
      <c r="G975" s="113"/>
      <c r="H975" s="113"/>
      <c r="I975" s="113"/>
      <c r="J975" s="113"/>
      <c r="K975" s="113"/>
      <c r="L975" s="113"/>
      <c r="M975" s="113"/>
      <c r="N975" s="113"/>
      <c r="O975" s="113"/>
      <c r="P975" s="113"/>
      <c r="Q975" s="113"/>
      <c r="R975" s="113"/>
      <c r="S975" s="113"/>
      <c r="T975" s="113"/>
      <c r="U975" s="113"/>
      <c r="V975" s="113"/>
      <c r="W975" s="113"/>
      <c r="X975" s="113"/>
      <c r="Y975" s="113"/>
      <c r="Z975" s="113"/>
      <c r="AA975" s="113"/>
      <c r="AB975" s="113"/>
      <c r="AC975" s="113"/>
      <c r="AD975" s="113"/>
      <c r="AE975" s="113"/>
      <c r="AF975" s="113"/>
      <c r="AG975" s="113"/>
    </row>
    <row r="976" spans="1:33" ht="13.8">
      <c r="A976" s="113"/>
      <c r="B976" s="113"/>
      <c r="C976" s="113"/>
      <c r="D976" s="113"/>
      <c r="E976" s="113"/>
      <c r="F976" s="113"/>
      <c r="G976" s="113"/>
      <c r="H976" s="113"/>
      <c r="I976" s="113"/>
      <c r="J976" s="113"/>
      <c r="K976" s="113"/>
      <c r="L976" s="113"/>
      <c r="M976" s="113"/>
      <c r="N976" s="113"/>
      <c r="O976" s="113"/>
      <c r="P976" s="113"/>
      <c r="Q976" s="113"/>
      <c r="R976" s="113"/>
      <c r="S976" s="113"/>
      <c r="T976" s="113"/>
      <c r="U976" s="113"/>
      <c r="V976" s="113"/>
      <c r="W976" s="113"/>
      <c r="X976" s="113"/>
      <c r="Y976" s="113"/>
      <c r="Z976" s="113"/>
      <c r="AA976" s="113"/>
      <c r="AB976" s="113"/>
      <c r="AC976" s="113"/>
      <c r="AD976" s="113"/>
      <c r="AE976" s="113"/>
      <c r="AF976" s="113"/>
      <c r="AG976" s="113"/>
    </row>
    <row r="977" spans="1:33" ht="13.8">
      <c r="A977" s="113"/>
      <c r="B977" s="113"/>
      <c r="C977" s="113"/>
      <c r="D977" s="113"/>
      <c r="E977" s="113"/>
      <c r="F977" s="113"/>
      <c r="G977" s="113"/>
      <c r="H977" s="113"/>
      <c r="I977" s="113"/>
      <c r="J977" s="113"/>
      <c r="K977" s="113"/>
      <c r="L977" s="113"/>
      <c r="M977" s="113"/>
      <c r="N977" s="113"/>
      <c r="O977" s="113"/>
      <c r="P977" s="113"/>
      <c r="Q977" s="113"/>
      <c r="R977" s="113"/>
      <c r="S977" s="113"/>
      <c r="T977" s="113"/>
      <c r="U977" s="113"/>
      <c r="V977" s="113"/>
      <c r="W977" s="113"/>
      <c r="X977" s="113"/>
      <c r="Y977" s="113"/>
      <c r="Z977" s="113"/>
      <c r="AA977" s="113"/>
      <c r="AB977" s="113"/>
      <c r="AC977" s="113"/>
      <c r="AD977" s="113"/>
      <c r="AE977" s="113"/>
      <c r="AF977" s="113"/>
      <c r="AG977" s="113"/>
    </row>
    <row r="978" spans="1:33" ht="13.8">
      <c r="A978" s="113"/>
      <c r="B978" s="113"/>
      <c r="C978" s="113"/>
      <c r="D978" s="113"/>
      <c r="E978" s="113"/>
      <c r="F978" s="113"/>
      <c r="G978" s="113"/>
      <c r="H978" s="113"/>
      <c r="I978" s="113"/>
      <c r="J978" s="113"/>
      <c r="K978" s="113"/>
      <c r="L978" s="113"/>
      <c r="M978" s="113"/>
      <c r="N978" s="113"/>
      <c r="O978" s="113"/>
      <c r="P978" s="113"/>
      <c r="Q978" s="113"/>
      <c r="R978" s="113"/>
      <c r="S978" s="113"/>
      <c r="T978" s="113"/>
      <c r="U978" s="113"/>
      <c r="V978" s="113"/>
      <c r="W978" s="113"/>
      <c r="X978" s="113"/>
      <c r="Y978" s="113"/>
      <c r="Z978" s="113"/>
      <c r="AA978" s="113"/>
      <c r="AB978" s="113"/>
      <c r="AC978" s="113"/>
      <c r="AD978" s="113"/>
      <c r="AE978" s="113"/>
      <c r="AF978" s="113"/>
      <c r="AG978" s="113"/>
    </row>
    <row r="979" spans="1:33" ht="13.8">
      <c r="A979" s="113"/>
      <c r="B979" s="113"/>
      <c r="C979" s="113"/>
      <c r="D979" s="113"/>
      <c r="E979" s="113"/>
      <c r="F979" s="113"/>
      <c r="G979" s="113"/>
      <c r="H979" s="113"/>
      <c r="I979" s="113"/>
      <c r="J979" s="113"/>
      <c r="K979" s="113"/>
      <c r="L979" s="113"/>
      <c r="M979" s="113"/>
      <c r="N979" s="113"/>
      <c r="O979" s="113"/>
      <c r="P979" s="113"/>
      <c r="Q979" s="113"/>
      <c r="R979" s="113"/>
      <c r="S979" s="113"/>
      <c r="T979" s="113"/>
      <c r="U979" s="113"/>
      <c r="V979" s="113"/>
      <c r="W979" s="113"/>
      <c r="X979" s="113"/>
      <c r="Y979" s="113"/>
      <c r="Z979" s="113"/>
      <c r="AA979" s="113"/>
      <c r="AB979" s="113"/>
      <c r="AC979" s="113"/>
      <c r="AD979" s="113"/>
      <c r="AE979" s="113"/>
      <c r="AF979" s="113"/>
      <c r="AG979" s="113"/>
    </row>
    <row r="980" spans="1:33" ht="13.8">
      <c r="A980" s="113"/>
      <c r="B980" s="113"/>
      <c r="C980" s="113"/>
      <c r="D980" s="113"/>
      <c r="E980" s="113"/>
      <c r="F980" s="113"/>
      <c r="G980" s="113"/>
      <c r="H980" s="113"/>
      <c r="I980" s="113"/>
      <c r="J980" s="113"/>
      <c r="K980" s="113"/>
      <c r="L980" s="113"/>
      <c r="M980" s="113"/>
      <c r="N980" s="113"/>
      <c r="O980" s="113"/>
      <c r="P980" s="113"/>
      <c r="Q980" s="113"/>
      <c r="R980" s="113"/>
      <c r="S980" s="113"/>
      <c r="T980" s="113"/>
      <c r="U980" s="113"/>
      <c r="V980" s="113"/>
      <c r="W980" s="113"/>
      <c r="X980" s="113"/>
      <c r="Y980" s="113"/>
      <c r="Z980" s="113"/>
      <c r="AA980" s="113"/>
      <c r="AB980" s="113"/>
      <c r="AC980" s="113"/>
      <c r="AD980" s="113"/>
      <c r="AE980" s="113"/>
      <c r="AF980" s="113"/>
      <c r="AG980" s="113"/>
    </row>
    <row r="981" spans="1:33" ht="13.8">
      <c r="A981" s="113"/>
      <c r="B981" s="113"/>
      <c r="C981" s="113"/>
      <c r="D981" s="113"/>
      <c r="E981" s="113"/>
      <c r="F981" s="113"/>
      <c r="G981" s="113"/>
      <c r="H981" s="113"/>
      <c r="I981" s="113"/>
      <c r="J981" s="113"/>
      <c r="K981" s="113"/>
      <c r="L981" s="113"/>
      <c r="M981" s="113"/>
      <c r="N981" s="113"/>
      <c r="O981" s="113"/>
      <c r="P981" s="113"/>
      <c r="Q981" s="113"/>
      <c r="R981" s="113"/>
      <c r="S981" s="113"/>
      <c r="T981" s="113"/>
      <c r="U981" s="113"/>
      <c r="V981" s="113"/>
      <c r="W981" s="113"/>
      <c r="X981" s="113"/>
      <c r="Y981" s="113"/>
      <c r="Z981" s="113"/>
      <c r="AA981" s="113"/>
      <c r="AB981" s="113"/>
      <c r="AC981" s="113"/>
      <c r="AD981" s="113"/>
      <c r="AE981" s="113"/>
      <c r="AF981" s="113"/>
      <c r="AG981" s="113"/>
    </row>
    <row r="982" spans="1:33" ht="13.8">
      <c r="A982" s="113"/>
      <c r="B982" s="113"/>
      <c r="C982" s="113"/>
      <c r="D982" s="113"/>
      <c r="E982" s="113"/>
      <c r="F982" s="113"/>
      <c r="G982" s="113"/>
      <c r="H982" s="113"/>
      <c r="I982" s="113"/>
      <c r="J982" s="113"/>
      <c r="K982" s="113"/>
      <c r="L982" s="113"/>
      <c r="M982" s="113"/>
      <c r="N982" s="113"/>
      <c r="O982" s="113"/>
      <c r="P982" s="113"/>
      <c r="Q982" s="113"/>
      <c r="R982" s="113"/>
      <c r="S982" s="113"/>
      <c r="T982" s="113"/>
      <c r="U982" s="113"/>
      <c r="V982" s="113"/>
      <c r="W982" s="113"/>
      <c r="X982" s="113"/>
      <c r="Y982" s="113"/>
      <c r="Z982" s="113"/>
      <c r="AA982" s="113"/>
      <c r="AB982" s="113"/>
      <c r="AC982" s="113"/>
      <c r="AD982" s="113"/>
      <c r="AE982" s="113"/>
      <c r="AF982" s="113"/>
      <c r="AG982" s="113"/>
    </row>
    <row r="983" spans="1:33" ht="13.8">
      <c r="A983" s="113"/>
      <c r="B983" s="113"/>
      <c r="C983" s="113"/>
      <c r="D983" s="113"/>
      <c r="E983" s="113"/>
      <c r="F983" s="113"/>
      <c r="G983" s="113"/>
      <c r="H983" s="113"/>
      <c r="I983" s="113"/>
      <c r="J983" s="113"/>
      <c r="K983" s="113"/>
      <c r="L983" s="113"/>
      <c r="M983" s="113"/>
      <c r="N983" s="113"/>
      <c r="O983" s="113"/>
      <c r="P983" s="113"/>
      <c r="Q983" s="113"/>
      <c r="R983" s="113"/>
      <c r="S983" s="113"/>
      <c r="T983" s="113"/>
      <c r="U983" s="113"/>
      <c r="V983" s="113"/>
      <c r="W983" s="113"/>
      <c r="X983" s="113"/>
      <c r="Y983" s="113"/>
      <c r="Z983" s="113"/>
      <c r="AA983" s="113"/>
      <c r="AB983" s="113"/>
      <c r="AC983" s="113"/>
      <c r="AD983" s="113"/>
      <c r="AE983" s="113"/>
      <c r="AF983" s="113"/>
      <c r="AG983" s="113"/>
    </row>
    <row r="984" spans="1:33" ht="13.8">
      <c r="A984" s="113"/>
      <c r="B984" s="113"/>
      <c r="C984" s="113"/>
      <c r="D984" s="113"/>
      <c r="E984" s="113"/>
      <c r="F984" s="113"/>
      <c r="G984" s="113"/>
      <c r="H984" s="113"/>
      <c r="I984" s="113"/>
      <c r="J984" s="113"/>
      <c r="K984" s="113"/>
      <c r="L984" s="113"/>
      <c r="M984" s="113"/>
      <c r="N984" s="113"/>
      <c r="O984" s="113"/>
      <c r="P984" s="113"/>
      <c r="Q984" s="113"/>
      <c r="R984" s="113"/>
      <c r="S984" s="113"/>
      <c r="T984" s="113"/>
      <c r="U984" s="113"/>
      <c r="V984" s="113"/>
      <c r="W984" s="113"/>
      <c r="X984" s="113"/>
      <c r="Y984" s="113"/>
      <c r="Z984" s="113"/>
      <c r="AA984" s="113"/>
      <c r="AB984" s="113"/>
      <c r="AC984" s="113"/>
      <c r="AD984" s="113"/>
      <c r="AE984" s="113"/>
      <c r="AF984" s="113"/>
      <c r="AG984" s="113"/>
    </row>
    <row r="985" spans="1:33" ht="13.8">
      <c r="A985" s="113"/>
      <c r="B985" s="113"/>
      <c r="C985" s="113"/>
      <c r="D985" s="113"/>
      <c r="E985" s="113"/>
      <c r="F985" s="113"/>
      <c r="G985" s="113"/>
      <c r="H985" s="113"/>
      <c r="I985" s="113"/>
      <c r="J985" s="113"/>
      <c r="K985" s="113"/>
      <c r="L985" s="113"/>
      <c r="M985" s="113"/>
      <c r="N985" s="113"/>
      <c r="O985" s="113"/>
      <c r="P985" s="113"/>
      <c r="Q985" s="113"/>
      <c r="R985" s="113"/>
      <c r="S985" s="113"/>
      <c r="T985" s="113"/>
      <c r="U985" s="113"/>
      <c r="V985" s="113"/>
      <c r="W985" s="113"/>
      <c r="X985" s="113"/>
      <c r="Y985" s="113"/>
      <c r="Z985" s="113"/>
      <c r="AA985" s="113"/>
      <c r="AB985" s="113"/>
      <c r="AC985" s="113"/>
      <c r="AD985" s="113"/>
      <c r="AE985" s="113"/>
      <c r="AF985" s="113"/>
      <c r="AG985" s="113"/>
    </row>
    <row r="986" spans="1:33" ht="13.8">
      <c r="A986" s="113"/>
      <c r="B986" s="113"/>
      <c r="C986" s="113"/>
      <c r="D986" s="113"/>
      <c r="E986" s="113"/>
      <c r="F986" s="113"/>
      <c r="G986" s="113"/>
      <c r="H986" s="113"/>
      <c r="I986" s="113"/>
      <c r="J986" s="113"/>
      <c r="K986" s="113"/>
      <c r="L986" s="113"/>
      <c r="M986" s="113"/>
      <c r="N986" s="113"/>
      <c r="O986" s="113"/>
      <c r="P986" s="113"/>
      <c r="Q986" s="113"/>
      <c r="R986" s="113"/>
      <c r="S986" s="113"/>
      <c r="T986" s="113"/>
      <c r="U986" s="113"/>
      <c r="V986" s="113"/>
      <c r="W986" s="113"/>
      <c r="X986" s="113"/>
      <c r="Y986" s="113"/>
      <c r="Z986" s="113"/>
      <c r="AA986" s="113"/>
      <c r="AB986" s="113"/>
      <c r="AC986" s="113"/>
      <c r="AD986" s="113"/>
      <c r="AE986" s="113"/>
      <c r="AF986" s="113"/>
      <c r="AG986" s="113"/>
    </row>
    <row r="987" spans="1:33" ht="13.8">
      <c r="A987" s="113"/>
      <c r="B987" s="113"/>
      <c r="C987" s="113"/>
      <c r="D987" s="113"/>
      <c r="E987" s="113"/>
      <c r="F987" s="113"/>
      <c r="G987" s="113"/>
      <c r="H987" s="113"/>
      <c r="I987" s="113"/>
      <c r="J987" s="113"/>
      <c r="K987" s="113"/>
      <c r="L987" s="113"/>
      <c r="M987" s="113"/>
      <c r="N987" s="113"/>
      <c r="O987" s="113"/>
      <c r="P987" s="113"/>
      <c r="Q987" s="113"/>
      <c r="R987" s="113"/>
      <c r="S987" s="113"/>
      <c r="T987" s="113"/>
      <c r="U987" s="113"/>
      <c r="V987" s="113"/>
      <c r="W987" s="113"/>
      <c r="X987" s="113"/>
      <c r="Y987" s="113"/>
      <c r="Z987" s="113"/>
      <c r="AA987" s="113"/>
      <c r="AB987" s="113"/>
      <c r="AC987" s="113"/>
      <c r="AD987" s="113"/>
      <c r="AE987" s="113"/>
      <c r="AF987" s="113"/>
      <c r="AG987" s="113"/>
    </row>
    <row r="988" spans="1:33" ht="13.8">
      <c r="A988" s="113"/>
      <c r="B988" s="113"/>
      <c r="C988" s="113"/>
      <c r="D988" s="113"/>
      <c r="E988" s="113"/>
      <c r="F988" s="113"/>
      <c r="G988" s="113"/>
      <c r="H988" s="113"/>
      <c r="I988" s="113"/>
      <c r="J988" s="113"/>
      <c r="K988" s="113"/>
      <c r="L988" s="113"/>
      <c r="M988" s="113"/>
      <c r="N988" s="113"/>
      <c r="O988" s="113"/>
      <c r="P988" s="113"/>
      <c r="Q988" s="113"/>
      <c r="R988" s="113"/>
      <c r="S988" s="113"/>
      <c r="T988" s="113"/>
      <c r="U988" s="113"/>
      <c r="V988" s="113"/>
      <c r="W988" s="113"/>
      <c r="X988" s="113"/>
      <c r="Y988" s="113"/>
      <c r="Z988" s="113"/>
      <c r="AA988" s="113"/>
      <c r="AB988" s="113"/>
      <c r="AC988" s="113"/>
      <c r="AD988" s="113"/>
      <c r="AE988" s="113"/>
      <c r="AF988" s="113"/>
      <c r="AG988" s="113"/>
    </row>
    <row r="989" spans="1:33" ht="13.8">
      <c r="A989" s="113"/>
      <c r="B989" s="113"/>
      <c r="C989" s="113"/>
      <c r="D989" s="113"/>
      <c r="E989" s="113"/>
      <c r="F989" s="113"/>
      <c r="G989" s="113"/>
      <c r="H989" s="113"/>
      <c r="I989" s="113"/>
      <c r="J989" s="113"/>
      <c r="K989" s="113"/>
      <c r="L989" s="113"/>
      <c r="M989" s="113"/>
      <c r="N989" s="113"/>
      <c r="O989" s="113"/>
      <c r="P989" s="113"/>
      <c r="Q989" s="113"/>
      <c r="R989" s="113"/>
      <c r="S989" s="113"/>
      <c r="T989" s="113"/>
      <c r="U989" s="113"/>
      <c r="V989" s="113"/>
      <c r="W989" s="113"/>
      <c r="X989" s="113"/>
      <c r="Y989" s="113"/>
      <c r="Z989" s="113"/>
      <c r="AA989" s="113"/>
      <c r="AB989" s="113"/>
      <c r="AC989" s="113"/>
      <c r="AD989" s="113"/>
      <c r="AE989" s="113"/>
      <c r="AF989" s="113"/>
      <c r="AG989" s="113"/>
    </row>
    <row r="990" spans="1:33" ht="13.8">
      <c r="A990" s="113"/>
      <c r="B990" s="113"/>
      <c r="C990" s="113"/>
      <c r="D990" s="113"/>
      <c r="E990" s="113"/>
      <c r="F990" s="113"/>
      <c r="G990" s="113"/>
      <c r="H990" s="113"/>
      <c r="I990" s="113"/>
      <c r="J990" s="113"/>
      <c r="K990" s="113"/>
      <c r="L990" s="113"/>
      <c r="M990" s="113"/>
      <c r="N990" s="113"/>
      <c r="O990" s="113"/>
      <c r="P990" s="113"/>
      <c r="Q990" s="113"/>
      <c r="R990" s="113"/>
      <c r="S990" s="113"/>
      <c r="T990" s="113"/>
      <c r="U990" s="113"/>
      <c r="V990" s="113"/>
      <c r="W990" s="113"/>
      <c r="X990" s="113"/>
      <c r="Y990" s="113"/>
      <c r="Z990" s="113"/>
      <c r="AA990" s="113"/>
      <c r="AB990" s="113"/>
      <c r="AC990" s="113"/>
      <c r="AD990" s="113"/>
      <c r="AE990" s="113"/>
      <c r="AF990" s="113"/>
      <c r="AG990" s="113"/>
    </row>
    <row r="991" spans="1:33" ht="13.8">
      <c r="A991" s="113"/>
      <c r="B991" s="113"/>
      <c r="C991" s="113"/>
      <c r="D991" s="113"/>
      <c r="E991" s="113"/>
      <c r="F991" s="113"/>
      <c r="G991" s="113"/>
      <c r="H991" s="113"/>
      <c r="I991" s="113"/>
      <c r="J991" s="113"/>
      <c r="K991" s="113"/>
      <c r="L991" s="113"/>
      <c r="M991" s="113"/>
      <c r="N991" s="113"/>
      <c r="O991" s="113"/>
      <c r="P991" s="113"/>
      <c r="Q991" s="113"/>
      <c r="R991" s="113"/>
      <c r="S991" s="113"/>
      <c r="T991" s="113"/>
      <c r="U991" s="113"/>
      <c r="V991" s="113"/>
      <c r="W991" s="113"/>
      <c r="X991" s="113"/>
      <c r="Y991" s="113"/>
      <c r="Z991" s="113"/>
      <c r="AA991" s="113"/>
      <c r="AB991" s="113"/>
      <c r="AC991" s="113"/>
      <c r="AD991" s="113"/>
      <c r="AE991" s="113"/>
      <c r="AF991" s="113"/>
      <c r="AG991" s="113"/>
    </row>
    <row r="992" spans="1:33" ht="13.8">
      <c r="A992" s="113"/>
      <c r="B992" s="113"/>
      <c r="C992" s="113"/>
      <c r="D992" s="113"/>
      <c r="E992" s="113"/>
      <c r="F992" s="113"/>
      <c r="G992" s="113"/>
      <c r="H992" s="113"/>
      <c r="I992" s="113"/>
      <c r="J992" s="113"/>
      <c r="K992" s="113"/>
      <c r="L992" s="113"/>
      <c r="M992" s="113"/>
      <c r="N992" s="113"/>
      <c r="O992" s="113"/>
      <c r="P992" s="113"/>
      <c r="Q992" s="113"/>
      <c r="R992" s="113"/>
      <c r="S992" s="113"/>
      <c r="T992" s="113"/>
      <c r="U992" s="113"/>
      <c r="V992" s="113"/>
      <c r="W992" s="113"/>
      <c r="X992" s="113"/>
      <c r="Y992" s="113"/>
      <c r="Z992" s="113"/>
      <c r="AA992" s="113"/>
      <c r="AB992" s="113"/>
      <c r="AC992" s="113"/>
      <c r="AD992" s="113"/>
      <c r="AE992" s="113"/>
      <c r="AF992" s="113"/>
      <c r="AG992" s="113"/>
    </row>
    <row r="993" spans="1:33" ht="13.8">
      <c r="A993" s="113"/>
      <c r="B993" s="113"/>
      <c r="C993" s="113"/>
      <c r="D993" s="113"/>
      <c r="E993" s="113"/>
      <c r="F993" s="113"/>
      <c r="G993" s="113"/>
      <c r="H993" s="113"/>
      <c r="I993" s="113"/>
      <c r="J993" s="113"/>
      <c r="K993" s="113"/>
      <c r="L993" s="113"/>
      <c r="M993" s="113"/>
      <c r="N993" s="113"/>
      <c r="O993" s="113"/>
      <c r="P993" s="113"/>
      <c r="Q993" s="113"/>
      <c r="R993" s="113"/>
      <c r="S993" s="113"/>
      <c r="T993" s="113"/>
      <c r="U993" s="113"/>
      <c r="V993" s="113"/>
      <c r="W993" s="113"/>
      <c r="X993" s="113"/>
      <c r="Y993" s="113"/>
      <c r="Z993" s="113"/>
      <c r="AA993" s="113"/>
      <c r="AB993" s="113"/>
      <c r="AC993" s="113"/>
      <c r="AD993" s="113"/>
      <c r="AE993" s="113"/>
      <c r="AF993" s="113"/>
      <c r="AG993" s="113"/>
    </row>
    <row r="994" spans="1:33" ht="13.8">
      <c r="A994" s="113"/>
      <c r="B994" s="113"/>
      <c r="C994" s="113"/>
      <c r="D994" s="113"/>
      <c r="E994" s="113"/>
      <c r="F994" s="113"/>
      <c r="G994" s="113"/>
      <c r="H994" s="113"/>
      <c r="I994" s="113"/>
      <c r="J994" s="113"/>
      <c r="K994" s="113"/>
      <c r="L994" s="113"/>
      <c r="M994" s="113"/>
      <c r="N994" s="113"/>
      <c r="O994" s="113"/>
      <c r="P994" s="113"/>
      <c r="Q994" s="113"/>
      <c r="R994" s="113"/>
      <c r="S994" s="113"/>
      <c r="T994" s="113"/>
      <c r="U994" s="113"/>
      <c r="V994" s="113"/>
      <c r="W994" s="113"/>
      <c r="X994" s="113"/>
      <c r="Y994" s="113"/>
      <c r="Z994" s="113"/>
      <c r="AA994" s="113"/>
      <c r="AB994" s="113"/>
      <c r="AC994" s="113"/>
      <c r="AD994" s="113"/>
      <c r="AE994" s="113"/>
      <c r="AF994" s="113"/>
      <c r="AG994" s="113"/>
    </row>
    <row r="995" spans="1:33" ht="13.8">
      <c r="A995" s="113"/>
      <c r="B995" s="113"/>
      <c r="C995" s="113"/>
      <c r="D995" s="113"/>
      <c r="E995" s="113"/>
      <c r="F995" s="113"/>
      <c r="G995" s="113"/>
      <c r="H995" s="113"/>
      <c r="I995" s="113"/>
      <c r="J995" s="113"/>
      <c r="K995" s="113"/>
      <c r="L995" s="113"/>
      <c r="M995" s="113"/>
      <c r="N995" s="113"/>
      <c r="O995" s="113"/>
      <c r="P995" s="113"/>
      <c r="Q995" s="113"/>
      <c r="R995" s="113"/>
      <c r="S995" s="113"/>
      <c r="T995" s="113"/>
      <c r="U995" s="113"/>
      <c r="V995" s="113"/>
      <c r="W995" s="113"/>
      <c r="X995" s="113"/>
      <c r="Y995" s="113"/>
      <c r="Z995" s="113"/>
      <c r="AA995" s="113"/>
      <c r="AB995" s="113"/>
      <c r="AC995" s="113"/>
      <c r="AD995" s="113"/>
      <c r="AE995" s="113"/>
      <c r="AF995" s="113"/>
      <c r="AG995" s="113"/>
    </row>
    <row r="996" spans="1:33" ht="13.8">
      <c r="A996" s="113"/>
      <c r="B996" s="113"/>
      <c r="C996" s="113"/>
      <c r="D996" s="113"/>
      <c r="E996" s="113"/>
      <c r="F996" s="113"/>
      <c r="G996" s="113"/>
      <c r="H996" s="113"/>
      <c r="I996" s="113"/>
      <c r="J996" s="113"/>
      <c r="K996" s="113"/>
      <c r="L996" s="113"/>
      <c r="M996" s="113"/>
      <c r="N996" s="113"/>
      <c r="O996" s="113"/>
      <c r="P996" s="113"/>
      <c r="Q996" s="113"/>
      <c r="R996" s="113"/>
      <c r="S996" s="113"/>
      <c r="T996" s="113"/>
      <c r="U996" s="113"/>
      <c r="V996" s="113"/>
      <c r="W996" s="113"/>
      <c r="X996" s="113"/>
      <c r="Y996" s="113"/>
      <c r="Z996" s="113"/>
      <c r="AA996" s="113"/>
      <c r="AB996" s="113"/>
      <c r="AC996" s="113"/>
      <c r="AD996" s="113"/>
      <c r="AE996" s="113"/>
      <c r="AF996" s="113"/>
      <c r="AG996" s="113"/>
    </row>
    <row r="997" spans="1:33" ht="13.8">
      <c r="A997" s="113"/>
      <c r="B997" s="113"/>
      <c r="C997" s="113"/>
      <c r="D997" s="113"/>
      <c r="E997" s="113"/>
      <c r="F997" s="113"/>
      <c r="G997" s="113"/>
      <c r="H997" s="113"/>
      <c r="I997" s="113"/>
      <c r="J997" s="113"/>
      <c r="K997" s="113"/>
      <c r="L997" s="113"/>
      <c r="M997" s="113"/>
      <c r="N997" s="113"/>
      <c r="O997" s="113"/>
      <c r="P997" s="113"/>
      <c r="Q997" s="113"/>
      <c r="R997" s="113"/>
      <c r="S997" s="113"/>
      <c r="T997" s="113"/>
      <c r="U997" s="113"/>
      <c r="V997" s="113"/>
      <c r="W997" s="113"/>
      <c r="X997" s="113"/>
      <c r="Y997" s="113"/>
      <c r="Z997" s="113"/>
      <c r="AA997" s="113"/>
      <c r="AB997" s="113"/>
      <c r="AC997" s="113"/>
      <c r="AD997" s="113"/>
      <c r="AE997" s="113"/>
      <c r="AF997" s="113"/>
      <c r="AG997" s="113"/>
    </row>
  </sheetData>
  <dataValidations count="2">
    <dataValidation type="list" allowBlank="1" showErrorMessage="1" sqref="C2:C59" xr:uid="{00000000-0002-0000-0E00-000000000000}">
      <formula1>"6,7,8"</formula1>
      <formula2>0</formula2>
    </dataValidation>
    <dataValidation type="list" allowBlank="1" showErrorMessage="1" sqref="E2:E59" xr:uid="{00000000-0002-0000-0E00-000001000000}">
      <formula1>"Physics,Biology,Chemistry"</formula1>
      <formula2>0</formula2>
    </dataValidation>
  </dataValidations>
  <pageMargins left="0.74791666666666701" right="0.74791666666666701" top="0.98402777777777795" bottom="0.98402777777777795" header="0.511811023622047" footer="0.511811023622047"/>
  <pageSetup paperSize="9" orientation="portrait" horizontalDpi="300" verticalDpi="300"/>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A8D829-D664-49A6-B69F-CCB2C8ECCD02}">
  <dimension ref="A1"/>
  <sheetViews>
    <sheetView workbookViewId="0"/>
  </sheetViews>
  <sheetFormatPr defaultRowHeight="13.2"/>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C763E-94C2-43CD-9D47-73F0F9A46BAA}">
  <dimension ref="A1"/>
  <sheetViews>
    <sheetView workbookViewId="0"/>
  </sheetViews>
  <sheetFormatPr defaultRowHeight="13.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G6 Phy</vt:lpstr>
      <vt:lpstr>G7 Phy</vt:lpstr>
      <vt:lpstr>G8 Phy</vt:lpstr>
      <vt:lpstr>G6 Maths</vt:lpstr>
      <vt:lpstr>G7 Maths</vt:lpstr>
      <vt:lpstr>G8 Maths</vt:lpstr>
      <vt:lpstr>G6 Bio</vt:lpstr>
      <vt:lpstr>G7 Bio</vt:lpstr>
      <vt:lpstr>G8 Bio</vt:lpstr>
      <vt:lpstr>G6 Chem</vt:lpstr>
      <vt:lpstr> G7 Chem</vt:lpstr>
      <vt:lpstr>G8 Chem</vt:lpstr>
      <vt:lpstr>Sheet1</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aniket singh</dc:creator>
  <dc:description/>
  <cp:lastModifiedBy>aniket singh</cp:lastModifiedBy>
  <cp:revision>1</cp:revision>
  <dcterms:created xsi:type="dcterms:W3CDTF">2025-01-16T11:30:56Z</dcterms:created>
  <dcterms:modified xsi:type="dcterms:W3CDTF">2025-01-28T12:10:08Z</dcterms:modified>
  <dc:language>en-US</dc:language>
</cp:coreProperties>
</file>